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Priority Queue" sheetId="3" state="visible" r:id="rId5"/>
    <sheet name="Watch Paths" sheetId="4" state="visible" r:id="rId6"/>
    <sheet name="Taxonomy" sheetId="5" state="visible" r:id="rId7"/>
    <sheet name="Master List" sheetId="6" state="visible" r:id="rId8"/>
    <sheet name="Bibliography" sheetId="7" state="visible" r:id="rId9"/>
    <sheet name="Letterboxd Watched" sheetId="8" state="visible" r:id="rId10"/>
  </sheets>
  <definedNames>
    <definedName function="false" hidden="true" localSheetId="6" name="_xlnm._FilterDatabase" vbProcedure="false">Bibliography!$A$1:$C$539</definedName>
    <definedName function="false" hidden="true" localSheetId="5" name="_xlnm._FilterDatabase" vbProcedure="false">'Master List'!$A$1:$W$2594</definedName>
    <definedName function="false" hidden="true" localSheetId="2" name="_xlnm._FilterDatabase" vbProcedure="false">'Priority Queue'!$A$1:$I$2594</definedName>
    <definedName function="false" hidden="true" localSheetId="4" name="_xlnm._FilterDatabase" vbProcedure="false">Taxonomy!$A$1:$J$331</definedName>
    <definedName function="false" hidden="true" localSheetId="3" name="_xlnm._FilterDatabase" vbProcedure="false">'Watch Paths'!$A$1:$L$4220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<sst xmlns="http://schemas.openxmlformats.org/spreadsheetml/2006/main" count="59024" uniqueCount="8479">
  <si>
    <t xml:space="preserve">The Film Watch Guide</t>
  </si>
  <si>
    <t xml:space="preserve">An ordered map of cinema by category, subcategory, and niche. It draws on film-studies textbooks, critics' polls, labels/curators (Criterion, Arrow, BFI, Masters of Cinema, Second Run, the World Cinema Project), and your own Letterboxd history, which is used only to mark what you've seen.</t>
  </si>
  <si>
    <t xml:space="preserve">At a glance</t>
  </si>
  <si>
    <t xml:space="preserve">Unique films</t>
  </si>
  <si>
    <t xml:space="preserve">Seen (from Letterboxd)</t>
  </si>
  <si>
    <t xml:space="preserve">% seen</t>
  </si>
  <si>
    <t xml:space="preserve">Watch-path entries (a film can sit in many buckets)</t>
  </si>
  <si>
    <t xml:space="preserve">Categories / subcategories / niches</t>
  </si>
  <si>
    <t xml:space="preserve">10 / 68 / 330</t>
  </si>
  <si>
    <t xml:space="preserve">How the tabs work</t>
  </si>
  <si>
    <t xml:space="preserve">Dashboard</t>
  </si>
  <si>
    <t xml:space="preserve">Progress by category and subcategory. The bars fill in as you log films on Letterboxd.</t>
  </si>
  <si>
    <t xml:space="preserve">Priority Queue</t>
  </si>
  <si>
    <t xml:space="preserve">Every film ranked by how central it is across the whole map (weighted bucket count). Filter Seen = blank, then work down the list for the best overall order.</t>
  </si>
  <si>
    <t xml:space="preserve">Watch Paths</t>
  </si>
  <si>
    <t xml:space="preserve">The main list: every category → subcategory → niche in recommended viewing order (Step). '▶ NEXT' marks the first unseen film in each niche. Filter by Category, Niche, or Tier.</t>
  </si>
  <si>
    <t xml:space="preserve">Taxonomy</t>
  </si>
  <si>
    <t xml:space="preserve">One row per niche: its academic/critical sources, why it's grouped, your progress, and your next film.</t>
  </si>
  <si>
    <t xml:space="preserve">Master List</t>
  </si>
  <si>
    <t xml:space="preserve">One row per unique film, with every bucket it belongs to and a Letterboxd link.</t>
  </si>
  <si>
    <t xml:space="preserve">Bibliography</t>
  </si>
  <si>
    <t xml:space="preserve">The books, essays, polls, and label catalogs behind the groupings.</t>
  </si>
  <si>
    <t xml:space="preserve">Letterboxd Watched</t>
  </si>
  <si>
    <t xml:space="preserve">Your watched.csv. To refresh, paste a newer export's Date/Name/Year/URI into columns A–D. Column E rebuilds the match key, and every Seen mark updates.</t>
  </si>
  <si>
    <t xml:space="preserve">How the ordering works</t>
  </si>
  <si>
    <t xml:space="preserve">Tier 1 · Start Here</t>
  </si>
  <si>
    <t xml:space="preserve">The gateway films for a niche: canonical, accessible, and they teach you how to watch the rest.</t>
  </si>
  <si>
    <t xml:space="preserve">Tier 2 · Core</t>
  </si>
  <si>
    <t xml:space="preserve">The essential body of the niche, mostly in chronological or influence order, so you can see the style develop.</t>
  </si>
  <si>
    <t xml:space="preserve">Tier 3 · Deep Cut</t>
  </si>
  <si>
    <t xml:space="preserve">Rarer, harder, or more specialized titles for once the niche clicks.</t>
  </si>
  <si>
    <t xml:space="preserve">Step</t>
  </si>
  <si>
    <t xml:space="preserve">The recommended order within a niche. Movement/era niches are chronological. Genre and auteur niches go gateway → chronology → deep cuts.</t>
  </si>
  <si>
    <t xml:space="preserve">Multiple buckets</t>
  </si>
  <si>
    <t xml:space="preserve">Films deliberately appear in many niches (Vertigo sits in history, Hitchcock, theory, canons…). The Priority Queue turns that overlap into a centrality score.</t>
  </si>
  <si>
    <t xml:space="preserve">Suggested route</t>
  </si>
  <si>
    <t xml:space="preserve">(1) Foundations → (2) History Spine, alongside (5) Auteurs and (4) Genres by mood → (3) World Cinemas → (6) Theory lenses once you want a vocabulary. Dip into (7) Themes, (8) Niches, (9) Canons, and (10) Bridges whenever you like.</t>
  </si>
  <si>
    <t xml:space="preserve">Legend</t>
  </si>
  <si>
    <t xml:space="preserve">✓ = logged on your Letterboxd. ▶ NEXT = first unseen film in that niche. Green rows = seen.</t>
  </si>
  <si>
    <t xml:space="preserve">Source note</t>
  </si>
  <si>
    <t xml:space="preserve">Poll and list selections (S&amp;S 2022, AFI 2007, BFI 100, Ebert) are subsets shown in viewing order, not rank. Label entries (Arrow, BFI Flipside, Masters of Cinema, Second Run) describe each label's catalog focus; editions go in and out of print, so check the label for current releases. 'Composite' curricula are built from standard textbooks, not any single university's syllabus.</t>
  </si>
  <si>
    <t xml:space="preserve">Progress Dashboard</t>
  </si>
  <si>
    <t xml:space="preserve">Unique films per category. A film counts once per category even if it's in several of its niches.</t>
  </si>
  <si>
    <t xml:space="preserve">Category</t>
  </si>
  <si>
    <t xml:space="preserve">Unique Films</t>
  </si>
  <si>
    <t xml:space="preserve">Seen</t>
  </si>
  <si>
    <t xml:space="preserve">% Seen</t>
  </si>
  <si>
    <t xml:space="preserve">Niches</t>
  </si>
  <si>
    <t xml:space="preserve">Niches Complete</t>
  </si>
  <si>
    <t xml:space="preserve">01 Foundations: Learning to Watch</t>
  </si>
  <si>
    <t xml:space="preserve">02 Film History Spine (chronological)</t>
  </si>
  <si>
    <t xml:space="preserve">03 World Cinemas &amp; Movements</t>
  </si>
  <si>
    <t xml:space="preserve">04 Genres &amp; Subgenres</t>
  </si>
  <si>
    <t xml:space="preserve">05 Auteurs &amp; Filmographies</t>
  </si>
  <si>
    <t xml:space="preserve">06 Theory &amp; Academic Lenses</t>
  </si>
  <si>
    <t xml:space="preserve">07 Themes &amp; Subjects</t>
  </si>
  <si>
    <t xml:space="preserve">08 Niches &amp; Micro-genres</t>
  </si>
  <si>
    <t xml:space="preserve">09 Canons, Critics, Labels &amp; Curricula</t>
  </si>
  <si>
    <t xml:space="preserve">10 Bridges From Your 5-Star Films</t>
  </si>
  <si>
    <t xml:space="preserve">All films (unique)</t>
  </si>
  <si>
    <t xml:space="preserve">By subcategory (watch-path entries)</t>
  </si>
  <si>
    <t xml:space="preserve">Subcategory</t>
  </si>
  <si>
    <t xml:space="preserve">Entries</t>
  </si>
  <si>
    <t xml:space="preserve">Film Form (the Film Art method)</t>
  </si>
  <si>
    <t xml:space="preserve">Narrative &amp; Structure</t>
  </si>
  <si>
    <t xml:space="preserve">1. Silent Era (1895–1929)</t>
  </si>
  <si>
    <t xml:space="preserve">2. Early Sound &amp; Pre-Code (1927–1934)</t>
  </si>
  <si>
    <t xml:space="preserve">3. Classical Hollywood (1930–1960)</t>
  </si>
  <si>
    <t xml:space="preserve">4. Postwar World Cinema (1945–1959)</t>
  </si>
  <si>
    <t xml:space="preserve">5. Modernism &amp; the New Waves (1959–1975)</t>
  </si>
  <si>
    <t xml:space="preserve">6. New Hollywood (1967–1980)</t>
  </si>
  <si>
    <t xml:space="preserve">7. Blockbuster &amp; Reagan Era (1975–1989)</t>
  </si>
  <si>
    <t xml:space="preserve">8. The Independent Boom (1984–2000)</t>
  </si>
  <si>
    <t xml:space="preserve">9. Digital &amp; Global (2000–2015)</t>
  </si>
  <si>
    <t xml:space="preserve">10. Streaming &amp; Now (2016–2026)</t>
  </si>
  <si>
    <t xml:space="preserve">Japan</t>
  </si>
  <si>
    <t xml:space="preserve">Italy</t>
  </si>
  <si>
    <t xml:space="preserve">France</t>
  </si>
  <si>
    <t xml:space="preserve">Germany &amp; Austria</t>
  </si>
  <si>
    <t xml:space="preserve">UK &amp; Ireland</t>
  </si>
  <si>
    <t xml:space="preserve">Nordic Cinema</t>
  </si>
  <si>
    <t xml:space="preserve">USSR &amp; Eastern Europe</t>
  </si>
  <si>
    <t xml:space="preserve">Spain &amp; Latin America</t>
  </si>
  <si>
    <t xml:space="preserve">Hong Kong, Taiwan &amp; China</t>
  </si>
  <si>
    <t xml:space="preserve">South Korea</t>
  </si>
  <si>
    <t xml:space="preserve">South &amp; Southeast Asia</t>
  </si>
  <si>
    <t xml:space="preserve">Iran &amp; the Middle East</t>
  </si>
  <si>
    <t xml:space="preserve">Africa</t>
  </si>
  <si>
    <t xml:space="preserve">Australia, New Zealand &amp; Canada</t>
  </si>
  <si>
    <t xml:space="preserve">Film Noir</t>
  </si>
  <si>
    <t xml:space="preserve">Westerns</t>
  </si>
  <si>
    <t xml:space="preserve">Horror</t>
  </si>
  <si>
    <t xml:space="preserve">Science Fiction</t>
  </si>
  <si>
    <t xml:space="preserve">Comedy</t>
  </si>
  <si>
    <t xml:space="preserve">Musicals</t>
  </si>
  <si>
    <t xml:space="preserve">Crime &amp; Gangster</t>
  </si>
  <si>
    <t xml:space="preserve">Thrillers</t>
  </si>
  <si>
    <t xml:space="preserve">War</t>
  </si>
  <si>
    <t xml:space="preserve">Melodrama &amp; Romance</t>
  </si>
  <si>
    <t xml:space="preserve">Action &amp; Adventure</t>
  </si>
  <si>
    <t xml:space="preserve">Animation</t>
  </si>
  <si>
    <t xml:space="preserve">Documentary</t>
  </si>
  <si>
    <t xml:space="preserve">Experimental &amp; Avant-Garde</t>
  </si>
  <si>
    <t xml:space="preserve">Classical Hollywood Masters</t>
  </si>
  <si>
    <t xml:space="preserve">American Auteurs: New Hollywood to Now</t>
  </si>
  <si>
    <t xml:space="preserve">European Masters</t>
  </si>
  <si>
    <t xml:space="preserve">Asian Masters</t>
  </si>
  <si>
    <t xml:space="preserve">Popular Masters &amp; Genre Auteurs</t>
  </si>
  <si>
    <t xml:space="preserve">Classical &amp; Formalist Theory</t>
  </si>
  <si>
    <t xml:space="preserve">Psychoanalytic &amp; Feminist Theory</t>
  </si>
  <si>
    <t xml:space="preserve">Race, Nation &amp; Postcolonial</t>
  </si>
  <si>
    <t xml:space="preserve">Queer Theory &amp; Cinema</t>
  </si>
  <si>
    <t xml:space="preserve">Postmodern, Genre &amp; Industry Theory</t>
  </si>
  <si>
    <t xml:space="preserve">Society, Money &amp; Power</t>
  </si>
  <si>
    <t xml:space="preserve">Mind, Philosophy &amp; Faith</t>
  </si>
  <si>
    <t xml:space="preserve">Science &amp; Technology</t>
  </si>
  <si>
    <t xml:space="preserve">Life Stages &amp; Relationships</t>
  </si>
  <si>
    <t xml:space="preserve">Places &amp; Journeys</t>
  </si>
  <si>
    <t xml:space="preserve">Culture &amp; Pastimes</t>
  </si>
  <si>
    <t xml:space="preserve">Form &amp; Structure Niches</t>
  </si>
  <si>
    <t xml:space="preserve">Genre Niches</t>
  </si>
  <si>
    <t xml:space="preserve">Cult &amp; Paracinema Niches</t>
  </si>
  <si>
    <t xml:space="preserve">Lineages &amp; Remakes</t>
  </si>
  <si>
    <t xml:space="preserve">Seasonal &amp; Mood Niches</t>
  </si>
  <si>
    <t xml:space="preserve">Critics' &amp; Institutional Polls</t>
  </si>
  <si>
    <t xml:space="preserve">Directors' Lists</t>
  </si>
  <si>
    <t xml:space="preserve">Labels &amp; Curators (catalog-focus lenses)</t>
  </si>
  <si>
    <t xml:space="preserve">University &amp; Film-School Curricula (composite)</t>
  </si>
  <si>
    <t xml:space="preserve">Mind-Benders &amp; Dream Logic</t>
  </si>
  <si>
    <t xml:space="preserve">American Masters You Already Love</t>
  </si>
  <si>
    <t xml:space="preserve">Genre Lines From Your Favorites</t>
  </si>
  <si>
    <t xml:space="preserve">Rank</t>
  </si>
  <si>
    <t xml:space="preserve">Title</t>
  </si>
  <si>
    <t xml:space="preserve">Year</t>
  </si>
  <si>
    <t xml:space="preserve">Director</t>
  </si>
  <si>
    <t xml:space="preserve">Centrality Score</t>
  </si>
  <si>
    <t xml:space="preserve">Buckets</t>
  </si>
  <si>
    <t xml:space="preserve">Best Tier</t>
  </si>
  <si>
    <t xml:space="preserve">Primary Category</t>
  </si>
  <si>
    <t xml:space="preserve">Seen #</t>
  </si>
  <si>
    <t xml:space="preserve">Master Row</t>
  </si>
  <si>
    <t xml:space="preserve">Score = Σ over every bucket (Start Here = 3, Core = 2, Deep Cut = 1). Higher means more central to the whole map. Filter Seen = blank and go top-down.</t>
  </si>
  <si>
    <t xml:space="preserve">Citizen Kane</t>
  </si>
  <si>
    <t xml:space="preserve">Orson Welles</t>
  </si>
  <si>
    <t xml:space="preserve">1 · Start Here</t>
  </si>
  <si>
    <t xml:space="preserve">Tokyo Story</t>
  </si>
  <si>
    <t xml:space="preserve">Yasujirō Ozu</t>
  </si>
  <si>
    <t xml:space="preserve">Do the Right Thing</t>
  </si>
  <si>
    <t xml:space="preserve">Spike Lee</t>
  </si>
  <si>
    <t xml:space="preserve">The 400 Blows</t>
  </si>
  <si>
    <t xml:space="preserve">François Truffaut</t>
  </si>
  <si>
    <t xml:space="preserve">Breathless</t>
  </si>
  <si>
    <t xml:space="preserve">Jean-Luc Godard</t>
  </si>
  <si>
    <t xml:space="preserve">Mulholland Drive</t>
  </si>
  <si>
    <t xml:space="preserve">David Lynch</t>
  </si>
  <si>
    <t xml:space="preserve">Seven Samurai</t>
  </si>
  <si>
    <t xml:space="preserve">Akira Kurosawa</t>
  </si>
  <si>
    <t xml:space="preserve">Cléo from 5 to 7</t>
  </si>
  <si>
    <t xml:space="preserve">Agnès Varda</t>
  </si>
  <si>
    <t xml:space="preserve">Bicycle Thieves</t>
  </si>
  <si>
    <t xml:space="preserve">Vittorio De Sica</t>
  </si>
  <si>
    <t xml:space="preserve">Vertigo</t>
  </si>
  <si>
    <t xml:space="preserve">Alfred Hitchcock</t>
  </si>
  <si>
    <t xml:space="preserve">Taxi Driver</t>
  </si>
  <si>
    <t xml:space="preserve">Martin Scorsese</t>
  </si>
  <si>
    <t xml:space="preserve">Moonlight</t>
  </si>
  <si>
    <t xml:space="preserve">Barry Jenkins</t>
  </si>
  <si>
    <t xml:space="preserve">His Girl Friday</t>
  </si>
  <si>
    <t xml:space="preserve">Howard Hawks</t>
  </si>
  <si>
    <t xml:space="preserve">Wild Strawberries</t>
  </si>
  <si>
    <t xml:space="preserve">Ingmar Bergman</t>
  </si>
  <si>
    <t xml:space="preserve">The Conversation</t>
  </si>
  <si>
    <t xml:space="preserve">Francis Ford Coppola</t>
  </si>
  <si>
    <t xml:space="preserve">Blade Runner</t>
  </si>
  <si>
    <t xml:space="preserve">Ridley Scott</t>
  </si>
  <si>
    <t xml:space="preserve">It Happened One Night</t>
  </si>
  <si>
    <t xml:space="preserve">Frank Capra</t>
  </si>
  <si>
    <t xml:space="preserve">Psycho</t>
  </si>
  <si>
    <t xml:space="preserve">8½</t>
  </si>
  <si>
    <t xml:space="preserve">Federico Fellini</t>
  </si>
  <si>
    <t xml:space="preserve">Man with a Movie Camera</t>
  </si>
  <si>
    <t xml:space="preserve">Dziga Vertov</t>
  </si>
  <si>
    <t xml:space="preserve">Jaws</t>
  </si>
  <si>
    <t xml:space="preserve">Steven Spielberg</t>
  </si>
  <si>
    <t xml:space="preserve">Jeanne Dielman, 23, quai du Commerce, 1080 Bruxelles</t>
  </si>
  <si>
    <t xml:space="preserve">Chantal Akerman</t>
  </si>
  <si>
    <t xml:space="preserve">2001: A Space Odyssey</t>
  </si>
  <si>
    <t xml:space="preserve">Stanley Kubrick</t>
  </si>
  <si>
    <t xml:space="preserve">Network</t>
  </si>
  <si>
    <t xml:space="preserve">Sidney Lumet</t>
  </si>
  <si>
    <t xml:space="preserve">Rear Window</t>
  </si>
  <si>
    <t xml:space="preserve">Persona</t>
  </si>
  <si>
    <t xml:space="preserve">Chungking Express</t>
  </si>
  <si>
    <t xml:space="preserve">Wong Kar-wai</t>
  </si>
  <si>
    <t xml:space="preserve">Chinatown</t>
  </si>
  <si>
    <t xml:space="preserve">Roman Polanski</t>
  </si>
  <si>
    <t xml:space="preserve">Nashville</t>
  </si>
  <si>
    <t xml:space="preserve">Robert Altman</t>
  </si>
  <si>
    <t xml:space="preserve">The Seventh Seal</t>
  </si>
  <si>
    <t xml:space="preserve">The Apartment</t>
  </si>
  <si>
    <t xml:space="preserve">Billy Wilder</t>
  </si>
  <si>
    <t xml:space="preserve">Apocalypse Now</t>
  </si>
  <si>
    <t xml:space="preserve">Close-Up</t>
  </si>
  <si>
    <t xml:space="preserve">Abbas Kiarostami</t>
  </si>
  <si>
    <t xml:space="preserve">The Grapes of Wrath</t>
  </si>
  <si>
    <t xml:space="preserve">John Ford</t>
  </si>
  <si>
    <t xml:space="preserve">The Godfather</t>
  </si>
  <si>
    <t xml:space="preserve">Pulp Fiction</t>
  </si>
  <si>
    <t xml:space="preserve">Quentin Tarantino</t>
  </si>
  <si>
    <t xml:space="preserve">Stalker</t>
  </si>
  <si>
    <t xml:space="preserve">Andrei Tarkovsky</t>
  </si>
  <si>
    <t xml:space="preserve">Aftersun</t>
  </si>
  <si>
    <t xml:space="preserve">Charlotte Wells</t>
  </si>
  <si>
    <t xml:space="preserve">2 · Core</t>
  </si>
  <si>
    <t xml:space="preserve">Diary of a Country Priest</t>
  </si>
  <si>
    <t xml:space="preserve">Robert Bresson</t>
  </si>
  <si>
    <t xml:space="preserve">L'Avventura</t>
  </si>
  <si>
    <t xml:space="preserve">Michelangelo Antonioni</t>
  </si>
  <si>
    <t xml:space="preserve">Eraserhead</t>
  </si>
  <si>
    <t xml:space="preserve">Double Indemnity</t>
  </si>
  <si>
    <t xml:space="preserve">Rashomon</t>
  </si>
  <si>
    <t xml:space="preserve">The Searchers</t>
  </si>
  <si>
    <t xml:space="preserve">Yi Yi</t>
  </si>
  <si>
    <t xml:space="preserve">Edward Yang</t>
  </si>
  <si>
    <t xml:space="preserve">Singin' in the Rain</t>
  </si>
  <si>
    <t xml:space="preserve">Stanley Donen, Gene Kelly</t>
  </si>
  <si>
    <t xml:space="preserve">Umberto D.</t>
  </si>
  <si>
    <t xml:space="preserve">Daisies</t>
  </si>
  <si>
    <t xml:space="preserve">Věra Chytilová</t>
  </si>
  <si>
    <t xml:space="preserve">Mirror</t>
  </si>
  <si>
    <t xml:space="preserve">In the Mood for Love</t>
  </si>
  <si>
    <t xml:space="preserve">Battleship Potemkin</t>
  </si>
  <si>
    <t xml:space="preserve">Sergei Eisenstein</t>
  </si>
  <si>
    <t xml:space="preserve">The Rules of the Game</t>
  </si>
  <si>
    <t xml:space="preserve">Jean Renoir</t>
  </si>
  <si>
    <t xml:space="preserve">Ikiru</t>
  </si>
  <si>
    <t xml:space="preserve">12 Angry Men</t>
  </si>
  <si>
    <t xml:space="preserve">Dr. Strangelove or: How I Learned to Stop Worrying and Love the Bomb</t>
  </si>
  <si>
    <t xml:space="preserve">Killer of Sheep</t>
  </si>
  <si>
    <t xml:space="preserve">Charles Burnett</t>
  </si>
  <si>
    <t xml:space="preserve">Portrait of a Lady on Fire</t>
  </si>
  <si>
    <t xml:space="preserve">Céline Sciamma</t>
  </si>
  <si>
    <t xml:space="preserve">All the President's Men</t>
  </si>
  <si>
    <t xml:space="preserve">Alan J. Pakula</t>
  </si>
  <si>
    <t xml:space="preserve">Raging Bull</t>
  </si>
  <si>
    <t xml:space="preserve">The Passion of Joan of Arc</t>
  </si>
  <si>
    <t xml:space="preserve">Carl Theodor Dreyer</t>
  </si>
  <si>
    <t xml:space="preserve">M</t>
  </si>
  <si>
    <t xml:space="preserve">Fritz Lang</t>
  </si>
  <si>
    <t xml:space="preserve">Sullivan's Travels</t>
  </si>
  <si>
    <t xml:space="preserve">Preston Sturges</t>
  </si>
  <si>
    <t xml:space="preserve">Rope</t>
  </si>
  <si>
    <t xml:space="preserve">Pather Panchali</t>
  </si>
  <si>
    <t xml:space="preserve">Satyajit Ray</t>
  </si>
  <si>
    <t xml:space="preserve">Lawrence of Arabia</t>
  </si>
  <si>
    <t xml:space="preserve">David Lean</t>
  </si>
  <si>
    <t xml:space="preserve">Star Wars</t>
  </si>
  <si>
    <t xml:space="preserve">George Lucas</t>
  </si>
  <si>
    <t xml:space="preserve">Reservoir Dogs</t>
  </si>
  <si>
    <t xml:space="preserve">Groundhog Day</t>
  </si>
  <si>
    <t xml:space="preserve">Harold Ramis</t>
  </si>
  <si>
    <t xml:space="preserve">Beau Travail</t>
  </si>
  <si>
    <t xml:space="preserve">Claire Denis</t>
  </si>
  <si>
    <t xml:space="preserve">Meshes of the Afternoon</t>
  </si>
  <si>
    <t xml:space="preserve">Maya Deren, Alexander Hammid</t>
  </si>
  <si>
    <t xml:space="preserve">The Thing</t>
  </si>
  <si>
    <t xml:space="preserve">John Carpenter</t>
  </si>
  <si>
    <t xml:space="preserve">Journey to Italy</t>
  </si>
  <si>
    <t xml:space="preserve">Roberto Rossellini</t>
  </si>
  <si>
    <t xml:space="preserve">Rebel Without a Cause</t>
  </si>
  <si>
    <t xml:space="preserve">Nicholas Ray</t>
  </si>
  <si>
    <t xml:space="preserve">Hiroshima Mon Amour</t>
  </si>
  <si>
    <t xml:space="preserve">Alain Resnais</t>
  </si>
  <si>
    <t xml:space="preserve">Rushmore</t>
  </si>
  <si>
    <t xml:space="preserve">Wes Anderson</t>
  </si>
  <si>
    <t xml:space="preserve">Memories of Murder</t>
  </si>
  <si>
    <t xml:space="preserve">Bong Joon-ho</t>
  </si>
  <si>
    <t xml:space="preserve">There Will Be Blood</t>
  </si>
  <si>
    <t xml:space="preserve">Paul Thomas Anderson</t>
  </si>
  <si>
    <t xml:space="preserve">Get Out</t>
  </si>
  <si>
    <t xml:space="preserve">Jordan Peele</t>
  </si>
  <si>
    <t xml:space="preserve">Metropolis</t>
  </si>
  <si>
    <t xml:space="preserve">The Maltese Falcon</t>
  </si>
  <si>
    <t xml:space="preserve">John Huston</t>
  </si>
  <si>
    <t xml:space="preserve">Sunset Boulevard</t>
  </si>
  <si>
    <t xml:space="preserve">Ugetsu</t>
  </si>
  <si>
    <t xml:space="preserve">Kenji Mizoguchi</t>
  </si>
  <si>
    <t xml:space="preserve">La Dolce Vita</t>
  </si>
  <si>
    <t xml:space="preserve">Winter Light</t>
  </si>
  <si>
    <t xml:space="preserve">Le Samouraï</t>
  </si>
  <si>
    <t xml:space="preserve">Jean-Pierre Melville</t>
  </si>
  <si>
    <t xml:space="preserve">Aguirre, the Wrath of God</t>
  </si>
  <si>
    <t xml:space="preserve">Werner Herzog</t>
  </si>
  <si>
    <t xml:space="preserve">Halloween</t>
  </si>
  <si>
    <t xml:space="preserve">Short Cuts</t>
  </si>
  <si>
    <t xml:space="preserve">Heat</t>
  </si>
  <si>
    <t xml:space="preserve">Michael Mann</t>
  </si>
  <si>
    <t xml:space="preserve">Parasite</t>
  </si>
  <si>
    <t xml:space="preserve">Sunrise: A Song of Two Humans</t>
  </si>
  <si>
    <t xml:space="preserve">F.W. Murnau</t>
  </si>
  <si>
    <t xml:space="preserve">Bonnie and Clyde</t>
  </si>
  <si>
    <t xml:space="preserve">Arthur Penn</t>
  </si>
  <si>
    <t xml:space="preserve">Stagecoach</t>
  </si>
  <si>
    <t xml:space="preserve">Mr. Smith Goes to Washington</t>
  </si>
  <si>
    <t xml:space="preserve">The Best Years of Our Lives</t>
  </si>
  <si>
    <t xml:space="preserve">William Wyler</t>
  </si>
  <si>
    <t xml:space="preserve">It's a Wonderful Life</t>
  </si>
  <si>
    <t xml:space="preserve">Paths of Glory</t>
  </si>
  <si>
    <t xml:space="preserve">Touch of Evil</t>
  </si>
  <si>
    <t xml:space="preserve">Harold and Maude</t>
  </si>
  <si>
    <t xml:space="preserve">Hal Ashby</t>
  </si>
  <si>
    <t xml:space="preserve">Ali: Fear Eats the Soul</t>
  </si>
  <si>
    <t xml:space="preserve">Rainer Werner Fassbinder</t>
  </si>
  <si>
    <t xml:space="preserve">The Shining</t>
  </si>
  <si>
    <t xml:space="preserve">The King of Comedy</t>
  </si>
  <si>
    <t xml:space="preserve">Videodrome</t>
  </si>
  <si>
    <t xml:space="preserve">David Cronenberg</t>
  </si>
  <si>
    <t xml:space="preserve">Blue Velvet</t>
  </si>
  <si>
    <t xml:space="preserve">GoodFellas</t>
  </si>
  <si>
    <t xml:space="preserve">Dazed and Confused</t>
  </si>
  <si>
    <t xml:space="preserve">Richard Linklater</t>
  </si>
  <si>
    <t xml:space="preserve">Taste of Cherry</t>
  </si>
  <si>
    <t xml:space="preserve">No Country for Old Men</t>
  </si>
  <si>
    <t xml:space="preserve">Joel Coen, Ethan Coen</t>
  </si>
  <si>
    <t xml:space="preserve">Zodiac</t>
  </si>
  <si>
    <t xml:space="preserve">David Fincher</t>
  </si>
  <si>
    <t xml:space="preserve">Arrival</t>
  </si>
  <si>
    <t xml:space="preserve">Denis Villeneuve</t>
  </si>
  <si>
    <t xml:space="preserve">Past Lives</t>
  </si>
  <si>
    <t xml:space="preserve">Celine Song</t>
  </si>
  <si>
    <t xml:space="preserve">The Cabinet of Dr. Caligari</t>
  </si>
  <si>
    <t xml:space="preserve">Robert Wiene</t>
  </si>
  <si>
    <t xml:space="preserve">Sherlock Jr.</t>
  </si>
  <si>
    <t xml:space="preserve">Buster Keaton</t>
  </si>
  <si>
    <t xml:space="preserve">Casablanca</t>
  </si>
  <si>
    <t xml:space="preserve">Michael Curtiz</t>
  </si>
  <si>
    <t xml:space="preserve">Au Hasard Balthazar</t>
  </si>
  <si>
    <t xml:space="preserve">PlayTime</t>
  </si>
  <si>
    <t xml:space="preserve">Jacques Tati</t>
  </si>
  <si>
    <t xml:space="preserve">Touki Bouki</t>
  </si>
  <si>
    <t xml:space="preserve">Djibril Diop Mambéty</t>
  </si>
  <si>
    <t xml:space="preserve">Memento</t>
  </si>
  <si>
    <t xml:space="preserve">Christopher Nolan</t>
  </si>
  <si>
    <t xml:space="preserve">City Lights</t>
  </si>
  <si>
    <t xml:space="preserve">Charlie Chaplin</t>
  </si>
  <si>
    <t xml:space="preserve">The Wizard of Oz</t>
  </si>
  <si>
    <t xml:space="preserve">Victor Fleming</t>
  </si>
  <si>
    <t xml:space="preserve">The Shop Around the Corner</t>
  </si>
  <si>
    <t xml:space="preserve">Ernst Lubitsch</t>
  </si>
  <si>
    <t xml:space="preserve">Rome, Open City</t>
  </si>
  <si>
    <t xml:space="preserve">Late Spring</t>
  </si>
  <si>
    <t xml:space="preserve">Stray Dog</t>
  </si>
  <si>
    <t xml:space="preserve">High Noon</t>
  </si>
  <si>
    <t xml:space="preserve">Fred Zinnemann</t>
  </si>
  <si>
    <t xml:space="preserve">The Night of the Hunter</t>
  </si>
  <si>
    <t xml:space="preserve">Charles Laughton</t>
  </si>
  <si>
    <t xml:space="preserve">Who's Afraid of Virginia Woolf?</t>
  </si>
  <si>
    <t xml:space="preserve">Mike Nichols</t>
  </si>
  <si>
    <t xml:space="preserve">Kes</t>
  </si>
  <si>
    <t xml:space="preserve">Ken Loach</t>
  </si>
  <si>
    <t xml:space="preserve">Days of Heaven</t>
  </si>
  <si>
    <t xml:space="preserve">Terrence Malick</t>
  </si>
  <si>
    <t xml:space="preserve">Alien</t>
  </si>
  <si>
    <t xml:space="preserve">Raiders of the Lost Ark</t>
  </si>
  <si>
    <t xml:space="preserve">Paris, Texas</t>
  </si>
  <si>
    <t xml:space="preserve">Wim Wenders</t>
  </si>
  <si>
    <t xml:space="preserve">Brazil</t>
  </si>
  <si>
    <t xml:space="preserve">Terry Gilliam</t>
  </si>
  <si>
    <t xml:space="preserve">Die Hard</t>
  </si>
  <si>
    <t xml:space="preserve">John McTiernan</t>
  </si>
  <si>
    <t xml:space="preserve">Slacker</t>
  </si>
  <si>
    <t xml:space="preserve">Boyz n the Hood</t>
  </si>
  <si>
    <t xml:space="preserve">John Singleton</t>
  </si>
  <si>
    <t xml:space="preserve">Before Sunrise</t>
  </si>
  <si>
    <t xml:space="preserve">On the Waterfront</t>
  </si>
  <si>
    <t xml:space="preserve">Elia Kazan</t>
  </si>
  <si>
    <t xml:space="preserve">Onibaba</t>
  </si>
  <si>
    <t xml:space="preserve">Kaneto Shindo</t>
  </si>
  <si>
    <t xml:space="preserve">Toy Story</t>
  </si>
  <si>
    <t xml:space="preserve">John Lasseter</t>
  </si>
  <si>
    <t xml:space="preserve">The Gleaners and I</t>
  </si>
  <si>
    <t xml:space="preserve">Spirited Away</t>
  </si>
  <si>
    <t xml:space="preserve">Hayao Miyazaki</t>
  </si>
  <si>
    <t xml:space="preserve">Children of Men</t>
  </si>
  <si>
    <t xml:space="preserve">Alfonso Cuarón</t>
  </si>
  <si>
    <t xml:space="preserve">Ordet</t>
  </si>
  <si>
    <t xml:space="preserve">Le Cercle Rouge</t>
  </si>
  <si>
    <t xml:space="preserve">McCabe &amp; Mrs. Miller</t>
  </si>
  <si>
    <t xml:space="preserve">The Last Picture Show</t>
  </si>
  <si>
    <t xml:space="preserve">Peter Bogdanovich</t>
  </si>
  <si>
    <t xml:space="preserve">Don't Look Now</t>
  </si>
  <si>
    <t xml:space="preserve">Nicolas Roeg</t>
  </si>
  <si>
    <t xml:space="preserve">American Graffiti</t>
  </si>
  <si>
    <t xml:space="preserve">The Godfather Part II</t>
  </si>
  <si>
    <t xml:space="preserve">Once Upon a Time in America</t>
  </si>
  <si>
    <t xml:space="preserve">Sergio Leone</t>
  </si>
  <si>
    <t xml:space="preserve">Blood Simple</t>
  </si>
  <si>
    <t xml:space="preserve">Joel Coen</t>
  </si>
  <si>
    <t xml:space="preserve">After Hours</t>
  </si>
  <si>
    <t xml:space="preserve">The Zone of Interest</t>
  </si>
  <si>
    <t xml:space="preserve">Jonathan Glazer</t>
  </si>
  <si>
    <t xml:space="preserve">Un Chien Andalou</t>
  </si>
  <si>
    <t xml:space="preserve">Luis Buñuel</t>
  </si>
  <si>
    <t xml:space="preserve">Bringing Up Baby</t>
  </si>
  <si>
    <t xml:space="preserve">Brief Encounter</t>
  </si>
  <si>
    <t xml:space="preserve">The Treasure of the Sierra Madre</t>
  </si>
  <si>
    <t xml:space="preserve">Godzilla</t>
  </si>
  <si>
    <t xml:space="preserve">Ishirō Honda</t>
  </si>
  <si>
    <t xml:space="preserve">Invasion of the Body Snatchers</t>
  </si>
  <si>
    <t xml:space="preserve">Don Siegel</t>
  </si>
  <si>
    <t xml:space="preserve">Sweet Smell of Success</t>
  </si>
  <si>
    <t xml:space="preserve">Alexander Mackendrick</t>
  </si>
  <si>
    <t xml:space="preserve">North by Northwest</t>
  </si>
  <si>
    <t xml:space="preserve">Some Like It Hot</t>
  </si>
  <si>
    <t xml:space="preserve">Rio Bravo</t>
  </si>
  <si>
    <t xml:space="preserve">La Jetée</t>
  </si>
  <si>
    <t xml:space="preserve">Chris Marker</t>
  </si>
  <si>
    <t xml:space="preserve">The Graduate</t>
  </si>
  <si>
    <t xml:space="preserve">My Night at Maud's</t>
  </si>
  <si>
    <t xml:space="preserve">Éric Rohmer</t>
  </si>
  <si>
    <t xml:space="preserve">El Topo</t>
  </si>
  <si>
    <t xml:space="preserve">Alejandro Jodorowsky</t>
  </si>
  <si>
    <t xml:space="preserve">M*A*S*H</t>
  </si>
  <si>
    <t xml:space="preserve">Paper Moon</t>
  </si>
  <si>
    <t xml:space="preserve">My Neighbor Totoro</t>
  </si>
  <si>
    <t xml:space="preserve">La Haine</t>
  </si>
  <si>
    <t xml:space="preserve">Mathieu Kassovitz</t>
  </si>
  <si>
    <t xml:space="preserve">Fargo</t>
  </si>
  <si>
    <t xml:space="preserve">Election</t>
  </si>
  <si>
    <t xml:space="preserve">Alexander Payne</t>
  </si>
  <si>
    <t xml:space="preserve">Fantastic Mr. Fox</t>
  </si>
  <si>
    <t xml:space="preserve">The Lady Eve</t>
  </si>
  <si>
    <t xml:space="preserve">To Kill a Mockingbird</t>
  </si>
  <si>
    <t xml:space="preserve">Robert Mulligan</t>
  </si>
  <si>
    <t xml:space="preserve">The Texas Chain Saw Massacre</t>
  </si>
  <si>
    <t xml:space="preserve">Tobe Hooper</t>
  </si>
  <si>
    <t xml:space="preserve">Come and See</t>
  </si>
  <si>
    <t xml:space="preserve">Elem Klimov</t>
  </si>
  <si>
    <t xml:space="preserve">The Truman Show</t>
  </si>
  <si>
    <t xml:space="preserve">Peter Weir</t>
  </si>
  <si>
    <t xml:space="preserve">Lost in Translation</t>
  </si>
  <si>
    <t xml:space="preserve">Sofia Coppola</t>
  </si>
  <si>
    <t xml:space="preserve">Lost Highway</t>
  </si>
  <si>
    <t xml:space="preserve">Tropical Malady</t>
  </si>
  <si>
    <t xml:space="preserve">Apichatpong Weerasethakul</t>
  </si>
  <si>
    <t xml:space="preserve">Enemy</t>
  </si>
  <si>
    <t xml:space="preserve">Anatomy of a Fall</t>
  </si>
  <si>
    <t xml:space="preserve">Justine Triet</t>
  </si>
  <si>
    <t xml:space="preserve">Nosferatu</t>
  </si>
  <si>
    <t xml:space="preserve">Duck Soup</t>
  </si>
  <si>
    <t xml:space="preserve">Leo McCarey</t>
  </si>
  <si>
    <t xml:space="preserve">Grand Illusion</t>
  </si>
  <si>
    <t xml:space="preserve">The Red Shoes</t>
  </si>
  <si>
    <t xml:space="preserve">Michael Powell, Emeric Pressburger</t>
  </si>
  <si>
    <t xml:space="preserve">Kind Hearts and Coronets</t>
  </si>
  <si>
    <t xml:space="preserve">Robert Hamer</t>
  </si>
  <si>
    <t xml:space="preserve">A Man Escaped</t>
  </si>
  <si>
    <t xml:space="preserve">Pickpocket</t>
  </si>
  <si>
    <t xml:space="preserve">Last Year at Marienbad</t>
  </si>
  <si>
    <t xml:space="preserve">Yojimbo</t>
  </si>
  <si>
    <t xml:space="preserve">The Leopard</t>
  </si>
  <si>
    <t xml:space="preserve">Luchino Visconti</t>
  </si>
  <si>
    <t xml:space="preserve">Contempt</t>
  </si>
  <si>
    <t xml:space="preserve">Black God, White Devil</t>
  </si>
  <si>
    <t xml:space="preserve">Glauber Rocha</t>
  </si>
  <si>
    <t xml:space="preserve">Woman in the Dunes</t>
  </si>
  <si>
    <t xml:space="preserve">Hiroshi Teshigahara</t>
  </si>
  <si>
    <t xml:space="preserve">A Fistful of Dollars</t>
  </si>
  <si>
    <t xml:space="preserve">Andrei Rublev</t>
  </si>
  <si>
    <t xml:space="preserve">Black Girl</t>
  </si>
  <si>
    <t xml:space="preserve">Ousmane Sembène</t>
  </si>
  <si>
    <t xml:space="preserve">Branded to Kill</t>
  </si>
  <si>
    <t xml:space="preserve">Seijun Suzuki</t>
  </si>
  <si>
    <t xml:space="preserve">Once Upon a Time in the West</t>
  </si>
  <si>
    <t xml:space="preserve">Night of the Living Dead</t>
  </si>
  <si>
    <t xml:space="preserve">George A. Romero</t>
  </si>
  <si>
    <t xml:space="preserve">Easy Rider</t>
  </si>
  <si>
    <t xml:space="preserve">Dennis Hopper</t>
  </si>
  <si>
    <t xml:space="preserve">The French Connection</t>
  </si>
  <si>
    <t xml:space="preserve">William Friedkin</t>
  </si>
  <si>
    <t xml:space="preserve">The Long Goodbye</t>
  </si>
  <si>
    <t xml:space="preserve">Badlands</t>
  </si>
  <si>
    <t xml:space="preserve">Dog Day Afternoon</t>
  </si>
  <si>
    <t xml:space="preserve">The Rocky Horror Picture Show</t>
  </si>
  <si>
    <t xml:space="preserve">Jim Sharman</t>
  </si>
  <si>
    <t xml:space="preserve">House</t>
  </si>
  <si>
    <t xml:space="preserve">Nobuhiko Obayashi</t>
  </si>
  <si>
    <t xml:space="preserve">Blow Out</t>
  </si>
  <si>
    <t xml:space="preserve">Brian De Palma</t>
  </si>
  <si>
    <t xml:space="preserve">sex, lies, and videotape</t>
  </si>
  <si>
    <t xml:space="preserve">Steven Soderbergh</t>
  </si>
  <si>
    <t xml:space="preserve">A City of Sadness</t>
  </si>
  <si>
    <t xml:space="preserve">Hou Hsiao-hsien</t>
  </si>
  <si>
    <t xml:space="preserve">Tetsuo: The Iron Man</t>
  </si>
  <si>
    <t xml:space="preserve">Shinya Tsukamoto</t>
  </si>
  <si>
    <t xml:space="preserve">The Silence of the Lambs</t>
  </si>
  <si>
    <t xml:space="preserve">Jonathan Demme</t>
  </si>
  <si>
    <t xml:space="preserve">Malcolm X</t>
  </si>
  <si>
    <t xml:space="preserve">Schindler's List</t>
  </si>
  <si>
    <t xml:space="preserve">Menace II Society</t>
  </si>
  <si>
    <t xml:space="preserve">Albert Hughes, Allen Hughes</t>
  </si>
  <si>
    <t xml:space="preserve">Hoop Dreams</t>
  </si>
  <si>
    <t xml:space="preserve">Steve James</t>
  </si>
  <si>
    <t xml:space="preserve">Boogie Nights</t>
  </si>
  <si>
    <t xml:space="preserve">Cure</t>
  </si>
  <si>
    <t xml:space="preserve">Kiyoshi Kurosawa</t>
  </si>
  <si>
    <t xml:space="preserve">Out of Sight</t>
  </si>
  <si>
    <t xml:space="preserve">Being John Malkovich</t>
  </si>
  <si>
    <t xml:space="preserve">Spike Jonze</t>
  </si>
  <si>
    <t xml:space="preserve">Magnolia</t>
  </si>
  <si>
    <t xml:space="preserve">Eternal Sunshine of the Spotless Mind</t>
  </si>
  <si>
    <t xml:space="preserve">Michel Gondry</t>
  </si>
  <si>
    <t xml:space="preserve">Primer</t>
  </si>
  <si>
    <t xml:space="preserve">Shane Carruth</t>
  </si>
  <si>
    <t xml:space="preserve">Collateral</t>
  </si>
  <si>
    <t xml:space="preserve">Caché</t>
  </si>
  <si>
    <t xml:space="preserve">Michael Haneke</t>
  </si>
  <si>
    <t xml:space="preserve">Uncle Boonmee Who Can Recall His Past Lives</t>
  </si>
  <si>
    <t xml:space="preserve">A Separation</t>
  </si>
  <si>
    <t xml:space="preserve">Asghar Farhadi</t>
  </si>
  <si>
    <t xml:space="preserve">Drive</t>
  </si>
  <si>
    <t xml:space="preserve">Nicolas Winding Refn</t>
  </si>
  <si>
    <t xml:space="preserve">Inside Llewyn Davis</t>
  </si>
  <si>
    <t xml:space="preserve">Before Midnight</t>
  </si>
  <si>
    <t xml:space="preserve">The Grand Budapest Hotel</t>
  </si>
  <si>
    <t xml:space="preserve">Boyhood</t>
  </si>
  <si>
    <t xml:space="preserve">Toni Erdmann</t>
  </si>
  <si>
    <t xml:space="preserve">Maren Ade</t>
  </si>
  <si>
    <t xml:space="preserve">The Great Train Robbery</t>
  </si>
  <si>
    <t xml:space="preserve">Edwin S. Porter</t>
  </si>
  <si>
    <t xml:space="preserve">The Birth of a Nation</t>
  </si>
  <si>
    <t xml:space="preserve">D.W. Griffith</t>
  </si>
  <si>
    <t xml:space="preserve">The General</t>
  </si>
  <si>
    <t xml:space="preserve">Buster Keaton, Clyde Bruckman</t>
  </si>
  <si>
    <t xml:space="preserve">The Crowd</t>
  </si>
  <si>
    <t xml:space="preserve">King Vidor</t>
  </si>
  <si>
    <t xml:space="preserve">The Philadelphia Story</t>
  </si>
  <si>
    <t xml:space="preserve">George Cukor</t>
  </si>
  <si>
    <t xml:space="preserve">The Third Man</t>
  </si>
  <si>
    <t xml:space="preserve">Carol Reed</t>
  </si>
  <si>
    <t xml:space="preserve">Harakiri</t>
  </si>
  <si>
    <t xml:space="preserve">Masaki Kobayashi</t>
  </si>
  <si>
    <t xml:space="preserve">Solaris</t>
  </si>
  <si>
    <t xml:space="preserve">Lady Snowblood</t>
  </si>
  <si>
    <t xml:space="preserve">Toshiya Fujita</t>
  </si>
  <si>
    <t xml:space="preserve">Black Christmas</t>
  </si>
  <si>
    <t xml:space="preserve">Bob Clark</t>
  </si>
  <si>
    <t xml:space="preserve">One Flew Over the Cuckoo's Nest</t>
  </si>
  <si>
    <t xml:space="preserve">Miloš Forman</t>
  </si>
  <si>
    <t xml:space="preserve">Body Heat</t>
  </si>
  <si>
    <t xml:space="preserve">Lawrence Kasdan</t>
  </si>
  <si>
    <t xml:space="preserve">Sans Soleil</t>
  </si>
  <si>
    <t xml:space="preserve">Daughters of the Dust</t>
  </si>
  <si>
    <t xml:space="preserve">Julie Dash</t>
  </si>
  <si>
    <t xml:space="preserve">Lincoln</t>
  </si>
  <si>
    <t xml:space="preserve">Her</t>
  </si>
  <si>
    <t xml:space="preserve">Oppenheimer</t>
  </si>
  <si>
    <t xml:space="preserve">Kramer vs. Kramer</t>
  </si>
  <si>
    <t xml:space="preserve">Robert Benton</t>
  </si>
  <si>
    <t xml:space="preserve">Thief</t>
  </si>
  <si>
    <t xml:space="preserve">Possession</t>
  </si>
  <si>
    <t xml:space="preserve">Andrzej Żuławski</t>
  </si>
  <si>
    <t xml:space="preserve">Intolerance</t>
  </si>
  <si>
    <t xml:space="preserve">The Public Enemy</t>
  </si>
  <si>
    <t xml:space="preserve">William A. Wellman</t>
  </si>
  <si>
    <t xml:space="preserve">Scarface</t>
  </si>
  <si>
    <t xml:space="preserve">King Kong</t>
  </si>
  <si>
    <t xml:space="preserve">Merian C. Cooper, Ernest B. Schoedsack</t>
  </si>
  <si>
    <t xml:space="preserve">The 39 Steps</t>
  </si>
  <si>
    <t xml:space="preserve">Meet Me in St. Louis</t>
  </si>
  <si>
    <t xml:space="preserve">Vincente Minnelli</t>
  </si>
  <si>
    <t xml:space="preserve">The Big Sleep</t>
  </si>
  <si>
    <t xml:space="preserve">The Lady from Shanghai</t>
  </si>
  <si>
    <t xml:space="preserve">A Streetcar Named Desire</t>
  </si>
  <si>
    <t xml:space="preserve">Ace in the Hole</t>
  </si>
  <si>
    <t xml:space="preserve">Sansho the Bailiff</t>
  </si>
  <si>
    <t xml:space="preserve">The Killing</t>
  </si>
  <si>
    <t xml:space="preserve">Bob le Flambeur</t>
  </si>
  <si>
    <t xml:space="preserve">Throne of Blood</t>
  </si>
  <si>
    <t xml:space="preserve">The Bridge on the River Kwai</t>
  </si>
  <si>
    <t xml:space="preserve">Peeping Tom</t>
  </si>
  <si>
    <t xml:space="preserve">Michael Powell</t>
  </si>
  <si>
    <t xml:space="preserve">La Notte</t>
  </si>
  <si>
    <t xml:space="preserve">Knife in the Water</t>
  </si>
  <si>
    <t xml:space="preserve">The Exterminating Angel</t>
  </si>
  <si>
    <t xml:space="preserve">Band of Outsiders</t>
  </si>
  <si>
    <t xml:space="preserve">Bullitt</t>
  </si>
  <si>
    <t xml:space="preserve">Peter Yates</t>
  </si>
  <si>
    <t xml:space="preserve">Midnight Cowboy</t>
  </si>
  <si>
    <t xml:space="preserve">John Schlesinger</t>
  </si>
  <si>
    <t xml:space="preserve">Army of Shadows</t>
  </si>
  <si>
    <t xml:space="preserve">The Conformist</t>
  </si>
  <si>
    <t xml:space="preserve">Bernardo Bertolucci</t>
  </si>
  <si>
    <t xml:space="preserve">Five Easy Pieces</t>
  </si>
  <si>
    <t xml:space="preserve">Bob Rafelson</t>
  </si>
  <si>
    <t xml:space="preserve">Wanda</t>
  </si>
  <si>
    <t xml:space="preserve">Barbara Loden</t>
  </si>
  <si>
    <t xml:space="preserve">A Clockwork Orange</t>
  </si>
  <si>
    <t xml:space="preserve">Vanishing Point</t>
  </si>
  <si>
    <t xml:space="preserve">Richard C. Sarafian</t>
  </si>
  <si>
    <t xml:space="preserve">Mean Streets</t>
  </si>
  <si>
    <t xml:space="preserve">Barry Lyndon</t>
  </si>
  <si>
    <t xml:space="preserve">Shivers</t>
  </si>
  <si>
    <t xml:space="preserve">Annie Hall</t>
  </si>
  <si>
    <t xml:space="preserve">Woody Allen</t>
  </si>
  <si>
    <t xml:space="preserve">The Deer Hunter</t>
  </si>
  <si>
    <t xml:space="preserve">Michael Cimino</t>
  </si>
  <si>
    <t xml:space="preserve">The Brood</t>
  </si>
  <si>
    <t xml:space="preserve">Being There</t>
  </si>
  <si>
    <t xml:space="preserve">E.T. the Extra-Terrestrial</t>
  </si>
  <si>
    <t xml:space="preserve">Grave of the Fireflies</t>
  </si>
  <si>
    <t xml:space="preserve">Isao Takahata</t>
  </si>
  <si>
    <t xml:space="preserve">Miller's Crossing</t>
  </si>
  <si>
    <t xml:space="preserve">A Brighter Summer Day</t>
  </si>
  <si>
    <t xml:space="preserve">Night on Earth</t>
  </si>
  <si>
    <t xml:space="preserve">Jim Jarmusch</t>
  </si>
  <si>
    <t xml:space="preserve">The Player</t>
  </si>
  <si>
    <t xml:space="preserve">Satantango</t>
  </si>
  <si>
    <t xml:space="preserve">Béla Tarr</t>
  </si>
  <si>
    <t xml:space="preserve">Fallen Angels</t>
  </si>
  <si>
    <t xml:space="preserve">Hard Eight</t>
  </si>
  <si>
    <t xml:space="preserve">Happy Together</t>
  </si>
  <si>
    <t xml:space="preserve">The Game</t>
  </si>
  <si>
    <t xml:space="preserve">Happiness</t>
  </si>
  <si>
    <t xml:space="preserve">Todd Solondz</t>
  </si>
  <si>
    <t xml:space="preserve">The Thin Red Line</t>
  </si>
  <si>
    <t xml:space="preserve">The Big Lebowski</t>
  </si>
  <si>
    <t xml:space="preserve">Rosetta</t>
  </si>
  <si>
    <t xml:space="preserve">Jean-Pierre Dardenne, Luc Dardenne</t>
  </si>
  <si>
    <t xml:space="preserve">Eyes Wide Shut</t>
  </si>
  <si>
    <t xml:space="preserve">Songs from the Second Floor</t>
  </si>
  <si>
    <t xml:space="preserve">Roy Andersson</t>
  </si>
  <si>
    <t xml:space="preserve">Ocean's Eleven</t>
  </si>
  <si>
    <t xml:space="preserve">Waking Life</t>
  </si>
  <si>
    <t xml:space="preserve">Tokyo Godfathers</t>
  </si>
  <si>
    <t xml:space="preserve">Satoshi Kon</t>
  </si>
  <si>
    <t xml:space="preserve">Coffee and Cigarettes</t>
  </si>
  <si>
    <t xml:space="preserve">Before Sunset</t>
  </si>
  <si>
    <t xml:space="preserve">The Host</t>
  </si>
  <si>
    <t xml:space="preserve">Certified Copy</t>
  </si>
  <si>
    <t xml:space="preserve">The Social Network</t>
  </si>
  <si>
    <t xml:space="preserve">The Master</t>
  </si>
  <si>
    <t xml:space="preserve">Force Majeure</t>
  </si>
  <si>
    <t xml:space="preserve">Ruben Östlund</t>
  </si>
  <si>
    <t xml:space="preserve">Inherent Vice</t>
  </si>
  <si>
    <t xml:space="preserve">Ex Machina</t>
  </si>
  <si>
    <t xml:space="preserve">Alex Garland</t>
  </si>
  <si>
    <t xml:space="preserve">Anomalisa</t>
  </si>
  <si>
    <t xml:space="preserve">Charlie Kaufman, Duke Johnson</t>
  </si>
  <si>
    <t xml:space="preserve">Phantom Thread</t>
  </si>
  <si>
    <t xml:space="preserve">Roma</t>
  </si>
  <si>
    <t xml:space="preserve">A Hidden Life</t>
  </si>
  <si>
    <t xml:space="preserve">Uncut Gems</t>
  </si>
  <si>
    <t xml:space="preserve">Josh Safdie, Benny Safdie</t>
  </si>
  <si>
    <t xml:space="preserve">Killers of the Flower Moon</t>
  </si>
  <si>
    <t xml:space="preserve">The Gold Rush</t>
  </si>
  <si>
    <t xml:space="preserve">Trouble in Paradise</t>
  </si>
  <si>
    <t xml:space="preserve">Rififi</t>
  </si>
  <si>
    <t xml:space="preserve">Jules Dassin</t>
  </si>
  <si>
    <t xml:space="preserve">Night and Fog</t>
  </si>
  <si>
    <t xml:space="preserve">The Housemaid</t>
  </si>
  <si>
    <t xml:space="preserve">Kim Ki-young</t>
  </si>
  <si>
    <t xml:space="preserve">Viridiana</t>
  </si>
  <si>
    <t xml:space="preserve">Kwaidan</t>
  </si>
  <si>
    <t xml:space="preserve">Alphaville</t>
  </si>
  <si>
    <t xml:space="preserve">The Good, the Bad and the Ugly</t>
  </si>
  <si>
    <t xml:space="preserve">Blow-Up</t>
  </si>
  <si>
    <t xml:space="preserve">The Great Silence</t>
  </si>
  <si>
    <t xml:space="preserve">Sergio Corbucci</t>
  </si>
  <si>
    <t xml:space="preserve">The Discreet Charm of the Bourgeoisie</t>
  </si>
  <si>
    <t xml:space="preserve">Pink Flamingos</t>
  </si>
  <si>
    <t xml:space="preserve">John Waters</t>
  </si>
  <si>
    <t xml:space="preserve">Battles Without Honor and Humanity</t>
  </si>
  <si>
    <t xml:space="preserve">Kinji Fukasaku</t>
  </si>
  <si>
    <t xml:space="preserve">F for Fake</t>
  </si>
  <si>
    <t xml:space="preserve">The Last Detail</t>
  </si>
  <si>
    <t xml:space="preserve">Deep Red</t>
  </si>
  <si>
    <t xml:space="preserve">Dario Argento</t>
  </si>
  <si>
    <t xml:space="preserve">Carrie</t>
  </si>
  <si>
    <t xml:space="preserve">Dressed to Kill</t>
  </si>
  <si>
    <t xml:space="preserve">Stranger Than Paradise</t>
  </si>
  <si>
    <t xml:space="preserve">The Fly</t>
  </si>
  <si>
    <t xml:space="preserve">Dead Poets Society</t>
  </si>
  <si>
    <t xml:space="preserve">Minority Report</t>
  </si>
  <si>
    <t xml:space="preserve">Oldboy</t>
  </si>
  <si>
    <t xml:space="preserve">Park Chan-wook</t>
  </si>
  <si>
    <t xml:space="preserve">Los Angeles Plays Itself</t>
  </si>
  <si>
    <t xml:space="preserve">Thom Andersen</t>
  </si>
  <si>
    <t xml:space="preserve">Persepolis</t>
  </si>
  <si>
    <t xml:space="preserve">Marjane Satrapi, Vincent Paronnaud</t>
  </si>
  <si>
    <t xml:space="preserve">Nebraska</t>
  </si>
  <si>
    <t xml:space="preserve">The Witch</t>
  </si>
  <si>
    <t xml:space="preserve">Robert Eggers</t>
  </si>
  <si>
    <t xml:space="preserve">Tangerine</t>
  </si>
  <si>
    <t xml:space="preserve">Sean Baker</t>
  </si>
  <si>
    <t xml:space="preserve">Hereditary</t>
  </si>
  <si>
    <t xml:space="preserve">Ari Aster</t>
  </si>
  <si>
    <t xml:space="preserve">Perfect Days</t>
  </si>
  <si>
    <t xml:space="preserve">RoboCop</t>
  </si>
  <si>
    <t xml:space="preserve">Paul Verhoeven</t>
  </si>
  <si>
    <t xml:space="preserve">The Life of Oharu</t>
  </si>
  <si>
    <t xml:space="preserve">Bigger Than Life</t>
  </si>
  <si>
    <t xml:space="preserve">An Autumn Afternoon</t>
  </si>
  <si>
    <t xml:space="preserve">Tokyo Drifter</t>
  </si>
  <si>
    <t xml:space="preserve">Soleil Ô</t>
  </si>
  <si>
    <t xml:space="preserve">Med Hondo</t>
  </si>
  <si>
    <t xml:space="preserve">The Heartbreak Kid</t>
  </si>
  <si>
    <t xml:space="preserve">Elaine May</t>
  </si>
  <si>
    <t xml:space="preserve">The Beyond</t>
  </si>
  <si>
    <t xml:space="preserve">Lucio Fulci</t>
  </si>
  <si>
    <t xml:space="preserve">Fitzcarraldo</t>
  </si>
  <si>
    <t xml:space="preserve">Fanny and Alexander</t>
  </si>
  <si>
    <t xml:space="preserve">Ratcatcher</t>
  </si>
  <si>
    <t xml:space="preserve">Lynne Ramsay</t>
  </si>
  <si>
    <t xml:space="preserve">Pulse</t>
  </si>
  <si>
    <t xml:space="preserve">The Act of Killing</t>
  </si>
  <si>
    <t xml:space="preserve">Joshua Oppenheimer</t>
  </si>
  <si>
    <t xml:space="preserve">Carol</t>
  </si>
  <si>
    <t xml:space="preserve">Todd Haynes</t>
  </si>
  <si>
    <t xml:space="preserve">A Trip to the Moon</t>
  </si>
  <si>
    <t xml:space="preserve">Georges Méliès</t>
  </si>
  <si>
    <t xml:space="preserve">Within Our Gates</t>
  </si>
  <si>
    <t xml:space="preserve">Oscar Micheaux</t>
  </si>
  <si>
    <t xml:space="preserve">Nanook of the North</t>
  </si>
  <si>
    <t xml:space="preserve">Robert J. Flaherty</t>
  </si>
  <si>
    <t xml:space="preserve">Greed</t>
  </si>
  <si>
    <t xml:space="preserve">Erich von Stroheim</t>
  </si>
  <si>
    <t xml:space="preserve">The Jazz Singer</t>
  </si>
  <si>
    <t xml:space="preserve">Alan Crosland</t>
  </si>
  <si>
    <t xml:space="preserve">All Quiet on the Western Front</t>
  </si>
  <si>
    <t xml:space="preserve">Lewis Milestone</t>
  </si>
  <si>
    <t xml:space="preserve">L'Atalante</t>
  </si>
  <si>
    <t xml:space="preserve">Jean Vigo</t>
  </si>
  <si>
    <t xml:space="preserve">A Night at the Opera</t>
  </si>
  <si>
    <t xml:space="preserve">Sam Wood</t>
  </si>
  <si>
    <t xml:space="preserve">Snow White and the Seven Dwarfs</t>
  </si>
  <si>
    <t xml:space="preserve">David Hand</t>
  </si>
  <si>
    <t xml:space="preserve">The Adventures of Robin Hood</t>
  </si>
  <si>
    <t xml:space="preserve">Michael Curtiz, William Keighley</t>
  </si>
  <si>
    <t xml:space="preserve">Rebecca</t>
  </si>
  <si>
    <t xml:space="preserve">A Matter of Life and Death</t>
  </si>
  <si>
    <t xml:space="preserve">Los Olvidados</t>
  </si>
  <si>
    <t xml:space="preserve">In a Lonely Place</t>
  </si>
  <si>
    <t xml:space="preserve">The Thing from Another World</t>
  </si>
  <si>
    <t xml:space="preserve">Christian Nyby</t>
  </si>
  <si>
    <t xml:space="preserve">I Vitelloni</t>
  </si>
  <si>
    <t xml:space="preserve">The Ladykillers</t>
  </si>
  <si>
    <t xml:space="preserve">Kiss Me Deadly</t>
  </si>
  <si>
    <t xml:space="preserve">Robert Aldrich</t>
  </si>
  <si>
    <t xml:space="preserve">Aparajito</t>
  </si>
  <si>
    <t xml:space="preserve">The Cranes Are Flying</t>
  </si>
  <si>
    <t xml:space="preserve">Mikhail Kalatozov</t>
  </si>
  <si>
    <t xml:space="preserve">Ashes and Diamonds</t>
  </si>
  <si>
    <t xml:space="preserve">Andrzej Wajda</t>
  </si>
  <si>
    <t xml:space="preserve">Big Deal on Madonna Street</t>
  </si>
  <si>
    <t xml:space="preserve">Mario Monicelli</t>
  </si>
  <si>
    <t xml:space="preserve">The World of Apu</t>
  </si>
  <si>
    <t xml:space="preserve">Floating Weeds</t>
  </si>
  <si>
    <t xml:space="preserve">When a Woman Ascends the Stairs</t>
  </si>
  <si>
    <t xml:space="preserve">Mikio Naruse</t>
  </si>
  <si>
    <t xml:space="preserve">Black Sunday</t>
  </si>
  <si>
    <t xml:space="preserve">Mario Bava</t>
  </si>
  <si>
    <t xml:space="preserve">Saturday Night and Sunday Morning</t>
  </si>
  <si>
    <t xml:space="preserve">Karel Reisz</t>
  </si>
  <si>
    <t xml:space="preserve">The Innocents</t>
  </si>
  <si>
    <t xml:space="preserve">Jack Clayton</t>
  </si>
  <si>
    <t xml:space="preserve">West Side Story</t>
  </si>
  <si>
    <t xml:space="preserve">Robert Wise, Jerome Robbins</t>
  </si>
  <si>
    <t xml:space="preserve">Ivan's Childhood</t>
  </si>
  <si>
    <t xml:space="preserve">Charulata</t>
  </si>
  <si>
    <t xml:space="preserve">The Round-Up</t>
  </si>
  <si>
    <t xml:space="preserve">Miklós Jancsó</t>
  </si>
  <si>
    <t xml:space="preserve">The Battle of Algiers</t>
  </si>
  <si>
    <t xml:space="preserve">Gillo Pontecorvo</t>
  </si>
  <si>
    <t xml:space="preserve">Point Blank</t>
  </si>
  <si>
    <t xml:space="preserve">John Boorman</t>
  </si>
  <si>
    <t xml:space="preserve">The Young Girls of Rochefort</t>
  </si>
  <si>
    <t xml:space="preserve">Jacques Demy</t>
  </si>
  <si>
    <t xml:space="preserve">Memories of Underdevelopment</t>
  </si>
  <si>
    <t xml:space="preserve">Tomás Gutiérrez Alea</t>
  </si>
  <si>
    <t xml:space="preserve">The Cremator</t>
  </si>
  <si>
    <t xml:space="preserve">Juraj Herz</t>
  </si>
  <si>
    <t xml:space="preserve">The Wild Bunch</t>
  </si>
  <si>
    <t xml:space="preserve">Sam Peckinpah</t>
  </si>
  <si>
    <t xml:space="preserve">The Bird with the Crystal Plumage</t>
  </si>
  <si>
    <t xml:space="preserve">Deep End</t>
  </si>
  <si>
    <t xml:space="preserve">Jerzy Skolimowski</t>
  </si>
  <si>
    <t xml:space="preserve">Walkabout</t>
  </si>
  <si>
    <t xml:space="preserve">The Andromeda Strain</t>
  </si>
  <si>
    <t xml:space="preserve">Robert Wise</t>
  </si>
  <si>
    <t xml:space="preserve">Cabaret</t>
  </si>
  <si>
    <t xml:space="preserve">Bob Fosse</t>
  </si>
  <si>
    <t xml:space="preserve">The Spirit of the Beehive</t>
  </si>
  <si>
    <t xml:space="preserve">Víctor Erice</t>
  </si>
  <si>
    <t xml:space="preserve">The Exorcist</t>
  </si>
  <si>
    <t xml:space="preserve">Serpico</t>
  </si>
  <si>
    <t xml:space="preserve">The Sting</t>
  </si>
  <si>
    <t xml:space="preserve">George Roy Hill</t>
  </si>
  <si>
    <t xml:space="preserve">The Holy Mountain</t>
  </si>
  <si>
    <t xml:space="preserve">Scenes from a Marriage</t>
  </si>
  <si>
    <t xml:space="preserve">A Woman Under the Influence</t>
  </si>
  <si>
    <t xml:space="preserve">John Cassavetes</t>
  </si>
  <si>
    <t xml:space="preserve">Manila in the Claws of Light</t>
  </si>
  <si>
    <t xml:space="preserve">Lino Brocka</t>
  </si>
  <si>
    <t xml:space="preserve">Harlan County U.S.A.</t>
  </si>
  <si>
    <t xml:space="preserve">Barbara Kopple</t>
  </si>
  <si>
    <t xml:space="preserve">Close Encounters of the Third Kind</t>
  </si>
  <si>
    <t xml:space="preserve">The Marriage of Maria Braun</t>
  </si>
  <si>
    <t xml:space="preserve">Mon Oncle d'Amérique</t>
  </si>
  <si>
    <t xml:space="preserve">Das Boot</t>
  </si>
  <si>
    <t xml:space="preserve">Wolfgang Petersen</t>
  </si>
  <si>
    <t xml:space="preserve">Scanners</t>
  </si>
  <si>
    <t xml:space="preserve">My Dinner with Andre</t>
  </si>
  <si>
    <t xml:space="preserve">Louis Malle</t>
  </si>
  <si>
    <t xml:space="preserve">Body Double</t>
  </si>
  <si>
    <t xml:space="preserve">Platoon</t>
  </si>
  <si>
    <t xml:space="preserve">Oliver Stone</t>
  </si>
  <si>
    <t xml:space="preserve">Broadcast News</t>
  </si>
  <si>
    <t xml:space="preserve">James L. Brooks</t>
  </si>
  <si>
    <t xml:space="preserve">Akira</t>
  </si>
  <si>
    <t xml:space="preserve">Katsuhiro Otomo</t>
  </si>
  <si>
    <t xml:space="preserve">When Harry Met Sally...</t>
  </si>
  <si>
    <t xml:space="preserve">Rob Reiner</t>
  </si>
  <si>
    <t xml:space="preserve">Mystery Train</t>
  </si>
  <si>
    <t xml:space="preserve">Paris Is Burning</t>
  </si>
  <si>
    <t xml:space="preserve">Jennie Livingston</t>
  </si>
  <si>
    <t xml:space="preserve">My Own Private Idaho</t>
  </si>
  <si>
    <t xml:space="preserve">Gus Van Sant</t>
  </si>
  <si>
    <t xml:space="preserve">Unforgiven</t>
  </si>
  <si>
    <t xml:space="preserve">Clint Eastwood</t>
  </si>
  <si>
    <t xml:space="preserve">Sonatine</t>
  </si>
  <si>
    <t xml:space="preserve">Takeshi Kitano</t>
  </si>
  <si>
    <t xml:space="preserve">The Piano</t>
  </si>
  <si>
    <t xml:space="preserve">Jane Campion</t>
  </si>
  <si>
    <t xml:space="preserve">In the Mouth of Madness</t>
  </si>
  <si>
    <t xml:space="preserve">Vanya on 42nd Street</t>
  </si>
  <si>
    <t xml:space="preserve">Ghost in the Shell</t>
  </si>
  <si>
    <t xml:space="preserve">Mamoru Oshii</t>
  </si>
  <si>
    <t xml:space="preserve">Dead Man</t>
  </si>
  <si>
    <t xml:space="preserve">Se7en</t>
  </si>
  <si>
    <t xml:space="preserve">Eve's Bayou</t>
  </si>
  <si>
    <t xml:space="preserve">Kasi Lemmons</t>
  </si>
  <si>
    <t xml:space="preserve">The Celebration</t>
  </si>
  <si>
    <t xml:space="preserve">Thomas Vinterberg</t>
  </si>
  <si>
    <t xml:space="preserve">Ring</t>
  </si>
  <si>
    <t xml:space="preserve">Hideo Nakata</t>
  </si>
  <si>
    <t xml:space="preserve">Saving Private Ryan</t>
  </si>
  <si>
    <t xml:space="preserve">The Matrix</t>
  </si>
  <si>
    <t xml:space="preserve">Lana Wachowski, Lilly Wachowski</t>
  </si>
  <si>
    <t xml:space="preserve">Fight Club</t>
  </si>
  <si>
    <t xml:space="preserve">Traffic</t>
  </si>
  <si>
    <t xml:space="preserve">Y Tu Mamá También</t>
  </si>
  <si>
    <t xml:space="preserve">Punch-Drunk Love</t>
  </si>
  <si>
    <t xml:space="preserve">Touching the Void</t>
  </si>
  <si>
    <t xml:space="preserve">Kevin Macdonald</t>
  </si>
  <si>
    <t xml:space="preserve">Anchorman: The Legend of Ron Burgundy</t>
  </si>
  <si>
    <t xml:space="preserve">Adam McKay</t>
  </si>
  <si>
    <t xml:space="preserve">Grizzly Man</t>
  </si>
  <si>
    <t xml:space="preserve">Still Life</t>
  </si>
  <si>
    <t xml:space="preserve">Jia Zhangke</t>
  </si>
  <si>
    <t xml:space="preserve">The Chaser</t>
  </si>
  <si>
    <t xml:space="preserve">Na Hong-jin</t>
  </si>
  <si>
    <t xml:space="preserve">Waltz with Bashir</t>
  </si>
  <si>
    <t xml:space="preserve">Ari Folman</t>
  </si>
  <si>
    <t xml:space="preserve">The Hurt Locker</t>
  </si>
  <si>
    <t xml:space="preserve">Kathryn Bigelow</t>
  </si>
  <si>
    <t xml:space="preserve">Wendy and Lucy</t>
  </si>
  <si>
    <t xml:space="preserve">Kelly Reichardt</t>
  </si>
  <si>
    <t xml:space="preserve">The White Ribbon</t>
  </si>
  <si>
    <t xml:space="preserve">Frances Ha</t>
  </si>
  <si>
    <t xml:space="preserve">Noah Baumbach</t>
  </si>
  <si>
    <t xml:space="preserve">Mad Max: Fury Road</t>
  </si>
  <si>
    <t xml:space="preserve">George Miller</t>
  </si>
  <si>
    <t xml:space="preserve">The Lobster</t>
  </si>
  <si>
    <t xml:space="preserve">Yorgos Lanthimos</t>
  </si>
  <si>
    <t xml:space="preserve">Raw</t>
  </si>
  <si>
    <t xml:space="preserve">Julia Ducournau</t>
  </si>
  <si>
    <t xml:space="preserve">Train to Busan</t>
  </si>
  <si>
    <t xml:space="preserve">Yeon Sang-ho</t>
  </si>
  <si>
    <t xml:space="preserve">First Cow</t>
  </si>
  <si>
    <t xml:space="preserve">Drive My Car</t>
  </si>
  <si>
    <t xml:space="preserve">Ryusuke Hamaguchi</t>
  </si>
  <si>
    <t xml:space="preserve">The Holdovers</t>
  </si>
  <si>
    <t xml:space="preserve">I Walked with a Zombie</t>
  </si>
  <si>
    <t xml:space="preserve">Jacques Tourneur</t>
  </si>
  <si>
    <t xml:space="preserve">The Haunting</t>
  </si>
  <si>
    <t xml:space="preserve">Witchfinder General</t>
  </si>
  <si>
    <t xml:space="preserve">Michael Reeves</t>
  </si>
  <si>
    <t xml:space="preserve">Escape from Alcatraz</t>
  </si>
  <si>
    <t xml:space="preserve">This Is Spinal Tap</t>
  </si>
  <si>
    <t xml:space="preserve">The Hunt for Red October</t>
  </si>
  <si>
    <t xml:space="preserve">Terminator 2: Judgment Day</t>
  </si>
  <si>
    <t xml:space="preserve">James Cameron</t>
  </si>
  <si>
    <t xml:space="preserve">Gattaca</t>
  </si>
  <si>
    <t xml:space="preserve">Andrew Niccol</t>
  </si>
  <si>
    <t xml:space="preserve">Shadows</t>
  </si>
  <si>
    <t xml:space="preserve">Histoire(s) du cinéma</t>
  </si>
  <si>
    <t xml:space="preserve">The Kid</t>
  </si>
  <si>
    <t xml:space="preserve">Dr. Mabuse, the Gambler</t>
  </si>
  <si>
    <t xml:space="preserve">The Big Parade</t>
  </si>
  <si>
    <t xml:space="preserve">Strike</t>
  </si>
  <si>
    <t xml:space="preserve">Faust</t>
  </si>
  <si>
    <t xml:space="preserve">Spies</t>
  </si>
  <si>
    <t xml:space="preserve">October (Ten Days that Shook the World)</t>
  </si>
  <si>
    <t xml:space="preserve">Sergei Eisenstein, Grigori Aleksandrov</t>
  </si>
  <si>
    <t xml:space="preserve">L'Âge d'or</t>
  </si>
  <si>
    <t xml:space="preserve">Freaks</t>
  </si>
  <si>
    <t xml:space="preserve">Tod Browning</t>
  </si>
  <si>
    <t xml:space="preserve">I Am a Fugitive from a Chain Gang</t>
  </si>
  <si>
    <t xml:space="preserve">Mervyn LeRoy</t>
  </si>
  <si>
    <t xml:space="preserve">Twentieth Century</t>
  </si>
  <si>
    <t xml:space="preserve">Swing Time</t>
  </si>
  <si>
    <t xml:space="preserve">George Stevens</t>
  </si>
  <si>
    <t xml:space="preserve">Modern Times</t>
  </si>
  <si>
    <t xml:space="preserve">Gone with the Wind</t>
  </si>
  <si>
    <t xml:space="preserve">The Bank Dick</t>
  </si>
  <si>
    <t xml:space="preserve">Edward F. Cline</t>
  </si>
  <si>
    <t xml:space="preserve">Meet John Doe</t>
  </si>
  <si>
    <t xml:space="preserve">The Magnificent Ambersons</t>
  </si>
  <si>
    <t xml:space="preserve">The Palm Beach Story</t>
  </si>
  <si>
    <t xml:space="preserve">To Be or Not to Be</t>
  </si>
  <si>
    <t xml:space="preserve">The Miracle of Morgan's Creek</t>
  </si>
  <si>
    <t xml:space="preserve">Dead of Night</t>
  </si>
  <si>
    <t xml:space="preserve">Alberto Cavalcanti, Charles Crichton, Basil Dearden, Robert Hamer</t>
  </si>
  <si>
    <t xml:space="preserve">My Darling Clementine</t>
  </si>
  <si>
    <t xml:space="preserve">Notorious</t>
  </si>
  <si>
    <t xml:space="preserve">Great Expectations</t>
  </si>
  <si>
    <t xml:space="preserve">Germany, Year Zero</t>
  </si>
  <si>
    <t xml:space="preserve">La Terra Trema</t>
  </si>
  <si>
    <t xml:space="preserve">Red River</t>
  </si>
  <si>
    <t xml:space="preserve">Fort Apache</t>
  </si>
  <si>
    <t xml:space="preserve">On the Town</t>
  </si>
  <si>
    <t xml:space="preserve">All About Eve</t>
  </si>
  <si>
    <t xml:space="preserve">Joseph L. Mankiewicz</t>
  </si>
  <si>
    <t xml:space="preserve">Early Summer</t>
  </si>
  <si>
    <t xml:space="preserve">The Lavender Hill Mob</t>
  </si>
  <si>
    <t xml:space="preserve">Charles Crichton</t>
  </si>
  <si>
    <t xml:space="preserve">The Man in the White Suit</t>
  </si>
  <si>
    <t xml:space="preserve">The African Queen</t>
  </si>
  <si>
    <t xml:space="preserve">Pickup on South Street</t>
  </si>
  <si>
    <t xml:space="preserve">Samuel Fuller</t>
  </si>
  <si>
    <t xml:space="preserve">Shane</t>
  </si>
  <si>
    <t xml:space="preserve">Roman Holiday</t>
  </si>
  <si>
    <t xml:space="preserve">Johnny Guitar</t>
  </si>
  <si>
    <t xml:space="preserve">Executive Suite</t>
  </si>
  <si>
    <t xml:space="preserve">Floating Clouds</t>
  </si>
  <si>
    <t xml:space="preserve">Nights of Cabiria</t>
  </si>
  <si>
    <t xml:space="preserve">Witness for the Prosecution</t>
  </si>
  <si>
    <t xml:space="preserve">The Music Room</t>
  </si>
  <si>
    <t xml:space="preserve">The Hidden Fortress</t>
  </si>
  <si>
    <t xml:space="preserve">Anatomy of a Murder</t>
  </si>
  <si>
    <t xml:space="preserve">Otto Preminger</t>
  </si>
  <si>
    <t xml:space="preserve">Le Trou</t>
  </si>
  <si>
    <t xml:space="preserve">Jacques Becker</t>
  </si>
  <si>
    <t xml:space="preserve">Spartacus</t>
  </si>
  <si>
    <t xml:space="preserve">The Bad Sleep Well</t>
  </si>
  <si>
    <t xml:space="preserve">Paris Belongs to Us</t>
  </si>
  <si>
    <t xml:space="preserve">Jacques Rivette</t>
  </si>
  <si>
    <t xml:space="preserve">L'Eclisse</t>
  </si>
  <si>
    <t xml:space="preserve">Il Sorpasso</t>
  </si>
  <si>
    <t xml:space="preserve">Dino Risi</t>
  </si>
  <si>
    <t xml:space="preserve">Jules and Jim</t>
  </si>
  <si>
    <t xml:space="preserve">Vivre Sa Vie</t>
  </si>
  <si>
    <t xml:space="preserve">The Man Who Shot Liberty Valance</t>
  </si>
  <si>
    <t xml:space="preserve">The Manchurian Candidate</t>
  </si>
  <si>
    <t xml:space="preserve">John Frankenheimer</t>
  </si>
  <si>
    <t xml:space="preserve">High and Low</t>
  </si>
  <si>
    <t xml:space="preserve">Black Sabbath</t>
  </si>
  <si>
    <t xml:space="preserve">Charade</t>
  </si>
  <si>
    <t xml:space="preserve">Stanley Donen</t>
  </si>
  <si>
    <t xml:space="preserve">The Great Escape</t>
  </si>
  <si>
    <t xml:space="preserve">John Sturges</t>
  </si>
  <si>
    <t xml:space="preserve">I Am Cuba</t>
  </si>
  <si>
    <t xml:space="preserve">The Gospel According to St. Matthew</t>
  </si>
  <si>
    <t xml:space="preserve">Pier Paolo Pasolini</t>
  </si>
  <si>
    <t xml:space="preserve">Red Desert</t>
  </si>
  <si>
    <t xml:space="preserve">Blood and Black Lace</t>
  </si>
  <si>
    <t xml:space="preserve">A Hard Day's Night</t>
  </si>
  <si>
    <t xml:space="preserve">Richard Lester</t>
  </si>
  <si>
    <t xml:space="preserve">Diamonds of the Night</t>
  </si>
  <si>
    <t xml:space="preserve">Jan Němec</t>
  </si>
  <si>
    <t xml:space="preserve">The Umbrellas of Cherbourg</t>
  </si>
  <si>
    <t xml:space="preserve">Fail Safe</t>
  </si>
  <si>
    <t xml:space="preserve">For a Few Dollars More</t>
  </si>
  <si>
    <t xml:space="preserve">Pierrot le Fou</t>
  </si>
  <si>
    <t xml:space="preserve">Le Bonheur</t>
  </si>
  <si>
    <t xml:space="preserve">Repulsion</t>
  </si>
  <si>
    <t xml:space="preserve">The Sound of Music</t>
  </si>
  <si>
    <t xml:space="preserve">Django</t>
  </si>
  <si>
    <t xml:space="preserve">Marketa Lazarová</t>
  </si>
  <si>
    <t xml:space="preserve">František Vláčil</t>
  </si>
  <si>
    <t xml:space="preserve">Titicut Follies</t>
  </si>
  <si>
    <t xml:space="preserve">Frederick Wiseman</t>
  </si>
  <si>
    <t xml:space="preserve">Mouchette</t>
  </si>
  <si>
    <t xml:space="preserve">Death by Hanging</t>
  </si>
  <si>
    <t xml:space="preserve">Nagisa Ōshima</t>
  </si>
  <si>
    <t xml:space="preserve">if....</t>
  </si>
  <si>
    <t xml:space="preserve">Lindsay Anderson</t>
  </si>
  <si>
    <t xml:space="preserve">Lucía</t>
  </si>
  <si>
    <t xml:space="preserve">Humberto Solás</t>
  </si>
  <si>
    <t xml:space="preserve">Kuroneko</t>
  </si>
  <si>
    <t xml:space="preserve">Stolen Kisses</t>
  </si>
  <si>
    <t xml:space="preserve">Faces</t>
  </si>
  <si>
    <t xml:space="preserve">Funeral Parade of Roses</t>
  </si>
  <si>
    <t xml:space="preserve">Toshio Matsumoto</t>
  </si>
  <si>
    <t xml:space="preserve">Butch Cassidy and the Sundance Kid</t>
  </si>
  <si>
    <t xml:space="preserve">Bronco Bullfrog</t>
  </si>
  <si>
    <t xml:space="preserve">Barney Platts-Mills</t>
  </si>
  <si>
    <t xml:space="preserve">Days and Nights in the Forest</t>
  </si>
  <si>
    <t xml:space="preserve">Catch-22</t>
  </si>
  <si>
    <t xml:space="preserve">Claire's Knee</t>
  </si>
  <si>
    <t xml:space="preserve">Duck, You Sucker</t>
  </si>
  <si>
    <t xml:space="preserve">The Merchant of Four Seasons</t>
  </si>
  <si>
    <t xml:space="preserve">Dirty Harry</t>
  </si>
  <si>
    <t xml:space="preserve">Duel</t>
  </si>
  <si>
    <t xml:space="preserve">The Bitter Tears of Petra von Kant</t>
  </si>
  <si>
    <t xml:space="preserve">Cries and Whispers</t>
  </si>
  <si>
    <t xml:space="preserve">The Harder They Come</t>
  </si>
  <si>
    <t xml:space="preserve">Perry Henzell</t>
  </si>
  <si>
    <t xml:space="preserve">Amarcord</t>
  </si>
  <si>
    <t xml:space="preserve">Day for Night</t>
  </si>
  <si>
    <t xml:space="preserve">Coffy</t>
  </si>
  <si>
    <t xml:space="preserve">Jack Hill</t>
  </si>
  <si>
    <t xml:space="preserve">Alice in the Cities</t>
  </si>
  <si>
    <t xml:space="preserve">The Enigma of Kaspar Hauser</t>
  </si>
  <si>
    <t xml:space="preserve">The Taking of Pelham One Two Three</t>
  </si>
  <si>
    <t xml:space="preserve">Joseph Sargent</t>
  </si>
  <si>
    <t xml:space="preserve">The Sugarland Express</t>
  </si>
  <si>
    <t xml:space="preserve">Graveyard of Honor</t>
  </si>
  <si>
    <t xml:space="preserve">Switchblade Sisters</t>
  </si>
  <si>
    <t xml:space="preserve">Insiang</t>
  </si>
  <si>
    <t xml:space="preserve">News from Home</t>
  </si>
  <si>
    <t xml:space="preserve">Rocky</t>
  </si>
  <si>
    <t xml:space="preserve">John G. Avildsen</t>
  </si>
  <si>
    <t xml:space="preserve">The Ascent</t>
  </si>
  <si>
    <t xml:space="preserve">Larisa Shepitko</t>
  </si>
  <si>
    <t xml:space="preserve">Rabid</t>
  </si>
  <si>
    <t xml:space="preserve">Opening Night</t>
  </si>
  <si>
    <t xml:space="preserve">Five Deadly Venoms</t>
  </si>
  <si>
    <t xml:space="preserve">Chang Cheh</t>
  </si>
  <si>
    <t xml:space="preserve">Coming Home</t>
  </si>
  <si>
    <t xml:space="preserve">Camera Buff</t>
  </si>
  <si>
    <t xml:space="preserve">Krzysztof Kieślowski</t>
  </si>
  <si>
    <t xml:space="preserve">Life of Brian</t>
  </si>
  <si>
    <t xml:space="preserve">Terry Jones</t>
  </si>
  <si>
    <t xml:space="preserve">Breaking Away</t>
  </si>
  <si>
    <t xml:space="preserve">Zombie Flesh Eaters</t>
  </si>
  <si>
    <t xml:space="preserve">Heaven's Gate</t>
  </si>
  <si>
    <t xml:space="preserve">Inferno</t>
  </si>
  <si>
    <t xml:space="preserve">Breaker Morant</t>
  </si>
  <si>
    <t xml:space="preserve">Bruce Beresford</t>
  </si>
  <si>
    <t xml:space="preserve">Cannibal Holocaust</t>
  </si>
  <si>
    <t xml:space="preserve">Ruggero Deodato</t>
  </si>
  <si>
    <t xml:space="preserve">The Changeling</t>
  </si>
  <si>
    <t xml:space="preserve">Peter Medak</t>
  </si>
  <si>
    <t xml:space="preserve">Gallipoli</t>
  </si>
  <si>
    <t xml:space="preserve">Prince of the City</t>
  </si>
  <si>
    <t xml:space="preserve">Tootsie</t>
  </si>
  <si>
    <t xml:space="preserve">Sydney Pollack</t>
  </si>
  <si>
    <t xml:space="preserve">Tenebrae</t>
  </si>
  <si>
    <t xml:space="preserve">The Verdict</t>
  </si>
  <si>
    <t xml:space="preserve">Trading Places</t>
  </si>
  <si>
    <t xml:space="preserve">John Landis</t>
  </si>
  <si>
    <t xml:space="preserve">Local Hero</t>
  </si>
  <si>
    <t xml:space="preserve">Bill Forsyth</t>
  </si>
  <si>
    <t xml:space="preserve">Threads</t>
  </si>
  <si>
    <t xml:space="preserve">Mick Jackson</t>
  </si>
  <si>
    <t xml:space="preserve">Repo Man</t>
  </si>
  <si>
    <t xml:space="preserve">Alex Cox</t>
  </si>
  <si>
    <t xml:space="preserve">Back to the Future</t>
  </si>
  <si>
    <t xml:space="preserve">Robert Zemeckis</t>
  </si>
  <si>
    <t xml:space="preserve">Ran</t>
  </si>
  <si>
    <t xml:space="preserve">Taipei Story</t>
  </si>
  <si>
    <t xml:space="preserve">Re-Animator</t>
  </si>
  <si>
    <t xml:space="preserve">Stuart Gordon</t>
  </si>
  <si>
    <t xml:space="preserve">She's Gotta Have It</t>
  </si>
  <si>
    <t xml:space="preserve">Manhunter</t>
  </si>
  <si>
    <t xml:space="preserve">The Green Ray</t>
  </si>
  <si>
    <t xml:space="preserve">When the Wind Blows</t>
  </si>
  <si>
    <t xml:space="preserve">Jimmy T. Murakami</t>
  </si>
  <si>
    <t xml:space="preserve">The Sacrifice</t>
  </si>
  <si>
    <t xml:space="preserve">Wings of Desire</t>
  </si>
  <si>
    <t xml:space="preserve">Where Is the Friend's House?</t>
  </si>
  <si>
    <t xml:space="preserve">Prince of Darkness</t>
  </si>
  <si>
    <t xml:space="preserve">Full Metal Jacket</t>
  </si>
  <si>
    <t xml:space="preserve">The Princess Bride</t>
  </si>
  <si>
    <t xml:space="preserve">Women on the Verge of a Nervous Breakdown</t>
  </si>
  <si>
    <t xml:space="preserve">Pedro Almodóvar</t>
  </si>
  <si>
    <t xml:space="preserve">They Live</t>
  </si>
  <si>
    <t xml:space="preserve">The Thin Blue Line</t>
  </si>
  <si>
    <t xml:space="preserve">Errol Morris</t>
  </si>
  <si>
    <t xml:space="preserve">The Last Temptation of Christ</t>
  </si>
  <si>
    <t xml:space="preserve">The Seventh Continent</t>
  </si>
  <si>
    <t xml:space="preserve">Society</t>
  </si>
  <si>
    <t xml:space="preserve">Brian Yuzna</t>
  </si>
  <si>
    <t xml:space="preserve">Casualties of War</t>
  </si>
  <si>
    <t xml:space="preserve">Roger &amp; Me</t>
  </si>
  <si>
    <t xml:space="preserve">Michael Moore</t>
  </si>
  <si>
    <t xml:space="preserve">Kiki's Delivery Service</t>
  </si>
  <si>
    <t xml:space="preserve">Days of Being Wild</t>
  </si>
  <si>
    <t xml:space="preserve">Wild at Heart</t>
  </si>
  <si>
    <t xml:space="preserve">JFK</t>
  </si>
  <si>
    <t xml:space="preserve">Life, and Nothing More…</t>
  </si>
  <si>
    <t xml:space="preserve">The Age of Innocence</t>
  </si>
  <si>
    <t xml:space="preserve">Clerks</t>
  </si>
  <si>
    <t xml:space="preserve">Kevin Smith</t>
  </si>
  <si>
    <t xml:space="preserve">Ashes of Time</t>
  </si>
  <si>
    <t xml:space="preserve">Through the Olive Trees</t>
  </si>
  <si>
    <t xml:space="preserve">Once Were Warriors</t>
  </si>
  <si>
    <t xml:space="preserve">Lee Tamahori</t>
  </si>
  <si>
    <t xml:space="preserve">Ed Wood</t>
  </si>
  <si>
    <t xml:space="preserve">Tim Burton</t>
  </si>
  <si>
    <t xml:space="preserve">Casino</t>
  </si>
  <si>
    <t xml:space="preserve">Clockers</t>
  </si>
  <si>
    <t xml:space="preserve">Apollo 13</t>
  </si>
  <si>
    <t xml:space="preserve">Ron Howard</t>
  </si>
  <si>
    <t xml:space="preserve">Hana-bi</t>
  </si>
  <si>
    <t xml:space="preserve">Funny Games</t>
  </si>
  <si>
    <t xml:space="preserve">Event Horizon</t>
  </si>
  <si>
    <t xml:space="preserve">Paul W.S. Anderson</t>
  </si>
  <si>
    <t xml:space="preserve">Contact</t>
  </si>
  <si>
    <t xml:space="preserve">Jackie Brown</t>
  </si>
  <si>
    <t xml:space="preserve">Good Will Hunting</t>
  </si>
  <si>
    <t xml:space="preserve">Titanic</t>
  </si>
  <si>
    <t xml:space="preserve">Following</t>
  </si>
  <si>
    <t xml:space="preserve">The Wind Will Carry Us</t>
  </si>
  <si>
    <t xml:space="preserve">Audition</t>
  </si>
  <si>
    <t xml:space="preserve">Takashi Miike</t>
  </si>
  <si>
    <t xml:space="preserve">The Straight Story</t>
  </si>
  <si>
    <t xml:space="preserve">Ghost Dog: The Way of the Samurai</t>
  </si>
  <si>
    <t xml:space="preserve">The Insider</t>
  </si>
  <si>
    <t xml:space="preserve">The Sixth Sense</t>
  </si>
  <si>
    <t xml:space="preserve">M. Night Shyamalan</t>
  </si>
  <si>
    <t xml:space="preserve">Werckmeister Harmonies</t>
  </si>
  <si>
    <t xml:space="preserve">Dancer in the Dark</t>
  </si>
  <si>
    <t xml:space="preserve">Lars von Trier</t>
  </si>
  <si>
    <t xml:space="preserve">Amores Perros</t>
  </si>
  <si>
    <t xml:space="preserve">Alejandro González Iñárritu</t>
  </si>
  <si>
    <t xml:space="preserve">Nine Queens</t>
  </si>
  <si>
    <t xml:space="preserve">Fabián Bielinsky</t>
  </si>
  <si>
    <t xml:space="preserve">Platform</t>
  </si>
  <si>
    <t xml:space="preserve">Joint Security Area</t>
  </si>
  <si>
    <t xml:space="preserve">Code Unknown</t>
  </si>
  <si>
    <t xml:space="preserve">The Piano Teacher</t>
  </si>
  <si>
    <t xml:space="preserve">The Others</t>
  </si>
  <si>
    <t xml:space="preserve">Alejandro Amenábar</t>
  </si>
  <si>
    <t xml:space="preserve">The Devil's Backbone</t>
  </si>
  <si>
    <t xml:space="preserve">Guillermo del Toro</t>
  </si>
  <si>
    <t xml:space="preserve">The Man Who Wasn't There</t>
  </si>
  <si>
    <t xml:space="preserve">Tape</t>
  </si>
  <si>
    <t xml:space="preserve">Donnie Darko</t>
  </si>
  <si>
    <t xml:space="preserve">Richard Kelly</t>
  </si>
  <si>
    <t xml:space="preserve">Amélie</t>
  </si>
  <si>
    <t xml:space="preserve">Jean-Pierre Jeunet</t>
  </si>
  <si>
    <t xml:space="preserve">The Man Without a Past</t>
  </si>
  <si>
    <t xml:space="preserve">Aki Kaurismäki</t>
  </si>
  <si>
    <t xml:space="preserve">Infernal Affairs</t>
  </si>
  <si>
    <t xml:space="preserve">Andrew Lau, Alan Mak</t>
  </si>
  <si>
    <t xml:space="preserve">Sympathy for Mr. Vengeance</t>
  </si>
  <si>
    <t xml:space="preserve">Blissfully Yours</t>
  </si>
  <si>
    <t xml:space="preserve">28 Days Later</t>
  </si>
  <si>
    <t xml:space="preserve">Danny Boyle</t>
  </si>
  <si>
    <t xml:space="preserve">Far from Heaven</t>
  </si>
  <si>
    <t xml:space="preserve">Adaptation.</t>
  </si>
  <si>
    <t xml:space="preserve">Goodbye, Dragon Inn</t>
  </si>
  <si>
    <t xml:space="preserve">Tsai Ming-liang</t>
  </si>
  <si>
    <t xml:space="preserve">School of Rock</t>
  </si>
  <si>
    <t xml:space="preserve">Lady Vengeance</t>
  </si>
  <si>
    <t xml:space="preserve">Brokeback Mountain</t>
  </si>
  <si>
    <t xml:space="preserve">Ang Lee</t>
  </si>
  <si>
    <t xml:space="preserve">Munich</t>
  </si>
  <si>
    <t xml:space="preserve">Paprika</t>
  </si>
  <si>
    <t xml:space="preserve">Syndromes and a Century</t>
  </si>
  <si>
    <t xml:space="preserve">Inside Man</t>
  </si>
  <si>
    <t xml:space="preserve">A Scanner Darkly</t>
  </si>
  <si>
    <t xml:space="preserve">The Departed</t>
  </si>
  <si>
    <t xml:space="preserve">The Prestige</t>
  </si>
  <si>
    <t xml:space="preserve">Miami Vice</t>
  </si>
  <si>
    <t xml:space="preserve">Ratatouille</t>
  </si>
  <si>
    <t xml:space="preserve">Brad Bird</t>
  </si>
  <si>
    <t xml:space="preserve">Tokyo Sonata</t>
  </si>
  <si>
    <t xml:space="preserve">The Class</t>
  </si>
  <si>
    <t xml:space="preserve">Laurent Cantet</t>
  </si>
  <si>
    <t xml:space="preserve">Cloverfield</t>
  </si>
  <si>
    <t xml:space="preserve">Matt Reeves</t>
  </si>
  <si>
    <t xml:space="preserve">The Dark Knight</t>
  </si>
  <si>
    <t xml:space="preserve">Synecdoche, New York</t>
  </si>
  <si>
    <t xml:space="preserve">Charlie Kaufman</t>
  </si>
  <si>
    <t xml:space="preserve">A Prophet</t>
  </si>
  <si>
    <t xml:space="preserve">Jacques Audiard</t>
  </si>
  <si>
    <t xml:space="preserve">Fish Tank</t>
  </si>
  <si>
    <t xml:space="preserve">Andrea Arnold</t>
  </si>
  <si>
    <t xml:space="preserve">Mother</t>
  </si>
  <si>
    <t xml:space="preserve">Moon</t>
  </si>
  <si>
    <t xml:space="preserve">Duncan Jones</t>
  </si>
  <si>
    <t xml:space="preserve">A Serious Man</t>
  </si>
  <si>
    <t xml:space="preserve">Incendies</t>
  </si>
  <si>
    <t xml:space="preserve">Inception</t>
  </si>
  <si>
    <t xml:space="preserve">The Tree of Life</t>
  </si>
  <si>
    <t xml:space="preserve">The Turin Horse</t>
  </si>
  <si>
    <t xml:space="preserve">Contagion</t>
  </si>
  <si>
    <t xml:space="preserve">Holy Motors</t>
  </si>
  <si>
    <t xml:space="preserve">Leos Carax</t>
  </si>
  <si>
    <t xml:space="preserve">Amour</t>
  </si>
  <si>
    <t xml:space="preserve">Like Father, Like Son</t>
  </si>
  <si>
    <t xml:space="preserve">Hirokazu Kore-eda</t>
  </si>
  <si>
    <t xml:space="preserve">A Touch of Sin</t>
  </si>
  <si>
    <t xml:space="preserve">Under the Skin</t>
  </si>
  <si>
    <t xml:space="preserve">Snowpiercer</t>
  </si>
  <si>
    <t xml:space="preserve">Prisoners</t>
  </si>
  <si>
    <t xml:space="preserve">Wild Tales</t>
  </si>
  <si>
    <t xml:space="preserve">Damián Szifron</t>
  </si>
  <si>
    <t xml:space="preserve">Winter Sleep</t>
  </si>
  <si>
    <t xml:space="preserve">Nuri Bilge Ceylan</t>
  </si>
  <si>
    <t xml:space="preserve">Nightcrawler</t>
  </si>
  <si>
    <t xml:space="preserve">Dan Gilroy</t>
  </si>
  <si>
    <t xml:space="preserve">Interstellar</t>
  </si>
  <si>
    <t xml:space="preserve">Gone Girl</t>
  </si>
  <si>
    <t xml:space="preserve">Selma</t>
  </si>
  <si>
    <t xml:space="preserve">Ava DuVernay</t>
  </si>
  <si>
    <t xml:space="preserve">Two Days, One Night</t>
  </si>
  <si>
    <t xml:space="preserve">Chef</t>
  </si>
  <si>
    <t xml:space="preserve">Jon Favreau</t>
  </si>
  <si>
    <t xml:space="preserve">Victoria</t>
  </si>
  <si>
    <t xml:space="preserve">Sebastian Schipper</t>
  </si>
  <si>
    <t xml:space="preserve">Sicario</t>
  </si>
  <si>
    <t xml:space="preserve">The Hateful Eight</t>
  </si>
  <si>
    <t xml:space="preserve">The Wailing</t>
  </si>
  <si>
    <t xml:space="preserve">The Handmaiden</t>
  </si>
  <si>
    <t xml:space="preserve">Silence</t>
  </si>
  <si>
    <t xml:space="preserve">Everybody Wants Some!!</t>
  </si>
  <si>
    <t xml:space="preserve">Blade Runner 2049</t>
  </si>
  <si>
    <t xml:space="preserve">Wind River</t>
  </si>
  <si>
    <t xml:space="preserve">Taylor Sheridan</t>
  </si>
  <si>
    <t xml:space="preserve">Logan Lucky</t>
  </si>
  <si>
    <t xml:space="preserve">Dunkirk</t>
  </si>
  <si>
    <t xml:space="preserve">Columbus</t>
  </si>
  <si>
    <t xml:space="preserve">Kogonada</t>
  </si>
  <si>
    <t xml:space="preserve">The Florida Project</t>
  </si>
  <si>
    <t xml:space="preserve">Lady Bird</t>
  </si>
  <si>
    <t xml:space="preserve">Greta Gerwig</t>
  </si>
  <si>
    <t xml:space="preserve">Good Time</t>
  </si>
  <si>
    <t xml:space="preserve">Burning</t>
  </si>
  <si>
    <t xml:space="preserve">Lee Chang-dong</t>
  </si>
  <si>
    <t xml:space="preserve">Annihilation</t>
  </si>
  <si>
    <t xml:space="preserve">The Ballad of Buster Scruggs</t>
  </si>
  <si>
    <t xml:space="preserve">Sorry to Bother You</t>
  </si>
  <si>
    <t xml:space="preserve">Boots Riley</t>
  </si>
  <si>
    <t xml:space="preserve">Sound of Metal</t>
  </si>
  <si>
    <t xml:space="preserve">Darius Marder</t>
  </si>
  <si>
    <t xml:space="preserve">1917</t>
  </si>
  <si>
    <t xml:space="preserve">Sam Mendes</t>
  </si>
  <si>
    <t xml:space="preserve">Sorry We Missed You</t>
  </si>
  <si>
    <t xml:space="preserve">The Lighthouse</t>
  </si>
  <si>
    <t xml:space="preserve">The Irishman</t>
  </si>
  <si>
    <t xml:space="preserve">Minari</t>
  </si>
  <si>
    <t xml:space="preserve">Lee Isaac Chung</t>
  </si>
  <si>
    <t xml:space="preserve">Nomadland</t>
  </si>
  <si>
    <t xml:space="preserve">Chloé Zhao</t>
  </si>
  <si>
    <t xml:space="preserve">Wheel of Fortune and Fantasy</t>
  </si>
  <si>
    <t xml:space="preserve">Titane</t>
  </si>
  <si>
    <t xml:space="preserve">Memoria</t>
  </si>
  <si>
    <t xml:space="preserve">Licorice Pizza</t>
  </si>
  <si>
    <t xml:space="preserve">Decision to Leave</t>
  </si>
  <si>
    <t xml:space="preserve">RRR</t>
  </si>
  <si>
    <t xml:space="preserve">S.S. Rajamouli</t>
  </si>
  <si>
    <t xml:space="preserve">The Fabelmans</t>
  </si>
  <si>
    <t xml:space="preserve">All We Imagine as Light</t>
  </si>
  <si>
    <t xml:space="preserve">Payal Kapadia</t>
  </si>
  <si>
    <t xml:space="preserve">The Wind</t>
  </si>
  <si>
    <t xml:space="preserve">Victor Sjöström</t>
  </si>
  <si>
    <t xml:space="preserve">Pandora's Box</t>
  </si>
  <si>
    <t xml:space="preserve">G.W. Pabst</t>
  </si>
  <si>
    <t xml:space="preserve">The Awful Truth</t>
  </si>
  <si>
    <t xml:space="preserve">The Asphalt Jungle</t>
  </si>
  <si>
    <t xml:space="preserve">East of Eden</t>
  </si>
  <si>
    <t xml:space="preserve">Three Days of the Condor</t>
  </si>
  <si>
    <t xml:space="preserve">The Blues Brothers</t>
  </si>
  <si>
    <t xml:space="preserve">Aliens</t>
  </si>
  <si>
    <t xml:space="preserve">Matewan</t>
  </si>
  <si>
    <t xml:space="preserve">John Sayles</t>
  </si>
  <si>
    <t xml:space="preserve">Field of Dreams</t>
  </si>
  <si>
    <t xml:space="preserve">Phil Alden Robinson</t>
  </si>
  <si>
    <t xml:space="preserve">The Grifters</t>
  </si>
  <si>
    <t xml:space="preserve">Stephen Frears</t>
  </si>
  <si>
    <t xml:space="preserve">Strange Days</t>
  </si>
  <si>
    <t xml:space="preserve">Friday</t>
  </si>
  <si>
    <t xml:space="preserve">F. Gary Gray</t>
  </si>
  <si>
    <t xml:space="preserve">Cube</t>
  </si>
  <si>
    <t xml:space="preserve">Vincenzo Natali</t>
  </si>
  <si>
    <t xml:space="preserve">It Follows</t>
  </si>
  <si>
    <t xml:space="preserve">David Robert Mitchell</t>
  </si>
  <si>
    <t xml:space="preserve">Whiplash</t>
  </si>
  <si>
    <t xml:space="preserve">Damien Chazelle</t>
  </si>
  <si>
    <t xml:space="preserve">Suspense.</t>
  </si>
  <si>
    <t xml:space="preserve">Lois Weber, Phillips Smalley</t>
  </si>
  <si>
    <t xml:space="preserve">Häxan</t>
  </si>
  <si>
    <t xml:space="preserve">Benjamin Christensen</t>
  </si>
  <si>
    <t xml:space="preserve">Our Hospitality</t>
  </si>
  <si>
    <t xml:space="preserve">La Chienne</t>
  </si>
  <si>
    <t xml:space="preserve">Limite</t>
  </si>
  <si>
    <t xml:space="preserve">Mário Peixoto</t>
  </si>
  <si>
    <t xml:space="preserve">I Was Born, But...</t>
  </si>
  <si>
    <t xml:space="preserve">Love Me Tonight</t>
  </si>
  <si>
    <t xml:space="preserve">Rouben Mamoulian</t>
  </si>
  <si>
    <t xml:space="preserve">Boudu Saved from Drowning</t>
  </si>
  <si>
    <t xml:space="preserve">Sons of the Desert</t>
  </si>
  <si>
    <t xml:space="preserve">William A. Seiter</t>
  </si>
  <si>
    <t xml:space="preserve">Sisters of the Gion</t>
  </si>
  <si>
    <t xml:space="preserve">Only Angels Have Wings</t>
  </si>
  <si>
    <t xml:space="preserve">The Story of the Last Chrysanthemums</t>
  </si>
  <si>
    <t xml:space="preserve">Ball of Fire</t>
  </si>
  <si>
    <t xml:space="preserve">Day of Wrath</t>
  </si>
  <si>
    <t xml:space="preserve">Lifeboat</t>
  </si>
  <si>
    <t xml:space="preserve">The Hitch-Hiker</t>
  </si>
  <si>
    <t xml:space="preserve">Ida Lupino</t>
  </si>
  <si>
    <t xml:space="preserve">The Wages of Fear</t>
  </si>
  <si>
    <t xml:space="preserve">Henri-Georges Clouzot</t>
  </si>
  <si>
    <t xml:space="preserve">After the Curfew</t>
  </si>
  <si>
    <t xml:space="preserve">Usmar Ismail</t>
  </si>
  <si>
    <t xml:space="preserve">La Pointe Courte</t>
  </si>
  <si>
    <t xml:space="preserve">A Face in the Crowd</t>
  </si>
  <si>
    <t xml:space="preserve">Il Grido</t>
  </si>
  <si>
    <t xml:space="preserve">Nazarín</t>
  </si>
  <si>
    <t xml:space="preserve">Lola</t>
  </si>
  <si>
    <t xml:space="preserve">Pale Flower</t>
  </si>
  <si>
    <t xml:space="preserve">Masahiro Shinoda</t>
  </si>
  <si>
    <t xml:space="preserve">3 · Deep Cut</t>
  </si>
  <si>
    <t xml:space="preserve">Dry Summer</t>
  </si>
  <si>
    <t xml:space="preserve">Metin Erksan</t>
  </si>
  <si>
    <t xml:space="preserve">Marnie</t>
  </si>
  <si>
    <t xml:space="preserve">Nothing But a Man</t>
  </si>
  <si>
    <t xml:space="preserve">Michael Roemer</t>
  </si>
  <si>
    <t xml:space="preserve">A Report on the Party and Guests</t>
  </si>
  <si>
    <t xml:space="preserve">The War Game</t>
  </si>
  <si>
    <t xml:space="preserve">Peter Watkins</t>
  </si>
  <si>
    <t xml:space="preserve">Je T'Aime, Je T'Aime</t>
  </si>
  <si>
    <t xml:space="preserve">The Cow</t>
  </si>
  <si>
    <t xml:space="preserve">Dariush Mehrjui</t>
  </si>
  <si>
    <t xml:space="preserve">The Joke</t>
  </si>
  <si>
    <t xml:space="preserve">Jaromil Jireš</t>
  </si>
  <si>
    <t xml:space="preserve">Medium Cool</t>
  </si>
  <si>
    <t xml:space="preserve">Haskell Wexler</t>
  </si>
  <si>
    <t xml:space="preserve">Two-Lane Blacktop</t>
  </si>
  <si>
    <t xml:space="preserve">Monte Hellman</t>
  </si>
  <si>
    <t xml:space="preserve">The Strange Vice of Mrs. Wardh</t>
  </si>
  <si>
    <t xml:space="preserve">Sergio Martino</t>
  </si>
  <si>
    <t xml:space="preserve">The King of Marvin Gardens</t>
  </si>
  <si>
    <t xml:space="preserve">Sisters</t>
  </si>
  <si>
    <t xml:space="preserve">The Hourglass Sanatorium</t>
  </si>
  <si>
    <t xml:space="preserve">Wojciech Has</t>
  </si>
  <si>
    <t xml:space="preserve">Phantom of the Paradise</t>
  </si>
  <si>
    <t xml:space="preserve">Kings of the Road</t>
  </si>
  <si>
    <t xml:space="preserve">Chess of the Wind</t>
  </si>
  <si>
    <t xml:space="preserve">Mohammad Reza Aslani</t>
  </si>
  <si>
    <t xml:space="preserve">Obsession</t>
  </si>
  <si>
    <t xml:space="preserve">Mikey and Nicky</t>
  </si>
  <si>
    <t xml:space="preserve">Stroszek</t>
  </si>
  <si>
    <t xml:space="preserve">Sorcerer</t>
  </si>
  <si>
    <t xml:space="preserve">Rolling Thunder</t>
  </si>
  <si>
    <t xml:space="preserve">John Flynn</t>
  </si>
  <si>
    <t xml:space="preserve">Autumn Sonata</t>
  </si>
  <si>
    <t xml:space="preserve">Zombie</t>
  </si>
  <si>
    <t xml:space="preserve">Wise Blood</t>
  </si>
  <si>
    <t xml:space="preserve">The Burning</t>
  </si>
  <si>
    <t xml:space="preserve">Tony Maylam</t>
  </si>
  <si>
    <t xml:space="preserve">My Bloody Valentine</t>
  </si>
  <si>
    <t xml:space="preserve">George Mihalka</t>
  </si>
  <si>
    <t xml:space="preserve">L'Argent</t>
  </si>
  <si>
    <t xml:space="preserve">Shoah</t>
  </si>
  <si>
    <t xml:space="preserve">Claude Lanzmann</t>
  </si>
  <si>
    <t xml:space="preserve">Vagabond</t>
  </si>
  <si>
    <t xml:space="preserve">Planes, Trains and Automobiles</t>
  </si>
  <si>
    <t xml:space="preserve">John Hughes</t>
  </si>
  <si>
    <t xml:space="preserve">Dead Ringers</t>
  </si>
  <si>
    <t xml:space="preserve">Say Anything...</t>
  </si>
  <si>
    <t xml:space="preserve">Cameron Crowe</t>
  </si>
  <si>
    <t xml:space="preserve">Dreams</t>
  </si>
  <si>
    <t xml:space="preserve">Poison</t>
  </si>
  <si>
    <t xml:space="preserve">Hearts of Darkness: A Filmmaker's Apocalypse</t>
  </si>
  <si>
    <t xml:space="preserve">Fax Bahr, George Hickenlooper, Eleanor Coppola</t>
  </si>
  <si>
    <t xml:space="preserve">Barton Fink</t>
  </si>
  <si>
    <t xml:space="preserve">Bob Roberts</t>
  </si>
  <si>
    <t xml:space="preserve">Tim Robbins</t>
  </si>
  <si>
    <t xml:space="preserve">Juice</t>
  </si>
  <si>
    <t xml:space="preserve">Ernest R. Dickerson</t>
  </si>
  <si>
    <t xml:space="preserve">Hard Target</t>
  </si>
  <si>
    <t xml:space="preserve">John Woo</t>
  </si>
  <si>
    <t xml:space="preserve">The Hudsucker Proxy</t>
  </si>
  <si>
    <t xml:space="preserve">71 Fragments of a Chronology of Chance</t>
  </si>
  <si>
    <t xml:space="preserve">Irma Vep</t>
  </si>
  <si>
    <t xml:space="preserve">Olivier Assayas</t>
  </si>
  <si>
    <t xml:space="preserve">The Limey</t>
  </si>
  <si>
    <t xml:space="preserve">Trouble Every Day</t>
  </si>
  <si>
    <t xml:space="preserve">Millennium Mambo</t>
  </si>
  <si>
    <t xml:space="preserve">Vanilla Sky</t>
  </si>
  <si>
    <t xml:space="preserve">Russian Ark</t>
  </si>
  <si>
    <t xml:space="preserve">Alexander Sokurov</t>
  </si>
  <si>
    <t xml:space="preserve">Irreversible</t>
  </si>
  <si>
    <t xml:space="preserve">Gaspar Noé</t>
  </si>
  <si>
    <t xml:space="preserve">A Tale of Two Sisters</t>
  </si>
  <si>
    <t xml:space="preserve">Kim Jee-woon</t>
  </si>
  <si>
    <t xml:space="preserve">The Assassination of Jesse James by the Coward Robert Ford</t>
  </si>
  <si>
    <t xml:space="preserve">Andrew Dominik</t>
  </si>
  <si>
    <t xml:space="preserve">You, the Living</t>
  </si>
  <si>
    <t xml:space="preserve">Once</t>
  </si>
  <si>
    <t xml:space="preserve">John Carney</t>
  </si>
  <si>
    <t xml:space="preserve">Still Walking</t>
  </si>
  <si>
    <t xml:space="preserve">Meek's Cutoff</t>
  </si>
  <si>
    <t xml:space="preserve">Boy</t>
  </si>
  <si>
    <t xml:space="preserve">Taika Waititi</t>
  </si>
  <si>
    <t xml:space="preserve">Take Shelter</t>
  </si>
  <si>
    <t xml:space="preserve">Jeff Nichols</t>
  </si>
  <si>
    <t xml:space="preserve">Coherence</t>
  </si>
  <si>
    <t xml:space="preserve">James Ward Byrkit</t>
  </si>
  <si>
    <t xml:space="preserve">The Post</t>
  </si>
  <si>
    <t xml:space="preserve">First Reformed</t>
  </si>
  <si>
    <t xml:space="preserve">Paul Schrader</t>
  </si>
  <si>
    <t xml:space="preserve">High Life</t>
  </si>
  <si>
    <t xml:space="preserve">Leave No Trace</t>
  </si>
  <si>
    <t xml:space="preserve">Debra Granik</t>
  </si>
  <si>
    <t xml:space="preserve">Marriage Story</t>
  </si>
  <si>
    <t xml:space="preserve">Crimes of the Future</t>
  </si>
  <si>
    <t xml:space="preserve">Evil Does Not Exist</t>
  </si>
  <si>
    <t xml:space="preserve">Fallen Leaves</t>
  </si>
  <si>
    <t xml:space="preserve">Workers Leaving the Lumière Factory</t>
  </si>
  <si>
    <t xml:space="preserve">Louis Lumière</t>
  </si>
  <si>
    <t xml:space="preserve">The Arrival of a Train at La Ciotat</t>
  </si>
  <si>
    <t xml:space="preserve">Auguste Lumière, Louis Lumière</t>
  </si>
  <si>
    <t xml:space="preserve">Body and Soul</t>
  </si>
  <si>
    <t xml:space="preserve">Arnold Fanck</t>
  </si>
  <si>
    <t xml:space="preserve">Frankenstein</t>
  </si>
  <si>
    <t xml:space="preserve">James Whale</t>
  </si>
  <si>
    <t xml:space="preserve">Baby Face</t>
  </si>
  <si>
    <t xml:space="preserve">Alfred E. Green</t>
  </si>
  <si>
    <t xml:space="preserve">Bride of Frankenstein</t>
  </si>
  <si>
    <t xml:space="preserve">Top Hat</t>
  </si>
  <si>
    <t xml:space="preserve">Mark Sandrich</t>
  </si>
  <si>
    <t xml:space="preserve">Stella Dallas</t>
  </si>
  <si>
    <t xml:space="preserve">Pinocchio</t>
  </si>
  <si>
    <t xml:space="preserve">Ben Sharpsteen, Hamilton Luske</t>
  </si>
  <si>
    <t xml:space="preserve">Cat People</t>
  </si>
  <si>
    <t xml:space="preserve">Now, Voyager</t>
  </si>
  <si>
    <t xml:space="preserve">Irving Rapper</t>
  </si>
  <si>
    <t xml:space="preserve">The Day the Earth Stood Still</t>
  </si>
  <si>
    <t xml:space="preserve">La Strada</t>
  </si>
  <si>
    <t xml:space="preserve">All That Heaven Allows</t>
  </si>
  <si>
    <t xml:space="preserve">Douglas Sirk</t>
  </si>
  <si>
    <t xml:space="preserve">Pyaasa</t>
  </si>
  <si>
    <t xml:space="preserve">Guru Dutt</t>
  </si>
  <si>
    <t xml:space="preserve">The Tall T</t>
  </si>
  <si>
    <t xml:space="preserve">Budd Boetticher</t>
  </si>
  <si>
    <t xml:space="preserve">The Curse of Frankenstein</t>
  </si>
  <si>
    <t xml:space="preserve">Terence Fisher</t>
  </si>
  <si>
    <t xml:space="preserve">Dracula</t>
  </si>
  <si>
    <t xml:space="preserve">Ride Lonesome</t>
  </si>
  <si>
    <t xml:space="preserve">Imitation of Life</t>
  </si>
  <si>
    <t xml:space="preserve">The Magnificent Seven</t>
  </si>
  <si>
    <t xml:space="preserve">Divorce Italian Style</t>
  </si>
  <si>
    <t xml:space="preserve">Pietro Germi</t>
  </si>
  <si>
    <t xml:space="preserve">Carnival of Souls</t>
  </si>
  <si>
    <t xml:space="preserve">Herk Harvey</t>
  </si>
  <si>
    <t xml:space="preserve">Vidas Secas</t>
  </si>
  <si>
    <t xml:space="preserve">Nelson Pereira dos Santos</t>
  </si>
  <si>
    <t xml:space="preserve">From Russia with Love</t>
  </si>
  <si>
    <t xml:space="preserve">Terence Young</t>
  </si>
  <si>
    <t xml:space="preserve">Seven Up!</t>
  </si>
  <si>
    <t xml:space="preserve">Paul Almond</t>
  </si>
  <si>
    <t xml:space="preserve">Faster, Pussycat! Kill! Kill!</t>
  </si>
  <si>
    <t xml:space="preserve">Russ Meyer</t>
  </si>
  <si>
    <t xml:space="preserve">Closely Watched Trains</t>
  </si>
  <si>
    <t xml:space="preserve">Jiří Menzel</t>
  </si>
  <si>
    <t xml:space="preserve">The Shooting</t>
  </si>
  <si>
    <t xml:space="preserve">Wavelength</t>
  </si>
  <si>
    <t xml:space="preserve">Michael Snow</t>
  </si>
  <si>
    <t xml:space="preserve">Rosemary's Baby</t>
  </si>
  <si>
    <t xml:space="preserve">Planet of the Apes</t>
  </si>
  <si>
    <t xml:space="preserve">Franklin J. Schaffner</t>
  </si>
  <si>
    <t xml:space="preserve">Salesman</t>
  </si>
  <si>
    <t xml:space="preserve">Albert Maysles, David Maysles, Charlotte Zwerin</t>
  </si>
  <si>
    <t xml:space="preserve">Performance</t>
  </si>
  <si>
    <t xml:space="preserve">Donald Cammell, Nicolas Roeg</t>
  </si>
  <si>
    <t xml:space="preserve">A Touch of Zen</t>
  </si>
  <si>
    <t xml:space="preserve">King Hu</t>
  </si>
  <si>
    <t xml:space="preserve">W.R.: Mysteries of the Organism</t>
  </si>
  <si>
    <t xml:space="preserve">Dušan Makavejev</t>
  </si>
  <si>
    <t xml:space="preserve">Sweet Sweetback's Baadasssss Song</t>
  </si>
  <si>
    <t xml:space="preserve">Melvin Van Peebles</t>
  </si>
  <si>
    <t xml:space="preserve">Shaft</t>
  </si>
  <si>
    <t xml:space="preserve">Gordon Parks</t>
  </si>
  <si>
    <t xml:space="preserve">Milano Calibro 9</t>
  </si>
  <si>
    <t xml:space="preserve">Fernando Di Leo</t>
  </si>
  <si>
    <t xml:space="preserve">Deliverance</t>
  </si>
  <si>
    <t xml:space="preserve">The Poseidon Adventure</t>
  </si>
  <si>
    <t xml:space="preserve">Ronald Neame</t>
  </si>
  <si>
    <t xml:space="preserve">The Last House on the Left</t>
  </si>
  <si>
    <t xml:space="preserve">Wes Craven</t>
  </si>
  <si>
    <t xml:space="preserve">The Wicker Man</t>
  </si>
  <si>
    <t xml:space="preserve">Robin Hardy</t>
  </si>
  <si>
    <t xml:space="preserve">Young Frankenstein</t>
  </si>
  <si>
    <t xml:space="preserve">Mel Brooks</t>
  </si>
  <si>
    <t xml:space="preserve">The Parallax View</t>
  </si>
  <si>
    <t xml:space="preserve">The Towering Inferno</t>
  </si>
  <si>
    <t xml:space="preserve">John Guillermin</t>
  </si>
  <si>
    <t xml:space="preserve">Sholay</t>
  </si>
  <si>
    <t xml:space="preserve">Ramesh Sippy</t>
  </si>
  <si>
    <t xml:space="preserve">Picnic at Hanging Rock</t>
  </si>
  <si>
    <t xml:space="preserve">Grey Gardens</t>
  </si>
  <si>
    <t xml:space="preserve">Albert Maysles, David Maysles</t>
  </si>
  <si>
    <t xml:space="preserve">Suspiria</t>
  </si>
  <si>
    <t xml:space="preserve">Dawn of the Dead</t>
  </si>
  <si>
    <t xml:space="preserve">The Last Waltz</t>
  </si>
  <si>
    <t xml:space="preserve">The Driver</t>
  </si>
  <si>
    <t xml:space="preserve">Walter Hill</t>
  </si>
  <si>
    <t xml:space="preserve">Mad Max</t>
  </si>
  <si>
    <t xml:space="preserve">Norma Rae</t>
  </si>
  <si>
    <t xml:space="preserve">Martin Ritt</t>
  </si>
  <si>
    <t xml:space="preserve">Manhattan</t>
  </si>
  <si>
    <t xml:space="preserve">Quadrophenia</t>
  </si>
  <si>
    <t xml:space="preserve">Franc Roddam</t>
  </si>
  <si>
    <t xml:space="preserve">Airplane!</t>
  </si>
  <si>
    <t xml:space="preserve">Jim Abrahams, David Zucker, Jerry Zucker</t>
  </si>
  <si>
    <t xml:space="preserve">Ordinary People</t>
  </si>
  <si>
    <t xml:space="preserve">Robert Redford</t>
  </si>
  <si>
    <t xml:space="preserve">Diva</t>
  </si>
  <si>
    <t xml:space="preserve">Jean-Jacques Beineix</t>
  </si>
  <si>
    <t xml:space="preserve">The Evil Dead</t>
  </si>
  <si>
    <t xml:space="preserve">Sam Raimi</t>
  </si>
  <si>
    <t xml:space="preserve">The Terminator</t>
  </si>
  <si>
    <t xml:space="preserve">Stop Making Sense</t>
  </si>
  <si>
    <t xml:space="preserve">Police Story</t>
  </si>
  <si>
    <t xml:space="preserve">Jackie Chan</t>
  </si>
  <si>
    <t xml:space="preserve">Tampopo</t>
  </si>
  <si>
    <t xml:space="preserve">Jūzō Itami</t>
  </si>
  <si>
    <t xml:space="preserve">Stand by Me</t>
  </si>
  <si>
    <t xml:space="preserve">Wall Street</t>
  </si>
  <si>
    <t xml:space="preserve">Babette's Feast</t>
  </si>
  <si>
    <t xml:space="preserve">Gabriel Axel</t>
  </si>
  <si>
    <t xml:space="preserve">City on Fire</t>
  </si>
  <si>
    <t xml:space="preserve">Ringo Lam</t>
  </si>
  <si>
    <t xml:space="preserve">Raise the Red Lantern</t>
  </si>
  <si>
    <t xml:space="preserve">Zhang Yimou</t>
  </si>
  <si>
    <t xml:space="preserve">The Double Life of Véronique</t>
  </si>
  <si>
    <t xml:space="preserve">Hard Boiled</t>
  </si>
  <si>
    <t xml:space="preserve">Man Bites Dog</t>
  </si>
  <si>
    <t xml:space="preserve">Rémy Belvaux, André Bonzel, Benoît Poelvoorde</t>
  </si>
  <si>
    <t xml:space="preserve">Basic Instinct</t>
  </si>
  <si>
    <t xml:space="preserve">The Last of the Mohicans</t>
  </si>
  <si>
    <t xml:space="preserve">Naked</t>
  </si>
  <si>
    <t xml:space="preserve">Mike Leigh</t>
  </si>
  <si>
    <t xml:space="preserve">Farewell My Concubine</t>
  </si>
  <si>
    <t xml:space="preserve">Chen Kaige</t>
  </si>
  <si>
    <t xml:space="preserve">The Nightmare Before Christmas</t>
  </si>
  <si>
    <t xml:space="preserve">Henry Selick</t>
  </si>
  <si>
    <t xml:space="preserve">Three Colors: Blue</t>
  </si>
  <si>
    <t xml:space="preserve">The Fugitive</t>
  </si>
  <si>
    <t xml:space="preserve">Andrew Davis</t>
  </si>
  <si>
    <t xml:space="preserve">Léon: The Professional</t>
  </si>
  <si>
    <t xml:space="preserve">Luc Besson</t>
  </si>
  <si>
    <t xml:space="preserve">Heavenly Creatures</t>
  </si>
  <si>
    <t xml:space="preserve">Peter Jackson</t>
  </si>
  <si>
    <t xml:space="preserve">The Last Seduction</t>
  </si>
  <si>
    <t xml:space="preserve">John Dahl</t>
  </si>
  <si>
    <t xml:space="preserve">Crumb</t>
  </si>
  <si>
    <t xml:space="preserve">Terry Zwigoff</t>
  </si>
  <si>
    <t xml:space="preserve">Underground</t>
  </si>
  <si>
    <t xml:space="preserve">Emir Kusturica</t>
  </si>
  <si>
    <t xml:space="preserve">Secrets &amp; Lies</t>
  </si>
  <si>
    <t xml:space="preserve">L.A. Confidential</t>
  </si>
  <si>
    <t xml:space="preserve">Curtis Hanson</t>
  </si>
  <si>
    <t xml:space="preserve">The Idiots</t>
  </si>
  <si>
    <t xml:space="preserve">Smoke Signals</t>
  </si>
  <si>
    <t xml:space="preserve">Chris Eyre</t>
  </si>
  <si>
    <t xml:space="preserve">The Blair Witch Project</t>
  </si>
  <si>
    <t xml:space="preserve">Daniel Myrick, Eduardo Sánchez</t>
  </si>
  <si>
    <t xml:space="preserve">All About My Mother</t>
  </si>
  <si>
    <t xml:space="preserve">Crouching Tiger, Hidden Dragon</t>
  </si>
  <si>
    <t xml:space="preserve">Almost Famous</t>
  </si>
  <si>
    <t xml:space="preserve">La Ciénaga</t>
  </si>
  <si>
    <t xml:space="preserve">Lucrecia Martel</t>
  </si>
  <si>
    <t xml:space="preserve">Atanarjuat: The Fast Runner</t>
  </si>
  <si>
    <t xml:space="preserve">Zacharias Kunuk</t>
  </si>
  <si>
    <t xml:space="preserve">Talk to Her</t>
  </si>
  <si>
    <t xml:space="preserve">Funny Ha Ha</t>
  </si>
  <si>
    <t xml:space="preserve">Andrew Bujalski</t>
  </si>
  <si>
    <t xml:space="preserve">High Tension</t>
  </si>
  <si>
    <t xml:space="preserve">Alexandre Aja</t>
  </si>
  <si>
    <t xml:space="preserve">Capturing the Friedmans</t>
  </si>
  <si>
    <t xml:space="preserve">Andrew Jarecki</t>
  </si>
  <si>
    <t xml:space="preserve">The Room</t>
  </si>
  <si>
    <t xml:space="preserve">Tommy Wiseau</t>
  </si>
  <si>
    <t xml:space="preserve">The Death of Mr. Lazarescu</t>
  </si>
  <si>
    <t xml:space="preserve">Cristi Puiu</t>
  </si>
  <si>
    <t xml:space="preserve">The Squid and the Whale</t>
  </si>
  <si>
    <t xml:space="preserve">The Lives of Others</t>
  </si>
  <si>
    <t xml:space="preserve">Florian Henckel von Donnersmarck</t>
  </si>
  <si>
    <t xml:space="preserve">Crank</t>
  </si>
  <si>
    <t xml:space="preserve">Mark Neveldine, Brian Taylor</t>
  </si>
  <si>
    <t xml:space="preserve">4 Months, 3 Weeks and 2 Days</t>
  </si>
  <si>
    <t xml:space="preserve">Cristian Mungiu</t>
  </si>
  <si>
    <t xml:space="preserve">[REC]</t>
  </si>
  <si>
    <t xml:space="preserve">Jaume Balagueró, Paco Plaza</t>
  </si>
  <si>
    <t xml:space="preserve">Gomorrah</t>
  </si>
  <si>
    <t xml:space="preserve">Matteo Garrone</t>
  </si>
  <si>
    <t xml:space="preserve">WALL·E</t>
  </si>
  <si>
    <t xml:space="preserve">Andrew Stanton</t>
  </si>
  <si>
    <t xml:space="preserve">35 Shots of Rum</t>
  </si>
  <si>
    <t xml:space="preserve">The Secret in Their Eyes</t>
  </si>
  <si>
    <t xml:space="preserve">Juan José Campanella</t>
  </si>
  <si>
    <t xml:space="preserve">Dogtooth</t>
  </si>
  <si>
    <t xml:space="preserve">Tinker Tailor Soldier Spy</t>
  </si>
  <si>
    <t xml:space="preserve">Tomas Alfredson</t>
  </si>
  <si>
    <t xml:space="preserve">The Raid</t>
  </si>
  <si>
    <t xml:space="preserve">Gareth Evans</t>
  </si>
  <si>
    <t xml:space="preserve">Margin Call</t>
  </si>
  <si>
    <t xml:space="preserve">J.C. Chandor</t>
  </si>
  <si>
    <t xml:space="preserve">Zero Dark Thirty</t>
  </si>
  <si>
    <t xml:space="preserve">Stories We Tell</t>
  </si>
  <si>
    <t xml:space="preserve">Sarah Polley</t>
  </si>
  <si>
    <t xml:space="preserve">The Great Beauty</t>
  </si>
  <si>
    <t xml:space="preserve">Paolo Sorrentino</t>
  </si>
  <si>
    <t xml:space="preserve">Ida</t>
  </si>
  <si>
    <t xml:space="preserve">Paweł Pawlikowski</t>
  </si>
  <si>
    <t xml:space="preserve">The Babadook</t>
  </si>
  <si>
    <t xml:space="preserve">Jennifer Kent</t>
  </si>
  <si>
    <t xml:space="preserve">What We Do in the Shadows</t>
  </si>
  <si>
    <t xml:space="preserve">Jemaine Clement, Taika Waititi</t>
  </si>
  <si>
    <t xml:space="preserve">Right Now, Wrong Then</t>
  </si>
  <si>
    <t xml:space="preserve">Hong Sang-soo</t>
  </si>
  <si>
    <t xml:space="preserve">Spotlight</t>
  </si>
  <si>
    <t xml:space="preserve">Tom McCarthy</t>
  </si>
  <si>
    <t xml:space="preserve">Hell or High Water</t>
  </si>
  <si>
    <t xml:space="preserve">David Mackenzie</t>
  </si>
  <si>
    <t xml:space="preserve">Paterson</t>
  </si>
  <si>
    <t xml:space="preserve">Shin Godzilla</t>
  </si>
  <si>
    <t xml:space="preserve">Hideaki Anno, Shinji Higuchi</t>
  </si>
  <si>
    <t xml:space="preserve">On the Beach at Night Alone</t>
  </si>
  <si>
    <t xml:space="preserve">Paddington 2</t>
  </si>
  <si>
    <t xml:space="preserve">Paul King</t>
  </si>
  <si>
    <t xml:space="preserve">Shoplifters</t>
  </si>
  <si>
    <t xml:space="preserve">mid90s</t>
  </si>
  <si>
    <t xml:space="preserve">Jonah Hill</t>
  </si>
  <si>
    <t xml:space="preserve">Everything Everywhere All at Once</t>
  </si>
  <si>
    <t xml:space="preserve">Daniel Kwan, Daniel Scheinert</t>
  </si>
  <si>
    <t xml:space="preserve">Beau Is Afraid</t>
  </si>
  <si>
    <t xml:space="preserve">Stromboli</t>
  </si>
  <si>
    <t xml:space="preserve">Mother Joan of the Angels</t>
  </si>
  <si>
    <t xml:space="preserve">Jerzy Kawalerowicz</t>
  </si>
  <si>
    <t xml:space="preserve">The Color of Pomegranates</t>
  </si>
  <si>
    <t xml:space="preserve">Sergei Parajanov</t>
  </si>
  <si>
    <t xml:space="preserve">Dark Star</t>
  </si>
  <si>
    <t xml:space="preserve">Muna Moto</t>
  </si>
  <si>
    <t xml:space="preserve">Jean-Pierre Dikongué-Pipa</t>
  </si>
  <si>
    <t xml:space="preserve">Cemetery Man</t>
  </si>
  <si>
    <t xml:space="preserve">Michele Soavi</t>
  </si>
  <si>
    <t xml:space="preserve">Abre los Ojos</t>
  </si>
  <si>
    <t xml:space="preserve">Run Lola Run</t>
  </si>
  <si>
    <t xml:space="preserve">Tom Tykwer</t>
  </si>
  <si>
    <t xml:space="preserve">Silent Light</t>
  </si>
  <si>
    <t xml:space="preserve">Carlos Reygadas</t>
  </si>
  <si>
    <t xml:space="preserve">Hail, Caesar!</t>
  </si>
  <si>
    <t xml:space="preserve">Long Day's Journey Into Night</t>
  </si>
  <si>
    <t xml:space="preserve">Bi Gan</t>
  </si>
  <si>
    <t xml:space="preserve">The Cabbage Fairy</t>
  </si>
  <si>
    <t xml:space="preserve">Alice Guy-Blaché</t>
  </si>
  <si>
    <t xml:space="preserve">The Big Swallow</t>
  </si>
  <si>
    <t xml:space="preserve">James Williamson</t>
  </si>
  <si>
    <t xml:space="preserve">Fantasmagorie</t>
  </si>
  <si>
    <t xml:space="preserve">Émile Cohl</t>
  </si>
  <si>
    <t xml:space="preserve">Cabiria</t>
  </si>
  <si>
    <t xml:space="preserve">Giovanni Pastrone</t>
  </si>
  <si>
    <t xml:space="preserve">Les Vampires</t>
  </si>
  <si>
    <t xml:space="preserve">Louis Feuillade</t>
  </si>
  <si>
    <t xml:space="preserve">Broken Blossoms</t>
  </si>
  <si>
    <t xml:space="preserve">Different from the Others</t>
  </si>
  <si>
    <t xml:space="preserve">Richard Oswald</t>
  </si>
  <si>
    <t xml:space="preserve">The Golem</t>
  </si>
  <si>
    <t xml:space="preserve">Paul Wegener, Carl Boese</t>
  </si>
  <si>
    <t xml:space="preserve">The Phantom Carriage</t>
  </si>
  <si>
    <t xml:space="preserve">Safety Last!</t>
  </si>
  <si>
    <t xml:space="preserve">Fred C. Newmeyer, Sam Taylor</t>
  </si>
  <si>
    <t xml:space="preserve">La Roue</t>
  </si>
  <si>
    <t xml:space="preserve">Abel Gance</t>
  </si>
  <si>
    <t xml:space="preserve">The Last Laugh</t>
  </si>
  <si>
    <t xml:space="preserve">Michael</t>
  </si>
  <si>
    <t xml:space="preserve">The Freshman</t>
  </si>
  <si>
    <t xml:space="preserve">Vsevolod Pudovkin</t>
  </si>
  <si>
    <t xml:space="preserve">Ménilmontant</t>
  </si>
  <si>
    <t xml:space="preserve">Dimitri Kirsanoff</t>
  </si>
  <si>
    <t xml:space="preserve">Wings</t>
  </si>
  <si>
    <t xml:space="preserve">Napoleon</t>
  </si>
  <si>
    <t xml:space="preserve">Berlin: Symphony of a Metropolis</t>
  </si>
  <si>
    <t xml:space="preserve">Walter Ruttmann</t>
  </si>
  <si>
    <t xml:space="preserve">The Lodger: A Story of the London Fog</t>
  </si>
  <si>
    <t xml:space="preserve">Steamboat Bill, Jr.</t>
  </si>
  <si>
    <t xml:space="preserve">Charles Reisner, Buster Keaton</t>
  </si>
  <si>
    <t xml:space="preserve">The Fall of the House of Usher</t>
  </si>
  <si>
    <t xml:space="preserve">Jean Epstein</t>
  </si>
  <si>
    <t xml:space="preserve">The Seashell and the Clergyman</t>
  </si>
  <si>
    <t xml:space="preserve">Germaine Dulac</t>
  </si>
  <si>
    <t xml:space="preserve">Blackmail</t>
  </si>
  <si>
    <t xml:space="preserve">Applause</t>
  </si>
  <si>
    <t xml:space="preserve">The Scar of Shame</t>
  </si>
  <si>
    <t xml:space="preserve">Frank Peregini</t>
  </si>
  <si>
    <t xml:space="preserve">Hallelujah</t>
  </si>
  <si>
    <t xml:space="preserve">The White Hell of Pitz Palu</t>
  </si>
  <si>
    <t xml:space="preserve">Arnold Fanck, G.W. Pabst</t>
  </si>
  <si>
    <t xml:space="preserve">Earth</t>
  </si>
  <si>
    <t xml:space="preserve">Alexander Dovzhenko</t>
  </si>
  <si>
    <t xml:space="preserve">The Blue Angel</t>
  </si>
  <si>
    <t xml:space="preserve">Josef von Sternberg</t>
  </si>
  <si>
    <t xml:space="preserve">Under the Roofs of Paris</t>
  </si>
  <si>
    <t xml:space="preserve">René Clair</t>
  </si>
  <si>
    <t xml:space="preserve">Animal Crackers</t>
  </si>
  <si>
    <t xml:space="preserve">Victor Heerman</t>
  </si>
  <si>
    <t xml:space="preserve">Morocco</t>
  </si>
  <si>
    <t xml:space="preserve">Hell's Angels</t>
  </si>
  <si>
    <t xml:space="preserve">Howard Hughes</t>
  </si>
  <si>
    <t xml:space="preserve">Little Caesar</t>
  </si>
  <si>
    <t xml:space="preserve">Enthusiasm</t>
  </si>
  <si>
    <t xml:space="preserve">Mädchen in Uniform</t>
  </si>
  <si>
    <t xml:space="preserve">Leontine Sagan</t>
  </si>
  <si>
    <t xml:space="preserve">The Front Page</t>
  </si>
  <si>
    <t xml:space="preserve">Tabu</t>
  </si>
  <si>
    <t xml:space="preserve">Red-Headed Woman</t>
  </si>
  <si>
    <t xml:space="preserve">Jack Conway</t>
  </si>
  <si>
    <t xml:space="preserve">Island of Lost Souls</t>
  </si>
  <si>
    <t xml:space="preserve">Erle C. Kenton</t>
  </si>
  <si>
    <t xml:space="preserve">Vampyr</t>
  </si>
  <si>
    <t xml:space="preserve">The Mummy</t>
  </si>
  <si>
    <t xml:space="preserve">Karl Freund</t>
  </si>
  <si>
    <t xml:space="preserve">The Old Dark House</t>
  </si>
  <si>
    <t xml:space="preserve">White Zombie</t>
  </si>
  <si>
    <t xml:space="preserve">Victor Halperin</t>
  </si>
  <si>
    <t xml:space="preserve">Horse Feathers</t>
  </si>
  <si>
    <t xml:space="preserve">Norman Z. McLeod</t>
  </si>
  <si>
    <t xml:space="preserve">The Blood of a Poet</t>
  </si>
  <si>
    <t xml:space="preserve">Jean Cocteau</t>
  </si>
  <si>
    <t xml:space="preserve">The Blue Light</t>
  </si>
  <si>
    <t xml:space="preserve">Leni Riefenstahl</t>
  </si>
  <si>
    <t xml:space="preserve">Heroes for Sale</t>
  </si>
  <si>
    <t xml:space="preserve">Employees' Entrance</t>
  </si>
  <si>
    <t xml:space="preserve">Roy Del Ruth</t>
  </si>
  <si>
    <t xml:space="preserve">Design for Living</t>
  </si>
  <si>
    <t xml:space="preserve">Zero for Conduct</t>
  </si>
  <si>
    <t xml:space="preserve">The Invisible Man</t>
  </si>
  <si>
    <t xml:space="preserve">42nd Street</t>
  </si>
  <si>
    <t xml:space="preserve">Lloyd Bacon</t>
  </si>
  <si>
    <t xml:space="preserve">Gold Diggers of 1933</t>
  </si>
  <si>
    <t xml:space="preserve">Footlight Parade</t>
  </si>
  <si>
    <t xml:space="preserve">Land Without Bread</t>
  </si>
  <si>
    <t xml:space="preserve">The Black Cat</t>
  </si>
  <si>
    <t xml:space="preserve">Edgar G. Ulmer</t>
  </si>
  <si>
    <t xml:space="preserve">It's a Gift</t>
  </si>
  <si>
    <t xml:space="preserve">Captain Blood</t>
  </si>
  <si>
    <t xml:space="preserve">Triumph of the Will</t>
  </si>
  <si>
    <t xml:space="preserve">Things to Come</t>
  </si>
  <si>
    <t xml:space="preserve">William Cameron Menzies</t>
  </si>
  <si>
    <t xml:space="preserve">My Man Godfrey</t>
  </si>
  <si>
    <t xml:space="preserve">Gregory La Cava</t>
  </si>
  <si>
    <t xml:space="preserve">Night Mail</t>
  </si>
  <si>
    <t xml:space="preserve">Harry Watt, Basil Wright</t>
  </si>
  <si>
    <t xml:space="preserve">Mr. Deeds Goes to Town</t>
  </si>
  <si>
    <t xml:space="preserve">A Day in the Country</t>
  </si>
  <si>
    <t xml:space="preserve">The Crime of Monsieur Lange</t>
  </si>
  <si>
    <t xml:space="preserve">Reefer Madness</t>
  </si>
  <si>
    <t xml:space="preserve">Louis J. Gasnier</t>
  </si>
  <si>
    <t xml:space="preserve">The Story of Louis Pasteur</t>
  </si>
  <si>
    <t xml:space="preserve">William Dieterle</t>
  </si>
  <si>
    <t xml:space="preserve">Redes</t>
  </si>
  <si>
    <t xml:space="preserve">Emilio Gómez Muriel, Fred Zinnemann</t>
  </si>
  <si>
    <t xml:space="preserve">Pépé le Moko</t>
  </si>
  <si>
    <t xml:space="preserve">Julien Duvivier</t>
  </si>
  <si>
    <t xml:space="preserve">Make Way for Tomorrow</t>
  </si>
  <si>
    <t xml:space="preserve">Port of Shadows</t>
  </si>
  <si>
    <t xml:space="preserve">Marcel Carné</t>
  </si>
  <si>
    <t xml:space="preserve">Holiday</t>
  </si>
  <si>
    <t xml:space="preserve">Angels with Dirty Faces</t>
  </si>
  <si>
    <t xml:space="preserve">The Lady Vanishes</t>
  </si>
  <si>
    <t xml:space="preserve">You Can't Take It with You</t>
  </si>
  <si>
    <t xml:space="preserve">Alexander Nevsky</t>
  </si>
  <si>
    <t xml:space="preserve">Le Jour Se Lève</t>
  </si>
  <si>
    <t xml:space="preserve">Young Mr. Lincoln</t>
  </si>
  <si>
    <t xml:space="preserve">Ninotchka</t>
  </si>
  <si>
    <t xml:space="preserve">Goodbye, Mr. Chips</t>
  </si>
  <si>
    <t xml:space="preserve">The Great Dictator</t>
  </si>
  <si>
    <t xml:space="preserve">The Mark of Zorro</t>
  </si>
  <si>
    <t xml:space="preserve">Fantasia</t>
  </si>
  <si>
    <t xml:space="preserve">Walt Disney Productions</t>
  </si>
  <si>
    <t xml:space="preserve">The Great McGinty</t>
  </si>
  <si>
    <t xml:space="preserve">Dance, Girl, Dance</t>
  </si>
  <si>
    <t xml:space="preserve">Dorothy Arzner</t>
  </si>
  <si>
    <t xml:space="preserve">The Wolf Man</t>
  </si>
  <si>
    <t xml:space="preserve">George Waggner</t>
  </si>
  <si>
    <t xml:space="preserve">Dumbo</t>
  </si>
  <si>
    <t xml:space="preserve">Ben Sharpsteen</t>
  </si>
  <si>
    <t xml:space="preserve">How Green Was My Valley</t>
  </si>
  <si>
    <t xml:space="preserve">The Shanghai Gesture</t>
  </si>
  <si>
    <t xml:space="preserve">Bambi</t>
  </si>
  <si>
    <t xml:space="preserve">Listen to Britain</t>
  </si>
  <si>
    <t xml:space="preserve">Humphrey Jennings</t>
  </si>
  <si>
    <t xml:space="preserve">Yankee Doodle Dandy</t>
  </si>
  <si>
    <t xml:space="preserve">Roxie Hart</t>
  </si>
  <si>
    <t xml:space="preserve">Ossessione</t>
  </si>
  <si>
    <t xml:space="preserve">The Life and Death of Colonel Blimp</t>
  </si>
  <si>
    <t xml:space="preserve">The Leopard Man</t>
  </si>
  <si>
    <t xml:space="preserve">The Seventh Victim</t>
  </si>
  <si>
    <t xml:space="preserve">Mark Robson</t>
  </si>
  <si>
    <t xml:space="preserve">Shadow of a Doubt</t>
  </si>
  <si>
    <t xml:space="preserve">Heaven Can Wait</t>
  </si>
  <si>
    <t xml:space="preserve">Cabin in the Sky</t>
  </si>
  <si>
    <t xml:space="preserve">Stormy Weather</t>
  </si>
  <si>
    <t xml:space="preserve">Andrew L. Stone</t>
  </si>
  <si>
    <t xml:space="preserve">Madame Curie</t>
  </si>
  <si>
    <t xml:space="preserve">A Canterbury Tale</t>
  </si>
  <si>
    <t xml:space="preserve">Laura</t>
  </si>
  <si>
    <t xml:space="preserve">Murder, My Sweet</t>
  </si>
  <si>
    <t xml:space="preserve">Edward Dmytryk</t>
  </si>
  <si>
    <t xml:space="preserve">Gaslight</t>
  </si>
  <si>
    <t xml:space="preserve">To Have and Have Not</t>
  </si>
  <si>
    <t xml:space="preserve">Hail the Conquering Hero</t>
  </si>
  <si>
    <t xml:space="preserve">Ivan the Terrible, Part I</t>
  </si>
  <si>
    <t xml:space="preserve">Henry V</t>
  </si>
  <si>
    <t xml:space="preserve">Laurence Olivier</t>
  </si>
  <si>
    <t xml:space="preserve">Children of Paradise</t>
  </si>
  <si>
    <t xml:space="preserve">I Know Where I'm Going!</t>
  </si>
  <si>
    <t xml:space="preserve">Detour</t>
  </si>
  <si>
    <t xml:space="preserve">The Body Snatcher</t>
  </si>
  <si>
    <t xml:space="preserve">Isle of the Dead</t>
  </si>
  <si>
    <t xml:space="preserve">Mildred Pierce</t>
  </si>
  <si>
    <t xml:space="preserve">The Lost Weekend</t>
  </si>
  <si>
    <t xml:space="preserve">Spellbound</t>
  </si>
  <si>
    <t xml:space="preserve">Shoeshine</t>
  </si>
  <si>
    <t xml:space="preserve">Paisan</t>
  </si>
  <si>
    <t xml:space="preserve">Enamorada</t>
  </si>
  <si>
    <t xml:space="preserve">Emilio Fernández</t>
  </si>
  <si>
    <t xml:space="preserve">The Killers</t>
  </si>
  <si>
    <t xml:space="preserve">Robert Siodmak</t>
  </si>
  <si>
    <t xml:space="preserve">Gilda</t>
  </si>
  <si>
    <t xml:space="preserve">Charles Vidor</t>
  </si>
  <si>
    <t xml:space="preserve">Black Narcissus</t>
  </si>
  <si>
    <t xml:space="preserve">Out of the Past</t>
  </si>
  <si>
    <t xml:space="preserve">T-Men</t>
  </si>
  <si>
    <t xml:space="preserve">Anthony Mann</t>
  </si>
  <si>
    <t xml:space="preserve">Nightmare Alley</t>
  </si>
  <si>
    <t xml:space="preserve">Edmund Goulding</t>
  </si>
  <si>
    <t xml:space="preserve">Dark Passage</t>
  </si>
  <si>
    <t xml:space="preserve">Delmer Daves</t>
  </si>
  <si>
    <t xml:space="preserve">Miracle on 34th Street</t>
  </si>
  <si>
    <t xml:space="preserve">George Seaton</t>
  </si>
  <si>
    <t xml:space="preserve">Odd Man Out</t>
  </si>
  <si>
    <t xml:space="preserve">Spring in a Small Town</t>
  </si>
  <si>
    <t xml:space="preserve">Fei Mu</t>
  </si>
  <si>
    <t xml:space="preserve">Force of Evil</t>
  </si>
  <si>
    <t xml:space="preserve">Abraham Polonsky</t>
  </si>
  <si>
    <t xml:space="preserve">Letter from an Unknown Woman</t>
  </si>
  <si>
    <t xml:space="preserve">Max Ophüls</t>
  </si>
  <si>
    <t xml:space="preserve">They Live by Night</t>
  </si>
  <si>
    <t xml:space="preserve">Drunken Angel</t>
  </si>
  <si>
    <t xml:space="preserve">Oliver Twist</t>
  </si>
  <si>
    <t xml:space="preserve">The Snake Pit</t>
  </si>
  <si>
    <t xml:space="preserve">Anatole Litvak</t>
  </si>
  <si>
    <t xml:space="preserve">Bitter Rice</t>
  </si>
  <si>
    <t xml:space="preserve">Giuseppe De Santis</t>
  </si>
  <si>
    <t xml:space="preserve">Passport to Pimlico</t>
  </si>
  <si>
    <t xml:space="preserve">Henry Cornelius</t>
  </si>
  <si>
    <t xml:space="preserve">Whisky Galore!</t>
  </si>
  <si>
    <t xml:space="preserve">She Wore a Yellow Ribbon</t>
  </si>
  <si>
    <t xml:space="preserve">White Heat</t>
  </si>
  <si>
    <t xml:space="preserve">Raoul Walsh</t>
  </si>
  <si>
    <t xml:space="preserve">The Heiress</t>
  </si>
  <si>
    <t xml:space="preserve">Adam's Rib</t>
  </si>
  <si>
    <t xml:space="preserve">All the King's Men</t>
  </si>
  <si>
    <t xml:space="preserve">Robert Rossen</t>
  </si>
  <si>
    <t xml:space="preserve">The Set-Up</t>
  </si>
  <si>
    <t xml:space="preserve">Gun Crazy</t>
  </si>
  <si>
    <t xml:space="preserve">Joseph H. Lewis</t>
  </si>
  <si>
    <t xml:space="preserve">Night and the City</t>
  </si>
  <si>
    <t xml:space="preserve">Winchester '73</t>
  </si>
  <si>
    <t xml:space="preserve">Orpheus</t>
  </si>
  <si>
    <t xml:space="preserve">Story of a Love Affair</t>
  </si>
  <si>
    <t xml:space="preserve">The Tales of Hoffmann</t>
  </si>
  <si>
    <t xml:space="preserve">An American in Paris</t>
  </si>
  <si>
    <t xml:space="preserve">Strangers on a Train</t>
  </si>
  <si>
    <t xml:space="preserve">Othello</t>
  </si>
  <si>
    <t xml:space="preserve">The River</t>
  </si>
  <si>
    <t xml:space="preserve">Repast</t>
  </si>
  <si>
    <t xml:space="preserve">Bend of the River</t>
  </si>
  <si>
    <t xml:space="preserve">The Quiet Man</t>
  </si>
  <si>
    <t xml:space="preserve">The Bad and the Beautiful</t>
  </si>
  <si>
    <t xml:space="preserve">Welcome Mr. Marshall!</t>
  </si>
  <si>
    <t xml:space="preserve">Luis García Berlanga</t>
  </si>
  <si>
    <t xml:space="preserve">The Big Heat</t>
  </si>
  <si>
    <t xml:space="preserve">The War of the Worlds</t>
  </si>
  <si>
    <t xml:space="preserve">Byron Haskin</t>
  </si>
  <si>
    <t xml:space="preserve">The Band Wagon</t>
  </si>
  <si>
    <t xml:space="preserve">Gentlemen Prefer Blondes</t>
  </si>
  <si>
    <t xml:space="preserve">The Earrings of Madame de...</t>
  </si>
  <si>
    <t xml:space="preserve">Stalag 17</t>
  </si>
  <si>
    <t xml:space="preserve">Summer with Monika</t>
  </si>
  <si>
    <t xml:space="preserve">El</t>
  </si>
  <si>
    <t xml:space="preserve">Touchez Pas au Grisbi</t>
  </si>
  <si>
    <t xml:space="preserve">Creature from the Black Lagoon</t>
  </si>
  <si>
    <t xml:space="preserve">Jack Arnold</t>
  </si>
  <si>
    <t xml:space="preserve">Them!</t>
  </si>
  <si>
    <t xml:space="preserve">Gordon Douglas</t>
  </si>
  <si>
    <t xml:space="preserve">A Star Is Born</t>
  </si>
  <si>
    <t xml:space="preserve">Magnificent Obsession</t>
  </si>
  <si>
    <t xml:space="preserve">Sabrina</t>
  </si>
  <si>
    <t xml:space="preserve">Dial M for Murder</t>
  </si>
  <si>
    <t xml:space="preserve">Sound of the Mountain</t>
  </si>
  <si>
    <t xml:space="preserve">Hobson's Choice</t>
  </si>
  <si>
    <t xml:space="preserve">Carmen Jones</t>
  </si>
  <si>
    <t xml:space="preserve">Salt of the Earth</t>
  </si>
  <si>
    <t xml:space="preserve">Herbert J. Biberman</t>
  </si>
  <si>
    <t xml:space="preserve">Robinson Crusoe</t>
  </si>
  <si>
    <t xml:space="preserve">A Generation</t>
  </si>
  <si>
    <t xml:space="preserve">Death of a Cyclist</t>
  </si>
  <si>
    <t xml:space="preserve">Juan Antonio Bardem</t>
  </si>
  <si>
    <t xml:space="preserve">The Man from Laramie</t>
  </si>
  <si>
    <t xml:space="preserve">Bad Day at Black Rock</t>
  </si>
  <si>
    <t xml:space="preserve">The Quatermass Xperiment</t>
  </si>
  <si>
    <t xml:space="preserve">Val Guest</t>
  </si>
  <si>
    <t xml:space="preserve">It's Always Fair Weather</t>
  </si>
  <si>
    <t xml:space="preserve">Diabolique</t>
  </si>
  <si>
    <t xml:space="preserve">Mr. Arkadin</t>
  </si>
  <si>
    <t xml:space="preserve">Smiles of a Summer Night</t>
  </si>
  <si>
    <t xml:space="preserve">French Cancan</t>
  </si>
  <si>
    <t xml:space="preserve">Blackboard Jungle</t>
  </si>
  <si>
    <t xml:space="preserve">Richard Brooks</t>
  </si>
  <si>
    <t xml:space="preserve">The Trouble with Harry</t>
  </si>
  <si>
    <t xml:space="preserve">Seven Men from Now</t>
  </si>
  <si>
    <t xml:space="preserve">Forbidden Planet</t>
  </si>
  <si>
    <t xml:space="preserve">Fred M. Wilcox</t>
  </si>
  <si>
    <t xml:space="preserve">Written on the Wind</t>
  </si>
  <si>
    <t xml:space="preserve">Street of Shame</t>
  </si>
  <si>
    <t xml:space="preserve">Rodan</t>
  </si>
  <si>
    <t xml:space="preserve">Baby Doll</t>
  </si>
  <si>
    <t xml:space="preserve">Kanał</t>
  </si>
  <si>
    <t xml:space="preserve">Mother India</t>
  </si>
  <si>
    <t xml:space="preserve">Mehboob Khan</t>
  </si>
  <si>
    <t xml:space="preserve">Decision at Sundown</t>
  </si>
  <si>
    <t xml:space="preserve">3:10 to Yuma</t>
  </si>
  <si>
    <t xml:space="preserve">Night of the Demon</t>
  </si>
  <si>
    <t xml:space="preserve">The Incredible Shrinking Man</t>
  </si>
  <si>
    <t xml:space="preserve">The Pajama Game</t>
  </si>
  <si>
    <t xml:space="preserve">George Abbott, Stanley Donen</t>
  </si>
  <si>
    <t xml:space="preserve">Letter from Siberia</t>
  </si>
  <si>
    <t xml:space="preserve">Tokyo Twilight</t>
  </si>
  <si>
    <t xml:space="preserve">Plan 9 from Outer Space</t>
  </si>
  <si>
    <t xml:space="preserve">Edward D. Wood Jr.</t>
  </si>
  <si>
    <t xml:space="preserve">Le Beau Serge</t>
  </si>
  <si>
    <t xml:space="preserve">Claude Chabrol</t>
  </si>
  <si>
    <t xml:space="preserve">Elevator to the Gallows</t>
  </si>
  <si>
    <t xml:space="preserve">Room at the Top</t>
  </si>
  <si>
    <t xml:space="preserve">Man of the West</t>
  </si>
  <si>
    <t xml:space="preserve">Some Came Running</t>
  </si>
  <si>
    <t xml:space="preserve">Run Silent, Run Deep</t>
  </si>
  <si>
    <t xml:space="preserve">The Great War</t>
  </si>
  <si>
    <t xml:space="preserve">Ballad of a Soldier</t>
  </si>
  <si>
    <t xml:space="preserve">Grigori Chukhrai</t>
  </si>
  <si>
    <t xml:space="preserve">Kaagaz Ke Phool</t>
  </si>
  <si>
    <t xml:space="preserve">The Hound of the Baskervilles</t>
  </si>
  <si>
    <t xml:space="preserve">Sleeping Beauty</t>
  </si>
  <si>
    <t xml:space="preserve">Clyde Geronimi</t>
  </si>
  <si>
    <t xml:space="preserve">Window Water Baby Moving</t>
  </si>
  <si>
    <t xml:space="preserve">Stan Brakhage</t>
  </si>
  <si>
    <t xml:space="preserve">Good Morning</t>
  </si>
  <si>
    <t xml:space="preserve">On the Beach</t>
  </si>
  <si>
    <t xml:space="preserve">Stanley Kramer</t>
  </si>
  <si>
    <t xml:space="preserve">Ben-Hur</t>
  </si>
  <si>
    <t xml:space="preserve">Cruel Story of Youth</t>
  </si>
  <si>
    <t xml:space="preserve">Rocco and His Brothers</t>
  </si>
  <si>
    <t xml:space="preserve">Shoot the Piano Player</t>
  </si>
  <si>
    <t xml:space="preserve">The Cloud-Capped Star</t>
  </si>
  <si>
    <t xml:space="preserve">Ritwik Ghatak</t>
  </si>
  <si>
    <t xml:space="preserve">Mughal-e-Azam</t>
  </si>
  <si>
    <t xml:space="preserve">K. Asif</t>
  </si>
  <si>
    <t xml:space="preserve">Comanche Station</t>
  </si>
  <si>
    <t xml:space="preserve">Primary</t>
  </si>
  <si>
    <t xml:space="preserve">Robert Drew</t>
  </si>
  <si>
    <t xml:space="preserve">The Virgin Spring</t>
  </si>
  <si>
    <t xml:space="preserve">Late Autumn</t>
  </si>
  <si>
    <t xml:space="preserve">Devi</t>
  </si>
  <si>
    <t xml:space="preserve">Inherit the Wind</t>
  </si>
  <si>
    <t xml:space="preserve">Pigs and Battleships</t>
  </si>
  <si>
    <t xml:space="preserve">Shōhei Imamura</t>
  </si>
  <si>
    <t xml:space="preserve">Accattone</t>
  </si>
  <si>
    <t xml:space="preserve">Il Posto</t>
  </si>
  <si>
    <t xml:space="preserve">Ermanno Olmi</t>
  </si>
  <si>
    <t xml:space="preserve">A Taste of Honey</t>
  </si>
  <si>
    <t xml:space="preserve">Tony Richardson</t>
  </si>
  <si>
    <t xml:space="preserve">Aimless Bullet</t>
  </si>
  <si>
    <t xml:space="preserve">Yu Hyun-mok</t>
  </si>
  <si>
    <t xml:space="preserve">Une Femme est une Femme</t>
  </si>
  <si>
    <t xml:space="preserve">Chronicle of a Summer</t>
  </si>
  <si>
    <t xml:space="preserve">Jean Rouch, Edgar Morin</t>
  </si>
  <si>
    <t xml:space="preserve">One, Two, Three</t>
  </si>
  <si>
    <t xml:space="preserve">Through a Glass Darkly</t>
  </si>
  <si>
    <t xml:space="preserve">Victim</t>
  </si>
  <si>
    <t xml:space="preserve">Basil Dearden</t>
  </si>
  <si>
    <t xml:space="preserve">The Children's Hour</t>
  </si>
  <si>
    <t xml:space="preserve">Judgment at Nuremberg</t>
  </si>
  <si>
    <t xml:space="preserve">Breakfast at Tiffany's</t>
  </si>
  <si>
    <t xml:space="preserve">Blake Edwards</t>
  </si>
  <si>
    <t xml:space="preserve">The Hustler</t>
  </si>
  <si>
    <t xml:space="preserve">Mothra</t>
  </si>
  <si>
    <t xml:space="preserve">An Occurrence at Owl Creek Bridge</t>
  </si>
  <si>
    <t xml:space="preserve">Robert Enrico</t>
  </si>
  <si>
    <t xml:space="preserve">Sanjuro</t>
  </si>
  <si>
    <t xml:space="preserve">The Loneliness of the Long Distance Runner</t>
  </si>
  <si>
    <t xml:space="preserve">Dr. No</t>
  </si>
  <si>
    <t xml:space="preserve">The Trial</t>
  </si>
  <si>
    <t xml:space="preserve">Lolita</t>
  </si>
  <si>
    <t xml:space="preserve">Le Doulos</t>
  </si>
  <si>
    <t xml:space="preserve">Advise &amp; Consent</t>
  </si>
  <si>
    <t xml:space="preserve">Birdman of Alcatraz</t>
  </si>
  <si>
    <t xml:space="preserve">Cape Fear</t>
  </si>
  <si>
    <t xml:space="preserve">J. Lee Thompson</t>
  </si>
  <si>
    <t xml:space="preserve">The Insect Woman</t>
  </si>
  <si>
    <t xml:space="preserve">The Girl Who Knew Too Much</t>
  </si>
  <si>
    <t xml:space="preserve">This Sporting Life</t>
  </si>
  <si>
    <t xml:space="preserve">The Servant</t>
  </si>
  <si>
    <t xml:space="preserve">Joseph Losey</t>
  </si>
  <si>
    <t xml:space="preserve">The Executioner</t>
  </si>
  <si>
    <t xml:space="preserve">The House Is Black</t>
  </si>
  <si>
    <t xml:space="preserve">Forough Farrokhzad</t>
  </si>
  <si>
    <t xml:space="preserve">Borom Sarret</t>
  </si>
  <si>
    <t xml:space="preserve">Hud</t>
  </si>
  <si>
    <t xml:space="preserve">Jason and the Argonauts</t>
  </si>
  <si>
    <t xml:space="preserve">Don Chaffey</t>
  </si>
  <si>
    <t xml:space="preserve">Scorpio Rising</t>
  </si>
  <si>
    <t xml:space="preserve">Kenneth Anger</t>
  </si>
  <si>
    <t xml:space="preserve">Flaming Creatures</t>
  </si>
  <si>
    <t xml:space="preserve">Jack Smith</t>
  </si>
  <si>
    <t xml:space="preserve">The Birds</t>
  </si>
  <si>
    <t xml:space="preserve">Shock Corridor</t>
  </si>
  <si>
    <t xml:space="preserve">The Silence</t>
  </si>
  <si>
    <t xml:space="preserve">The Big City</t>
  </si>
  <si>
    <t xml:space="preserve">Blood Feast</t>
  </si>
  <si>
    <t xml:space="preserve">Herschell Gordon Lewis</t>
  </si>
  <si>
    <t xml:space="preserve">Intentions of Murder</t>
  </si>
  <si>
    <t xml:space="preserve">Seduced and Abandoned</t>
  </si>
  <si>
    <t xml:space="preserve">Marriage Italian Style</t>
  </si>
  <si>
    <t xml:space="preserve">Castle of Blood</t>
  </si>
  <si>
    <t xml:space="preserve">Antonio Margheriti, Sergio Corbucci</t>
  </si>
  <si>
    <t xml:space="preserve">Gertrud</t>
  </si>
  <si>
    <t xml:space="preserve">Topkapi</t>
  </si>
  <si>
    <t xml:space="preserve">Goldfinger</t>
  </si>
  <si>
    <t xml:space="preserve">Guy Hamilton</t>
  </si>
  <si>
    <t xml:space="preserve">Empire</t>
  </si>
  <si>
    <t xml:space="preserve">Andy Warhol</t>
  </si>
  <si>
    <t xml:space="preserve">The Naked Kiss</t>
  </si>
  <si>
    <t xml:space="preserve">The Pawnbroker</t>
  </si>
  <si>
    <t xml:space="preserve">The Masque of the Red Death</t>
  </si>
  <si>
    <t xml:space="preserve">Roger Corman</t>
  </si>
  <si>
    <t xml:space="preserve">The Best Man</t>
  </si>
  <si>
    <t xml:space="preserve">Hush... Hush, Sweet Charlotte</t>
  </si>
  <si>
    <t xml:space="preserve">Darling</t>
  </si>
  <si>
    <t xml:space="preserve">Loves of a Blonde</t>
  </si>
  <si>
    <t xml:space="preserve">The Shop on Main Street</t>
  </si>
  <si>
    <t xml:space="preserve">Ján Kadár, Elmar Klos</t>
  </si>
  <si>
    <t xml:space="preserve">The Saragossa Manuscript</t>
  </si>
  <si>
    <t xml:space="preserve">The Loved One</t>
  </si>
  <si>
    <t xml:space="preserve">The Spy Who Came in from the Cold</t>
  </si>
  <si>
    <t xml:space="preserve">The Ipcress File</t>
  </si>
  <si>
    <t xml:space="preserve">Sidney J. Furie</t>
  </si>
  <si>
    <t xml:space="preserve">Dog Star Man</t>
  </si>
  <si>
    <t xml:space="preserve">Chimes at Midnight</t>
  </si>
  <si>
    <t xml:space="preserve">The Hill</t>
  </si>
  <si>
    <t xml:space="preserve">Juliet of the Spirits</t>
  </si>
  <si>
    <t xml:space="preserve">Red Beard</t>
  </si>
  <si>
    <t xml:space="preserve">Doctor Zhivago</t>
  </si>
  <si>
    <t xml:space="preserve">The Pleasure Girls</t>
  </si>
  <si>
    <t xml:space="preserve">Gerry O'Hara</t>
  </si>
  <si>
    <t xml:space="preserve">The Sword of Doom</t>
  </si>
  <si>
    <t xml:space="preserve">Kihachi Okamoto</t>
  </si>
  <si>
    <t xml:space="preserve">Kill, Baby... Kill!</t>
  </si>
  <si>
    <t xml:space="preserve">Come Drink with Me</t>
  </si>
  <si>
    <t xml:space="preserve">Ride in the Whirlwind</t>
  </si>
  <si>
    <t xml:space="preserve">Fahrenheit 451</t>
  </si>
  <si>
    <t xml:space="preserve">Seconds</t>
  </si>
  <si>
    <t xml:space="preserve">Chelsea Girls</t>
  </si>
  <si>
    <t xml:space="preserve">Andy Warhol, Paul Morrissey</t>
  </si>
  <si>
    <t xml:space="preserve">The Flicker</t>
  </si>
  <si>
    <t xml:space="preserve">Tony Conrad</t>
  </si>
  <si>
    <t xml:space="preserve">Masculin Féminin</t>
  </si>
  <si>
    <t xml:space="preserve">The Wild Angels</t>
  </si>
  <si>
    <t xml:space="preserve">The Endless Summer</t>
  </si>
  <si>
    <t xml:space="preserve">Bruce Brown</t>
  </si>
  <si>
    <t xml:space="preserve">Samurai Rebellion</t>
  </si>
  <si>
    <t xml:space="preserve">The Big Gundown</t>
  </si>
  <si>
    <t xml:space="preserve">Sergio Sollima</t>
  </si>
  <si>
    <t xml:space="preserve">A Bullet for the General</t>
  </si>
  <si>
    <t xml:space="preserve">Damiano Damiani</t>
  </si>
  <si>
    <t xml:space="preserve">Poor Cow</t>
  </si>
  <si>
    <t xml:space="preserve">The Firemen's Ball</t>
  </si>
  <si>
    <t xml:space="preserve">I Even Met Happy Gypsies</t>
  </si>
  <si>
    <t xml:space="preserve">Aleksandar Petrović</t>
  </si>
  <si>
    <t xml:space="preserve">The Red and the White</t>
  </si>
  <si>
    <t xml:space="preserve">Entranced Earth</t>
  </si>
  <si>
    <t xml:space="preserve">Dragon Inn</t>
  </si>
  <si>
    <t xml:space="preserve">Quatermass and the Pit</t>
  </si>
  <si>
    <t xml:space="preserve">Roy Ward Baker</t>
  </si>
  <si>
    <t xml:space="preserve">Don't Look Back</t>
  </si>
  <si>
    <t xml:space="preserve">D.A. Pennebaker</t>
  </si>
  <si>
    <t xml:space="preserve">2 or 3 Things I Know About Her</t>
  </si>
  <si>
    <t xml:space="preserve">Weekend</t>
  </si>
  <si>
    <t xml:space="preserve">La Collectionneuse</t>
  </si>
  <si>
    <t xml:space="preserve">Belle de Jour</t>
  </si>
  <si>
    <t xml:space="preserve">Cool Hand Luke</t>
  </si>
  <si>
    <t xml:space="preserve">Stuart Rosenberg</t>
  </si>
  <si>
    <t xml:space="preserve">To Sir, with Love</t>
  </si>
  <si>
    <t xml:space="preserve">James Clavell</t>
  </si>
  <si>
    <t xml:space="preserve">Two for the Road</t>
  </si>
  <si>
    <t xml:space="preserve">In the Heat of the Night</t>
  </si>
  <si>
    <t xml:space="preserve">Norman Jewison</t>
  </si>
  <si>
    <t xml:space="preserve">Herostratus</t>
  </si>
  <si>
    <t xml:space="preserve">Don Levy</t>
  </si>
  <si>
    <t xml:space="preserve">Kill!</t>
  </si>
  <si>
    <t xml:space="preserve">The Hour of the Furnaces</t>
  </si>
  <si>
    <t xml:space="preserve">Fernando Solanas, Octavio Getino</t>
  </si>
  <si>
    <t xml:space="preserve">The Devil Rides Out</t>
  </si>
  <si>
    <t xml:space="preserve">Yellow Submarine</t>
  </si>
  <si>
    <t xml:space="preserve">George Dunning</t>
  </si>
  <si>
    <t xml:space="preserve">High School</t>
  </si>
  <si>
    <t xml:space="preserve">Monterey Pop</t>
  </si>
  <si>
    <t xml:space="preserve">Greetings</t>
  </si>
  <si>
    <t xml:space="preserve">Hour of the Wolf</t>
  </si>
  <si>
    <t xml:space="preserve">Saute ma ville</t>
  </si>
  <si>
    <t xml:space="preserve">Ice Station Zebra</t>
  </si>
  <si>
    <t xml:space="preserve">Joanna</t>
  </si>
  <si>
    <t xml:space="preserve">Michael Sarne</t>
  </si>
  <si>
    <t xml:space="preserve">The Thomas Crown Affair</t>
  </si>
  <si>
    <t xml:space="preserve">Eros + Massacre</t>
  </si>
  <si>
    <t xml:space="preserve">Yoshishige Yoshida</t>
  </si>
  <si>
    <t xml:space="preserve">Early Works</t>
  </si>
  <si>
    <t xml:space="preserve">Želimir Žilnik</t>
  </si>
  <si>
    <t xml:space="preserve">Antonio das Mortes</t>
  </si>
  <si>
    <t xml:space="preserve">Macunaíma</t>
  </si>
  <si>
    <t xml:space="preserve">Joaquim Pedro de Andrade</t>
  </si>
  <si>
    <t xml:space="preserve">Blood of the Condor</t>
  </si>
  <si>
    <t xml:space="preserve">Jorge Sanjinés</t>
  </si>
  <si>
    <t xml:space="preserve">Take the Money and Run</t>
  </si>
  <si>
    <t xml:space="preserve">The Rain People</t>
  </si>
  <si>
    <t xml:space="preserve">Katzelmacher</t>
  </si>
  <si>
    <t xml:space="preserve">The Prime of Miss Jean Brodie</t>
  </si>
  <si>
    <t xml:space="preserve">Blind Beast</t>
  </si>
  <si>
    <t xml:space="preserve">Yasuzō Masumura</t>
  </si>
  <si>
    <t xml:space="preserve">Horrors of Malformed Men</t>
  </si>
  <si>
    <t xml:space="preserve">Teruo Ishii</t>
  </si>
  <si>
    <t xml:space="preserve">Man of Violence</t>
  </si>
  <si>
    <t xml:space="preserve">Pete Walker</t>
  </si>
  <si>
    <t xml:space="preserve">Valerie and Her Week of Wonders</t>
  </si>
  <si>
    <t xml:space="preserve">Little Big Man</t>
  </si>
  <si>
    <t xml:space="preserve">Donkey Skin</t>
  </si>
  <si>
    <t xml:space="preserve">Gimme Shelter</t>
  </si>
  <si>
    <t xml:space="preserve">Woodstock</t>
  </si>
  <si>
    <t xml:space="preserve">Michael Wadleigh</t>
  </si>
  <si>
    <t xml:space="preserve">Zorns Lemma</t>
  </si>
  <si>
    <t xml:space="preserve">Hollis Frampton</t>
  </si>
  <si>
    <t xml:space="preserve">Even Dwarfs Started Small</t>
  </si>
  <si>
    <t xml:space="preserve">Tristana</t>
  </si>
  <si>
    <t xml:space="preserve">The Adversary</t>
  </si>
  <si>
    <t xml:space="preserve">Husbands</t>
  </si>
  <si>
    <t xml:space="preserve">Colossus: The Forbin Project</t>
  </si>
  <si>
    <t xml:space="preserve">Airport</t>
  </si>
  <si>
    <t xml:space="preserve">A Bay of Blood</t>
  </si>
  <si>
    <t xml:space="preserve">How Tasty Was My Little Frenchman</t>
  </si>
  <si>
    <t xml:space="preserve">Wake in Fright</t>
  </si>
  <si>
    <t xml:space="preserve">Ted Kotcheff</t>
  </si>
  <si>
    <t xml:space="preserve">Zachariah</t>
  </si>
  <si>
    <t xml:space="preserve">George Englund</t>
  </si>
  <si>
    <t xml:space="preserve">The Hired Hand</t>
  </si>
  <si>
    <t xml:space="preserve">Peter Fonda</t>
  </si>
  <si>
    <t xml:space="preserve">The Blood on Satan's Claw</t>
  </si>
  <si>
    <t xml:space="preserve">Piers Haggard</t>
  </si>
  <si>
    <t xml:space="preserve">The Devils</t>
  </si>
  <si>
    <t xml:space="preserve">Ken Russell</t>
  </si>
  <si>
    <t xml:space="preserve">THX 1138</t>
  </si>
  <si>
    <t xml:space="preserve">Klute</t>
  </si>
  <si>
    <t xml:space="preserve">Johnny Got His Gun</t>
  </si>
  <si>
    <t xml:space="preserve">Dalton Trumbo</t>
  </si>
  <si>
    <t xml:space="preserve">Land of Silence and Darkness</t>
  </si>
  <si>
    <t xml:space="preserve">Company Limited</t>
  </si>
  <si>
    <t xml:space="preserve">Carnal Knowledge</t>
  </si>
  <si>
    <t xml:space="preserve">A New Leaf</t>
  </si>
  <si>
    <t xml:space="preserve">Minnie and Moskowitz</t>
  </si>
  <si>
    <t xml:space="preserve">Get Carter</t>
  </si>
  <si>
    <t xml:space="preserve">Mike Hodges</t>
  </si>
  <si>
    <t xml:space="preserve">The Moon and the Sledgehammer</t>
  </si>
  <si>
    <t xml:space="preserve">Philip Trevelyan</t>
  </si>
  <si>
    <t xml:space="preserve">Lone Wolf and Cub: Sword of Vengeance</t>
  </si>
  <si>
    <t xml:space="preserve">Kenji Misumi</t>
  </si>
  <si>
    <t xml:space="preserve">Don't Torture a Duckling</t>
  </si>
  <si>
    <t xml:space="preserve">All the Colors of the Dark</t>
  </si>
  <si>
    <t xml:space="preserve">What Have You Done to Solange?</t>
  </si>
  <si>
    <t xml:space="preserve">Massimo Dallamano</t>
  </si>
  <si>
    <t xml:space="preserve">The Italian Connection</t>
  </si>
  <si>
    <t xml:space="preserve">Greaser's Palace</t>
  </si>
  <si>
    <t xml:space="preserve">Robert Downey Sr.</t>
  </si>
  <si>
    <t xml:space="preserve">Silent Running</t>
  </si>
  <si>
    <t xml:space="preserve">Douglas Trumbull</t>
  </si>
  <si>
    <t xml:space="preserve">Love in the Afternoon</t>
  </si>
  <si>
    <t xml:space="preserve">Super Fly</t>
  </si>
  <si>
    <t xml:space="preserve">Gordon Parks Jr.</t>
  </si>
  <si>
    <t xml:space="preserve">Across 110th Street</t>
  </si>
  <si>
    <t xml:space="preserve">Barry Shear</t>
  </si>
  <si>
    <t xml:space="preserve">Blacula</t>
  </si>
  <si>
    <t xml:space="preserve">William Crain</t>
  </si>
  <si>
    <t xml:space="preserve">The Candidate</t>
  </si>
  <si>
    <t xml:space="preserve">Michael Ritchie</t>
  </si>
  <si>
    <t xml:space="preserve">Slaughterhouse-Five</t>
  </si>
  <si>
    <t xml:space="preserve">Fat City</t>
  </si>
  <si>
    <t xml:space="preserve">Sleuth</t>
  </si>
  <si>
    <t xml:space="preserve">Female Prisoner #701: Scorpion</t>
  </si>
  <si>
    <t xml:space="preserve">Shunya Itō</t>
  </si>
  <si>
    <t xml:space="preserve">Torso</t>
  </si>
  <si>
    <t xml:space="preserve">The Boss</t>
  </si>
  <si>
    <t xml:space="preserve">Garm Hava</t>
  </si>
  <si>
    <t xml:space="preserve">M.S. Sathyu</t>
  </si>
  <si>
    <t xml:space="preserve">Pat Garrett &amp; Billy the Kid</t>
  </si>
  <si>
    <t xml:space="preserve">Soylent Green</t>
  </si>
  <si>
    <t xml:space="preserve">Richard Fleischer</t>
  </si>
  <si>
    <t xml:space="preserve">The Seven-Ups</t>
  </si>
  <si>
    <t xml:space="preserve">Philip D'Antoni</t>
  </si>
  <si>
    <t xml:space="preserve">Fantastic Planet</t>
  </si>
  <si>
    <t xml:space="preserve">René Laloux</t>
  </si>
  <si>
    <t xml:space="preserve">Wattstax</t>
  </si>
  <si>
    <t xml:space="preserve">Mel Stuart</t>
  </si>
  <si>
    <t xml:space="preserve">Hotel Monterey</t>
  </si>
  <si>
    <t xml:space="preserve">Papillon</t>
  </si>
  <si>
    <t xml:space="preserve">The Paper Chase</t>
  </si>
  <si>
    <t xml:space="preserve">James Bridges</t>
  </si>
  <si>
    <t xml:space="preserve">A River Called Titas</t>
  </si>
  <si>
    <t xml:space="preserve">We All Loved Each Other So Much</t>
  </si>
  <si>
    <t xml:space="preserve">Ettore Scola</t>
  </si>
  <si>
    <t xml:space="preserve">Rabid Dogs</t>
  </si>
  <si>
    <t xml:space="preserve">Street Law</t>
  </si>
  <si>
    <t xml:space="preserve">Enzo G. Castellari</t>
  </si>
  <si>
    <t xml:space="preserve">Ankur</t>
  </si>
  <si>
    <t xml:space="preserve">Shyam Benegal</t>
  </si>
  <si>
    <t xml:space="preserve">Blazing Saddles</t>
  </si>
  <si>
    <t xml:space="preserve">Hearts and Minds</t>
  </si>
  <si>
    <t xml:space="preserve">Peter Davis</t>
  </si>
  <si>
    <t xml:space="preserve">The Phantom of Liberty</t>
  </si>
  <si>
    <t xml:space="preserve">Alice Doesn't Live Here Anymore</t>
  </si>
  <si>
    <t xml:space="preserve">California Split</t>
  </si>
  <si>
    <t xml:space="preserve">Thieves Like Us</t>
  </si>
  <si>
    <t xml:space="preserve">Lancelot du Lac</t>
  </si>
  <si>
    <t xml:space="preserve">Je Tu Il Elle</t>
  </si>
  <si>
    <t xml:space="preserve">Foxy Brown</t>
  </si>
  <si>
    <t xml:space="preserve">The Great Gatsby</t>
  </si>
  <si>
    <t xml:space="preserve">Earthquake</t>
  </si>
  <si>
    <t xml:space="preserve">Symptoms</t>
  </si>
  <si>
    <t xml:space="preserve">José Ramón Larraz</t>
  </si>
  <si>
    <t xml:space="preserve">Violent Rome</t>
  </si>
  <si>
    <t xml:space="preserve">Marino Girolami</t>
  </si>
  <si>
    <t xml:space="preserve">The Battle of Chile</t>
  </si>
  <si>
    <t xml:space="preserve">Patricio Guzmán</t>
  </si>
  <si>
    <t xml:space="preserve">Deewaar</t>
  </si>
  <si>
    <t xml:space="preserve">Yash Chopra</t>
  </si>
  <si>
    <t xml:space="preserve">Xala</t>
  </si>
  <si>
    <t xml:space="preserve">Night Moves</t>
  </si>
  <si>
    <t xml:space="preserve">Monty Python and the Holy Grail</t>
  </si>
  <si>
    <t xml:space="preserve">Terry Gilliam, Terry Jones</t>
  </si>
  <si>
    <t xml:space="preserve">The Man Who Would Be King</t>
  </si>
  <si>
    <t xml:space="preserve">Shampoo</t>
  </si>
  <si>
    <t xml:space="preserve">The Passenger</t>
  </si>
  <si>
    <t xml:space="preserve">The Story of Adèle H.</t>
  </si>
  <si>
    <t xml:space="preserve">Fox and His Friends</t>
  </si>
  <si>
    <t xml:space="preserve">Dersu Uzala</t>
  </si>
  <si>
    <t xml:space="preserve">Bush Mama</t>
  </si>
  <si>
    <t xml:space="preserve">Haile Gerima</t>
  </si>
  <si>
    <t xml:space="preserve">Dolemite</t>
  </si>
  <si>
    <t xml:space="preserve">D'Urville Martin</t>
  </si>
  <si>
    <t xml:space="preserve">Death Race 2000</t>
  </si>
  <si>
    <t xml:space="preserve">Paul Bartel</t>
  </si>
  <si>
    <t xml:space="preserve">The Eiger Sanction</t>
  </si>
  <si>
    <t xml:space="preserve">Requiem for a Village</t>
  </si>
  <si>
    <t xml:space="preserve">David Gladwell</t>
  </si>
  <si>
    <t xml:space="preserve">In the Realm of the Senses</t>
  </si>
  <si>
    <t xml:space="preserve">Cría Cuervos</t>
  </si>
  <si>
    <t xml:space="preserve">Carlos Saura</t>
  </si>
  <si>
    <t xml:space="preserve">The Outlaw Josey Wales</t>
  </si>
  <si>
    <t xml:space="preserve">The Omen</t>
  </si>
  <si>
    <t xml:space="preserve">Richard Donner</t>
  </si>
  <si>
    <t xml:space="preserve">Marathon Man</t>
  </si>
  <si>
    <t xml:space="preserve">Bound for Glory</t>
  </si>
  <si>
    <t xml:space="preserve">Assault on Precinct 13</t>
  </si>
  <si>
    <t xml:space="preserve">The Middleman</t>
  </si>
  <si>
    <t xml:space="preserve">The Killing of a Chinese Bookie</t>
  </si>
  <si>
    <t xml:space="preserve">The American Friend</t>
  </si>
  <si>
    <t xml:space="preserve">Man of Marble</t>
  </si>
  <si>
    <t xml:space="preserve">Ceddo</t>
  </si>
  <si>
    <t xml:space="preserve">The Last Wave</t>
  </si>
  <si>
    <t xml:space="preserve">Capricorn One</t>
  </si>
  <si>
    <t xml:space="preserve">Peter Hyams</t>
  </si>
  <si>
    <t xml:space="preserve">3 Women</t>
  </si>
  <si>
    <t xml:space="preserve">One Sings, the Other Doesn't</t>
  </si>
  <si>
    <t xml:space="preserve">That Obscure Object of Desire</t>
  </si>
  <si>
    <t xml:space="preserve">Riddles of the Sphinx</t>
  </si>
  <si>
    <t xml:space="preserve">Laura Mulvey, Peter Wollen</t>
  </si>
  <si>
    <t xml:space="preserve">Slap Shot</t>
  </si>
  <si>
    <t xml:space="preserve">Superman</t>
  </si>
  <si>
    <t xml:space="preserve">The 36th Chamber of Shaolin</t>
  </si>
  <si>
    <t xml:space="preserve">Lau Kar-leung</t>
  </si>
  <si>
    <t xml:space="preserve">The Chant of Jimmie Blacksmith</t>
  </si>
  <si>
    <t xml:space="preserve">Fred Schepisi</t>
  </si>
  <si>
    <t xml:space="preserve">Animal House</t>
  </si>
  <si>
    <t xml:space="preserve">Watership Down</t>
  </si>
  <si>
    <t xml:space="preserve">Martin Rosen</t>
  </si>
  <si>
    <t xml:space="preserve">In a Year of 13 Moons</t>
  </si>
  <si>
    <t xml:space="preserve">Les Rendez-vous d'Anna</t>
  </si>
  <si>
    <t xml:space="preserve">Blue Collar</t>
  </si>
  <si>
    <t xml:space="preserve">Midnight Express</t>
  </si>
  <si>
    <t xml:space="preserve">Alan Parker</t>
  </si>
  <si>
    <t xml:space="preserve">Philip Kaufman</t>
  </si>
  <si>
    <t xml:space="preserve">Big Wednesday</t>
  </si>
  <si>
    <t xml:space="preserve">John Milius</t>
  </si>
  <si>
    <t xml:space="preserve">The Inglorious Bastards</t>
  </si>
  <si>
    <t xml:space="preserve">Gates of Heaven</t>
  </si>
  <si>
    <t xml:space="preserve">The Tin Drum</t>
  </si>
  <si>
    <t xml:space="preserve">Volker Schlöndorff</t>
  </si>
  <si>
    <t xml:space="preserve">The Secret</t>
  </si>
  <si>
    <t xml:space="preserve">Ann Hui</t>
  </si>
  <si>
    <t xml:space="preserve">My Brilliant Career</t>
  </si>
  <si>
    <t xml:space="preserve">Gillian Armstrong</t>
  </si>
  <si>
    <t xml:space="preserve">All That Jazz</t>
  </si>
  <si>
    <t xml:space="preserve">Nosferatu the Vampyre</t>
  </si>
  <si>
    <t xml:space="preserve">The China Syndrome</t>
  </si>
  <si>
    <t xml:space="preserve">City of the Living Dead</t>
  </si>
  <si>
    <t xml:space="preserve">Pixote</t>
  </si>
  <si>
    <t xml:space="preserve">Héctor Babenco</t>
  </si>
  <si>
    <t xml:space="preserve">The Ninth Configuration</t>
  </si>
  <si>
    <t xml:space="preserve">William Peter Blatty</t>
  </si>
  <si>
    <t xml:space="preserve">Friday the 13th</t>
  </si>
  <si>
    <t xml:space="preserve">Sean S. Cunningham</t>
  </si>
  <si>
    <t xml:space="preserve">The Empire Strikes Back</t>
  </si>
  <si>
    <t xml:space="preserve">Irvin Kershner</t>
  </si>
  <si>
    <t xml:space="preserve">Caddyshack</t>
  </si>
  <si>
    <t xml:space="preserve">The Fog</t>
  </si>
  <si>
    <t xml:space="preserve">The Elephant Man</t>
  </si>
  <si>
    <t xml:space="preserve">The Last Metro</t>
  </si>
  <si>
    <t xml:space="preserve">Kagemusha</t>
  </si>
  <si>
    <t xml:space="preserve">Taxi zum Klo</t>
  </si>
  <si>
    <t xml:space="preserve">Frank Ripploh</t>
  </si>
  <si>
    <t xml:space="preserve">Prom Night</t>
  </si>
  <si>
    <t xml:space="preserve">Paul Lynch</t>
  </si>
  <si>
    <t xml:space="preserve">Mephisto</t>
  </si>
  <si>
    <t xml:space="preserve">István Szabó</t>
  </si>
  <si>
    <t xml:space="preserve">Mad Max 2</t>
  </si>
  <si>
    <t xml:space="preserve">Escape from New York</t>
  </si>
  <si>
    <t xml:space="preserve">Trances</t>
  </si>
  <si>
    <t xml:space="preserve">Ahmed El Maânouni</t>
  </si>
  <si>
    <t xml:space="preserve">Made in Britain</t>
  </si>
  <si>
    <t xml:space="preserve">Alan Clarke</t>
  </si>
  <si>
    <t xml:space="preserve">Boat People</t>
  </si>
  <si>
    <t xml:space="preserve">Poltergeist</t>
  </si>
  <si>
    <t xml:space="preserve">Tron</t>
  </si>
  <si>
    <t xml:space="preserve">Steven Lisberger</t>
  </si>
  <si>
    <t xml:space="preserve">First Blood</t>
  </si>
  <si>
    <t xml:space="preserve">Koyaanisqatsi</t>
  </si>
  <si>
    <t xml:space="preserve">Godfrey Reggio</t>
  </si>
  <si>
    <t xml:space="preserve">White Dog</t>
  </si>
  <si>
    <t xml:space="preserve">One from the Heart</t>
  </si>
  <si>
    <t xml:space="preserve">Veronika Voss</t>
  </si>
  <si>
    <t xml:space="preserve">Toute une nuit</t>
  </si>
  <si>
    <t xml:space="preserve">Ashes &amp; Embers</t>
  </si>
  <si>
    <t xml:space="preserve">The Atomic Cafe</t>
  </si>
  <si>
    <t xml:space="preserve">Jayne Loader, Kevin Rafferty, Pierce Rafferty</t>
  </si>
  <si>
    <t xml:space="preserve">Shoot the Moon</t>
  </si>
  <si>
    <t xml:space="preserve">Creepshow</t>
  </si>
  <si>
    <t xml:space="preserve">Diner</t>
  </si>
  <si>
    <t xml:space="preserve">Barry Levinson</t>
  </si>
  <si>
    <t xml:space="preserve">Liquid Sky</t>
  </si>
  <si>
    <t xml:space="preserve">Slava Tsukerman</t>
  </si>
  <si>
    <t xml:space="preserve">Sophie's Choice</t>
  </si>
  <si>
    <t xml:space="preserve">Meantime</t>
  </si>
  <si>
    <t xml:space="preserve">Project A</t>
  </si>
  <si>
    <t xml:space="preserve">Sleepaway Camp</t>
  </si>
  <si>
    <t xml:space="preserve">Robert Hiltzik</t>
  </si>
  <si>
    <t xml:space="preserve">Zelig</t>
  </si>
  <si>
    <t xml:space="preserve">The Outsiders</t>
  </si>
  <si>
    <t xml:space="preserve">Rumble Fish</t>
  </si>
  <si>
    <t xml:space="preserve">Christine</t>
  </si>
  <si>
    <t xml:space="preserve">The Dead Zone</t>
  </si>
  <si>
    <t xml:space="preserve">Pauline at the Beach</t>
  </si>
  <si>
    <t xml:space="preserve">Nostalghia</t>
  </si>
  <si>
    <t xml:space="preserve">Silkwood</t>
  </si>
  <si>
    <t xml:space="preserve">Bless Their Little Hearts</t>
  </si>
  <si>
    <t xml:space="preserve">Billy Woodberry</t>
  </si>
  <si>
    <t xml:space="preserve">My Brother's Wedding</t>
  </si>
  <si>
    <t xml:space="preserve">WarGames</t>
  </si>
  <si>
    <t xml:space="preserve">John Badham</t>
  </si>
  <si>
    <t xml:space="preserve">Barefoot Gen</t>
  </si>
  <si>
    <t xml:space="preserve">Mori Masaki</t>
  </si>
  <si>
    <t xml:space="preserve">A Christmas Story</t>
  </si>
  <si>
    <t xml:space="preserve">Repentance</t>
  </si>
  <si>
    <t xml:space="preserve">Tengiz Abuladze</t>
  </si>
  <si>
    <t xml:space="preserve">Yellow Earth</t>
  </si>
  <si>
    <t xml:space="preserve">A Nightmare on Elm Street</t>
  </si>
  <si>
    <t xml:space="preserve">Top Secret!</t>
  </si>
  <si>
    <t xml:space="preserve">Ghostbusters</t>
  </si>
  <si>
    <t xml:space="preserve">Ivan Reitman</t>
  </si>
  <si>
    <t xml:space="preserve">Starman</t>
  </si>
  <si>
    <t xml:space="preserve">Nausicaä of the Valley of the Wind</t>
  </si>
  <si>
    <t xml:space="preserve">Love Streams</t>
  </si>
  <si>
    <t xml:space="preserve">Gremlins</t>
  </si>
  <si>
    <t xml:space="preserve">Joe Dante</t>
  </si>
  <si>
    <t xml:space="preserve">Witness</t>
  </si>
  <si>
    <t xml:space="preserve">Subway</t>
  </si>
  <si>
    <t xml:space="preserve">A Time to Live, a Time to Die</t>
  </si>
  <si>
    <t xml:space="preserve">Day of the Dead</t>
  </si>
  <si>
    <t xml:space="preserve">The Return of the Living Dead</t>
  </si>
  <si>
    <t xml:space="preserve">Dan O'Bannon</t>
  </si>
  <si>
    <t xml:space="preserve">Jagged Edge</t>
  </si>
  <si>
    <t xml:space="preserve">Richard Marquand</t>
  </si>
  <si>
    <t xml:space="preserve">Sherman's March</t>
  </si>
  <si>
    <t xml:space="preserve">Ross McElwee</t>
  </si>
  <si>
    <t xml:space="preserve">My Beautiful Laundrette</t>
  </si>
  <si>
    <t xml:space="preserve">My Life as a Dog</t>
  </si>
  <si>
    <t xml:space="preserve">Lasse Hallström</t>
  </si>
  <si>
    <t xml:space="preserve">Clue</t>
  </si>
  <si>
    <t xml:space="preserve">Jonathan Lynn</t>
  </si>
  <si>
    <t xml:space="preserve">Top Gun</t>
  </si>
  <si>
    <t xml:space="preserve">Tony Scott</t>
  </si>
  <si>
    <t xml:space="preserve">Betty Blue</t>
  </si>
  <si>
    <t xml:space="preserve">Mauvais Sang</t>
  </si>
  <si>
    <t xml:space="preserve">A Better Tomorrow</t>
  </si>
  <si>
    <t xml:space="preserve">Terrorizers</t>
  </si>
  <si>
    <t xml:space="preserve">The Decline of the American Empire</t>
  </si>
  <si>
    <t xml:space="preserve">Denys Arcand</t>
  </si>
  <si>
    <t xml:space="preserve">Little Shop of Horrors</t>
  </si>
  <si>
    <t xml:space="preserve">Frank Oz</t>
  </si>
  <si>
    <t xml:space="preserve">Big Trouble in Little China</t>
  </si>
  <si>
    <t xml:space="preserve">Down by Law</t>
  </si>
  <si>
    <t xml:space="preserve">Golden Eighties</t>
  </si>
  <si>
    <t xml:space="preserve">Shadows in Paradise</t>
  </si>
  <si>
    <t xml:space="preserve">Castle in the Sky</t>
  </si>
  <si>
    <t xml:space="preserve">Mala Noche</t>
  </si>
  <si>
    <t xml:space="preserve">Something Wild</t>
  </si>
  <si>
    <t xml:space="preserve">'Round Midnight</t>
  </si>
  <si>
    <t xml:space="preserve">Bertrand Tavernier</t>
  </si>
  <si>
    <t xml:space="preserve">A Chinese Ghost Story</t>
  </si>
  <si>
    <t xml:space="preserve">Ching Siu-tung</t>
  </si>
  <si>
    <t xml:space="preserve">Rouge</t>
  </si>
  <si>
    <t xml:space="preserve">Stanley Kwan</t>
  </si>
  <si>
    <t xml:space="preserve">Yeelen</t>
  </si>
  <si>
    <t xml:space="preserve">Souleymane Cissé</t>
  </si>
  <si>
    <t xml:space="preserve">House of Games</t>
  </si>
  <si>
    <t xml:space="preserve">David Mamet</t>
  </si>
  <si>
    <t xml:space="preserve">Fatal Attraction</t>
  </si>
  <si>
    <t xml:space="preserve">Adrian Lyne</t>
  </si>
  <si>
    <t xml:space="preserve">Moonstruck</t>
  </si>
  <si>
    <t xml:space="preserve">Lethal Weapon</t>
  </si>
  <si>
    <t xml:space="preserve">Predator</t>
  </si>
  <si>
    <t xml:space="preserve">Empire of the Sun</t>
  </si>
  <si>
    <t xml:space="preserve">Raising Arizona</t>
  </si>
  <si>
    <t xml:space="preserve">Blind Chance</t>
  </si>
  <si>
    <t xml:space="preserve">Law of Desire</t>
  </si>
  <si>
    <t xml:space="preserve">Hollywood Shuffle</t>
  </si>
  <si>
    <t xml:space="preserve">Robert Townsend</t>
  </si>
  <si>
    <t xml:space="preserve">Withnail &amp; I</t>
  </si>
  <si>
    <t xml:space="preserve">Bruce Robinson</t>
  </si>
  <si>
    <t xml:space="preserve">Time of the Gypsies</t>
  </si>
  <si>
    <t xml:space="preserve">Red Sorghum</t>
  </si>
  <si>
    <t xml:space="preserve">The Naked Gun: From the Files of Police Squad!</t>
  </si>
  <si>
    <t xml:space="preserve">David Zucker</t>
  </si>
  <si>
    <t xml:space="preserve">Coming to America</t>
  </si>
  <si>
    <t xml:space="preserve">Frantic</t>
  </si>
  <si>
    <t xml:space="preserve">Alice</t>
  </si>
  <si>
    <t xml:space="preserve">Jan Švankmajer</t>
  </si>
  <si>
    <t xml:space="preserve">Running on Empty</t>
  </si>
  <si>
    <t xml:space="preserve">A Short Film About Killing</t>
  </si>
  <si>
    <t xml:space="preserve">A Short Film About Love</t>
  </si>
  <si>
    <t xml:space="preserve">Chocolat</t>
  </si>
  <si>
    <t xml:space="preserve">Ariel</t>
  </si>
  <si>
    <t xml:space="preserve">As Tears Go By</t>
  </si>
  <si>
    <t xml:space="preserve">Working Girl</t>
  </si>
  <si>
    <t xml:space="preserve">Tanner '88</t>
  </si>
  <si>
    <t xml:space="preserve">Stand and Deliver</t>
  </si>
  <si>
    <t xml:space="preserve">Ramón Menéndez</t>
  </si>
  <si>
    <t xml:space="preserve">Bull Durham</t>
  </si>
  <si>
    <t xml:space="preserve">Ron Shelton</t>
  </si>
  <si>
    <t xml:space="preserve">Bird</t>
  </si>
  <si>
    <t xml:space="preserve">Cinema Paradiso</t>
  </si>
  <si>
    <t xml:space="preserve">Giuseppe Tornatore</t>
  </si>
  <si>
    <t xml:space="preserve">Batman</t>
  </si>
  <si>
    <t xml:space="preserve">The Killer</t>
  </si>
  <si>
    <t xml:space="preserve">Jesus of Montreal</t>
  </si>
  <si>
    <t xml:space="preserve">Heathers</t>
  </si>
  <si>
    <t xml:space="preserve">Michael Lehmann</t>
  </si>
  <si>
    <t xml:space="preserve">Sea of Love</t>
  </si>
  <si>
    <t xml:space="preserve">Harold Becker</t>
  </si>
  <si>
    <t xml:space="preserve">Born on the Fourth of July</t>
  </si>
  <si>
    <t xml:space="preserve">The Little Mermaid</t>
  </si>
  <si>
    <t xml:space="preserve">Ron Clements, John Musker</t>
  </si>
  <si>
    <t xml:space="preserve">Dekalog</t>
  </si>
  <si>
    <t xml:space="preserve">Tongues Untied</t>
  </si>
  <si>
    <t xml:space="preserve">Marlon Riggs</t>
  </si>
  <si>
    <t xml:space="preserve">Crimes and Misdemeanors</t>
  </si>
  <si>
    <t xml:space="preserve">Fat Man and Little Boy</t>
  </si>
  <si>
    <t xml:space="preserve">Roland Joffé</t>
  </si>
  <si>
    <t xml:space="preserve">The War of the Roses</t>
  </si>
  <si>
    <t xml:space="preserve">Danny DeVito</t>
  </si>
  <si>
    <t xml:space="preserve">Glory</t>
  </si>
  <si>
    <t xml:space="preserve">Edward Zwick</t>
  </si>
  <si>
    <t xml:space="preserve">Nikita</t>
  </si>
  <si>
    <t xml:space="preserve">An Angel at My Table</t>
  </si>
  <si>
    <t xml:space="preserve">Dances with Wolves</t>
  </si>
  <si>
    <t xml:space="preserve">Kevin Costner</t>
  </si>
  <si>
    <t xml:space="preserve">Mo' Better Blues</t>
  </si>
  <si>
    <t xml:space="preserve">The Match Factory Girl</t>
  </si>
  <si>
    <t xml:space="preserve">To Sleep with Anger</t>
  </si>
  <si>
    <t xml:space="preserve">Jacob's Ladder</t>
  </si>
  <si>
    <t xml:space="preserve">Home Alone</t>
  </si>
  <si>
    <t xml:space="preserve">Chris Columbus</t>
  </si>
  <si>
    <t xml:space="preserve">The Lovers on the Bridge</t>
  </si>
  <si>
    <t xml:space="preserve">Delicatessen</t>
  </si>
  <si>
    <t xml:space="preserve">Jean-Pierre Jeunet, Marc Caro</t>
  </si>
  <si>
    <t xml:space="preserve">Riff-Raff</t>
  </si>
  <si>
    <t xml:space="preserve">Once Upon a Time in China</t>
  </si>
  <si>
    <t xml:space="preserve">Tsui Hark</t>
  </si>
  <si>
    <t xml:space="preserve">Center Stage</t>
  </si>
  <si>
    <t xml:space="preserve">Hot Shots!</t>
  </si>
  <si>
    <t xml:space="preserve">Jim Abrahams</t>
  </si>
  <si>
    <t xml:space="preserve">Point Break</t>
  </si>
  <si>
    <t xml:space="preserve">Beauty and the Beast</t>
  </si>
  <si>
    <t xml:space="preserve">Gary Trousdale, Kirk Wise</t>
  </si>
  <si>
    <t xml:space="preserve">Naked Lunch</t>
  </si>
  <si>
    <t xml:space="preserve">Jungle Fever</t>
  </si>
  <si>
    <t xml:space="preserve">Only Yesterday</t>
  </si>
  <si>
    <t xml:space="preserve">Mississippi Masala</t>
  </si>
  <si>
    <t xml:space="preserve">Mira Nair</t>
  </si>
  <si>
    <t xml:space="preserve">Thelma &amp; Louise</t>
  </si>
  <si>
    <t xml:space="preserve">The Commitments</t>
  </si>
  <si>
    <t xml:space="preserve">New Jack City</t>
  </si>
  <si>
    <t xml:space="preserve">Mario Van Peebles</t>
  </si>
  <si>
    <t xml:space="preserve">Straight Out of Brooklyn</t>
  </si>
  <si>
    <t xml:space="preserve">Matty Rich</t>
  </si>
  <si>
    <t xml:space="preserve">Hyenas</t>
  </si>
  <si>
    <t xml:space="preserve">Braindead</t>
  </si>
  <si>
    <t xml:space="preserve">Bram Stoker's Dracula</t>
  </si>
  <si>
    <t xml:space="preserve">Twin Peaks: Fire Walk with Me</t>
  </si>
  <si>
    <t xml:space="preserve">Lessons of Darkness</t>
  </si>
  <si>
    <t xml:space="preserve">Benny's Video</t>
  </si>
  <si>
    <t xml:space="preserve">Porco Rosso</t>
  </si>
  <si>
    <t xml:space="preserve">Rebels of the Neon God</t>
  </si>
  <si>
    <t xml:space="preserve">The Living End</t>
  </si>
  <si>
    <t xml:space="preserve">Gregg Araki</t>
  </si>
  <si>
    <t xml:space="preserve">Swoon</t>
  </si>
  <si>
    <t xml:space="preserve">Tom Kalin</t>
  </si>
  <si>
    <t xml:space="preserve">Glengarry Glen Ross</t>
  </si>
  <si>
    <t xml:space="preserve">James Foley</t>
  </si>
  <si>
    <t xml:space="preserve">My Cousin Vinny</t>
  </si>
  <si>
    <t xml:space="preserve">Husbands and Wives</t>
  </si>
  <si>
    <t xml:space="preserve">White Men Can't Jump</t>
  </si>
  <si>
    <t xml:space="preserve">Like Water for Chocolate</t>
  </si>
  <si>
    <t xml:space="preserve">Alfonso Arau</t>
  </si>
  <si>
    <t xml:space="preserve">Light Sleeper</t>
  </si>
  <si>
    <t xml:space="preserve">Strawberry and Chocolate</t>
  </si>
  <si>
    <t xml:space="preserve">Tomás Gutiérrez Alea, Juan Carlos Tabío</t>
  </si>
  <si>
    <t xml:space="preserve">The Puppetmaster</t>
  </si>
  <si>
    <t xml:space="preserve">The Blue Kite</t>
  </si>
  <si>
    <t xml:space="preserve">Tian Zhuangzhuang</t>
  </si>
  <si>
    <t xml:space="preserve">Sleepless in Seattle</t>
  </si>
  <si>
    <t xml:space="preserve">Nora Ephron</t>
  </si>
  <si>
    <t xml:space="preserve">Wallace &amp; Gromit: The Wrong Trousers</t>
  </si>
  <si>
    <t xml:space="preserve">Nick Park</t>
  </si>
  <si>
    <t xml:space="preserve">Carlito's Way</t>
  </si>
  <si>
    <t xml:space="preserve">King of the Hill</t>
  </si>
  <si>
    <t xml:space="preserve">D'Est</t>
  </si>
  <si>
    <t xml:space="preserve">The War Room</t>
  </si>
  <si>
    <t xml:space="preserve">Chris Hegedus, D.A. Pennebaker</t>
  </si>
  <si>
    <t xml:space="preserve">Philadelphia</t>
  </si>
  <si>
    <t xml:space="preserve">Tombstone</t>
  </si>
  <si>
    <t xml:space="preserve">George P. Cosmatos</t>
  </si>
  <si>
    <t xml:space="preserve">Heart of Darkness</t>
  </si>
  <si>
    <t xml:space="preserve">Drunken Master II</t>
  </si>
  <si>
    <t xml:space="preserve">Vive L'Amour</t>
  </si>
  <si>
    <t xml:space="preserve">To Live</t>
  </si>
  <si>
    <t xml:space="preserve">Dumb and Dumber</t>
  </si>
  <si>
    <t xml:space="preserve">Peter Farrelly</t>
  </si>
  <si>
    <t xml:space="preserve">Speed</t>
  </si>
  <si>
    <t xml:space="preserve">Jan de Bont</t>
  </si>
  <si>
    <t xml:space="preserve">The Lion King</t>
  </si>
  <si>
    <t xml:space="preserve">Roger Allers, Rob Minkoff</t>
  </si>
  <si>
    <t xml:space="preserve">Crooklyn</t>
  </si>
  <si>
    <t xml:space="preserve">Three Colors: White</t>
  </si>
  <si>
    <t xml:space="preserve">Three Colors: Red</t>
  </si>
  <si>
    <t xml:space="preserve">I Can't Sleep</t>
  </si>
  <si>
    <t xml:space="preserve">Pom Poko</t>
  </si>
  <si>
    <t xml:space="preserve">A Confucian Confusion</t>
  </si>
  <si>
    <t xml:space="preserve">Quiz Show</t>
  </si>
  <si>
    <t xml:space="preserve">The Browning Version</t>
  </si>
  <si>
    <t xml:space="preserve">Mike Figgis</t>
  </si>
  <si>
    <t xml:space="preserve">Eat Drink Man Woman</t>
  </si>
  <si>
    <t xml:space="preserve">The Shawshank Redemption</t>
  </si>
  <si>
    <t xml:space="preserve">Frank Darabont</t>
  </si>
  <si>
    <t xml:space="preserve">Forrest Gump</t>
  </si>
  <si>
    <t xml:space="preserve">The Usual Suspects</t>
  </si>
  <si>
    <t xml:space="preserve">Bryan Singer</t>
  </si>
  <si>
    <t xml:space="preserve">Safe</t>
  </si>
  <si>
    <t xml:space="preserve">Maborosi</t>
  </si>
  <si>
    <t xml:space="preserve">Dilwale Dulhania Le Jayenge</t>
  </si>
  <si>
    <t xml:space="preserve">Aditya Chopra</t>
  </si>
  <si>
    <t xml:space="preserve">The White Balloon</t>
  </si>
  <si>
    <t xml:space="preserve">Jafar Panahi</t>
  </si>
  <si>
    <t xml:space="preserve">Devil in a Blue Dress</t>
  </si>
  <si>
    <t xml:space="preserve">Carl Franklin</t>
  </si>
  <si>
    <t xml:space="preserve">Clueless</t>
  </si>
  <si>
    <t xml:space="preserve">Amy Heckerling</t>
  </si>
  <si>
    <t xml:space="preserve">The Celluloid Closet</t>
  </si>
  <si>
    <t xml:space="preserve">Rob Epstein, Jeffrey Friedman</t>
  </si>
  <si>
    <t xml:space="preserve">Nixon</t>
  </si>
  <si>
    <t xml:space="preserve">To Die For</t>
  </si>
  <si>
    <t xml:space="preserve">12 Monkeys</t>
  </si>
  <si>
    <t xml:space="preserve">Hackers</t>
  </si>
  <si>
    <t xml:space="preserve">Iain Softley</t>
  </si>
  <si>
    <t xml:space="preserve">Living in Oblivion</t>
  </si>
  <si>
    <t xml:space="preserve">Tom DiCillo</t>
  </si>
  <si>
    <t xml:space="preserve">Nick of Time</t>
  </si>
  <si>
    <t xml:space="preserve">Four Rooms</t>
  </si>
  <si>
    <t xml:space="preserve">Allison Anders, Alexandre Rockwell, Robert Rodriguez, Quentin Tarantino</t>
  </si>
  <si>
    <t xml:space="preserve">Crimson Tide</t>
  </si>
  <si>
    <t xml:space="preserve">Gamera: Guardian of the Universe</t>
  </si>
  <si>
    <t xml:space="preserve">Shusuke Kaneko</t>
  </si>
  <si>
    <t xml:space="preserve">Kids</t>
  </si>
  <si>
    <t xml:space="preserve">Larry Clark</t>
  </si>
  <si>
    <t xml:space="preserve">Breaking the Waves</t>
  </si>
  <si>
    <t xml:space="preserve">A Moment of Innocence</t>
  </si>
  <si>
    <t xml:space="preserve">Mohsen Makhmalbaf</t>
  </si>
  <si>
    <t xml:space="preserve">Lone Star</t>
  </si>
  <si>
    <t xml:space="preserve">Scream</t>
  </si>
  <si>
    <t xml:space="preserve">Waiting for Guffman</t>
  </si>
  <si>
    <t xml:space="preserve">Christopher Guest</t>
  </si>
  <si>
    <t xml:space="preserve">Bound</t>
  </si>
  <si>
    <t xml:space="preserve">Mission: Impossible</t>
  </si>
  <si>
    <t xml:space="preserve">Crash</t>
  </si>
  <si>
    <t xml:space="preserve">SubUrbia</t>
  </si>
  <si>
    <t xml:space="preserve">Bottle Rocket</t>
  </si>
  <si>
    <t xml:space="preserve">A Summer's Tale</t>
  </si>
  <si>
    <t xml:space="preserve">Nenette and Boni</t>
  </si>
  <si>
    <t xml:space="preserve">Drifting Clouds</t>
  </si>
  <si>
    <t xml:space="preserve">The Day a Pig Fell into the Well</t>
  </si>
  <si>
    <t xml:space="preserve">The Birdcage</t>
  </si>
  <si>
    <t xml:space="preserve">The Watermelon Woman</t>
  </si>
  <si>
    <t xml:space="preserve">Cheryl Dunye</t>
  </si>
  <si>
    <t xml:space="preserve">Primal Fear</t>
  </si>
  <si>
    <t xml:space="preserve">Gregory Hoblit</t>
  </si>
  <si>
    <t xml:space="preserve">Jerry Maguire</t>
  </si>
  <si>
    <t xml:space="preserve">That Thing You Do!</t>
  </si>
  <si>
    <t xml:space="preserve">Tom Hanks</t>
  </si>
  <si>
    <t xml:space="preserve">Big Night</t>
  </si>
  <si>
    <t xml:space="preserve">Campbell Scott, Stanley Tucci</t>
  </si>
  <si>
    <t xml:space="preserve">Twister</t>
  </si>
  <si>
    <t xml:space="preserve">Sling Blade</t>
  </si>
  <si>
    <t xml:space="preserve">Billy Bob Thornton</t>
  </si>
  <si>
    <t xml:space="preserve">Set It Off</t>
  </si>
  <si>
    <t xml:space="preserve">The Daytrippers</t>
  </si>
  <si>
    <t xml:space="preserve">Greg Mottola</t>
  </si>
  <si>
    <t xml:space="preserve">Trainspotting</t>
  </si>
  <si>
    <t xml:space="preserve">Perfect Blue</t>
  </si>
  <si>
    <t xml:space="preserve">Nil by Mouth</t>
  </si>
  <si>
    <t xml:space="preserve">Gary Oldman</t>
  </si>
  <si>
    <t xml:space="preserve">Children of Heaven</t>
  </si>
  <si>
    <t xml:space="preserve">Majid Majidi</t>
  </si>
  <si>
    <t xml:space="preserve">The Sweet Hereafter</t>
  </si>
  <si>
    <t xml:space="preserve">Atom Egoyan</t>
  </si>
  <si>
    <t xml:space="preserve">Starship Troopers</t>
  </si>
  <si>
    <t xml:space="preserve">Wag the Dog</t>
  </si>
  <si>
    <t xml:space="preserve">Face/Off</t>
  </si>
  <si>
    <t xml:space="preserve">Kundun</t>
  </si>
  <si>
    <t xml:space="preserve">4 Little Girls</t>
  </si>
  <si>
    <t xml:space="preserve">Little Dieter Needs to Fly</t>
  </si>
  <si>
    <t xml:space="preserve">Live Flesh</t>
  </si>
  <si>
    <t xml:space="preserve">Princess Mononoke</t>
  </si>
  <si>
    <t xml:space="preserve">Xiao Wu</t>
  </si>
  <si>
    <t xml:space="preserve">The Apostle</t>
  </si>
  <si>
    <t xml:space="preserve">Robert Duvall</t>
  </si>
  <si>
    <t xml:space="preserve">After Life</t>
  </si>
  <si>
    <t xml:space="preserve">Dark City</t>
  </si>
  <si>
    <t xml:space="preserve">Alex Proyas</t>
  </si>
  <si>
    <t xml:space="preserve">You've Got Mail</t>
  </si>
  <si>
    <t xml:space="preserve">Flowers of Shanghai</t>
  </si>
  <si>
    <t xml:space="preserve">Primary Colors</t>
  </si>
  <si>
    <t xml:space="preserve">A Civil Action</t>
  </si>
  <si>
    <t xml:space="preserve">Steven Zaillian</t>
  </si>
  <si>
    <t xml:space="preserve">Velvet Goldmine</t>
  </si>
  <si>
    <t xml:space="preserve">Belly</t>
  </si>
  <si>
    <t xml:space="preserve">Hype Williams</t>
  </si>
  <si>
    <t xml:space="preserve">Ronin</t>
  </si>
  <si>
    <t xml:space="preserve">A Simple Plan</t>
  </si>
  <si>
    <t xml:space="preserve">Dead or Alive</t>
  </si>
  <si>
    <t xml:space="preserve">Mifune</t>
  </si>
  <si>
    <t xml:space="preserve">Søren Kragh-Jacobsen</t>
  </si>
  <si>
    <t xml:space="preserve">Julien Donkey-Boy</t>
  </si>
  <si>
    <t xml:space="preserve">Harmony Korine</t>
  </si>
  <si>
    <t xml:space="preserve">Peppermint Candy</t>
  </si>
  <si>
    <t xml:space="preserve">eXistenZ</t>
  </si>
  <si>
    <t xml:space="preserve">Office Space</t>
  </si>
  <si>
    <t xml:space="preserve">Mike Judge</t>
  </si>
  <si>
    <t xml:space="preserve">Three Kings</t>
  </si>
  <si>
    <t xml:space="preserve">David O. Russell</t>
  </si>
  <si>
    <t xml:space="preserve">Toy Story 2</t>
  </si>
  <si>
    <t xml:space="preserve">Buena Vista Social Club</t>
  </si>
  <si>
    <t xml:space="preserve">Boys Don't Cry</t>
  </si>
  <si>
    <t xml:space="preserve">Kimberly Peirce</t>
  </si>
  <si>
    <t xml:space="preserve">Man on the Moon</t>
  </si>
  <si>
    <t xml:space="preserve">Girl, Interrupted</t>
  </si>
  <si>
    <t xml:space="preserve">James Mangold</t>
  </si>
  <si>
    <t xml:space="preserve">October Sky</t>
  </si>
  <si>
    <t xml:space="preserve">Joe Johnston</t>
  </si>
  <si>
    <t xml:space="preserve">Sleepy Hollow</t>
  </si>
  <si>
    <t xml:space="preserve">Italian for Beginners</t>
  </si>
  <si>
    <t xml:space="preserve">Lone Scherfig</t>
  </si>
  <si>
    <t xml:space="preserve">The Circle</t>
  </si>
  <si>
    <t xml:space="preserve">Best in Show</t>
  </si>
  <si>
    <t xml:space="preserve">Cast Away</t>
  </si>
  <si>
    <t xml:space="preserve">Chicken Run</t>
  </si>
  <si>
    <t xml:space="preserve">Peter Lord, Nick Park</t>
  </si>
  <si>
    <t xml:space="preserve">O Brother, Where Art Thou?</t>
  </si>
  <si>
    <t xml:space="preserve">Erin Brockovich</t>
  </si>
  <si>
    <t xml:space="preserve">Barking Dogs Never Bite</t>
  </si>
  <si>
    <t xml:space="preserve">Love &amp; Basketball</t>
  </si>
  <si>
    <t xml:space="preserve">Gina Prince-Bythewood</t>
  </si>
  <si>
    <t xml:space="preserve">Boiler Room</t>
  </si>
  <si>
    <t xml:space="preserve">Ben Younger</t>
  </si>
  <si>
    <t xml:space="preserve">High Fidelity</t>
  </si>
  <si>
    <t xml:space="preserve">Timecode</t>
  </si>
  <si>
    <t xml:space="preserve">Ginger Snaps</t>
  </si>
  <si>
    <t xml:space="preserve">John Fawcett</t>
  </si>
  <si>
    <t xml:space="preserve">Battle Royale</t>
  </si>
  <si>
    <t xml:space="preserve">Millennium Actress</t>
  </si>
  <si>
    <t xml:space="preserve">The Son's Room</t>
  </si>
  <si>
    <t xml:space="preserve">Nanni Moretti</t>
  </si>
  <si>
    <t xml:space="preserve">No Man's Land</t>
  </si>
  <si>
    <t xml:space="preserve">Danis Tanović</t>
  </si>
  <si>
    <t xml:space="preserve">Beijing Bicycle</t>
  </si>
  <si>
    <t xml:space="preserve">Wang Xiaoshuai</t>
  </si>
  <si>
    <t xml:space="preserve">Lagaan: Once Upon a Time in India</t>
  </si>
  <si>
    <t xml:space="preserve">Ashutosh Gowariker</t>
  </si>
  <si>
    <t xml:space="preserve">Zoolander</t>
  </si>
  <si>
    <t xml:space="preserve">Ben Stiller</t>
  </si>
  <si>
    <t xml:space="preserve">Moulin Rouge!</t>
  </si>
  <si>
    <t xml:space="preserve">Baz Luhrmann</t>
  </si>
  <si>
    <t xml:space="preserve">Hedwig and the Angry Inch</t>
  </si>
  <si>
    <t xml:space="preserve">John Cameron Mitchell</t>
  </si>
  <si>
    <t xml:space="preserve">Black Hawk Down</t>
  </si>
  <si>
    <t xml:space="preserve">Monsters, Inc.</t>
  </si>
  <si>
    <t xml:space="preserve">Pete Docter</t>
  </si>
  <si>
    <t xml:space="preserve">Gosford Park</t>
  </si>
  <si>
    <t xml:space="preserve">A.I. Artificial Intelligence</t>
  </si>
  <si>
    <t xml:space="preserve">The Royal Tenenbaums</t>
  </si>
  <si>
    <t xml:space="preserve">What Time Is It There?</t>
  </si>
  <si>
    <t xml:space="preserve">A Beautiful Mind</t>
  </si>
  <si>
    <t xml:space="preserve">Mostly Martha</t>
  </si>
  <si>
    <t xml:space="preserve">Sandra Nettelbeck</t>
  </si>
  <si>
    <t xml:space="preserve">Dogtown and Z-Boys</t>
  </si>
  <si>
    <t xml:space="preserve">Stacy Peralta</t>
  </si>
  <si>
    <t xml:space="preserve">Visitor Q</t>
  </si>
  <si>
    <t xml:space="preserve">The Twilight Samurai</t>
  </si>
  <si>
    <t xml:space="preserve">Yōji Yamada</t>
  </si>
  <si>
    <t xml:space="preserve">Sweet Sixteen</t>
  </si>
  <si>
    <t xml:space="preserve">City of God</t>
  </si>
  <si>
    <t xml:space="preserve">Fernando Meirelles, Kátia Lund</t>
  </si>
  <si>
    <t xml:space="preserve">Hero</t>
  </si>
  <si>
    <t xml:space="preserve">Oasis</t>
  </si>
  <si>
    <t xml:space="preserve">Divine Intervention</t>
  </si>
  <si>
    <t xml:space="preserve">Elia Suleiman</t>
  </si>
  <si>
    <t xml:space="preserve">Dark Water</t>
  </si>
  <si>
    <t xml:space="preserve">Ju-on: The Grudge</t>
  </si>
  <si>
    <t xml:space="preserve">Takashi Shimizu</t>
  </si>
  <si>
    <t xml:space="preserve">8 Women</t>
  </si>
  <si>
    <t xml:space="preserve">François Ozon</t>
  </si>
  <si>
    <t xml:space="preserve">Catch Me If You Can</t>
  </si>
  <si>
    <t xml:space="preserve">The Bourne Identity</t>
  </si>
  <si>
    <t xml:space="preserve">Doug Liman</t>
  </si>
  <si>
    <t xml:space="preserve">25th Hour</t>
  </si>
  <si>
    <t xml:space="preserve">Confessions of a Dangerous Mind</t>
  </si>
  <si>
    <t xml:space="preserve">George Clooney</t>
  </si>
  <si>
    <t xml:space="preserve">Panic Room</t>
  </si>
  <si>
    <t xml:space="preserve">Friday Night</t>
  </si>
  <si>
    <t xml:space="preserve">Ten</t>
  </si>
  <si>
    <t xml:space="preserve">Unknown Pleasures</t>
  </si>
  <si>
    <t xml:space="preserve">Rabbit-Proof Fence</t>
  </si>
  <si>
    <t xml:space="preserve">Phillip Noyce</t>
  </si>
  <si>
    <t xml:space="preserve">About Schmidt</t>
  </si>
  <si>
    <t xml:space="preserve">24 Hour Party People</t>
  </si>
  <si>
    <t xml:space="preserve">Michael Winterbottom</t>
  </si>
  <si>
    <t xml:space="preserve">Gangs of New York</t>
  </si>
  <si>
    <t xml:space="preserve">Phone Booth</t>
  </si>
  <si>
    <t xml:space="preserve">Joel Schumacher</t>
  </si>
  <si>
    <t xml:space="preserve">K-19: The Widowmaker</t>
  </si>
  <si>
    <t xml:space="preserve">Below</t>
  </si>
  <si>
    <t xml:space="preserve">David Twohy</t>
  </si>
  <si>
    <t xml:space="preserve">The Ring</t>
  </si>
  <si>
    <t xml:space="preserve">Gore Verbinski</t>
  </si>
  <si>
    <t xml:space="preserve">Spring, Summer, Fall, Winter... and Spring</t>
  </si>
  <si>
    <t xml:space="preserve">Kim Ki-duk</t>
  </si>
  <si>
    <t xml:space="preserve">A Mighty Wind</t>
  </si>
  <si>
    <t xml:space="preserve">Matchstick Men</t>
  </si>
  <si>
    <t xml:space="preserve">The Triplets of Belleville</t>
  </si>
  <si>
    <t xml:space="preserve">Sylvain Chomet</t>
  </si>
  <si>
    <t xml:space="preserve">Finding Nemo</t>
  </si>
  <si>
    <t xml:space="preserve">Tarnation</t>
  </si>
  <si>
    <t xml:space="preserve">Jonathan Caouette</t>
  </si>
  <si>
    <t xml:space="preserve">Kill Bill: Vol. 1</t>
  </si>
  <si>
    <t xml:space="preserve">Big Fish</t>
  </si>
  <si>
    <t xml:space="preserve">Master and Commander: The Far Side of the World</t>
  </si>
  <si>
    <t xml:space="preserve">Vera Drake</t>
  </si>
  <si>
    <t xml:space="preserve">The Holy Girl</t>
  </si>
  <si>
    <t xml:space="preserve">House of Flying Daggers</t>
  </si>
  <si>
    <t xml:space="preserve">Moolaadé</t>
  </si>
  <si>
    <t xml:space="preserve">Shaun of the Dead</t>
  </si>
  <si>
    <t xml:space="preserve">Edgar Wright</t>
  </si>
  <si>
    <t xml:space="preserve">Shutter</t>
  </si>
  <si>
    <t xml:space="preserve">Banjong Pisanthanakun, Parkpoom Wongpoom</t>
  </si>
  <si>
    <t xml:space="preserve">Napoleon Dynamite</t>
  </si>
  <si>
    <t xml:space="preserve">Jared Hess</t>
  </si>
  <si>
    <t xml:space="preserve">The Incredibles</t>
  </si>
  <si>
    <t xml:space="preserve">The Life Aquatic with Steve Zissou</t>
  </si>
  <si>
    <t xml:space="preserve">Bad Education</t>
  </si>
  <si>
    <t xml:space="preserve">Howl's Moving Castle</t>
  </si>
  <si>
    <t xml:space="preserve">2046</t>
  </si>
  <si>
    <t xml:space="preserve">Woman Is the Future of Man</t>
  </si>
  <si>
    <t xml:space="preserve">The World</t>
  </si>
  <si>
    <t xml:space="preserve">Kill Bill: Vol. 2</t>
  </si>
  <si>
    <t xml:space="preserve">Friday Night Lights</t>
  </si>
  <si>
    <t xml:space="preserve">Peter Berg</t>
  </si>
  <si>
    <t xml:space="preserve">Sideways</t>
  </si>
  <si>
    <t xml:space="preserve">Brick</t>
  </si>
  <si>
    <t xml:space="preserve">Rian Johnson</t>
  </si>
  <si>
    <t xml:space="preserve">The Three Burials of Melquiades Estrada</t>
  </si>
  <si>
    <t xml:space="preserve">Tommy Lee Jones</t>
  </si>
  <si>
    <t xml:space="preserve">Jarhead</t>
  </si>
  <si>
    <t xml:space="preserve">A History of Violence</t>
  </si>
  <si>
    <t xml:space="preserve">Broken Flowers</t>
  </si>
  <si>
    <t xml:space="preserve">The New World</t>
  </si>
  <si>
    <t xml:space="preserve">Three Times</t>
  </si>
  <si>
    <t xml:space="preserve">Domino</t>
  </si>
  <si>
    <t xml:space="preserve">Mutual Appreciation</t>
  </si>
  <si>
    <t xml:space="preserve">The Puffy Chair</t>
  </si>
  <si>
    <t xml:space="preserve">Jay Duplass, Mark Duplass</t>
  </si>
  <si>
    <t xml:space="preserve">Good Night, and Good Luck.</t>
  </si>
  <si>
    <t xml:space="preserve">Lords of Dogtown</t>
  </si>
  <si>
    <t xml:space="preserve">Catherine Hardwicke</t>
  </si>
  <si>
    <t xml:space="preserve">12:08 East of Bucharest</t>
  </si>
  <si>
    <t xml:space="preserve">Corneliu Porumboiu</t>
  </si>
  <si>
    <t xml:space="preserve">Pan's Labyrinth</t>
  </si>
  <si>
    <t xml:space="preserve">Offside</t>
  </si>
  <si>
    <t xml:space="preserve">Borat</t>
  </si>
  <si>
    <t xml:space="preserve">Larry Charles</t>
  </si>
  <si>
    <t xml:space="preserve">Letters from Iwo Jima</t>
  </si>
  <si>
    <t xml:space="preserve">Casino Royale</t>
  </si>
  <si>
    <t xml:space="preserve">Martin Campbell</t>
  </si>
  <si>
    <t xml:space="preserve">Inland Empire</t>
  </si>
  <si>
    <t xml:space="preserve">When the Levees Broke: A Requiem in Four Acts</t>
  </si>
  <si>
    <t xml:space="preserve">Old Joy</t>
  </si>
  <si>
    <t xml:space="preserve">Volver</t>
  </si>
  <si>
    <t xml:space="preserve">Woman on the Beach</t>
  </si>
  <si>
    <t xml:space="preserve">The Namesake</t>
  </si>
  <si>
    <t xml:space="preserve">Babel</t>
  </si>
  <si>
    <t xml:space="preserve">Déjà Vu</t>
  </si>
  <si>
    <t xml:space="preserve">Little Miss Sunshine</t>
  </si>
  <si>
    <t xml:space="preserve">Jonathan Dayton, Valerie Faris</t>
  </si>
  <si>
    <t xml:space="preserve">This Is England</t>
  </si>
  <si>
    <t xml:space="preserve">Shane Meadows</t>
  </si>
  <si>
    <t xml:space="preserve">Inside</t>
  </si>
  <si>
    <t xml:space="preserve">Alexandre Bustillo, Julien Maury</t>
  </si>
  <si>
    <t xml:space="preserve">Paranormal Activity</t>
  </si>
  <si>
    <t xml:space="preserve">Oren Peli</t>
  </si>
  <si>
    <t xml:space="preserve">The Mist</t>
  </si>
  <si>
    <t xml:space="preserve">The Orphanage</t>
  </si>
  <si>
    <t xml:space="preserve">J.A. Bayona</t>
  </si>
  <si>
    <t xml:space="preserve">Walk Hard: The Dewey Cox Story</t>
  </si>
  <si>
    <t xml:space="preserve">Jake Kasdan</t>
  </si>
  <si>
    <t xml:space="preserve">Hot Fuzz</t>
  </si>
  <si>
    <t xml:space="preserve">Superbad</t>
  </si>
  <si>
    <t xml:space="preserve">The Bourne Ultimatum</t>
  </si>
  <si>
    <t xml:space="preserve">Paul Greengrass</t>
  </si>
  <si>
    <t xml:space="preserve">Before the Devil Knows You're Dead</t>
  </si>
  <si>
    <t xml:space="preserve">Eastern Promises</t>
  </si>
  <si>
    <t xml:space="preserve">The Darjeeling Limited</t>
  </si>
  <si>
    <t xml:space="preserve">Encounters at the End of the World</t>
  </si>
  <si>
    <t xml:space="preserve">Grindhouse</t>
  </si>
  <si>
    <t xml:space="preserve">Robert Rodriguez, Quentin Tarantino</t>
  </si>
  <si>
    <t xml:space="preserve">Hannah Takes the Stairs</t>
  </si>
  <si>
    <t xml:space="preserve">Joe Swanberg</t>
  </si>
  <si>
    <t xml:space="preserve">Into the Wild</t>
  </si>
  <si>
    <t xml:space="preserve">Sean Penn</t>
  </si>
  <si>
    <t xml:space="preserve">Timecrimes</t>
  </si>
  <si>
    <t xml:space="preserve">Nacho Vigalondo</t>
  </si>
  <si>
    <t xml:space="preserve">I'm Not There</t>
  </si>
  <si>
    <t xml:space="preserve">The Man from Earth</t>
  </si>
  <si>
    <t xml:space="preserve">Richard Schenkman</t>
  </si>
  <si>
    <t xml:space="preserve">Il Divo</t>
  </si>
  <si>
    <t xml:space="preserve">Martyrs</t>
  </si>
  <si>
    <t xml:space="preserve">Pascal Laugier</t>
  </si>
  <si>
    <t xml:space="preserve">A Christmas Tale</t>
  </si>
  <si>
    <t xml:space="preserve">Arnaud Desplechin</t>
  </si>
  <si>
    <t xml:space="preserve">Lake Mungo</t>
  </si>
  <si>
    <t xml:space="preserve">Joel Anderson</t>
  </si>
  <si>
    <t xml:space="preserve">Step Brothers</t>
  </si>
  <si>
    <t xml:space="preserve">Man on Wire</t>
  </si>
  <si>
    <t xml:space="preserve">James Marsh</t>
  </si>
  <si>
    <t xml:space="preserve">Che</t>
  </si>
  <si>
    <t xml:space="preserve">Ballast</t>
  </si>
  <si>
    <t xml:space="preserve">Lance Hammer</t>
  </si>
  <si>
    <t xml:space="preserve">The Beaches of Agnès</t>
  </si>
  <si>
    <t xml:space="preserve">Frost/Nixon</t>
  </si>
  <si>
    <t xml:space="preserve">Hunger</t>
  </si>
  <si>
    <t xml:space="preserve">Steve McQueen</t>
  </si>
  <si>
    <t xml:space="preserve">Revolutionary Road</t>
  </si>
  <si>
    <t xml:space="preserve">Milk</t>
  </si>
  <si>
    <t xml:space="preserve">The Wrestler</t>
  </si>
  <si>
    <t xml:space="preserve">Darren Aronofsky</t>
  </si>
  <si>
    <t xml:space="preserve">North Face</t>
  </si>
  <si>
    <t xml:space="preserve">Philipp Stölzl</t>
  </si>
  <si>
    <t xml:space="preserve">Let the Right One In</t>
  </si>
  <si>
    <t xml:space="preserve">Police, Adjective</t>
  </si>
  <si>
    <t xml:space="preserve">In the Loop</t>
  </si>
  <si>
    <t xml:space="preserve">Armando Iannucci</t>
  </si>
  <si>
    <t xml:space="preserve">Coraline</t>
  </si>
  <si>
    <t xml:space="preserve">Mary and Max</t>
  </si>
  <si>
    <t xml:space="preserve">Adam Elliot</t>
  </si>
  <si>
    <t xml:space="preserve">Up</t>
  </si>
  <si>
    <t xml:space="preserve">Bad Lieutenant: Port of Call – New Orleans</t>
  </si>
  <si>
    <t xml:space="preserve">White Material</t>
  </si>
  <si>
    <t xml:space="preserve">Inglourious Basterds</t>
  </si>
  <si>
    <t xml:space="preserve">Jennifer's Body</t>
  </si>
  <si>
    <t xml:space="preserve">Karyn Kusama</t>
  </si>
  <si>
    <t xml:space="preserve">Samson and Delilah</t>
  </si>
  <si>
    <t xml:space="preserve">Warwick Thornton</t>
  </si>
  <si>
    <t xml:space="preserve">Humpday</t>
  </si>
  <si>
    <t xml:space="preserve">Lynn Shelton</t>
  </si>
  <si>
    <t xml:space="preserve">The Road</t>
  </si>
  <si>
    <t xml:space="preserve">John Hillcoat</t>
  </si>
  <si>
    <t xml:space="preserve">Enter the Void</t>
  </si>
  <si>
    <t xml:space="preserve">13 Assassins</t>
  </si>
  <si>
    <t xml:space="preserve">Another Year</t>
  </si>
  <si>
    <t xml:space="preserve">Poetry</t>
  </si>
  <si>
    <t xml:space="preserve">I Saw the Devil</t>
  </si>
  <si>
    <t xml:space="preserve">The Yellow Sea</t>
  </si>
  <si>
    <t xml:space="preserve">127 Hours</t>
  </si>
  <si>
    <t xml:space="preserve">Restrepo</t>
  </si>
  <si>
    <t xml:space="preserve">Tim Hetherington, Sebastian Junger</t>
  </si>
  <si>
    <t xml:space="preserve">Exit Through the Gift Shop</t>
  </si>
  <si>
    <t xml:space="preserve">Banksy</t>
  </si>
  <si>
    <t xml:space="preserve">Nostalgia for the Light</t>
  </si>
  <si>
    <t xml:space="preserve">True Grit</t>
  </si>
  <si>
    <t xml:space="preserve">Winter's Bone</t>
  </si>
  <si>
    <t xml:space="preserve">Attenberg</t>
  </si>
  <si>
    <t xml:space="preserve">Athina Rachel Tsangari</t>
  </si>
  <si>
    <t xml:space="preserve">Hahaha</t>
  </si>
  <si>
    <t xml:space="preserve">Unstoppable</t>
  </si>
  <si>
    <t xml:space="preserve">Tiny Furniture</t>
  </si>
  <si>
    <t xml:space="preserve">Lena Dunham</t>
  </si>
  <si>
    <t xml:space="preserve">Inside Job</t>
  </si>
  <si>
    <t xml:space="preserve">Charles Ferguson</t>
  </si>
  <si>
    <t xml:space="preserve">Of Gods and Men</t>
  </si>
  <si>
    <t xml:space="preserve">Xavier Beauvois</t>
  </si>
  <si>
    <t xml:space="preserve">Blue Valentine</t>
  </si>
  <si>
    <t xml:space="preserve">Derek Cianfrance</t>
  </si>
  <si>
    <t xml:space="preserve">Scott Pilgrim vs. the World</t>
  </si>
  <si>
    <t xml:space="preserve">A Simple Life</t>
  </si>
  <si>
    <t xml:space="preserve">This Is Not a Film</t>
  </si>
  <si>
    <t xml:space="preserve">Jafar Panahi, Mojtaba Mirtahmasb</t>
  </si>
  <si>
    <t xml:space="preserve">Once Upon a Time in Anatolia</t>
  </si>
  <si>
    <t xml:space="preserve">Kill List</t>
  </si>
  <si>
    <t xml:space="preserve">Ben Wheatley</t>
  </si>
  <si>
    <t xml:space="preserve">Bridesmaids</t>
  </si>
  <si>
    <t xml:space="preserve">Paul Feig</t>
  </si>
  <si>
    <t xml:space="preserve">Bernie</t>
  </si>
  <si>
    <t xml:space="preserve">The Girl with the Dragon Tattoo</t>
  </si>
  <si>
    <t xml:space="preserve">The Skin I Live In</t>
  </si>
  <si>
    <t xml:space="preserve">Le Havre</t>
  </si>
  <si>
    <t xml:space="preserve">Alps</t>
  </si>
  <si>
    <t xml:space="preserve">Melancholia</t>
  </si>
  <si>
    <t xml:space="preserve">Detachment</t>
  </si>
  <si>
    <t xml:space="preserve">Tony Kaye</t>
  </si>
  <si>
    <t xml:space="preserve">Moneyball</t>
  </si>
  <si>
    <t xml:space="preserve">Bennett Miller</t>
  </si>
  <si>
    <t xml:space="preserve">Jiro Dreams of Sushi</t>
  </si>
  <si>
    <t xml:space="preserve">David Gelb</t>
  </si>
  <si>
    <t xml:space="preserve">Carnage</t>
  </si>
  <si>
    <t xml:space="preserve">Killer Joe</t>
  </si>
  <si>
    <t xml:space="preserve">Berberian Sound Studio</t>
  </si>
  <si>
    <t xml:space="preserve">Peter Strickland</t>
  </si>
  <si>
    <t xml:space="preserve">Barbara</t>
  </si>
  <si>
    <t xml:space="preserve">Christian Petzold</t>
  </si>
  <si>
    <t xml:space="preserve">The Hunt</t>
  </si>
  <si>
    <t xml:space="preserve">Beyond the Hills</t>
  </si>
  <si>
    <t xml:space="preserve">No</t>
  </si>
  <si>
    <t xml:space="preserve">Pablo Larraín</t>
  </si>
  <si>
    <t xml:space="preserve">Gangs of Wasseypur</t>
  </si>
  <si>
    <t xml:space="preserve">Anurag Kashyap</t>
  </si>
  <si>
    <t xml:space="preserve">Wadjda</t>
  </si>
  <si>
    <t xml:space="preserve">Haifaa al-Mansour</t>
  </si>
  <si>
    <t xml:space="preserve">The Comedy</t>
  </si>
  <si>
    <t xml:space="preserve">Rick Alverson</t>
  </si>
  <si>
    <t xml:space="preserve">Searching for Sugar Man</t>
  </si>
  <si>
    <t xml:space="preserve">Malik Bendjelloul</t>
  </si>
  <si>
    <t xml:space="preserve">Moonrise Kingdom</t>
  </si>
  <si>
    <t xml:space="preserve">Like Someone in Love</t>
  </si>
  <si>
    <t xml:space="preserve">Django Unchained</t>
  </si>
  <si>
    <t xml:space="preserve">Cloud Atlas</t>
  </si>
  <si>
    <t xml:space="preserve">Lana Wachowski, Tom Tykwer, Lilly Wachowski</t>
  </si>
  <si>
    <t xml:space="preserve">Resident Evil: Retribution</t>
  </si>
  <si>
    <t xml:space="preserve">Universal Soldier: Day of Reckoning</t>
  </si>
  <si>
    <t xml:space="preserve">John Hyams</t>
  </si>
  <si>
    <t xml:space="preserve">Silver Linings Playbook</t>
  </si>
  <si>
    <t xml:space="preserve">Looper</t>
  </si>
  <si>
    <t xml:space="preserve">The Impossible</t>
  </si>
  <si>
    <t xml:space="preserve">Mud</t>
  </si>
  <si>
    <t xml:space="preserve">Beasts of the Southern Wild</t>
  </si>
  <si>
    <t xml:space="preserve">Benh Zeitlin</t>
  </si>
  <si>
    <t xml:space="preserve">Spring Breakers</t>
  </si>
  <si>
    <t xml:space="preserve">The Tale of The Princess Kaguya</t>
  </si>
  <si>
    <t xml:space="preserve">Child's Pose</t>
  </si>
  <si>
    <t xml:space="preserve">Călin Peter Netzer</t>
  </si>
  <si>
    <t xml:space="preserve">The Lunchbox</t>
  </si>
  <si>
    <t xml:space="preserve">Ritesh Batra</t>
  </si>
  <si>
    <t xml:space="preserve">The Missing Picture</t>
  </si>
  <si>
    <t xml:space="preserve">Rithy Panh</t>
  </si>
  <si>
    <t xml:space="preserve">A Field in England</t>
  </si>
  <si>
    <t xml:space="preserve">The Conjuring</t>
  </si>
  <si>
    <t xml:space="preserve">James Wan</t>
  </si>
  <si>
    <t xml:space="preserve">Upstream Color</t>
  </si>
  <si>
    <t xml:space="preserve">American Hustle</t>
  </si>
  <si>
    <t xml:space="preserve">All Is Lost</t>
  </si>
  <si>
    <t xml:space="preserve">The Wolf of Wall Street</t>
  </si>
  <si>
    <t xml:space="preserve">Only Lovers Left Alive</t>
  </si>
  <si>
    <t xml:space="preserve">Side Effects</t>
  </si>
  <si>
    <t xml:space="preserve">Bastards</t>
  </si>
  <si>
    <t xml:space="preserve">The Wind Rises</t>
  </si>
  <si>
    <t xml:space="preserve">Stray Dogs</t>
  </si>
  <si>
    <t xml:space="preserve">Fruitvale Station</t>
  </si>
  <si>
    <t xml:space="preserve">Ryan Coogler</t>
  </si>
  <si>
    <t xml:space="preserve">Computer Chess</t>
  </si>
  <si>
    <t xml:space="preserve">Starred Up</t>
  </si>
  <si>
    <t xml:space="preserve">12 Years a Slave</t>
  </si>
  <si>
    <t xml:space="preserve">Locke</t>
  </si>
  <si>
    <t xml:space="preserve">Steven Knight</t>
  </si>
  <si>
    <t xml:space="preserve">Birdman or (The Unexpected Virtue of Ignorance)</t>
  </si>
  <si>
    <t xml:space="preserve">Girlhood</t>
  </si>
  <si>
    <t xml:space="preserve">Phoenix</t>
  </si>
  <si>
    <t xml:space="preserve">Timbuktu</t>
  </si>
  <si>
    <t xml:space="preserve">Abderrahmane Sissako</t>
  </si>
  <si>
    <t xml:space="preserve">Mommy</t>
  </si>
  <si>
    <t xml:space="preserve">Xavier Dolan</t>
  </si>
  <si>
    <t xml:space="preserve">Creep</t>
  </si>
  <si>
    <t xml:space="preserve">Patrick Brice</t>
  </si>
  <si>
    <t xml:space="preserve">Unfriended</t>
  </si>
  <si>
    <t xml:space="preserve">Levan Gabriadze</t>
  </si>
  <si>
    <t xml:space="preserve">The Raid 2</t>
  </si>
  <si>
    <t xml:space="preserve">John Wick</t>
  </si>
  <si>
    <t xml:space="preserve">Chad Stahelski</t>
  </si>
  <si>
    <t xml:space="preserve">A Pigeon Sat on a Branch Reflecting on Existence</t>
  </si>
  <si>
    <t xml:space="preserve">The Theory of Everything</t>
  </si>
  <si>
    <t xml:space="preserve">The Imitation Game</t>
  </si>
  <si>
    <t xml:space="preserve">Morten Tyldum</t>
  </si>
  <si>
    <t xml:space="preserve">Citizenfour</t>
  </si>
  <si>
    <t xml:space="preserve">Laura Poitras</t>
  </si>
  <si>
    <t xml:space="preserve">Foxcatcher</t>
  </si>
  <si>
    <t xml:space="preserve">Son of Saul</t>
  </si>
  <si>
    <t xml:space="preserve">László Nemes</t>
  </si>
  <si>
    <t xml:space="preserve">Embrace of the Serpent</t>
  </si>
  <si>
    <t xml:space="preserve">Ciro Guerra</t>
  </si>
  <si>
    <t xml:space="preserve">The Assassin</t>
  </si>
  <si>
    <t xml:space="preserve">Bone Tomahawk</t>
  </si>
  <si>
    <t xml:space="preserve">S. Craig Zahler</t>
  </si>
  <si>
    <t xml:space="preserve">Bridge of Spies</t>
  </si>
  <si>
    <t xml:space="preserve">The Revenant</t>
  </si>
  <si>
    <t xml:space="preserve">Beasts of No Nation</t>
  </si>
  <si>
    <t xml:space="preserve">Cary Joji Fukunaga</t>
  </si>
  <si>
    <t xml:space="preserve">Inside Out</t>
  </si>
  <si>
    <t xml:space="preserve">Amy</t>
  </si>
  <si>
    <t xml:space="preserve">Asif Kapadia</t>
  </si>
  <si>
    <t xml:space="preserve">The Jinx</t>
  </si>
  <si>
    <t xml:space="preserve">Cemetery of Splendor</t>
  </si>
  <si>
    <t xml:space="preserve">Mountains May Depart</t>
  </si>
  <si>
    <t xml:space="preserve">The Big Short</t>
  </si>
  <si>
    <t xml:space="preserve">Meru</t>
  </si>
  <si>
    <t xml:space="preserve">Jimmy Chin, Elizabeth Chai Vasarhelyi</t>
  </si>
  <si>
    <t xml:space="preserve">Room</t>
  </si>
  <si>
    <t xml:space="preserve">Lenny Abrahamson</t>
  </si>
  <si>
    <t xml:space="preserve">Your Name.</t>
  </si>
  <si>
    <t xml:space="preserve">Makoto Shinkai</t>
  </si>
  <si>
    <t xml:space="preserve">A Silent Voice</t>
  </si>
  <si>
    <t xml:space="preserve">Naoko Yamada</t>
  </si>
  <si>
    <t xml:space="preserve">Personal Shopper</t>
  </si>
  <si>
    <t xml:space="preserve">I, Daniel Blake</t>
  </si>
  <si>
    <t xml:space="preserve">Graduation</t>
  </si>
  <si>
    <t xml:space="preserve">The Salesman</t>
  </si>
  <si>
    <t xml:space="preserve">Hunt for the Wilderpeople</t>
  </si>
  <si>
    <t xml:space="preserve">The Void</t>
  </si>
  <si>
    <t xml:space="preserve">Jeremy Gillespie, Steven Kostanski</t>
  </si>
  <si>
    <t xml:space="preserve">Popstar: Never Stop Never Stopping</t>
  </si>
  <si>
    <t xml:space="preserve">Akiva Schaffer, Jorma Taccone</t>
  </si>
  <si>
    <t xml:space="preserve">La La Land</t>
  </si>
  <si>
    <t xml:space="preserve">Kubo and the Two Strings</t>
  </si>
  <si>
    <t xml:space="preserve">Travis Knight</t>
  </si>
  <si>
    <t xml:space="preserve">Cameraperson</t>
  </si>
  <si>
    <t xml:space="preserve">Kirsten Johnson</t>
  </si>
  <si>
    <t xml:space="preserve">I Am Not Your Negro</t>
  </si>
  <si>
    <t xml:space="preserve">Raoul Peck</t>
  </si>
  <si>
    <t xml:space="preserve">Certain Women</t>
  </si>
  <si>
    <t xml:space="preserve">13th</t>
  </si>
  <si>
    <t xml:space="preserve">Hidden Figures</t>
  </si>
  <si>
    <t xml:space="preserve">Theodore Melfi</t>
  </si>
  <si>
    <t xml:space="preserve">Manchester by the Sea</t>
  </si>
  <si>
    <t xml:space="preserve">Kenneth Lonergan</t>
  </si>
  <si>
    <t xml:space="preserve">Call Me by Your Name</t>
  </si>
  <si>
    <t xml:space="preserve">Luca Guadagnino</t>
  </si>
  <si>
    <t xml:space="preserve">Zama</t>
  </si>
  <si>
    <t xml:space="preserve">The Rider</t>
  </si>
  <si>
    <t xml:space="preserve">One Cut of the Dead</t>
  </si>
  <si>
    <t xml:space="preserve">Shinichiro Ueda</t>
  </si>
  <si>
    <t xml:space="preserve">It Comes at Night</t>
  </si>
  <si>
    <t xml:space="preserve">Trey Edward Shults</t>
  </si>
  <si>
    <t xml:space="preserve">The Endless</t>
  </si>
  <si>
    <t xml:space="preserve">Justin Benson, Aaron Moorhead</t>
  </si>
  <si>
    <t xml:space="preserve">The Death of Stalin</t>
  </si>
  <si>
    <t xml:space="preserve">Faces Places</t>
  </si>
  <si>
    <t xml:space="preserve">Agnès Varda, JR</t>
  </si>
  <si>
    <t xml:space="preserve">The Killing of a Sacred Deer</t>
  </si>
  <si>
    <t xml:space="preserve">The Day After</t>
  </si>
  <si>
    <t xml:space="preserve">Sweet Country</t>
  </si>
  <si>
    <t xml:space="preserve">The Disaster Artist</t>
  </si>
  <si>
    <t xml:space="preserve">James Franco</t>
  </si>
  <si>
    <t xml:space="preserve">Detroit</t>
  </si>
  <si>
    <t xml:space="preserve">Happy as Lazzaro</t>
  </si>
  <si>
    <t xml:space="preserve">Alice Rohrwacher</t>
  </si>
  <si>
    <t xml:space="preserve">Dogman</t>
  </si>
  <si>
    <t xml:space="preserve">Transit</t>
  </si>
  <si>
    <t xml:space="preserve">Cold War</t>
  </si>
  <si>
    <t xml:space="preserve">Capernaum</t>
  </si>
  <si>
    <t xml:space="preserve">Nadine Labaki</t>
  </si>
  <si>
    <t xml:space="preserve">Apostle</t>
  </si>
  <si>
    <t xml:space="preserve">They Shall Not Grow Old</t>
  </si>
  <si>
    <t xml:space="preserve">Crazy Rich Asians</t>
  </si>
  <si>
    <t xml:space="preserve">Jon M. Chu</t>
  </si>
  <si>
    <t xml:space="preserve">Mission: Impossible – Fallout</t>
  </si>
  <si>
    <t xml:space="preserve">Christopher McQuarrie</t>
  </si>
  <si>
    <t xml:space="preserve">Spider-Man: Into the Spider-Verse</t>
  </si>
  <si>
    <t xml:space="preserve">Bob Persichetti, Peter Ramsey, Rodney Rothman</t>
  </si>
  <si>
    <t xml:space="preserve">Won't You Be My Neighbor?</t>
  </si>
  <si>
    <t xml:space="preserve">Morgan Neville</t>
  </si>
  <si>
    <t xml:space="preserve">Amazing Grace</t>
  </si>
  <si>
    <t xml:space="preserve">Alan Elliott, Sydney Pollack</t>
  </si>
  <si>
    <t xml:space="preserve">BlacKkKlansman</t>
  </si>
  <si>
    <t xml:space="preserve">Isle of Dogs</t>
  </si>
  <si>
    <t xml:space="preserve">The Favourite</t>
  </si>
  <si>
    <t xml:space="preserve">Vice</t>
  </si>
  <si>
    <t xml:space="preserve">Eighth Grade</t>
  </si>
  <si>
    <t xml:space="preserve">Bo Burnham</t>
  </si>
  <si>
    <t xml:space="preserve">The Guilty</t>
  </si>
  <si>
    <t xml:space="preserve">Gustav Möller</t>
  </si>
  <si>
    <t xml:space="preserve">Free Solo</t>
  </si>
  <si>
    <t xml:space="preserve">Elizabeth Chai Vasarhelyi, Jimmy Chin</t>
  </si>
  <si>
    <t xml:space="preserve">Minding the Gap</t>
  </si>
  <si>
    <t xml:space="preserve">Bing Liu</t>
  </si>
  <si>
    <t xml:space="preserve">Blindspotting</t>
  </si>
  <si>
    <t xml:space="preserve">Carlos López Estrada</t>
  </si>
  <si>
    <t xml:space="preserve">If Beale Street Could Talk</t>
  </si>
  <si>
    <t xml:space="preserve">Bacurau</t>
  </si>
  <si>
    <t xml:space="preserve">Kleber Mendonça Filho, Juliano Dornelles</t>
  </si>
  <si>
    <t xml:space="preserve">Atlantics</t>
  </si>
  <si>
    <t xml:space="preserve">Mati Diop</t>
  </si>
  <si>
    <t xml:space="preserve">Midsommar</t>
  </si>
  <si>
    <t xml:space="preserve">Saint Maud</t>
  </si>
  <si>
    <t xml:space="preserve">Rose Glass</t>
  </si>
  <si>
    <t xml:space="preserve">Us</t>
  </si>
  <si>
    <t xml:space="preserve">Color Out of Space</t>
  </si>
  <si>
    <t xml:space="preserve">Richard Stanley</t>
  </si>
  <si>
    <t xml:space="preserve">Jojo Rabbit</t>
  </si>
  <si>
    <t xml:space="preserve">Pain and Glory</t>
  </si>
  <si>
    <t xml:space="preserve">Once Upon a Time... in Hollywood</t>
  </si>
  <si>
    <t xml:space="preserve">American Factory</t>
  </si>
  <si>
    <t xml:space="preserve">Steven Bognar, Julia Reichert</t>
  </si>
  <si>
    <t xml:space="preserve">The Last Black Man in San Francisco</t>
  </si>
  <si>
    <t xml:space="preserve">Joe Talbot</t>
  </si>
  <si>
    <t xml:space="preserve">Ford v Ferrari</t>
  </si>
  <si>
    <t xml:space="preserve">Little Women</t>
  </si>
  <si>
    <t xml:space="preserve">Klaus</t>
  </si>
  <si>
    <t xml:space="preserve">Sergio Pablos</t>
  </si>
  <si>
    <t xml:space="preserve">Another Round</t>
  </si>
  <si>
    <t xml:space="preserve">Host</t>
  </si>
  <si>
    <t xml:space="preserve">Rob Savage</t>
  </si>
  <si>
    <t xml:space="preserve">His House</t>
  </si>
  <si>
    <t xml:space="preserve">Remi Weekes</t>
  </si>
  <si>
    <t xml:space="preserve">Da 5 Bloods</t>
  </si>
  <si>
    <t xml:space="preserve">I'm Thinking of Ending Things</t>
  </si>
  <si>
    <t xml:space="preserve">Mank</t>
  </si>
  <si>
    <t xml:space="preserve">The Woman Who Ran</t>
  </si>
  <si>
    <t xml:space="preserve">Palm Springs</t>
  </si>
  <si>
    <t xml:space="preserve">Max Barbakow</t>
  </si>
  <si>
    <t xml:space="preserve">Tenet</t>
  </si>
  <si>
    <t xml:space="preserve">The Father</t>
  </si>
  <si>
    <t xml:space="preserve">Florian Zeller</t>
  </si>
  <si>
    <t xml:space="preserve">The Worst Person in the World</t>
  </si>
  <si>
    <t xml:space="preserve">Joachim Trier</t>
  </si>
  <si>
    <t xml:space="preserve">Bad Luck Banging or Loony Porn</t>
  </si>
  <si>
    <t xml:space="preserve">Radu Jude</t>
  </si>
  <si>
    <t xml:space="preserve">The Power of the Dog</t>
  </si>
  <si>
    <t xml:space="preserve">Dune</t>
  </si>
  <si>
    <t xml:space="preserve">Annette</t>
  </si>
  <si>
    <t xml:space="preserve">Marcel the Shell with Shoes On</t>
  </si>
  <si>
    <t xml:space="preserve">Dean Fleischer Camp</t>
  </si>
  <si>
    <t xml:space="preserve">Flee</t>
  </si>
  <si>
    <t xml:space="preserve">Jonas Poher Rasmussen</t>
  </si>
  <si>
    <t xml:space="preserve">Summer of Soul (...Or, When the Revolution Could Not Be Televised)</t>
  </si>
  <si>
    <t xml:space="preserve">Questlove</t>
  </si>
  <si>
    <t xml:space="preserve">The French Dispatch</t>
  </si>
  <si>
    <t xml:space="preserve">After Yang</t>
  </si>
  <si>
    <t xml:space="preserve">TÁR</t>
  </si>
  <si>
    <t xml:space="preserve">Todd Field</t>
  </si>
  <si>
    <t xml:space="preserve">Enys Men</t>
  </si>
  <si>
    <t xml:space="preserve">Mark Jenkin</t>
  </si>
  <si>
    <t xml:space="preserve">X</t>
  </si>
  <si>
    <t xml:space="preserve">Ti West</t>
  </si>
  <si>
    <t xml:space="preserve">Nope</t>
  </si>
  <si>
    <t xml:space="preserve">Edward Berger</t>
  </si>
  <si>
    <t xml:space="preserve">Guillermo del Toro's Pinocchio</t>
  </si>
  <si>
    <t xml:space="preserve">Guillermo del Toro, Mark Gustafson</t>
  </si>
  <si>
    <t xml:space="preserve">Showing Up</t>
  </si>
  <si>
    <t xml:space="preserve">She Said</t>
  </si>
  <si>
    <t xml:space="preserve">Maria Schrader</t>
  </si>
  <si>
    <t xml:space="preserve">Stutz</t>
  </si>
  <si>
    <t xml:space="preserve">Living</t>
  </si>
  <si>
    <t xml:space="preserve">Oliver Hermanus</t>
  </si>
  <si>
    <t xml:space="preserve">Babylon</t>
  </si>
  <si>
    <t xml:space="preserve">Top Gun: Maverick</t>
  </si>
  <si>
    <t xml:space="preserve">Joseph Kosinski</t>
  </si>
  <si>
    <t xml:space="preserve">La Chimera</t>
  </si>
  <si>
    <t xml:space="preserve">Hit Man</t>
  </si>
  <si>
    <t xml:space="preserve">Asteroid City</t>
  </si>
  <si>
    <t xml:space="preserve">Poor Things</t>
  </si>
  <si>
    <t xml:space="preserve">The Boy and the Heron</t>
  </si>
  <si>
    <t xml:space="preserve">Frybread Face and Me</t>
  </si>
  <si>
    <t xml:space="preserve">Billy Luther</t>
  </si>
  <si>
    <t xml:space="preserve">Late Night with the Devil</t>
  </si>
  <si>
    <t xml:space="preserve">Cameron Cairnes, Colin Cairnes</t>
  </si>
  <si>
    <t xml:space="preserve">Sing Sing</t>
  </si>
  <si>
    <t xml:space="preserve">Greg Kwedar</t>
  </si>
  <si>
    <t xml:space="preserve">The Taste of Things</t>
  </si>
  <si>
    <t xml:space="preserve">Tran Anh Hung</t>
  </si>
  <si>
    <t xml:space="preserve">Godzilla Minus One</t>
  </si>
  <si>
    <t xml:space="preserve">Takashi Yamazaki</t>
  </si>
  <si>
    <t xml:space="preserve">Anora</t>
  </si>
  <si>
    <t xml:space="preserve">The Brutalist</t>
  </si>
  <si>
    <t xml:space="preserve">Brady Corbet</t>
  </si>
  <si>
    <t xml:space="preserve">Longlegs</t>
  </si>
  <si>
    <t xml:space="preserve">Osgood Perkins</t>
  </si>
  <si>
    <t xml:space="preserve">The Substance</t>
  </si>
  <si>
    <t xml:space="preserve">Coralie Fargeat</t>
  </si>
  <si>
    <t xml:space="preserve">Dune: Part Two</t>
  </si>
  <si>
    <t xml:space="preserve">Civil War</t>
  </si>
  <si>
    <t xml:space="preserve">Memoir of a Snail</t>
  </si>
  <si>
    <t xml:space="preserve">Flow</t>
  </si>
  <si>
    <t xml:space="preserve">Gints Zilbalodis</t>
  </si>
  <si>
    <t xml:space="preserve">Saturday Night</t>
  </si>
  <si>
    <t xml:space="preserve">Jason Reitman</t>
  </si>
  <si>
    <t xml:space="preserve">Conclave</t>
  </si>
  <si>
    <t xml:space="preserve">Warfare</t>
  </si>
  <si>
    <t xml:space="preserve">Alex Garland, Ray Mendoza</t>
  </si>
  <si>
    <t xml:space="preserve">One Battle After Another</t>
  </si>
  <si>
    <t xml:space="preserve">Sinners</t>
  </si>
  <si>
    <t xml:space="preserve">Edison Kinetoscopic Record of a Sneeze</t>
  </si>
  <si>
    <t xml:space="preserve">William Kennedy Laurie Dickson</t>
  </si>
  <si>
    <t xml:space="preserve">Rescued by Rover</t>
  </si>
  <si>
    <t xml:space="preserve">Lewin Fitzhamon</t>
  </si>
  <si>
    <t xml:space="preserve">J'Accuse</t>
  </si>
  <si>
    <t xml:space="preserve">One Week</t>
  </si>
  <si>
    <t xml:space="preserve">Buster Keaton, Edward F. Cline</t>
  </si>
  <si>
    <t xml:space="preserve">Salomé</t>
  </si>
  <si>
    <t xml:space="preserve">Charles Bryant</t>
  </si>
  <si>
    <t xml:space="preserve">Warning Shadows</t>
  </si>
  <si>
    <t xml:space="preserve">Arthur Robison</t>
  </si>
  <si>
    <t xml:space="preserve">The Smiling Madame Beudet</t>
  </si>
  <si>
    <t xml:space="preserve">Coeur fidèle</t>
  </si>
  <si>
    <t xml:space="preserve">Waxworks</t>
  </si>
  <si>
    <t xml:space="preserve">Paul Leni</t>
  </si>
  <si>
    <t xml:space="preserve">The Extraordinary Adventures of Mr. West in the Land of the Bolsheviks</t>
  </si>
  <si>
    <t xml:space="preserve">Lev Kuleshov</t>
  </si>
  <si>
    <t xml:space="preserve">Ballet Mécanique</t>
  </si>
  <si>
    <t xml:space="preserve">Fernand Léger, Dudley Murphy</t>
  </si>
  <si>
    <t xml:space="preserve">Entr'acte</t>
  </si>
  <si>
    <t xml:space="preserve">Seven Chances</t>
  </si>
  <si>
    <t xml:space="preserve">A Page of Madness</t>
  </si>
  <si>
    <t xml:space="preserve">Teinosuke Kinugasa</t>
  </si>
  <si>
    <t xml:space="preserve">The Adventures of Prince Achmed</t>
  </si>
  <si>
    <t xml:space="preserve">Lotte Reiniger</t>
  </si>
  <si>
    <t xml:space="preserve">Anemic Cinema</t>
  </si>
  <si>
    <t xml:space="preserve">Marcel Duchamp</t>
  </si>
  <si>
    <t xml:space="preserve">Bed and Sofa</t>
  </si>
  <si>
    <t xml:space="preserve">Abram Room</t>
  </si>
  <si>
    <t xml:space="preserve">Underworld</t>
  </si>
  <si>
    <t xml:space="preserve">Lonesome</t>
  </si>
  <si>
    <t xml:space="preserve">Paul Fejos</t>
  </si>
  <si>
    <t xml:space="preserve">The Docks of New York</t>
  </si>
  <si>
    <t xml:space="preserve">Arsenal</t>
  </si>
  <si>
    <t xml:space="preserve">Rain</t>
  </si>
  <si>
    <t xml:space="preserve">Joris Ivens</t>
  </si>
  <si>
    <t xml:space="preserve">People on Sunday</t>
  </si>
  <si>
    <t xml:space="preserve">Robert Siodmak, Edgar G. Ulmer</t>
  </si>
  <si>
    <t xml:space="preserve">À propos de Nice</t>
  </si>
  <si>
    <t xml:space="preserve">Safe in Hell</t>
  </si>
  <si>
    <t xml:space="preserve">Three on a Match</t>
  </si>
  <si>
    <t xml:space="preserve">Back Street</t>
  </si>
  <si>
    <t xml:space="preserve">John M. Stahl</t>
  </si>
  <si>
    <t xml:space="preserve">American Madness</t>
  </si>
  <si>
    <t xml:space="preserve">The Bitter Tea of General Yen</t>
  </si>
  <si>
    <t xml:space="preserve">Blonde Venus</t>
  </si>
  <si>
    <t xml:space="preserve">Veiled Aristocrats</t>
  </si>
  <si>
    <t xml:space="preserve">Female</t>
  </si>
  <si>
    <t xml:space="preserve">The Merry Widow</t>
  </si>
  <si>
    <t xml:space="preserve">Three Songs About Lenin</t>
  </si>
  <si>
    <t xml:space="preserve">The Scarlet Empress</t>
  </si>
  <si>
    <t xml:space="preserve">The Only Son</t>
  </si>
  <si>
    <t xml:space="preserve">Sabotage</t>
  </si>
  <si>
    <t xml:space="preserve">Nothing Sacred</t>
  </si>
  <si>
    <t xml:space="preserve">Easy Living</t>
  </si>
  <si>
    <t xml:space="preserve">Mitchell Leisen</t>
  </si>
  <si>
    <t xml:space="preserve">Way Out West</t>
  </si>
  <si>
    <t xml:space="preserve">James W. Horne</t>
  </si>
  <si>
    <t xml:space="preserve">Spirit of Youth</t>
  </si>
  <si>
    <t xml:space="preserve">Harry L. Fraser</t>
  </si>
  <si>
    <t xml:space="preserve">Olympia</t>
  </si>
  <si>
    <t xml:space="preserve">Son of Frankenstein</t>
  </si>
  <si>
    <t xml:space="preserve">Rowland V. Lee</t>
  </si>
  <si>
    <t xml:space="preserve">Midnight</t>
  </si>
  <si>
    <t xml:space="preserve">The Roaring Twenties</t>
  </si>
  <si>
    <t xml:space="preserve">Remember the Night</t>
  </si>
  <si>
    <t xml:space="preserve">49th Parallel</t>
  </si>
  <si>
    <t xml:space="preserve">Hellzapoppin'</t>
  </si>
  <si>
    <t xml:space="preserve">H.C. Potter</t>
  </si>
  <si>
    <t xml:space="preserve">Went the Day Well?</t>
  </si>
  <si>
    <t xml:space="preserve">Alberto Cavalcanti</t>
  </si>
  <si>
    <t xml:space="preserve">There Was a Father</t>
  </si>
  <si>
    <t xml:space="preserve">Scarlet Street</t>
  </si>
  <si>
    <t xml:space="preserve">Leave Her to Heaven</t>
  </si>
  <si>
    <t xml:space="preserve">They Were Expendable</t>
  </si>
  <si>
    <t xml:space="preserve">Les Dames du bois de Boulogne</t>
  </si>
  <si>
    <t xml:space="preserve">The Southerner</t>
  </si>
  <si>
    <t xml:space="preserve">Brute Force</t>
  </si>
  <si>
    <t xml:space="preserve">Raw Deal</t>
  </si>
  <si>
    <t xml:space="preserve">The Pirate</t>
  </si>
  <si>
    <t xml:space="preserve">Macbeth</t>
  </si>
  <si>
    <t xml:space="preserve">Unfaithfully Yours</t>
  </si>
  <si>
    <t xml:space="preserve">Brighton Rock</t>
  </si>
  <si>
    <t xml:space="preserve">John Boulting</t>
  </si>
  <si>
    <t xml:space="preserve">The Small Back Room</t>
  </si>
  <si>
    <t xml:space="preserve">Criss Cross</t>
  </si>
  <si>
    <t xml:space="preserve">Wagon Master</t>
  </si>
  <si>
    <t xml:space="preserve">On Dangerous Ground</t>
  </si>
  <si>
    <t xml:space="preserve">The Steel Helmet</t>
  </si>
  <si>
    <t xml:space="preserve">Scaramouche</t>
  </si>
  <si>
    <t xml:space="preserve">George Sidney</t>
  </si>
  <si>
    <t xml:space="preserve">The Crimson Pirate</t>
  </si>
  <si>
    <t xml:space="preserve">Fear and Desire</t>
  </si>
  <si>
    <t xml:space="preserve">The White Sheik</t>
  </si>
  <si>
    <t xml:space="preserve">The Golden Coach</t>
  </si>
  <si>
    <t xml:space="preserve">Europe '51</t>
  </si>
  <si>
    <t xml:space="preserve">The Titfield Thunderbolt</t>
  </si>
  <si>
    <t xml:space="preserve">The Naked Spur</t>
  </si>
  <si>
    <t xml:space="preserve">It Came from Outer Space</t>
  </si>
  <si>
    <t xml:space="preserve">The Sun Shines Bright</t>
  </si>
  <si>
    <t xml:space="preserve">Sawdust and Tinsel</t>
  </si>
  <si>
    <t xml:space="preserve">Robot Monster</t>
  </si>
  <si>
    <t xml:space="preserve">Phil Tucker</t>
  </si>
  <si>
    <t xml:space="preserve">Little Fugitive</t>
  </si>
  <si>
    <t xml:space="preserve">Ray Ashley, Morris Engel, Ruth Orkin</t>
  </si>
  <si>
    <t xml:space="preserve">Mr. Hulot's Holiday</t>
  </si>
  <si>
    <t xml:space="preserve">Twenty-Four Eyes</t>
  </si>
  <si>
    <t xml:space="preserve">Keisuke Kinoshita</t>
  </si>
  <si>
    <t xml:space="preserve">Samurai I: Musashi Miyamoto</t>
  </si>
  <si>
    <t xml:space="preserve">Hiroshi Inagaki</t>
  </si>
  <si>
    <t xml:space="preserve">Killer's Kiss</t>
  </si>
  <si>
    <t xml:space="preserve">Le Amiche</t>
  </si>
  <si>
    <t xml:space="preserve">Momma Don't Allow</t>
  </si>
  <si>
    <t xml:space="preserve">Karel Reisz, Tony Richardson</t>
  </si>
  <si>
    <t xml:space="preserve">There's Always Tomorrow</t>
  </si>
  <si>
    <t xml:space="preserve">The Wrong Man</t>
  </si>
  <si>
    <t xml:space="preserve">Flowing</t>
  </si>
  <si>
    <t xml:space="preserve">Forty Guns</t>
  </si>
  <si>
    <t xml:space="preserve">The Tarnished Angels</t>
  </si>
  <si>
    <t xml:space="preserve">What's Opera, Doc?</t>
  </si>
  <si>
    <t xml:space="preserve">Chuck Jones</t>
  </si>
  <si>
    <t xml:space="preserve">Ivan the Terrible, Part II</t>
  </si>
  <si>
    <t xml:space="preserve">A Movie</t>
  </si>
  <si>
    <t xml:space="preserve">Bruce Conner</t>
  </si>
  <si>
    <t xml:space="preserve">Day of the Outlaw</t>
  </si>
  <si>
    <t xml:space="preserve">André de Toth</t>
  </si>
  <si>
    <t xml:space="preserve">Ghost Story of Yotsuya</t>
  </si>
  <si>
    <t xml:space="preserve">Nobuo Nakagawa</t>
  </si>
  <si>
    <t xml:space="preserve">The Human Condition I: No Greater Love</t>
  </si>
  <si>
    <t xml:space="preserve">Fires on the Plain</t>
  </si>
  <si>
    <t xml:space="preserve">Kon Ichikawa</t>
  </si>
  <si>
    <t xml:space="preserve">Jazz on a Summer's Day</t>
  </si>
  <si>
    <t xml:space="preserve">Bert Stern, Aram Avakian</t>
  </si>
  <si>
    <t xml:space="preserve">Classe Tous Risques</t>
  </si>
  <si>
    <t xml:space="preserve">Claude Sautet</t>
  </si>
  <si>
    <t xml:space="preserve">Macario</t>
  </si>
  <si>
    <t xml:space="preserve">Roberto Gavaldón</t>
  </si>
  <si>
    <t xml:space="preserve">Jigoku</t>
  </si>
  <si>
    <t xml:space="preserve">The Little Shop of Horrors</t>
  </si>
  <si>
    <t xml:space="preserve">Léon Morin, Priest</t>
  </si>
  <si>
    <t xml:space="preserve">Night Tide</t>
  </si>
  <si>
    <t xml:space="preserve">Curtis Harrington</t>
  </si>
  <si>
    <t xml:space="preserve">Adieu Philippine</t>
  </si>
  <si>
    <t xml:space="preserve">Jacques Rozier</t>
  </si>
  <si>
    <t xml:space="preserve">Ride the High Country</t>
  </si>
  <si>
    <t xml:space="preserve">Lonely Are the Brave</t>
  </si>
  <si>
    <t xml:space="preserve">David Miller</t>
  </si>
  <si>
    <t xml:space="preserve">Hatari!</t>
  </si>
  <si>
    <t xml:space="preserve">The Trial of Joan of Arc</t>
  </si>
  <si>
    <t xml:space="preserve">Youth of the Beast</t>
  </si>
  <si>
    <t xml:space="preserve">Muriel, or the Time of Return</t>
  </si>
  <si>
    <t xml:space="preserve">Mothlight</t>
  </si>
  <si>
    <t xml:space="preserve">Matango</t>
  </si>
  <si>
    <t xml:space="preserve">King &amp; Country</t>
  </si>
  <si>
    <t xml:space="preserve">Kiss Me, Stupid</t>
  </si>
  <si>
    <t xml:space="preserve">Diary of a Chambermaid</t>
  </si>
  <si>
    <t xml:space="preserve">Seven Days in May</t>
  </si>
  <si>
    <t xml:space="preserve">Two Thousand Maniacs!</t>
  </si>
  <si>
    <t xml:space="preserve">Fists in the Pocket</t>
  </si>
  <si>
    <t xml:space="preserve">Marco Bellocchio</t>
  </si>
  <si>
    <t xml:space="preserve">The Knack... and How to Get It</t>
  </si>
  <si>
    <t xml:space="preserve">Shadows of Forgotten Ancestors</t>
  </si>
  <si>
    <t xml:space="preserve">Simon of the Desert</t>
  </si>
  <si>
    <t xml:space="preserve">Mudhoney</t>
  </si>
  <si>
    <t xml:space="preserve">The Face of Another</t>
  </si>
  <si>
    <t xml:space="preserve">Le Deuxième Souffle</t>
  </si>
  <si>
    <t xml:space="preserve">Cathy Come Home</t>
  </si>
  <si>
    <t xml:space="preserve">Death of a Bureaucrat</t>
  </si>
  <si>
    <t xml:space="preserve">The Plague of the Zombies</t>
  </si>
  <si>
    <t xml:space="preserve">John Gilling</t>
  </si>
  <si>
    <t xml:space="preserve">The Quiller Memorandum</t>
  </si>
  <si>
    <t xml:space="preserve">Michael Anderson</t>
  </si>
  <si>
    <t xml:space="preserve">The Fortune Cookie</t>
  </si>
  <si>
    <t xml:space="preserve">Nayak: The Hero</t>
  </si>
  <si>
    <t xml:space="preserve">Manos: The Hands of Fate</t>
  </si>
  <si>
    <t xml:space="preserve">Harold P. Warren</t>
  </si>
  <si>
    <t xml:space="preserve">Death Rides a Horse</t>
  </si>
  <si>
    <t xml:space="preserve">Giulio Petroni</t>
  </si>
  <si>
    <t xml:space="preserve">One-Armed Swordsman</t>
  </si>
  <si>
    <t xml:space="preserve">Viy</t>
  </si>
  <si>
    <t xml:space="preserve">Konstantin Yershov, Georgi Kropachyov</t>
  </si>
  <si>
    <t xml:space="preserve">Scattered Clouds</t>
  </si>
  <si>
    <t xml:space="preserve">Teorema</t>
  </si>
  <si>
    <t xml:space="preserve">Innocence Unprotected</t>
  </si>
  <si>
    <t xml:space="preserve">Barbarella</t>
  </si>
  <si>
    <t xml:space="preserve">Roger Vadim</t>
  </si>
  <si>
    <t xml:space="preserve">Head</t>
  </si>
  <si>
    <t xml:space="preserve">Shame</t>
  </si>
  <si>
    <t xml:space="preserve">Destroy All Monsters</t>
  </si>
  <si>
    <t xml:space="preserve">Goke, Body Snatcher from Hell</t>
  </si>
  <si>
    <t xml:space="preserve">Hajime Satō</t>
  </si>
  <si>
    <t xml:space="preserve">Bhuvan Shome</t>
  </si>
  <si>
    <t xml:space="preserve">Mrinal Sen</t>
  </si>
  <si>
    <t xml:space="preserve">Putney Swope</t>
  </si>
  <si>
    <t xml:space="preserve">Law and Order</t>
  </si>
  <si>
    <t xml:space="preserve">Fellini Satyricon</t>
  </si>
  <si>
    <t xml:space="preserve">Goodbye, Columbus</t>
  </si>
  <si>
    <t xml:space="preserve">Larry Peerce</t>
  </si>
  <si>
    <t xml:space="preserve">Compañeros</t>
  </si>
  <si>
    <t xml:space="preserve">Goin' Down the Road</t>
  </si>
  <si>
    <t xml:space="preserve">Donald Shebib</t>
  </si>
  <si>
    <t xml:space="preserve">Robin Redbreast</t>
  </si>
  <si>
    <t xml:space="preserve">James MacTaggart</t>
  </si>
  <si>
    <t xml:space="preserve">The Private Life of Sherlock Holmes</t>
  </si>
  <si>
    <t xml:space="preserve">Brewster McCloud</t>
  </si>
  <si>
    <t xml:space="preserve">The Landlord</t>
  </si>
  <si>
    <t xml:space="preserve">The Grandmother</t>
  </si>
  <si>
    <t xml:space="preserve">Zabriskie Point</t>
  </si>
  <si>
    <t xml:space="preserve">The Wild Child</t>
  </si>
  <si>
    <t xml:space="preserve">Dodes'ka-den</t>
  </si>
  <si>
    <t xml:space="preserve">Ryan's Daughter</t>
  </si>
  <si>
    <t xml:space="preserve">Cotton Comes to Harlem</t>
  </si>
  <si>
    <t xml:space="preserve">Ossie Davis</t>
  </si>
  <si>
    <t xml:space="preserve">Short Night of Glass Dolls</t>
  </si>
  <si>
    <t xml:space="preserve">Aldo Lado</t>
  </si>
  <si>
    <t xml:space="preserve">The Emigrants</t>
  </si>
  <si>
    <t xml:space="preserve">Jan Troell</t>
  </si>
  <si>
    <t xml:space="preserve">Mon Oncle Antoine</t>
  </si>
  <si>
    <t xml:space="preserve">Claude Jutra</t>
  </si>
  <si>
    <t xml:space="preserve">The Last Movie</t>
  </si>
  <si>
    <t xml:space="preserve">Punishment Park</t>
  </si>
  <si>
    <t xml:space="preserve">The Anderson Tapes</t>
  </si>
  <si>
    <t xml:space="preserve">10 Rillington Place</t>
  </si>
  <si>
    <t xml:space="preserve">The Beguiled</t>
  </si>
  <si>
    <t xml:space="preserve">Duffer</t>
  </si>
  <si>
    <t xml:space="preserve">Joseph Despins, William Dumaresq</t>
  </si>
  <si>
    <t xml:space="preserve">Your Vice Is a Locked Room and Only I Have the Key</t>
  </si>
  <si>
    <t xml:space="preserve">Un Flic</t>
  </si>
  <si>
    <t xml:space="preserve">Sambizanga</t>
  </si>
  <si>
    <t xml:space="preserve">Sarah Maldoror</t>
  </si>
  <si>
    <t xml:space="preserve">Ulzana's Raid</t>
  </si>
  <si>
    <t xml:space="preserve">The New Centurions</t>
  </si>
  <si>
    <t xml:space="preserve">Frenzy</t>
  </si>
  <si>
    <t xml:space="preserve">Tout Va Bien</t>
  </si>
  <si>
    <t xml:space="preserve">Jean-Luc Godard, Jean-Pierre Gorin</t>
  </si>
  <si>
    <t xml:space="preserve">Downpour</t>
  </si>
  <si>
    <t xml:space="preserve">Bahram Beyzaie</t>
  </si>
  <si>
    <t xml:space="preserve">Belladonna of Sadness</t>
  </si>
  <si>
    <t xml:space="preserve">Eiichi Yamamoto</t>
  </si>
  <si>
    <t xml:space="preserve">Lisa and the Devil</t>
  </si>
  <si>
    <t xml:space="preserve">Revolver</t>
  </si>
  <si>
    <t xml:space="preserve">The Friends of Eddie Coyle</t>
  </si>
  <si>
    <t xml:space="preserve">Theatre of Blood</t>
  </si>
  <si>
    <t xml:space="preserve">Douglas Hickox</t>
  </si>
  <si>
    <t xml:space="preserve">The Legend of Hell House</t>
  </si>
  <si>
    <t xml:space="preserve">John Hough</t>
  </si>
  <si>
    <t xml:space="preserve">Charley Varrick</t>
  </si>
  <si>
    <t xml:space="preserve">Executive Action</t>
  </si>
  <si>
    <t xml:space="preserve">Heavy Traffic</t>
  </si>
  <si>
    <t xml:space="preserve">Ralph Bakshi</t>
  </si>
  <si>
    <t xml:space="preserve">The Offence</t>
  </si>
  <si>
    <t xml:space="preserve">World on a Wire</t>
  </si>
  <si>
    <t xml:space="preserve">Distant Thunder</t>
  </si>
  <si>
    <t xml:space="preserve">The Horse</t>
  </si>
  <si>
    <t xml:space="preserve">Black Caesar</t>
  </si>
  <si>
    <t xml:space="preserve">Larry Cohen</t>
  </si>
  <si>
    <t xml:space="preserve">La Grande Bouffe</t>
  </si>
  <si>
    <t xml:space="preserve">Marco Ferreri</t>
  </si>
  <si>
    <t xml:space="preserve">La Maman et la Putain</t>
  </si>
  <si>
    <t xml:space="preserve">Jean Eustache</t>
  </si>
  <si>
    <t xml:space="preserve">Almost Human</t>
  </si>
  <si>
    <t xml:space="preserve">Umberto Lenzi</t>
  </si>
  <si>
    <t xml:space="preserve">Céline and Julie Go Boating</t>
  </si>
  <si>
    <t xml:space="preserve">Stone</t>
  </si>
  <si>
    <t xml:space="preserve">Sandy Harbutt</t>
  </si>
  <si>
    <t xml:space="preserve">Zardoz</t>
  </si>
  <si>
    <t xml:space="preserve">Phase IV</t>
  </si>
  <si>
    <t xml:space="preserve">Saul Bass</t>
  </si>
  <si>
    <t xml:space="preserve">Lacombe, Lucien</t>
  </si>
  <si>
    <t xml:space="preserve">Italianamerican</t>
  </si>
  <si>
    <t xml:space="preserve">Female Trouble</t>
  </si>
  <si>
    <t xml:space="preserve">Deathdream</t>
  </si>
  <si>
    <t xml:space="preserve">Daisy Miller</t>
  </si>
  <si>
    <t xml:space="preserve">Welfare</t>
  </si>
  <si>
    <t xml:space="preserve">Daguerréotypes</t>
  </si>
  <si>
    <t xml:space="preserve">Seven Beauties</t>
  </si>
  <si>
    <t xml:space="preserve">Lina Wertmüller</t>
  </si>
  <si>
    <t xml:space="preserve">Down and Dirty</t>
  </si>
  <si>
    <t xml:space="preserve">Keoma</t>
  </si>
  <si>
    <t xml:space="preserve">The House with Laughing Windows</t>
  </si>
  <si>
    <t xml:space="preserve">Pupi Avati</t>
  </si>
  <si>
    <t xml:space="preserve">Canoa: A Shameful Memory</t>
  </si>
  <si>
    <t xml:space="preserve">Felipe Cazals</t>
  </si>
  <si>
    <t xml:space="preserve">Lost Lost Lost</t>
  </si>
  <si>
    <t xml:space="preserve">Jonas Mekas</t>
  </si>
  <si>
    <t xml:space="preserve">Heart of Glass</t>
  </si>
  <si>
    <t xml:space="preserve">Island of Death</t>
  </si>
  <si>
    <t xml:space="preserve">Nico Mastorakis</t>
  </si>
  <si>
    <t xml:space="preserve">Hollywood Boulevard</t>
  </si>
  <si>
    <t xml:space="preserve">Joe Dante, Allan Arkush</t>
  </si>
  <si>
    <t xml:space="preserve">A Special Day</t>
  </si>
  <si>
    <t xml:space="preserve">The Chess Players</t>
  </si>
  <si>
    <t xml:space="preserve">The Sentinel</t>
  </si>
  <si>
    <t xml:space="preserve">Michael Winner</t>
  </si>
  <si>
    <t xml:space="preserve">The Kentucky Fried Movie</t>
  </si>
  <si>
    <t xml:space="preserve">Passing Through</t>
  </si>
  <si>
    <t xml:space="preserve">Long Weekend</t>
  </si>
  <si>
    <t xml:space="preserve">Colin Eggleston</t>
  </si>
  <si>
    <t xml:space="preserve">Patrick</t>
  </si>
  <si>
    <t xml:space="preserve">Richard Franklin</t>
  </si>
  <si>
    <t xml:space="preserve">Straight Time</t>
  </si>
  <si>
    <t xml:space="preserve">Ulu Grosbard</t>
  </si>
  <si>
    <t xml:space="preserve">Go Tell the Spartans</t>
  </si>
  <si>
    <t xml:space="preserve">Ted Post</t>
  </si>
  <si>
    <t xml:space="preserve">I Spit on Your Grave</t>
  </si>
  <si>
    <t xml:space="preserve">Meir Zarchi</t>
  </si>
  <si>
    <t xml:space="preserve">Scum</t>
  </si>
  <si>
    <t xml:space="preserve">Winter Kills</t>
  </si>
  <si>
    <t xml:space="preserve">William Richert</t>
  </si>
  <si>
    <t xml:space="preserve">1941</t>
  </si>
  <si>
    <t xml:space="preserve">The Castle of Cagliostro</t>
  </si>
  <si>
    <t xml:space="preserve">Who's Singin' Over There?</t>
  </si>
  <si>
    <t xml:space="preserve">Slobodan Šijan</t>
  </si>
  <si>
    <t xml:space="preserve">Permanent Vacation</t>
  </si>
  <si>
    <t xml:space="preserve">Gloria</t>
  </si>
  <si>
    <t xml:space="preserve">Gregory's Girl</t>
  </si>
  <si>
    <t xml:space="preserve">Marianne and Juliane</t>
  </si>
  <si>
    <t xml:space="preserve">Margarethe von Trotta</t>
  </si>
  <si>
    <t xml:space="preserve">Cutter's Way</t>
  </si>
  <si>
    <t xml:space="preserve">Ivan Passer</t>
  </si>
  <si>
    <t xml:space="preserve">The Prowler</t>
  </si>
  <si>
    <t xml:space="preserve">Joseph Zito</t>
  </si>
  <si>
    <t xml:space="preserve">Stripes</t>
  </si>
  <si>
    <t xml:space="preserve">Pennies from Heaven</t>
  </si>
  <si>
    <t xml:space="preserve">Herbert Ross</t>
  </si>
  <si>
    <t xml:space="preserve">Mur Murs</t>
  </si>
  <si>
    <t xml:space="preserve">Ms .45</t>
  </si>
  <si>
    <t xml:space="preserve">Abel Ferrara</t>
  </si>
  <si>
    <t xml:space="preserve">Absence of Malice</t>
  </si>
  <si>
    <t xml:space="preserve">Le Pont du Nord</t>
  </si>
  <si>
    <t xml:space="preserve">Reds</t>
  </si>
  <si>
    <t xml:space="preserve">Warren Beatty</t>
  </si>
  <si>
    <t xml:space="preserve">The Decline of Western Civilization</t>
  </si>
  <si>
    <t xml:space="preserve">Penelope Spheeris</t>
  </si>
  <si>
    <t xml:space="preserve">Elippathayam</t>
  </si>
  <si>
    <t xml:space="preserve">Adoor Gopalakrishnan</t>
  </si>
  <si>
    <t xml:space="preserve">Une chambre en ville</t>
  </si>
  <si>
    <t xml:space="preserve">Burden of Dreams</t>
  </si>
  <si>
    <t xml:space="preserve">Les Blank</t>
  </si>
  <si>
    <t xml:space="preserve">Querelle</t>
  </si>
  <si>
    <t xml:space="preserve">Illusions</t>
  </si>
  <si>
    <t xml:space="preserve">Chan Is Missing</t>
  </si>
  <si>
    <t xml:space="preserve">Wayne Wang</t>
  </si>
  <si>
    <t xml:space="preserve">Flashdance</t>
  </si>
  <si>
    <t xml:space="preserve">El Sur</t>
  </si>
  <si>
    <t xml:space="preserve">The Boys from Fengkuei</t>
  </si>
  <si>
    <t xml:space="preserve">Jaane Bhi Do Yaaro</t>
  </si>
  <si>
    <t xml:space="preserve">Kundan Shah</t>
  </si>
  <si>
    <t xml:space="preserve">Testament</t>
  </si>
  <si>
    <t xml:space="preserve">Lynne Littman</t>
  </si>
  <si>
    <t xml:space="preserve">Suburbia</t>
  </si>
  <si>
    <t xml:space="preserve">Beverly Hills Cop</t>
  </si>
  <si>
    <t xml:space="preserve">Martin Brest</t>
  </si>
  <si>
    <t xml:space="preserve">Secret Honor</t>
  </si>
  <si>
    <t xml:space="preserve">Full Moon in Paris</t>
  </si>
  <si>
    <t xml:space="preserve">What Have I Done to Deserve This?</t>
  </si>
  <si>
    <t xml:space="preserve">A Passage to India</t>
  </si>
  <si>
    <t xml:space="preserve">To Live and Die in L.A.</t>
  </si>
  <si>
    <t xml:space="preserve">Angel's Egg</t>
  </si>
  <si>
    <t xml:space="preserve">The Official Story</t>
  </si>
  <si>
    <t xml:space="preserve">Luis Puenzo</t>
  </si>
  <si>
    <t xml:space="preserve">Tokyo-Ga</t>
  </si>
  <si>
    <t xml:space="preserve">The Quiet Earth</t>
  </si>
  <si>
    <t xml:space="preserve">Geoff Murphy</t>
  </si>
  <si>
    <t xml:space="preserve">Dust in the Wind</t>
  </si>
  <si>
    <t xml:space="preserve">Bashu, the Little Stranger</t>
  </si>
  <si>
    <t xml:space="preserve">From Beyond</t>
  </si>
  <si>
    <t xml:space="preserve">Henry: Portrait of a Serial Killer</t>
  </si>
  <si>
    <t xml:space="preserve">John McNaughton</t>
  </si>
  <si>
    <t xml:space="preserve">Street of Crocodiles</t>
  </si>
  <si>
    <t xml:space="preserve">Brothers Quay</t>
  </si>
  <si>
    <t xml:space="preserve">Handsworth Songs</t>
  </si>
  <si>
    <t xml:space="preserve">John Akomfrah</t>
  </si>
  <si>
    <t xml:space="preserve">Ishtar</t>
  </si>
  <si>
    <t xml:space="preserve">Distant Voices, Still Lives</t>
  </si>
  <si>
    <t xml:space="preserve">Terence Davies</t>
  </si>
  <si>
    <t xml:space="preserve">Damnation</t>
  </si>
  <si>
    <t xml:space="preserve">Dirty Rotten Scoundrels</t>
  </si>
  <si>
    <t xml:space="preserve">Tucker: The Man and His Dream</t>
  </si>
  <si>
    <t xml:space="preserve">It's Impossible to Learn to Plow by Reading Books</t>
  </si>
  <si>
    <t xml:space="preserve">Eight Men Out</t>
  </si>
  <si>
    <t xml:space="preserve">Leningrad Cowboys Go America</t>
  </si>
  <si>
    <t xml:space="preserve">Homework</t>
  </si>
  <si>
    <t xml:space="preserve">Chameleon Street</t>
  </si>
  <si>
    <t xml:space="preserve">Wendell B. Harris Jr.</t>
  </si>
  <si>
    <t xml:space="preserve">Surname Viet Given Name Nam</t>
  </si>
  <si>
    <t xml:space="preserve">Trinh T. Minh-ha</t>
  </si>
  <si>
    <t xml:space="preserve">Powwow Highway</t>
  </si>
  <si>
    <t xml:space="preserve">Jonathan Wacks</t>
  </si>
  <si>
    <t xml:space="preserve">Black Rain</t>
  </si>
  <si>
    <t xml:space="preserve">The Exorcist III</t>
  </si>
  <si>
    <t xml:space="preserve">King of New York</t>
  </si>
  <si>
    <t xml:space="preserve">Q &amp; A</t>
  </si>
  <si>
    <t xml:space="preserve">Dick Tracy</t>
  </si>
  <si>
    <t xml:space="preserve">Troll 2</t>
  </si>
  <si>
    <t xml:space="preserve">Claudio Fragasso</t>
  </si>
  <si>
    <t xml:space="preserve">Kafka</t>
  </si>
  <si>
    <t xml:space="preserve">Edward II</t>
  </si>
  <si>
    <t xml:space="preserve">Derek Jarman</t>
  </si>
  <si>
    <t xml:space="preserve">Gas Food Lodging</t>
  </si>
  <si>
    <t xml:space="preserve">Allison Anders</t>
  </si>
  <si>
    <t xml:space="preserve">Full Contact</t>
  </si>
  <si>
    <t xml:space="preserve">Ghostwatch</t>
  </si>
  <si>
    <t xml:space="preserve">Lesley Manning</t>
  </si>
  <si>
    <t xml:space="preserve">Raising Cain</t>
  </si>
  <si>
    <t xml:space="preserve">Red Rock West</t>
  </si>
  <si>
    <t xml:space="preserve">Totally Fucked Up</t>
  </si>
  <si>
    <t xml:space="preserve">Wittgenstein</t>
  </si>
  <si>
    <t xml:space="preserve">Clean, Shaven</t>
  </si>
  <si>
    <t xml:space="preserve">Lodge Kerrigan</t>
  </si>
  <si>
    <t xml:space="preserve">London</t>
  </si>
  <si>
    <t xml:space="preserve">Patrick Keiller</t>
  </si>
  <si>
    <t xml:space="preserve">River of Grass</t>
  </si>
  <si>
    <t xml:space="preserve">Go Fish</t>
  </si>
  <si>
    <t xml:space="preserve">Rose Troche</t>
  </si>
  <si>
    <t xml:space="preserve">Ladybird Ladybird</t>
  </si>
  <si>
    <t xml:space="preserve">Welcome to the Dollhouse</t>
  </si>
  <si>
    <t xml:space="preserve">The Blade</t>
  </si>
  <si>
    <t xml:space="preserve">Johnny Mnemonic</t>
  </si>
  <si>
    <t xml:space="preserve">Robert Longo</t>
  </si>
  <si>
    <t xml:space="preserve">Forgotten Silver</t>
  </si>
  <si>
    <t xml:space="preserve">Peter Jackson, Costa Botes</t>
  </si>
  <si>
    <t xml:space="preserve">Whisper of the Heart</t>
  </si>
  <si>
    <t xml:space="preserve">Yoshifumi Kondō</t>
  </si>
  <si>
    <t xml:space="preserve">Schizopolis</t>
  </si>
  <si>
    <t xml:space="preserve">Beautiful Girls</t>
  </si>
  <si>
    <t xml:space="preserve">Ted Demme</t>
  </si>
  <si>
    <t xml:space="preserve">Made in Hong Kong</t>
  </si>
  <si>
    <t xml:space="preserve">Fruit Chan</t>
  </si>
  <si>
    <t xml:space="preserve">The Spanish Prisoner</t>
  </si>
  <si>
    <t xml:space="preserve">Insomnia</t>
  </si>
  <si>
    <t xml:space="preserve">Erik Skjoldbjærg</t>
  </si>
  <si>
    <t xml:space="preserve">Christmas in August</t>
  </si>
  <si>
    <t xml:space="preserve">Hur Jin-ho</t>
  </si>
  <si>
    <t xml:space="preserve">Wild Things</t>
  </si>
  <si>
    <t xml:space="preserve">The Hole</t>
  </si>
  <si>
    <t xml:space="preserve">L'Humanité</t>
  </si>
  <si>
    <t xml:space="preserve">Bruno Dumont</t>
  </si>
  <si>
    <t xml:space="preserve">The Iron Giant</t>
  </si>
  <si>
    <t xml:space="preserve">American Movie</t>
  </si>
  <si>
    <t xml:space="preserve">Chris Smith</t>
  </si>
  <si>
    <t xml:space="preserve">Bringing Out the Dead</t>
  </si>
  <si>
    <t xml:space="preserve">Summer of Sam</t>
  </si>
  <si>
    <t xml:space="preserve">Eureka</t>
  </si>
  <si>
    <t xml:space="preserve">Shinji Aoyama</t>
  </si>
  <si>
    <t xml:space="preserve">Baise-moi</t>
  </si>
  <si>
    <t xml:space="preserve">Virginie Despentes, Coralie Trinh Thi</t>
  </si>
  <si>
    <t xml:space="preserve">Suzhou River</t>
  </si>
  <si>
    <t xml:space="preserve">Lou Ye</t>
  </si>
  <si>
    <t xml:space="preserve">Bamboozled</t>
  </si>
  <si>
    <t xml:space="preserve">La Captive</t>
  </si>
  <si>
    <t xml:space="preserve">All About Lily Chou-Chou</t>
  </si>
  <si>
    <t xml:space="preserve">Shunji Iwai</t>
  </si>
  <si>
    <t xml:space="preserve">Kairo</t>
  </si>
  <si>
    <t xml:space="preserve">Human Nature</t>
  </si>
  <si>
    <t xml:space="preserve">Time Out</t>
  </si>
  <si>
    <t xml:space="preserve">Fat Girl</t>
  </si>
  <si>
    <t xml:space="preserve">Catherine Breillat</t>
  </si>
  <si>
    <t xml:space="preserve">Femme Fatale</t>
  </si>
  <si>
    <t xml:space="preserve">Spider</t>
  </si>
  <si>
    <t xml:space="preserve">Etre et avoir</t>
  </si>
  <si>
    <t xml:space="preserve">Nicolas Philibert</t>
  </si>
  <si>
    <t xml:space="preserve">Elephant</t>
  </si>
  <si>
    <t xml:space="preserve">Zatoichi</t>
  </si>
  <si>
    <t xml:space="preserve">Twentynine Palms</t>
  </si>
  <si>
    <t xml:space="preserve">Good Bye Lenin!</t>
  </si>
  <si>
    <t xml:space="preserve">Wolfgang Becker</t>
  </si>
  <si>
    <t xml:space="preserve">PTU</t>
  </si>
  <si>
    <t xml:space="preserve">Johnnie To</t>
  </si>
  <si>
    <t xml:space="preserve">Baadasssss!</t>
  </si>
  <si>
    <t xml:space="preserve">Shattered Glass</t>
  </si>
  <si>
    <t xml:space="preserve">Billy Ray</t>
  </si>
  <si>
    <t xml:space="preserve">Mind Game</t>
  </si>
  <si>
    <t xml:space="preserve">Masaaki Yuasa</t>
  </si>
  <si>
    <t xml:space="preserve">L'Intrus</t>
  </si>
  <si>
    <t xml:space="preserve">Closer</t>
  </si>
  <si>
    <t xml:space="preserve">Noroi: The Curse</t>
  </si>
  <si>
    <t xml:space="preserve">Kōji Shiraishi</t>
  </si>
  <si>
    <t xml:space="preserve">Bubble</t>
  </si>
  <si>
    <t xml:space="preserve">Syriana</t>
  </si>
  <si>
    <t xml:space="preserve">Stephen Gaghan</t>
  </si>
  <si>
    <t xml:space="preserve">Enron: The Smartest Guys in the Room</t>
  </si>
  <si>
    <t xml:space="preserve">Alex Gibney</t>
  </si>
  <si>
    <t xml:space="preserve">49 Up</t>
  </si>
  <si>
    <t xml:space="preserve">Michael Apted</t>
  </si>
  <si>
    <t xml:space="preserve">Exiled</t>
  </si>
  <si>
    <t xml:space="preserve">Bamako</t>
  </si>
  <si>
    <t xml:space="preserve">Idiocracy</t>
  </si>
  <si>
    <t xml:space="preserve">The Good Shepherd</t>
  </si>
  <si>
    <t xml:space="preserve">Robert De Niro</t>
  </si>
  <si>
    <t xml:space="preserve">Half Nelson</t>
  </si>
  <si>
    <t xml:space="preserve">Ryan Fleck</t>
  </si>
  <si>
    <t xml:space="preserve">Paris Je T'aime</t>
  </si>
  <si>
    <t xml:space="preserve">Various</t>
  </si>
  <si>
    <t xml:space="preserve">Import/Export</t>
  </si>
  <si>
    <t xml:space="preserve">Ulrich Seidl</t>
  </si>
  <si>
    <t xml:space="preserve">My Blueberry Nights</t>
  </si>
  <si>
    <t xml:space="preserve">Death Proof</t>
  </si>
  <si>
    <t xml:space="preserve">Lars and the Real Girl</t>
  </si>
  <si>
    <t xml:space="preserve">Craig Gillespie</t>
  </si>
  <si>
    <t xml:space="preserve">Control</t>
  </si>
  <si>
    <t xml:space="preserve">Anton Corbijn</t>
  </si>
  <si>
    <t xml:space="preserve">Trick 'r Treat</t>
  </si>
  <si>
    <t xml:space="preserve">Michael Dougherty</t>
  </si>
  <si>
    <t xml:space="preserve">Tony Manero</t>
  </si>
  <si>
    <t xml:space="preserve">The Good, the Bad, the Weird</t>
  </si>
  <si>
    <t xml:space="preserve">Pontypool</t>
  </si>
  <si>
    <t xml:space="preserve">Bruce McDonald</t>
  </si>
  <si>
    <t xml:space="preserve">Dear Zachary: A Letter to a Son About His Father</t>
  </si>
  <si>
    <t xml:space="preserve">Kurt Kuenne</t>
  </si>
  <si>
    <t xml:space="preserve">Lebanon</t>
  </si>
  <si>
    <t xml:space="preserve">Samuel Maoz</t>
  </si>
  <si>
    <t xml:space="preserve">Thirst</t>
  </si>
  <si>
    <t xml:space="preserve">Polytechnique</t>
  </si>
  <si>
    <t xml:space="preserve">Triangle</t>
  </si>
  <si>
    <t xml:space="preserve">Christopher Smith</t>
  </si>
  <si>
    <t xml:space="preserve">Creation</t>
  </si>
  <si>
    <t xml:space="preserve">Jon Amiel</t>
  </si>
  <si>
    <t xml:space="preserve">We Live in Public</t>
  </si>
  <si>
    <t xml:space="preserve">Ondi Timoner</t>
  </si>
  <si>
    <t xml:space="preserve">Le Quattro Volte</t>
  </si>
  <si>
    <t xml:space="preserve">Michelangelo Frammartino</t>
  </si>
  <si>
    <t xml:space="preserve">Aurora</t>
  </si>
  <si>
    <t xml:space="preserve">Senna</t>
  </si>
  <si>
    <t xml:space="preserve">Buried</t>
  </si>
  <si>
    <t xml:space="preserve">Rodrigo Cortés</t>
  </si>
  <si>
    <t xml:space="preserve">The Grey</t>
  </si>
  <si>
    <t xml:space="preserve">Joe Carnahan</t>
  </si>
  <si>
    <t xml:space="preserve">Andrew Haigh</t>
  </si>
  <si>
    <t xml:space="preserve">Too Big to Fail</t>
  </si>
  <si>
    <t xml:space="preserve">Dredd</t>
  </si>
  <si>
    <t xml:space="preserve">Pete Travis</t>
  </si>
  <si>
    <t xml:space="preserve">It's Such a Beautiful Day</t>
  </si>
  <si>
    <t xml:space="preserve">Don Hertzfeldt</t>
  </si>
  <si>
    <t xml:space="preserve">To the Wonder</t>
  </si>
  <si>
    <t xml:space="preserve">In Another Country</t>
  </si>
  <si>
    <t xml:space="preserve">The Wall</t>
  </si>
  <si>
    <t xml:space="preserve">Julian Pölsler</t>
  </si>
  <si>
    <t xml:space="preserve">The Summit</t>
  </si>
  <si>
    <t xml:space="preserve">Nick Ryan</t>
  </si>
  <si>
    <t xml:space="preserve">Stranger by the Lake</t>
  </si>
  <si>
    <t xml:space="preserve">Alain Guiraudie</t>
  </si>
  <si>
    <t xml:space="preserve">Norte, the End of History</t>
  </si>
  <si>
    <t xml:space="preserve">Lav Diaz</t>
  </si>
  <si>
    <t xml:space="preserve">The Grandmaster</t>
  </si>
  <si>
    <t xml:space="preserve">Drinking Buddies</t>
  </si>
  <si>
    <t xml:space="preserve">Particle Fever</t>
  </si>
  <si>
    <t xml:space="preserve">Mark Levinson</t>
  </si>
  <si>
    <t xml:space="preserve">Jauja</t>
  </si>
  <si>
    <t xml:space="preserve">Lisandro Alonso</t>
  </si>
  <si>
    <t xml:space="preserve">Goodbye to Language</t>
  </si>
  <si>
    <t xml:space="preserve">Calvary</t>
  </si>
  <si>
    <t xml:space="preserve">John Michael McDonagh</t>
  </si>
  <si>
    <t xml:space="preserve">Predestination</t>
  </si>
  <si>
    <t xml:space="preserve">Michael Spierig, Peter Spierig</t>
  </si>
  <si>
    <t xml:space="preserve">Black Sea</t>
  </si>
  <si>
    <t xml:space="preserve">Happy Hour</t>
  </si>
  <si>
    <t xml:space="preserve">Knight of Cups</t>
  </si>
  <si>
    <t xml:space="preserve">No Home Movie</t>
  </si>
  <si>
    <t xml:space="preserve">Chevalier</t>
  </si>
  <si>
    <t xml:space="preserve">Songs My Brothers Taught Me</t>
  </si>
  <si>
    <t xml:space="preserve">Aquarius</t>
  </si>
  <si>
    <t xml:space="preserve">Kleber Mendonça Filho</t>
  </si>
  <si>
    <t xml:space="preserve">Voyage of Time: Life's Journey</t>
  </si>
  <si>
    <t xml:space="preserve">Sing Street</t>
  </si>
  <si>
    <t xml:space="preserve">Swiss Army Man</t>
  </si>
  <si>
    <t xml:space="preserve">On Body and Soul</t>
  </si>
  <si>
    <t xml:space="preserve">Ildikó Enyedi</t>
  </si>
  <si>
    <t xml:space="preserve">A Ghost Story</t>
  </si>
  <si>
    <t xml:space="preserve">David Lowery</t>
  </si>
  <si>
    <t xml:space="preserve">Happy End</t>
  </si>
  <si>
    <t xml:space="preserve">Okja</t>
  </si>
  <si>
    <t xml:space="preserve">24 Frames</t>
  </si>
  <si>
    <t xml:space="preserve">Lucky</t>
  </si>
  <si>
    <t xml:space="preserve">John Carroll Lynch</t>
  </si>
  <si>
    <t xml:space="preserve">An Elephant Sitting Still</t>
  </si>
  <si>
    <t xml:space="preserve">Hu Bo</t>
  </si>
  <si>
    <t xml:space="preserve">The Other Side of the Wind</t>
  </si>
  <si>
    <t xml:space="preserve">Ash Is Purest White</t>
  </si>
  <si>
    <t xml:space="preserve">Martin Eden</t>
  </si>
  <si>
    <t xml:space="preserve">Pietro Marcello</t>
  </si>
  <si>
    <t xml:space="preserve">63 Up</t>
  </si>
  <si>
    <t xml:space="preserve">Relic</t>
  </si>
  <si>
    <t xml:space="preserve">Natalie Erika James</t>
  </si>
  <si>
    <t xml:space="preserve">Possessor</t>
  </si>
  <si>
    <t xml:space="preserve">Brandon Cronenberg</t>
  </si>
  <si>
    <t xml:space="preserve">Mad God</t>
  </si>
  <si>
    <t xml:space="preserve">Phil Tippett</t>
  </si>
  <si>
    <t xml:space="preserve">The Tragedy of Macbeth</t>
  </si>
  <si>
    <t xml:space="preserve">Pig</t>
  </si>
  <si>
    <t xml:space="preserve">Michael Sarnoski</t>
  </si>
  <si>
    <t xml:space="preserve">Saint Omer</t>
  </si>
  <si>
    <t xml:space="preserve">Alice Diop</t>
  </si>
  <si>
    <t xml:space="preserve">Do Not Expect Too Much from the End of the World</t>
  </si>
  <si>
    <t xml:space="preserve">Close Your Eyes</t>
  </si>
  <si>
    <t xml:space="preserve">The Seed of the Sacred Fig</t>
  </si>
  <si>
    <t xml:space="preserve">Mohammad Rasoulof</t>
  </si>
  <si>
    <t xml:space="preserve">Challengers</t>
  </si>
  <si>
    <t xml:space="preserve">Nouvelle Vague</t>
  </si>
  <si>
    <t xml:space="preserve">Niche ID</t>
  </si>
  <si>
    <t xml:space="preserve">Niche</t>
  </si>
  <si>
    <t xml:space="preserve">Tier</t>
  </si>
  <si>
    <t xml:space="preserve">Next Up</t>
  </si>
  <si>
    <t xml:space="preserve">Next ID</t>
  </si>
  <si>
    <t xml:space="preserve">Unseen Before</t>
  </si>
  <si>
    <t xml:space="preserve">N001</t>
  </si>
  <si>
    <t xml:space="preserve">Critical-analysis films from Film Art</t>
  </si>
  <si>
    <t xml:space="preserve">N002</t>
  </si>
  <si>
    <t xml:space="preserve">Mise-en-scène &amp; production design</t>
  </si>
  <si>
    <t xml:space="preserve">N003</t>
  </si>
  <si>
    <t xml:space="preserve">Cinematography: light, lens &amp; the moving camera</t>
  </si>
  <si>
    <t xml:space="preserve">N004</t>
  </si>
  <si>
    <t xml:space="preserve">Editing: montage vs. continuity</t>
  </si>
  <si>
    <t xml:space="preserve">N005</t>
  </si>
  <si>
    <t xml:space="preserve">Sound &amp; music</t>
  </si>
  <si>
    <t xml:space="preserve">N006</t>
  </si>
  <si>
    <t xml:space="preserve">The long take &amp; the oner</t>
  </si>
  <si>
    <t xml:space="preserve">N007</t>
  </si>
  <si>
    <t xml:space="preserve">Non-linear &amp; unreliable narration</t>
  </si>
  <si>
    <t xml:space="preserve">N008</t>
  </si>
  <si>
    <t xml:space="preserve">The Hollywood screenplay template</t>
  </si>
  <si>
    <t xml:space="preserve">N009</t>
  </si>
  <si>
    <t xml:space="preserve">Cinema of attractions &amp; early narrative (1895–1914)</t>
  </si>
  <si>
    <t xml:space="preserve">N010</t>
  </si>
  <si>
    <t xml:space="preserve">American silent features &amp; Griffith</t>
  </si>
  <si>
    <t xml:space="preserve">N011</t>
  </si>
  <si>
    <t xml:space="preserve">Silent comedy: Chaplin, Keaton, Lloyd</t>
  </si>
  <si>
    <t xml:space="preserve">N012</t>
  </si>
  <si>
    <t xml:space="preserve">German Expressionism &amp; Weimar cinema</t>
  </si>
  <si>
    <t xml:space="preserve">N013</t>
  </si>
  <si>
    <t xml:space="preserve">Soviet montage</t>
  </si>
  <si>
    <t xml:space="preserve">N014</t>
  </si>
  <si>
    <t xml:space="preserve">French Impressionism &amp; the avant-garde</t>
  </si>
  <si>
    <t xml:space="preserve">N015</t>
  </si>
  <si>
    <t xml:space="preserve">Late silent masterpieces</t>
  </si>
  <si>
    <t xml:space="preserve">N016</t>
  </si>
  <si>
    <t xml:space="preserve">The coming of sound</t>
  </si>
  <si>
    <t xml:space="preserve">N017</t>
  </si>
  <si>
    <t xml:space="preserve">Pre-Code Hollywood</t>
  </si>
  <si>
    <t xml:space="preserve">N018</t>
  </si>
  <si>
    <t xml:space="preserve">The studio system at its height</t>
  </si>
  <si>
    <t xml:space="preserve">N019</t>
  </si>
  <si>
    <t xml:space="preserve">1950s: widescreen, Method, and anxiety</t>
  </si>
  <si>
    <t xml:space="preserve">N020</t>
  </si>
  <si>
    <t xml:space="preserve">Postwar realism &amp; art cinema</t>
  </si>
  <si>
    <t xml:space="preserve">N021</t>
  </si>
  <si>
    <t xml:space="preserve">The global new-wave explosion</t>
  </si>
  <si>
    <t xml:space="preserve">N022</t>
  </si>
  <si>
    <t xml:space="preserve">The movie-brat revolution</t>
  </si>
  <si>
    <t xml:space="preserve">N023</t>
  </si>
  <si>
    <t xml:space="preserve">High concept &amp; the blockbuster</t>
  </si>
  <si>
    <t xml:space="preserve">N024</t>
  </si>
  <si>
    <t xml:space="preserve">1980s auteurs against the grain</t>
  </si>
  <si>
    <t xml:space="preserve">N025</t>
  </si>
  <si>
    <t xml:space="preserve">Sundance, Miramax &amp; the 90s indie</t>
  </si>
  <si>
    <t xml:space="preserve">N026</t>
  </si>
  <si>
    <t xml:space="preserve">The new millennium canon</t>
  </si>
  <si>
    <t xml:space="preserve">N027</t>
  </si>
  <si>
    <t xml:space="preserve">The current canon-in-progress</t>
  </si>
  <si>
    <t xml:space="preserve">N028</t>
  </si>
  <si>
    <t xml:space="preserve">Golden Age masters (1930s–60s)</t>
  </si>
  <si>
    <t xml:space="preserve">N029</t>
  </si>
  <si>
    <t xml:space="preserve">Japanese New Wave (Nuberu Bagu)</t>
  </si>
  <si>
    <t xml:space="preserve">N030</t>
  </si>
  <si>
    <t xml:space="preserve">Samurai: jidaigeki &amp; chanbara</t>
  </si>
  <si>
    <t xml:space="preserve">N031</t>
  </si>
  <si>
    <t xml:space="preserve">Yakuza &amp; Japanese crime</t>
  </si>
  <si>
    <t xml:space="preserve">N032</t>
  </si>
  <si>
    <t xml:space="preserve">Anime as art</t>
  </si>
  <si>
    <t xml:space="preserve">N033</t>
  </si>
  <si>
    <t xml:space="preserve">Contemporary Japanese auteurs</t>
  </si>
  <si>
    <t xml:space="preserve">N034</t>
  </si>
  <si>
    <t xml:space="preserve">Italian Neorealism</t>
  </si>
  <si>
    <t xml:space="preserve">N035</t>
  </si>
  <si>
    <t xml:space="preserve">Italian modernism: Fellini, Antonioni, Visconti, Pasolini</t>
  </si>
  <si>
    <t xml:space="preserve">N036</t>
  </si>
  <si>
    <t xml:space="preserve">Commedia all'italiana</t>
  </si>
  <si>
    <t xml:space="preserve">N037</t>
  </si>
  <si>
    <t xml:space="preserve">Spaghetti westerns</t>
  </si>
  <si>
    <t xml:space="preserve">N038</t>
  </si>
  <si>
    <t xml:space="preserve">Giallo</t>
  </si>
  <si>
    <t xml:space="preserve">N039</t>
  </si>
  <si>
    <t xml:space="preserve">Italian Gothic &amp; supernatural horror</t>
  </si>
  <si>
    <t xml:space="preserve">N040</t>
  </si>
  <si>
    <t xml:space="preserve">Poliziottesco (Euro-crime)</t>
  </si>
  <si>
    <t xml:space="preserve">N041</t>
  </si>
  <si>
    <t xml:space="preserve">Contemporary Italian cinema</t>
  </si>
  <si>
    <t xml:space="preserve">N042</t>
  </si>
  <si>
    <t xml:space="preserve">Poetic Realism (1930s)</t>
  </si>
  <si>
    <t xml:space="preserve">N043</t>
  </si>
  <si>
    <t xml:space="preserve">French New Wave (Nouvelle Vague)</t>
  </si>
  <si>
    <t xml:space="preserve">N044</t>
  </si>
  <si>
    <t xml:space="preserve">Left Bank group</t>
  </si>
  <si>
    <t xml:space="preserve">N045</t>
  </si>
  <si>
    <t xml:space="preserve">French crime &amp; policier</t>
  </si>
  <si>
    <t xml:space="preserve">N046</t>
  </si>
  <si>
    <t xml:space="preserve">Cinéma du look</t>
  </si>
  <si>
    <t xml:space="preserve">N047</t>
  </si>
  <si>
    <t xml:space="preserve">New French Extremity</t>
  </si>
  <si>
    <t xml:space="preserve">N048</t>
  </si>
  <si>
    <t xml:space="preserve">Contemporary French auteurs</t>
  </si>
  <si>
    <t xml:space="preserve">N049</t>
  </si>
  <si>
    <t xml:space="preserve">New German Cinema</t>
  </si>
  <si>
    <t xml:space="preserve">N050</t>
  </si>
  <si>
    <t xml:space="preserve">Berlin School &amp; contemporary German-language cinema</t>
  </si>
  <si>
    <t xml:space="preserve">N051</t>
  </si>
  <si>
    <t xml:space="preserve">Powell &amp; Pressburger (The Archers)</t>
  </si>
  <si>
    <t xml:space="preserve">N052</t>
  </si>
  <si>
    <t xml:space="preserve">Ealing comedies</t>
  </si>
  <si>
    <t xml:space="preserve">N053</t>
  </si>
  <si>
    <t xml:space="preserve">British New Wave &amp; kitchen-sink realism</t>
  </si>
  <si>
    <t xml:space="preserve">N054</t>
  </si>
  <si>
    <t xml:space="preserve">British social realism (1980s–now)</t>
  </si>
  <si>
    <t xml:space="preserve">N055</t>
  </si>
  <si>
    <t xml:space="preserve">Swinging London &amp; the 60s–70s British art film</t>
  </si>
  <si>
    <t xml:space="preserve">N056</t>
  </si>
  <si>
    <t xml:space="preserve">Scandinavian masters: Dreyer, Sjöström, Bergman</t>
  </si>
  <si>
    <t xml:space="preserve">N057</t>
  </si>
  <si>
    <t xml:space="preserve">Dogme 95 &amp; modern Nordic</t>
  </si>
  <si>
    <t xml:space="preserve">N058</t>
  </si>
  <si>
    <t xml:space="preserve">Soviet Thaw &amp; late Soviet cinema</t>
  </si>
  <si>
    <t xml:space="preserve">N059</t>
  </si>
  <si>
    <t xml:space="preserve">Czechoslovak New Wave</t>
  </si>
  <si>
    <t xml:space="preserve">N060</t>
  </si>
  <si>
    <t xml:space="preserve">Polish School &amp; Polish cinema</t>
  </si>
  <si>
    <t xml:space="preserve">N061</t>
  </si>
  <si>
    <t xml:space="preserve">Yugoslav Black Wave &amp; Balkan cinema</t>
  </si>
  <si>
    <t xml:space="preserve">N062</t>
  </si>
  <si>
    <t xml:space="preserve">Hungarian cinema: Jancsó to Tarr</t>
  </si>
  <si>
    <t xml:space="preserve">N063</t>
  </si>
  <si>
    <t xml:space="preserve">Romanian New Wave</t>
  </si>
  <si>
    <t xml:space="preserve">N064</t>
  </si>
  <si>
    <t xml:space="preserve">Spanish cinema: Buñuel to Almodóvar</t>
  </si>
  <si>
    <t xml:space="preserve">N065</t>
  </si>
  <si>
    <t xml:space="preserve">Mexican cinema: Golden Age to the Three Amigos</t>
  </si>
  <si>
    <t xml:space="preserve">N066</t>
  </si>
  <si>
    <t xml:space="preserve">Cinema Novo (Brazil)</t>
  </si>
  <si>
    <t xml:space="preserve">N067</t>
  </si>
  <si>
    <t xml:space="preserve">Third Cinema &amp; Latin American political film</t>
  </si>
  <si>
    <t xml:space="preserve">N068</t>
  </si>
  <si>
    <t xml:space="preserve">New Argentine &amp; contemporary Latin American auteurs</t>
  </si>
  <si>
    <t xml:space="preserve">N069</t>
  </si>
  <si>
    <t xml:space="preserve">Hong Kong action: Shaw Bros to heroic bloodshed</t>
  </si>
  <si>
    <t xml:space="preserve">N070</t>
  </si>
  <si>
    <t xml:space="preserve">Wuxia</t>
  </si>
  <si>
    <t xml:space="preserve">N071</t>
  </si>
  <si>
    <t xml:space="preserve">Hong Kong New Wave &amp; second wave</t>
  </si>
  <si>
    <t xml:space="preserve">N072</t>
  </si>
  <si>
    <t xml:space="preserve">Taiwan New Cinema</t>
  </si>
  <si>
    <t xml:space="preserve">N073</t>
  </si>
  <si>
    <t xml:space="preserve">Mainland China: Fifth &amp; Sixth Generations</t>
  </si>
  <si>
    <t xml:space="preserve">N074</t>
  </si>
  <si>
    <t xml:space="preserve">Korean Golden Age &amp; Korean New Wave</t>
  </si>
  <si>
    <t xml:space="preserve">N075</t>
  </si>
  <si>
    <t xml:space="preserve">Korean genre machine: thrillers &amp; revenge</t>
  </si>
  <si>
    <t xml:space="preserve">N076</t>
  </si>
  <si>
    <t xml:space="preserve">Satyajit Ray &amp; Indian parallel cinema</t>
  </si>
  <si>
    <t xml:space="preserve">N077</t>
  </si>
  <si>
    <t xml:space="preserve">Classic &amp; modern Hindi cinema</t>
  </si>
  <si>
    <t xml:space="preserve">N078</t>
  </si>
  <si>
    <t xml:space="preserve">Southeast Asian art cinema</t>
  </si>
  <si>
    <t xml:space="preserve">N079</t>
  </si>
  <si>
    <t xml:space="preserve">Iranian New Wave</t>
  </si>
  <si>
    <t xml:space="preserve">N080</t>
  </si>
  <si>
    <t xml:space="preserve">Contemporary Iranian &amp; Middle Eastern cinema</t>
  </si>
  <si>
    <t xml:space="preserve">N081</t>
  </si>
  <si>
    <t xml:space="preserve">African cinema: Sembène &amp; after</t>
  </si>
  <si>
    <t xml:space="preserve">N082</t>
  </si>
  <si>
    <t xml:space="preserve">Australian New Wave &amp; Ozploitation</t>
  </si>
  <si>
    <t xml:space="preserve">N083</t>
  </si>
  <si>
    <t xml:space="preserve">New Zealand &amp; Canadian auteurs</t>
  </si>
  <si>
    <t xml:space="preserve">N084</t>
  </si>
  <si>
    <t xml:space="preserve">Classic noir (1941–1958)</t>
  </si>
  <si>
    <t xml:space="preserve">N085</t>
  </si>
  <si>
    <t xml:space="preserve">Neo-noir</t>
  </si>
  <si>
    <t xml:space="preserve">N086</t>
  </si>
  <si>
    <t xml:space="preserve">Tech-noir &amp; future noir</t>
  </si>
  <si>
    <t xml:space="preserve">N087</t>
  </si>
  <si>
    <t xml:space="preserve">Classical western</t>
  </si>
  <si>
    <t xml:space="preserve">N088</t>
  </si>
  <si>
    <t xml:space="preserve">Ranown cycle &amp; the adult western</t>
  </si>
  <si>
    <t xml:space="preserve">N089</t>
  </si>
  <si>
    <t xml:space="preserve">Revisionist western</t>
  </si>
  <si>
    <t xml:space="preserve">N090</t>
  </si>
  <si>
    <t xml:space="preserve">Acid western</t>
  </si>
  <si>
    <t xml:space="preserve">N091</t>
  </si>
  <si>
    <t xml:space="preserve">Neo-western &amp; contemporary western</t>
  </si>
  <si>
    <t xml:space="preserve">N092</t>
  </si>
  <si>
    <t xml:space="preserve">Universal monsters &amp; 1930s horror</t>
  </si>
  <si>
    <t xml:space="preserve">N093</t>
  </si>
  <si>
    <t xml:space="preserve">Val Lewton &amp; the horror of suggestion</t>
  </si>
  <si>
    <t xml:space="preserve">N094</t>
  </si>
  <si>
    <t xml:space="preserve">Hammer &amp; British horror</t>
  </si>
  <si>
    <t xml:space="preserve">N095</t>
  </si>
  <si>
    <t xml:space="preserve">Folk horror</t>
  </si>
  <si>
    <t xml:space="preserve">N096</t>
  </si>
  <si>
    <t xml:space="preserve">Satanic panic &amp; religious horror</t>
  </si>
  <si>
    <t xml:space="preserve">N097</t>
  </si>
  <si>
    <t xml:space="preserve">Zombie lineage</t>
  </si>
  <si>
    <t xml:space="preserve">N098</t>
  </si>
  <si>
    <t xml:space="preserve">Slashers</t>
  </si>
  <si>
    <t xml:space="preserve">N099</t>
  </si>
  <si>
    <t xml:space="preserve">Body horror</t>
  </si>
  <si>
    <t xml:space="preserve">N100</t>
  </si>
  <si>
    <t xml:space="preserve">J-horror &amp; Asian horror</t>
  </si>
  <si>
    <t xml:space="preserve">N101</t>
  </si>
  <si>
    <t xml:space="preserve">Found footage &amp; screen horror</t>
  </si>
  <si>
    <t xml:space="preserve">N102</t>
  </si>
  <si>
    <t xml:space="preserve">'Elevated' / post-horror</t>
  </si>
  <si>
    <t xml:space="preserve">N103</t>
  </si>
  <si>
    <t xml:space="preserve">Cosmic &amp; Lovecraftian horror</t>
  </si>
  <si>
    <t xml:space="preserve">N104</t>
  </si>
  <si>
    <t xml:space="preserve">Haunted house &amp; ghost stories</t>
  </si>
  <si>
    <t xml:space="preserve">N105</t>
  </si>
  <si>
    <t xml:space="preserve">Early &amp; 1950s atomic-age sci-fi</t>
  </si>
  <si>
    <t xml:space="preserve">N106</t>
  </si>
  <si>
    <t xml:space="preserve">1960s–70s New Wave sci-fi</t>
  </si>
  <si>
    <t xml:space="preserve">N107</t>
  </si>
  <si>
    <t xml:space="preserve">Cyberpunk &amp; virtual reality</t>
  </si>
  <si>
    <t xml:space="preserve">N108</t>
  </si>
  <si>
    <t xml:space="preserve">Cerebral &amp; hard sci-fi</t>
  </si>
  <si>
    <t xml:space="preserve">N109</t>
  </si>
  <si>
    <t xml:space="preserve">Dystopias &amp; social sci-fi</t>
  </si>
  <si>
    <t xml:space="preserve">N110</t>
  </si>
  <si>
    <t xml:space="preserve">Space opera &amp; sci-fi spectacle</t>
  </si>
  <si>
    <t xml:space="preserve">N111</t>
  </si>
  <si>
    <t xml:space="preserve">Screwball comedy</t>
  </si>
  <si>
    <t xml:space="preserve">N112</t>
  </si>
  <si>
    <t xml:space="preserve">Comedy teams &amp; anarchic comedy</t>
  </si>
  <si>
    <t xml:space="preserve">N113</t>
  </si>
  <si>
    <t xml:space="preserve">Satire &amp; black comedy</t>
  </si>
  <si>
    <t xml:space="preserve">N114</t>
  </si>
  <si>
    <t xml:space="preserve">Parody &amp; spoof: ZAZ, Brooks, Python</t>
  </si>
  <si>
    <t xml:space="preserve">N115</t>
  </si>
  <si>
    <t xml:space="preserve">Mockumentary</t>
  </si>
  <si>
    <t xml:space="preserve">N116</t>
  </si>
  <si>
    <t xml:space="preserve">Cringe, deadpan &amp; awkward comedy</t>
  </si>
  <si>
    <t xml:space="preserve">N117</t>
  </si>
  <si>
    <t xml:space="preserve">Modern American studio comedy (1978–2015)</t>
  </si>
  <si>
    <t xml:space="preserve">N118</t>
  </si>
  <si>
    <t xml:space="preserve">Classic Hollywood musical: Berkeley, Astaire, Freed Unit</t>
  </si>
  <si>
    <t xml:space="preserve">N119</t>
  </si>
  <si>
    <t xml:space="preserve">Roadshow, rock &amp; revisionist musicals</t>
  </si>
  <si>
    <t xml:space="preserve">N120</t>
  </si>
  <si>
    <t xml:space="preserve">Jacques Demy &amp; the European musical</t>
  </si>
  <si>
    <t xml:space="preserve">N121</t>
  </si>
  <si>
    <t xml:space="preserve">The gangster film: rise &amp; fall</t>
  </si>
  <si>
    <t xml:space="preserve">N122</t>
  </si>
  <si>
    <t xml:space="preserve">Heist films</t>
  </si>
  <si>
    <t xml:space="preserve">N123</t>
  </si>
  <si>
    <t xml:space="preserve">1970s cop films &amp; urban crime</t>
  </si>
  <si>
    <t xml:space="preserve">N124</t>
  </si>
  <si>
    <t xml:space="preserve">Con artists &amp; grifters</t>
  </si>
  <si>
    <t xml:space="preserve">N125</t>
  </si>
  <si>
    <t xml:space="preserve">Hitchcock &amp; the Hitchcockian</t>
  </si>
  <si>
    <t xml:space="preserve">N126</t>
  </si>
  <si>
    <t xml:space="preserve">1970s paranoid &amp; conspiracy thrillers</t>
  </si>
  <si>
    <t xml:space="preserve">N127</t>
  </si>
  <si>
    <t xml:space="preserve">Erotic thrillers (1981–1999)</t>
  </si>
  <si>
    <t xml:space="preserve">N128</t>
  </si>
  <si>
    <t xml:space="preserve">Serial killer procedurals</t>
  </si>
  <si>
    <t xml:space="preserve">N129</t>
  </si>
  <si>
    <t xml:space="preserve">Espionage &amp; Cold War spy</t>
  </si>
  <si>
    <t xml:space="preserve">N130</t>
  </si>
  <si>
    <t xml:space="preserve">Survival &amp; man-vs-nature</t>
  </si>
  <si>
    <t xml:space="preserve">N131</t>
  </si>
  <si>
    <t xml:space="preserve">World War I</t>
  </si>
  <si>
    <t xml:space="preserve">N132</t>
  </si>
  <si>
    <t xml:space="preserve">World War II &amp; the Holocaust</t>
  </si>
  <si>
    <t xml:space="preserve">N133</t>
  </si>
  <si>
    <t xml:space="preserve">Vietnam</t>
  </si>
  <si>
    <t xml:space="preserve">N134</t>
  </si>
  <si>
    <t xml:space="preserve">Anti-war &amp; war as absurdity</t>
  </si>
  <si>
    <t xml:space="preserve">N135</t>
  </si>
  <si>
    <t xml:space="preserve">Modern war: Iraq, Afghanistan &amp; after</t>
  </si>
  <si>
    <t xml:space="preserve">N136</t>
  </si>
  <si>
    <t xml:space="preserve">Sirkian &amp; family melodrama</t>
  </si>
  <si>
    <t xml:space="preserve">N137</t>
  </si>
  <si>
    <t xml:space="preserve">Women's pictures &amp; the 'unknown woman'</t>
  </si>
  <si>
    <t xml:space="preserve">N138</t>
  </si>
  <si>
    <t xml:space="preserve">Comedy of remarriage</t>
  </si>
  <si>
    <t xml:space="preserve">N139</t>
  </si>
  <si>
    <t xml:space="preserve">Romantic comedy lineage</t>
  </si>
  <si>
    <t xml:space="preserve">N140</t>
  </si>
  <si>
    <t xml:space="preserve">Walk-and-talk romance</t>
  </si>
  <si>
    <t xml:space="preserve">N141</t>
  </si>
  <si>
    <t xml:space="preserve">Swashbucklers &amp; classic adventure</t>
  </si>
  <si>
    <t xml:space="preserve">N142</t>
  </si>
  <si>
    <t xml:space="preserve">1980s–90s action</t>
  </si>
  <si>
    <t xml:space="preserve">N143</t>
  </si>
  <si>
    <t xml:space="preserve">Modern action craft (2000s–now)</t>
  </si>
  <si>
    <t xml:space="preserve">N144</t>
  </si>
  <si>
    <t xml:space="preserve">Disney &amp; classic studio animation</t>
  </si>
  <si>
    <t xml:space="preserve">N145</t>
  </si>
  <si>
    <t xml:space="preserve">Stop-motion</t>
  </si>
  <si>
    <t xml:space="preserve">N146</t>
  </si>
  <si>
    <t xml:space="preserve">Adult &amp; world animation</t>
  </si>
  <si>
    <t xml:space="preserve">N147</t>
  </si>
  <si>
    <t xml:space="preserve">Pixar &amp; the CG revolution</t>
  </si>
  <si>
    <t xml:space="preserve">N148</t>
  </si>
  <si>
    <t xml:space="preserve">Foundations &amp; poetic mode</t>
  </si>
  <si>
    <t xml:space="preserve">N149</t>
  </si>
  <si>
    <t xml:space="preserve">Direct cinema &amp; cinéma vérité</t>
  </si>
  <si>
    <t xml:space="preserve">N150</t>
  </si>
  <si>
    <t xml:space="preserve">Reflexive, performative &amp; essay documentary</t>
  </si>
  <si>
    <t xml:space="preserve">N151</t>
  </si>
  <si>
    <t xml:space="preserve">Portrait &amp; true-crime documentary</t>
  </si>
  <si>
    <t xml:space="preserve">N152</t>
  </si>
  <si>
    <t xml:space="preserve">Concert &amp; music docs</t>
  </si>
  <si>
    <t xml:space="preserve">N153</t>
  </si>
  <si>
    <t xml:space="preserve">Surrealism &amp; Dada</t>
  </si>
  <si>
    <t xml:space="preserve">N154</t>
  </si>
  <si>
    <t xml:space="preserve">American underground &amp; structural film</t>
  </si>
  <si>
    <t xml:space="preserve">N155</t>
  </si>
  <si>
    <t xml:space="preserve">Essay films</t>
  </si>
  <si>
    <t xml:space="preserve">N156</t>
  </si>
  <si>
    <t xml:space="preserve">N157</t>
  </si>
  <si>
    <t xml:space="preserve">N158</t>
  </si>
  <si>
    <t xml:space="preserve">N159</t>
  </si>
  <si>
    <t xml:space="preserve">N160</t>
  </si>
  <si>
    <t xml:space="preserve">N161</t>
  </si>
  <si>
    <t xml:space="preserve">Ernst Lubitsch &amp; Preston Sturges</t>
  </si>
  <si>
    <t xml:space="preserve">N162</t>
  </si>
  <si>
    <t xml:space="preserve">N163</t>
  </si>
  <si>
    <t xml:space="preserve">Nicholas Ray &amp; Samuel Fuller</t>
  </si>
  <si>
    <t xml:space="preserve">N164</t>
  </si>
  <si>
    <t xml:space="preserve">N165</t>
  </si>
  <si>
    <t xml:space="preserve">N166</t>
  </si>
  <si>
    <t xml:space="preserve">N167</t>
  </si>
  <si>
    <t xml:space="preserve">N168</t>
  </si>
  <si>
    <t xml:space="preserve">Hal Ashby, Bob Rafelson &amp; the BBS crowd</t>
  </si>
  <si>
    <t xml:space="preserve">N169</t>
  </si>
  <si>
    <t xml:space="preserve">N170</t>
  </si>
  <si>
    <t xml:space="preserve">N171</t>
  </si>
  <si>
    <t xml:space="preserve">N172</t>
  </si>
  <si>
    <t xml:space="preserve">N173</t>
  </si>
  <si>
    <t xml:space="preserve">N174</t>
  </si>
  <si>
    <t xml:space="preserve">N175</t>
  </si>
  <si>
    <t xml:space="preserve">Coen Brothers</t>
  </si>
  <si>
    <t xml:space="preserve">N176</t>
  </si>
  <si>
    <t xml:space="preserve">N177</t>
  </si>
  <si>
    <t xml:space="preserve">N178</t>
  </si>
  <si>
    <t xml:space="preserve">N179</t>
  </si>
  <si>
    <t xml:space="preserve">N180</t>
  </si>
  <si>
    <t xml:space="preserve">N181</t>
  </si>
  <si>
    <t xml:space="preserve">N182</t>
  </si>
  <si>
    <t xml:space="preserve">Charlie Kaufman (writer-director)</t>
  </si>
  <si>
    <t xml:space="preserve">N183</t>
  </si>
  <si>
    <t xml:space="preserve">N184</t>
  </si>
  <si>
    <t xml:space="preserve">Kelly Reichardt &amp; the new American regionalists</t>
  </si>
  <si>
    <t xml:space="preserve">N185</t>
  </si>
  <si>
    <t xml:space="preserve">N186</t>
  </si>
  <si>
    <t xml:space="preserve">N187</t>
  </si>
  <si>
    <t xml:space="preserve">N188</t>
  </si>
  <si>
    <t xml:space="preserve">N189</t>
  </si>
  <si>
    <t xml:space="preserve">N190</t>
  </si>
  <si>
    <t xml:space="preserve">François Truffaut &amp; Éric Rohmer</t>
  </si>
  <si>
    <t xml:space="preserve">N191</t>
  </si>
  <si>
    <t xml:space="preserve">N192</t>
  </si>
  <si>
    <t xml:space="preserve">N193</t>
  </si>
  <si>
    <t xml:space="preserve">N194</t>
  </si>
  <si>
    <t xml:space="preserve">N195</t>
  </si>
  <si>
    <t xml:space="preserve">N196</t>
  </si>
  <si>
    <t xml:space="preserve">N197</t>
  </si>
  <si>
    <t xml:space="preserve">N198</t>
  </si>
  <si>
    <t xml:space="preserve">N199</t>
  </si>
  <si>
    <t xml:space="preserve">N200</t>
  </si>
  <si>
    <t xml:space="preserve">N201</t>
  </si>
  <si>
    <t xml:space="preserve">N202</t>
  </si>
  <si>
    <t xml:space="preserve">N203</t>
  </si>
  <si>
    <t xml:space="preserve">Aki Kaurismäki &amp; Roy Andersson</t>
  </si>
  <si>
    <t xml:space="preserve">N204</t>
  </si>
  <si>
    <t xml:space="preserve">Yorgos Lanthimos &amp; the Greek Weird Wave</t>
  </si>
  <si>
    <t xml:space="preserve">N205</t>
  </si>
  <si>
    <t xml:space="preserve">N206</t>
  </si>
  <si>
    <t xml:space="preserve">N207</t>
  </si>
  <si>
    <t xml:space="preserve">Kenji Mizoguchi &amp; Mikio Naruse</t>
  </si>
  <si>
    <t xml:space="preserve">N208</t>
  </si>
  <si>
    <t xml:space="preserve">Hayao Miyazaki &amp; Studio Ghibli</t>
  </si>
  <si>
    <t xml:space="preserve">N209</t>
  </si>
  <si>
    <t xml:space="preserve">N210</t>
  </si>
  <si>
    <t xml:space="preserve">Bong Joon-ho &amp; Park Chan-wook</t>
  </si>
  <si>
    <t xml:space="preserve">N211</t>
  </si>
  <si>
    <t xml:space="preserve">N212</t>
  </si>
  <si>
    <t xml:space="preserve">N213</t>
  </si>
  <si>
    <t xml:space="preserve">Hou Hsiao-hsien, Edward Yang &amp; Tsai Ming-liang</t>
  </si>
  <si>
    <t xml:space="preserve">N214</t>
  </si>
  <si>
    <t xml:space="preserve">N215</t>
  </si>
  <si>
    <t xml:space="preserve">Apichatpong Weerasethakul &amp; Jia Zhangke</t>
  </si>
  <si>
    <t xml:space="preserve">N216</t>
  </si>
  <si>
    <t xml:space="preserve">N217</t>
  </si>
  <si>
    <t xml:space="preserve">N218</t>
  </si>
  <si>
    <t xml:space="preserve">Christopher Nolan &amp; Denis Villeneuve</t>
  </si>
  <si>
    <t xml:space="preserve">N219</t>
  </si>
  <si>
    <t xml:space="preserve">N220</t>
  </si>
  <si>
    <t xml:space="preserve">Jean-Pierre Melville &amp; Michael Mann</t>
  </si>
  <si>
    <t xml:space="preserve">N221</t>
  </si>
  <si>
    <t xml:space="preserve">Mike Nichols &amp; Elaine May</t>
  </si>
  <si>
    <t xml:space="preserve">N222</t>
  </si>
  <si>
    <t xml:space="preserve">N223</t>
  </si>
  <si>
    <t xml:space="preserve">Bazin &amp; realism: the ontology of the image</t>
  </si>
  <si>
    <t xml:space="preserve">N224</t>
  </si>
  <si>
    <t xml:space="preserve">Montage theory: Eisenstein, Kuleshov, Vertov</t>
  </si>
  <si>
    <t xml:space="preserve">N225</t>
  </si>
  <si>
    <t xml:space="preserve">Deleuze: movement-image to time-image</t>
  </si>
  <si>
    <t xml:space="preserve">N226</t>
  </si>
  <si>
    <t xml:space="preserve">Transcendental style &amp; slow cinema</t>
  </si>
  <si>
    <t xml:space="preserve">N227</t>
  </si>
  <si>
    <t xml:space="preserve">Mulvey &amp; the male gaze</t>
  </si>
  <si>
    <t xml:space="preserve">N228</t>
  </si>
  <si>
    <t xml:space="preserve">Women filmmakers: a counter-canon</t>
  </si>
  <si>
    <t xml:space="preserve">N229</t>
  </si>
  <si>
    <t xml:space="preserve">Horror &amp; gender: Clover, Creed, Williams</t>
  </si>
  <si>
    <t xml:space="preserve">N230</t>
  </si>
  <si>
    <t xml:space="preserve">Early Black cinema &amp; race films</t>
  </si>
  <si>
    <t xml:space="preserve">N231</t>
  </si>
  <si>
    <t xml:space="preserve">L.A. Rebellion</t>
  </si>
  <si>
    <t xml:space="preserve">N232</t>
  </si>
  <si>
    <t xml:space="preserve">Blaxploitation &amp; its reckoning</t>
  </si>
  <si>
    <t xml:space="preserve">N233</t>
  </si>
  <si>
    <t xml:space="preserve">Black American cinema: 1986 to now</t>
  </si>
  <si>
    <t xml:space="preserve">N234</t>
  </si>
  <si>
    <t xml:space="preserve">Accented &amp; diasporic cinema</t>
  </si>
  <si>
    <t xml:space="preserve">N235</t>
  </si>
  <si>
    <t xml:space="preserve">Indigenous cinema</t>
  </si>
  <si>
    <t xml:space="preserve">N236</t>
  </si>
  <si>
    <t xml:space="preserve">Pre-Stonewall &amp; coded queer cinema</t>
  </si>
  <si>
    <t xml:space="preserve">N237</t>
  </si>
  <si>
    <t xml:space="preserve">New Queer Cinema &amp; after</t>
  </si>
  <si>
    <t xml:space="preserve">N238</t>
  </si>
  <si>
    <t xml:space="preserve">Mind-game &amp; puzzle films</t>
  </si>
  <si>
    <t xml:space="preserve">N239</t>
  </si>
  <si>
    <t xml:space="preserve">Postmodern pastiche &amp; the nostalgia film</t>
  </si>
  <si>
    <t xml:space="preserve">N240</t>
  </si>
  <si>
    <t xml:space="preserve">Hyperlink &amp; network narrative</t>
  </si>
  <si>
    <t xml:space="preserve">N241</t>
  </si>
  <si>
    <t xml:space="preserve">Paracinema, cult &amp; 'badfilm'</t>
  </si>
  <si>
    <t xml:space="preserve">N242</t>
  </si>
  <si>
    <t xml:space="preserve">Exploitation &amp; grindhouse history</t>
  </si>
  <si>
    <t xml:space="preserve">N243</t>
  </si>
  <si>
    <t xml:space="preserve">Vulgar auteurism</t>
  </si>
  <si>
    <t xml:space="preserve">N244</t>
  </si>
  <si>
    <t xml:space="preserve">Mumblecore &amp; microbudget realism</t>
  </si>
  <si>
    <t xml:space="preserve">N245</t>
  </si>
  <si>
    <t xml:space="preserve">Money, markets &amp; economics</t>
  </si>
  <si>
    <t xml:space="preserve">N246</t>
  </si>
  <si>
    <t xml:space="preserve">Work, labor &amp; class</t>
  </si>
  <si>
    <t xml:space="preserve">N247</t>
  </si>
  <si>
    <t xml:space="preserve">American politics &amp; power</t>
  </si>
  <si>
    <t xml:space="preserve">N248</t>
  </si>
  <si>
    <t xml:space="preserve">Journalism &amp; the press</t>
  </si>
  <si>
    <t xml:space="preserve">N249</t>
  </si>
  <si>
    <t xml:space="preserve">Television, fame &amp; media</t>
  </si>
  <si>
    <t xml:space="preserve">N250</t>
  </si>
  <si>
    <t xml:space="preserve">Law, courts &amp; justice</t>
  </si>
  <si>
    <t xml:space="preserve">N251</t>
  </si>
  <si>
    <t xml:space="preserve">Prison &amp; confinement</t>
  </si>
  <si>
    <t xml:space="preserve">N252</t>
  </si>
  <si>
    <t xml:space="preserve">Philosophy on film: meaning, mind &amp; morality</t>
  </si>
  <si>
    <t xml:space="preserve">N253</t>
  </si>
  <si>
    <t xml:space="preserve">Faith, doubt &amp; the spiritual</t>
  </si>
  <si>
    <t xml:space="preserve">N254</t>
  </si>
  <si>
    <t xml:space="preserve">Mental health &amp; the mind on screen</t>
  </si>
  <si>
    <t xml:space="preserve">N255</t>
  </si>
  <si>
    <t xml:space="preserve">Isolation &amp; solitude</t>
  </si>
  <si>
    <t xml:space="preserve">N256</t>
  </si>
  <si>
    <t xml:space="preserve">Time, memory &amp; loops</t>
  </si>
  <si>
    <t xml:space="preserve">N257</t>
  </si>
  <si>
    <t xml:space="preserve">Scientists &amp; science on film</t>
  </si>
  <si>
    <t xml:space="preserve">N258</t>
  </si>
  <si>
    <t xml:space="preserve">AI, computers &amp; the internet</t>
  </si>
  <si>
    <t xml:space="preserve">N259</t>
  </si>
  <si>
    <t xml:space="preserve">Nuclear anxiety</t>
  </si>
  <si>
    <t xml:space="preserve">N260</t>
  </si>
  <si>
    <t xml:space="preserve">Coming of age</t>
  </si>
  <si>
    <t xml:space="preserve">N261</t>
  </si>
  <si>
    <t xml:space="preserve">Teachers, schools &amp; mentors</t>
  </si>
  <si>
    <t xml:space="preserve">N262</t>
  </si>
  <si>
    <t xml:space="preserve">Marriage &amp; divorce</t>
  </si>
  <si>
    <t xml:space="preserve">N263</t>
  </si>
  <si>
    <t xml:space="preserve">Aging, mortality &amp; grief</t>
  </si>
  <si>
    <t xml:space="preserve">N264</t>
  </si>
  <si>
    <t xml:space="preserve">Fathers &amp; sons / parents &amp; children</t>
  </si>
  <si>
    <t xml:space="preserve">N265</t>
  </si>
  <si>
    <t xml:space="preserve">Road movies</t>
  </si>
  <si>
    <t xml:space="preserve">N266</t>
  </si>
  <si>
    <t xml:space="preserve">New York City</t>
  </si>
  <si>
    <t xml:space="preserve">N267</t>
  </si>
  <si>
    <t xml:space="preserve">Los Angeles</t>
  </si>
  <si>
    <t xml:space="preserve">N268</t>
  </si>
  <si>
    <t xml:space="preserve">San Francisco</t>
  </si>
  <si>
    <t xml:space="preserve">N269</t>
  </si>
  <si>
    <t xml:space="preserve">Paris &amp; Tokyo</t>
  </si>
  <si>
    <t xml:space="preserve">N270</t>
  </si>
  <si>
    <t xml:space="preserve">Sports films</t>
  </si>
  <si>
    <t xml:space="preserve">N271</t>
  </si>
  <si>
    <t xml:space="preserve">Music &amp; musicians</t>
  </si>
  <si>
    <t xml:space="preserve">N272</t>
  </si>
  <si>
    <t xml:space="preserve">Food &amp; cooking</t>
  </si>
  <si>
    <t xml:space="preserve">N273</t>
  </si>
  <si>
    <t xml:space="preserve">Movies about movies</t>
  </si>
  <si>
    <t xml:space="preserve">N274</t>
  </si>
  <si>
    <t xml:space="preserve">American literature adaptations</t>
  </si>
  <si>
    <t xml:space="preserve">N275</t>
  </si>
  <si>
    <t xml:space="preserve">American history on film</t>
  </si>
  <si>
    <t xml:space="preserve">N276</t>
  </si>
  <si>
    <t xml:space="preserve">Real-time films</t>
  </si>
  <si>
    <t xml:space="preserve">N277</t>
  </si>
  <si>
    <t xml:space="preserve">Single-location &amp; chamber films</t>
  </si>
  <si>
    <t xml:space="preserve">N278</t>
  </si>
  <si>
    <t xml:space="preserve">Anthology &amp; portmanteau films</t>
  </si>
  <si>
    <t xml:space="preserve">N279</t>
  </si>
  <si>
    <t xml:space="preserve">Films shot over years</t>
  </si>
  <si>
    <t xml:space="preserve">N280</t>
  </si>
  <si>
    <t xml:space="preserve">Submarine films</t>
  </si>
  <si>
    <t xml:space="preserve">N281</t>
  </si>
  <si>
    <t xml:space="preserve">Mountain films (Bergfilm) &amp; climbing</t>
  </si>
  <si>
    <t xml:space="preserve">N282</t>
  </si>
  <si>
    <t xml:space="preserve">Disaster films (1970s cycle &amp; after)</t>
  </si>
  <si>
    <t xml:space="preserve">N283</t>
  </si>
  <si>
    <t xml:space="preserve">Kaiju &amp; tokusatsu</t>
  </si>
  <si>
    <t xml:space="preserve">N284</t>
  </si>
  <si>
    <t xml:space="preserve">Southern Gothic</t>
  </si>
  <si>
    <t xml:space="preserve">N285</t>
  </si>
  <si>
    <t xml:space="preserve">Hood films</t>
  </si>
  <si>
    <t xml:space="preserve">N286</t>
  </si>
  <si>
    <t xml:space="preserve">Skate, surf &amp; subculture</t>
  </si>
  <si>
    <t xml:space="preserve">N287</t>
  </si>
  <si>
    <t xml:space="preserve">Hangout movies</t>
  </si>
  <si>
    <t xml:space="preserve">N288</t>
  </si>
  <si>
    <t xml:space="preserve">Dad movies</t>
  </si>
  <si>
    <t xml:space="preserve">N289</t>
  </si>
  <si>
    <t xml:space="preserve">Neon-soaked night movies</t>
  </si>
  <si>
    <t xml:space="preserve">N290</t>
  </si>
  <si>
    <t xml:space="preserve">Midnight movies</t>
  </si>
  <si>
    <t xml:space="preserve">N291</t>
  </si>
  <si>
    <t xml:space="preserve">Video nasties</t>
  </si>
  <si>
    <t xml:space="preserve">N292</t>
  </si>
  <si>
    <t xml:space="preserve">Canuxploitation &amp; tax-shelter horror</t>
  </si>
  <si>
    <t xml:space="preserve">N293</t>
  </si>
  <si>
    <t xml:space="preserve">Pinku &amp; Japanese cult</t>
  </si>
  <si>
    <t xml:space="preserve">N294</t>
  </si>
  <si>
    <t xml:space="preserve">East–West remakes &amp; lineages</t>
  </si>
  <si>
    <t xml:space="preserve">N295</t>
  </si>
  <si>
    <t xml:space="preserve">Tarantino's source code</t>
  </si>
  <si>
    <t xml:space="preserve">N296</t>
  </si>
  <si>
    <t xml:space="preserve">Film debuts that announced a master</t>
  </si>
  <si>
    <t xml:space="preserve">N297</t>
  </si>
  <si>
    <t xml:space="preserve">Autumn films</t>
  </si>
  <si>
    <t xml:space="preserve">N298</t>
  </si>
  <si>
    <t xml:space="preserve">Christmas canon (and anti-canon)</t>
  </si>
  <si>
    <t xml:space="preserve">N299</t>
  </si>
  <si>
    <t xml:space="preserve">Winter &amp; cold films</t>
  </si>
  <si>
    <t xml:space="preserve">N300</t>
  </si>
  <si>
    <t xml:space="preserve">Comfort &amp; feel-good classics</t>
  </si>
  <si>
    <t xml:space="preserve">N301</t>
  </si>
  <si>
    <t xml:space="preserve">Sight &amp; Sound 2022 Critics' Poll — selections (unranked)</t>
  </si>
  <si>
    <t xml:space="preserve">N302</t>
  </si>
  <si>
    <t xml:space="preserve">AFI 100 Years...100 Movies (2007 ed.) — selections</t>
  </si>
  <si>
    <t xml:space="preserve">N303</t>
  </si>
  <si>
    <t xml:space="preserve">BFI 100 Best British Films (1999) — selections</t>
  </si>
  <si>
    <t xml:space="preserve">N304</t>
  </si>
  <si>
    <t xml:space="preserve">Roger Ebert's 'Great Movies' — selections</t>
  </si>
  <si>
    <t xml:space="preserve">N305</t>
  </si>
  <si>
    <t xml:space="preserve">Kubrick's top 10 (1963)</t>
  </si>
  <si>
    <t xml:space="preserve">N306</t>
  </si>
  <si>
    <t xml:space="preserve">Tarkovsky's top 10 (1972)</t>
  </si>
  <si>
    <t xml:space="preserve">N307</t>
  </si>
  <si>
    <t xml:space="preserve">The Criterion Collection — art-house starter pack</t>
  </si>
  <si>
    <t xml:space="preserve">N308</t>
  </si>
  <si>
    <t xml:space="preserve">Arrow Video — cult &amp; genre lens</t>
  </si>
  <si>
    <t xml:space="preserve">N309</t>
  </si>
  <si>
    <t xml:space="preserve">BFI Flipside — lost British oddities</t>
  </si>
  <si>
    <t xml:space="preserve">N310</t>
  </si>
  <si>
    <t xml:space="preserve">Masters of Cinema (Eureka) — silent &amp; world classics lens</t>
  </si>
  <si>
    <t xml:space="preserve">N311</t>
  </si>
  <si>
    <t xml:space="preserve">Second Run — Central &amp; Eastern European lens</t>
  </si>
  <si>
    <t xml:space="preserve">N312</t>
  </si>
  <si>
    <t xml:space="preserve">Scorsese's World Cinema Project restorations</t>
  </si>
  <si>
    <t xml:space="preserve">N313</t>
  </si>
  <si>
    <t xml:space="preserve">A24 — the indie-studio era</t>
  </si>
  <si>
    <t xml:space="preserve">N314</t>
  </si>
  <si>
    <t xml:space="preserve">Intro to Film Studies — a 15-week semester</t>
  </si>
  <si>
    <t xml:space="preserve">N315</t>
  </si>
  <si>
    <t xml:space="preserve">History of World Cinema — a two-semester survey</t>
  </si>
  <si>
    <t xml:space="preserve">N316</t>
  </si>
  <si>
    <t xml:space="preserve">American Film History — a one-semester survey</t>
  </si>
  <si>
    <t xml:space="preserve">N317</t>
  </si>
  <si>
    <t xml:space="preserve">Because you loved Jacob's Ladder, Inland Empire &amp; Blue Velvet</t>
  </si>
  <si>
    <t xml:space="preserve">N318</t>
  </si>
  <si>
    <t xml:space="preserve">Because you loved Synecdoche, NY &amp; I'm Thinking of Ending Things</t>
  </si>
  <si>
    <t xml:space="preserve">N319</t>
  </si>
  <si>
    <t xml:space="preserve">Because you loved Waking Life &amp; My Dinner with Andre</t>
  </si>
  <si>
    <t xml:space="preserve">N320</t>
  </si>
  <si>
    <t xml:space="preserve">Because you loved The Godfather, Apocalypse Now &amp; The Untouchables</t>
  </si>
  <si>
    <t xml:space="preserve">N321</t>
  </si>
  <si>
    <t xml:space="preserve">Because you loved Magnolia &amp; Punch-Drunk Love</t>
  </si>
  <si>
    <t xml:space="preserve">N322</t>
  </si>
  <si>
    <t xml:space="preserve">Because you loved The Hudsucker Proxy &amp; Raising Arizona</t>
  </si>
  <si>
    <t xml:space="preserve">N323</t>
  </si>
  <si>
    <t xml:space="preserve">Because you loved The Graduate &amp; The Holdovers</t>
  </si>
  <si>
    <t xml:space="preserve">N324</t>
  </si>
  <si>
    <t xml:space="preserve">Because you loved First Reformed &amp; The Tree of Life</t>
  </si>
  <si>
    <t xml:space="preserve">N325</t>
  </si>
  <si>
    <t xml:space="preserve">Because you loved High and Low &amp; Ghost Dog</t>
  </si>
  <si>
    <t xml:space="preserve">N326</t>
  </si>
  <si>
    <t xml:space="preserve">Because you loved The Thing, Children of Men &amp; War of the Worlds</t>
  </si>
  <si>
    <t xml:space="preserve">N327</t>
  </si>
  <si>
    <t xml:space="preserve">Because you loved Baby Driver &amp; Catch Me If You Can</t>
  </si>
  <si>
    <t xml:space="preserve">N328</t>
  </si>
  <si>
    <t xml:space="preserve">Because you loved Do the Right Thing, Fruitvale Station &amp; American History X</t>
  </si>
  <si>
    <t xml:space="preserve">N329</t>
  </si>
  <si>
    <t xml:space="preserve">Because you loved I, Daniel Blake &amp; The Pursuit of Happyness</t>
  </si>
  <si>
    <t xml:space="preserve">N330</t>
  </si>
  <si>
    <t xml:space="preserve">Because you loved Everything Everywhere All at Once &amp; Barbie</t>
  </si>
  <si>
    <t xml:space="preserve">Films</t>
  </si>
  <si>
    <t xml:space="preserve">Why this grouping / how to watch it</t>
  </si>
  <si>
    <t xml:space="preserve">Academic &amp; critical sources</t>
  </si>
  <si>
    <t xml:space="preserve">The films the most-assigned intro textbook dissects. Watch each, then read the chapter: classical narrative first, then alternatives, then style-as-ideology.</t>
  </si>
  <si>
    <t xml:space="preserve">Bordwell, Thompson &amp; Smith, Film Art: An Introduction (McGraw-Hill; ch. 'Film Criticism: Sample Analyses' — film selection varies by edition)</t>
  </si>
  <si>
    <t xml:space="preserve">Everything placed in front of the camera. Train your eye on set, costume, staging, and lighting.</t>
  </si>
  <si>
    <t xml:space="preserve">Film Art ch. 4; Bazin, What Is Cinema? (1958–62)</t>
  </si>
  <si>
    <t xml:space="preserve">Deep focus, chiaroscuro, natural light, and the camera as a narrator.</t>
  </si>
  <si>
    <t xml:space="preserve">Film Art ch. 5; ASC 'Most Important Cinematographed Films' poll (2019)</t>
  </si>
  <si>
    <t xml:space="preserve">From Griffith's cross-cutting and Soviet collision montage to modern fragmentation.</t>
  </si>
  <si>
    <t xml:space="preserve">Film Art ch. 6; Eisenstein, Film Form (1949); Murch, In the Blink of an Eye (1995)</t>
  </si>
  <si>
    <t xml:space="preserve">Diegetic vs. non-diegetic, sound bridges, silence as a tool.</t>
  </si>
  <si>
    <t xml:space="preserve">Film Art ch. 7; Chion, Audio-Vision (1990)</t>
  </si>
  <si>
    <t xml:space="preserve">Duration as style: tension, realism, and choreography without cuts.</t>
  </si>
  <si>
    <t xml:space="preserve">Bazin, 'The Evolution of the Language of Cinema'; Henderson, 'The Long Take' (1971)</t>
  </si>
  <si>
    <t xml:space="preserve">How stories withhold, repeat, and lie. A bridge to the Mind-Game lens in Theory.</t>
  </si>
  <si>
    <t xml:space="preserve">Bordwell, Narration in the Fiction Film (1985); Buckland (ed.), Puzzle Films (2009)</t>
  </si>
  <si>
    <t xml:space="preserve">Model three-act and four-part structures that screenwriting programs teach.</t>
  </si>
  <si>
    <t xml:space="preserve">Field, Screenplay (1979); Thompson, Storytelling in the New Hollywood (1999)</t>
  </si>
  <si>
    <t xml:space="preserve">Film as spectacle before storytelling took over, then the first grammar of narrative.</t>
  </si>
  <si>
    <t xml:space="preserve">Thompson &amp; Bordwell, Film History: An Introduction; Cousins, The Story of Film (book 2004 / series 2011); Gunning, 'The Cinema of Attractions' (1986)</t>
  </si>
  <si>
    <t xml:space="preserve">Feature-length storytelling, the star system, and the film-grammar consolidation (and racism) of Griffith.</t>
  </si>
  <si>
    <t xml:space="preserve">Thompson &amp; Bordwell, Film History: An Introduction; Cousins, The Story of Film (book 2004 / series 2011); Brownlow, The Parade's Gone By… (1968)</t>
  </si>
  <si>
    <t xml:space="preserve">The purest visual storytelling ever put on screen. Start with Keaton.</t>
  </si>
  <si>
    <t xml:space="preserve">Thompson &amp; Bordwell, Film History: An Introduction; Cousins, The Story of Film (book 2004 / series 2011); Agee, 'Comedy's Greatest Era' (Life, 1949); Kerr, The Silent Clowns (1975)</t>
  </si>
  <si>
    <t xml:space="preserve">Distorted sets, shadows, and the psyche of a nation between wars. Also the root of horror and noir.</t>
  </si>
  <si>
    <t xml:space="preserve">Thompson &amp; Bordwell, Film History: An Introduction; Cousins, The Story of Film (book 2004 / series 2011); Eisner, The Haunted Screen (1952); Kracauer, From Caligari to Hitler (1947)</t>
  </si>
  <si>
    <t xml:space="preserve">Editing as argument. The most theorized movement in film history.</t>
  </si>
  <si>
    <t xml:space="preserve">Thompson &amp; Bordwell, Film History: An Introduction; Cousins, The Story of Film (book 2004 / series 2011); Eisenstein, Film Form; Kuleshov and Pudovkin writings</t>
  </si>
  <si>
    <t xml:space="preserve">Subjective camera, rhythmic cutting, and the first art-cinema theory.</t>
  </si>
  <si>
    <t xml:space="preserve">Thompson &amp; Bordwell, Film History: An Introduction; Cousins, The Story of Film (book 2004 / series 2011); Abel, French Cinema: The First Wave, 1915–1929 (1984)</t>
  </si>
  <si>
    <t xml:space="preserve">The art form at its silent peak, right before sound arrived.</t>
  </si>
  <si>
    <t xml:space="preserve">Thompson &amp; Bordwell, Film History: An Introduction; Cousins, The Story of Film (book 2004 / series 2011); Sight &amp; Sound 2022 critics' poll</t>
  </si>
  <si>
    <t xml:space="preserve">How sound changed staging, genres, and performance. Singin' in the Rain is the comedy about this era.</t>
  </si>
  <si>
    <t xml:space="preserve">Thompson &amp; Bordwell, Film History: An Introduction; Cousins, The Story of Film (book 2004 / series 2011); Crafton, The Talkies (1997)</t>
  </si>
  <si>
    <t xml:space="preserve">Hollywood before the Production Code was strictly enforced in mid-1934: gangsters, fallen women, and satire.</t>
  </si>
  <si>
    <t xml:space="preserve">Doherty, Pre-Code Hollywood: Sex, Immorality, and Insurrection (1999); Vieira, Sin in Soft Focus (1999)</t>
  </si>
  <si>
    <t xml:space="preserve">The invisible style: continuity editing, star vehicles, genre machinery. The baseline everything else reacts to.</t>
  </si>
  <si>
    <t xml:space="preserve">Schatz, The Genius of the System (1988); Bordwell, Staiger &amp; Thompson, The Classical Hollywood Cinema (1985)</t>
  </si>
  <si>
    <t xml:space="preserve">CinemaScope spectacle vs. TV, Method acting, Cold War paranoia, and the Code starting to crack.</t>
  </si>
  <si>
    <t xml:space="preserve">Biskind, Seeing Is Believing (1983); Sklar, Movie-Made America (1975)</t>
  </si>
  <si>
    <t xml:space="preserve">The international art film is born: Italy, Japan, Sweden, India, France.</t>
  </si>
  <si>
    <t xml:space="preserve">Thompson &amp; Bordwell, Film History: An Introduction; Cousins, The Story of Film (book 2004 / series 2011); Bazin on Neorealism; Kovács, Screening Modernism (2007)</t>
  </si>
  <si>
    <t xml:space="preserve">Handheld cameras, jump cuts, youth, politics. Each country got its own wave; this is the sampler. See 03 World Cinemas for each wave.</t>
  </si>
  <si>
    <t xml:space="preserve">Thompson &amp; Bordwell, Film History: An Introduction; Cousins, The Story of Film (book 2004 / series 2011); Neupert, A History of the French New Wave Cinema (2002)</t>
  </si>
  <si>
    <t xml:space="preserve">Directors take control after the studio system collapses. Close to home for you, but ordered to show the arc from 1967 to Heaven's Gate.</t>
  </si>
  <si>
    <t xml:space="preserve">Biskind, Easy Riders, Raging Bulls (1998); Harris, Pictures at a Revolution (2008); Wood, Hollywood from Vietnam to Reagan (1986)</t>
  </si>
  <si>
    <t xml:space="preserve">Summer event films, merchandising, and the franchise model that still rules.</t>
  </si>
  <si>
    <t xml:space="preserve">Wyatt, High Concept (1994); Shone, Blockbuster (2004); Wood, 'Papering the Cracks'</t>
  </si>
  <si>
    <t xml:space="preserve">The personal, dark, and strange work made in the blockbuster's shadow.</t>
  </si>
  <si>
    <t xml:space="preserve">Wood, Hollywood from Vietnam to Reagan; Hoberman, Make My Day (2019)</t>
  </si>
  <si>
    <t xml:space="preserve">From Stranger Than Paradise to the Miramax gold rush and the 1999 high-water mark.</t>
  </si>
  <si>
    <t xml:space="preserve">Biskind, Down and Dirty Pictures (2004); Levy, Cinema of Outsiders (1999); King, American Independent Cinema (2005)</t>
  </si>
  <si>
    <t xml:space="preserve">Digital cameras, streaming on the horizon, and world cinema in the canon.</t>
  </si>
  <si>
    <t xml:space="preserve">BBC Culture '100 Greatest Films of the 21st Century' critics' poll (2016)</t>
  </si>
  <si>
    <t xml:space="preserve">The films critics are already canonizing. Useful for keeping current.</t>
  </si>
  <si>
    <t xml:space="preserve">Sight &amp; Sound annual polls; Cannes/Venice/Berlin top prizes; Letterboxd decade lists</t>
  </si>
  <si>
    <t xml:space="preserve">Ozu, Mizoguchi, Kurosawa, Naruse: the four pillars. Alternate between them.</t>
  </si>
  <si>
    <t xml:space="preserve">Richie, A Hundred Years of Japanese Film (2001); Burch, To the Distant Observer (1979); Schrader, Transcendental Style in Film (1972)</t>
  </si>
  <si>
    <t xml:space="preserve">Radical, political, sexual. The response to the Golden Age.</t>
  </si>
  <si>
    <t xml:space="preserve">Desser, Eros Plus Massacre: An Introduction to the Japanese New Wave Cinema (1988); Criterion Eclipse series</t>
  </si>
  <si>
    <t xml:space="preserve">From humanist epics to blood-spurting pulp. Pairs with Westerns (see 08 Niches: East-West remakes).</t>
  </si>
  <si>
    <t xml:space="preserve">Silver, The Samurai Film (1977); Galloway, Stray Dogs &amp; Lone Wolves (2005)</t>
  </si>
  <si>
    <t xml:space="preserve">From chivalry yakuza to Fukasaku's documentary-style chaos to Kitano's deadpan violence.</t>
  </si>
  <si>
    <t xml:space="preserve">Schilling, The Yakuza Movie Book (2003); Arrow Video's Fukasaku reissues</t>
  </si>
  <si>
    <t xml:space="preserve">Animation for adults and everyone. Mostly non-Ghibli; Ghibli has its own auteur niche.</t>
  </si>
  <si>
    <t xml:space="preserve">Napier, Anime from Akira to Howl's Moving Castle (2005); Clements, Anime: A History (2013)</t>
  </si>
  <si>
    <t xml:space="preserve">Kore-eda, Kurosawa Kiyoshi, Hamaguchi and more, from the 1990s to now.</t>
  </si>
  <si>
    <t xml:space="preserve">Gerow, Kitano Takeshi (2007); Sight &amp; Sound; Cannes palmarès</t>
  </si>
  <si>
    <t xml:space="preserve">Non-professional actors, real locations, and postwar poverty. The most influential movement for world cinema.</t>
  </si>
  <si>
    <t xml:space="preserve">Bazin, 'An Aesthetic of Reality: Neorealism' (1948); Zavattini, 'Some Ideas on the Cinema' (1953); Marcus, Italian Film in the Light of Neorealism (1986)</t>
  </si>
  <si>
    <t xml:space="preserve">Italian art cinema's 1960s peak: alienation, spectacle, aristocratic decline.</t>
  </si>
  <si>
    <t xml:space="preserve">Kovács, Screening Modernism; Chatman, Antonioni, or the Surface of the World (1985)</t>
  </si>
  <si>
    <t xml:space="preserve">Satire with a bitter aftertaste. The Italian answer to Billy Wilder.</t>
  </si>
  <si>
    <t xml:space="preserve">Bondanella &amp; Pacchioni, A History of Italian Cinema (2017)</t>
  </si>
  <si>
    <t xml:space="preserve">Leone first, then the political 'Zapata westerns' and Corbucci's nihilism.</t>
  </si>
  <si>
    <t xml:space="preserve">Frayling, Spaghetti Westerns: Cowboys and Europeans from Karl May to Sergio Leone (1981)</t>
  </si>
  <si>
    <t xml:space="preserve">Black-gloved killers, operatic color, jazz-prog scores. The ancestor of the slasher.</t>
  </si>
  <si>
    <t xml:space="preserve">Koven, La Dolce Morte: Vernacular Cinema and the Italian Giallo Film (2006); Lucas, Mario Bava: All the Colors of the Dark (2007)</t>
  </si>
  <si>
    <t xml:space="preserve">Bava's Gothic, Argento's witches, Fulci's zombies.</t>
  </si>
  <si>
    <t xml:space="preserve">Lucas, Mario Bava; Curti, Italian Gothic Horror Films, 1957–1969 (2015)</t>
  </si>
  <si>
    <t xml:space="preserve">Gritty 70s cop and crime films, Italy's answer to Dirty Harry.</t>
  </si>
  <si>
    <t xml:space="preserve">Curti, Italian Crime Filmography, 1968–1980 (2013)</t>
  </si>
  <si>
    <t xml:space="preserve">Sorrentino, Garrone, Rohrwacher, Guadagnino, Moretti.</t>
  </si>
  <si>
    <t xml:space="preserve">Cannes/Venice prizes; Sight &amp; Sound</t>
  </si>
  <si>
    <t xml:space="preserve">Fatalistic romance in fog-bound ports. The direct ancestor of film noir.</t>
  </si>
  <si>
    <t xml:space="preserve">Andrew, Mists of Regret: Culture and Sensibility in Classic French Film (1995)</t>
  </si>
  <si>
    <t xml:space="preserve">Cahiers critics pick up cameras. Watch the core Truffaut and Godard, then branch out.</t>
  </si>
  <si>
    <t xml:space="preserve">Neupert, A History of the French New Wave Cinema (2002); Truffaut, 'A Certain Tendency of the French Cinema' (Cahiers, 1954); Marie, The French New Wave: An Artistic School (2003)</t>
  </si>
  <si>
    <t xml:space="preserve">The more literary, political, memory-obsessed wing: Resnais, Varda, Marker.</t>
  </si>
  <si>
    <t xml:space="preserve">Neupert (ch. 'Left Bank'); Lupton, Chris Marker: Memories of the Future (2005)</t>
  </si>
  <si>
    <t xml:space="preserve">Trench coats, heists, and existential cool.</t>
  </si>
  <si>
    <t xml:space="preserve">Vincendeau, Jean-Pierre Melville: An American in Paris (2003)</t>
  </si>
  <si>
    <t xml:space="preserve">1980s French style-over-substance: neon, music video, romantic outlaws.</t>
  </si>
  <si>
    <t xml:space="preserve">Austin, Contemporary French Cinema (1996); Bassan, 'Trois néobaroques français' (1989)</t>
  </si>
  <si>
    <t xml:space="preserve">Transgressive horror and art films. Strong stomach required.</t>
  </si>
  <si>
    <t xml:space="preserve">Quandt, 'Flesh &amp; Blood: Sex and Violence in Recent French Cinema' (Artforum, 2004)</t>
  </si>
  <si>
    <t xml:space="preserve">Denis, Assayas, Desplechin, Dardennes (Belgium), Sciamma, Triet.</t>
  </si>
  <si>
    <t xml:space="preserve">Cahiers du cinéma annual top tens; Cannes palmarès</t>
  </si>
  <si>
    <t xml:space="preserve">'Papa's cinema is dead.' Fassbinder, Herzog, Wenders, Schlöndorff, von Trotta confront the Nazi past.</t>
  </si>
  <si>
    <t xml:space="preserve">Elsaesser, New German Cinema: A History (1989); Oberhausen Manifesto (1962)</t>
  </si>
  <si>
    <t xml:space="preserve">Cool, observational realism plus Haneke's Austrian provocations.</t>
  </si>
  <si>
    <t xml:space="preserve">Abel, The Counter-Cinema of the Berlin School (2013)</t>
  </si>
  <si>
    <t xml:space="preserve">The most visually daring British films ever made.</t>
  </si>
  <si>
    <t xml:space="preserve">Christie, Arrows of Desire (1985); Scorsese's Film Foundation restorations</t>
  </si>
  <si>
    <t xml:space="preserve">Postwar British whimsy with a murderous streak.</t>
  </si>
  <si>
    <t xml:space="preserve">Barr, Ealing Studios (1977); BFI Screenonline</t>
  </si>
  <si>
    <t xml:space="preserve">Angry young men and working-class Northern England, leading to Loach and Leigh.</t>
  </si>
  <si>
    <t xml:space="preserve">Hill, Sex, Class and Realism: British Cinema 1956–1963 (1986); Free Cinema manifesto (1956)</t>
  </si>
  <si>
    <t xml:space="preserve">Loach, Leigh, Clarke, Ramsay, Arnold, Aftersun. You gave I, Daniel Blake 5 stars, so this is your lane.</t>
  </si>
  <si>
    <t xml:space="preserve">Lay, British Social Realism (2002); BFI</t>
  </si>
  <si>
    <t xml:space="preserve">Mods, psychedelia, and foreign directors seeing London fresh.</t>
  </si>
  <si>
    <t xml:space="preserve">Murphy, Sixties British Cinema (1992)</t>
  </si>
  <si>
    <t xml:space="preserve">Faith, death, and the face in close-up.</t>
  </si>
  <si>
    <t xml:space="preserve">Cowie, Ingmar Bergman: A Critical Biography (1982); Bordwell, The Films of Carl-Theodor Dreyer (1981)</t>
  </si>
  <si>
    <t xml:space="preserve">A vow of chastity: handheld, natural light, no score. Then what came after.</t>
  </si>
  <si>
    <t xml:space="preserve">Hjort &amp; MacKenzie (eds.), Purity and Provocation: Dogma 95 (2003)</t>
  </si>
  <si>
    <t xml:space="preserve">After Stalin: lyrical war films, Tarkovsky, and Georgian and Armenian poetic cinema.</t>
  </si>
  <si>
    <t xml:space="preserve">Woll, Real Images: Soviet Cinema and the Thaw (2000); Tarkovsky, Sculpting in Time (1986)</t>
  </si>
  <si>
    <t xml:space="preserve">Absurdism, satire, and surrealism before the 1968 Soviet invasion shut it down.</t>
  </si>
  <si>
    <t xml:space="preserve">Hames, The Czechoslovak New Wave (1985/2005); Second Run DVD catalog</t>
  </si>
  <si>
    <t xml:space="preserve">Wajda's war trilogy through Kieślowski to Pawlikowski.</t>
  </si>
  <si>
    <t xml:space="preserve">Haltof, Polish National Cinema (2002)</t>
  </si>
  <si>
    <t xml:space="preserve">Anarchic, sexual, and critical of the state.</t>
  </si>
  <si>
    <t xml:space="preserve">Goulding, Liberated Cinema: The Yugoslav Experience (2002)</t>
  </si>
  <si>
    <t xml:space="preserve">Long takes, choreographed history, and apocalyptic slow cinema.</t>
  </si>
  <si>
    <t xml:space="preserve">Cunningham, Hungarian Cinema (2004)</t>
  </si>
  <si>
    <t xml:space="preserve">Long takes, bureaucratic dread, and deadpan realism after 2005.</t>
  </si>
  <si>
    <t xml:space="preserve">Nasta, Contemporary Romanian Cinema (2013)</t>
  </si>
  <si>
    <t xml:space="preserve">Surrealism, Franco-era allegory, and La Movida.</t>
  </si>
  <si>
    <t xml:space="preserve">Kinder, Blood Cinema (1993); Smith, Desire Unlimited: The Cinema of Pedro Almodóvar (1994)</t>
  </si>
  <si>
    <t xml:space="preserve">From Buñuel's Mexican period to Cuarón, Iñárritu, and del Toro.</t>
  </si>
  <si>
    <t xml:space="preserve">Noble, Mexican National Cinema (2005)</t>
  </si>
  <si>
    <t xml:space="preserve">'A camera in the hand and an idea in the head.' The sertão, hunger, and revolution.</t>
  </si>
  <si>
    <t xml:space="preserve">Rocha, 'An Esthetic of Hunger' (1965); Johnson &amp; Stam (eds.), Brazilian Cinema (1982)</t>
  </si>
  <si>
    <t xml:space="preserve">Film as guerrilla act: anti-colonial, collective, and militant.</t>
  </si>
  <si>
    <t xml:space="preserve">Solanas &amp; Getino, 'Towards a Third Cinema' (1969); Espinosa, 'For an Imperfect Cinema' (1969); Chanan, Cuban Cinema (2004)</t>
  </si>
  <si>
    <t xml:space="preserve">Martel, Trapero, Larraín, Alonso and more after 1995.</t>
  </si>
  <si>
    <t xml:space="preserve">Page, Crisis and Capitalism in Contemporary Argentine Cinema (2009)</t>
  </si>
  <si>
    <t xml:space="preserve">Kung fu, gun-fu, and stunt work that remade Hollywood action.</t>
  </si>
  <si>
    <t xml:space="preserve">Bordwell, Planet Hong Kong (2000); Teo, Hong Kong Cinema: The Extra Dimensions (1997)</t>
  </si>
  <si>
    <t xml:space="preserve">Swordplay and chivalry, from King Hu's inns to Ang Lee's bamboo forest.</t>
  </si>
  <si>
    <t xml:space="preserve">Teo, Chinese Martial Arts Cinema: The Wuxia Tradition (2009)</t>
  </si>
  <si>
    <t xml:space="preserve">Ann Hui, Tsui Hark, and Wong Kar-wai's romance of the 1997 handover.</t>
  </si>
  <si>
    <t xml:space="preserve">Teo; Abbas, Hong Kong: Culture and the Politics of Disappearance (1997)</t>
  </si>
  <si>
    <t xml:space="preserve">Memory, modernization, and long patient shots.</t>
  </si>
  <si>
    <t xml:space="preserve">Udden, No Man an Island: The Cinema of Hou Hsiao-hsien (2009); Anderson, Edward Yang (2005)</t>
  </si>
  <si>
    <t xml:space="preserve">Lush historical allegory in the 1980s–90s, then gritty, underground urban realism.</t>
  </si>
  <si>
    <t xml:space="preserve">Berry &amp; Farquhar, China on Screen (2006); Zhang Zhen (ed.), The Urban Generation (2007)</t>
  </si>
  <si>
    <t xml:space="preserve">From Kim Ki-young's 1960 The Housemaid to the late-90s boom.</t>
  </si>
  <si>
    <t xml:space="preserve">Paquet, New Korean Cinema: Breaking the Waves (2009); Kim, The Remasculinization of Korean Cinema (2004)</t>
  </si>
  <si>
    <t xml:space="preserve">Vengeance, serial killers, and zombies on trains: the most confident genre industry going.</t>
  </si>
  <si>
    <t xml:space="preserve">Paquet; Choi, The South Korean Film Renaissance (2010)</t>
  </si>
  <si>
    <t xml:space="preserve">Bengali humanism, Ghatak's partition melodramas, and the 1970s parallel movement.</t>
  </si>
  <si>
    <t xml:space="preserve">Robinson, Satyajit Ray: The Inner Eye (1989); Rajadhyaksha &amp; Willemen, Encyclopaedia of Indian Cinema (1994)</t>
  </si>
  <si>
    <t xml:space="preserve">Guru Dutt's melancholy to masala epics to the 2000s indie turn. Pairs with your Bollywood list.</t>
  </si>
  <si>
    <t xml:space="preserve">Dwyer, Bollywood's India (2014); Ganti, Bollywood (2004)</t>
  </si>
  <si>
    <t xml:space="preserve">Apichatpong's jungle dreams, Brocka's Manila, and Indonesian and Cambodian voices.</t>
  </si>
  <si>
    <t xml:space="preserve">Ingawanij &amp; McKay (eds.), Glimpses of Freedom (2012)</t>
  </si>
  <si>
    <t xml:space="preserve">Children, cars, and the line between documentary and fiction.</t>
  </si>
  <si>
    <t xml:space="preserve">Dabashi, Close Up: Iranian Cinema, Past, Present and Future (2001); Naficy, A Social History of Iranian Cinema (2011–12)</t>
  </si>
  <si>
    <t xml:space="preserve">Farhadi's moral thrillers, Panahi's banned-but-filming, and voices from Palestine, Israel, Lebanon, and Turkey.</t>
  </si>
  <si>
    <t xml:space="preserve">Cannes/Berlin prizes; Naficy, An Accented Cinema (2001)</t>
  </si>
  <si>
    <t xml:space="preserve">Sembène, 'the father of African cinema,' plus Mambéty, Cissé, Sissako, and Nollywood-era voices.</t>
  </si>
  <si>
    <t xml:space="preserve">Diawara, African Cinema: Politics and Culture (1992); Ukadike, Black African Cinema (1994); FESPACO</t>
  </si>
  <si>
    <t xml:space="preserve">Haunted outback art films on one side, souped-up exploitation on the other.</t>
  </si>
  <si>
    <t xml:space="preserve">Stratton, The Last New Wave (1980); Not Quite Hollywood (doc, 2008)</t>
  </si>
  <si>
    <t xml:space="preserve">Campion, Jackson, Waititi, plus Cronenberg, Egoyan, Arcand, Villeneuve, Dolan.</t>
  </si>
  <si>
    <t xml:space="preserve">Conrich &amp; Murray (eds.), New Zealand Filmmakers (2007); Melnyk, One Hundred Years of Canadian Cinema (2004)</t>
  </si>
  <si>
    <t xml:space="preserve">Schrader dates the cycle from The Maltese Falcon to Touch of Evil. Watch in order to see it darken.</t>
  </si>
  <si>
    <t xml:space="preserve">Borde &amp; Chaumeton, A Panorama of American Film Noir (1955); Schrader, 'Notes on Film Noir' (1972); Silver &amp; Ward, Film Noir: An Encyclopedic Reference (1979)</t>
  </si>
  <si>
    <t xml:space="preserve">Color, cynicism, and self-awareness. Chinatown is the hinge.</t>
  </si>
  <si>
    <t xml:space="preserve">Silver &amp; Ursini, Film Noir Reader; Naremore, More Than Night: Film Noir in Its Contexts (1998)</t>
  </si>
  <si>
    <t xml:space="preserve">Noir's fatalism moved into rain-soaked futures. The term comes from the nightclub in The Terminator.</t>
  </si>
  <si>
    <t xml:space="preserve">Bukatman, Terminal Identity (1993); Sobchack, Screening Space (1987)</t>
  </si>
  <si>
    <t xml:space="preserve">The foundational American genre: wilderness vs. civilization, Ford's Monument Valley.</t>
  </si>
  <si>
    <t xml:space="preserve">Kitses, Horizons West (1969); Bazin, 'The Western, or the American Film Par Excellence'; Schatz</t>
  </si>
  <si>
    <t xml:space="preserve">Seven lean 1950s Boetticher–Randolph Scott films, psychological westerns, and Anthony Mann's Stewart cycle.</t>
  </si>
  <si>
    <t xml:space="preserve">Kitses; Sarris on Budd Boetticher</t>
  </si>
  <si>
    <t xml:space="preserve">Myth-busting westerns shaped by Vietnam and after.</t>
  </si>
  <si>
    <t xml:space="preserve">Slotkin, Gunfighter Nation (1992); Wright, Sixguns and Society (1975)</t>
  </si>
  <si>
    <t xml:space="preserve">Rosenbaum's term: countercultural, hallucinatory westerns.</t>
  </si>
  <si>
    <t xml:space="preserve">Rosenbaum, 'Acid Western: Dead Man' (Chicago Reader, 1996)</t>
  </si>
  <si>
    <t xml:space="preserve">Western values in modern settings: oil, borders, and busted towns.</t>
  </si>
  <si>
    <t xml:space="preserve">Campbell, Post-Westerns (2013)</t>
  </si>
  <si>
    <t xml:space="preserve">The studio that invented the horror franchise.</t>
  </si>
  <si>
    <t xml:space="preserve">Wood, 'An Introduction to the American Horror Film' (1979); Carroll, The Philosophy of Horror (1990); Newman, Nightmare Movies (1988/2011); Skal, The Monster Show (1993)</t>
  </si>
  <si>
    <t xml:space="preserve">RKO's B-unit made horror out of shadows and what you don't see.</t>
  </si>
  <si>
    <t xml:space="preserve">Bansak, Fearing the Dark: The Val Lewton Career (1995); Newman</t>
  </si>
  <si>
    <t xml:space="preserve">Technicolor Gothic, Cushing and Lee.</t>
  </si>
  <si>
    <t xml:space="preserve">Hutchings, Hammer and Beyond (1993); Rigby, English Gothic (2000)</t>
  </si>
  <si>
    <t xml:space="preserve">Rural landscapes, pagan survivals, and communities with secrets. The 'Unholy Trinity' comes first.</t>
  </si>
  <si>
    <t xml:space="preserve">Scovell, Folk Horror: Hours Dreadful and Things Strange (2017); Woodlands Dark and Days Bewitched (doc, 2021)</t>
  </si>
  <si>
    <t xml:space="preserve">The devil comes to modern America.</t>
  </si>
  <si>
    <t xml:space="preserve">Wood; Newman; Hoberman on 1970s occult cycle</t>
  </si>
  <si>
    <t xml:space="preserve">From Haitian voodoo to Romero's consumerist ghouls to fast infected.</t>
  </si>
  <si>
    <t xml:space="preserve">Russell, Book of the Dead: The Complete History of Zombie Cinema (2005)</t>
  </si>
  <si>
    <t xml:space="preserve">Proto-slashers, the golden age (1978–84), then the self-aware revival.</t>
  </si>
  <si>
    <t xml:space="preserve">Clover, Men, Women, and Chain Saws (1992): the 'Final Girl'; Dika, Games of Terror (1990)</t>
  </si>
  <si>
    <t xml:space="preserve">The flesh rebels. Cronenberg is the center; everything else orbits.</t>
  </si>
  <si>
    <t xml:space="preserve">Cruz, 'Mutations and Metamorphoses: Body Horror Is Biological Fiction' (2012); Beard, The Artist as Monster: The Cinema of David Cronenberg (2001)</t>
  </si>
  <si>
    <t xml:space="preserve">Long-haired ghosts, cursed tech, and dread instead of gore.</t>
  </si>
  <si>
    <t xml:space="preserve">McRoy, Nightmare Japan (2008); Kalat, J-Horror (2007)</t>
  </si>
  <si>
    <t xml:space="preserve">The camera is a character, and the footage is the evidence.</t>
  </si>
  <si>
    <t xml:space="preserve">Heller-Nicholas, Found Footage Horror Films: Fear and the Appearance of Reality (2014)</t>
  </si>
  <si>
    <t xml:space="preserve">Slow-burn art-house horror, mostly A24 and Neon era. Critics still argue about the label.</t>
  </si>
  <si>
    <t xml:space="preserve">Church, Post-Horror: Art, Genre and Cultural Elevation (2021)</t>
  </si>
  <si>
    <t xml:space="preserve">Unknowable forces and minds breaking at the edge of comprehension.</t>
  </si>
  <si>
    <t xml:space="preserve">Joshi (ed.) on Lovecraft adaptations; Newman</t>
  </si>
  <si>
    <t xml:space="preserve">Architecture as memory and trauma.</t>
  </si>
  <si>
    <t xml:space="preserve">Curtis, Dark Places: The Haunted House in Film (2008)</t>
  </si>
  <si>
    <t xml:space="preserve">Rockets, radiation, and Red Scare allegory.</t>
  </si>
  <si>
    <t xml:space="preserve">Sobchack, Screening Space (1987); Telotte, Science Fiction Film (2001); Kuhn (ed.), Alien Zone (1990); Sontag, 'The Imagination of Disaster' (1965)</t>
  </si>
  <si>
    <t xml:space="preserve">Ideas-first science fiction, dystopias, and 2001's reset of the genre.</t>
  </si>
  <si>
    <t xml:space="preserve">Sobchack, Screening Space (1987); Telotte, Science Fiction Film (2001); Kuhn (ed.), Alien Zone (1990)</t>
  </si>
  <si>
    <t xml:space="preserve">High tech, low life, and bodies jacked into networks.</t>
  </si>
  <si>
    <t xml:space="preserve">Bukatman, Terminal Identity (1993); Cavallaro, Cyberpunk and Cyberculture (2000)</t>
  </si>
  <si>
    <t xml:space="preserve">Science fiction built on ideas and physics. A good next step after Interstellar and Oppenheimer.</t>
  </si>
  <si>
    <t xml:space="preserve">Tomorrow as a warning about today.</t>
  </si>
  <si>
    <t xml:space="preserve">Booker, Alternate Americas: Science Fiction Film and American Culture (2006)</t>
  </si>
  <si>
    <t xml:space="preserve">Big-canvas sci-fi adventure.</t>
  </si>
  <si>
    <t xml:space="preserve">Fast talk, class collision, and battles of the sexes. Your Hudsucker Proxy 5 stars comes straight from here.</t>
  </si>
  <si>
    <t xml:space="preserve">Sikov, Screwball: Hollywood's Madcap Romantic Comedies (1989); Cavell, Pursuits of Happiness (1981)</t>
  </si>
  <si>
    <t xml:space="preserve">Vaudeville chaos on film: Marx Brothers, W.C. Fields, Laurel &amp; Hardy.</t>
  </si>
  <si>
    <t xml:space="preserve">Jenkins, What Made Pistachio Nuts? (1992)</t>
  </si>
  <si>
    <t xml:space="preserve">Comedy with a scalpel.</t>
  </si>
  <si>
    <t xml:space="preserve">Harries, Film Parody (2000)</t>
  </si>
  <si>
    <t xml:space="preserve">Genre deconstruction at maximum jokes per minute.</t>
  </si>
  <si>
    <t xml:space="preserve">Documentary form played for laughs, or for unease.</t>
  </si>
  <si>
    <t xml:space="preserve">Roscoe &amp; Hight, Faking It: Mock-Documentary and the Subversion of Factuality (2001)</t>
  </si>
  <si>
    <t xml:space="preserve">Laughs that hurt: deadpan Scandinavians, awkward Americans.</t>
  </si>
  <si>
    <t xml:space="preserve">Hye, 'Cringe Comedy' scholarship; Kaurismäki/Andersson criticism</t>
  </si>
  <si>
    <t xml:space="preserve">SNL alumni, Frat Pack, and the Apatow era.</t>
  </si>
  <si>
    <t xml:space="preserve">Krutnik (ed.), Hollywood Comedians (2003); your 'Top 50 Comedy recs' list</t>
  </si>
  <si>
    <t xml:space="preserve">Backstage kaleidoscopes, tap and ballroom, then MGM integrated musicals.</t>
  </si>
  <si>
    <t xml:space="preserve">Feuer, The Hollywood Musical (1982/93); Altman, The American Film Musical (1987); Dyer, 'Entertainment and Utopia' (1977)</t>
  </si>
  <si>
    <t xml:space="preserve">Big 60s roadshows, then rock musicals, Fosse, and the musical reborn.</t>
  </si>
  <si>
    <t xml:space="preserve">Feuer; Altman</t>
  </si>
  <si>
    <t xml:space="preserve">Pastel melancholy musicals. The direct ancestor of La La Land, which you gave 5 stars.</t>
  </si>
  <si>
    <t xml:space="preserve">Hill, Jacques Demy (2011)</t>
  </si>
  <si>
    <t xml:space="preserve">The American dream as crime story, from Cagney to Corleone to Henry Hill.</t>
  </si>
  <si>
    <t xml:space="preserve">Warshow, 'The Gangster as Tragic Hero' (1948); Munby, Public Enemies, Public Heroes (1999)</t>
  </si>
  <si>
    <t xml:space="preserve">Assemble the crew, plan the job, watch it go wrong.</t>
  </si>
  <si>
    <t xml:space="preserve">Lee, The Heist Film: Stealing with Style (2014)</t>
  </si>
  <si>
    <t xml:space="preserve">Burned-out cops in decaying cities. The ancestor of The Wire.</t>
  </si>
  <si>
    <t xml:space="preserve">Shadoian, Dreams and Dead Ends: The American Gangster Film (2003); Leitch, Crime Films (2002)</t>
  </si>
  <si>
    <t xml:space="preserve">The long con. Catch Me If You Can (a 5-star for you) lives here.</t>
  </si>
  <si>
    <t xml:space="preserve">Leitch, Crime Films</t>
  </si>
  <si>
    <t xml:space="preserve">Suspense vs. surprise, the MacGuffin, the wrong man. Then the heirs.</t>
  </si>
  <si>
    <t xml:space="preserve">Truffaut, Hitchcock/Truffaut (1966); Wood, Hitchcock's Films Revisited (1989)</t>
  </si>
  <si>
    <t xml:space="preserve">Post-Watergate America: the system is rigged, and the phone is tapped.</t>
  </si>
  <si>
    <t xml:space="preserve">Jameson, The Geopolitical Aesthetic (1992); Pratt, Projecting Paranoia (2001)</t>
  </si>
  <si>
    <t xml:space="preserve">Sex, money, and murder in the Reagan-to-Clinton boom.</t>
  </si>
  <si>
    <t xml:space="preserve">Williams, The Erotic Thriller in Contemporary Cinema (2005)</t>
  </si>
  <si>
    <t xml:space="preserve">Investigation as obsession.</t>
  </si>
  <si>
    <t xml:space="preserve">Jarvis, 'Monsters Inc.: Serial Killers and Consumer Culture' (2007)</t>
  </si>
  <si>
    <t xml:space="preserve">Glamour spies (Bond) vs. grey-man spies (le Carré). Ties to your 'Cop &amp; spy comedies' list.</t>
  </si>
  <si>
    <t xml:space="preserve">Chapman, Licence to Thrill (1999); Britton, Beyond Bond (2005)</t>
  </si>
  <si>
    <t xml:space="preserve">Stripped-down endurance stories.</t>
  </si>
  <si>
    <t xml:space="preserve">Genre criticism; Carroll</t>
  </si>
  <si>
    <t xml:space="preserve">Trenches, futility, and the first anti-war cinema.</t>
  </si>
  <si>
    <t xml:space="preserve">Kelly, Cinema and the Great War (1997)</t>
  </si>
  <si>
    <t xml:space="preserve">Combat films, home front, and the camps. Pairs with your War recs list.</t>
  </si>
  <si>
    <t xml:space="preserve">Basinger, The World War II Combat Film: Anatomy of a Genre (1986); Insdorf, Indelible Shadows (1983)</t>
  </si>
  <si>
    <t xml:space="preserve">Vietnam as America's psychic wound.</t>
  </si>
  <si>
    <t xml:space="preserve">Dittmar &amp; Michaud (eds.), From Hanoi to Hollywood (1990); your 'Vietnam' list</t>
  </si>
  <si>
    <t xml:space="preserve">War as farce, insanity, and moral catastrophe.</t>
  </si>
  <si>
    <t xml:space="preserve">Kinney, Hollywood and War scholarship; Sontag, Regarding the Pain of Others (2003)</t>
  </si>
  <si>
    <t xml:space="preserve">Forever wars on screen.</t>
  </si>
  <si>
    <t xml:space="preserve">Barker, A 'Toxic Genre': The Iraq War Films (2011)</t>
  </si>
  <si>
    <t xml:space="preserve">Technicolor anguish that critiques the 1950s American family. Then its heirs.</t>
  </si>
  <si>
    <t xml:space="preserve">Elsaesser, 'Tales of Sound and Fury' (1972); Mulvey, 'Notes on Sirk and Melodrama' (1977); Halliday, Sirk on Sirk (1971)</t>
  </si>
  <si>
    <t xml:space="preserve">Cavell's melodramas of the unknown woman, plus the great weepies.</t>
  </si>
  <si>
    <t xml:space="preserve">Cavell, Contesting Tears: The Hollywood Melodrama of the Unknown Woman (1996); Doane, The Desire to Desire (1987); Basinger, A Woman's View (1993)</t>
  </si>
  <si>
    <t xml:space="preserve">Cavell's exact seven-film corpus, a philosophy-department classic. Then the modern descendants.</t>
  </si>
  <si>
    <t xml:space="preserve">Cavell, Pursuits of Happiness: The Hollywood Comedy of Remarriage (1981)</t>
  </si>
  <si>
    <t xml:space="preserve">From Lubitsch to Nora Ephron to the romcom revival.</t>
  </si>
  <si>
    <t xml:space="preserve">Jeffers McDonald, Romantic Comedy: Boy Meets Girl Meets Genre (2007)</t>
  </si>
  <si>
    <t xml:space="preserve">Two people and a lot of conversation. You gave both Befores 5 stars, so start here.</t>
  </si>
  <si>
    <t xml:space="preserve">Criticism on Linklater's Before trilogy; Rohmer scholarship (Crisp, Eric Rohmer 1988)</t>
  </si>
  <si>
    <t xml:space="preserve">Errol Flynn to Indiana Jones.</t>
  </si>
  <si>
    <t xml:space="preserve">Richards, Swordsmen of the Screen (1977)</t>
  </si>
  <si>
    <t xml:space="preserve">Hard bodies, one-liners, and the action-movie grammar still in use.</t>
  </si>
  <si>
    <t xml:space="preserve">Tasker, Spectacular Bodies (1993); Jeffords, Hard Bodies (1994)</t>
  </si>
  <si>
    <t xml:space="preserve">Practical stunts and legible geography: The Raid, Fury Road, John Wick.</t>
  </si>
  <si>
    <t xml:space="preserve">Bordwell, 'Intensified Continuity' (2002) and blog essays on action staging</t>
  </si>
  <si>
    <t xml:space="preserve">The 12 principles of animation in action.</t>
  </si>
  <si>
    <t xml:space="preserve">Wells, Understanding Animation (1998); Thomas &amp; Johnston, The Illusion of Life (1981)</t>
  </si>
  <si>
    <t xml:space="preserve">Frame-by-frame puppetry, from Harryhausen to Laika to Švankmajer. Nightmare Before Christmas is a 5-star for you.</t>
  </si>
  <si>
    <t xml:space="preserve">Priebe, The Advanced Art of Stop-Motion Animation (2010); your 'Stop Motion Commotion' list</t>
  </si>
  <si>
    <t xml:space="preserve">Animation that isn't for kids: politics, memory, and the avant-garde.</t>
  </si>
  <si>
    <t xml:space="preserve">Furniss, Art in Motion (1998)</t>
  </si>
  <si>
    <t xml:space="preserve">How computer animation became a storytelling art.</t>
  </si>
  <si>
    <t xml:space="preserve">Price, The Pixar Touch (2008); your 'Pixar ranking' list</t>
  </si>
  <si>
    <t xml:space="preserve">Flaherty, Vertov, Ruttmann, Grierson: 'the creative treatment of actuality.'</t>
  </si>
  <si>
    <t xml:space="preserve">Nichols, Introduction to Documentary (2001/2017): expository, observational, participatory, reflexive, performative, and poetic modes; Barnouw, Documentary (1974)</t>
  </si>
  <si>
    <t xml:space="preserve">Lightweight sync-sound cameras and the fly on the wall (US) vs. the provocateur (France).</t>
  </si>
  <si>
    <t xml:space="preserve">Nichols, Introduction to Documentary (2001/2017): expository, observational, participatory, reflexive, performative, and poetic modes; Barnouw, Documentary (1974); Mamber, Cinema Verite in America (1974)</t>
  </si>
  <si>
    <t xml:space="preserve">Documentaries that question documentary itself.</t>
  </si>
  <si>
    <t xml:space="preserve">Nichols, Introduction to Documentary (2001/2017): expository, observational, participatory, reflexive, performative, and poetic modes; Barnouw, Documentary (1974); Rascaroli, The Personal Camera (2009)</t>
  </si>
  <si>
    <t xml:space="preserve">People and cases. Stutz and George Carlin's American Dream are 5-star doc portraits for you.</t>
  </si>
  <si>
    <t xml:space="preserve">Performance captured on film.</t>
  </si>
  <si>
    <t xml:space="preserve">Cohen, Music Documentary scholarship; Rolling Stone lists</t>
  </si>
  <si>
    <t xml:space="preserve">Dream logic, shock, and the unconscious.</t>
  </si>
  <si>
    <t xml:space="preserve">Kuenzli (ed.), Dada and Surrealist Film (1987); Sitney, Visionary Film (1974)</t>
  </si>
  <si>
    <t xml:space="preserve">Deren, Brakhage, Anger, Warhol, Snow: the Anthology Film Archives canon.</t>
  </si>
  <si>
    <t xml:space="preserve">Sitney, Visionary Film: The American Avant-Garde (1974/2002); James, Allegories of Cinema (1989)</t>
  </si>
  <si>
    <t xml:space="preserve">Thinking out loud with images.</t>
  </si>
  <si>
    <t xml:space="preserve">Rascaroli, The Personal Camera (2009); Corrigan, The Essay Film (2011)</t>
  </si>
  <si>
    <t xml:space="preserve">Entry path: the four peaks, then British period, then the 1940s, then late work.</t>
  </si>
  <si>
    <t xml:space="preserve">Truffaut, Hitchcock/Truffaut (1966); Wood, Hitchcock's Films Revisited (1989); Spoto, The Art of Alfred Hitchcock</t>
  </si>
  <si>
    <t xml:space="preserve">Cynic, romantic, and the best screenwriter-director in Hollywood. The Apartment first.</t>
  </si>
  <si>
    <t xml:space="preserve">Sarris, The American Cinema: Directors and Directions 1929–1968 (1968); Truffaut / Cahiers 'politique des auteurs'; Sikov, On Sunset Boulevard (1998)</t>
  </si>
  <si>
    <t xml:space="preserve">America's poet of community and exile. Not only westerns.</t>
  </si>
  <si>
    <t xml:space="preserve">Gallagher, John Ford: The Man and His Films (1986); Bogdanovich, John Ford (1967)</t>
  </si>
  <si>
    <t xml:space="preserve">Professionalism, overlapping dialogue, and genre mastery in every genre.</t>
  </si>
  <si>
    <t xml:space="preserve">Wood, Howard Hawks (1968); McCarthy, Howard Hawks: The Grey Fox of Hollywood (1997)</t>
  </si>
  <si>
    <t xml:space="preserve">Genius, then exile. Kane first, then the damaged masterpieces.</t>
  </si>
  <si>
    <t xml:space="preserve">Naremore, The Magic World of Orson Welles (1978); Rosenbaum, Discovering Orson Welles (2007)</t>
  </si>
  <si>
    <t xml:space="preserve">The 'Lubitsch touch' and Sturges's manic Americana. Two comedy gods, one path.</t>
  </si>
  <si>
    <t xml:space="preserve">Eyman, Ernst Lubitsch: Laughter in Paradise (1993); Jacobs, Christmas in July: The Life and Art of Preston Sturges (1992)</t>
  </si>
  <si>
    <t xml:space="preserve">Populist idealism with a dark undertow. It's a Wonderful Life is darker than you remember.</t>
  </si>
  <si>
    <t xml:space="preserve">Carney, American Vision: The Films of Frank Capra (1986)</t>
  </si>
  <si>
    <t xml:space="preserve">The 1950s Hollywood rebels the French critics adored.</t>
  </si>
  <si>
    <t xml:space="preserve">Cahiers du cinéma championing in the 1950s ('Cinema is Nicholas Ray.' — Godard); Eisenschitz, Nicholas Ray (1990)</t>
  </si>
  <si>
    <t xml:space="preserve">All 13 features in order is the classic approach. Here: peaks first, then fill in.</t>
  </si>
  <si>
    <t xml:space="preserve">Kolker, A Cinema of Loneliness (1980/2011); Ciment, Kubrick (1980)</t>
  </si>
  <si>
    <t xml:space="preserve">Guilt, violence, and cinephilia. Includes his overlooked 'soft' films.</t>
  </si>
  <si>
    <t xml:space="preserve">Kolker, A Cinema of Loneliness; Thompson &amp; Christie (eds.), Scorsese on Scorsese (1989)</t>
  </si>
  <si>
    <t xml:space="preserve">The 1970s run is one of the greatest ever. Then the gamble years.</t>
  </si>
  <si>
    <t xml:space="preserve">Cowie, Coppola (1989); Lewis, Whom God Wishes to Destroy (1995)</t>
  </si>
  <si>
    <t xml:space="preserve">Overlapping sound, ensembles, and genre deconstruction. Magnolia (a 5-star for you) comes from Nashville and Short Cuts.</t>
  </si>
  <si>
    <t xml:space="preserve">Self, Robert Altman's Subliminal Reality (2002); Zuckoff, Robert Altman: The Oral Biography (2009)</t>
  </si>
  <si>
    <t xml:space="preserve">Humane, shaggy 1970s character pieces. The Holdovers (a 5-star for you) is a direct homage.</t>
  </si>
  <si>
    <t xml:space="preserve">Biskind, Easy Riders, Raging Bulls; Dawson, Being Hal Ashby (2009)</t>
  </si>
  <si>
    <t xml:space="preserve">New York, institutions, and conscience. A Few Good Men (a 5-star for you) is in this tradition.</t>
  </si>
  <si>
    <t xml:space="preserve">Lumet, Making Movies (1995); Cunningham, Sidney Lumet: Film and Literary Vision (2001)</t>
  </si>
  <si>
    <t xml:space="preserve">You've seen a lot of him, so this lists gaps and deep cuts alongside the essentials.</t>
  </si>
  <si>
    <t xml:space="preserve">Buckland, Directed by Steven Spielberg (2006); Morris, The Cinema of Steven Spielberg (2007)</t>
  </si>
  <si>
    <t xml:space="preserve">Split diopters, voyeurism, and Hitchcock remixed. The Untouchables is a 5-star for you.</t>
  </si>
  <si>
    <t xml:space="preserve">Bliss, Brian De Palma (1983); your 'Eruptions of Corruptions' list</t>
  </si>
  <si>
    <t xml:space="preserve">Widescreen siege films and synth scores. The Thing is a 5-star for you.</t>
  </si>
  <si>
    <t xml:space="preserve">Conrich &amp; Woods (eds.), The Cinema of John Carpenter (2004)</t>
  </si>
  <si>
    <t xml:space="preserve">You rated Blue Velvet, Inland Empire, and Twin Peaks 5 stars. Complete the set.</t>
  </si>
  <si>
    <t xml:space="preserve">Chion, David Lynch (1995); Rodley (ed.), Lynch on Lynch (1997)</t>
  </si>
  <si>
    <t xml:space="preserve">From venereal horror to identity thrillers.</t>
  </si>
  <si>
    <t xml:space="preserve">Rodley (ed.), Cronenberg on Cronenberg (1992); Beard, The Artist as Monster (2001)</t>
  </si>
  <si>
    <t xml:space="preserve">You gave Hudsucker, Raising Arizona, and Lebowski 5 stars. Here are the rest.</t>
  </si>
  <si>
    <t xml:space="preserve">Palmer, Joel and Ethan Coen (2004); Rowell, The Brothers Grim (2007)</t>
  </si>
  <si>
    <t xml:space="preserve">Do the Right Thing is a 5-star for you. The rest of the joints follow.</t>
  </si>
  <si>
    <t xml:space="preserve">Guerrero, Do the Right Thing (BFI Classics, 2001); Massood, Black City Cinema (2003)</t>
  </si>
  <si>
    <t xml:space="preserve">Deadpan, drifting cool. Ghost Dog is a 5-star for you.</t>
  </si>
  <si>
    <t xml:space="preserve">Hertzberg (ed.), Jim Jarmusch: Interviews (2001); Suárez, Jim Jarmusch (2007)</t>
  </si>
  <si>
    <t xml:space="preserve">Time, talk, and hanging out. Waking Life and the Befores are 5-stars for you.</t>
  </si>
  <si>
    <t xml:space="preserve">Johnson, Richard Linklater (2012); your 'Linklater ranked' list</t>
  </si>
  <si>
    <t xml:space="preserve">A restless experimenter who moves between studio and indie. Includes the fragmented-editing trilogy.</t>
  </si>
  <si>
    <t xml:space="preserve">Baker, Steven Soderbergh (2011); your 'Soderbergh ranked' list</t>
  </si>
  <si>
    <t xml:space="preserve">Magnolia and Punch-Drunk Love are 5-stars for you. The later films are the next step.</t>
  </si>
  <si>
    <t xml:space="preserve">Sperb, Blossoms and Blood: Postmodern Media Culture and the Films of Paul Thomas Anderson (2013); your PTA lists</t>
  </si>
  <si>
    <t xml:space="preserve">Philosophy (Heidegger) in images. Tree of Life is a 5-star for you.</t>
  </si>
  <si>
    <t xml:space="preserve">Morrison &amp; Schur, The Films of Terrence Malick (2003); Critchley, 'Calm: On Terrence Malick's The Thin Red Line' (2002)</t>
  </si>
  <si>
    <t xml:space="preserve">Synecdoche and I'm Thinking of Ending Things are 5-stars for you. Complete the Kaufman-scripted canon.</t>
  </si>
  <si>
    <t xml:space="preserve">Criticism on 'puzzle' and 'mind-game' films (Elsaesser)</t>
  </si>
  <si>
    <t xml:space="preserve">Procedural obsession and digital precision. The Game is a 5-star for you.</t>
  </si>
  <si>
    <t xml:space="preserve">Swallow, Dark Eye: The Films of David Fincher (2003)</t>
  </si>
  <si>
    <t xml:space="preserve">Quiet, place-based American realism.</t>
  </si>
  <si>
    <t xml:space="preserve">Rizov/Reichardt criticism; 'Neo-neorealism' (Scott, NYT 2009)</t>
  </si>
  <si>
    <t xml:space="preserve">Symmetry and melancholy.</t>
  </si>
  <si>
    <t xml:space="preserve">Seitz, The Wes Anderson Collection (2013)</t>
  </si>
  <si>
    <t xml:space="preserve">God's silence, marriage, memory. Start with Seventh Seal and Wild Strawberries, then go deep.</t>
  </si>
  <si>
    <t xml:space="preserve">Cowie; Bergman, Images: My Life in Film (1990); Sontag, 'Bergman's Persona' (1967)</t>
  </si>
  <si>
    <t xml:space="preserve">From neorealist tenderness to carnival memory.</t>
  </si>
  <si>
    <t xml:space="preserve">Bondanella, The Cinema of Federico Fellini (1992)</t>
  </si>
  <si>
    <t xml:space="preserve">The architect of alienation: empty spaces and dead time.</t>
  </si>
  <si>
    <t xml:space="preserve">Chatman, Antonioni (1985); Brunette, The Films of Michelangelo Antonioni (1998)</t>
  </si>
  <si>
    <t xml:space="preserve">The 1960s run first. The late essay films are the final boss.</t>
  </si>
  <si>
    <t xml:space="preserve">MacCabe, Godard: A Portrait of the Artist at 70 (2003); Brody, Everything Is Cinema (2008)</t>
  </si>
  <si>
    <t xml:space="preserve">Truffaut's Antoine Doinel cycle, plus Rohmer's Six Moral Tales and seasons.</t>
  </si>
  <si>
    <t xml:space="preserve">Insdorf, François Truffaut (1978); Crisp, Eric Rohmer: Realist and Moralist (1988)</t>
  </si>
  <si>
    <t xml:space="preserve">Mother of the New Wave, documentary pioneer, and playful essayist.</t>
  </si>
  <si>
    <t xml:space="preserve">Smith, Agnès Varda (1998); Criterion 'The Complete Films of Agnès Varda' (2020)</t>
  </si>
  <si>
    <t xml:space="preserve">'Models,' not actors. Grace through restraint. First Reformed (a 5-star for you) is basically a Bresson remake.</t>
  </si>
  <si>
    <t xml:space="preserve">Bresson, Notes on the Cinematographer (1975); Schrader, Transcendental Style in Film (1972)</t>
  </si>
  <si>
    <t xml:space="preserve">'Everyone has their reasons.' Humanist depth-staging.</t>
  </si>
  <si>
    <t xml:space="preserve">Bazin, Jean Renoir (1971); Sesonske, Jean Renoir: The French Films (1980)</t>
  </si>
  <si>
    <t xml:space="preserve">Just seven features. Watch them in order. Tree of Life to Mirror is a direct line.</t>
  </si>
  <si>
    <t xml:space="preserve">Tarkovsky, Sculpting in Time (1986); Johnson &amp; Petrie, The Films of Andrei Tarkovsky: A Visual Fugue (1994)</t>
  </si>
  <si>
    <t xml:space="preserve">Chance, ethics, and color.</t>
  </si>
  <si>
    <t xml:space="preserve">Insdorf, Double Lives, Second Chances (1999)</t>
  </si>
  <si>
    <t xml:space="preserve">Ecstatic truth: fiction and documentary as the same obsession.</t>
  </si>
  <si>
    <t xml:space="preserve">Cronin (ed.), Herzog on Herzog (2002); Prager, The Cinema of Werner Herzog (2007)</t>
  </si>
  <si>
    <t xml:space="preserve">Forty features in 13 years. Melodrama as social X-ray.</t>
  </si>
  <si>
    <t xml:space="preserve">Elsaesser, Fassbinder's Germany (1996)</t>
  </si>
  <si>
    <t xml:space="preserve">A surrealist in three countries, attacking the bourgeoisie, the Church, and desire itself.</t>
  </si>
  <si>
    <t xml:space="preserve">Buñuel, My Last Sigh (1983); Evans, The Films of Luis Buñuel (1995)</t>
  </si>
  <si>
    <t xml:space="preserve">Melodrama and camp in saturated color.</t>
  </si>
  <si>
    <t xml:space="preserve">Smith, Desire Unlimited (1994/2000); D'Lugo, Pedro Almodóvar (2006)</t>
  </si>
  <si>
    <t xml:space="preserve">Duration, domestic labor, and the #1 film of Sight &amp; Sound 2022.</t>
  </si>
  <si>
    <t xml:space="preserve">Margulies, Nothing Happens: Chantal Akerman's Hyperrealist Everyday (1996)</t>
  </si>
  <si>
    <t xml:space="preserve">Bodies, colonial afterlives, and elliptical sensuality.</t>
  </si>
  <si>
    <t xml:space="preserve">Beugnet, Claire Denis (2004); Mayne, Claire Denis (2005)</t>
  </si>
  <si>
    <t xml:space="preserve">The cold interrogation of the viewer.</t>
  </si>
  <si>
    <t xml:space="preserve">Price &amp; Rhodes (eds.), On Michael Haneke (2010); Wheatley, Michael Haneke's Cinema: The Ethic of the Image (2009)</t>
  </si>
  <si>
    <t xml:space="preserve">Nordic deadpan: tender losers, bare rooms, and rock 'n' roll.</t>
  </si>
  <si>
    <t xml:space="preserve">von Bagh, Aki Kaurismäki (2006)</t>
  </si>
  <si>
    <t xml:space="preserve">Deadpan absurdism about arbitrary social rules.</t>
  </si>
  <si>
    <t xml:space="preserve">Rose, 'Attenberg, Dogtooth and the weird wave of Greek cinema' (Guardian, 2011)</t>
  </si>
  <si>
    <t xml:space="preserve">High and Low is a 5-star for you. The rest of the path is below.</t>
  </si>
  <si>
    <t xml:space="preserve">Richie, The Films of Akira Kurosawa (1965/1998); Prince, The Warrior's Camera (1991)</t>
  </si>
  <si>
    <t xml:space="preserve">Tatami-level cameras, pillow shots, and family dissolving. The Noriko trilogy first.</t>
  </si>
  <si>
    <t xml:space="preserve">Bordwell, Ozu and the Poetics of Cinema (1988); Richie, Ozu (1974)</t>
  </si>
  <si>
    <t xml:space="preserve">Women's suffering in long flowing takes (Mizoguchi) and quiet everyday endurance (Naruse).</t>
  </si>
  <si>
    <t xml:space="preserve">Andrew &amp; Andrew, Kenji Mizoguchi: A Guide to References and Resources (1981); Russell, The Cinema of Naruse Mikio (2008)</t>
  </si>
  <si>
    <t xml:space="preserve">Flight, nature, war, and girls who save the world.</t>
  </si>
  <si>
    <t xml:space="preserve">McCarthy, Hayao Miyazaki: Master of Japanese Animation (1999); Napier, Miyazakiworld (2018)</t>
  </si>
  <si>
    <t xml:space="preserve">Longing, step-printing, and Christopher Doyle's color.</t>
  </si>
  <si>
    <t xml:space="preserve">Teo, Wong Kar-wai (BFI, 2005); Brunette, Wong Kar-wai (2005)</t>
  </si>
  <si>
    <t xml:space="preserve">Genre-blending class rage (Bong) and baroque vengeance (Park).</t>
  </si>
  <si>
    <t xml:space="preserve">Paquet; Jeong, Crossing the Border of Korean Cinema (2011)</t>
  </si>
  <si>
    <t xml:space="preserve">Soju, zooms, repetition, and men embarrassing themselves. Start anywhere; they rhyme.</t>
  </si>
  <si>
    <t xml:space="preserve">Chung, Hong Sang-soo (2012)</t>
  </si>
  <si>
    <t xml:space="preserve">The Koker trilogy, cars, and the blur between reality and fiction.</t>
  </si>
  <si>
    <t xml:space="preserve">Rosenbaum &amp; Saeed-Vafa, Abbas Kiarostami (2003); Nancy, The Evidence of Film (2001)</t>
  </si>
  <si>
    <t xml:space="preserve">The Taiwan triad: history, the city, and loneliness.</t>
  </si>
  <si>
    <t xml:space="preserve">Udden; Anderson; Lim, Tsai Ming-liang and a Cinema of Slowness (2014)</t>
  </si>
  <si>
    <t xml:space="preserve">The Apu trilogy, then the Calcutta trilogy and chamber dramas.</t>
  </si>
  <si>
    <t xml:space="preserve">Robinson, Satyajit Ray: The Inner Eye; Cooper, The Cinema of Satyajit Ray (2000)</t>
  </si>
  <si>
    <t xml:space="preserve">Two 21st-century festival giants: dream-time Thailand and a China transformed.</t>
  </si>
  <si>
    <t xml:space="preserve">Quandt (ed.), Apichatpong Weerasethakul (2009); McGrath, Postsocialist Modernity: Chinese Cinema (2008)</t>
  </si>
  <si>
    <t xml:space="preserve">Operatic close-ups and Morricone.</t>
  </si>
  <si>
    <t xml:space="preserve">Frayling, Sergio Leone: Something to Do with Death (2000)</t>
  </si>
  <si>
    <t xml:space="preserve">Intimate British dramas, then epic scale.</t>
  </si>
  <si>
    <t xml:space="preserve">Silver &amp; Ursini, David Lean and His Films (1974); Brownlow, David Lean (1996)</t>
  </si>
  <si>
    <t xml:space="preserve">Oppenheimer is a 5-star for you. The modern cerebral blockbuster.</t>
  </si>
  <si>
    <t xml:space="preserve">Joy, The Traumatic Screen; McGowan, The Fictional Christopher Nolan (2012)</t>
  </si>
  <si>
    <t xml:space="preserve">Pulp remix. Watch the films he steals from next to his own (see 08 Niches).</t>
  </si>
  <si>
    <t xml:space="preserve">Dawson, Quentin Tarantino: The Cinema of Cool (1995); your 'Tarantino rank' list</t>
  </si>
  <si>
    <t xml:space="preserve">Professionals, codes, and loneliness in trench coats and nightscapes. Mann openly inherits Melville.</t>
  </si>
  <si>
    <t xml:space="preserve">Vincendeau, Jean-Pierre Melville; Rybin, The Cinema of Michael Mann (2007)</t>
  </si>
  <si>
    <t xml:space="preserve">The Graduate is a 5-star for you. The improv-bred duo's films as directors.</t>
  </si>
  <si>
    <t xml:space="preserve">Harris, Mike Nichols: A Life (2021)</t>
  </si>
  <si>
    <t xml:space="preserve">The godfather of American independent film: raw, improvised-feeling emotional marathons.</t>
  </si>
  <si>
    <t xml:space="preserve">Carney, The Films of John Cassavetes: Pragmatism, Modernism, and the Movies (1994)</t>
  </si>
  <si>
    <t xml:space="preserve">The films Bazin used to argue for depth of field, the long take, and respect for reality.</t>
  </si>
  <si>
    <t xml:space="preserve">Bazin, What Is Cinema? (1958–62); Kracauer, Theory of Film: The Redemption of Physical Reality (1960)</t>
  </si>
  <si>
    <t xml:space="preserve">Meaning through collision. Watch alongside the essays.</t>
  </si>
  <si>
    <t xml:space="preserve">Eisenstein, Film Form &amp; The Film Sense; Vertov, Kino-Eye; Bordwell, The Cinema of Eisenstein (1993)</t>
  </si>
  <si>
    <t xml:space="preserve">Deleuze's hinge: after WWII, neorealism and the new waves free time from action.</t>
  </si>
  <si>
    <t xml:space="preserve">Deleuze, Cinema 1: The Movement-Image (1983) &amp; Cinema 2: The Time-Image (1985)</t>
  </si>
  <si>
    <t xml:space="preserve">Schrader's triad, then the durational art cinema it predicted.</t>
  </si>
  <si>
    <t xml:space="preserve">Schrader, Transcendental Style in Film: Ozu, Bresson, Dreyer (1972; rev. 2018); Flanagan, 'Towards an Aesthetic of Slow' (2008); de Luca &amp; Jorge (eds.), Slow Cinema (2016)</t>
  </si>
  <si>
    <t xml:space="preserve">The Hitchcock and Sternberg films Mulvey analyzes, then films that answer her.</t>
  </si>
  <si>
    <t xml:space="preserve">Mulvey, 'Visual Pleasure and Narrative Cinema' (Screen, 1975); Modleski, The Women Who Knew Too Much (1988)</t>
  </si>
  <si>
    <t xml:space="preserve">A chronological path through women directors, from Guy-Blaché to the present.</t>
  </si>
  <si>
    <t xml:space="preserve">Kuhn, Women's Pictures (1982); Mayne, The Woman at the Keyhole (1990); Cousins, Women Make Film (2018 series)</t>
  </si>
  <si>
    <t xml:space="preserve">The Final Girl, the monstrous-feminine, and 'body genres.'</t>
  </si>
  <si>
    <t xml:space="preserve">Clover, Men, Women, and Chain Saws (1992); Creed, The Monstrous-Feminine (1993); Williams, 'Film Bodies: Gender, Genre, and Excess' (1991)</t>
  </si>
  <si>
    <t xml:space="preserve">Oscar Micheaux and independent Black filmmaking under Jim Crow, against Hollywood's stereotypes.</t>
  </si>
  <si>
    <t xml:space="preserve">Bogle, Toms, Coons, Mulattoes, Mammies, and Bucks (1973); Bowser &amp; Spence, Writing Himself into History: Oscar Micheaux (2000); Stewart, Migrating to the Movies (2005)</t>
  </si>
  <si>
    <t xml:space="preserve">Black UCLA film students of the 1970s–80s who rejected Hollywood and Blaxploitation.</t>
  </si>
  <si>
    <t xml:space="preserve">Field, Horak &amp; Stewart (eds.), L.A. Rebellion: Creating a New Black Cinema (2015); UCLA Film &amp; Television Archive restorations</t>
  </si>
  <si>
    <t xml:space="preserve">Black audiences, Black heroes, white money. Then the critiques and homages.</t>
  </si>
  <si>
    <t xml:space="preserve">Guerrero, Framing Blackness: The African American Image in Film (1993); Lawrence, Blaxploitation Films of the 1970s (2007)</t>
  </si>
  <si>
    <t xml:space="preserve">From the 'New Black Cinema' and hood films to Moonlight and Get Out.</t>
  </si>
  <si>
    <t xml:space="preserve">Massood, Black City Cinema (2003); Diawara (ed.), Black American Cinema (1993)</t>
  </si>
  <si>
    <t xml:space="preserve">Films made in exile or between cultures.</t>
  </si>
  <si>
    <t xml:space="preserve">Naficy, An Accented Cinema: Exilic and Diasporic Filmmaking (2001); Marks, The Skin of the Film (2000)</t>
  </si>
  <si>
    <t xml:space="preserve">Stories by Indigenous filmmakers, not about them.</t>
  </si>
  <si>
    <t xml:space="preserve">Raheja, Reservation Reelism (2010); Wood, Native Features (2008)</t>
  </si>
  <si>
    <t xml:space="preserve">Queerness under the censors: subtext, codes, and tragic endings.</t>
  </si>
  <si>
    <t xml:space="preserve">Russo, The Celluloid Closet (1981; doc 1995); Dyer, Now You See It (1990)</t>
  </si>
  <si>
    <t xml:space="preserve">Defiant, formally radical queer film around the AIDS crisis, and its descendants.</t>
  </si>
  <si>
    <t xml:space="preserve">Rich, 'New Queer Cinema' (Sight &amp; Sound/Village Voice, 1992); Rich, New Queer Cinema: The Director's Cut (2013)</t>
  </si>
  <si>
    <t xml:space="preserve">Films that trick protagonists and viewers alike. Jacob's Ladder, The Game, and Synecdoche are 5-stars for you.</t>
  </si>
  <si>
    <t xml:space="preserve">Elsaesser, 'The Mind-Game Film' in Buckland (ed.), Puzzle Films (2009)</t>
  </si>
  <si>
    <t xml:space="preserve">Jameson's 'nostalgia mode': pastiche, genre remix, and simulated pasts.</t>
  </si>
  <si>
    <t xml:space="preserve">Jameson, Postmodernism, or, the Cultural Logic of Late Capitalism (1991); Hutcheon, The Politics of Postmodernism (1989)</t>
  </si>
  <si>
    <t xml:space="preserve">Ensembles bound by chance. Magnolia is a 5-star for you.</t>
  </si>
  <si>
    <t xml:space="preserve">Bordwell, The Way Hollywood Tells It (2006) and 'Mutual Friends and Chronologies of Chance' (2006) on network narratives; Quart, 'Networked' (Film Comment, 2005)</t>
  </si>
  <si>
    <t xml:space="preserve">The midnight-movie canon and 'so bad it's good,' taken seriously.</t>
  </si>
  <si>
    <t xml:space="preserve">Sconce, ''Trashing' the Academy: Taste, Excess, and an Emerging Politics of Cinematic Style' (Screen, 1995); Hoberman &amp; Rosenbaum, Midnight Movies (1983)</t>
  </si>
  <si>
    <t xml:space="preserve">From roadshow sex-hygiene films to Corman, drive-ins, and 42nd Street.</t>
  </si>
  <si>
    <t xml:space="preserve">Schaefer, Bold! Daring! Shocking! True!: A History of Exploitation Films, 1919–1959 (1999); American Grindhouse (doc, 2010)</t>
  </si>
  <si>
    <t xml:space="preserve">The case for taking action journeymen seriously as artists.</t>
  </si>
  <si>
    <t xml:space="preserve">Walker, 'Vulgar Auteurism' (Mubi Notebook, 2013); Film Comment 'Vulgar Auteurism' debates (2013)</t>
  </si>
  <si>
    <t xml:space="preserve">Cheap DIY cameras, improvised talk, and twentysomething drift.</t>
  </si>
  <si>
    <t xml:space="preserve">Taubin, 'All Talk?' (Film Comment, 2007)</t>
  </si>
  <si>
    <t xml:space="preserve">Wolf of Wall Street is a 5-star for you. This traces capitalism on screen from Greed to Margin Call.</t>
  </si>
  <si>
    <t xml:space="preserve">Cinema &amp; economics courses (e.g., 'Economics through Film' syllabi); Hoberman on finance films; your 'Economics' list</t>
  </si>
  <si>
    <t xml:space="preserve">Strikes, shifts, and the dignity or indignity of work.</t>
  </si>
  <si>
    <t xml:space="preserve">Zaniello, Working Stiffs, Union Maids, Reds, and Riffraff: An Expanded Guide to Films about Labor (2003)</t>
  </si>
  <si>
    <t xml:space="preserve">Campaigns, Congress, and corruption. Pairs with your Lumet 'government curmudgeons' list.</t>
  </si>
  <si>
    <t xml:space="preserve">Christensen &amp; Haas, Projecting Politics: Political Messages in American Films (2005); your 'Politics in America' list</t>
  </si>
  <si>
    <t xml:space="preserve">Deadlines, sources, and the fourth estate.</t>
  </si>
  <si>
    <t xml:space="preserve">Ehrlich, Journalism in the Movies (2004); Good, Journalism Ethics Goes to the Movies (2008)</t>
  </si>
  <si>
    <t xml:space="preserve">Saturday Night (a 5-star for you) belongs here: TV, celebrity, and the machine.</t>
  </si>
  <si>
    <t xml:space="preserve">Postman, Amusing Ourselves to Death (1985) as a companion; your 'Late Night' list</t>
  </si>
  <si>
    <t xml:space="preserve">A Few Good Men is a 5-star for you. The courtroom canon.</t>
  </si>
  <si>
    <t xml:space="preserve">Asimow &amp; Mader, Law and Popular Culture (2004); Bergman &amp; Asimow, Reel Justice (1996); ABA 'Top 25 Legal Movies' (2008)</t>
  </si>
  <si>
    <t xml:space="preserve">Shawshank is a 5-star for you. The great prison films around the world.</t>
  </si>
  <si>
    <t xml:space="preserve">Rafter, Shots in the Mirror: Crime Films and Society (2000)</t>
  </si>
  <si>
    <t xml:space="preserve">Films philosophy courses assign. Waking Life and My Dinner with Andre are 5-stars for you.</t>
  </si>
  <si>
    <t xml:space="preserve">Falzon, Philosophy Goes to the Movies (2002/2014); Mulhall, On Film (2002); Wartenberg, Thinking on Screen (2007); your 'Questions and Thinking' list</t>
  </si>
  <si>
    <t xml:space="preserve">First Reformed is a 5-star for you. Its lineage runs from Dreyer to Scorsese.</t>
  </si>
  <si>
    <t xml:space="preserve">Schrader, Transcendental Style; Deacy &amp; Ortiz, Theology and Film (2008)</t>
  </si>
  <si>
    <t xml:space="preserve">Stutz is a 5-star for you. Psychiatry, depression, and the inner life.</t>
  </si>
  <si>
    <t xml:space="preserve">Wedding &amp; Niemiec, Movies and Mental Illness (2014); Stutz (doc)</t>
  </si>
  <si>
    <t xml:space="preserve">Castaways, lighthouse keepers, and lonely city dwellers. Cast Away is a 5-star for you.</t>
  </si>
  <si>
    <t xml:space="preserve">Your 'Films About Isolation' list; Bergman &amp; Antonioni criticism on alienation</t>
  </si>
  <si>
    <t xml:space="preserve">Time travel, loops, and memory mosaics.</t>
  </si>
  <si>
    <t xml:space="preserve">Your 'Movies That Play With Time' list; Cameron, 'Modular Narratives' (2008)</t>
  </si>
  <si>
    <t xml:space="preserve">Oppenheimer is a 5-star for you. Real and fictional science.</t>
  </si>
  <si>
    <t xml:space="preserve">Kirby, Lab Coats in Hollywood (2011); your 'Chemistry' and 'Physics' lists</t>
  </si>
  <si>
    <t xml:space="preserve">Thinking machines, networks, and online life.</t>
  </si>
  <si>
    <t xml:space="preserve">Bukatman, Terminal Identity; Shaviro, Post-Cinematic Affect (2010)</t>
  </si>
  <si>
    <t xml:space="preserve">From Godzilla to Oppenheimer.</t>
  </si>
  <si>
    <t xml:space="preserve">Shapiro, Atomic Bomb Cinema (2002); Evans, Celluloid Mushroom Clouds (1998)</t>
  </si>
  <si>
    <t xml:space="preserve">Adolescence around the world.</t>
  </si>
  <si>
    <t xml:space="preserve">Shary, Generation Multiplex: The Image of Youth in American Cinema (2002/2014)</t>
  </si>
  <si>
    <t xml:space="preserve">The Holdovers, Detachment, and Good Will Hunting are 5-stars for you. Here's their family tree.</t>
  </si>
  <si>
    <t xml:space="preserve">Dalton, The Hollywood Curriculum: Teachers in the Movies (2004/2010)</t>
  </si>
  <si>
    <t xml:space="preserve">Marriage Story is a 5-star for you. Here's its lineage.</t>
  </si>
  <si>
    <t xml:space="preserve">Cavell, Pursuits of Happiness; Shumway, Modern Love (2003)</t>
  </si>
  <si>
    <t xml:space="preserve">Ikiru first.</t>
  </si>
  <si>
    <t xml:space="preserve">Chivers, The Silvering Screen (2011)</t>
  </si>
  <si>
    <t xml:space="preserve">The Pursuit of Happyness and Hook are 5-stars for you.</t>
  </si>
  <si>
    <t xml:space="preserve">Criticism on family drama; Kore-eda scholarship</t>
  </si>
  <si>
    <t xml:space="preserve">Freedom, flight, and America seen through a windshield.</t>
  </si>
  <si>
    <t xml:space="preserve">Laderman, Driving Visions: Exploring the Road Movie (2002); Cohan &amp; Hark (eds.), The Road Movie Book (1997)</t>
  </si>
  <si>
    <t xml:space="preserve">The most filmed city, decade by decade.</t>
  </si>
  <si>
    <t xml:space="preserve">Sanders, Celluloid Skyline: New York and the Movies (2001)</t>
  </si>
  <si>
    <t xml:space="preserve">The city that makes movies, as seen by the movies.</t>
  </si>
  <si>
    <t xml:space="preserve">Andersen, Los Angeles Plays Itself (2003); Davis, City of Quartz (1990)</t>
  </si>
  <si>
    <t xml:space="preserve">Fog, hills, and Hitchcock.</t>
  </si>
  <si>
    <t xml:space="preserve">Your 'San Francisco' list; Rhodes on Vertigo locations</t>
  </si>
  <si>
    <t xml:space="preserve">Two cities that cinema keeps returning to.</t>
  </si>
  <si>
    <t xml:space="preserve">Hay, Paris and the Movies; Russell, Classical Japanese Cinema (2011)</t>
  </si>
  <si>
    <t xml:space="preserve">Rudy is a 5-star for you. The sports canon beyond underdog uplift.</t>
  </si>
  <si>
    <t xml:space="preserve">Crosson, Sport and Film (2013); your 'Sports' list</t>
  </si>
  <si>
    <t xml:space="preserve">Fictional bands and real legends.</t>
  </si>
  <si>
    <t xml:space="preserve">Your 'Music' and 'Fictitious Alternative Music Biopics' lists</t>
  </si>
  <si>
    <t xml:space="preserve">Ratatouille is a 5-star for you. Food as love, class, and art.</t>
  </si>
  <si>
    <t xml:space="preserve">Bower (ed.), Reel Food: Essays on Food and Film (2004)</t>
  </si>
  <si>
    <t xml:space="preserve">Cinema looking in the mirror.</t>
  </si>
  <si>
    <t xml:space="preserve">Ames, Movies About the Movies: Hollywood Reflected (1997); Stam, Reflexivity in Film and Literature (1985)</t>
  </si>
  <si>
    <t xml:space="preserve">Great novels and how cinema translated them.</t>
  </si>
  <si>
    <t xml:space="preserve">Your 'American Literature' list; Leitch, Film Adaptation and Its Discontents (2007)</t>
  </si>
  <si>
    <t xml:space="preserve">A chronological path through US history as told by film.</t>
  </si>
  <si>
    <t xml:space="preserve">Rosenstone, History on Film/Film on History (2006); Carnes (ed.), Past Imperfect: History According to the Movies (1995); your 'American History' list</t>
  </si>
  <si>
    <t xml:space="preserve">Story time equals screen time, or nearly does.</t>
  </si>
  <si>
    <t xml:space="preserve">Bordwell, The Way Hollywood Tells It (2006), on real-time narration</t>
  </si>
  <si>
    <t xml:space="preserve">One room, lots of pressure.</t>
  </si>
  <si>
    <t xml:space="preserve">Stage-to-screen and chamber-drama criticism; your 'Film Plays' list</t>
  </si>
  <si>
    <t xml:space="preserve">Several stories, one film.</t>
  </si>
  <si>
    <t xml:space="preserve">Genre criticism on the omnibus film</t>
  </si>
  <si>
    <t xml:space="preserve">Real time passing on screen.</t>
  </si>
  <si>
    <t xml:space="preserve">Criticism on durational production</t>
  </si>
  <si>
    <t xml:space="preserve">Pressure, sonar pings, and claustrophobia.</t>
  </si>
  <si>
    <t xml:space="preserve">Genre criticism</t>
  </si>
  <si>
    <t xml:space="preserve">German alpine melodramas of the 1920s–30s, then modern climbing films.</t>
  </si>
  <si>
    <t xml:space="preserve">Rentschler, 'Mountains and Modernity: Relocating the Bergfilm' (New German Critique, 1990)</t>
  </si>
  <si>
    <t xml:space="preserve">The 1970s Irwin Allen era and its descendants.</t>
  </si>
  <si>
    <t xml:space="preserve">Keane, Disaster Movies: The Cinema of Catastrophe (2001)</t>
  </si>
  <si>
    <t xml:space="preserve">Giant monsters, from atomic allegory to Shin Godzilla.</t>
  </si>
  <si>
    <t xml:space="preserve">Tsutsui, Godzilla on My Mind (2004); Ragone, Eiji Tsuburaya: Master of Monsters (2007)</t>
  </si>
  <si>
    <t xml:space="preserve">Decay, religion, and grotesques below the Mason–Dixon line.</t>
  </si>
  <si>
    <t xml:space="preserve">Graham, Framing the South (2001)</t>
  </si>
  <si>
    <t xml:space="preserve">Early-1990s urban realism.</t>
  </si>
  <si>
    <t xml:space="preserve">Massood, Black City Cinema (2003); Watkins, Representing: Hip Hop Culture and the Production of Black Cinema (1998)</t>
  </si>
  <si>
    <t xml:space="preserve">Scenes, tribes, and the kids on the margins.</t>
  </si>
  <si>
    <t xml:space="preserve">Subculture studies (Hebdige, Subculture: The Meaning of Style, 1979, as a companion)</t>
  </si>
  <si>
    <t xml:space="preserve">You watch them to spend time with the people. Dazed and Confused is the textbook case.</t>
  </si>
  <si>
    <t xml:space="preserve">Tarantino's 'hangout movie' concept (interviews, 2012 onward); Film criticism on 'plotless' cinema</t>
  </si>
  <si>
    <t xml:space="preserve">Competent men doing competent things. Heat, submarines, and Tom Hanks.</t>
  </si>
  <si>
    <t xml:space="preserve">Popular criticism (e.g., The Ringer 'Dad movie' coverage)</t>
  </si>
  <si>
    <t xml:space="preserve">Cities after dark, lit in neon and sodium vapor.</t>
  </si>
  <si>
    <t xml:space="preserve">Criticism on Mann, Refn, and Wong Kar-wai night photography</t>
  </si>
  <si>
    <t xml:space="preserve">The films that built the midnight circuit, starting with El Topo at the Elgin Theater in 1970.</t>
  </si>
  <si>
    <t xml:space="preserve">Hoberman &amp; Rosenbaum, Midnight Movies (1983)</t>
  </si>
  <si>
    <t xml:space="preserve">Films the UK prosecuted under the Obscene Publications Act in the 1980s. Horror history, strong stomach needed.</t>
  </si>
  <si>
    <t xml:space="preserve">Egan, Trash or Treasure? Censorship and the Changing Meanings of the Video Nasties (2007); Video Nasties: Moral Panic, Censorship &amp; Videotape (doc, 2010)</t>
  </si>
  <si>
    <t xml:space="preserve">The Canadian tax-shelter boom of 1974–82.</t>
  </si>
  <si>
    <t xml:space="preserve">Vatnsdal, They Came from Within: A History of Canadian Horror Cinema (2004)</t>
  </si>
  <si>
    <t xml:space="preserve">Ecstatic, violent, psychedelic Japanese genre cinema (non-explicit picks).</t>
  </si>
  <si>
    <t xml:space="preserve">Sharp, Behind the Pink Curtain (2008); Macias, The Ultimate Guide to Japanese Yakuza Films (2003)</t>
  </si>
  <si>
    <t xml:space="preserve">Watch in pairs: original, then remake.</t>
  </si>
  <si>
    <t xml:space="preserve">Leitch, 'Twice-Told Tales: Disavowal and the Rhetoric of the Remake' (1990); Verevis, Film Remakes (2006)</t>
  </si>
  <si>
    <t xml:space="preserve">The films he steals from, remixes, and champions.</t>
  </si>
  <si>
    <t xml:space="preserve">Tarantino, Cinema Speculation (2022); interviews on influences</t>
  </si>
  <si>
    <t xml:space="preserve">First features that already contained everything.</t>
  </si>
  <si>
    <t xml:space="preserve">Your 'Director Debuts Ranked' list</t>
  </si>
  <si>
    <t xml:space="preserve">Leaves, sweaters, and harvest melancholy.</t>
  </si>
  <si>
    <t xml:space="preserve">Your 'Fall Foliage Films' list</t>
  </si>
  <si>
    <t xml:space="preserve">Home Alone 2 is a 5-star for you. From the sentimental to the subversive.</t>
  </si>
  <si>
    <t xml:space="preserve">Your 'Holiday Watchlist' and 'Xmas 2023' lists</t>
  </si>
  <si>
    <t xml:space="preserve">Snowbound dread and frozen landscapes.</t>
  </si>
  <si>
    <t xml:space="preserve">Your 'Comfortably Cold' list</t>
  </si>
  <si>
    <t xml:space="preserve">Low-stakes warmth for a rough week.</t>
  </si>
  <si>
    <t xml:space="preserve">Your 'My Comfort Films' list</t>
  </si>
  <si>
    <t xml:space="preserve">The decennial poll that defines the art-film canon. This is a selection from its top 100, in viewing order rather than rank order.</t>
  </si>
  <si>
    <t xml:space="preserve">BFI Sight &amp; Sound, 'The Greatest Films of All Time' critics' poll (Dec 2022), 1,639 voters</t>
  </si>
  <si>
    <t xml:space="preserve">The mainstream American canon. You've probably seen many of these; it works as a gap checker.</t>
  </si>
  <si>
    <t xml:space="preserve">American Film Institute, AFI's 100 Years...100 Movies — 10th Anniversary Edition (2007)</t>
  </si>
  <si>
    <t xml:space="preserve">The British canon as voted by the UK film industry.</t>
  </si>
  <si>
    <t xml:space="preserve">British Film Institute industry poll, 'BFI 100' (1999)</t>
  </si>
  <si>
    <t xml:space="preserve">Read Ebert's essay after each film. This is the best free film-appreciation course there is.</t>
  </si>
  <si>
    <t xml:space="preserve">Ebert, The Great Movies (vols. I–IV, 2002–2016) and RogerEbert.com Great Movies essays</t>
  </si>
  <si>
    <t xml:space="preserve">Kubrick's only published favorites list.</t>
  </si>
  <si>
    <t xml:space="preserve">Kubrick's list for Cinema magazine (1963), as reported by Ciment and others</t>
  </si>
  <si>
    <t xml:space="preserve">Tarkovsky's personal pantheon, heavy on Bresson and Bergman.</t>
  </si>
  <si>
    <t xml:space="preserve">List given to Leonid Kozlov (1972), published in Kozlov's memoir essay 'The Ten' (Tarkovsky's list of great films)</t>
  </si>
  <si>
    <t xml:space="preserve">Criterion's core art-house identity: a curated tour through the kind of films it canonizes.</t>
  </si>
  <si>
    <t xml:space="preserve">The Criterion Collection catalog (criterion.com), plus The Criterion Channel. Editions go in and out of print, so check current availability.</t>
  </si>
  <si>
    <t xml:space="preserve">The restored-cult-film pipeline: gialli, yakuza sagas, and cult favorites.</t>
  </si>
  <si>
    <t xml:space="preserve">Arrow Video / Arrow Films catalog focus (arrowfilms.com): giallo, Italian horror, Japanese crime, and 80s–90s cult. A lens on the catalog, not a checklist of specific editions.</t>
  </si>
  <si>
    <t xml:space="preserve">British cinema's weird, overlooked corners.</t>
  </si>
  <si>
    <t xml:space="preserve">BFI Flipside label (launched 2009): rediscovered, neglected British films</t>
  </si>
  <si>
    <t xml:space="preserve">A UK counterpart to Criterion, strong on Murnau, Lang, and Japanese cinema.</t>
  </si>
  <si>
    <t xml:space="preserve">Eureka Entertainment's Masters of Cinema series catalog focus: silent German cinema, Japanese classics, and auteur rarities</t>
  </si>
  <si>
    <t xml:space="preserve">The best route into Czech, Polish, and Hungarian modernism.</t>
  </si>
  <si>
    <t xml:space="preserve">Second Run DVD/Blu-ray (UK) catalog focus: Central and Eastern European cinema</t>
  </si>
  <si>
    <t xml:space="preserve">Scorsese-backed restorations of neglected films from the Global South and beyond.</t>
  </si>
  <si>
    <t xml:space="preserve">The Film Foundation's World Cinema Project (founded 2007); Criterion's 'Martin Scorsese's World Cinema Project' box sets</t>
  </si>
  <si>
    <t xml:space="preserve">The distributor that defined 2010s–20s indie taste.</t>
  </si>
  <si>
    <t xml:space="preserve">A24 catalog; your 'A24 ranked' lists</t>
  </si>
  <si>
    <t xml:space="preserve">One film per week, in the order a typical intro course teaches concepts: form, mise-en-scène, cinematography, editing, sound, narrative, genre, auteur, national cinema, documentary, experimental.</t>
  </si>
  <si>
    <t xml:space="preserve">Composite of commonly assigned titles in intro courses built on Bordwell &amp; Thompson Film Art, Corrigan &amp; White The Film Experience, and Monaco How to Read a Film. Not a specific university's syllabus.</t>
  </si>
  <si>
    <t xml:space="preserve">A chronological survey you can do at one or two films a week.</t>
  </si>
  <si>
    <t xml:space="preserve">Composite based on the chapter order of Thompson &amp; Bordwell, Film History: An Introduction, and Cousins, The Story of Film: An Odyssey (2011). Not a specific university's syllabus.</t>
  </si>
  <si>
    <t xml:space="preserve">US cinema from Edison to streaming, one landmark per week.</t>
  </si>
  <si>
    <t xml:space="preserve">Composite based on Sklar, Movie-Made America; Belton, American Cinema/American Culture; Schatz, The Genius of the System. Not a specific university's syllabus.</t>
  </si>
  <si>
    <t xml:space="preserve">Nightmare logic, split identities, and the uncanny.</t>
  </si>
  <si>
    <t xml:space="preserve">Built from your Letterboxd ratings (5-star films) and the influence lines in this guide</t>
  </si>
  <si>
    <t xml:space="preserve">Theater, self-consciousness, and mortality.</t>
  </si>
  <si>
    <t xml:space="preserve">Talk as adventure, and philosophy as cinema.</t>
  </si>
  <si>
    <t xml:space="preserve">The 1970s epic tradition and what it borrowed from.</t>
  </si>
  <si>
    <t xml:space="preserve">The films PTA grew out of.</t>
  </si>
  <si>
    <t xml:space="preserve">The Coens' screwball and Sturges influences.</t>
  </si>
  <si>
    <t xml:space="preserve">1960s–70s disaffection and humane character comedy.</t>
  </si>
  <si>
    <t xml:space="preserve">Spiritual cinema: grace, doubt, and cosmos.</t>
  </si>
  <si>
    <t xml:space="preserve">Kurosawa's crime films and the samurai-cool line into Melville and Jarmusch.</t>
  </si>
  <si>
    <t xml:space="preserve">Paranoid, apocalyptic sci-fi and horror.</t>
  </si>
  <si>
    <t xml:space="preserve">Stylish, music-cut crime capers and chases.</t>
  </si>
  <si>
    <t xml:space="preserve">Race, justice, and the American street.</t>
  </si>
  <si>
    <t xml:space="preserve">Neorealism and social realism: dignity against systems.</t>
  </si>
  <si>
    <t xml:space="preserve">Maximalist, genre-smashing, heartfelt pop films.</t>
  </si>
  <si>
    <t xml:space="preserve">Decade</t>
  </si>
  <si>
    <t xml:space="preserve">All Niches</t>
  </si>
  <si>
    <t xml:space="preserve">Letterboxd</t>
  </si>
  <si>
    <t xml:space="preserve">Match Key</t>
  </si>
  <si>
    <t xml:space="preserve">In Cat 01</t>
  </si>
  <si>
    <t xml:space="preserve">In Cat 02</t>
  </si>
  <si>
    <t xml:space="preserve">In Cat 03</t>
  </si>
  <si>
    <t xml:space="preserve">In Cat 04</t>
  </si>
  <si>
    <t xml:space="preserve">In Cat 05</t>
  </si>
  <si>
    <t xml:space="preserve">In Cat 06</t>
  </si>
  <si>
    <t xml:space="preserve">In Cat 07</t>
  </si>
  <si>
    <t xml:space="preserve">In Cat 08</t>
  </si>
  <si>
    <t xml:space="preserve">In Cat 09</t>
  </si>
  <si>
    <t xml:space="preserve">In Cat 10</t>
  </si>
  <si>
    <t xml:space="preserve">Sidney Lumet; Law, courts &amp; justice; Real-time films; Single-location &amp; chamber films; AFI 100 Years...100 Movies (2007 ed.) — selections</t>
  </si>
  <si>
    <t xml:space="preserve">The long take &amp; the oner; World War I</t>
  </si>
  <si>
    <t xml:space="preserve">The movie-brat revolution; 1960s–70s New Wave sci-fi; Stanley Kubrick; AI, computers &amp; the internet; Sight &amp; Sound 2022 Critics' Poll — selections (unranked); AFI 100 Years...100 Movies (2007 ed.) — selections; Because you loved First Reformed &amp; The Tree of Life</t>
  </si>
  <si>
    <t xml:space="preserve">Zombie lineage; Because you loved The Thing, Children of Men &amp; War of the Worlds</t>
  </si>
  <si>
    <t xml:space="preserve">Espionage &amp; Cold War spy; Alfred Hitchcock; BFI 100 Best British Films (1999) — selections</t>
  </si>
  <si>
    <t xml:space="preserve">The global new-wave explosion; French New Wave (Nouvelle Vague); François Truffaut &amp; Éric Rohmer; Coming of age; Paris &amp; Tokyo; Films shot over years; Film debuts that announced a master; The Criterion Collection — art-house starter pack</t>
  </si>
  <si>
    <t xml:space="preserve">Michael Haneke; Hyperlink &amp; network narrative</t>
  </si>
  <si>
    <t xml:space="preserve">The global new-wave explosion; Italian modernism: Fellini, Antonioni, Visconti, Pasolini; Federico Fellini; Deleuze: movement-image to time-image; Movies about movies; Sight &amp; Sound 2022 Critics' Poll — selections (unranked); Because you loved Synecdoche, NY &amp; I'm Thinking of Ending Things</t>
  </si>
  <si>
    <t xml:space="preserve">Mind-game &amp; puzzle films; East–West remakes &amp; lineages</t>
  </si>
  <si>
    <t xml:space="preserve">Classic noir (1941–1958); Billy Wilder; Journalism &amp; the press</t>
  </si>
  <si>
    <t xml:space="preserve">The new millennium canon; Southeast Asian art cinema; Reflexive, performative &amp; essay documentary</t>
  </si>
  <si>
    <t xml:space="preserve">Charlie Kaufman (writer-director); Because you loved Synecdoche, NY &amp; I'm Thinking of Ending Things</t>
  </si>
  <si>
    <t xml:space="preserve">The studio system at its height; Swashbucklers &amp; classic adventure</t>
  </si>
  <si>
    <t xml:space="preserve">Swashbucklers &amp; classic adventure; AFI 100 Years...100 Movies (2007 ed.) — selections</t>
  </si>
  <si>
    <t xml:space="preserve">1980s auteurs against the grain; Martin Scorsese; New York City; Neon-soaked night movies</t>
  </si>
  <si>
    <t xml:space="preserve">Southeast Asian art cinema; Scorsese's World Cinema Project restorations</t>
  </si>
  <si>
    <t xml:space="preserve">The current canon-in-progress; British social realism (1980s–now); Women filmmakers: a counter-canon; Coming of age; Fathers &amp; sons / parents &amp; children; Film debuts that announced a master; A24 — the indie-studio era</t>
  </si>
  <si>
    <t xml:space="preserve">Surrealism &amp; Dada; Luis Buñuel</t>
  </si>
  <si>
    <t xml:space="preserve">Martin Scorsese; American literature adaptations</t>
  </si>
  <si>
    <t xml:space="preserve">New German Cinema; Werner Herzog; Roger Ebert's 'Great Movies' — selections; Because you loved The Godfather, Apocalypse Now &amp; The Untouchables</t>
  </si>
  <si>
    <t xml:space="preserve">Anime as art; Cyberpunk &amp; virtual reality</t>
  </si>
  <si>
    <t xml:space="preserve">New German Cinema; Sirkian &amp; family melodrama; Rainer Werner Fassbinder; History of World Cinema — a two-semester survey</t>
  </si>
  <si>
    <t xml:space="preserve">New German Cinema; Road movies</t>
  </si>
  <si>
    <t xml:space="preserve">High concept &amp; the blockbuster; Space opera &amp; sci-fi spectacle; Horror &amp; gender: Clover, Creed, Williams; Because you loved The Thing, Children of Men &amp; War of the Worlds</t>
  </si>
  <si>
    <t xml:space="preserve">Space opera &amp; sci-fi spectacle; 1980s–90s action</t>
  </si>
  <si>
    <t xml:space="preserve">The studio system at its height; AFI 100 Years...100 Movies (2007 ed.) — selections</t>
  </si>
  <si>
    <t xml:space="preserve">The coming of sound; World War I</t>
  </si>
  <si>
    <t xml:space="preserve">1970s paranoid &amp; conspiracy thrillers; American politics &amp; power; Journalism &amp; the press; American history on film; AFI 100 Years...100 Movies (2007 ed.) — selections</t>
  </si>
  <si>
    <t xml:space="preserve">The current canon-in-progress; Classic &amp; modern Hindi cinema</t>
  </si>
  <si>
    <t xml:space="preserve">Tech-noir &amp; future noir; 1960s–70s New Wave sci-fi; Jean-Luc Godard</t>
  </si>
  <si>
    <t xml:space="preserve">Italian modernism: Fellini, Antonioni, Visconti, Pasolini; Federico Fellini</t>
  </si>
  <si>
    <t xml:space="preserve">Paris &amp; Tokyo; Comfort &amp; feel-good classics</t>
  </si>
  <si>
    <t xml:space="preserve">Postmodern pastiche &amp; the nostalgia film; Coming of age; Hangout movies; AFI 100 Years...100 Movies (2007 ed.) — selections</t>
  </si>
  <si>
    <t xml:space="preserve">Mexican cinema: Golden Age to the Three Amigos; Hyperlink &amp; network narrative</t>
  </si>
  <si>
    <t xml:space="preserve">Michael Haneke; Aging, mortality &amp; grief</t>
  </si>
  <si>
    <t xml:space="preserve">The current canon-in-progress; Contemporary French auteurs; Comedy of remarriage; Law, courts &amp; justice</t>
  </si>
  <si>
    <t xml:space="preserve">1950s: widescreen, Method, and anxiety; Law, courts &amp; justice</t>
  </si>
  <si>
    <t xml:space="preserve">Modern American studio comedy (1978–2015); Television, fame &amp; media</t>
  </si>
  <si>
    <t xml:space="preserve">Soviet Thaw &amp; late Soviet cinema; Andrei Tarkovsky; Faith, doubt &amp; the spiritual</t>
  </si>
  <si>
    <t xml:space="preserve">Scientists &amp; science on film; Because you loved The Thing, Children of Men &amp; War of the Worlds</t>
  </si>
  <si>
    <t xml:space="preserve">The movie-brat revolution; Romantic comedy lineage; AFI 100 Years...100 Movies (2007 ed.) — selections</t>
  </si>
  <si>
    <t xml:space="preserve">Cosmic &amp; Lovecraftian horror; Because you loved The Thing, Children of Men &amp; War of the Worlds</t>
  </si>
  <si>
    <t xml:space="preserve">Stop-motion; Charlie Kaufman (writer-director); Because you loved Synecdoche, NY &amp; I'm Thinking of Ending Things</t>
  </si>
  <si>
    <t xml:space="preserve">Satyajit Ray &amp; Indian parallel cinema; Satyajit Ray</t>
  </si>
  <si>
    <t xml:space="preserve">Satire &amp; black comedy; Romantic comedy lineage; Billy Wilder; New York City; Christmas canon (and anti-canon); Sight &amp; Sound 2022 Critics' Poll — selections (unranked); AFI 100 Years...100 Movies (2007 ed.) — selections</t>
  </si>
  <si>
    <t xml:space="preserve">Cinematography: light, lens &amp; the moving camera; Sound &amp; music; The movie-brat revolution; Vietnam; Francis Ford Coppola; Sight &amp; Sound 2022 Critics' Poll — selections (unranked); AFI 100 Years...100 Movies (2007 ed.) — selections</t>
  </si>
  <si>
    <t xml:space="preserve">Scientists &amp; science on film; Dad movies</t>
  </si>
  <si>
    <t xml:space="preserve">Robert Bresson; Money, markets &amp; economics</t>
  </si>
  <si>
    <t xml:space="preserve">French crime &amp; policier; World War II &amp; the Holocaust; Jean-Pierre Melville &amp; Michael Mann</t>
  </si>
  <si>
    <t xml:space="preserve">Cerebral &amp; hard sci-fi; Christopher Nolan &amp; Denis Villeneuve; Time, memory &amp; loops; Because you loved The Thing, Children of Men &amp; War of the Worlds</t>
  </si>
  <si>
    <t xml:space="preserve">Soviet Thaw &amp; late Soviet cinema; Women filmmakers: a counter-canon</t>
  </si>
  <si>
    <t xml:space="preserve">Postwar realism &amp; art cinema; Polish School &amp; Polish cinema</t>
  </si>
  <si>
    <t xml:space="preserve">Wuxia; Wong Kar-wai</t>
  </si>
  <si>
    <t xml:space="preserve">Classic noir (1941–1958); Heist films</t>
  </si>
  <si>
    <t xml:space="preserve">Cinematography: light, lens &amp; the moving camera; Revisionist western</t>
  </si>
  <si>
    <t xml:space="preserve">Poetic Realism (1930s); Sight &amp; Sound 2022 Critics' Poll — selections (unranked)</t>
  </si>
  <si>
    <t xml:space="preserve">Robert Bresson; Transcendental style &amp; slow cinema; Sight &amp; Sound 2022 Critics' Poll — selections (unranked); Roger Ebert's 'Great Movies' — selections; The Criterion Collection — art-house starter pack</t>
  </si>
  <si>
    <t xml:space="preserve">J-horror &amp; Asian horror; Arrow Video — cult &amp; genre lens</t>
  </si>
  <si>
    <t xml:space="preserve">Golden Age masters (1930s–60s); Yasujirō Ozu; Autumn films</t>
  </si>
  <si>
    <t xml:space="preserve">Ingmar Bergman; Autumn films</t>
  </si>
  <si>
    <t xml:space="preserve">The global new-wave explosion; Italian modernism: Fellini, Antonioni, Visconti, Pasolini; Michelangelo Antonioni; Deleuze: movement-image to time-image; Sight &amp; Sound 2022 Critics' Poll — selections (unranked); History of World Cinema — a two-semester survey</t>
  </si>
  <si>
    <t xml:space="preserve">Screwball comedy; Comedy of remarriage</t>
  </si>
  <si>
    <t xml:space="preserve">The Hollywood screenplay template; Time, memory &amp; loops</t>
  </si>
  <si>
    <t xml:space="preserve">Akira Kurosawa; Because you loved High and Low &amp; Ghost Dog</t>
  </si>
  <si>
    <t xml:space="preserve">Terrence Malick; Road movies; Film debuts that announced a master</t>
  </si>
  <si>
    <t xml:space="preserve">Screwball comedy; Howard Hawks</t>
  </si>
  <si>
    <t xml:space="preserve">Coen Brothers; Anthology &amp; portmanteau films</t>
  </si>
  <si>
    <t xml:space="preserve">French New Wave (Nouvelle Vague); Jean-Luc Godard; Tarantino's source code</t>
  </si>
  <si>
    <t xml:space="preserve">Comedy teams &amp; anarchic comedy; Kubrick's top 10 (1963)</t>
  </si>
  <si>
    <t xml:space="preserve">Mise-en-scène &amp; production design; Stanley Kubrick; Sight &amp; Sound 2022 Critics' Poll — selections (unranked)</t>
  </si>
  <si>
    <t xml:space="preserve">Coen Brothers; Because you loved The Hudsucker Proxy &amp; Raising Arizona</t>
  </si>
  <si>
    <t xml:space="preserve">Third Cinema &amp; Latin American political film; Sight &amp; Sound 2022 Critics' Poll — selections (unranked)</t>
  </si>
  <si>
    <t xml:space="preserve">Yakuza &amp; Japanese crime; Arrow Video — cult &amp; genre lens</t>
  </si>
  <si>
    <t xml:space="preserve">Editing: montage vs. continuity; Soviet montage; Montage theory: Eisenstein, Kuleshov, Vertov; Intro to Film Studies — a 15-week semester; History of World Cinema — a two-semester survey</t>
  </si>
  <si>
    <t xml:space="preserve">Because you loved Jacob's Ladder, Inland Empire &amp; Blue Velvet; Because you loved Synecdoche, NY &amp; I'm Thinking of Ending Things</t>
  </si>
  <si>
    <t xml:space="preserve">Contemporary French auteurs; Claire Denis; Women filmmakers: a counter-canon; Sight &amp; Sound 2022 Critics' Poll — selections (unranked); The Criterion Collection — art-house starter pack</t>
  </si>
  <si>
    <t xml:space="preserve">Walk-and-talk romance; Richard Linklater; Films shot over years</t>
  </si>
  <si>
    <t xml:space="preserve">Walk-and-talk romance; Richard Linklater; Films shot over years; Because you loved Waking Life &amp; My Dinner with Andre</t>
  </si>
  <si>
    <t xml:space="preserve">Sundance, Miramax &amp; the 90s indie; Charlie Kaufman (writer-director); Mind-game &amp; puzzle films</t>
  </si>
  <si>
    <t xml:space="preserve">Satire &amp; black comedy; Hal Ashby, Bob Rafelson &amp; the BBS crowd; American politics &amp; power</t>
  </si>
  <si>
    <t xml:space="preserve">The studio system at its height; World War II &amp; the Holocaust; Bazin &amp; realism: the ontology of the image; AFI 100 Years...100 Movies (2007 ed.) — selections; American Film History — a one-semester survey</t>
  </si>
  <si>
    <t xml:space="preserve">Italian Gothic &amp; supernatural horror; Video nasties; Arrow Video — cult &amp; genre lens</t>
  </si>
  <si>
    <t xml:space="preserve">Postwar realism &amp; art cinema; Italian Neorealism; Bazin &amp; realism: the ontology of the image; Fathers &amp; sons / parents &amp; children; Sight &amp; Sound 2022 Critics' Poll — selections (unranked); Intro to Film Studies — a 15-week semester; Because you loved I, Daniel Blake &amp; The Pursuit of Happyness</t>
  </si>
  <si>
    <t xml:space="preserve">Commedia all'italiana; Heist films</t>
  </si>
  <si>
    <t xml:space="preserve">Coen Brothers; Los Angeles; Hangout movies</t>
  </si>
  <si>
    <t xml:space="preserve">American silent features &amp; Griffith; World War I</t>
  </si>
  <si>
    <t xml:space="preserve">Classic noir (1941–1958); Howard Hawks; American literature adaptations</t>
  </si>
  <si>
    <t xml:space="preserve">1950s: widescreen, Method, and anxiety; Sirkian &amp; family melodrama; Nicholas Ray &amp; Samuel Fuller</t>
  </si>
  <si>
    <t xml:space="preserve">Giallo; Arrow Video — cult &amp; genre lens</t>
  </si>
  <si>
    <t xml:space="preserve">American silent features &amp; Griffith; History of World Cinema — a two-semester survey; American Film History — a one-semester survey</t>
  </si>
  <si>
    <t xml:space="preserve">New German Cinema; Rainer Werner Fassbinder</t>
  </si>
  <si>
    <t xml:space="preserve">Slashers; Canuxploitation &amp; tax-shelter horror; Christmas canon (and anti-canon)</t>
  </si>
  <si>
    <t xml:space="preserve">African cinema: Sembène &amp; after; Accented &amp; diasporic cinema; History of World Cinema — a two-semester survey</t>
  </si>
  <si>
    <t xml:space="preserve">The global new-wave explosion; Cinema Novo (Brazil); History of World Cinema — a two-semester survey</t>
  </si>
  <si>
    <t xml:space="preserve">Italian Gothic &amp; supernatural horror; Anthology &amp; portmanteau films</t>
  </si>
  <si>
    <t xml:space="preserve">Italian Gothic &amp; supernatural horror; Arrow Video — cult &amp; genre lens</t>
  </si>
  <si>
    <t xml:space="preserve">Mise-en-scène &amp; production design; 1980s auteurs against the grain; Tech-noir &amp; future noir; Cyberpunk &amp; virtual reality; Postmodern pastiche &amp; the nostalgia film; AI, computers &amp; the internet; Sight &amp; Sound 2022 Critics' Poll — selections (unranked); AFI 100 Years...100 Movies (2007 ed.) — selections</t>
  </si>
  <si>
    <t xml:space="preserve">Tech-noir &amp; future noir; Christopher Nolan &amp; Denis Villeneuve</t>
  </si>
  <si>
    <t xml:space="preserve">Southeast Asian art cinema; Apichatpong Weerasethakul &amp; Jia Zhangke</t>
  </si>
  <si>
    <t xml:space="preserve">Sundance, Miramax &amp; the 90s indie; Neo-noir; Coen Brothers; Film debuts that announced a master</t>
  </si>
  <si>
    <t xml:space="preserve">Sound &amp; music; 1970s paranoid &amp; conspiracy thrillers; Brian De Palma</t>
  </si>
  <si>
    <t xml:space="preserve">Swinging London &amp; the 60s–70s British art film; Michelangelo Antonioni</t>
  </si>
  <si>
    <t xml:space="preserve">1980s auteurs against the grain; Neo-noir; David Lynch; Postmodern pastiche &amp; the nostalgia film</t>
  </si>
  <si>
    <t xml:space="preserve">Modern American studio comedy (1978–2015); Roadshow, rock &amp; revisionist musicals</t>
  </si>
  <si>
    <t xml:space="preserve">French crime &amp; policier; Heist films; Jean-Pierre Melville &amp; Michael Mann</t>
  </si>
  <si>
    <t xml:space="preserve">Mockumentary; American politics &amp; power</t>
  </si>
  <si>
    <t xml:space="preserve">Hitchcock &amp; the Hitchcockian; Erotic thrillers (1981–1999); Brian De Palma</t>
  </si>
  <si>
    <t xml:space="preserve">Neo-noir; Erotic thrillers (1981–1999); Postmodern pastiche &amp; the nostalgia film</t>
  </si>
  <si>
    <t xml:space="preserve">Left Bank group; Agnès Varda</t>
  </si>
  <si>
    <t xml:space="preserve">Editing: montage vs. continuity; The movie-brat revolution; AFI 100 Years...100 Movies (2007 ed.) — selections; History of World Cinema — a two-semester survey; American Film History — a one-semester survey</t>
  </si>
  <si>
    <t xml:space="preserve">The long take &amp; the oner; Paul Thomas Anderson; Because you loved Magnolia &amp; Punch-Drunk Love</t>
  </si>
  <si>
    <t xml:space="preserve">World War II &amp; the Holocaust; Submarine films</t>
  </si>
  <si>
    <t xml:space="preserve">Poetic Realism (1930s); Jean Renoir</t>
  </si>
  <si>
    <t xml:space="preserve">Indigenous cinema; Fathers &amp; sons / parents &amp; children</t>
  </si>
  <si>
    <t xml:space="preserve">Richard Linklater; Coming of age; Films shot over years</t>
  </si>
  <si>
    <t xml:space="preserve">Black American cinema: 1986 to now; Los Angeles; Hood films; Because you loved Do the Right Thing, Fruitvale Station &amp; American History X</t>
  </si>
  <si>
    <t xml:space="preserve">Yakuza &amp; Japanese crime; Pinku &amp; Japanese cult; Because you loved High and Low &amp; Ghost Dog</t>
  </si>
  <si>
    <t xml:space="preserve">1980s auteurs against the grain; Dystopias &amp; social sci-fi; The Criterion Collection — art-house starter pack; Because you loved The Hudsucker Proxy &amp; Raising Arizona</t>
  </si>
  <si>
    <t xml:space="preserve">Australian New Wave &amp; Ozploitation; Law, courts &amp; justice</t>
  </si>
  <si>
    <t xml:space="preserve">Sports films; Because you loved The Graduate &amp; The Holdovers</t>
  </si>
  <si>
    <t xml:space="preserve">Critical-analysis films from Film Art; The global new-wave explosion; French New Wave (Nouvelle Vague); Jean-Luc Godard; Film debuts that announced a master; Sight &amp; Sound 2022 Critics' Poll — selections (unranked); The Criterion Collection — art-house starter pack; Intro to Film Studies — a 15-week semester; History of World Cinema — a two-semester survey</t>
  </si>
  <si>
    <t xml:space="preserve">World War II &amp; the Holocaust; David Lean; AFI 100 Years...100 Movies (2007 ed.) — selections</t>
  </si>
  <si>
    <t xml:space="preserve">Women's pictures &amp; the 'unknown woman'; David Lean; BFI 100 Best British Films (1999) — selections</t>
  </si>
  <si>
    <t xml:space="preserve">Taiwan New Cinema; Hou Hsiao-hsien, Edward Yang &amp; Tsai Ming-liang; Fathers &amp; sons / parents &amp; children</t>
  </si>
  <si>
    <t xml:space="preserve">Screwball comedy; Comedy of remarriage; Howard Hawks; AFI 100 Years...100 Movies (2007 ed.) — selections</t>
  </si>
  <si>
    <t xml:space="preserve">Romantic comedy lineage; Journalism &amp; the press; Television, fame &amp; media</t>
  </si>
  <si>
    <t xml:space="preserve">Neo-western &amp; contemporary western; New Queer Cinema &amp; after</t>
  </si>
  <si>
    <t xml:space="preserve">Swinging London &amp; the 60s–70s British art film; BFI Flipside — lost British oddities</t>
  </si>
  <si>
    <t xml:space="preserve">Body horror; David Cronenberg; Horror &amp; gender: Clover, Creed, Williams</t>
  </si>
  <si>
    <t xml:space="preserve">1970s cop films &amp; urban crime; San Francisco; Because you loved Baby Driver &amp; Catch Me If You Can</t>
  </si>
  <si>
    <t xml:space="preserve">Slashers; Video nasties</t>
  </si>
  <si>
    <t xml:space="preserve">The current canon-in-progress; Korean genre machine: thrillers &amp; revenge</t>
  </si>
  <si>
    <t xml:space="preserve">Revisionist western; AFI 100 Years...100 Movies (2007 ed.) — selections</t>
  </si>
  <si>
    <t xml:space="preserve">Roadshow, rock &amp; revisionist musicals; AFI 100 Years...100 Movies (2007 ed.) — selections</t>
  </si>
  <si>
    <t xml:space="preserve">Mise-en-scène &amp; production design; German Expressionism &amp; Weimar cinema; Intro to Film Studies — a 15-week semester; History of World Cinema — a two-semester survey</t>
  </si>
  <si>
    <t xml:space="preserve">The new millennium canon; Berlin School &amp; contemporary German-language cinema; Michael Haneke</t>
  </si>
  <si>
    <t xml:space="preserve">Polish School &amp; Polish cinema; Krzysztof Kieślowski</t>
  </si>
  <si>
    <t xml:space="preserve">Found footage &amp; screen horror; Video nasties</t>
  </si>
  <si>
    <t xml:space="preserve">Sirkian &amp; family melodrama; New Queer Cinema &amp; after; Christmas canon (and anti-canon)</t>
  </si>
  <si>
    <t xml:space="preserve">Brian De Palma; Horror &amp; gender: Clover, Creed, Williams</t>
  </si>
  <si>
    <t xml:space="preserve">The Hollywood screenplay template; The studio system at its height; Sight &amp; Sound 2022 Critics' Poll — selections (unranked); AFI 100 Years...100 Movies (2007 ed.) — selections</t>
  </si>
  <si>
    <t xml:space="preserve">The gangster film: rise &amp; fall; Martin Scorsese</t>
  </si>
  <si>
    <t xml:space="preserve">Vietnam; Brian De Palma</t>
  </si>
  <si>
    <t xml:space="preserve">Anti-war &amp; war as absurdity; Mike Nichols &amp; Elaine May</t>
  </si>
  <si>
    <t xml:space="preserve">Dogme 95 &amp; modern Nordic; History of World Cinema — a two-semester survey</t>
  </si>
  <si>
    <t xml:space="preserve">French crime &amp; policier; Heist films; Jean-Pierre Melville &amp; Michael Mann; Because you loved High and Low &amp; Ghost Dog</t>
  </si>
  <si>
    <t xml:space="preserve">Walk-and-talk romance; Abbas Kiarostami; Because you loved Waking Life &amp; My Dinner with Andre</t>
  </si>
  <si>
    <t xml:space="preserve">Haunted house &amp; ghost stories; Canuxploitation &amp; tax-shelter horror</t>
  </si>
  <si>
    <t xml:space="preserve">Hitchcock &amp; the Hitchcockian; Because you loved Baby Driver &amp; Catch Me If You Can</t>
  </si>
  <si>
    <t xml:space="preserve">Korean genre machine: thrillers &amp; revenge; Serial killer procedurals</t>
  </si>
  <si>
    <t xml:space="preserve">Food &amp; cooking; Comfort &amp; feel-good classics</t>
  </si>
  <si>
    <t xml:space="preserve">Iranian New Wave; Scorsese's World Cinema Project restorations</t>
  </si>
  <si>
    <t xml:space="preserve">Cinematography: light, lens &amp; the moving camera; The long take &amp; the oner; The new millennium canon; Dystopias &amp; social sci-fi</t>
  </si>
  <si>
    <t xml:space="preserve">The Hollywood screenplay template; The movie-brat revolution; Neo-noir; Postmodern pastiche &amp; the nostalgia film; Los Angeles; AFI 100 Years...100 Movies (2007 ed.) — selections</t>
  </si>
  <si>
    <t xml:space="preserve">Critical-analysis films from Film Art; Hong Kong New Wave &amp; second wave; Wong Kar-wai; Hyperlink &amp; network narrative; Sight &amp; Sound 2022 Critics' Poll — selections (unranked); The Criterion Collection — art-house starter pack; History of World Cinema — a two-semester survey</t>
  </si>
  <si>
    <t xml:space="preserve">Critical-analysis films from Film Art; Cinematography: light, lens &amp; the moving camera; Non-linear &amp; unreliable narration; The studio system at its height; Orson Welles; Bazin &amp; realism: the ontology of the image; Film debuts that announced a master; Sight &amp; Sound 2022 Critics' Poll — selections (unranked); AFI 100 Years...100 Movies (2007 ed.) — selections; Kubrick's top 10 (1963); Intro to Film Studies — a 15-week semester; History of World Cinema — a two-semester survey; American Film History — a one-semester survey</t>
  </si>
  <si>
    <t xml:space="preserve">Silent comedy: Chaplin, Keaton, Lloyd; Sight &amp; Sound 2022 Critics' Poll — selections (unranked); AFI 100 Years...100 Movies (2007 ed.) — selections; Kubrick's top 10 (1963); Tarkovsky's top 10 (1972)</t>
  </si>
  <si>
    <t xml:space="preserve">Taiwan New Cinema; Hou Hsiao-hsien, Edward Yang &amp; Tsai Ming-liang; History of World Cinema — a two-semester survey</t>
  </si>
  <si>
    <t xml:space="preserve">Walk-and-talk romance; François Truffaut &amp; Éric Rohmer</t>
  </si>
  <si>
    <t xml:space="preserve">Contemporary French auteurs; Teachers, schools &amp; mentors</t>
  </si>
  <si>
    <t xml:space="preserve">The global new-wave explosion; Left Bank group; Agnès Varda; Women filmmakers: a counter-canon; Paris &amp; Tokyo; Real-time films; Sight &amp; Sound 2022 Critics' Poll — selections (unranked)</t>
  </si>
  <si>
    <t xml:space="preserve">Sundance, Miramax &amp; the 90s indie; Hangout movies</t>
  </si>
  <si>
    <t xml:space="preserve">Spike Lee; Hood films</t>
  </si>
  <si>
    <t xml:space="preserve">Dystopias &amp; social sci-fi; Stanley Kubrick; AFI 100 Years...100 Movies (2007 ed.) — selections</t>
  </si>
  <si>
    <t xml:space="preserve">High concept &amp; the blockbuster; Steven Spielberg</t>
  </si>
  <si>
    <t xml:space="preserve">Iranian New Wave; Reflexive, performative &amp; essay documentary; Abbas Kiarostami; Movies about movies; Sight &amp; Sound 2022 Critics' Poll — selections (unranked); The Criterion Collection — art-house starter pack; History of World Cinema — a two-semester survey</t>
  </si>
  <si>
    <t xml:space="preserve">Found footage &amp; screen horror; Kaiju &amp; tokusatsu</t>
  </si>
  <si>
    <t xml:space="preserve">Jim Jarmusch; Anthology &amp; portmanteau films; Because you loved Waking Life &amp; My Dinner with Andre</t>
  </si>
  <si>
    <t xml:space="preserve">Blaxploitation &amp; its reckoning; Tarantino's source code</t>
  </si>
  <si>
    <t xml:space="preserve">Cerebral &amp; hard sci-fi; Single-location &amp; chamber films</t>
  </si>
  <si>
    <t xml:space="preserve">Jean-Pierre Melville &amp; Michael Mann; Los Angeles; Neon-soaked night movies</t>
  </si>
  <si>
    <t xml:space="preserve">Mise-en-scène &amp; production design; Soviet Thaw &amp; late Soviet cinema</t>
  </si>
  <si>
    <t xml:space="preserve">Walk-and-talk romance; Because you loved Waking Life &amp; My Dinner with Andre</t>
  </si>
  <si>
    <t xml:space="preserve">Soviet Thaw &amp; late Soviet cinema; World War II &amp; the Holocaust; Anti-war &amp; war as absurdity</t>
  </si>
  <si>
    <t xml:space="preserve">Vietnam; Hal Ashby, Bob Rafelson &amp; the BBS crowd</t>
  </si>
  <si>
    <t xml:space="preserve">Cinematography: light, lens &amp; the moving camera; Italian modernism: Fellini, Antonioni, Visconti, Pasolini; Because you loved The Godfather, Apocalypse Now &amp; The Untouchables</t>
  </si>
  <si>
    <t xml:space="preserve">Cerebral &amp; hard sci-fi; Scientists &amp; science on film</t>
  </si>
  <si>
    <t xml:space="preserve">Steven Soderbergh; Disaster films (1970s cycle &amp; after)</t>
  </si>
  <si>
    <t xml:space="preserve">French New Wave (Nouvelle Vague); Jean-Luc Godard; Movies about movies</t>
  </si>
  <si>
    <t xml:space="preserve">Editing: montage vs. continuity; Sound &amp; music; 1970s paranoid &amp; conspiracy thrillers; Francis Ford Coppola; Isolation &amp; solitude; San Francisco; Intro to Film Studies — a 15-week semester; Because you loved The Godfather, Apocalypse Now &amp; The Untouchables</t>
  </si>
  <si>
    <t xml:space="preserve">The global new-wave explosion; Iranian New Wave</t>
  </si>
  <si>
    <t xml:space="preserve">Postwar realism &amp; art cinema; Soviet Thaw &amp; late Soviet cinema</t>
  </si>
  <si>
    <t xml:space="preserve">Czechoslovak New Wave; Second Run — Central &amp; Eastern European lens</t>
  </si>
  <si>
    <t xml:space="preserve">Ingmar Bergman; Aging, mortality &amp; grief</t>
  </si>
  <si>
    <t xml:space="preserve">Body horror; David Cronenberg</t>
  </si>
  <si>
    <t xml:space="preserve">American silent features &amp; Griffith; Late silent masterpieces; New York City</t>
  </si>
  <si>
    <t xml:space="preserve">Single-location &amp; chamber films; Canuxploitation &amp; tax-shelter horror</t>
  </si>
  <si>
    <t xml:space="preserve">Contemporary Japanese auteurs; J-horror &amp; Asian horror; Serial killer procedurals; Masters of Cinema (Eureka) — silent &amp; world classics lens</t>
  </si>
  <si>
    <t xml:space="preserve">The global new-wave explosion; Czechoslovak New Wave; Women filmmakers: a counter-canon; Second Run — Central &amp; Eastern European lens; History of World Cinema — a two-semester survey; Because you loved Everything Everywhere All at Once &amp; Barbie</t>
  </si>
  <si>
    <t xml:space="preserve">Dogme 95 &amp; modern Nordic; Roadshow, rock &amp; revisionist musicals</t>
  </si>
  <si>
    <t xml:space="preserve">Modern action craft (2000s–now); Christopher Nolan &amp; Denis Villeneuve</t>
  </si>
  <si>
    <t xml:space="preserve">1960s–70s New Wave sci-fi; John Carpenter</t>
  </si>
  <si>
    <t xml:space="preserve">Women filmmakers: a counter-canon; L.A. Rebellion; Sight &amp; Sound 2022 Critics' Poll — selections (unranked)</t>
  </si>
  <si>
    <t xml:space="preserve">François Truffaut &amp; Éric Rohmer; Movies about movies</t>
  </si>
  <si>
    <t xml:space="preserve">Critical-analysis films from Film Art; Scandinavian masters: Dreyer, Sjöström, Bergman</t>
  </si>
  <si>
    <t xml:space="preserve">Hong Kong New Wave &amp; second wave; Wong Kar-wai</t>
  </si>
  <si>
    <t xml:space="preserve">Cinematography: light, lens &amp; the moving camera; Terrence Malick; American history on film; Because you loved First Reformed &amp; The Tree of Life</t>
  </si>
  <si>
    <t xml:space="preserve">Richard Linklater; Coming of age; Hangout movies; The Criterion Collection — art-house starter pack</t>
  </si>
  <si>
    <t xml:space="preserve">Acid western; Jim Jarmusch</t>
  </si>
  <si>
    <t xml:space="preserve">Hammer &amp; British horror; Anthology &amp; portmanteau films</t>
  </si>
  <si>
    <t xml:space="preserve">Teachers, schools &amp; mentors; Autumn films</t>
  </si>
  <si>
    <t xml:space="preserve">The global new-wave explosion; Japanese New Wave (Nuberu Bagu)</t>
  </si>
  <si>
    <t xml:space="preserve">Korean genre machine: thrillers &amp; revenge; Bong Joon-ho &amp; Park Chan-wook</t>
  </si>
  <si>
    <t xml:space="preserve">The movie-brat revolution; Vietnam; AFI 100 Years...100 Movies (2007 ed.) — selections</t>
  </si>
  <si>
    <t xml:space="preserve">Martin Scorsese; East–West remakes &amp; lineages</t>
  </si>
  <si>
    <t xml:space="preserve">Mexican cinema: Golden Age to the Three Amigos; Haunted house &amp; ghost stories</t>
  </si>
  <si>
    <t xml:space="preserve">Robert Bresson; Bazin &amp; realism: the ontology of the image; Transcendental style &amp; slow cinema; Faith, doubt &amp; the spiritual; Tarkovsky's top 10 (1972); Because you loved First Reformed &amp; The Tree of Life</t>
  </si>
  <si>
    <t xml:space="preserve">1970s cop films &amp; urban crime; San Francisco</t>
  </si>
  <si>
    <t xml:space="preserve">Satire &amp; black comedy; Surrealism &amp; Dada; Luis Buñuel</t>
  </si>
  <si>
    <t xml:space="preserve">Spaghetti westerns; Tarantino's source code</t>
  </si>
  <si>
    <t xml:space="preserve">Critical-analysis films from Film Art; 1980s auteurs against the grain; Spike Lee; Black American cinema: 1986 to now; New York City; Hangout movies; Sight &amp; Sound 2022 Critics' Poll — selections (unranked); AFI 100 Years...100 Movies (2007 ed.) — selections; The Criterion Collection — art-house starter pack; Intro to Film Studies — a 15-week semester; American Film History — a one-semester survey</t>
  </si>
  <si>
    <t xml:space="preserve">The movie-brat revolution; 1970s cop films &amp; urban crime; Sidney Lumet</t>
  </si>
  <si>
    <t xml:space="preserve">The global new-wave explosion; Italian modernism: Fellini, Antonioni, Visconti, Pasolini; Federico Fellini; Sight &amp; Sound 2022 Critics' Poll — selections (unranked); Roger Ebert's 'Great Movies' — selections</t>
  </si>
  <si>
    <t xml:space="preserve">Editing: montage vs. continuity; Swinging London &amp; the 60s–70s British art film; BFI 100 Best British Films (1999) — selections; Because you loved Jacob's Ladder, Inland Empire &amp; Blue Velvet</t>
  </si>
  <si>
    <t xml:space="preserve">Mind-game &amp; puzzle films; Arrow Video — cult &amp; genre lens</t>
  </si>
  <si>
    <t xml:space="preserve">Classic noir (1941–1958); Billy Wilder; Los Angeles; AFI 100 Years...100 Movies (2007 ed.) — selections; Intro to Film Studies — a 15-week semester; American Film History — a one-semester survey</t>
  </si>
  <si>
    <t xml:space="preserve">German Expressionism &amp; Weimar cinema; Masters of Cinema (Eureka) — silent &amp; world classics lens</t>
  </si>
  <si>
    <t xml:space="preserve">Satire &amp; black comedy; Anti-war &amp; war as absurdity; Stanley Kubrick; Nuclear anxiety; AFI 100 Years...100 Movies (2007 ed.) — selections</t>
  </si>
  <si>
    <t xml:space="preserve">Akira Kurosawa; Anthology &amp; portmanteau films</t>
  </si>
  <si>
    <t xml:space="preserve">Neo-noir; Neon-soaked night movies; Because you loved Baby Driver &amp; Catch Me If You Can</t>
  </si>
  <si>
    <t xml:space="preserve">The current canon-in-progress; Contemporary Japanese auteurs</t>
  </si>
  <si>
    <t xml:space="preserve">Contemporary Iranian &amp; Middle Eastern cinema; Scorsese's World Cinema Project restorations</t>
  </si>
  <si>
    <t xml:space="preserve">Pre-Code Hollywood; Comedy teams &amp; anarchic comedy; AFI 100 Years...100 Movies (2007 ed.) — selections</t>
  </si>
  <si>
    <t xml:space="preserve">Spaghetti westerns; Sergio Leone</t>
  </si>
  <si>
    <t xml:space="preserve">Steven Spielberg; Film debuts that announced a master</t>
  </si>
  <si>
    <t xml:space="preserve">World War II &amp; the Holocaust; Christopher Nolan &amp; Denis Villeneuve</t>
  </si>
  <si>
    <t xml:space="preserve">High concept &amp; the blockbuster; Steven Spielberg; AFI 100 Years...100 Movies (2007 ed.) — selections</t>
  </si>
  <si>
    <t xml:space="preserve">Golden Age masters (1930s–60s); Yasujirō Ozu</t>
  </si>
  <si>
    <t xml:space="preserve">Fathers &amp; sons / parents &amp; children; American literature adaptations</t>
  </si>
  <si>
    <t xml:space="preserve">The movie-brat revolution; Road movies; AFI 100 Years...100 Movies (2007 ed.) — selections</t>
  </si>
  <si>
    <t xml:space="preserve">Italian modernism: Fellini, Antonioni, Visconti, Pasolini; Michelangelo Antonioni</t>
  </si>
  <si>
    <t xml:space="preserve">Paracinema, cult &amp; 'badfilm'; Movies about movies</t>
  </si>
  <si>
    <t xml:space="preserve">Sundance, Miramax &amp; the 90s indie; Satire &amp; black comedy; American politics &amp; power; Teachers, schools &amp; mentors</t>
  </si>
  <si>
    <t xml:space="preserve">Christopher Nolan &amp; Denis Villeneuve; Mind-game &amp; puzzle films; A24 — the indie-studio era; Because you loved Jacob's Ladder, Inland Empire &amp; Blue Velvet</t>
  </si>
  <si>
    <t xml:space="preserve">New German Cinema; Werner Herzog</t>
  </si>
  <si>
    <t xml:space="preserve">Sound &amp; music; David Lynch; Paracinema, cult &amp; 'badfilm'; Midnight movies; Film debuts that announced a master; Because you loved Jacob's Ladder, Inland Empire &amp; Blue Velvet</t>
  </si>
  <si>
    <t xml:space="preserve">Prison &amp; confinement; San Francisco</t>
  </si>
  <si>
    <t xml:space="preserve">Non-linear &amp; unreliable narration; Charlie Kaufman (writer-director); Mind-game &amp; puzzle films</t>
  </si>
  <si>
    <t xml:space="preserve">Black American cinema: 1986 to now; Southern Gothic</t>
  </si>
  <si>
    <t xml:space="preserve">Cosmic &amp; Lovecraftian horror; Vulgar auteurism</t>
  </si>
  <si>
    <t xml:space="preserve">Richard Linklater; Hangout movies</t>
  </si>
  <si>
    <t xml:space="preserve">Cerebral &amp; hard sci-fi; AI, computers &amp; the internet; A24 — the indie-studio era</t>
  </si>
  <si>
    <t xml:space="preserve">Money, markets &amp; economics; Because you loved The Hudsucker Proxy &amp; Raising Arizona</t>
  </si>
  <si>
    <t xml:space="preserve">Satanic panic &amp; religious horror; Horror &amp; gender: Clover, Creed, Williams</t>
  </si>
  <si>
    <t xml:space="preserve">Mexican cinema: Golden Age to the Three Amigos; Luis Buñuel; Single-location &amp; chamber films</t>
  </si>
  <si>
    <t xml:space="preserve">Erotic thrillers (1981–1999); Stanley Kubrick; Christmas canon (and anti-canon)</t>
  </si>
  <si>
    <t xml:space="preserve">Reflexive, performative &amp; essay documentary; Essay films; Orson Welles</t>
  </si>
  <si>
    <t xml:space="preserve">Steven Spielberg; Movies about movies</t>
  </si>
  <si>
    <t xml:space="preserve">1950s: widescreen, Method, and anxiety; Television, fame &amp; media</t>
  </si>
  <si>
    <t xml:space="preserve">John Cassavetes; Marriage &amp; divorce</t>
  </si>
  <si>
    <t xml:space="preserve">Sidney Lumet; Nuclear anxiety</t>
  </si>
  <si>
    <t xml:space="preserve">Hong Kong New Wave &amp; second wave; Wong Kar-wai; Neon-soaked night movies</t>
  </si>
  <si>
    <t xml:space="preserve">Cringe, deadpan &amp; awkward comedy; Aki Kaurismäki &amp; Roy Andersson</t>
  </si>
  <si>
    <t xml:space="preserve">Ingmar Bergman; Christmas canon (and anti-canon); The Criterion Collection — art-house starter pack</t>
  </si>
  <si>
    <t xml:space="preserve">Stop-motion; Wes Anderson; Autumn films</t>
  </si>
  <si>
    <t xml:space="preserve">Sirkian &amp; family melodrama; Postmodern pastiche &amp; the nostalgia film</t>
  </si>
  <si>
    <t xml:space="preserve">Sundance, Miramax &amp; the 90s indie; Coen Brothers; Winter &amp; cold films</t>
  </si>
  <si>
    <t xml:space="preserve">Fathers &amp; sons / parents &amp; children; Sports films</t>
  </si>
  <si>
    <t xml:space="preserve">David Fincher; Mind-game &amp; puzzle films</t>
  </si>
  <si>
    <t xml:space="preserve">Neo-western &amp; contemporary western; Kelly Reichardt &amp; the new American regionalists</t>
  </si>
  <si>
    <t xml:space="preserve">Transcendental style &amp; slow cinema; A24 — the indie-studio era</t>
  </si>
  <si>
    <t xml:space="preserve">British social realism (1980s–now); Women filmmakers: a counter-canon</t>
  </si>
  <si>
    <t xml:space="preserve">Spaghetti westerns; Sergio Leone; East–West remakes &amp; lineages</t>
  </si>
  <si>
    <t xml:space="preserve">New German Cinema; Werner Herzog; Because you loved The Godfather, Apocalypse Now &amp; The Untouchables</t>
  </si>
  <si>
    <t xml:space="preserve">Hong Kong action: Shaw Bros to heroic bloodshed; Tarantino's source code</t>
  </si>
  <si>
    <t xml:space="preserve">The movie-brat revolution; Hal Ashby, Bob Rafelson &amp; the BBS crowd; Because you loved The Graduate &amp; The Holdovers</t>
  </si>
  <si>
    <t xml:space="preserve">Golden Age masters (1930s–60s); Kenji Mizoguchi &amp; Mikio Naruse</t>
  </si>
  <si>
    <t xml:space="preserve">Yasujirō Ozu; Roger Ebert's 'Great Movies' — selections</t>
  </si>
  <si>
    <t xml:space="preserve">Mumblecore &amp; microbudget realism; A24 — the indie-studio era</t>
  </si>
  <si>
    <t xml:space="preserve">Christopher Nolan &amp; Denis Villeneuve; Film debuts that announced a master</t>
  </si>
  <si>
    <t xml:space="preserve">Dogme 95 &amp; modern Nordic; Cringe, deadpan &amp; awkward comedy; Marriage &amp; divorce</t>
  </si>
  <si>
    <t xml:space="preserve">Classical western; John Ford</t>
  </si>
  <si>
    <t xml:space="preserve">Mumblecore &amp; microbudget realism; New York City</t>
  </si>
  <si>
    <t xml:space="preserve">Pre-Code Hollywood; Exploitation &amp; grindhouse history</t>
  </si>
  <si>
    <t xml:space="preserve">Editing: montage vs. continuity; 1970s cop films &amp; urban crime; AFI 100 Years...100 Movies (2007 ed.) — selections</t>
  </si>
  <si>
    <t xml:space="preserve">Hood films; Hangout movies</t>
  </si>
  <si>
    <t xml:space="preserve">Vietnam; Stanley Kubrick</t>
  </si>
  <si>
    <t xml:space="preserve">Japanese New Wave (Nuberu Bagu); Pre-Stonewall &amp; coded queer cinema</t>
  </si>
  <si>
    <t xml:space="preserve">Berlin School &amp; contemporary German-language cinema; Michael Haneke</t>
  </si>
  <si>
    <t xml:space="preserve">Australian New Wave &amp; Ozploitation; World War I</t>
  </si>
  <si>
    <t xml:space="preserve">Hitchcock &amp; the Hitchcockian; David Fincher; Mind-game &amp; puzzle films</t>
  </si>
  <si>
    <t xml:space="preserve">Tech-noir &amp; future noir; Cerebral &amp; hard sci-fi; Dystopias &amp; social sci-fi</t>
  </si>
  <si>
    <t xml:space="preserve">Silent comedy: Chaplin, Keaton, Lloyd; AFI 100 Years...100 Movies (2007 ed.) — selections; History of World Cinema — a two-semester survey</t>
  </si>
  <si>
    <t xml:space="preserve">Italian Neorealism; Deleuze: movement-image to time-image</t>
  </si>
  <si>
    <t xml:space="preserve">The current canon-in-progress; 'Elevated' / post-horror; Black American cinema: 1986 to now; Film debuts that announced a master; Sight &amp; Sound 2022 Critics' Poll — selections (unranked)</t>
  </si>
  <si>
    <t xml:space="preserve">Jim Jarmusch; East–West remakes &amp; lineages</t>
  </si>
  <si>
    <t xml:space="preserve">Reflexive, performative &amp; essay documentary; Essay films; Agnès Varda; Sight &amp; Sound 2022 Critics' Poll — selections (unranked)</t>
  </si>
  <si>
    <t xml:space="preserve">The movie-brat revolution; The gangster film: rise &amp; fall; Francis Ford Coppola; Sight &amp; Sound 2022 Critics' Poll — selections (unranked); AFI 100 Years...100 Movies (2007 ed.) — selections; American Film History — a one-semester survey</t>
  </si>
  <si>
    <t xml:space="preserve">The gangster film: rise &amp; fall; Francis Ford Coppola; AFI 100 Years...100 Movies (2007 ed.) — selections; Because you loved The Godfather, Apocalypse Now &amp; The Untouchables</t>
  </si>
  <si>
    <t xml:space="preserve">Early &amp; 1950s atomic-age sci-fi; Nuclear anxiety; Kaiju &amp; tokusatsu</t>
  </si>
  <si>
    <t xml:space="preserve">Silent comedy: Chaplin, Keaton, Lloyd; AFI 100 Years...100 Movies (2007 ed.) — selections; American Film History — a one-semester survey</t>
  </si>
  <si>
    <t xml:space="preserve">Hitchcock &amp; the Hitchcockian; David Fincher</t>
  </si>
  <si>
    <t xml:space="preserve">New York City; Neon-soaked night movies</t>
  </si>
  <si>
    <t xml:space="preserve">Mental health &amp; the mind on screen; Autumn films</t>
  </si>
  <si>
    <t xml:space="preserve">Taiwan New Cinema; Transcendental style &amp; slow cinema</t>
  </si>
  <si>
    <t xml:space="preserve">The long take &amp; the oner; The gangster film: rise &amp; fall; Martin Scorsese; AFI 100 Years...100 Movies (2007 ed.) — selections</t>
  </si>
  <si>
    <t xml:space="preserve">Italian modernism: Fellini, Antonioni, Visconti, Pasolini; Faith, doubt &amp; the spiritual</t>
  </si>
  <si>
    <t xml:space="preserve">The movie-brat revolution; Mike Nichols &amp; Elaine May; AFI 100 Years...100 Movies (2007 ed.) — selections</t>
  </si>
  <si>
    <t xml:space="preserve">Mise-en-scène &amp; production design; Wes Anderson; Intro to Film Studies — a 15-week semester</t>
  </si>
  <si>
    <t xml:space="preserve">Poetic Realism (1930s); World War I; Jean Renoir</t>
  </si>
  <si>
    <t xml:space="preserve">The studio system at its height; John Ford; Work, labor &amp; class; Road movies; American literature adaptations; American history on film; AFI 100 Years...100 Movies (2007 ed.) — selections</t>
  </si>
  <si>
    <t xml:space="preserve">Anime as art; World War II &amp; the Holocaust; Roger Ebert's 'Great Movies' — selections</t>
  </si>
  <si>
    <t xml:space="preserve">World War II &amp; the Holocaust; Dad movies</t>
  </si>
  <si>
    <t xml:space="preserve">David Lean; BFI 100 Best British Films (1999) — selections</t>
  </si>
  <si>
    <t xml:space="preserve">Spaghetti westerns; Tarantino's source code; Winter &amp; cold films</t>
  </si>
  <si>
    <t xml:space="preserve">Cinema of attractions &amp; early narrative (1895–1914); History of World Cinema — a two-semester survey; American Film History — a one-semester survey</t>
  </si>
  <si>
    <t xml:space="preserve">American silent features &amp; Griffith; Money, markets &amp; economics; San Francisco</t>
  </si>
  <si>
    <t xml:space="preserve">Italian Neorealism; Michelangelo Antonioni</t>
  </si>
  <si>
    <t xml:space="preserve">Neo-noir; Con artists &amp; grifters</t>
  </si>
  <si>
    <t xml:space="preserve">Portrait &amp; true-crime documentary; Werner Herzog</t>
  </si>
  <si>
    <t xml:space="preserve">The Hollywood screenplay template; Modern American studio comedy (1978–2015); Philosophy on film: meaning, mind &amp; morality; Time, memory &amp; loops; Roger Ebert's 'Great Movies' — selections</t>
  </si>
  <si>
    <t xml:space="preserve">Accented &amp; diasporic cinema; Paris &amp; Tokyo; Because you loved Do the Right Thing, Fruitvale Station &amp; American History X</t>
  </si>
  <si>
    <t xml:space="preserve">Slashers; John Carpenter; Horror &amp; gender: Clover, Creed, Williams; Autumn films</t>
  </si>
  <si>
    <t xml:space="preserve">Yakuza &amp; Japanese crime; Because you loved High and Low &amp; Ghost Dog</t>
  </si>
  <si>
    <t xml:space="preserve">Sundance, Miramax &amp; the 90s indie; Hyperlink &amp; network narrative; Because you loved Magnolia &amp; Punch-Drunk Love</t>
  </si>
  <si>
    <t xml:space="preserve">Hong Kong New Wave &amp; second wave; Wong Kar-wai; New Queer Cinema &amp; after</t>
  </si>
  <si>
    <t xml:space="preserve">Golden Age masters (1930s–60s); Samurai: jidaigeki &amp; chanbara; The Criterion Collection — art-house starter pack</t>
  </si>
  <si>
    <t xml:space="preserve">The Hollywood screenplay template; High concept &amp; the blockbuster; 1980s–90s action; Christmas canon (and anti-canon)</t>
  </si>
  <si>
    <t xml:space="preserve">Swinging London &amp; the 60s–70s British art film; Music &amp; musicians</t>
  </si>
  <si>
    <t xml:space="preserve">Paul Thomas Anderson; Film debuts that announced a master; Because you loved Magnolia &amp; Punch-Drunk Love</t>
  </si>
  <si>
    <t xml:space="preserve">1980s–90s action; Vulgar auteurism</t>
  </si>
  <si>
    <t xml:space="preserve">Paracinema, cult &amp; 'badfilm'; Midnight movies</t>
  </si>
  <si>
    <t xml:space="preserve">Direct cinema &amp; cinéma vérité; Work, labor &amp; class</t>
  </si>
  <si>
    <t xml:space="preserve">Satire &amp; black comedy; Hal Ashby, Bob Rafelson &amp; the BBS crowd; Aging, mortality &amp; grief; Because you loved The Graduate &amp; The Holdovers</t>
  </si>
  <si>
    <t xml:space="preserve">Quentin Tarantino; Winter &amp; cold films</t>
  </si>
  <si>
    <t xml:space="preserve">Val Lewton &amp; the horror of suggestion; Haunted house &amp; ghost stories</t>
  </si>
  <si>
    <t xml:space="preserve">Scandinavian masters: Dreyer, Sjöström, Bergman; Folk horror</t>
  </si>
  <si>
    <t xml:space="preserve">Cringe, deadpan &amp; awkward comedy; Mike Nichols &amp; Elaine May; Because you loved The Graduate &amp; The Holdovers</t>
  </si>
  <si>
    <t xml:space="preserve">Francis Ford Coppola; Because you loved The Godfather, Apocalypse Now &amp; The Untouchables</t>
  </si>
  <si>
    <t xml:space="preserve">Heist films; Jean-Pierre Melville &amp; Michael Mann; Los Angeles; Dad movies</t>
  </si>
  <si>
    <t xml:space="preserve">The movie-brat revolution; Revisionist western</t>
  </si>
  <si>
    <t xml:space="preserve">Dystopias &amp; social sci-fi; Isolation &amp; solitude; AI, computers &amp; the internet</t>
  </si>
  <si>
    <t xml:space="preserve">Satanic panic &amp; religious horror; 'Elevated' / post-horror; A24 — the indie-studio era</t>
  </si>
  <si>
    <t xml:space="preserve">Akira Kurosawa; East–West remakes &amp; lineages</t>
  </si>
  <si>
    <t xml:space="preserve">Terrence Malick; Faith, doubt &amp; the spiritual; Because you loved First Reformed &amp; The Tree of Life</t>
  </si>
  <si>
    <t xml:space="preserve">Yakuza &amp; Japanese crime; Akira Kurosawa</t>
  </si>
  <si>
    <t xml:space="preserve">Cerebral &amp; hard sci-fi; Claire Denis</t>
  </si>
  <si>
    <t xml:space="preserve">1950s: widescreen, Method, and anxiety; Classical western; Real-time films; AFI 100 Years...100 Movies (2007 ed.) — selections</t>
  </si>
  <si>
    <t xml:space="preserve">Non-linear &amp; unreliable narration; The global new-wave explosion; Left Bank group; Deleuze: movement-image to time-image; Time, memory &amp; loops; Nuclear anxiety</t>
  </si>
  <si>
    <t xml:space="preserve">Critical-analysis films from Film Art; Screwball comedy; Comedy of remarriage; Howard Hawks; Journalism &amp; the press; Intro to Film Studies — a 15-week semester; Because you loved The Hudsucker Proxy &amp; Raising Arizona</t>
  </si>
  <si>
    <t xml:space="preserve">Essay films; Jean-Luc Godard; Sight &amp; Sound 2022 Critics' Poll — selections (unranked)</t>
  </si>
  <si>
    <t xml:space="preserve">Classic noir (1941–1958); Women filmmakers: a counter-canon</t>
  </si>
  <si>
    <t xml:space="preserve">The new millennium canon; Because you loved Synecdoche, NY &amp; I'm Thinking of Ending Things</t>
  </si>
  <si>
    <t xml:space="preserve">Midnight movies; Because you loved Everything Everywhere All at Once &amp; Barbie</t>
  </si>
  <si>
    <t xml:space="preserve">Direct cinema &amp; cinéma vérité; Sports films; Films shot over years</t>
  </si>
  <si>
    <t xml:space="preserve">Korean Golden Age &amp; Korean New Wave; Bong Joon-ho &amp; Park Chan-wook; Kaiju &amp; tokusatsu</t>
  </si>
  <si>
    <t xml:space="preserve">Polish School &amp; Polish cinema; Second Run — Central &amp; Eastern European lens</t>
  </si>
  <si>
    <t xml:space="preserve">J-horror &amp; Asian horror; Pinku &amp; Japanese cult; Because you loved Everything Everywhere All at Once &amp; Barbie</t>
  </si>
  <si>
    <t xml:space="preserve">Korean Golden Age &amp; Korean New Wave; Scorsese's World Cinema Project restorations</t>
  </si>
  <si>
    <t xml:space="preserve">Coen Brothers; Television, fame &amp; media</t>
  </si>
  <si>
    <t xml:space="preserve">Submarine films; Dad movies</t>
  </si>
  <si>
    <t xml:space="preserve">Modern war: Iraq, Afghanistan &amp; after; Women filmmakers: a counter-canon</t>
  </si>
  <si>
    <t xml:space="preserve">Pre-Code Hollywood; Prison &amp; confinement</t>
  </si>
  <si>
    <t xml:space="preserve">Cinematography: light, lens &amp; the moving camera; Soviet Thaw &amp; late Soviet cinema</t>
  </si>
  <si>
    <t xml:space="preserve">Federico Fellini; Kubrick's top 10 (1963)</t>
  </si>
  <si>
    <t xml:space="preserve">Val Lewton &amp; the horror of suggestion; Zombie lineage</t>
  </si>
  <si>
    <t xml:space="preserve">Late silent masterpieces; Yasujirō Ozu</t>
  </si>
  <si>
    <t xml:space="preserve">British New Wave &amp; kitchen-sink realism; BFI 100 Best British Films (1999) — selections</t>
  </si>
  <si>
    <t xml:space="preserve">Golden Age masters (1930s–60s); Akira Kurosawa; Philosophy on film: meaning, mind &amp; morality; Aging, mortality &amp; grief; Roger Ebert's 'Great Movies' — selections</t>
  </si>
  <si>
    <t xml:space="preserve">Classic noir (1941–1958); Nicholas Ray &amp; Samuel Fuller</t>
  </si>
  <si>
    <t xml:space="preserve">Cinematography: light, lens &amp; the moving camera; The new millennium canon; Hong Kong New Wave &amp; second wave; Wong Kar-wai; Sight &amp; Sound 2022 Critics' Poll — selections (unranked)</t>
  </si>
  <si>
    <t xml:space="preserve">Cosmic &amp; Lovecraftian horror; John Carpenter</t>
  </si>
  <si>
    <t xml:space="preserve">New Zealand &amp; Canadian auteurs; Christopher Nolan &amp; Denis Villeneuve</t>
  </si>
  <si>
    <t xml:space="preserve">Christopher Nolan &amp; Denis Villeneuve; Mind-game &amp; puzzle films</t>
  </si>
  <si>
    <t xml:space="preserve">Hong Kong action: Shaw Bros to heroic bloodshed; East–West remakes &amp; lineages</t>
  </si>
  <si>
    <t xml:space="preserve">Italian Gothic &amp; supernatural horror; Video nasties</t>
  </si>
  <si>
    <t xml:space="preserve">Neo-noir; Paul Thomas Anderson; American literature adaptations</t>
  </si>
  <si>
    <t xml:space="preserve">Val Lewton &amp; the horror of suggestion; Haunted house &amp; ghost stories; American literature adaptations</t>
  </si>
  <si>
    <t xml:space="preserve">The new millennium canon; Coen Brothers; Music &amp; musicians</t>
  </si>
  <si>
    <t xml:space="preserve">Heist films; Spike Lee</t>
  </si>
  <si>
    <t xml:space="preserve">Jean-Pierre Melville &amp; Michael Mann; Journalism &amp; the press</t>
  </si>
  <si>
    <t xml:space="preserve">Cerebral &amp; hard sci-fi; Christopher Nolan &amp; Denis Villeneuve</t>
  </si>
  <si>
    <t xml:space="preserve">Editing: montage vs. continuity; American silent features &amp; Griffith; AFI 100 Years...100 Movies (2007 ed.) — selections</t>
  </si>
  <si>
    <t xml:space="preserve">1950s: widescreen, Method, and anxiety; Early &amp; 1950s atomic-age sci-fi; Because you loved The Thing, Children of Men &amp; War of the Worlds</t>
  </si>
  <si>
    <t xml:space="preserve">Contemporary French auteurs; Movies about movies</t>
  </si>
  <si>
    <t xml:space="preserve">Non-linear &amp; unreliable narration; New French Extremity</t>
  </si>
  <si>
    <t xml:space="preserve">Slashers; 'Elevated' / post-horror</t>
  </si>
  <si>
    <t xml:space="preserve">The studio system at its height; Screwball comedy; Comedy of remarriage; Frank Capra; Road movies; AFI 100 Years...100 Movies (2007 ed.) — selections; American Film History — a one-semester survey</t>
  </si>
  <si>
    <t xml:space="preserve">The studio system at its height; Frank Capra; Christmas canon (and anti-canon); AFI 100 Years...100 Movies (2007 ed.) — selections</t>
  </si>
  <si>
    <t xml:space="preserve">Soviet Thaw &amp; late Soviet cinema; Andrei Tarkovsky</t>
  </si>
  <si>
    <t xml:space="preserve">Quentin Tarantino; Blaxploitation &amp; its reckoning</t>
  </si>
  <si>
    <t xml:space="preserve">High concept &amp; the blockbuster; Survival &amp; man-vs-nature; Steven Spielberg; Disaster films (1970s cycle &amp; after); AFI 100 Years...100 Movies (2007 ed.) — selections; History of World Cinema — a two-semester survey; American Film History — a one-semester survey</t>
  </si>
  <si>
    <t xml:space="preserve">The coming of sound; American Film History — a one-semester survey</t>
  </si>
  <si>
    <t xml:space="preserve">Left Bank group; Time, memory &amp; loops</t>
  </si>
  <si>
    <t xml:space="preserve">Chantal Akerman; Transcendental style &amp; slow cinema; Mulvey &amp; the male gaze; Women filmmakers: a counter-canon; Isolation &amp; solitude; Sight &amp; Sound 2022 Critics' Poll — selections (unranked); The Criterion Collection — art-house starter pack; History of World Cinema — a two-semester survey</t>
  </si>
  <si>
    <t xml:space="preserve">Left Bank group; 1960s–70s New Wave sci-fi; Time, memory &amp; loops</t>
  </si>
  <si>
    <t xml:space="preserve">Editing: montage vs. continuity; American history on film</t>
  </si>
  <si>
    <t xml:space="preserve">Classical western; Nicholas Ray &amp; Samuel Fuller</t>
  </si>
  <si>
    <t xml:space="preserve">Korean Golden Age &amp; Korean New Wave; Bong Joon-ho &amp; Park Chan-wook</t>
  </si>
  <si>
    <t xml:space="preserve">Postwar realism &amp; art cinema; Walk-and-talk romance; Bazin &amp; realism: the ontology of the image; Deleuze: movement-image to time-image; Marriage &amp; divorce; Sight &amp; Sound 2022 Critics' Poll — selections (unranked)</t>
  </si>
  <si>
    <t xml:space="preserve">Black American cinema: 1986 to now; Hood films</t>
  </si>
  <si>
    <t xml:space="preserve">French New Wave (Nouvelle Vague); François Truffaut &amp; Éric Rohmer</t>
  </si>
  <si>
    <t xml:space="preserve">British New Wave &amp; kitchen-sink realism; Coming of age; BFI 100 Best British Films (1999) — selections; Because you loved I, Daniel Blake &amp; The Pursuit of Happyness</t>
  </si>
  <si>
    <t xml:space="preserve">Silent comedy: Chaplin, Keaton, Lloyd; Fathers &amp; sons / parents &amp; children</t>
  </si>
  <si>
    <t xml:space="preserve">Hayao Miyazaki &amp; Studio Ghibli; Comfort &amp; feel-good classics</t>
  </si>
  <si>
    <t xml:space="preserve">L.A. Rebellion; Work, labor &amp; class; Los Angeles; Sight &amp; Sound 2022 Critics' Poll — selections (unranked); History of World Cinema — a two-semester survey; Because you loved Do the Right Thing, Fruitvale Station &amp; American History X</t>
  </si>
  <si>
    <t xml:space="preserve">Revisionist western; Martin Scorsese; American history on film</t>
  </si>
  <si>
    <t xml:space="preserve">Non-linear &amp; unreliable narration; Heist films; Stanley Kubrick</t>
  </si>
  <si>
    <t xml:space="preserve">Ealing comedies; Satire &amp; black comedy; BFI 100 Best British Films (1999) — selections</t>
  </si>
  <si>
    <t xml:space="preserve">Stop-motion; Kaiju &amp; tokusatsu; AFI 100 Years...100 Movies (2007 ed.) — selections</t>
  </si>
  <si>
    <t xml:space="preserve">1980s auteurs against the grain; Cringe, deadpan &amp; awkward comedy; Martin Scorsese; Television, fame &amp; media</t>
  </si>
  <si>
    <t xml:space="preserve">The movie-brat revolution; Hal Ashby, Bob Rafelson &amp; the BBS crowd</t>
  </si>
  <si>
    <t xml:space="preserve">Classic noir (1941–1958); Early &amp; 1950s atomic-age sci-fi; Los Angeles</t>
  </si>
  <si>
    <t xml:space="preserve">The global new-wave explosion; Polish School &amp; Polish cinema; Film debuts that announced a master</t>
  </si>
  <si>
    <t xml:space="preserve">Law, courts &amp; justice; Marriage &amp; divorce; Fathers &amp; sons / parents &amp; children</t>
  </si>
  <si>
    <t xml:space="preserve">J-horror &amp; Asian horror; Masters of Cinema (Eureka) — silent &amp; world classics lens</t>
  </si>
  <si>
    <t xml:space="preserve">J-horror &amp; Asian horror; Anthology &amp; portmanteau films</t>
  </si>
  <si>
    <t xml:space="preserve">Coming of age; A24 — the indie-studio era</t>
  </si>
  <si>
    <t xml:space="preserve">Screwball comedy; Con artists &amp; grifters; Comedy of remarriage; Ernst Lubitsch &amp; Preston Sturges</t>
  </si>
  <si>
    <t xml:space="preserve">Classic noir (1941–1958); Orson Welles; San Francisco</t>
  </si>
  <si>
    <t xml:space="preserve">Samurai: jidaigeki &amp; chanbara; Pinku &amp; Japanese cult; Tarantino's source code</t>
  </si>
  <si>
    <t xml:space="preserve">Ealing comedies; BFI 100 Best British Films (1999) — selections</t>
  </si>
  <si>
    <t xml:space="preserve">Hal Ashby, Bob Rafelson &amp; the BBS crowd; Because you loved The Graduate &amp; The Holdovers</t>
  </si>
  <si>
    <t xml:space="preserve">The movie-brat revolution; Neo-western &amp; contemporary western; AFI 100 Years...100 Movies (2007 ed.) — selections; Because you loved The Graduate &amp; The Holdovers</t>
  </si>
  <si>
    <t xml:space="preserve">Neo-noir; Erotic thrillers (1981–1999)</t>
  </si>
  <si>
    <t xml:space="preserve">Martin Scorsese; Faith, doubt &amp; the spiritual</t>
  </si>
  <si>
    <t xml:space="preserve">Non-linear &amp; unreliable narration; Left Bank group; Deleuze: movement-image to time-image</t>
  </si>
  <si>
    <t xml:space="preserve">Golden Age masters (1930s–60s); Yasujirō Ozu; Deleuze: movement-image to time-image; Sight &amp; Sound 2022 Critics' Poll — selections (unranked)</t>
  </si>
  <si>
    <t xml:space="preserve">Cinematography: light, lens &amp; the moving camera; World War I; David Lean; AFI 100 Years...100 Movies (2007 ed.) — selections; BFI 100 Best British Films (1999) — selections</t>
  </si>
  <si>
    <t xml:space="preserve">Kelly Reichardt &amp; the new American regionalists; Isolation &amp; solitude</t>
  </si>
  <si>
    <t xml:space="preserve">Mise-en-scène &amp; production design; Italian modernism: Fellini, Antonioni, Visconti, Pasolini; Because you loved The Godfather, Apocalypse Now &amp; The Untouchables</t>
  </si>
  <si>
    <t xml:space="preserve">Paul Thomas Anderson; Hangout movies</t>
  </si>
  <si>
    <t xml:space="preserve">Iranian New Wave; Abbas Kiarostami</t>
  </si>
  <si>
    <t xml:space="preserve">Parody &amp; spoof: ZAZ, Brooks, Python; BFI 100 Best British Films (1999) — selections</t>
  </si>
  <si>
    <t xml:space="preserve">Golden Age masters (1930s–60s); Kenji Mizoguchi &amp; Mikio Naruse; Masters of Cinema (Eureka) — silent &amp; world classics lens</t>
  </si>
  <si>
    <t xml:space="preserve">Alfred Hitchcock; Single-location &amp; chamber films</t>
  </si>
  <si>
    <t xml:space="preserve">'Elevated' / post-horror; Isolation &amp; solitude</t>
  </si>
  <si>
    <t xml:space="preserve">Contemporary Japanese auteurs; Fathers &amp; sons / parents &amp; children</t>
  </si>
  <si>
    <t xml:space="preserve">Editing: montage vs. continuity; Steven Soderbergh</t>
  </si>
  <si>
    <t xml:space="preserve">Cinema Novo (Brazil); Scorsese's World Cinema Project restorations</t>
  </si>
  <si>
    <t xml:space="preserve">Steven Spielberg; American politics &amp; power; American history on film</t>
  </si>
  <si>
    <t xml:space="preserve">Dystopias &amp; social sci-fi; Yorgos Lanthimos &amp; the Greek Weird Wave</t>
  </si>
  <si>
    <t xml:space="preserve">Comfort &amp; feel-good classics; BFI 100 Best British Films (1999) — selections</t>
  </si>
  <si>
    <t xml:space="preserve">Heist films; Steven Soderbergh</t>
  </si>
  <si>
    <t xml:space="preserve">French New Wave (Nouvelle Vague); Jacques Demy &amp; the European musical</t>
  </si>
  <si>
    <t xml:space="preserve">Mainland China: Fifth &amp; Sixth Generations; Neon-soaked night movies</t>
  </si>
  <si>
    <t xml:space="preserve">Neo-noir; Robert Altman; Los Angeles</t>
  </si>
  <si>
    <t xml:space="preserve">Reflexive, performative &amp; essay documentary; Essay films; Los Angeles</t>
  </si>
  <si>
    <t xml:space="preserve">Mexican cinema: Golden Age to the Three Amigos; Luis Buñuel</t>
  </si>
  <si>
    <t xml:space="preserve">Neo-noir; David Lynch; Mind-game &amp; puzzle films; Because you loved Jacob's Ladder, Inland Empire &amp; Blue Velvet</t>
  </si>
  <si>
    <t xml:space="preserve">Women filmmakers: a counter-canon; Isolation &amp; solitude; Paris &amp; Tokyo</t>
  </si>
  <si>
    <t xml:space="preserve">The coming of sound; Classic Hollywood musical: Berkeley, Astaire, Freed Unit</t>
  </si>
  <si>
    <t xml:space="preserve">Third Cinema &amp; Latin American political film; Scorsese's World Cinema Project restorations</t>
  </si>
  <si>
    <t xml:space="preserve">Sound &amp; music; The coming of sound; Serial killer procedurals; Sight &amp; Sound 2022 Critics' Poll — selections (unranked); History of World Cinema — a two-semester survey</t>
  </si>
  <si>
    <t xml:space="preserve">Satire &amp; black comedy; Anti-war &amp; war as absurdity; Robert Altman; AFI 100 Years...100 Movies (2007 ed.) — selections</t>
  </si>
  <si>
    <t xml:space="preserve">Editing: montage vs. continuity; Modern action craft (2000s–now)</t>
  </si>
  <si>
    <t xml:space="preserve">Mise-en-scène &amp; production design; Orson Welles</t>
  </si>
  <si>
    <t xml:space="preserve">Sundance, Miramax &amp; the 90s indie; Paul Thomas Anderson; Hyperlink &amp; network narrative</t>
  </si>
  <si>
    <t xml:space="preserve">Spike Lee; American history on film; Because you loved Do the Right Thing, Fruitvale Station &amp; American History X</t>
  </si>
  <si>
    <t xml:space="preserve">The studio system at its height; Classic noir (1941–1958); San Francisco; American literature adaptations; AFI 100 Years...100 Movies (2007 ed.) — selections</t>
  </si>
  <si>
    <t xml:space="preserve">Found footage &amp; screen horror; Mockumentary</t>
  </si>
  <si>
    <t xml:space="preserve">Sound &amp; music; Robert Bresson; Prison &amp; confinement</t>
  </si>
  <si>
    <t xml:space="preserve">Ealing comedies; Because you loved The Hudsucker Proxy &amp; Raising Arizona</t>
  </si>
  <si>
    <t xml:space="preserve">Neo-noir; Coen Brothers</t>
  </si>
  <si>
    <t xml:space="preserve">Critical-analysis films from Film Art; Soviet montage; Late silent masterpieces; Foundations &amp; poetic mode; Montage theory: Eisenstein, Kuleshov, Vertov; Sight &amp; Sound 2022 Critics' Poll — selections (unranked); Intro to Film Studies — a 15-week semester</t>
  </si>
  <si>
    <t xml:space="preserve">Dogme 95 &amp; modern Nordic; Aki Kaurismäki &amp; Roy Andersson</t>
  </si>
  <si>
    <t xml:space="preserve">1970s paranoid &amp; conspiracy thrillers; American politics &amp; power</t>
  </si>
  <si>
    <t xml:space="preserve">Serial killer procedurals; Jean-Pierre Melville &amp; Michael Mann</t>
  </si>
  <si>
    <t xml:space="preserve">Alfred Hitchcock; Mulvey &amp; the male gaze</t>
  </si>
  <si>
    <t xml:space="preserve">Comedy of remarriage; Marriage &amp; divorce</t>
  </si>
  <si>
    <t xml:space="preserve">The new millennium canon; Paul Thomas Anderson; Because you loved Magnolia &amp; Punch-Drunk Love</t>
  </si>
  <si>
    <t xml:space="preserve">Work, labor &amp; class; American history on film</t>
  </si>
  <si>
    <t xml:space="preserve">Cyberpunk &amp; virtual reality; Philosophy on film: meaning, mind &amp; morality</t>
  </si>
  <si>
    <t xml:space="preserve">Powell &amp; Pressburger (The Archers); BFI 100 Best British Films (1999) — selections</t>
  </si>
  <si>
    <t xml:space="preserve">The movie-brat revolution; Revisionist western; Robert Altman; Winter &amp; cold films</t>
  </si>
  <si>
    <t xml:space="preserve">The movie-brat revolution; Martin Scorsese; New York City</t>
  </si>
  <si>
    <t xml:space="preserve">Television, fame &amp; media; Because you loved Do the Right Thing, Fruitvale Station &amp; American History X</t>
  </si>
  <si>
    <t xml:space="preserve">Frank Capra; Because you loved The Hudsucker Proxy &amp; Raising Arizona</t>
  </si>
  <si>
    <t xml:space="preserve">Critical-analysis films from Film Art; Classic Hollywood musical: Berkeley, Astaire, Freed Unit; Christmas canon (and anti-canon)</t>
  </si>
  <si>
    <t xml:space="preserve">Editing: montage vs. continuity; Non-linear &amp; unreliable narration; Christopher Nolan &amp; Denis Villeneuve; Mind-game &amp; puzzle films</t>
  </si>
  <si>
    <t xml:space="preserve">The new millennium canon; Korean Golden Age &amp; Korean New Wave; Serial killer procedurals; Bong Joon-ho &amp; Park Chan-wook; Because you loved High and Low &amp; Ghost Dog</t>
  </si>
  <si>
    <t xml:space="preserve">The global new-wave explosion; Third Cinema &amp; Latin American political film</t>
  </si>
  <si>
    <t xml:space="preserve">Black American cinema: 1986 to now; Hood films; Because you loved Do the Right Thing, Fruitvale Station &amp; American History X</t>
  </si>
  <si>
    <t xml:space="preserve">Surrealism &amp; Dada; American underground &amp; structural film; Women filmmakers: a counter-canon; Sight &amp; Sound 2022 Critics' Poll — selections (unranked); Intro to Film Studies — a 15-week semester</t>
  </si>
  <si>
    <t xml:space="preserve">Mise-en-scène &amp; production design; German Expressionism &amp; Weimar cinema; Early &amp; 1950s atomic-age sci-fi; Dystopias &amp; social sci-fi; Masters of Cinema (Eureka) — silent &amp; world classics lens</t>
  </si>
  <si>
    <t xml:space="preserve">Jean-Pierre Melville &amp; Michael Mann; Vulgar auteurism</t>
  </si>
  <si>
    <t xml:space="preserve">The movie-brat revolution; New York City; AFI 100 Years...100 Movies (2007 ed.) — selections</t>
  </si>
  <si>
    <t xml:space="preserve">Mike Nichols &amp; Elaine May; Because you loved Magnolia &amp; Punch-Drunk Love</t>
  </si>
  <si>
    <t xml:space="preserve">Taiwan New Cinema; Hou Hsiao-hsien, Edward Yang &amp; Tsai Ming-liang</t>
  </si>
  <si>
    <t xml:space="preserve">The gangster film: rise &amp; fall; Coen Brothers; Because you loved The Godfather, Apocalypse Now &amp; The Untouchables</t>
  </si>
  <si>
    <t xml:space="preserve">Accented &amp; diasporic cinema; A24 — the indie-studio era</t>
  </si>
  <si>
    <t xml:space="preserve">Tech-noir &amp; future noir; Dystopias &amp; social sci-fi; Steven Spielberg</t>
  </si>
  <si>
    <t xml:space="preserve">Ernst Lubitsch &amp; Preston Sturges; Because you loved The Hudsucker Proxy &amp; Raising Arizona</t>
  </si>
  <si>
    <t xml:space="preserve">Andrei Tarkovsky; Deleuze: movement-image to time-image; Time, memory &amp; loops; Sight &amp; Sound 2022 Critics' Poll — selections (unranked); Because you loved Synecdoche, NY &amp; I'm Thinking of Ending Things; Because you loved First Reformed &amp; The Tree of Life</t>
  </si>
  <si>
    <t xml:space="preserve">Work, labor &amp; class; AFI 100 Years...100 Movies (2007 ed.) — selections</t>
  </si>
  <si>
    <t xml:space="preserve">Philosophy on film: meaning, mind &amp; morality; Because you loved Waking Life &amp; My Dinner with Andre</t>
  </si>
  <si>
    <t xml:space="preserve">Cerebral &amp; hard sci-fi; Isolation &amp; solitude</t>
  </si>
  <si>
    <t xml:space="preserve">The current canon-in-progress; Black American cinema: 1986 to now; New Queer Cinema &amp; after; Coming of age; Sight &amp; Sound 2022 Critics' Poll — selections (unranked); A24 — the indie-studio era; American Film History — a one-semester survey; Because you loved Do the Right Thing, Fruitvale Station &amp; American History X</t>
  </si>
  <si>
    <t xml:space="preserve">Robert Bresson; Tarkovsky's top 10 (1972)</t>
  </si>
  <si>
    <t xml:space="preserve">The studio system at its height; Frank Capra; American politics &amp; power; AFI 100 Years...100 Movies (2007 ed.) — selections</t>
  </si>
  <si>
    <t xml:space="preserve">Non-linear &amp; unreliable narration; The new millennium canon; David Lynch; Mind-game &amp; puzzle films; Los Angeles; Movies about movies; Sight &amp; Sound 2022 Critics' Poll — selections (unranked); The Criterion Collection — art-house starter pack; Because you loved Jacob's Ladder, Inland Empire &amp; Blue Velvet</t>
  </si>
  <si>
    <t xml:space="preserve">African cinema: Sembène &amp; after; Scorsese's World Cinema Project restorations</t>
  </si>
  <si>
    <t xml:space="preserve">Espionage &amp; Cold War spy; Steven Spielberg</t>
  </si>
  <si>
    <t xml:space="preserve">Slashers; Canuxploitation &amp; tax-shelter horror</t>
  </si>
  <si>
    <t xml:space="preserve">Philosophy on film: meaning, mind &amp; morality; Single-location &amp; chamber films</t>
  </si>
  <si>
    <t xml:space="preserve">Hayao Miyazaki &amp; Studio Ghibli; Comfort &amp; feel-good classics; Roger Ebert's 'Great Movies' — selections</t>
  </si>
  <si>
    <t xml:space="preserve">French New Wave (Nouvelle Vague); Walk-and-talk romance; François Truffaut &amp; Éric Rohmer</t>
  </si>
  <si>
    <t xml:space="preserve">New Queer Cinema &amp; after; Road movies</t>
  </si>
  <si>
    <t xml:space="preserve">Jim Jarmusch; Anthology &amp; portmanteau films; Hangout movies</t>
  </si>
  <si>
    <t xml:space="preserve">Foundations &amp; poetic mode; Bazin &amp; realism: the ontology of the image</t>
  </si>
  <si>
    <t xml:space="preserve">The movie-brat revolution; Robert Altman; Hyperlink &amp; network narrative; Music &amp; musicians; AFI 100 Years...100 Movies (2007 ed.) — selections; Because you loved Magnolia &amp; Punch-Drunk Love</t>
  </si>
  <si>
    <t xml:space="preserve">Faith, doubt &amp; the spiritual; Tarkovsky's top 10 (1972)</t>
  </si>
  <si>
    <t xml:space="preserve">Fathers &amp; sons / parents &amp; children; Road movies; Because you loved The Graduate &amp; The Holdovers</t>
  </si>
  <si>
    <t xml:space="preserve">The movie-brat revolution; Satire &amp; black comedy; Sidney Lumet; Journalism &amp; the press; Television, fame &amp; media; AFI 100 Years...100 Movies (2007 ed.) — selections; Because you loved Magnolia &amp; Punch-Drunk Love</t>
  </si>
  <si>
    <t xml:space="preserve">Essay films; Chantal Akerman</t>
  </si>
  <si>
    <t xml:space="preserve">Left Bank group; World War II &amp; the Holocaust; Foundations &amp; poetic mode</t>
  </si>
  <si>
    <t xml:space="preserve">Comedy teams &amp; anarchic comedy; AFI 100 Years...100 Movies (2007 ed.) — selections</t>
  </si>
  <si>
    <t xml:space="preserve">Classic noir (1941–1958); American literature adaptations; Southern Gothic; Sight &amp; Sound 2022 Critics' Poll — selections (unranked)</t>
  </si>
  <si>
    <t xml:space="preserve">Zombie lineage; Paracinema, cult &amp; 'badfilm'; Midnight movies</t>
  </si>
  <si>
    <t xml:space="preserve">Neo-noir; Journalism &amp; the press</t>
  </si>
  <si>
    <t xml:space="preserve">Postwar realism &amp; art cinema; Federico Fellini</t>
  </si>
  <si>
    <t xml:space="preserve">New Argentine &amp; contemporary Latin American auteurs; Con artists &amp; grifters</t>
  </si>
  <si>
    <t xml:space="preserve">The new millennium canon; Neo-western &amp; contemporary western; Coen Brothers; American literature adaptations</t>
  </si>
  <si>
    <t xml:space="preserve">Work, labor &amp; class; Because you loved I, Daniel Blake &amp; The Pursuit of Happyness</t>
  </si>
  <si>
    <t xml:space="preserve">Critical-analysis films from Film Art; Alfred Hitchcock; AFI 100 Years...100 Movies (2007 ed.) — selections</t>
  </si>
  <si>
    <t xml:space="preserve">German Expressionism &amp; Weimar cinema; Bazin &amp; realism: the ontology of the image; Masters of Cinema (Eureka) — silent &amp; world classics lens</t>
  </si>
  <si>
    <t xml:space="preserve">Black American cinema: 1986 to now; Because you loved Do the Right Thing, Fruitvale Station &amp; American History X</t>
  </si>
  <si>
    <t xml:space="preserve">Espionage &amp; Cold War spy; Alfred Hitchcock</t>
  </si>
  <si>
    <t xml:space="preserve">Italian modernism: Fellini, Antonioni, Visconti, Pasolini; Michelangelo Antonioni; Kubrick's top 10 (1963)</t>
  </si>
  <si>
    <t xml:space="preserve">Hitchcock &amp; the Hitchcockian; Brian De Palma</t>
  </si>
  <si>
    <t xml:space="preserve">Heist films; Steven Soderbergh; Because you loved Baby Driver &amp; Catch Me If You Can</t>
  </si>
  <si>
    <t xml:space="preserve">Soviet montage; Montage theory: Eisenstein, Kuleshov, Vertov</t>
  </si>
  <si>
    <t xml:space="preserve">Classic Hollywood musical: Berkeley, Astaire, Freed Unit; New York City</t>
  </si>
  <si>
    <t xml:space="preserve">1950s: widescreen, Method, and anxiety; Work, labor &amp; class; AFI 100 Years...100 Movies (2007 ed.) — selections; American Film History — a one-semester survey</t>
  </si>
  <si>
    <t xml:space="preserve">Walk-and-talk romance; Music &amp; musicians</t>
  </si>
  <si>
    <t xml:space="preserve">1980s auteurs against the grain; The gangster film: rise &amp; fall; Sergio Leone; Because you loved The Godfather, Apocalypse Now &amp; The Untouchables</t>
  </si>
  <si>
    <t xml:space="preserve">Sound &amp; music; Spaghetti westerns; Sergio Leone</t>
  </si>
  <si>
    <t xml:space="preserve">New Zealand &amp; Canadian auteurs; Indigenous cinema</t>
  </si>
  <si>
    <t xml:space="preserve">Mental health &amp; the mind on screen; American literature adaptations; AFI 100 Years...100 Movies (2007 ed.) — selections</t>
  </si>
  <si>
    <t xml:space="preserve">Japanese New Wave (Nuberu Bagu); Folk horror; J-horror &amp; Asian horror; Masters of Cinema (Eureka) — silent &amp; world classics lens</t>
  </si>
  <si>
    <t xml:space="preserve">The studio system at its height; Howard Hawks</t>
  </si>
  <si>
    <t xml:space="preserve">John Cassavetes; Because you loved Synecdoche, NY &amp; I'm Thinking of Ending Things</t>
  </si>
  <si>
    <t xml:space="preserve">Christopher Nolan &amp; Denis Villeneuve; Scientists &amp; science on film; Nuclear anxiety</t>
  </si>
  <si>
    <t xml:space="preserve">Scandinavian masters: Dreyer, Sjöström, Bergman; Transcendental style &amp; slow cinema; Faith, doubt &amp; the spiritual; Because you loved First Reformed &amp; The Tree of Life</t>
  </si>
  <si>
    <t xml:space="preserve">Spanish cinema: Buñuel to Almodóvar; Haunted house &amp; ghost stories</t>
  </si>
  <si>
    <t xml:space="preserve">Critical-analysis films from Film Art; Silent comedy: Chaplin, Keaton, Lloyd</t>
  </si>
  <si>
    <t xml:space="preserve">Editing: montage vs. continuity; Steven Soderbergh; Because you loved Baby Driver &amp; Catch Me If You Can</t>
  </si>
  <si>
    <t xml:space="preserve">Japanese New Wave (Nuberu Bagu); Yakuza &amp; Japanese crime; Because you loved High and Low &amp; Ghost Dog</t>
  </si>
  <si>
    <t xml:space="preserve">Screwball comedy; Ernst Lubitsch &amp; Preston Sturges</t>
  </si>
  <si>
    <t xml:space="preserve">German Expressionism &amp; Weimar cinema; Late silent masterpieces</t>
  </si>
  <si>
    <t xml:space="preserve">Con artists &amp; grifters; Fathers &amp; sons / parents &amp; children; Because you loved The Graduate &amp; The Holdovers</t>
  </si>
  <si>
    <t xml:space="preserve">Anime as art; Because you loved Everything Everywhere All at Once &amp; Barbie</t>
  </si>
  <si>
    <t xml:space="preserve">The current canon-in-progress; Bong Joon-ho &amp; Park Chan-wook; Money, markets &amp; economics; Sight &amp; Sound 2022 Critics' Poll — selections (unranked); History of World Cinema — a two-semester survey</t>
  </si>
  <si>
    <t xml:space="preserve">French New Wave (Nouvelle Vague); Paris &amp; Tokyo</t>
  </si>
  <si>
    <t xml:space="preserve">Portrait &amp; true-crime documentary; New Queer Cinema &amp; after</t>
  </si>
  <si>
    <t xml:space="preserve">New German Cinema; Accented &amp; diasporic cinema; Road movies; The Criterion Collection — art-house starter pack</t>
  </si>
  <si>
    <t xml:space="preserve">French Impressionism &amp; the avant-garde; Scandinavian masters: Dreyer, Sjöström, Bergman; Faith, doubt &amp; the spiritual; Sight &amp; Sound 2022 Critics' Poll — selections (unranked); History of World Cinema — a two-semester survey</t>
  </si>
  <si>
    <t xml:space="preserve">The current canon-in-progress; Romantic comedy lineage; Walk-and-talk romance; Accented &amp; diasporic cinema; A24 — the indie-studio era</t>
  </si>
  <si>
    <t xml:space="preserve">Postwar realism &amp; art cinema; Satyajit Ray &amp; Indian parallel cinema; Satyajit Ray; Sight &amp; Sound 2022 Critics' Poll — selections (unranked); History of World Cinema — a two-semester survey</t>
  </si>
  <si>
    <t xml:space="preserve">1950s: widescreen, Method, and anxiety; World War I; Anti-war &amp; war as absurdity; Stanley Kubrick; Law, courts &amp; justice</t>
  </si>
  <si>
    <t xml:space="preserve">Powell &amp; Pressburger (The Archers); Slashers; Mulvey &amp; the male gaze</t>
  </si>
  <si>
    <t xml:space="preserve">The current canon-in-progress; Isolation &amp; solitude; Paris &amp; Tokyo</t>
  </si>
  <si>
    <t xml:space="preserve">Contemporary Iranian &amp; Middle Eastern cinema; Adult &amp; world animation</t>
  </si>
  <si>
    <t xml:space="preserve">The global new-wave explosion; Scandinavian masters: Dreyer, Sjöström, Bergman; Ingmar Bergman; Sight &amp; Sound 2022 Critics' Poll — selections (unranked); Tarkovsky's top 10 (1972); Because you loved Jacob's Ladder, Inland Empire &amp; Blue Velvet; Because you loved Synecdoche, NY &amp; I'm Thinking of Ending Things</t>
  </si>
  <si>
    <t xml:space="preserve">Roadshow, rock &amp; revisionist musicals; Brian De Palma</t>
  </si>
  <si>
    <t xml:space="preserve">The current canon-in-progress; Paul Thomas Anderson; Because you loved Magnolia &amp; Punch-Drunk Love</t>
  </si>
  <si>
    <t xml:space="preserve">Screwball comedy; Comedy of remarriage; AFI 100 Years...100 Movies (2007 ed.) — selections</t>
  </si>
  <si>
    <t xml:space="preserve">New Zealand &amp; Canadian auteurs; Women filmmakers: a counter-canon</t>
  </si>
  <si>
    <t xml:space="preserve">Postwar realism &amp; art cinema; Robert Bresson; Transcendental style &amp; slow cinema</t>
  </si>
  <si>
    <t xml:space="preserve">French New Wave (Nouvelle Vague); Jean-Luc Godard</t>
  </si>
  <si>
    <t xml:space="preserve">New Queer Cinema &amp; after; Paracinema, cult &amp; 'badfilm'; Midnight movies</t>
  </si>
  <si>
    <t xml:space="preserve">Modern American studio comedy (1978–2015); Road movies</t>
  </si>
  <si>
    <t xml:space="preserve">Mainland China: Fifth &amp; Sixth Generations; Apichatpong Weerasethakul &amp; Jia Zhangke</t>
  </si>
  <si>
    <t xml:space="preserve">Vietnam; AFI 100 Years...100 Movies (2007 ed.) — selections</t>
  </si>
  <si>
    <t xml:space="preserve">The long take &amp; the oner; Robert Altman; Movies about movies</t>
  </si>
  <si>
    <t xml:space="preserve">Mise-en-scène &amp; production design; Sight &amp; Sound 2022 Critics' Poll — selections (unranked); Because you loved Magnolia &amp; Punch-Drunk Love; Because you loved Everything Everywhere All at Once &amp; Barbie</t>
  </si>
  <si>
    <t xml:space="preserve">Neo-noir; Because you loved High and Low &amp; Ghost Dog; Because you loved Baby Driver &amp; Catch Me If You Can</t>
  </si>
  <si>
    <t xml:space="preserve">Sundance, Miramax &amp; the 90s indie; New Queer Cinema &amp; after</t>
  </si>
  <si>
    <t xml:space="preserve">The current canon-in-progress; Contemporary French auteurs; Mulvey &amp; the male gaze; Women filmmakers: a counter-canon; New Queer Cinema &amp; after; Sight &amp; Sound 2022 Critics' Poll — selections (unranked)</t>
  </si>
  <si>
    <t xml:space="preserve">Body horror; Horror &amp; gender: Clover, Creed, Williams; Video nasties; Because you loved Jacob's Ladder, Inland Empire &amp; Blue Velvet</t>
  </si>
  <si>
    <t xml:space="preserve">Steven Spielberg; Journalism &amp; the press</t>
  </si>
  <si>
    <t xml:space="preserve">Cerebral &amp; hard sci-fi; Mind-game &amp; puzzle films; Time, memory &amp; loops</t>
  </si>
  <si>
    <t xml:space="preserve">Satanic panic &amp; religious horror; John Carpenter</t>
  </si>
  <si>
    <t xml:space="preserve">1970s cop films &amp; urban crime; Sidney Lumet</t>
  </si>
  <si>
    <t xml:space="preserve">Swashbucklers &amp; classic adventure; Comfort &amp; feel-good classics</t>
  </si>
  <si>
    <t xml:space="preserve">Serial killer procedurals; Christopher Nolan &amp; Denis Villeneuve</t>
  </si>
  <si>
    <t xml:space="preserve">Contemporary French auteurs; Prison &amp; confinement</t>
  </si>
  <si>
    <t xml:space="preserve">Editing: montage vs. continuity; Slashers; Alfred Hitchcock; Horror &amp; gender: Clover, Creed, Williams; Sight &amp; Sound 2022 Critics' Poll — selections (unranked); AFI 100 Years...100 Movies (2007 ed.) — selections; Intro to Film Studies — a 15-week semester; American Film History — a one-semester survey</t>
  </si>
  <si>
    <t xml:space="preserve">Pre-Code Hollywood; The gangster film: rise &amp; fall; American Film History — a one-semester survey</t>
  </si>
  <si>
    <t xml:space="preserve">Non-linear &amp; unreliable narration; Quentin Tarantino; Postmodern pastiche &amp; the nostalgia film; Hyperlink &amp; network narrative; AFI 100 Years...100 Movies (2007 ed.) — selections; American Film History — a one-semester survey</t>
  </si>
  <si>
    <t xml:space="preserve">J-horror &amp; Asian horror; AI, computers &amp; the internet; Arrow Video — cult &amp; genre lens</t>
  </si>
  <si>
    <t xml:space="preserve">Cringe, deadpan &amp; awkward comedy; Paul Thomas Anderson</t>
  </si>
  <si>
    <t xml:space="preserve">Body horror; Canuxploitation &amp; tax-shelter horror</t>
  </si>
  <si>
    <t xml:space="preserve">Critical-analysis films from Film Art; 1980s auteurs against the grain; Martin Scorsese; Sports films; AFI 100 Years...100 Movies (2007 ed.) — selections</t>
  </si>
  <si>
    <t xml:space="preserve">High concept &amp; the blockbuster; Swashbucklers &amp; classic adventure; Steven Spielberg; AFI 100 Years...100 Movies (2007 ed.) — selections</t>
  </si>
  <si>
    <t xml:space="preserve">Samurai: jidaigeki &amp; chanbara; Akira Kurosawa</t>
  </si>
  <si>
    <t xml:space="preserve">Non-linear &amp; unreliable narration; Postwar realism &amp; art cinema; Akira Kurosawa; Sight &amp; Sound 2022 Critics' Poll — selections (unranked); Intro to Film Studies — a 15-week semester; History of World Cinema — a two-semester survey</t>
  </si>
  <si>
    <t xml:space="preserve">Pixar &amp; the CG revolution; Food &amp; cooking</t>
  </si>
  <si>
    <t xml:space="preserve">British social realism (1980s–now); Coming of age; Film debuts that announced a master</t>
  </si>
  <si>
    <t xml:space="preserve">New French Extremity; Horror &amp; gender: Clover, Creed, Williams</t>
  </si>
  <si>
    <t xml:space="preserve">Body horror; Arrow Video — cult &amp; genre lens</t>
  </si>
  <si>
    <t xml:space="preserve">1950s: widescreen, Method, and anxiety; Hitchcock &amp; the Hitchcockian; Alfred Hitchcock; Mulvey &amp; the male gaze; Sight &amp; Sound 2022 Critics' Poll — selections (unranked); AFI 100 Years...100 Movies (2007 ed.) — selections</t>
  </si>
  <si>
    <t xml:space="preserve">Alfred Hitchcock; Pre-Stonewall &amp; coded queer cinema</t>
  </si>
  <si>
    <t xml:space="preserve">1950s: widescreen, Method, and anxiety; Nicholas Ray &amp; Samuel Fuller; Pre-Stonewall &amp; coded queer cinema; Coming of age; American Film History — a one-semester survey</t>
  </si>
  <si>
    <t xml:space="preserve">Classical western; Howard Hawks</t>
  </si>
  <si>
    <t xml:space="preserve">Mise-en-scène &amp; production design; Powell &amp; Pressburger (The Archers); BFI 100 Best British Films (1999) — selections</t>
  </si>
  <si>
    <t xml:space="preserve">Los Angeles; Midnight movies</t>
  </si>
  <si>
    <t xml:space="preserve">Swinging London &amp; the 60s–70s British art film; Because you loved Jacob's Ladder, Inland Empire &amp; Blue Velvet</t>
  </si>
  <si>
    <t xml:space="preserve">Sundance, Miramax &amp; the 90s indie; Heist films; Quentin Tarantino; Single-location &amp; chamber films; Film debuts that announced a master</t>
  </si>
  <si>
    <t xml:space="preserve">French crime &amp; policier; Heist films</t>
  </si>
  <si>
    <t xml:space="preserve">J-horror &amp; Asian horror; East–West remakes &amp; lineages</t>
  </si>
  <si>
    <t xml:space="preserve">Classical western; Howard Hawks; Hangout movies</t>
  </si>
  <si>
    <t xml:space="preserve">Tech-noir &amp; future noir; Dystopias &amp; social sci-fi; 1980s–90s action</t>
  </si>
  <si>
    <t xml:space="preserve">Sports films; AFI 100 Years...100 Movies (2007 ed.) — selections</t>
  </si>
  <si>
    <t xml:space="preserve">Roadshow, rock &amp; revisionist musicals; Paracinema, cult &amp; 'badfilm'; Midnight movies</t>
  </si>
  <si>
    <t xml:space="preserve">Reflexive, performative &amp; essay documentary; Work, labor &amp; class</t>
  </si>
  <si>
    <t xml:space="preserve">Vietnam; Tarantino's source code</t>
  </si>
  <si>
    <t xml:space="preserve">Cinematography: light, lens &amp; the moving camera; The current canon-in-progress; Mexican cinema: Golden Age to the Three Amigos</t>
  </si>
  <si>
    <t xml:space="preserve">Romantic comedy lineage; Comfort &amp; feel-good classics</t>
  </si>
  <si>
    <t xml:space="preserve">Postwar realism &amp; art cinema; Italian Neorealism; World War II &amp; the Holocaust; History of World Cinema — a two-semester survey</t>
  </si>
  <si>
    <t xml:space="preserve">The long take &amp; the oner; Alfred Hitchcock; Pre-Stonewall &amp; coded queer cinema; Real-time films; Single-location &amp; chamber films</t>
  </si>
  <si>
    <t xml:space="preserve">Contemporary French auteurs; Work, labor &amp; class; Because you loved I, Daniel Blake &amp; The Pursuit of Happyness</t>
  </si>
  <si>
    <t xml:space="preserve">Hungarian cinema: Jancsó to Tarr; Second Run — Central &amp; Eastern European lens</t>
  </si>
  <si>
    <t xml:space="preserve">Classic &amp; modern Hindi cinema; Modern action craft (2000s–now)</t>
  </si>
  <si>
    <t xml:space="preserve">Poetic Realism (1930s); Jean Renoir; Bazin &amp; realism: the ontology of the image; Sight &amp; Sound 2022 Critics' Poll — selections (unranked); History of World Cinema — a two-semester survey</t>
  </si>
  <si>
    <t xml:space="preserve">Berlin School &amp; contemporary German-language cinema; Because you loved Baby Driver &amp; Catch Me If You Can</t>
  </si>
  <si>
    <t xml:space="preserve">Sundance, Miramax &amp; the 90s indie; Wes Anderson; Autumn films; The Criterion Collection — art-house starter pack; Because you loved The Graduate &amp; The Holdovers</t>
  </si>
  <si>
    <t xml:space="preserve">The long take &amp; the oner; Real-time films</t>
  </si>
  <si>
    <t xml:space="preserve">Andrei Tarkovsky; Because you loved First Reformed &amp; The Tree of Life</t>
  </si>
  <si>
    <t xml:space="preserve">French crime &amp; policier; Jean-Pierre Melville &amp; Michael Mann; East–West remakes &amp; lineages; Because you loved High and Low &amp; Ghost Dog</t>
  </si>
  <si>
    <t xml:space="preserve">Left Bank group; Reflexive, performative &amp; essay documentary; Essay films</t>
  </si>
  <si>
    <t xml:space="preserve">Hungarian cinema: Jancsó to Tarr; Transcendental style &amp; slow cinema; Sight &amp; Sound 2022 Critics' Poll — selections (unranked)</t>
  </si>
  <si>
    <t xml:space="preserve">World War II &amp; the Holocaust; AFI 100 Years...100 Movies (2007 ed.) — selections</t>
  </si>
  <si>
    <t xml:space="preserve">Romantic comedy lineage; Roger Ebert's 'Great Movies' — selections</t>
  </si>
  <si>
    <t xml:space="preserve">Adult &amp; world animation; Richard Linklater</t>
  </si>
  <si>
    <t xml:space="preserve">David Cronenberg; Canuxploitation &amp; tax-shelter horror</t>
  </si>
  <si>
    <t xml:space="preserve">Pre-Code Hollywood; The gangster film: rise &amp; fall; Howard Hawks</t>
  </si>
  <si>
    <t xml:space="preserve">The gangster film: rise &amp; fall; Brian De Palma</t>
  </si>
  <si>
    <t xml:space="preserve">Ingmar Bergman; Marriage &amp; divorce</t>
  </si>
  <si>
    <t xml:space="preserve">World War II &amp; the Holocaust; Steven Spielberg; AFI 100 Years...100 Movies (2007 ed.) — selections</t>
  </si>
  <si>
    <t xml:space="preserve">Richard Linklater; Comfort &amp; feel-good classics</t>
  </si>
  <si>
    <t xml:space="preserve">Serial killer procedurals; David Fincher</t>
  </si>
  <si>
    <t xml:space="preserve">1950s: widescreen, Method, and anxiety; Classical western; John Ford; Sight &amp; Sound 2022 Critics' Poll — selections (unranked); AFI 100 Years...100 Movies (2007 ed.) — selections; Intro to Film Studies — a 15-week semester</t>
  </si>
  <si>
    <t xml:space="preserve">Black American cinema: 1986 to now; American history on film</t>
  </si>
  <si>
    <t xml:space="preserve">The new millennium canon; Contemporary Iranian &amp; Middle Eastern cinema; Marriage &amp; divorce</t>
  </si>
  <si>
    <t xml:space="preserve">Coen Brothers; Philosophy on film: meaning, mind &amp; morality</t>
  </si>
  <si>
    <t xml:space="preserve">Postwar realism &amp; art cinema; Golden Age masters (1930s–60s); Samurai: jidaigeki &amp; chanbara; Akira Kurosawa; East–West remakes &amp; lineages; Sight &amp; Sound 2022 Critics' Poll — selections (unranked); Tarkovsky's top 10 (1972); The Criterion Collection — art-house starter pack</t>
  </si>
  <si>
    <t xml:space="preserve">Postwar realism &amp; art cinema; Scandinavian masters: Dreyer, Sjöström, Bergman; Ingmar Bergman; Philosophy on film: meaning, mind &amp; morality; The Criterion Collection — art-house starter pack; History of World Cinema — a two-semester survey</t>
  </si>
  <si>
    <t xml:space="preserve">Sundance, Miramax &amp; the 90s indie; Steven Soderbergh; Film debuts that announced a master</t>
  </si>
  <si>
    <t xml:space="preserve">John Cassavetes; New York City; Film debuts that announced a master</t>
  </si>
  <si>
    <t xml:space="preserve">Classical western; AFI 100 Years...100 Movies (2007 ed.) — selections</t>
  </si>
  <si>
    <t xml:space="preserve">Sundance, Miramax &amp; the 90s indie; Spike Lee</t>
  </si>
  <si>
    <t xml:space="preserve">Silent comedy: Chaplin, Keaton, Lloyd; Movies about movies; Sight &amp; Sound 2022 Critics' Poll — selections (unranked); Intro to Film Studies — a 15-week semester</t>
  </si>
  <si>
    <t xml:space="preserve">1980s auteurs against the grain; Haunted house &amp; ghost stories; Stanley Kubrick; Winter &amp; cold films</t>
  </si>
  <si>
    <t xml:space="preserve">Body horror; David Cronenberg; Canuxploitation &amp; tax-shelter horror</t>
  </si>
  <si>
    <t xml:space="preserve">World War II &amp; the Holocaust; Sight &amp; Sound 2022 Critics' Poll — selections (unranked)</t>
  </si>
  <si>
    <t xml:space="preserve">Revisionist western; Acid western</t>
  </si>
  <si>
    <t xml:space="preserve">The studio system at its height; Romantic comedy lineage; Ernst Lubitsch &amp; Preston Sturges; Christmas canon (and anti-canon)</t>
  </si>
  <si>
    <t xml:space="preserve">Robert Altman; Hyperlink &amp; network narrative; Los Angeles; American literature adaptations; Because you loved Magnolia &amp; Punch-Drunk Love</t>
  </si>
  <si>
    <t xml:space="preserve">Christopher Nolan &amp; Denis Villeneuve; Dad movies</t>
  </si>
  <si>
    <t xml:space="preserve">The Hollywood screenplay template; Serial killer procedurals; AFI 100 Years...100 Movies (2007 ed.) — selections</t>
  </si>
  <si>
    <t xml:space="preserve">Mexican cinema: Golden Age to the Three Amigos; Transcendental style &amp; slow cinema</t>
  </si>
  <si>
    <t xml:space="preserve">The coming of sound; Classic Hollywood musical: Berkeley, Astaire, Freed Unit; Movies about movies; Comfort &amp; feel-good classics; Sight &amp; Sound 2022 Critics' Poll — selections (unranked); AFI 100 Years...100 Movies (2007 ed.) — selections</t>
  </si>
  <si>
    <t xml:space="preserve">Mind-game &amp; puzzle films; AFI 100 Years...100 Movies (2007 ed.) — selections</t>
  </si>
  <si>
    <t xml:space="preserve">Sundance, Miramax &amp; the 90s indie; Richard Linklater; Hangout movies; Because you loved Waking Life &amp; My Dinner with Andre</t>
  </si>
  <si>
    <t xml:space="preserve">Disney &amp; classic studio animation; AFI 100 Years...100 Movies (2007 ed.) — selections</t>
  </si>
  <si>
    <t xml:space="preserve">Dystopias &amp; social sci-fi; Bong Joon-ho &amp; Park Chan-wook</t>
  </si>
  <si>
    <t xml:space="preserve">David Fincher; AI, computers &amp; the internet; American Film History — a one-semester survey</t>
  </si>
  <si>
    <t xml:space="preserve">1960s–70s New Wave sci-fi; Cerebral &amp; hard sci-fi; Andrei Tarkovsky</t>
  </si>
  <si>
    <t xml:space="preserve">African cinema: Sembène &amp; after; Accented &amp; diasporic cinema; Scorsese's World Cinema Project restorations</t>
  </si>
  <si>
    <t xml:space="preserve">1950s: widescreen, Method, and anxiety; Billy Wilder; Sight &amp; Sound 2022 Critics' Poll — selections (unranked); AFI 100 Years...100 Movies (2007 ed.) — selections</t>
  </si>
  <si>
    <t xml:space="preserve">Dogme 95 &amp; modern Nordic; Cringe, deadpan &amp; awkward comedy; Aki Kaurismäki &amp; Roy Andersson</t>
  </si>
  <si>
    <t xml:space="preserve">Comedy teams &amp; anarchic comedy; Masters of Cinema (Eureka) — silent &amp; world classics lens</t>
  </si>
  <si>
    <t xml:space="preserve">Survival &amp; man-vs-nature; Dad movies</t>
  </si>
  <si>
    <t xml:space="preserve">Commedia all'italiana; Road movies</t>
  </si>
  <si>
    <t xml:space="preserve">Black American cinema: 1986 to now; Because you loved Everything Everywhere All at Once &amp; Barbie</t>
  </si>
  <si>
    <t xml:space="preserve">British social realism (1980s–now); Because you loved I, Daniel Blake &amp; The Pursuit of Happyness</t>
  </si>
  <si>
    <t xml:space="preserve">Sound &amp; music; Music &amp; musicians</t>
  </si>
  <si>
    <t xml:space="preserve">Stanley Kubrick; AFI 100 Years...100 Movies (2007 ed.) — selections</t>
  </si>
  <si>
    <t xml:space="preserve">Spanish cinema: Buñuel to Almodóvar; Coming of age</t>
  </si>
  <si>
    <t xml:space="preserve">The new millennium canon; Hayao Miyazaki &amp; Studio Ghibli; Sight &amp; Sound 2022 Critics' Poll — selections (unranked); Roger Ebert's 'Great Movies' — selections</t>
  </si>
  <si>
    <t xml:space="preserve">Coming of age; Marriage &amp; divorce</t>
  </si>
  <si>
    <t xml:space="preserve">The studio system at its height; Classical western; John Ford; American Film History — a one-semester survey</t>
  </si>
  <si>
    <t xml:space="preserve">Soviet Thaw &amp; late Soviet cinema; 1960s–70s New Wave sci-fi; Cerebral &amp; hard sci-fi; Andrei Tarkovsky; Transcendental style &amp; slow cinema; Sight &amp; Sound 2022 Critics' Poll — selections (unranked); Because you loved The Thing, Children of Men &amp; War of the Worlds</t>
  </si>
  <si>
    <t xml:space="preserve">High concept &amp; the blockbuster; Space opera &amp; sci-fi spectacle; East–West remakes &amp; lineages; AFI 100 Years...100 Movies (2007 ed.) — selections; American Film History — a one-semester survey</t>
  </si>
  <si>
    <t xml:space="preserve">Contemporary Japanese auteurs; Aging, mortality &amp; grief</t>
  </si>
  <si>
    <t xml:space="preserve">Con artists &amp; grifters; Because you loved Baby Driver &amp; Catch Me If You Can</t>
  </si>
  <si>
    <t xml:space="preserve">François Truffaut &amp; Éric Rohmer; Films shot over years</t>
  </si>
  <si>
    <t xml:space="preserve">David Lynch; Aging, mortality &amp; grief</t>
  </si>
  <si>
    <t xml:space="preserve">Tech-noir &amp; future noir; Cyberpunk &amp; virtual reality</t>
  </si>
  <si>
    <t xml:space="preserve">Sundance, Miramax &amp; the 90s indie; Jim Jarmusch</t>
  </si>
  <si>
    <t xml:space="preserve">Yakuza &amp; Japanese crime; Akira Kurosawa; Paris &amp; Tokyo; Because you loved High and Low &amp; Ghost Dog</t>
  </si>
  <si>
    <t xml:space="preserve">1950s: widescreen, Method, and anxiety; American literature adaptations; AFI 100 Years...100 Movies (2007 ed.) — selections</t>
  </si>
  <si>
    <t xml:space="preserve">Steven Spielberg; Because you loved The Hudsucker Proxy &amp; Raising Arizona</t>
  </si>
  <si>
    <t xml:space="preserve">Ernst Lubitsch &amp; Preston Sturges; Road movies; Movies about movies; AFI 100 Years...100 Movies (2007 ed.) — selections; Because you loved The Hudsucker Proxy &amp; Raising Arizona</t>
  </si>
  <si>
    <t xml:space="preserve">Cinematography: light, lens &amp; the moving camera; Late silent masterpieces; Sight &amp; Sound 2022 Critics' Poll — selections (unranked); AFI 100 Years...100 Movies (2007 ed.) — selections; History of World Cinema — a two-semester survey</t>
  </si>
  <si>
    <t xml:space="preserve">The studio system at its height; Billy Wilder; Los Angeles; Movies about movies; AFI 100 Years...100 Movies (2007 ed.) — selections</t>
  </si>
  <si>
    <t xml:space="preserve">Cinema of attractions &amp; early narrative (1895–1914); Women filmmakers: a counter-canon</t>
  </si>
  <si>
    <t xml:space="preserve">1950s: widescreen, Method, and anxiety; Classic noir (1941–1958); Journalism &amp; the press; New York City</t>
  </si>
  <si>
    <t xml:space="preserve">Classic Hollywood musical: Berkeley, Astaire, Freed Unit; AFI 100 Years...100 Movies (2007 ed.) — selections</t>
  </si>
  <si>
    <t xml:space="preserve">Exploitation &amp; grindhouse history; Tarantino's source code</t>
  </si>
  <si>
    <t xml:space="preserve">Charlie Kaufman (writer-director); Philosophy on film: meaning, mind &amp; morality</t>
  </si>
  <si>
    <t xml:space="preserve">Taiwan New Cinema; Scorsese's World Cinema Project restorations</t>
  </si>
  <si>
    <t xml:space="preserve">Mental health &amp; the mind on screen; Because you loved The Thing, Children of Men &amp; War of the Worlds</t>
  </si>
  <si>
    <t xml:space="preserve">1970s cop films &amp; urban crime; Tarantino's source code</t>
  </si>
  <si>
    <t xml:space="preserve">Korean genre machine: thrillers &amp; revenge; J-horror &amp; Asian horror</t>
  </si>
  <si>
    <t xml:space="preserve">New Queer Cinema &amp; after; Mumblecore &amp; microbudget realism; Los Angeles</t>
  </si>
  <si>
    <t xml:space="preserve">American politics &amp; power; Television, fame &amp; media</t>
  </si>
  <si>
    <t xml:space="preserve">Richard Linklater; Single-location &amp; chamber films</t>
  </si>
  <si>
    <t xml:space="preserve">Iranian New Wave; Abbas Kiarostami; Philosophy on film: meaning, mind &amp; morality; Because you loved Waking Life &amp; My Dinner with Andre</t>
  </si>
  <si>
    <t xml:space="preserve">The movie-brat revolution; Martin Scorsese; Isolation &amp; solitude; New York City; Neon-soaked night movies; Sight &amp; Sound 2022 Critics' Poll — selections (unranked); AFI 100 Years...100 Movies (2007 ed.) — selections; Because you loved First Reformed &amp; The Tree of Life</t>
  </si>
  <si>
    <t xml:space="preserve">Giallo; Video nasties</t>
  </si>
  <si>
    <t xml:space="preserve">Italian Neorealism; Bazin &amp; realism: the ontology of the image</t>
  </si>
  <si>
    <t xml:space="preserve">Body horror; Cyberpunk &amp; virtual reality; Pinku &amp; Japanese cult; Arrow Video — cult &amp; genre lens</t>
  </si>
  <si>
    <t xml:space="preserve">Slashers; Horror &amp; gender: Clover, Creed, Williams; Exploitation &amp; grindhouse history</t>
  </si>
  <si>
    <t xml:space="preserve">Cinematography: light, lens &amp; the moving camera; The new millennium canon; Neo-western &amp; contemporary western; Paul Thomas Anderson; American literature adaptations</t>
  </si>
  <si>
    <t xml:space="preserve">Dystopias &amp; social sci-fi; John Carpenter</t>
  </si>
  <si>
    <t xml:space="preserve">1980s auteurs against the grain; Heist films; Jean-Pierre Melville &amp; Michael Mann; Neon-soaked night movies</t>
  </si>
  <si>
    <t xml:space="preserve">Reflexive, performative &amp; essay documentary; Law, courts &amp; justice</t>
  </si>
  <si>
    <t xml:space="preserve">World War II &amp; the Holocaust; Terrence Malick; The Criterion Collection — art-house starter pack</t>
  </si>
  <si>
    <t xml:space="preserve">Body horror; Cosmic &amp; Lovecraftian horror; John Carpenter; Winter &amp; cold films</t>
  </si>
  <si>
    <t xml:space="preserve">Early &amp; 1950s atomic-age sci-fi; Because you loved The Thing, Children of Men &amp; War of the Worlds</t>
  </si>
  <si>
    <t xml:space="preserve">Cinematography: light, lens &amp; the moving camera; BFI 100 Best British Films (1999) — selections; Roger Ebert's 'Great Movies' — selections</t>
  </si>
  <si>
    <t xml:space="preserve">Parody &amp; spoof: ZAZ, Brooks, Python; Mockumentary</t>
  </si>
  <si>
    <t xml:space="preserve">Nuclear anxiety; Because you loved The Thing, Children of Men &amp; War of the Worlds</t>
  </si>
  <si>
    <t xml:space="preserve">1970s paranoid &amp; conspiracy thrillers; Espionage &amp; Cold War spy</t>
  </si>
  <si>
    <t xml:space="preserve">Samurai: jidaigeki &amp; chanbara; Akira Kurosawa; East–West remakes &amp; lineages</t>
  </si>
  <si>
    <t xml:space="preserve">New French Extremity; Body horror</t>
  </si>
  <si>
    <t xml:space="preserve">Disaster films (1970s cycle &amp; after); AFI 100 Years...100 Movies (2007 ed.) — selections</t>
  </si>
  <si>
    <t xml:space="preserve">Direct cinema &amp; cinéma vérité; Mental health &amp; the mind on screen</t>
  </si>
  <si>
    <t xml:space="preserve">Anti-war &amp; war as absurdity; Ernst Lubitsch &amp; Preston Sturges</t>
  </si>
  <si>
    <t xml:space="preserve">Law, courts &amp; justice; American literature adaptations; AFI 100 Years...100 Movies (2007 ed.) — selections</t>
  </si>
  <si>
    <t xml:space="preserve">The global new-wave explosion; Yakuza &amp; Japanese crime; Paris &amp; Tokyo</t>
  </si>
  <si>
    <t xml:space="preserve">Anime as art; Paris &amp; Tokyo; Christmas canon (and anti-canon)</t>
  </si>
  <si>
    <t xml:space="preserve">Contemporary Japanese auteurs; Paris &amp; Tokyo</t>
  </si>
  <si>
    <t xml:space="preserve">Critical-analysis films from Film Art; Postwar realism &amp; art cinema; Golden Age masters (1930s–60s); Yasujirō Ozu; Transcendental style &amp; slow cinema; Aging, mortality &amp; grief; Paris &amp; Tokyo; Sight &amp; Sound 2022 Critics' Poll — selections (unranked); The Criterion Collection — art-house starter pack; History of World Cinema — a two-semester survey</t>
  </si>
  <si>
    <t xml:space="preserve">Berlin School &amp; contemporary German-language cinema; Cringe, deadpan &amp; awkward comedy; Women filmmakers: a counter-canon</t>
  </si>
  <si>
    <t xml:space="preserve">The Hollywood screenplay template; AFI 100 Years...100 Movies (2007 ed.) — selections</t>
  </si>
  <si>
    <t xml:space="preserve">Acid western; Paracinema, cult &amp; 'badfilm'; Midnight movies</t>
  </si>
  <si>
    <t xml:space="preserve">The long take &amp; the oner; Classic noir (1941–1958); Orson Welles; Intro to Film Studies — a 15-week semester</t>
  </si>
  <si>
    <t xml:space="preserve">Survival &amp; man-vs-nature; Mountain films (Bergfilm) &amp; climbing</t>
  </si>
  <si>
    <t xml:space="preserve">The global new-wave explosion; African cinema: Sembène &amp; after; Sight &amp; Sound 2022 Critics' Poll — selections (unranked); Scorsese's World Cinema Project restorations</t>
  </si>
  <si>
    <t xml:space="preserve">The Hollywood screenplay template; Pixar &amp; the CG revolution; AFI 100 Years...100 Movies (2007 ed.) — selections; American Film History — a one-semester survey</t>
  </si>
  <si>
    <t xml:space="preserve">Modern American studio comedy (1978–2015); Money, markets &amp; economics</t>
  </si>
  <si>
    <t xml:space="preserve">Steven Soderbergh; Hyperlink &amp; network narrative</t>
  </si>
  <si>
    <t xml:space="preserve">Korean genre machine: thrillers &amp; revenge; Zombie lineage</t>
  </si>
  <si>
    <t xml:space="preserve">Swashbucklers &amp; classic adventure; Money, markets &amp; economics; AFI 100 Years...100 Movies (2007 ed.) — selections; Kubrick's top 10 (1963)</t>
  </si>
  <si>
    <t xml:space="preserve">The new millennium canon; Terrence Malick</t>
  </si>
  <si>
    <t xml:space="preserve">Cinema of attractions &amp; early narrative (1895–1914); History of World Cinema — a two-semester survey</t>
  </si>
  <si>
    <t xml:space="preserve">The new millennium canon; Southeast Asian art cinema; Apichatpong Weerasethakul &amp; Jia Zhangke; Sight &amp; Sound 2022 Critics' Poll — selections (unranked)</t>
  </si>
  <si>
    <t xml:space="preserve">French crime &amp; policier; Prison &amp; confinement</t>
  </si>
  <si>
    <t xml:space="preserve">New French Extremity; Claire Denis</t>
  </si>
  <si>
    <t xml:space="preserve">Pre-Code Hollywood; Ernst Lubitsch &amp; Preston Sturges</t>
  </si>
  <si>
    <t xml:space="preserve">Mind-game &amp; puzzle films; Postmodern pastiche &amp; the nostalgia film; Television, fame &amp; media; Philosophy on film: meaning, mind &amp; morality</t>
  </si>
  <si>
    <t xml:space="preserve">Hungarian cinema: Jancsó to Tarr; Transcendental style &amp; slow cinema</t>
  </si>
  <si>
    <t xml:space="preserve">The movie-brat revolution; Road movies</t>
  </si>
  <si>
    <t xml:space="preserve">Postwar realism &amp; art cinema; Golden Age masters (1930s–60s); Kenji Mizoguchi &amp; Mikio Naruse; Sight &amp; Sound 2022 Critics' Poll — selections (unranked); Tarkovsky's top 10 (1972)</t>
  </si>
  <si>
    <t xml:space="preserve">Italian Neorealism; Bazin &amp; realism: the ontology of the image; Deleuze: movement-image to time-image; Aging, mortality &amp; grief; Roger Ebert's 'Great Movies' — selections; Because you loved I, Daniel Blake &amp; The Pursuit of Happyness</t>
  </si>
  <si>
    <t xml:space="preserve">Jacques Demy &amp; the European musical; Because you loved Everything Everywhere All at Once &amp; Barbie</t>
  </si>
  <si>
    <t xml:space="preserve">French Impressionism &amp; the avant-garde; Surrealism &amp; Dada; Luis Buñuel</t>
  </si>
  <si>
    <t xml:space="preserve">Southeast Asian art cinema; Apichatpong Weerasethakul &amp; Jia Zhangke; Transcendental style &amp; slow cinema</t>
  </si>
  <si>
    <t xml:space="preserve">Money, markets &amp; economics; Neon-soaked night movies; A24 — the indie-studio era</t>
  </si>
  <si>
    <t xml:space="preserve">'Elevated' / post-horror; A24 — the indie-studio era</t>
  </si>
  <si>
    <t xml:space="preserve">Agnès Varda; Road movies</t>
  </si>
  <si>
    <t xml:space="preserve">Exploitation &amp; grindhouse history; Tarantino's source code; Because you loved Baby Driver &amp; Catch Me If You Can</t>
  </si>
  <si>
    <t xml:space="preserve">Philosophy on film: meaning, mind &amp; morality; Because you loved Synecdoche, NY &amp; I'm Thinking of Ending Things; Because you loved Waking Life &amp; My Dinner with Andre</t>
  </si>
  <si>
    <t xml:space="preserve">Sidney Lumet; Law, courts &amp; justice</t>
  </si>
  <si>
    <t xml:space="preserve">1950s: widescreen, Method, and anxiety; Hitchcock &amp; the Hitchcockian; Alfred Hitchcock; Mulvey &amp; the male gaze; San Francisco; Sight &amp; Sound 2022 Critics' Poll — selections (unranked); AFI 100 Years...100 Movies (2007 ed.) — selections</t>
  </si>
  <si>
    <t xml:space="preserve">1980s auteurs against the grain; Body horror; Cyberpunk &amp; virtual reality; David Cronenberg; The Criterion Collection — art-house starter pack</t>
  </si>
  <si>
    <t xml:space="preserve">Spanish cinema: Buñuel to Almodóvar; Luis Buñuel</t>
  </si>
  <si>
    <t xml:space="preserve">Survival &amp; man-vs-nature; Disaster films (1970s cycle &amp; after)</t>
  </si>
  <si>
    <t xml:space="preserve">Adult &amp; world animation; Richard Linklater; Philosophy on film: meaning, mind &amp; morality</t>
  </si>
  <si>
    <t xml:space="preserve">Swinging London &amp; the 60s–70s British art film; Australian New Wave &amp; Ozploitation; Survival &amp; man-vs-nature</t>
  </si>
  <si>
    <t xml:space="preserve">The movie-brat revolution; Women filmmakers: a counter-canon; Sight &amp; Sound 2022 Critics' Poll — selections (unranked)</t>
  </si>
  <si>
    <t xml:space="preserve">Anti-war &amp; war as absurdity; Nuclear anxiety</t>
  </si>
  <si>
    <t xml:space="preserve">Kelly Reichardt &amp; the new American regionalists; Because you loved I, Daniel Blake &amp; The Pursuit of Happyness</t>
  </si>
  <si>
    <t xml:space="preserve">The long take &amp; the oner; Hungarian cinema: Jancsó to Tarr</t>
  </si>
  <si>
    <t xml:space="preserve">Contemporary Japanese auteurs; Anthology &amp; portmanteau films</t>
  </si>
  <si>
    <t xml:space="preserve">Romantic comedy lineage; Autumn films</t>
  </si>
  <si>
    <t xml:space="preserve">Adult &amp; world animation; Nuclear anxiety</t>
  </si>
  <si>
    <t xml:space="preserve">Teachers, schools &amp; mentors; Music &amp; musicians</t>
  </si>
  <si>
    <t xml:space="preserve">Mike Nichols &amp; Elaine May; Marriage &amp; divorce; Single-location &amp; chamber films; AFI 100 Years...100 Movies (2007 ed.) — selections</t>
  </si>
  <si>
    <t xml:space="preserve">David Lynch; Postmodern pastiche &amp; the nostalgia film</t>
  </si>
  <si>
    <t xml:space="preserve">Postwar realism &amp; art cinema; Scandinavian masters: Dreyer, Sjöström, Bergman; Ingmar Bergman; Philosophy on film: meaning, mind &amp; morality; Aging, mortality &amp; grief; Kubrick's top 10 (1963); Tarkovsky's top 10 (1972); Because you loved Synecdoche, NY &amp; I'm Thinking of Ending Things</t>
  </si>
  <si>
    <t xml:space="preserve">New Argentine &amp; contemporary Latin American auteurs; Anthology &amp; portmanteau films</t>
  </si>
  <si>
    <t xml:space="preserve">American silent features &amp; Griffith; Late silent masterpieces</t>
  </si>
  <si>
    <t xml:space="preserve">Neo-western &amp; contemporary western; Winter &amp; cold films</t>
  </si>
  <si>
    <t xml:space="preserve">New German Cinema; Roger Ebert's 'Great Movies' — selections</t>
  </si>
  <si>
    <t xml:space="preserve">Ingmar Bergman; Faith, doubt &amp; the spiritual; Tarkovsky's top 10 (1972); Because you loved First Reformed &amp; The Tree of Life</t>
  </si>
  <si>
    <t xml:space="preserve">Contemporary Iranian &amp; Middle Eastern cinema; Winter &amp; cold films</t>
  </si>
  <si>
    <t xml:space="preserve">American literature adaptations; Southern Gothic</t>
  </si>
  <si>
    <t xml:space="preserve">Folk horror; 'Elevated' / post-horror; A24 — the indie-studio era</t>
  </si>
  <si>
    <t xml:space="preserve">Hammer &amp; British horror; Folk horror</t>
  </si>
  <si>
    <t xml:space="preserve">American silent features &amp; Griffith; Early Black cinema &amp; race films</t>
  </si>
  <si>
    <t xml:space="preserve">Billy Wilder; Law, courts &amp; justice</t>
  </si>
  <si>
    <t xml:space="preserve">The studio system at its height; Classic Hollywood musical: Berkeley, Astaire, Freed Unit; AFI 100 Years...100 Movies (2007 ed.) — selections; Because you loved Everything Everywhere All at Once &amp; Barbie</t>
  </si>
  <si>
    <t xml:space="preserve">Japanese New Wave (Nuberu Bagu); Isolation &amp; solitude; Tarkovsky's top 10 (1972)</t>
  </si>
  <si>
    <t xml:space="preserve">John Cassavetes; Mental health &amp; the mind on screen</t>
  </si>
  <si>
    <t xml:space="preserve">Spanish cinema: Buñuel to Almodóvar; Pedro Almodóvar</t>
  </si>
  <si>
    <t xml:space="preserve">Mexican cinema: Golden Age to the Three Amigos; Coming of age</t>
  </si>
  <si>
    <t xml:space="preserve">The new millennium canon; Taiwan New Cinema; Hou Hsiao-hsien, Edward Yang &amp; Tsai Ming-liang; Sight &amp; Sound 2022 Critics' Poll — selections (unranked); The Criterion Collection — art-house starter pack; History of World Cinema — a two-semester survey</t>
  </si>
  <si>
    <t xml:space="preserve">The new millennium canon; Serial killer procedurals; David Fincher; Journalism &amp; the press</t>
  </si>
  <si>
    <t xml:space="preserve">Italian Gothic &amp; supernatural horror; Zombie lineage</t>
  </si>
  <si>
    <t xml:space="preserve">Video nasties; Arrow Video — cult &amp; genre lens</t>
  </si>
  <si>
    <t xml:space="preserve">Sound &amp; music; The current canon-in-progress; World War II &amp; the Holocaust; A24 — the indie-studio era</t>
  </si>
  <si>
    <t xml:space="preserve">Source</t>
  </si>
  <si>
    <t xml:space="preserve">Used for (niches)</t>
  </si>
  <si>
    <t xml:space="preserve"># Niches</t>
  </si>
  <si>
    <t xml:space="preserve">'Neo-neorealism' (Scott, NYT 2009)</t>
  </si>
  <si>
    <t xml:space="preserve">A24 catalog</t>
  </si>
  <si>
    <t xml:space="preserve">ABA 'Top 25 Legal Movies' (2008)</t>
  </si>
  <si>
    <t xml:space="preserve">Abbas, Hong Kong: Culture and the Politics of Disappearance (1997)</t>
  </si>
  <si>
    <t xml:space="preserve">Abel, French Cinema: The First Wave, 1915–1929 (1984)</t>
  </si>
  <si>
    <t xml:space="preserve">Agee, 'Comedy's Greatest Era' (Life, 1949)</t>
  </si>
  <si>
    <t xml:space="preserve">Altman</t>
  </si>
  <si>
    <t xml:space="preserve">Altman, The American Film Musical (1987)</t>
  </si>
  <si>
    <t xml:space="preserve">American Grindhouse (doc, 2010)</t>
  </si>
  <si>
    <t xml:space="preserve">Ames, Movies About the Movies: Hollywood Reflected (1997)</t>
  </si>
  <si>
    <t xml:space="preserve">Andersen, Los Angeles Plays Itself (2003)</t>
  </si>
  <si>
    <t xml:space="preserve">Anderson</t>
  </si>
  <si>
    <t xml:space="preserve">Anderson, Edward Yang (2005)</t>
  </si>
  <si>
    <t xml:space="preserve">Andrew &amp; Andrew, Kenji Mizoguchi: A Guide to References and Resources (1981)</t>
  </si>
  <si>
    <t xml:space="preserve">Arrow Video / Arrow Films catalog focus (arrowfilms.com): giallo, Italian horror, Japanese crime, and 80s–90s cult. A lens on the catalog, not a checklist of specific editions</t>
  </si>
  <si>
    <t xml:space="preserve">Arrow Video's Fukasaku reissues</t>
  </si>
  <si>
    <t xml:space="preserve">ASC 'Most Important Cinematographed Films' poll (2019)</t>
  </si>
  <si>
    <t xml:space="preserve">Asimow &amp; Mader, Law and Popular Culture (2004)</t>
  </si>
  <si>
    <t xml:space="preserve">Austin, Contemporary French Cinema (1996)</t>
  </si>
  <si>
    <t xml:space="preserve">Baker, Steven Soderbergh (2011)</t>
  </si>
  <si>
    <t xml:space="preserve">Bansak, Fearing the Dark: The Val Lewton Career (1995)</t>
  </si>
  <si>
    <t xml:space="preserve">Barnouw, Documentary (1974)</t>
  </si>
  <si>
    <t xml:space="preserve">Foundations &amp; poetic mode; Direct cinema &amp; cinéma vérité; Reflexive, performative &amp; essay documentary; Portrait &amp; true-crime documentary</t>
  </si>
  <si>
    <t xml:space="preserve">Barr, Ealing Studios (1977)</t>
  </si>
  <si>
    <t xml:space="preserve">Basinger, A Woman's View (1993)</t>
  </si>
  <si>
    <t xml:space="preserve">Basinger, The World War II Combat Film: Anatomy of a Genre (1986)</t>
  </si>
  <si>
    <t xml:space="preserve">Bassan, 'Trois néobaroques français' (1989)</t>
  </si>
  <si>
    <t xml:space="preserve">Bazin on Neorealism</t>
  </si>
  <si>
    <t xml:space="preserve">Bazin, 'An Aesthetic of Reality: Neorealism' (1948)</t>
  </si>
  <si>
    <t xml:space="preserve">Bazin, 'The Evolution of the Language of Cinema'</t>
  </si>
  <si>
    <t xml:space="preserve">Bazin, 'The Western, or the American Film Par Excellence'</t>
  </si>
  <si>
    <t xml:space="preserve">Bazin, Jean Renoir (1971)</t>
  </si>
  <si>
    <t xml:space="preserve">Bazin, What Is Cinema? (1958–62)</t>
  </si>
  <si>
    <t xml:space="preserve">Mise-en-scène &amp; production design; Bazin &amp; realism: the ontology of the image</t>
  </si>
  <si>
    <t xml:space="preserve">Beard, The Artist as Monster (2001)</t>
  </si>
  <si>
    <t xml:space="preserve">Beard, The Artist as Monster: The Cinema of David Cronenberg (2001)</t>
  </si>
  <si>
    <t xml:space="preserve">Belton, American Cinema/American Culture</t>
  </si>
  <si>
    <t xml:space="preserve">Bergman &amp; Antonioni criticism on alienation</t>
  </si>
  <si>
    <t xml:space="preserve">Bergman &amp; Asimow, Reel Justice (1996)</t>
  </si>
  <si>
    <t xml:space="preserve">Bergman, Images: My Life in Film (1990)</t>
  </si>
  <si>
    <t xml:space="preserve">Berry &amp; Farquhar, China on Screen (2006)</t>
  </si>
  <si>
    <t xml:space="preserve">Beugnet, Claire Denis (2004)</t>
  </si>
  <si>
    <t xml:space="preserve">BFI</t>
  </si>
  <si>
    <t xml:space="preserve">BFI Screenonline</t>
  </si>
  <si>
    <t xml:space="preserve">Biskind, Down and Dirty Pictures (2004)</t>
  </si>
  <si>
    <t xml:space="preserve">Biskind, Easy Riders, Raging Bulls</t>
  </si>
  <si>
    <t xml:space="preserve">Biskind, Easy Riders, Raging Bulls (1998)</t>
  </si>
  <si>
    <t xml:space="preserve">Biskind, Seeing Is Believing (1983)</t>
  </si>
  <si>
    <t xml:space="preserve">Bliss, Brian De Palma (1983)</t>
  </si>
  <si>
    <t xml:space="preserve">Bogdanovich, John Ford (1967)</t>
  </si>
  <si>
    <t xml:space="preserve">Bogle, Toms, Coons, Mulattoes, Mammies, and Bucks (1973)</t>
  </si>
  <si>
    <t xml:space="preserve">Borde &amp; Chaumeton, A Panorama of American Film Noir (1955)</t>
  </si>
  <si>
    <t xml:space="preserve">Bordwell, Narration in the Fiction Film (1985)</t>
  </si>
  <si>
    <t xml:space="preserve">Bordwell, Ozu and the Poetics of Cinema (1988)</t>
  </si>
  <si>
    <t xml:space="preserve">Bordwell, Planet Hong Kong (2000)</t>
  </si>
  <si>
    <t xml:space="preserve">Bordwell, Staiger &amp; Thompson, The Classical Hollywood Cinema (1985)</t>
  </si>
  <si>
    <t xml:space="preserve">Bordwell, The Cinema of Eisenstein (1993)</t>
  </si>
  <si>
    <t xml:space="preserve">Bordwell, The Films of Carl-Theodor Dreyer (1981)</t>
  </si>
  <si>
    <t xml:space="preserve">Bordwell, The Way Hollywood Tells It (2006) and 'Mutual Friends and Chronologies of Chance' (2006) on network narratives</t>
  </si>
  <si>
    <t xml:space="preserve">Bowser &amp; Spence, Writing Himself into History: Oscar Micheaux (2000)</t>
  </si>
  <si>
    <t xml:space="preserve">Bresson, Notes on the Cinematographer (1975)</t>
  </si>
  <si>
    <t xml:space="preserve">Britton, Beyond Bond (2005)</t>
  </si>
  <si>
    <t xml:space="preserve">Brody, Everything Is Cinema (2008)</t>
  </si>
  <si>
    <t xml:space="preserve">Brownlow, David Lean (1996)</t>
  </si>
  <si>
    <t xml:space="preserve">Brownlow, The Parade's Gone By… (1968)</t>
  </si>
  <si>
    <t xml:space="preserve">Brunette, The Films of Michelangelo Antonioni (1998)</t>
  </si>
  <si>
    <t xml:space="preserve">Brunette, Wong Kar-wai (2005)</t>
  </si>
  <si>
    <t xml:space="preserve">Buckland (ed.), Puzzle Films (2009)</t>
  </si>
  <si>
    <t xml:space="preserve">Buckland, Directed by Steven Spielberg (2006)</t>
  </si>
  <si>
    <t xml:space="preserve">Because you loved Jacob's Ladder, Inland Empire &amp; Blue Velvet; Because you loved Synecdoche, NY &amp; I'm Thinking of Ending Things; Because you loved Waking Life &amp; My Dinner with Andre; Because you loved The Godfather, Apocalypse Now &amp; The Untouchables; Because you loved Magnolia &amp; Punch-Drunk Love; Because you loved The Hudsucker Proxy &amp; Raising Arizona; Because you loved The Graduate &amp; The Holdovers; Because you loved First Reformed &amp; The Tree of Life; Because you loved High and Low &amp; Ghost Dog; Because you loved The Thing, Children of Men &amp; War of the Worlds; Because you loved Baby Driver &amp; Catch Me If You Can; Because you loved Do the Right Thing, Fruitvale Station &amp; American History X; Because you loved I, Daniel Blake &amp; The Pursuit of Happyness; Because you loved Everything Everywhere All at Once &amp; Barbie</t>
  </si>
  <si>
    <t xml:space="preserve">Bukatman, Terminal Identity</t>
  </si>
  <si>
    <t xml:space="preserve">Bukatman, Terminal Identity (1993)</t>
  </si>
  <si>
    <t xml:space="preserve">Burch, To the Distant Observer (1979)</t>
  </si>
  <si>
    <t xml:space="preserve">Buñuel, My Last Sigh (1983)</t>
  </si>
  <si>
    <t xml:space="preserve">Cahiers du cinéma annual top tens</t>
  </si>
  <si>
    <t xml:space="preserve">Cahiers du cinéma championing in the 1950s ('Cinema is Nicholas Ray.' — Godard)</t>
  </si>
  <si>
    <t xml:space="preserve">Cameron, 'Modular Narratives' (2008)</t>
  </si>
  <si>
    <t xml:space="preserve">Cannes palmarès</t>
  </si>
  <si>
    <t xml:space="preserve">Contemporary Japanese auteurs; Contemporary French auteurs</t>
  </si>
  <si>
    <t xml:space="preserve">Cannes/Berlin prizes</t>
  </si>
  <si>
    <t xml:space="preserve">Cannes/Venice prizes</t>
  </si>
  <si>
    <t xml:space="preserve">Cannes/Venice/Berlin top prizes</t>
  </si>
  <si>
    <t xml:space="preserve">Carnes (ed.), Past Imperfect: History According to the Movies (1995)</t>
  </si>
  <si>
    <t xml:space="preserve">Carroll</t>
  </si>
  <si>
    <t xml:space="preserve">Carroll, The Philosophy of Horror (1990)</t>
  </si>
  <si>
    <t xml:space="preserve">Cavallaro, Cyberpunk and Cyberculture (2000)</t>
  </si>
  <si>
    <t xml:space="preserve">Cavell, Contesting Tears: The Hollywood Melodrama of the Unknown Woman (1996)</t>
  </si>
  <si>
    <t xml:space="preserve">Cavell, Pursuits of Happiness</t>
  </si>
  <si>
    <t xml:space="preserve">Cavell, Pursuits of Happiness (1981)</t>
  </si>
  <si>
    <t xml:space="preserve">Chanan, Cuban Cinema (2004)</t>
  </si>
  <si>
    <t xml:space="preserve">Chapman, Licence to Thrill (1999)</t>
  </si>
  <si>
    <t xml:space="preserve">Chatman, Antonioni (1985)</t>
  </si>
  <si>
    <t xml:space="preserve">Chatman, Antonioni, or the Surface of the World (1985)</t>
  </si>
  <si>
    <t xml:space="preserve">Chion, Audio-Vision (1990)</t>
  </si>
  <si>
    <t xml:space="preserve">Chion, David Lynch (1995)</t>
  </si>
  <si>
    <t xml:space="preserve">Choi, The South Korean Film Renaissance (2010)</t>
  </si>
  <si>
    <t xml:space="preserve">Christensen &amp; Haas, Projecting Politics: Political Messages in American Films (2005)</t>
  </si>
  <si>
    <t xml:space="preserve">Christie, Arrows of Desire (1985)</t>
  </si>
  <si>
    <t xml:space="preserve">Ciment, Kubrick (1980)</t>
  </si>
  <si>
    <t xml:space="preserve">Cinema &amp; economics courses (e.g., 'Economics through Film' syllabi)</t>
  </si>
  <si>
    <t xml:space="preserve">Clements, Anime: A History (2013)</t>
  </si>
  <si>
    <t xml:space="preserve">Clover, Men, Women, and Chain Saws (1992)</t>
  </si>
  <si>
    <t xml:space="preserve">Clover, Men, Women, and Chain Saws (1992): the 'Final Girl'</t>
  </si>
  <si>
    <t xml:space="preserve">Cohan &amp; Hark (eds.), The Road Movie Book (1997)</t>
  </si>
  <si>
    <t xml:space="preserve">Cohen, Music Documentary scholarship</t>
  </si>
  <si>
    <t xml:space="preserve">Composite based on Sklar, Movie-Made America</t>
  </si>
  <si>
    <t xml:space="preserve">Composite based on the chapter order of Thompson &amp; Bordwell, Film History: An Introduction, and Cousins, The Story of Film: An Odyssey (2011). Not a specific university's syllabus</t>
  </si>
  <si>
    <t xml:space="preserve">Composite of commonly assigned titles in intro courses built on Bordwell &amp; Thompson Film Art, Corrigan &amp; White The Film Experience, and Monaco How to Read a Film. Not a specific university's syllabus</t>
  </si>
  <si>
    <t xml:space="preserve">Conrich &amp; Murray (eds.), New Zealand Filmmakers (2007)</t>
  </si>
  <si>
    <t xml:space="preserve">Cooper, The Cinema of Satyajit Ray (2000)</t>
  </si>
  <si>
    <t xml:space="preserve">Corrigan, The Essay Film (2011)</t>
  </si>
  <si>
    <t xml:space="preserve">Cousins, The Story of Film (book 2004 / series 2011)</t>
  </si>
  <si>
    <t xml:space="preserve">Cinema of attractions &amp; early narrative (1895–1914); American silent features &amp; Griffith; Silent comedy: Chaplin, Keaton, Lloyd; German Expressionism &amp; Weimar cinema; Soviet montage; French Impressionism &amp; the avant-garde; Late silent masterpieces; The coming of sound; Postwar realism &amp; art cinema; The global new-wave explosion</t>
  </si>
  <si>
    <t xml:space="preserve">Cousins, Women Make Film (2018 series)</t>
  </si>
  <si>
    <t xml:space="preserve">Cowie</t>
  </si>
  <si>
    <t xml:space="preserve">Cowie, Coppola (1989)</t>
  </si>
  <si>
    <t xml:space="preserve">Cowie, Ingmar Bergman: A Critical Biography (1982)</t>
  </si>
  <si>
    <t xml:space="preserve">Crafton, The Talkies (1997)</t>
  </si>
  <si>
    <t xml:space="preserve">Creed, The Monstrous-Feminine (1993)</t>
  </si>
  <si>
    <t xml:space="preserve">Crisp, Eric Rohmer: Realist and Moralist (1988)</t>
  </si>
  <si>
    <t xml:space="preserve">Critchley, 'Calm: On Terrence Malick's The Thin Red Line' (2002)</t>
  </si>
  <si>
    <t xml:space="preserve">Criterion 'The Complete Films of Agnès Varda' (2020)</t>
  </si>
  <si>
    <t xml:space="preserve">Criterion Eclipse series</t>
  </si>
  <si>
    <t xml:space="preserve">Criterion's 'Martin Scorsese's World Cinema Project' box sets</t>
  </si>
  <si>
    <t xml:space="preserve">Criticism on family drama</t>
  </si>
  <si>
    <t xml:space="preserve">Criticism on Linklater's Before trilogy</t>
  </si>
  <si>
    <t xml:space="preserve">Cronin (ed.), Herzog on Herzog (2002)</t>
  </si>
  <si>
    <t xml:space="preserve">Crosson, Sport and Film (2013)</t>
  </si>
  <si>
    <t xml:space="preserve">Cruz, 'Mutations and Metamorphoses: Body Horror Is Biological Fiction' (2012)</t>
  </si>
  <si>
    <t xml:space="preserve">Cunningham, Sidney Lumet: Film and Literary Vision (2001)</t>
  </si>
  <si>
    <t xml:space="preserve">Curti, Italian Gothic Horror Films, 1957–1969 (2015)</t>
  </si>
  <si>
    <t xml:space="preserve">D'Lugo, Pedro Almodóvar (2006)</t>
  </si>
  <si>
    <t xml:space="preserve">Dabashi, Close Up: Iranian Cinema, Past, Present and Future (2001)</t>
  </si>
  <si>
    <t xml:space="preserve">Davis, City of Quartz (1990)</t>
  </si>
  <si>
    <t xml:space="preserve">Dawson, Being Hal Ashby (2009)</t>
  </si>
  <si>
    <t xml:space="preserve">Dawson, Quentin Tarantino: The Cinema of Cool (1995)</t>
  </si>
  <si>
    <t xml:space="preserve">de Luca &amp; Jorge (eds.), Slow Cinema (2016)</t>
  </si>
  <si>
    <t xml:space="preserve">Deacy &amp; Ortiz, Theology and Film (2008)</t>
  </si>
  <si>
    <t xml:space="preserve">Desser, Eros Plus Massacre: An Introduction to the Japanese New Wave Cinema (1988)</t>
  </si>
  <si>
    <t xml:space="preserve">Diawara (ed.), Black American Cinema (1993)</t>
  </si>
  <si>
    <t xml:space="preserve">Diawara, African Cinema: Politics and Culture (1992)</t>
  </si>
  <si>
    <t xml:space="preserve">Dika, Games of Terror (1990)</t>
  </si>
  <si>
    <t xml:space="preserve">Dittmar &amp; Michaud (eds.), From Hanoi to Hollywood (1990)</t>
  </si>
  <si>
    <t xml:space="preserve">Doane, The Desire to Desire (1987)</t>
  </si>
  <si>
    <t xml:space="preserve">Doherty, Pre-Code Hollywood: Sex, Immorality, and Insurrection (1999)</t>
  </si>
  <si>
    <t xml:space="preserve">Dwyer, Bollywood's India (2014)</t>
  </si>
  <si>
    <t xml:space="preserve">Dyer, 'Entertainment and Utopia' (1977)</t>
  </si>
  <si>
    <t xml:space="preserve">Dyer, Now You See It (1990)</t>
  </si>
  <si>
    <t xml:space="preserve">Egan, Trash or Treasure? Censorship and the Changing Meanings of the Video Nasties (2007)</t>
  </si>
  <si>
    <t xml:space="preserve">Ehrlich, Journalism in the Movies (2004)</t>
  </si>
  <si>
    <t xml:space="preserve">Eisenschitz, Nicholas Ray (1990)</t>
  </si>
  <si>
    <t xml:space="preserve">Eisenstein, Film Form</t>
  </si>
  <si>
    <t xml:space="preserve">Eisenstein, Film Form &amp; The Film Sense</t>
  </si>
  <si>
    <t xml:space="preserve">Eisenstein, Film Form (1949)</t>
  </si>
  <si>
    <t xml:space="preserve">Eisner, The Haunted Screen (1952)</t>
  </si>
  <si>
    <t xml:space="preserve">Elsaesser, 'Tales of Sound and Fury' (1972)</t>
  </si>
  <si>
    <t xml:space="preserve">Elsaesser, New German Cinema: A History (1989)</t>
  </si>
  <si>
    <t xml:space="preserve">Espinosa, 'For an Imperfect Cinema' (1969)</t>
  </si>
  <si>
    <t xml:space="preserve">Evans, Celluloid Mushroom Clouds (1998)</t>
  </si>
  <si>
    <t xml:space="preserve">Evans, The Films of Luis Buñuel (1995)</t>
  </si>
  <si>
    <t xml:space="preserve">Eyman, Ernst Lubitsch: Laughter in Paradise (1993)</t>
  </si>
  <si>
    <t xml:space="preserve">Falzon, Philosophy Goes to the Movies (2002/2014)</t>
  </si>
  <si>
    <t xml:space="preserve">FESPACO</t>
  </si>
  <si>
    <t xml:space="preserve">Feuer</t>
  </si>
  <si>
    <t xml:space="preserve">Feuer, The Hollywood Musical (1982/93)</t>
  </si>
  <si>
    <t xml:space="preserve">Field, Horak &amp; Stewart (eds.), L.A. Rebellion: Creating a New Black Cinema (2015)</t>
  </si>
  <si>
    <t xml:space="preserve">Field, Screenplay (1979)</t>
  </si>
  <si>
    <t xml:space="preserve">Film Art ch. 4</t>
  </si>
  <si>
    <t xml:space="preserve">Film Art ch. 5</t>
  </si>
  <si>
    <t xml:space="preserve">Film Art ch. 6</t>
  </si>
  <si>
    <t xml:space="preserve">Film Art ch. 7</t>
  </si>
  <si>
    <t xml:space="preserve">Film Comment 'Vulgar Auteurism' debates (2013)</t>
  </si>
  <si>
    <t xml:space="preserve">Film criticism on 'plotless' cinema</t>
  </si>
  <si>
    <t xml:space="preserve">Flanagan, 'Towards an Aesthetic of Slow' (2008)</t>
  </si>
  <si>
    <t xml:space="preserve">Free Cinema manifesto (1956)</t>
  </si>
  <si>
    <t xml:space="preserve">Gallagher, John Ford: The Man and His Films (1986)</t>
  </si>
  <si>
    <t xml:space="preserve">Galloway, Stray Dogs &amp; Lone Wolves (2005)</t>
  </si>
  <si>
    <t xml:space="preserve">Ganti, Bollywood (2004)</t>
  </si>
  <si>
    <t xml:space="preserve">Survival &amp; man-vs-nature; Submarine films</t>
  </si>
  <si>
    <t xml:space="preserve">Gerow, Kitano Takeshi (2007)</t>
  </si>
  <si>
    <t xml:space="preserve">Good, Journalism Ethics Goes to the Movies (2008)</t>
  </si>
  <si>
    <t xml:space="preserve">Guerrero, Do the Right Thing (BFI Classics, 2001)</t>
  </si>
  <si>
    <t xml:space="preserve">Guerrero, Framing Blackness: The African American Image in Film (1993)</t>
  </si>
  <si>
    <t xml:space="preserve">Gunning, 'The Cinema of Attractions' (1986)</t>
  </si>
  <si>
    <t xml:space="preserve">Halliday, Sirk on Sirk (1971)</t>
  </si>
  <si>
    <t xml:space="preserve">Hames, The Czechoslovak New Wave (1985/2005)</t>
  </si>
  <si>
    <t xml:space="preserve">Satire &amp; black comedy; Parody &amp; spoof: ZAZ, Brooks, Python</t>
  </si>
  <si>
    <t xml:space="preserve">Harris, Pictures at a Revolution (2008)</t>
  </si>
  <si>
    <t xml:space="preserve">Hay, Paris and the Movies</t>
  </si>
  <si>
    <t xml:space="preserve">Henderson, 'The Long Take' (1971)</t>
  </si>
  <si>
    <t xml:space="preserve">Hertzberg (ed.), Jim Jarmusch: Interviews (2001)</t>
  </si>
  <si>
    <t xml:space="preserve">Hill, Sex, Class and Realism: British Cinema 1956–1963 (1986)</t>
  </si>
  <si>
    <t xml:space="preserve">Hoberman on 1970s occult cycle</t>
  </si>
  <si>
    <t xml:space="preserve">Hoberman on finance films</t>
  </si>
  <si>
    <t xml:space="preserve">Hoberman, Make My Day (2019)</t>
  </si>
  <si>
    <t xml:space="preserve">Hutcheon, The Politics of Postmodernism (1989)</t>
  </si>
  <si>
    <t xml:space="preserve">Hutchings, Hammer and Beyond (1993)</t>
  </si>
  <si>
    <t xml:space="preserve">Hye, 'Cringe Comedy' scholarship</t>
  </si>
  <si>
    <t xml:space="preserve">Insdorf, François Truffaut (1978)</t>
  </si>
  <si>
    <t xml:space="preserve">Insdorf, Indelible Shadows (1983)</t>
  </si>
  <si>
    <t xml:space="preserve">interviews on influences</t>
  </si>
  <si>
    <t xml:space="preserve">Jacobs, Christmas in July: The Life and Art of Preston Sturges (1992)</t>
  </si>
  <si>
    <t xml:space="preserve">James, Allegories of Cinema (1989)</t>
  </si>
  <si>
    <t xml:space="preserve">Jameson, Postmodernism, or, the Cultural Logic of Late Capitalism (1991)</t>
  </si>
  <si>
    <t xml:space="preserve">Jameson, The Geopolitical Aesthetic (1992)</t>
  </si>
  <si>
    <t xml:space="preserve">Jeffords, Hard Bodies (1994)</t>
  </si>
  <si>
    <t xml:space="preserve">Jeong, Crossing the Border of Korean Cinema (2011)</t>
  </si>
  <si>
    <t xml:space="preserve">Johnson &amp; Petrie, The Films of Andrei Tarkovsky: A Visual Fugue (1994)</t>
  </si>
  <si>
    <t xml:space="preserve">Johnson &amp; Stam (eds.), Brazilian Cinema (1982)</t>
  </si>
  <si>
    <t xml:space="preserve">Johnson, Richard Linklater (2012)</t>
  </si>
  <si>
    <t xml:space="preserve">Joshi (ed.) on Lovecraft adaptations</t>
  </si>
  <si>
    <t xml:space="preserve">Joy, The Traumatic Screen</t>
  </si>
  <si>
    <t xml:space="preserve">Kalat, J-Horror (2007)</t>
  </si>
  <si>
    <t xml:space="preserve">Kaurismäki/Andersson criticism</t>
  </si>
  <si>
    <t xml:space="preserve">Kerr, The Silent Clowns (1975)</t>
  </si>
  <si>
    <t xml:space="preserve">Kim, The Remasculinization of Korean Cinema (2004)</t>
  </si>
  <si>
    <t xml:space="preserve">Kinder, Blood Cinema (1993)</t>
  </si>
  <si>
    <t xml:space="preserve">King, American Independent Cinema (2005)</t>
  </si>
  <si>
    <t xml:space="preserve">Kinney, Hollywood and War scholarship</t>
  </si>
  <si>
    <t xml:space="preserve">Kirby, Lab Coats in Hollywood (2011)</t>
  </si>
  <si>
    <t xml:space="preserve">Kitses</t>
  </si>
  <si>
    <t xml:space="preserve">Kitses, Horizons West (1969)</t>
  </si>
  <si>
    <t xml:space="preserve">Kolker, A Cinema of Loneliness</t>
  </si>
  <si>
    <t xml:space="preserve">Kolker, A Cinema of Loneliness (1980/2011)</t>
  </si>
  <si>
    <t xml:space="preserve">Kore-eda scholarship</t>
  </si>
  <si>
    <t xml:space="preserve">Koven, La Dolce Morte: Vernacular Cinema and the Italian Giallo Film (2006)</t>
  </si>
  <si>
    <t xml:space="preserve">Kovács, Screening Modernism</t>
  </si>
  <si>
    <t xml:space="preserve">Kovács, Screening Modernism (2007)</t>
  </si>
  <si>
    <t xml:space="preserve">Kracauer, From Caligari to Hitler (1947)</t>
  </si>
  <si>
    <t xml:space="preserve">Kracauer, Theory of Film: The Redemption of Physical Reality (1960)</t>
  </si>
  <si>
    <t xml:space="preserve">Krutnik (ed.), Hollywood Comedians (2003)</t>
  </si>
  <si>
    <t xml:space="preserve">Kuenzli (ed.), Dada and Surrealist Film (1987)</t>
  </si>
  <si>
    <t xml:space="preserve">Kuhn (ed.), Alien Zone (1990)</t>
  </si>
  <si>
    <t xml:space="preserve">Early &amp; 1950s atomic-age sci-fi; 1960s–70s New Wave sci-fi; Cerebral &amp; hard sci-fi; Space opera &amp; sci-fi spectacle</t>
  </si>
  <si>
    <t xml:space="preserve">Kuhn, Women's Pictures (1982)</t>
  </si>
  <si>
    <t xml:space="preserve">Kuleshov and Pudovkin writings</t>
  </si>
  <si>
    <t xml:space="preserve">Laderman, Driving Visions: Exploring the Road Movie (2002)</t>
  </si>
  <si>
    <t xml:space="preserve">Lawrence, Blaxploitation Films of the 1970s (2007)</t>
  </si>
  <si>
    <t xml:space="preserve">Lay, British Social Realism (2002)</t>
  </si>
  <si>
    <t xml:space="preserve">Leitch, 'Twice-Told Tales: Disavowal and the Rhetoric of the Remake' (1990)</t>
  </si>
  <si>
    <t xml:space="preserve">Leitch, Crime Films (2002)</t>
  </si>
  <si>
    <t xml:space="preserve">Leitch, Film Adaptation and Its Discontents (2007)</t>
  </si>
  <si>
    <t xml:space="preserve">Letterboxd decade lists</t>
  </si>
  <si>
    <t xml:space="preserve">Levy, Cinema of Outsiders (1999)</t>
  </si>
  <si>
    <t xml:space="preserve">Lewis, Whom God Wishes to Destroy (1995)</t>
  </si>
  <si>
    <t xml:space="preserve">Lim, Tsai Ming-liang and a Cinema of Slowness (2014)</t>
  </si>
  <si>
    <t xml:space="preserve">Lucas, Mario Bava</t>
  </si>
  <si>
    <t xml:space="preserve">Lucas, Mario Bava: All the Colors of the Dark (2007)</t>
  </si>
  <si>
    <t xml:space="preserve">Lumet, Making Movies (1995)</t>
  </si>
  <si>
    <t xml:space="preserve">Lupton, Chris Marker: Memories of the Future (2005)</t>
  </si>
  <si>
    <t xml:space="preserve">MacCabe, Godard: A Portrait of the Artist at 70 (2003)</t>
  </si>
  <si>
    <t xml:space="preserve">Macias, The Ultimate Guide to Japanese Yakuza Films (2003)</t>
  </si>
  <si>
    <t xml:space="preserve">Mamber, Cinema Verite in America (1974)</t>
  </si>
  <si>
    <t xml:space="preserve">Marcus, Italian Film in the Light of Neorealism (1986)</t>
  </si>
  <si>
    <t xml:space="preserve">Marie, The French New Wave: An Artistic School (2003)</t>
  </si>
  <si>
    <t xml:space="preserve">Marks, The Skin of the Film (2000)</t>
  </si>
  <si>
    <t xml:space="preserve">Massood, Black City Cinema (2003)</t>
  </si>
  <si>
    <t xml:space="preserve">Spike Lee; Black American cinema: 1986 to now; Hood films</t>
  </si>
  <si>
    <t xml:space="preserve">Mayne, Claire Denis (2005)</t>
  </si>
  <si>
    <t xml:space="preserve">Mayne, The Woman at the Keyhole (1990)</t>
  </si>
  <si>
    <t xml:space="preserve">McCarthy, Hayao Miyazaki: Master of Japanese Animation (1999)</t>
  </si>
  <si>
    <t xml:space="preserve">McCarthy, Howard Hawks: The Grey Fox of Hollywood (1997)</t>
  </si>
  <si>
    <t xml:space="preserve">McGowan, The Fictional Christopher Nolan (2012)</t>
  </si>
  <si>
    <t xml:space="preserve">McGrath, Postsocialist Modernity: Chinese Cinema (2008)</t>
  </si>
  <si>
    <t xml:space="preserve">McRoy, Nightmare Japan (2008)</t>
  </si>
  <si>
    <t xml:space="preserve">Melnyk, One Hundred Years of Canadian Cinema (2004)</t>
  </si>
  <si>
    <t xml:space="preserve">Modleski, The Women Who Knew Too Much (1988)</t>
  </si>
  <si>
    <t xml:space="preserve">Morris, The Cinema of Steven Spielberg (2007)</t>
  </si>
  <si>
    <t xml:space="preserve">Morrison &amp; Schur, The Films of Terrence Malick (2003)</t>
  </si>
  <si>
    <t xml:space="preserve">Mulhall, On Film (2002)</t>
  </si>
  <si>
    <t xml:space="preserve">Mulvey, 'Notes on Sirk and Melodrama' (1977)</t>
  </si>
  <si>
    <t xml:space="preserve">Mulvey, 'Visual Pleasure and Narrative Cinema' (Screen, 1975)</t>
  </si>
  <si>
    <t xml:space="preserve">Munby, Public Enemies, Public Heroes (1999)</t>
  </si>
  <si>
    <t xml:space="preserve">Murch, In the Blink of an Eye (1995)</t>
  </si>
  <si>
    <t xml:space="preserve">Naficy, A Social History of Iranian Cinema (2011–12)</t>
  </si>
  <si>
    <t xml:space="preserve">Naficy, An Accented Cinema (2001)</t>
  </si>
  <si>
    <t xml:space="preserve">Naficy, An Accented Cinema: Exilic and Diasporic Filmmaking (2001)</t>
  </si>
  <si>
    <t xml:space="preserve">Nancy, The Evidence of Film (2001)</t>
  </si>
  <si>
    <t xml:space="preserve">Napier, Anime from Akira to Howl's Moving Castle (2005)</t>
  </si>
  <si>
    <t xml:space="preserve">Napier, Miyazakiworld (2018)</t>
  </si>
  <si>
    <t xml:space="preserve">Naremore, More Than Night: Film Noir in Its Contexts (1998)</t>
  </si>
  <si>
    <t xml:space="preserve">Naremore, The Magic World of Orson Welles (1978)</t>
  </si>
  <si>
    <t xml:space="preserve">Neupert (ch. 'Left Bank')</t>
  </si>
  <si>
    <t xml:space="preserve">Neupert, A History of the French New Wave Cinema (2002)</t>
  </si>
  <si>
    <t xml:space="preserve">The global new-wave explosion; French New Wave (Nouvelle Vague)</t>
  </si>
  <si>
    <t xml:space="preserve">Newman</t>
  </si>
  <si>
    <t xml:space="preserve">Val Lewton &amp; the horror of suggestion; Satanic panic &amp; religious horror; Cosmic &amp; Lovecraftian horror</t>
  </si>
  <si>
    <t xml:space="preserve">Newman, Nightmare Movies (1988/2011)</t>
  </si>
  <si>
    <t xml:space="preserve">Nichols, Introduction to Documentary (2001/2017): expository, observational, participatory, reflexive, performative, and poetic modes</t>
  </si>
  <si>
    <t xml:space="preserve">Not Quite Hollywood (doc, 2008)</t>
  </si>
  <si>
    <t xml:space="preserve">Oberhausen Manifesto (1962)</t>
  </si>
  <si>
    <t xml:space="preserve">Palmer, Joel and Ethan Coen (2004)</t>
  </si>
  <si>
    <t xml:space="preserve">Paquet</t>
  </si>
  <si>
    <t xml:space="preserve">Paquet, New Korean Cinema: Breaking the Waves (2009)</t>
  </si>
  <si>
    <t xml:space="preserve">Postman, Amusing Ourselves to Death (1985) as a companion</t>
  </si>
  <si>
    <t xml:space="preserve">Prager, The Cinema of Werner Herzog (2007)</t>
  </si>
  <si>
    <t xml:space="preserve">Pratt, Projecting Paranoia (2001)</t>
  </si>
  <si>
    <t xml:space="preserve">Price &amp; Rhodes (eds.), On Michael Haneke (2010)</t>
  </si>
  <si>
    <t xml:space="preserve">Price, The Pixar Touch (2008)</t>
  </si>
  <si>
    <t xml:space="preserve">Priebe, The Advanced Art of Stop-Motion Animation (2010)</t>
  </si>
  <si>
    <t xml:space="preserve">Prince, The Warrior's Camera (1991)</t>
  </si>
  <si>
    <t xml:space="preserve">Quandt (ed.), Apichatpong Weerasethakul (2009)</t>
  </si>
  <si>
    <t xml:space="preserve">Quart, 'Networked' (Film Comment, 2005)</t>
  </si>
  <si>
    <t xml:space="preserve">Ragone, Eiji Tsuburaya: Master of Monsters (2007)</t>
  </si>
  <si>
    <t xml:space="preserve">Raheja, Reservation Reelism (2010)</t>
  </si>
  <si>
    <t xml:space="preserve">Rajadhyaksha &amp; Willemen, Encyclopaedia of Indian Cinema (1994)</t>
  </si>
  <si>
    <t xml:space="preserve">Rascaroli, The Personal Camera (2009)</t>
  </si>
  <si>
    <t xml:space="preserve">Reflexive, performative &amp; essay documentary; Essay films</t>
  </si>
  <si>
    <t xml:space="preserve">Rhodes on Vertigo locations</t>
  </si>
  <si>
    <t xml:space="preserve">Rich, 'New Queer Cinema' (Sight &amp; Sound/Village Voice, 1992)</t>
  </si>
  <si>
    <t xml:space="preserve">Rich, New Queer Cinema: The Director's Cut (2013)</t>
  </si>
  <si>
    <t xml:space="preserve">Richie, A Hundred Years of Japanese Film (2001)</t>
  </si>
  <si>
    <t xml:space="preserve">Richie, Ozu (1974)</t>
  </si>
  <si>
    <t xml:space="preserve">Richie, The Films of Akira Kurosawa (1965/1998)</t>
  </si>
  <si>
    <t xml:space="preserve">Rigby, English Gothic (2000)</t>
  </si>
  <si>
    <t xml:space="preserve">Rizov/Reichardt criticism</t>
  </si>
  <si>
    <t xml:space="preserve">Robinson, Satyajit Ray: The Inner Eye</t>
  </si>
  <si>
    <t xml:space="preserve">Robinson, Satyajit Ray: The Inner Eye (1989)</t>
  </si>
  <si>
    <t xml:space="preserve">Rocha, 'An Esthetic of Hunger' (1965)</t>
  </si>
  <si>
    <t xml:space="preserve">Rodley (ed.), Cronenberg on Cronenberg (1992)</t>
  </si>
  <si>
    <t xml:space="preserve">Rodley (ed.), Lynch on Lynch (1997)</t>
  </si>
  <si>
    <t xml:space="preserve">Rohmer scholarship (Crisp, Eric Rohmer 1988)</t>
  </si>
  <si>
    <t xml:space="preserve">Rolling Stone lists</t>
  </si>
  <si>
    <t xml:space="preserve">Rosenbaum &amp; Saeed-Vafa, Abbas Kiarostami (2003)</t>
  </si>
  <si>
    <t xml:space="preserve">Rosenbaum, Discovering Orson Welles (2007)</t>
  </si>
  <si>
    <t xml:space="preserve">Rosenstone, History on Film/Film on History (2006)</t>
  </si>
  <si>
    <t xml:space="preserve">Rowell, The Brothers Grim (2007)</t>
  </si>
  <si>
    <t xml:space="preserve">Russell, Classical Japanese Cinema (2011)</t>
  </si>
  <si>
    <t xml:space="preserve">Russell, The Cinema of Naruse Mikio (2008)</t>
  </si>
  <si>
    <t xml:space="preserve">Russo, The Celluloid Closet (1981; doc 1995)</t>
  </si>
  <si>
    <t xml:space="preserve">Rybin, The Cinema of Michael Mann (2007)</t>
  </si>
  <si>
    <t xml:space="preserve">Sarris on Budd Boetticher</t>
  </si>
  <si>
    <t xml:space="preserve">Sarris, The American Cinema: Directors and Directions 1929–1968 (1968)</t>
  </si>
  <si>
    <t xml:space="preserve">Schaefer, Bold! Daring! Shocking! True!: A History of Exploitation Films, 1919–1959 (1999)</t>
  </si>
  <si>
    <t xml:space="preserve">Schatz</t>
  </si>
  <si>
    <t xml:space="preserve">Schatz, The Genius of the System (1988)</t>
  </si>
  <si>
    <t xml:space="preserve">Schatz, The Genius of the System. Not a specific university's syllabus</t>
  </si>
  <si>
    <t xml:space="preserve">Schilling, The Yakuza Movie Book (2003)</t>
  </si>
  <si>
    <t xml:space="preserve">Schrader, 'Notes on Film Noir' (1972)</t>
  </si>
  <si>
    <t xml:space="preserve">Schrader, Transcendental Style</t>
  </si>
  <si>
    <t xml:space="preserve">Schrader, Transcendental Style in Film (1972)</t>
  </si>
  <si>
    <t xml:space="preserve">Golden Age masters (1930s–60s); Robert Bresson</t>
  </si>
  <si>
    <t xml:space="preserve">Schrader, Transcendental Style in Film: Ozu, Bresson, Dreyer (1972; rev. 2018)</t>
  </si>
  <si>
    <t xml:space="preserve">Sconce, ''Trashing' the Academy: Taste, Excess, and an Emerging Politics of Cinematic Style' (Screen, 1995)</t>
  </si>
  <si>
    <t xml:space="preserve">Scorsese's Film Foundation restorations</t>
  </si>
  <si>
    <t xml:space="preserve">Scovell, Folk Horror: Hours Dreadful and Things Strange (2017)</t>
  </si>
  <si>
    <t xml:space="preserve">Second Run DVD catalog</t>
  </si>
  <si>
    <t xml:space="preserve">Self, Robert Altman's Subliminal Reality (2002)</t>
  </si>
  <si>
    <t xml:space="preserve">Sesonske, Jean Renoir: The French Films (1980)</t>
  </si>
  <si>
    <t xml:space="preserve">Shadoian, Dreams and Dead Ends: The American Gangster Film (2003)</t>
  </si>
  <si>
    <t xml:space="preserve">Shapiro, Atomic Bomb Cinema (2002)</t>
  </si>
  <si>
    <t xml:space="preserve">Sharp, Behind the Pink Curtain (2008)</t>
  </si>
  <si>
    <t xml:space="preserve">Shaviro, Post-Cinematic Affect (2010)</t>
  </si>
  <si>
    <t xml:space="preserve">Shone, Blockbuster (2004)</t>
  </si>
  <si>
    <t xml:space="preserve">Shumway, Modern Love (2003)</t>
  </si>
  <si>
    <t xml:space="preserve">Sight &amp; Sound</t>
  </si>
  <si>
    <t xml:space="preserve">Contemporary Japanese auteurs; Contemporary Italian cinema</t>
  </si>
  <si>
    <t xml:space="preserve">Sight &amp; Sound 2022 critics' poll</t>
  </si>
  <si>
    <t xml:space="preserve">Sight &amp; Sound annual polls</t>
  </si>
  <si>
    <t xml:space="preserve">Sikov, On Sunset Boulevard (1998)</t>
  </si>
  <si>
    <t xml:space="preserve">Sikov, Screwball: Hollywood's Madcap Romantic Comedies (1989)</t>
  </si>
  <si>
    <t xml:space="preserve">Silver &amp; Ursini, David Lean and His Films (1974)</t>
  </si>
  <si>
    <t xml:space="preserve">Silver &amp; Ursini, Film Noir Reader</t>
  </si>
  <si>
    <t xml:space="preserve">Silver &amp; Ward, Film Noir: An Encyclopedic Reference (1979)</t>
  </si>
  <si>
    <t xml:space="preserve">Silver, The Samurai Film (1977)</t>
  </si>
  <si>
    <t xml:space="preserve">Sitney, Visionary Film (1974)</t>
  </si>
  <si>
    <t xml:space="preserve">Sitney, Visionary Film: The American Avant-Garde (1974/2002)</t>
  </si>
  <si>
    <t xml:space="preserve">Skal, The Monster Show (1993)</t>
  </si>
  <si>
    <t xml:space="preserve">Sklar, Movie-Made America (1975)</t>
  </si>
  <si>
    <t xml:space="preserve">Slotkin, Gunfighter Nation (1992)</t>
  </si>
  <si>
    <t xml:space="preserve">Smith, Agnès Varda (1998)</t>
  </si>
  <si>
    <t xml:space="preserve">Smith, Desire Unlimited (1994/2000)</t>
  </si>
  <si>
    <t xml:space="preserve">Smith, Desire Unlimited: The Cinema of Pedro Almodóvar (1994)</t>
  </si>
  <si>
    <t xml:space="preserve">Sobchack, Screening Space (1987)</t>
  </si>
  <si>
    <t xml:space="preserve">Tech-noir &amp; future noir; Early &amp; 1950s atomic-age sci-fi; 1960s–70s New Wave sci-fi; Cerebral &amp; hard sci-fi; Space opera &amp; sci-fi spectacle</t>
  </si>
  <si>
    <t xml:space="preserve">Solanas &amp; Getino, 'Towards a Third Cinema' (1969)</t>
  </si>
  <si>
    <t xml:space="preserve">Sontag, 'Bergman's Persona' (1967)</t>
  </si>
  <si>
    <t xml:space="preserve">Sontag, 'The Imagination of Disaster' (1965)</t>
  </si>
  <si>
    <t xml:space="preserve">Sontag, Regarding the Pain of Others (2003)</t>
  </si>
  <si>
    <t xml:space="preserve">Sperb, Blossoms and Blood: Postmodern Media Culture and the Films of Paul Thomas Anderson (2013)</t>
  </si>
  <si>
    <t xml:space="preserve">Spoto, The Art of Alfred Hitchcock</t>
  </si>
  <si>
    <t xml:space="preserve">Stage-to-screen and chamber-drama criticism</t>
  </si>
  <si>
    <t xml:space="preserve">Stam, Reflexivity in Film and Literature (1985)</t>
  </si>
  <si>
    <t xml:space="preserve">Stewart, Migrating to the Movies (2005)</t>
  </si>
  <si>
    <t xml:space="preserve">Stratton, The Last New Wave (1980)</t>
  </si>
  <si>
    <t xml:space="preserve">Stutz (doc)</t>
  </si>
  <si>
    <t xml:space="preserve">Suárez, Jim Jarmusch (2007)</t>
  </si>
  <si>
    <t xml:space="preserve">Tarantino's 'hangout movie' concept (interviews, 2012 onward)</t>
  </si>
  <si>
    <t xml:space="preserve">Tarantino, Cinema Speculation (2022)</t>
  </si>
  <si>
    <t xml:space="preserve">Tarkovsky, Sculpting in Time (1986)</t>
  </si>
  <si>
    <t xml:space="preserve">Tasker, Spectacular Bodies (1993)</t>
  </si>
  <si>
    <t xml:space="preserve">Telotte, Science Fiction Film (2001)</t>
  </si>
  <si>
    <t xml:space="preserve">Teo</t>
  </si>
  <si>
    <t xml:space="preserve">Teo, Hong Kong Cinema: The Extra Dimensions (1997)</t>
  </si>
  <si>
    <t xml:space="preserve">Teo, Wong Kar-wai (BFI, 2005)</t>
  </si>
  <si>
    <t xml:space="preserve">The Criterion Collection catalog (criterion.com), plus The Criterion Channel. Editions go in and out of print, so check current availability</t>
  </si>
  <si>
    <t xml:space="preserve">The Film Foundation's World Cinema Project (founded 2007)</t>
  </si>
  <si>
    <t xml:space="preserve">Thomas &amp; Johnston, The Illusion of Life (1981)</t>
  </si>
  <si>
    <t xml:space="preserve">Thompson &amp; Bordwell, Film History: An Introduction</t>
  </si>
  <si>
    <t xml:space="preserve">Thompson &amp; Christie (eds.), Scorsese on Scorsese (1989)</t>
  </si>
  <si>
    <t xml:space="preserve">Thompson, Storytelling in the New Hollywood (1999)</t>
  </si>
  <si>
    <t xml:space="preserve">Truffaut / Cahiers 'politique des auteurs'</t>
  </si>
  <si>
    <t xml:space="preserve">Truffaut, 'A Certain Tendency of the French Cinema' (Cahiers, 1954)</t>
  </si>
  <si>
    <t xml:space="preserve">Truffaut, Hitchcock/Truffaut (1966)</t>
  </si>
  <si>
    <t xml:space="preserve">Hitchcock &amp; the Hitchcockian; Alfred Hitchcock</t>
  </si>
  <si>
    <t xml:space="preserve">Tsutsui, Godzilla on My Mind (2004)</t>
  </si>
  <si>
    <t xml:space="preserve">UCLA Film &amp; Television Archive restorations</t>
  </si>
  <si>
    <t xml:space="preserve">Udden</t>
  </si>
  <si>
    <t xml:space="preserve">Udden, No Man an Island: The Cinema of Hou Hsiao-hsien (2009)</t>
  </si>
  <si>
    <t xml:space="preserve">Ukadike, Black African Cinema (1994)</t>
  </si>
  <si>
    <t xml:space="preserve">Verevis, Film Remakes (2006)</t>
  </si>
  <si>
    <t xml:space="preserve">Vertov, Kino-Eye</t>
  </si>
  <si>
    <t xml:space="preserve">Video Nasties: Moral Panic, Censorship &amp; Videotape (doc, 2010)</t>
  </si>
  <si>
    <t xml:space="preserve">Vieira, Sin in Soft Focus (1999)</t>
  </si>
  <si>
    <t xml:space="preserve">Vincendeau, Jean-Pierre Melville</t>
  </si>
  <si>
    <t xml:space="preserve">Walker, 'Vulgar Auteurism' (Mubi Notebook, 2013)</t>
  </si>
  <si>
    <t xml:space="preserve">Warshow, 'The Gangster as Tragic Hero' (1948)</t>
  </si>
  <si>
    <t xml:space="preserve">Wartenberg, Thinking on Screen (2007)</t>
  </si>
  <si>
    <t xml:space="preserve">Watkins, Representing: Hip Hop Culture and the Production of Black Cinema (1998)</t>
  </si>
  <si>
    <t xml:space="preserve">Wedding &amp; Niemiec, Movies and Mental Illness (2014)</t>
  </si>
  <si>
    <t xml:space="preserve">Wells, Understanding Animation (1998)</t>
  </si>
  <si>
    <t xml:space="preserve">Wheatley, Michael Haneke's Cinema: The Ethic of the Image (2009)</t>
  </si>
  <si>
    <t xml:space="preserve">Williams, 'Film Bodies: Gender, Genre, and Excess' (1991)</t>
  </si>
  <si>
    <t xml:space="preserve">Woll, Real Images: Soviet Cinema and the Thaw (2000)</t>
  </si>
  <si>
    <t xml:space="preserve">Wood</t>
  </si>
  <si>
    <t xml:space="preserve">Wood, 'An Introduction to the American Horror Film' (1979)</t>
  </si>
  <si>
    <t xml:space="preserve">Wood, 'Papering the Cracks'</t>
  </si>
  <si>
    <t xml:space="preserve">Wood, Hitchcock's Films Revisited (1989)</t>
  </si>
  <si>
    <t xml:space="preserve">Wood, Hollywood from Vietnam to Reagan</t>
  </si>
  <si>
    <t xml:space="preserve">Wood, Hollywood from Vietnam to Reagan (1986)</t>
  </si>
  <si>
    <t xml:space="preserve">Wood, Howard Hawks (1968)</t>
  </si>
  <si>
    <t xml:space="preserve">Wood, Native Features (2008)</t>
  </si>
  <si>
    <t xml:space="preserve">Woodlands Dark and Days Bewitched (doc, 2021)</t>
  </si>
  <si>
    <t xml:space="preserve">Wright, Sixguns and Society (1975)</t>
  </si>
  <si>
    <t xml:space="preserve">Wyatt, High Concept (1994)</t>
  </si>
  <si>
    <t xml:space="preserve">your 'A24 ranked' lists</t>
  </si>
  <si>
    <t xml:space="preserve">your 'American History' list</t>
  </si>
  <si>
    <t xml:space="preserve">Your 'American Literature' list</t>
  </si>
  <si>
    <t xml:space="preserve">your 'Chemistry' and 'Physics' lists</t>
  </si>
  <si>
    <t xml:space="preserve">your 'Economics' list</t>
  </si>
  <si>
    <t xml:space="preserve">your 'Eruptions of Corruptions' list</t>
  </si>
  <si>
    <t xml:space="preserve">your 'Film Plays' list</t>
  </si>
  <si>
    <t xml:space="preserve">Your 'Films About Isolation' list</t>
  </si>
  <si>
    <t xml:space="preserve">your 'Late Night' list</t>
  </si>
  <si>
    <t xml:space="preserve">your 'Linklater ranked' list</t>
  </si>
  <si>
    <t xml:space="preserve">Your 'Movies That Play With Time' list</t>
  </si>
  <si>
    <t xml:space="preserve">your 'Pixar ranking' list</t>
  </si>
  <si>
    <t xml:space="preserve">your 'Politics in America' list</t>
  </si>
  <si>
    <t xml:space="preserve">your 'Questions and Thinking' list</t>
  </si>
  <si>
    <t xml:space="preserve">Your 'San Francisco' list</t>
  </si>
  <si>
    <t xml:space="preserve">your 'Soderbergh ranked' list</t>
  </si>
  <si>
    <t xml:space="preserve">your 'Sports' list</t>
  </si>
  <si>
    <t xml:space="preserve">your 'Stop Motion Commotion' list</t>
  </si>
  <si>
    <t xml:space="preserve">your 'Tarantino rank' list</t>
  </si>
  <si>
    <t xml:space="preserve">your 'Top 50 Comedy recs' list</t>
  </si>
  <si>
    <t xml:space="preserve">your 'Vietnam' list</t>
  </si>
  <si>
    <t xml:space="preserve">your PTA lists</t>
  </si>
  <si>
    <t xml:space="preserve">Zavattini, 'Some Ideas on the Cinema' (1953)</t>
  </si>
  <si>
    <t xml:space="preserve">Zhang Zhen (ed.), The Urban Generation (2007)</t>
  </si>
  <si>
    <t xml:space="preserve">Zuckoff, Robert Altman: The Oral Biography (2009)</t>
  </si>
  <si>
    <t xml:space="preserve">Date</t>
  </si>
  <si>
    <t xml:space="preserve">Name</t>
  </si>
  <si>
    <t xml:space="preserve">Letterboxd URI</t>
  </si>
  <si>
    <t xml:space="preserve">Match Key (formula)</t>
  </si>
  <si>
    <t xml:space="preserve">2020-12-30</t>
  </si>
  <si>
    <t xml:space="preserve">https://boxd.it/hTha</t>
  </si>
  <si>
    <t xml:space="preserve">Joker</t>
  </si>
  <si>
    <t xml:space="preserve">https://boxd.it/h4cS</t>
  </si>
  <si>
    <t xml:space="preserve">Knives Out</t>
  </si>
  <si>
    <t xml:space="preserve">https://boxd.it/jWEA</t>
  </si>
  <si>
    <t xml:space="preserve">https://boxd.it/eOCm</t>
  </si>
  <si>
    <t xml:space="preserve">https://boxd.it/1skk</t>
  </si>
  <si>
    <t xml:space="preserve">https://boxd.it/2a9q</t>
  </si>
  <si>
    <t xml:space="preserve">https://boxd.it/29Nu</t>
  </si>
  <si>
    <t xml:space="preserve">https://boxd.it/6YK</t>
  </si>
  <si>
    <t xml:space="preserve">https://boxd.it/18U8</t>
  </si>
  <si>
    <t xml:space="preserve">https://boxd.it/2cCk</t>
  </si>
  <si>
    <t xml:space="preserve">https://boxd.it/2ab2</t>
  </si>
  <si>
    <t xml:space="preserve">Psycho II</t>
  </si>
  <si>
    <t xml:space="preserve">https://boxd.it/1VUQ</t>
  </si>
  <si>
    <t xml:space="preserve">The Trial of the Chicago 7</t>
  </si>
  <si>
    <t xml:space="preserve">https://boxd.it/kn3w</t>
  </si>
  <si>
    <t xml:space="preserve">https://boxd.it/29FA</t>
  </si>
  <si>
    <t xml:space="preserve">https://boxd.it/2aSU</t>
  </si>
  <si>
    <t xml:space="preserve">Beautiful Boy</t>
  </si>
  <si>
    <t xml:space="preserve">https://boxd.it/g76Q</t>
  </si>
  <si>
    <t xml:space="preserve">https://boxd.it/728</t>
  </si>
  <si>
    <t xml:space="preserve">https://boxd.it/3ZqO</t>
  </si>
  <si>
    <t xml:space="preserve">https://boxd.it/2Wng</t>
  </si>
  <si>
    <t xml:space="preserve">https://boxd.it/2aqw</t>
  </si>
  <si>
    <t xml:space="preserve">https://boxd.it/dZrW</t>
  </si>
  <si>
    <t xml:space="preserve">https://boxd.it/1WyQ</t>
  </si>
  <si>
    <t xml:space="preserve">https://boxd.it/2as8</t>
  </si>
  <si>
    <t xml:space="preserve">https://boxd.it/281k</t>
  </si>
  <si>
    <t xml:space="preserve">https://boxd.it/5xtO</t>
  </si>
  <si>
    <t xml:space="preserve">https://boxd.it/4E5i</t>
  </si>
  <si>
    <t xml:space="preserve">https://boxd.it/293w</t>
  </si>
  <si>
    <t xml:space="preserve">American Psycho</t>
  </si>
  <si>
    <t xml:space="preserve">https://boxd.it/28Vs</t>
  </si>
  <si>
    <t xml:space="preserve">The Machinist</t>
  </si>
  <si>
    <t xml:space="preserve">https://boxd.it/248c</t>
  </si>
  <si>
    <t xml:space="preserve">https://boxd.it/ea9Y</t>
  </si>
  <si>
    <t xml:space="preserve">Borat: Cultural Learnings of America for Make Benefit Glorious Nation of Kazakhstan</t>
  </si>
  <si>
    <t xml:space="preserve">https://boxd.it/2agQ</t>
  </si>
  <si>
    <t xml:space="preserve">Borat Subsequent Moviefilm: Delivery of Prodigious Bribe to American Regime for Make Benefit Once Glorious Nation of Kazakhstan</t>
  </si>
  <si>
    <t xml:space="preserve">https://boxd.it/rNS0</t>
  </si>
  <si>
    <t xml:space="preserve">V for Vendetta</t>
  </si>
  <si>
    <t xml:space="preserve">https://boxd.it/29Ik</t>
  </si>
  <si>
    <t xml:space="preserve">https://boxd.it/29zs</t>
  </si>
  <si>
    <t xml:space="preserve">https://boxd.it/icFU</t>
  </si>
  <si>
    <t xml:space="preserve">https://boxd.it/dMG0</t>
  </si>
  <si>
    <t xml:space="preserve">El Camino: A Breaking Bad Movie</t>
  </si>
  <si>
    <t xml:space="preserve">https://boxd.it/kv0q</t>
  </si>
  <si>
    <t xml:space="preserve">https://boxd.it/hNVe</t>
  </si>
  <si>
    <t xml:space="preserve">https://boxd.it/fcFu</t>
  </si>
  <si>
    <t xml:space="preserve">https://boxd.it/21ew</t>
  </si>
  <si>
    <t xml:space="preserve">2021-01-01</t>
  </si>
  <si>
    <t xml:space="preserve">https://boxd.it/29XY</t>
  </si>
  <si>
    <t xml:space="preserve">2021-01-02</t>
  </si>
  <si>
    <t xml:space="preserve">https://boxd.it/gH0O</t>
  </si>
  <si>
    <t xml:space="preserve">https://boxd.it/299u</t>
  </si>
  <si>
    <t xml:space="preserve">2021-01-09</t>
  </si>
  <si>
    <t xml:space="preserve">https://boxd.it/7bQA</t>
  </si>
  <si>
    <t xml:space="preserve">https://boxd.it/29eY</t>
  </si>
  <si>
    <t xml:space="preserve">2021-01-10</t>
  </si>
  <si>
    <t xml:space="preserve">https://boxd.it/2aVE</t>
  </si>
  <si>
    <t xml:space="preserve">https://boxd.it/dvXe</t>
  </si>
  <si>
    <t xml:space="preserve">https://boxd.it/dGNE</t>
  </si>
  <si>
    <t xml:space="preserve">https://boxd.it/cTqc</t>
  </si>
  <si>
    <t xml:space="preserve">https://boxd.it/gXGc</t>
  </si>
  <si>
    <t xml:space="preserve">2021-01-11</t>
  </si>
  <si>
    <t xml:space="preserve">https://boxd.it/2a1Q</t>
  </si>
  <si>
    <t xml:space="preserve">https://boxd.it/2b8y</t>
  </si>
  <si>
    <t xml:space="preserve">https://boxd.it/780m</t>
  </si>
  <si>
    <t xml:space="preserve">https://boxd.it/glS</t>
  </si>
  <si>
    <t xml:space="preserve">https://boxd.it/2ahu</t>
  </si>
  <si>
    <t xml:space="preserve">Dallas Buyers Club</t>
  </si>
  <si>
    <t xml:space="preserve">https://boxd.it/4O8G</t>
  </si>
  <si>
    <t xml:space="preserve">2021-01-12</t>
  </si>
  <si>
    <t xml:space="preserve">https://boxd.it/d6bE</t>
  </si>
  <si>
    <t xml:space="preserve">Paddleton</t>
  </si>
  <si>
    <t xml:space="preserve">https://boxd.it/j4YQ</t>
  </si>
  <si>
    <t xml:space="preserve">2021-01-13</t>
  </si>
  <si>
    <t xml:space="preserve">https://boxd.it/2auI</t>
  </si>
  <si>
    <t xml:space="preserve">2021-01-17</t>
  </si>
  <si>
    <t xml:space="preserve">https://boxd.it/2bf0</t>
  </si>
  <si>
    <t xml:space="preserve">https://boxd.it/29Pq</t>
  </si>
  <si>
    <t xml:space="preserve">2021-01-18</t>
  </si>
  <si>
    <t xml:space="preserve">https://boxd.it/70w</t>
  </si>
  <si>
    <t xml:space="preserve">2021-01-19</t>
  </si>
  <si>
    <t xml:space="preserve">https://boxd.it/2416</t>
  </si>
  <si>
    <t xml:space="preserve">https://boxd.it/5RFA</t>
  </si>
  <si>
    <t xml:space="preserve">2021-01-20</t>
  </si>
  <si>
    <t xml:space="preserve">https://boxd.it/2aJS</t>
  </si>
  <si>
    <t xml:space="preserve">https://boxd.it/i7Q4</t>
  </si>
  <si>
    <t xml:space="preserve">2021-01-21</t>
  </si>
  <si>
    <t xml:space="preserve">https://boxd.it/28yI</t>
  </si>
  <si>
    <t xml:space="preserve">2021-01-22</t>
  </si>
  <si>
    <t xml:space="preserve">https://boxd.it/2b6C</t>
  </si>
  <si>
    <t xml:space="preserve">https://boxd.it/24as</t>
  </si>
  <si>
    <t xml:space="preserve">Hotel Chevalier</t>
  </si>
  <si>
    <t xml:space="preserve">https://boxd.it/21Ic</t>
  </si>
  <si>
    <t xml:space="preserve">https://boxd.it/hJAw</t>
  </si>
  <si>
    <t xml:space="preserve">2021-01-25</t>
  </si>
  <si>
    <t xml:space="preserve">https://boxd.it/17ue</t>
  </si>
  <si>
    <t xml:space="preserve">2021-01-26</t>
  </si>
  <si>
    <t xml:space="preserve">https://boxd.it/1YHU</t>
  </si>
  <si>
    <t xml:space="preserve">https://boxd.it/29b6</t>
  </si>
  <si>
    <t xml:space="preserve">2021-01-29</t>
  </si>
  <si>
    <t xml:space="preserve">https://boxd.it/20E4</t>
  </si>
  <si>
    <t xml:space="preserve">2021-01-30</t>
  </si>
  <si>
    <t xml:space="preserve">https://boxd.it/2ajg</t>
  </si>
  <si>
    <t xml:space="preserve">2021-01-31</t>
  </si>
  <si>
    <t xml:space="preserve">https://boxd.it/25FG</t>
  </si>
  <si>
    <t xml:space="preserve">https://boxd.it/1VfS</t>
  </si>
  <si>
    <t xml:space="preserve">2021-02-01</t>
  </si>
  <si>
    <t xml:space="preserve">https://boxd.it/28MA</t>
  </si>
  <si>
    <t xml:space="preserve">https://boxd.it/2agc</t>
  </si>
  <si>
    <t xml:space="preserve">https://boxd.it/1JzG</t>
  </si>
  <si>
    <t xml:space="preserve">2021-02-04</t>
  </si>
  <si>
    <t xml:space="preserve">https://boxd.it/25A2</t>
  </si>
  <si>
    <t xml:space="preserve">2021-02-05</t>
  </si>
  <si>
    <t xml:space="preserve">https://boxd.it/29vU</t>
  </si>
  <si>
    <t xml:space="preserve">American History X</t>
  </si>
  <si>
    <t xml:space="preserve">https://boxd.it/2bdo</t>
  </si>
  <si>
    <t xml:space="preserve">https://boxd.it/4VRy</t>
  </si>
  <si>
    <t xml:space="preserve">2021-02-06</t>
  </si>
  <si>
    <t xml:space="preserve">Shutter Island</t>
  </si>
  <si>
    <t xml:space="preserve">https://boxd.it/1U82</t>
  </si>
  <si>
    <t xml:space="preserve">2021-02-07</t>
  </si>
  <si>
    <t xml:space="preserve">The Interview</t>
  </si>
  <si>
    <t xml:space="preserve">https://boxd.it/6KQ4</t>
  </si>
  <si>
    <t xml:space="preserve">2021-02-08</t>
  </si>
  <si>
    <t xml:space="preserve">https://boxd.it/2axs</t>
  </si>
  <si>
    <t xml:space="preserve">2021-02-11</t>
  </si>
  <si>
    <t xml:space="preserve">https://boxd.it/297o</t>
  </si>
  <si>
    <t xml:space="preserve">https://boxd.it/fxIa</t>
  </si>
  <si>
    <t xml:space="preserve">2021-02-14</t>
  </si>
  <si>
    <t xml:space="preserve">The Devil All the Time</t>
  </si>
  <si>
    <t xml:space="preserve">https://boxd.it/i2tY</t>
  </si>
  <si>
    <t xml:space="preserve">2021-02-17</t>
  </si>
  <si>
    <t xml:space="preserve">https://boxd.it/fb0K</t>
  </si>
  <si>
    <t xml:space="preserve">https://boxd.it/6lCG</t>
  </si>
  <si>
    <t xml:space="preserve">2021-02-20</t>
  </si>
  <si>
    <t xml:space="preserve">https://boxd.it/a5fa</t>
  </si>
  <si>
    <t xml:space="preserve">2021-02-21</t>
  </si>
  <si>
    <t xml:space="preserve">Zombieland</t>
  </si>
  <si>
    <t xml:space="preserve">https://boxd.it/1En6</t>
  </si>
  <si>
    <t xml:space="preserve">2021-02-23</t>
  </si>
  <si>
    <t xml:space="preserve">Cousin Ben Troop Screening</t>
  </si>
  <si>
    <t xml:space="preserve">https://boxd.it/49SS</t>
  </si>
  <si>
    <t xml:space="preserve">2021-02-25</t>
  </si>
  <si>
    <t xml:space="preserve">https://boxd.it/3C1m</t>
  </si>
  <si>
    <t xml:space="preserve">2021-02-26</t>
  </si>
  <si>
    <t xml:space="preserve">https://boxd.it/6hQu</t>
  </si>
  <si>
    <t xml:space="preserve">https://boxd.it/2b8e</t>
  </si>
  <si>
    <t xml:space="preserve">https://boxd.it/2b2q</t>
  </si>
  <si>
    <t xml:space="preserve">2021-02-28</t>
  </si>
  <si>
    <t xml:space="preserve">https://boxd.it/lnRy</t>
  </si>
  <si>
    <t xml:space="preserve">2021-03-01</t>
  </si>
  <si>
    <t xml:space="preserve">Baby Driver</t>
  </si>
  <si>
    <t xml:space="preserve">https://boxd.it/bhF2</t>
  </si>
  <si>
    <t xml:space="preserve">2021-03-02</t>
  </si>
  <si>
    <t xml:space="preserve">https://boxd.it/20Z2</t>
  </si>
  <si>
    <t xml:space="preserve">2021-03-04</t>
  </si>
  <si>
    <t xml:space="preserve">https://boxd.it/1VCM</t>
  </si>
  <si>
    <t xml:space="preserve">Green Book</t>
  </si>
  <si>
    <t xml:space="preserve">https://boxd.it/hErk</t>
  </si>
  <si>
    <t xml:space="preserve">https://boxd.it/1TAO</t>
  </si>
  <si>
    <t xml:space="preserve">https://boxd.it/1VAG</t>
  </si>
  <si>
    <t xml:space="preserve">2021-03-05</t>
  </si>
  <si>
    <t xml:space="preserve">https://boxd.it/29gA</t>
  </si>
  <si>
    <t xml:space="preserve">2021-03-06</t>
  </si>
  <si>
    <t xml:space="preserve">Deadpool</t>
  </si>
  <si>
    <t xml:space="preserve">https://boxd.it/9fOC</t>
  </si>
  <si>
    <t xml:space="preserve">2021-03-08</t>
  </si>
  <si>
    <t xml:space="preserve">Adventureland</t>
  </si>
  <si>
    <t xml:space="preserve">https://boxd.it/1JTQ</t>
  </si>
  <si>
    <t xml:space="preserve">2021-03-09</t>
  </si>
  <si>
    <t xml:space="preserve">The Breakfast Club</t>
  </si>
  <si>
    <t xml:space="preserve">https://boxd.it/27q4</t>
  </si>
  <si>
    <t xml:space="preserve">2021-03-10</t>
  </si>
  <si>
    <t xml:space="preserve">https://boxd.it/dYmm</t>
  </si>
  <si>
    <t xml:space="preserve">Spree</t>
  </si>
  <si>
    <t xml:space="preserve">https://boxd.it/oiiO</t>
  </si>
  <si>
    <t xml:space="preserve">2021-03-11</t>
  </si>
  <si>
    <t xml:space="preserve">https://boxd.it/4O24</t>
  </si>
  <si>
    <t xml:space="preserve">2021-03-21</t>
  </si>
  <si>
    <t xml:space="preserve">Burn After Reading</t>
  </si>
  <si>
    <t xml:space="preserve">https://boxd.it/23BW</t>
  </si>
  <si>
    <t xml:space="preserve">history of the entire world, i guess</t>
  </si>
  <si>
    <t xml:space="preserve">https://boxd.it/rQx0</t>
  </si>
  <si>
    <t xml:space="preserve">2021-03-22</t>
  </si>
  <si>
    <t xml:space="preserve">https://boxd.it/2avQ</t>
  </si>
  <si>
    <t xml:space="preserve">https://boxd.it/1U16</t>
  </si>
  <si>
    <t xml:space="preserve">2021-03-23</t>
  </si>
  <si>
    <t xml:space="preserve">https://boxd.it/34Ro</t>
  </si>
  <si>
    <t xml:space="preserve">2021-03-24</t>
  </si>
  <si>
    <t xml:space="preserve">https://boxd.it/881G</t>
  </si>
  <si>
    <t xml:space="preserve">https://boxd.it/41Xg</t>
  </si>
  <si>
    <t xml:space="preserve">2021-03-28</t>
  </si>
  <si>
    <t xml:space="preserve">Intolerable Cruelty</t>
  </si>
  <si>
    <t xml:space="preserve">https://boxd.it/1T7i</t>
  </si>
  <si>
    <t xml:space="preserve">https://boxd.it/2avG</t>
  </si>
  <si>
    <t xml:space="preserve">https://boxd.it/2aeA</t>
  </si>
  <si>
    <t xml:space="preserve">2021-03-30</t>
  </si>
  <si>
    <t xml:space="preserve">https://boxd.it/23um</t>
  </si>
  <si>
    <t xml:space="preserve">2021-03-31</t>
  </si>
  <si>
    <t xml:space="preserve">https://boxd.it/29J8</t>
  </si>
  <si>
    <t xml:space="preserve">The Meyerowitz Stories (New and Selected)</t>
  </si>
  <si>
    <t xml:space="preserve">https://boxd.it/dSp0</t>
  </si>
  <si>
    <t xml:space="preserve">https://boxd.it/cTgG</t>
  </si>
  <si>
    <t xml:space="preserve">2021-04-02</t>
  </si>
  <si>
    <t xml:space="preserve">https://boxd.it/i4IQ</t>
  </si>
  <si>
    <t xml:space="preserve">Stranger Than Fiction</t>
  </si>
  <si>
    <t xml:space="preserve">https://boxd.it/28Za</t>
  </si>
  <si>
    <t xml:space="preserve">2021-04-03</t>
  </si>
  <si>
    <t xml:space="preserve">American Beauty</t>
  </si>
  <si>
    <t xml:space="preserve">https://boxd.it/71Y</t>
  </si>
  <si>
    <t xml:space="preserve">Requiem for a Dream</t>
  </si>
  <si>
    <t xml:space="preserve">https://boxd.it/29VI</t>
  </si>
  <si>
    <t xml:space="preserve">2021-04-05</t>
  </si>
  <si>
    <t xml:space="preserve">https://boxd.it/29bg</t>
  </si>
  <si>
    <t xml:space="preserve">2021-04-06</t>
  </si>
  <si>
    <t xml:space="preserve">Psycho III</t>
  </si>
  <si>
    <t xml:space="preserve">https://boxd.it/1RsS</t>
  </si>
  <si>
    <t xml:space="preserve">https://boxd.it/jj4y</t>
  </si>
  <si>
    <t xml:space="preserve">2021-04-07</t>
  </si>
  <si>
    <t xml:space="preserve">https://boxd.it/aSVk</t>
  </si>
  <si>
    <t xml:space="preserve">Crazy, Stupid, Love.</t>
  </si>
  <si>
    <t xml:space="preserve">https://boxd.it/D9A</t>
  </si>
  <si>
    <t xml:space="preserve">2021-04-08</t>
  </si>
  <si>
    <t xml:space="preserve">https://boxd.it/2cBG</t>
  </si>
  <si>
    <t xml:space="preserve">2021-04-09</t>
  </si>
  <si>
    <t xml:space="preserve">Bad Trip</t>
  </si>
  <si>
    <t xml:space="preserve">https://boxd.it/lgRG</t>
  </si>
  <si>
    <t xml:space="preserve">Evil Dead II</t>
  </si>
  <si>
    <t xml:space="preserve">https://boxd.it/29Ge</t>
  </si>
  <si>
    <t xml:space="preserve">2021-04-10</t>
  </si>
  <si>
    <t xml:space="preserve">https://boxd.it/8H5e</t>
  </si>
  <si>
    <t xml:space="preserve">2021-04-12</t>
  </si>
  <si>
    <t xml:space="preserve">https://boxd.it/2aNK</t>
  </si>
  <si>
    <t xml:space="preserve">Bombshell</t>
  </si>
  <si>
    <t xml:space="preserve">https://boxd.it/j5YC</t>
  </si>
  <si>
    <t xml:space="preserve">2021-04-13</t>
  </si>
  <si>
    <t xml:space="preserve">https://boxd.it/2b0E</t>
  </si>
  <si>
    <t xml:space="preserve">Hitchcock</t>
  </si>
  <si>
    <t xml:space="preserve">https://boxd.it/3LDa</t>
  </si>
  <si>
    <t xml:space="preserve">https://boxd.it/iEBG</t>
  </si>
  <si>
    <t xml:space="preserve">2021-04-15</t>
  </si>
  <si>
    <t xml:space="preserve">Black Swan</t>
  </si>
  <si>
    <t xml:space="preserve">https://boxd.it/Sw0</t>
  </si>
  <si>
    <t xml:space="preserve">2021-04-19</t>
  </si>
  <si>
    <t xml:space="preserve">https://boxd.it/2aze</t>
  </si>
  <si>
    <t xml:space="preserve">https://boxd.it/2aFQ</t>
  </si>
  <si>
    <t xml:space="preserve">2021-04-21</t>
  </si>
  <si>
    <t xml:space="preserve">Vivarium</t>
  </si>
  <si>
    <t xml:space="preserve">https://boxd.it/gmVE</t>
  </si>
  <si>
    <t xml:space="preserve">2021-04-25</t>
  </si>
  <si>
    <t xml:space="preserve">https://boxd.it/jhxe</t>
  </si>
  <si>
    <t xml:space="preserve">2021-04-27</t>
  </si>
  <si>
    <t xml:space="preserve">https://boxd.it/2aHM</t>
  </si>
  <si>
    <t xml:space="preserve">2021-04-28</t>
  </si>
  <si>
    <t xml:space="preserve">https://boxd.it/2ahY</t>
  </si>
  <si>
    <t xml:space="preserve">2021-04-29</t>
  </si>
  <si>
    <t xml:space="preserve">The Platform</t>
  </si>
  <si>
    <t xml:space="preserve">https://boxd.it/mUm6</t>
  </si>
  <si>
    <t xml:space="preserve">2021-05-01</t>
  </si>
  <si>
    <t xml:space="preserve">I, Tonya</t>
  </si>
  <si>
    <t xml:space="preserve">https://boxd.it/dzR0</t>
  </si>
  <si>
    <t xml:space="preserve">2021-05-06</t>
  </si>
  <si>
    <t xml:space="preserve">Yesterday</t>
  </si>
  <si>
    <t xml:space="preserve">https://boxd.it/iF7M</t>
  </si>
  <si>
    <t xml:space="preserve">https://boxd.it/20DU</t>
  </si>
  <si>
    <t xml:space="preserve">2021-05-07</t>
  </si>
  <si>
    <t xml:space="preserve">Fear and Loathing in Las Vegas</t>
  </si>
  <si>
    <t xml:space="preserve">https://boxd.it/27Xs</t>
  </si>
  <si>
    <t xml:space="preserve">Back to the Future Part II</t>
  </si>
  <si>
    <t xml:space="preserve">https://boxd.it/2aYI</t>
  </si>
  <si>
    <t xml:space="preserve">2021-05-08</t>
  </si>
  <si>
    <t xml:space="preserve">https://boxd.it/2a6Q</t>
  </si>
  <si>
    <t xml:space="preserve">2021-05-10</t>
  </si>
  <si>
    <t xml:space="preserve">Bronson</t>
  </si>
  <si>
    <t xml:space="preserve">https://boxd.it/1GM8</t>
  </si>
  <si>
    <t xml:space="preserve">Back to the Future Part III</t>
  </si>
  <si>
    <t xml:space="preserve">https://boxd.it/2aTS</t>
  </si>
  <si>
    <t xml:space="preserve">2021-05-11</t>
  </si>
  <si>
    <t xml:space="preserve">https://boxd.it/5hla</t>
  </si>
  <si>
    <t xml:space="preserve">2021-05-12</t>
  </si>
  <si>
    <t xml:space="preserve">https://boxd.it/1m8W</t>
  </si>
  <si>
    <t xml:space="preserve">2021-05-13</t>
  </si>
  <si>
    <t xml:space="preserve">Misery</t>
  </si>
  <si>
    <t xml:space="preserve">https://boxd.it/28gY</t>
  </si>
  <si>
    <t xml:space="preserve">2021-05-16</t>
  </si>
  <si>
    <t xml:space="preserve">https://boxd.it/294k</t>
  </si>
  <si>
    <t xml:space="preserve">2021-05-17</t>
  </si>
  <si>
    <t xml:space="preserve">Hugo</t>
  </si>
  <si>
    <t xml:space="preserve">https://boxd.it/R08</t>
  </si>
  <si>
    <t xml:space="preserve">2021-05-18</t>
  </si>
  <si>
    <t xml:space="preserve">https://boxd.it/2a9K</t>
  </si>
  <si>
    <t xml:space="preserve">2021-05-19</t>
  </si>
  <si>
    <t xml:space="preserve">The Pursuit of Happyness</t>
  </si>
  <si>
    <t xml:space="preserve">https://boxd.it/28PE</t>
  </si>
  <si>
    <t xml:space="preserve">2021-05-23</t>
  </si>
  <si>
    <t xml:space="preserve">Zombieland: Double Tap</t>
  </si>
  <si>
    <t xml:space="preserve">https://boxd.it/bgb6</t>
  </si>
  <si>
    <t xml:space="preserve">You Were Never Really Here</t>
  </si>
  <si>
    <t xml:space="preserve">https://boxd.it/dWOS</t>
  </si>
  <si>
    <t xml:space="preserve">2021-05-25</t>
  </si>
  <si>
    <t xml:space="preserve">End of Watch</t>
  </si>
  <si>
    <t xml:space="preserve">https://boxd.it/2F5O</t>
  </si>
  <si>
    <t xml:space="preserve">2021-05-28</t>
  </si>
  <si>
    <t xml:space="preserve">https://boxd.it/18Im</t>
  </si>
  <si>
    <t xml:space="preserve">2021-05-31</t>
  </si>
  <si>
    <t xml:space="preserve">https://boxd.it/2bcK</t>
  </si>
  <si>
    <t xml:space="preserve">2021-06-02</t>
  </si>
  <si>
    <t xml:space="preserve">A Few Good Men</t>
  </si>
  <si>
    <t xml:space="preserve">https://boxd.it/29nw</t>
  </si>
  <si>
    <t xml:space="preserve">2021-06-07</t>
  </si>
  <si>
    <t xml:space="preserve">https://boxd.it/29qA</t>
  </si>
  <si>
    <t xml:space="preserve">https://boxd.it/2cAo</t>
  </si>
  <si>
    <t xml:space="preserve">2021-06-08</t>
  </si>
  <si>
    <t xml:space="preserve">https://boxd.it/29qq</t>
  </si>
  <si>
    <t xml:space="preserve">2021-06-09</t>
  </si>
  <si>
    <t xml:space="preserve">Toy Story 3</t>
  </si>
  <si>
    <t xml:space="preserve">https://boxd.it/1WRe</t>
  </si>
  <si>
    <t xml:space="preserve">Cars</t>
  </si>
  <si>
    <t xml:space="preserve">https://boxd.it/29ho</t>
  </si>
  <si>
    <t xml:space="preserve">2021-06-10</t>
  </si>
  <si>
    <t xml:space="preserve">Wonder</t>
  </si>
  <si>
    <t xml:space="preserve">https://boxd.it/ekeY</t>
  </si>
  <si>
    <t xml:space="preserve">2021-06-11</t>
  </si>
  <si>
    <t xml:space="preserve">https://boxd.it/F9i</t>
  </si>
  <si>
    <t xml:space="preserve">https://boxd.it/2a1G</t>
  </si>
  <si>
    <t xml:space="preserve">2021-06-12</t>
  </si>
  <si>
    <t xml:space="preserve">The Hangover</t>
  </si>
  <si>
    <t xml:space="preserve">https://boxd.it/1GjK</t>
  </si>
  <si>
    <t xml:space="preserve">2021-06-14</t>
  </si>
  <si>
    <t xml:space="preserve">https://boxd.it/1Zu8</t>
  </si>
  <si>
    <t xml:space="preserve">The Hangover Part II</t>
  </si>
  <si>
    <t xml:space="preserve">https://boxd.it/PZI</t>
  </si>
  <si>
    <t xml:space="preserve">2021-06-15</t>
  </si>
  <si>
    <t xml:space="preserve">The Aviator</t>
  </si>
  <si>
    <t xml:space="preserve">https://boxd.it/26BU</t>
  </si>
  <si>
    <t xml:space="preserve">2021-06-16</t>
  </si>
  <si>
    <t xml:space="preserve">https://boxd.it/2bbs</t>
  </si>
  <si>
    <t xml:space="preserve">2021-06-17</t>
  </si>
  <si>
    <t xml:space="preserve">https://boxd.it/206m</t>
  </si>
  <si>
    <t xml:space="preserve">2021-06-18</t>
  </si>
  <si>
    <t xml:space="preserve">Toy Story 4</t>
  </si>
  <si>
    <t xml:space="preserve">https://boxd.it/9ALu</t>
  </si>
  <si>
    <t xml:space="preserve">2021-06-20</t>
  </si>
  <si>
    <t xml:space="preserve">https://boxd.it/2a20</t>
  </si>
  <si>
    <t xml:space="preserve">2021-06-21</t>
  </si>
  <si>
    <t xml:space="preserve">Ferris Bueller's Day Off</t>
  </si>
  <si>
    <t xml:space="preserve">https://boxd.it/1YPY</t>
  </si>
  <si>
    <t xml:space="preserve">The Hangover Part III</t>
  </si>
  <si>
    <t xml:space="preserve">https://boxd.it/3GNY</t>
  </si>
  <si>
    <t xml:space="preserve">2021-06-22</t>
  </si>
  <si>
    <t xml:space="preserve">https://boxd.it/28Em</t>
  </si>
  <si>
    <t xml:space="preserve">2021-06-23</t>
  </si>
  <si>
    <t xml:space="preserve">https://boxd.it/e4uc</t>
  </si>
  <si>
    <t xml:space="preserve">Remember the Titans</t>
  </si>
  <si>
    <t xml:space="preserve">https://boxd.it/1VLk</t>
  </si>
  <si>
    <t xml:space="preserve">The World's End</t>
  </si>
  <si>
    <t xml:space="preserve">https://boxd.it/3EiO</t>
  </si>
  <si>
    <t xml:space="preserve">2021-06-24</t>
  </si>
  <si>
    <t xml:space="preserve">https://boxd.it/6ZS</t>
  </si>
  <si>
    <t xml:space="preserve">2021-06-25</t>
  </si>
  <si>
    <t xml:space="preserve">Indiana Jones and the Temple of Doom</t>
  </si>
  <si>
    <t xml:space="preserve">https://boxd.it/2bb8</t>
  </si>
  <si>
    <t xml:space="preserve">10 Things I Hate About You</t>
  </si>
  <si>
    <t xml:space="preserve">https://boxd.it/23AO</t>
  </si>
  <si>
    <t xml:space="preserve">Wildlife</t>
  </si>
  <si>
    <t xml:space="preserve">https://boxd.it/eKYe</t>
  </si>
  <si>
    <t xml:space="preserve">2021-06-26</t>
  </si>
  <si>
    <t xml:space="preserve">https://boxd.it/1PDa</t>
  </si>
  <si>
    <t xml:space="preserve">2021-06-27</t>
  </si>
  <si>
    <t xml:space="preserve">Enter the Dragon</t>
  </si>
  <si>
    <t xml:space="preserve">https://boxd.it/1YCA</t>
  </si>
  <si>
    <t xml:space="preserve">2021-06-28</t>
  </si>
  <si>
    <t xml:space="preserve">Indiana Jones and the Last Crusade</t>
  </si>
  <si>
    <t xml:space="preserve">https://boxd.it/2baO</t>
  </si>
  <si>
    <t xml:space="preserve">2021-06-29</t>
  </si>
  <si>
    <t xml:space="preserve">Indiana Jones and the Kingdom of the Crystal Skull</t>
  </si>
  <si>
    <t xml:space="preserve">https://boxd.it/2aR8</t>
  </si>
  <si>
    <t xml:space="preserve">2021-06-30</t>
  </si>
  <si>
    <t xml:space="preserve">Hawaiian Vacation</t>
  </si>
  <si>
    <t xml:space="preserve">https://boxd.it/2Hkw</t>
  </si>
  <si>
    <t xml:space="preserve">2021-07-01</t>
  </si>
  <si>
    <t xml:space="preserve">https://boxd.it/27ww</t>
  </si>
  <si>
    <t xml:space="preserve">2021-07-02</t>
  </si>
  <si>
    <t xml:space="preserve">Cars 2</t>
  </si>
  <si>
    <t xml:space="preserve">https://boxd.it/H4Y</t>
  </si>
  <si>
    <t xml:space="preserve">https://boxd.it/7tnw</t>
  </si>
  <si>
    <t xml:space="preserve">2021-07-03</t>
  </si>
  <si>
    <t xml:space="preserve">https://boxd.it/29nc</t>
  </si>
  <si>
    <t xml:space="preserve">https://boxd.it/25Fm</t>
  </si>
  <si>
    <t xml:space="preserve">https://boxd.it/1VEo</t>
  </si>
  <si>
    <t xml:space="preserve">2021-07-05</t>
  </si>
  <si>
    <t xml:space="preserve">Cars 3</t>
  </si>
  <si>
    <t xml:space="preserve">https://boxd.it/7IPq</t>
  </si>
  <si>
    <t xml:space="preserve">2021-07-06</t>
  </si>
  <si>
    <t xml:space="preserve">Iron Man</t>
  </si>
  <si>
    <t xml:space="preserve">https://boxd.it/28dA</t>
  </si>
  <si>
    <t xml:space="preserve">https://boxd.it/29vq</t>
  </si>
  <si>
    <t xml:space="preserve">2021-07-07</t>
  </si>
  <si>
    <t xml:space="preserve">https://boxd.it/26mA</t>
  </si>
  <si>
    <t xml:space="preserve">Austin Powers: International Man of Mystery</t>
  </si>
  <si>
    <t xml:space="preserve">https://boxd.it/29y0</t>
  </si>
  <si>
    <t xml:space="preserve">2021-07-08</t>
  </si>
  <si>
    <t xml:space="preserve">Austin Powers: The Spy Who Shagged Me</t>
  </si>
  <si>
    <t xml:space="preserve">https://boxd.it/29xQ</t>
  </si>
  <si>
    <t xml:space="preserve">2021-07-09</t>
  </si>
  <si>
    <t xml:space="preserve">Climax</t>
  </si>
  <si>
    <t xml:space="preserve">https://boxd.it/ikvo</t>
  </si>
  <si>
    <t xml:space="preserve">Black Widow</t>
  </si>
  <si>
    <t xml:space="preserve">https://boxd.it/hWV8</t>
  </si>
  <si>
    <t xml:space="preserve">2021-07-10</t>
  </si>
  <si>
    <t xml:space="preserve">https://boxd.it/2ahO</t>
  </si>
  <si>
    <t xml:space="preserve">2021-07-11</t>
  </si>
  <si>
    <t xml:space="preserve">Layer Cake</t>
  </si>
  <si>
    <t xml:space="preserve">https://boxd.it/23LC</t>
  </si>
  <si>
    <t xml:space="preserve">2021-07-13</t>
  </si>
  <si>
    <t xml:space="preserve">Austin Powers in Goldmember</t>
  </si>
  <si>
    <t xml:space="preserve">https://boxd.it/29xG</t>
  </si>
  <si>
    <t xml:space="preserve">https://boxd.it/1OEc</t>
  </si>
  <si>
    <t xml:space="preserve">2021-07-15</t>
  </si>
  <si>
    <t xml:space="preserve">Luca</t>
  </si>
  <si>
    <t xml:space="preserve">https://boxd.it/ipjC</t>
  </si>
  <si>
    <t xml:space="preserve">https://boxd.it/1Y2i</t>
  </si>
  <si>
    <t xml:space="preserve">2021-07-16</t>
  </si>
  <si>
    <t xml:space="preserve">Twin Peaks</t>
  </si>
  <si>
    <t xml:space="preserve">https://boxd.it/g8pk</t>
  </si>
  <si>
    <t xml:space="preserve">https://boxd.it/2TTo</t>
  </si>
  <si>
    <t xml:space="preserve">A Bug's Life</t>
  </si>
  <si>
    <t xml:space="preserve">https://boxd.it/1Yyy</t>
  </si>
  <si>
    <t xml:space="preserve">2021-07-17</t>
  </si>
  <si>
    <t xml:space="preserve">https://boxd.it/294O</t>
  </si>
  <si>
    <t xml:space="preserve">2021-07-20</t>
  </si>
  <si>
    <t xml:space="preserve">https://boxd.it/1ZZK</t>
  </si>
  <si>
    <t xml:space="preserve">2021-07-21</t>
  </si>
  <si>
    <t xml:space="preserve">The Cat in the Hat</t>
  </si>
  <si>
    <t xml:space="preserve">https://boxd.it/1VSU</t>
  </si>
  <si>
    <t xml:space="preserve">2021-07-22</t>
  </si>
  <si>
    <t xml:space="preserve">https://boxd.it/1XLm</t>
  </si>
  <si>
    <t xml:space="preserve">2021-07-23</t>
  </si>
  <si>
    <t xml:space="preserve">The Terminal</t>
  </si>
  <si>
    <t xml:space="preserve">https://boxd.it/2a2O</t>
  </si>
  <si>
    <t xml:space="preserve">https://boxd.it/28xK</t>
  </si>
  <si>
    <t xml:space="preserve">2021-07-25</t>
  </si>
  <si>
    <t xml:space="preserve">Old</t>
  </si>
  <si>
    <t xml:space="preserve">https://boxd.it/npKI</t>
  </si>
  <si>
    <t xml:space="preserve">2021-07-26</t>
  </si>
  <si>
    <t xml:space="preserve">The House That Jack Built</t>
  </si>
  <si>
    <t xml:space="preserve">https://boxd.it/dWO4</t>
  </si>
  <si>
    <t xml:space="preserve">https://boxd.it/27LQ</t>
  </si>
  <si>
    <t xml:space="preserve">2021-07-27</t>
  </si>
  <si>
    <t xml:space="preserve">https://boxd.it/2a1m</t>
  </si>
  <si>
    <t xml:space="preserve">2021-07-28</t>
  </si>
  <si>
    <t xml:space="preserve">The Simpsons Movie</t>
  </si>
  <si>
    <t xml:space="preserve">https://boxd.it/6YU</t>
  </si>
  <si>
    <t xml:space="preserve">2021-07-29</t>
  </si>
  <si>
    <t xml:space="preserve">https://boxd.it/2auo</t>
  </si>
  <si>
    <t xml:space="preserve">https://boxd.it/go9C</t>
  </si>
  <si>
    <t xml:space="preserve">2021-07-30</t>
  </si>
  <si>
    <t xml:space="preserve">https://boxd.it/22Z4</t>
  </si>
  <si>
    <t xml:space="preserve">2021-08-01</t>
  </si>
  <si>
    <t xml:space="preserve">https://boxd.it/2b3I</t>
  </si>
  <si>
    <t xml:space="preserve">2021-08-02</t>
  </si>
  <si>
    <t xml:space="preserve">Escape from L.A.</t>
  </si>
  <si>
    <t xml:space="preserve">https://boxd.it/1XbI</t>
  </si>
  <si>
    <t xml:space="preserve">https://boxd.it/23zw</t>
  </si>
  <si>
    <t xml:space="preserve">2021-08-03</t>
  </si>
  <si>
    <t xml:space="preserve">https://boxd.it/iL4</t>
  </si>
  <si>
    <t xml:space="preserve">2021-08-04</t>
  </si>
  <si>
    <t xml:space="preserve">https://boxd.it/1SE6</t>
  </si>
  <si>
    <t xml:space="preserve">2021-08-08</t>
  </si>
  <si>
    <t xml:space="preserve">https://boxd.it/2aVO</t>
  </si>
  <si>
    <t xml:space="preserve">https://boxd.it/29BI</t>
  </si>
  <si>
    <t xml:space="preserve">2021-08-12</t>
  </si>
  <si>
    <t xml:space="preserve">Mishima: A Life in Four Chapters</t>
  </si>
  <si>
    <t xml:space="preserve">https://boxd.it/1sBA</t>
  </si>
  <si>
    <t xml:space="preserve">2021-08-13</t>
  </si>
  <si>
    <t xml:space="preserve">Twelve Monkeys</t>
  </si>
  <si>
    <t xml:space="preserve">https://boxd.it/2beQ</t>
  </si>
  <si>
    <t xml:space="preserve">https://boxd.it/2BiY</t>
  </si>
  <si>
    <t xml:space="preserve">https://boxd.it/28vu</t>
  </si>
  <si>
    <t xml:space="preserve">2021-08-16</t>
  </si>
  <si>
    <t xml:space="preserve">Kung Fu Panda</t>
  </si>
  <si>
    <t xml:space="preserve">https://boxd.it/1Yws</t>
  </si>
  <si>
    <t xml:space="preserve">2021-08-17</t>
  </si>
  <si>
    <t xml:space="preserve">https://boxd.it/29BS</t>
  </si>
  <si>
    <t xml:space="preserve">2021-08-18</t>
  </si>
  <si>
    <t xml:space="preserve">https://boxd.it/1ZTM</t>
  </si>
  <si>
    <t xml:space="preserve">https://boxd.it/2bcU</t>
  </si>
  <si>
    <t xml:space="preserve">2021-08-19</t>
  </si>
  <si>
    <t xml:space="preserve">https://boxd.it/26vC</t>
  </si>
  <si>
    <t xml:space="preserve">2021-08-20</t>
  </si>
  <si>
    <t xml:space="preserve">https://boxd.it/29eu</t>
  </si>
  <si>
    <t xml:space="preserve">This Is the End</t>
  </si>
  <si>
    <t xml:space="preserve">https://boxd.it/3GB4</t>
  </si>
  <si>
    <t xml:space="preserve">2021-08-21</t>
  </si>
  <si>
    <t xml:space="preserve">https://boxd.it/dZ5G</t>
  </si>
  <si>
    <t xml:space="preserve">Warrior</t>
  </si>
  <si>
    <t xml:space="preserve">https://boxd.it/i3G</t>
  </si>
  <si>
    <t xml:space="preserve">Tropic Thunder</t>
  </si>
  <si>
    <t xml:space="preserve">https://boxd.it/20WM</t>
  </si>
  <si>
    <t xml:space="preserve">https://boxd.it/2bcg</t>
  </si>
  <si>
    <t xml:space="preserve">2021-08-22</t>
  </si>
  <si>
    <t xml:space="preserve">https://boxd.it/3Icg</t>
  </si>
  <si>
    <t xml:space="preserve">2021-08-23</t>
  </si>
  <si>
    <t xml:space="preserve">https://boxd.it/2az4</t>
  </si>
  <si>
    <t xml:space="preserve">2021-08-26</t>
  </si>
  <si>
    <t xml:space="preserve">Spider-Man</t>
  </si>
  <si>
    <t xml:space="preserve">https://boxd.it/2a8i</t>
  </si>
  <si>
    <t xml:space="preserve">https://boxd.it/fcFY</t>
  </si>
  <si>
    <t xml:space="preserve">2021-08-27</t>
  </si>
  <si>
    <t xml:space="preserve">https://boxd.it/4ive</t>
  </si>
  <si>
    <t xml:space="preserve">2021-08-30</t>
  </si>
  <si>
    <t xml:space="preserve">https://boxd.it/28F0</t>
  </si>
  <si>
    <t xml:space="preserve">Rabbits</t>
  </si>
  <si>
    <t xml:space="preserve">https://boxd.it/SaI</t>
  </si>
  <si>
    <t xml:space="preserve">2021-08-31</t>
  </si>
  <si>
    <t xml:space="preserve">Army of Darkness</t>
  </si>
  <si>
    <t xml:space="preserve">https://boxd.it/29G4</t>
  </si>
  <si>
    <t xml:space="preserve">2021-09-01</t>
  </si>
  <si>
    <t xml:space="preserve">Greenberg</t>
  </si>
  <si>
    <t xml:space="preserve">https://boxd.it/1rt6</t>
  </si>
  <si>
    <t xml:space="preserve">2021-09-03</t>
  </si>
  <si>
    <t xml:space="preserve">https://boxd.it/2ass</t>
  </si>
  <si>
    <t xml:space="preserve">2021-09-07</t>
  </si>
  <si>
    <t xml:space="preserve">Creep 2</t>
  </si>
  <si>
    <t xml:space="preserve">https://boxd.it/dSEO</t>
  </si>
  <si>
    <t xml:space="preserve">https://boxd.it/2CxU</t>
  </si>
  <si>
    <t xml:space="preserve">2021-09-08</t>
  </si>
  <si>
    <t xml:space="preserve">The Town</t>
  </si>
  <si>
    <t xml:space="preserve">https://boxd.it/1zyS</t>
  </si>
  <si>
    <t xml:space="preserve">At Eternity's Gate</t>
  </si>
  <si>
    <t xml:space="preserve">https://boxd.it/hI40</t>
  </si>
  <si>
    <t xml:space="preserve">2021-09-09</t>
  </si>
  <si>
    <t xml:space="preserve">Jungle Cruise</t>
  </si>
  <si>
    <t xml:space="preserve">https://boxd.it/g4YK</t>
  </si>
  <si>
    <t xml:space="preserve">Booksmart</t>
  </si>
  <si>
    <t xml:space="preserve">https://boxd.it/igNS</t>
  </si>
  <si>
    <t xml:space="preserve">2021-09-10</t>
  </si>
  <si>
    <t xml:space="preserve">https://boxd.it/29ce</t>
  </si>
  <si>
    <t xml:space="preserve">2021-09-11</t>
  </si>
  <si>
    <t xml:space="preserve">https://boxd.it/1JRg</t>
  </si>
  <si>
    <t xml:space="preserve">2021-09-13</t>
  </si>
  <si>
    <t xml:space="preserve">I'm Still Here</t>
  </si>
  <si>
    <t xml:space="preserve">https://boxd.it/TcK</t>
  </si>
  <si>
    <t xml:space="preserve">Song to Song</t>
  </si>
  <si>
    <t xml:space="preserve">https://boxd.it/aR5C</t>
  </si>
  <si>
    <t xml:space="preserve">2021-09-17</t>
  </si>
  <si>
    <t xml:space="preserve">Harvie Krumpet</t>
  </si>
  <si>
    <t xml:space="preserve">https://boxd.it/1Cp0</t>
  </si>
  <si>
    <t xml:space="preserve">https://boxd.it/2wRu</t>
  </si>
  <si>
    <t xml:space="preserve">2021-09-20</t>
  </si>
  <si>
    <t xml:space="preserve">21 Grams</t>
  </si>
  <si>
    <t xml:space="preserve">https://boxd.it/2ajK</t>
  </si>
  <si>
    <t xml:space="preserve">Team America: World Police</t>
  </si>
  <si>
    <t xml:space="preserve">https://boxd.it/24QS</t>
  </si>
  <si>
    <t xml:space="preserve">https://boxd.it/29tE</t>
  </si>
  <si>
    <t xml:space="preserve">2021-09-21</t>
  </si>
  <si>
    <t xml:space="preserve">The Hitcher</t>
  </si>
  <si>
    <t xml:space="preserve">https://boxd.it/1Yq0</t>
  </si>
  <si>
    <t xml:space="preserve">2021-09-22</t>
  </si>
  <si>
    <t xml:space="preserve">https://boxd.it/25Xg</t>
  </si>
  <si>
    <t xml:space="preserve">https://boxd.it/20lm</t>
  </si>
  <si>
    <t xml:space="preserve">Uncle</t>
  </si>
  <si>
    <t xml:space="preserve">https://boxd.it/2uLE</t>
  </si>
  <si>
    <t xml:space="preserve">Evil Genius</t>
  </si>
  <si>
    <t xml:space="preserve">https://boxd.it/j57y</t>
  </si>
  <si>
    <t xml:space="preserve">2021-09-23</t>
  </si>
  <si>
    <t xml:space="preserve">https://boxd.it/28Uk</t>
  </si>
  <si>
    <t xml:space="preserve">2021-09-24</t>
  </si>
  <si>
    <t xml:space="preserve">Cousin</t>
  </si>
  <si>
    <t xml:space="preserve">https://boxd.it/IT4</t>
  </si>
  <si>
    <t xml:space="preserve">Steve Jobs</t>
  </si>
  <si>
    <t xml:space="preserve">https://boxd.it/araG</t>
  </si>
  <si>
    <t xml:space="preserve">Shaun the Sheep Movie</t>
  </si>
  <si>
    <t xml:space="preserve">https://boxd.it/7Pdy</t>
  </si>
  <si>
    <t xml:space="preserve">2021-09-27</t>
  </si>
  <si>
    <t xml:space="preserve">https://boxd.it/20ZQ</t>
  </si>
  <si>
    <t xml:space="preserve">2021-09-28</t>
  </si>
  <si>
    <t xml:space="preserve">Life of Pi</t>
  </si>
  <si>
    <t xml:space="preserve">https://boxd.it/37pC</t>
  </si>
  <si>
    <t xml:space="preserve">2021-09-29</t>
  </si>
  <si>
    <t xml:space="preserve">One Hour Photo</t>
  </si>
  <si>
    <t xml:space="preserve">https://boxd.it/1YT2</t>
  </si>
  <si>
    <t xml:space="preserve">2021-09-30</t>
  </si>
  <si>
    <t xml:space="preserve">https://boxd.it/1y2m</t>
  </si>
  <si>
    <t xml:space="preserve">2021-10-01</t>
  </si>
  <si>
    <t xml:space="preserve">The Loud House Movie</t>
  </si>
  <si>
    <t xml:space="preserve">https://boxd.it/erIG</t>
  </si>
  <si>
    <t xml:space="preserve">2021-10-03</t>
  </si>
  <si>
    <t xml:space="preserve">Liar Liar</t>
  </si>
  <si>
    <t xml:space="preserve">https://boxd.it/28sg</t>
  </si>
  <si>
    <t xml:space="preserve">2021-10-04</t>
  </si>
  <si>
    <t xml:space="preserve">https://boxd.it/2anC</t>
  </si>
  <si>
    <t xml:space="preserve">https://boxd.it/2b8S</t>
  </si>
  <si>
    <t xml:space="preserve">2021-10-06</t>
  </si>
  <si>
    <t xml:space="preserve">Human Behavioural Case Studies. Series One.</t>
  </si>
  <si>
    <t xml:space="preserve">https://boxd.it/8TGG</t>
  </si>
  <si>
    <t xml:space="preserve">Brother</t>
  </si>
  <si>
    <t xml:space="preserve">https://boxd.it/5kBA</t>
  </si>
  <si>
    <t xml:space="preserve">2021-10-12</t>
  </si>
  <si>
    <t xml:space="preserve">Ernie Biscuit</t>
  </si>
  <si>
    <t xml:space="preserve">https://boxd.it/bDX8</t>
  </si>
  <si>
    <t xml:space="preserve">The Adventures of André and Wally B.</t>
  </si>
  <si>
    <t xml:space="preserve">https://boxd.it/1P7I</t>
  </si>
  <si>
    <t xml:space="preserve">Red's Dream</t>
  </si>
  <si>
    <t xml:space="preserve">https://boxd.it/1P7o</t>
  </si>
  <si>
    <t xml:space="preserve">https://boxd.it/1YzQ</t>
  </si>
  <si>
    <t xml:space="preserve">Tin Toy</t>
  </si>
  <si>
    <t xml:space="preserve">https://boxd.it/1P7e</t>
  </si>
  <si>
    <t xml:space="preserve">Geri's Game</t>
  </si>
  <si>
    <t xml:space="preserve">https://boxd.it/1P6U</t>
  </si>
  <si>
    <t xml:space="preserve">Luxo Jr.</t>
  </si>
  <si>
    <t xml:space="preserve">https://boxd.it/1P7y</t>
  </si>
  <si>
    <t xml:space="preserve">2021-10-13</t>
  </si>
  <si>
    <t xml:space="preserve">For the Birds</t>
  </si>
  <si>
    <t xml:space="preserve">https://boxd.it/1P6K</t>
  </si>
  <si>
    <t xml:space="preserve">Mike's New Car</t>
  </si>
  <si>
    <t xml:space="preserve">https://boxd.it/1P6A</t>
  </si>
  <si>
    <t xml:space="preserve">Knick Knack</t>
  </si>
  <si>
    <t xml:space="preserve">https://boxd.it/1P74</t>
  </si>
  <si>
    <t xml:space="preserve">Boundin'</t>
  </si>
  <si>
    <t xml:space="preserve">https://boxd.it/1QVO</t>
  </si>
  <si>
    <t xml:space="preserve">Jack-Jack Attack</t>
  </si>
  <si>
    <t xml:space="preserve">https://boxd.it/1P6q</t>
  </si>
  <si>
    <t xml:space="preserve">One Man Band</t>
  </si>
  <si>
    <t xml:space="preserve">https://boxd.it/1P6g</t>
  </si>
  <si>
    <t xml:space="preserve">Halloween II</t>
  </si>
  <si>
    <t xml:space="preserve">https://boxd.it/1UeE</t>
  </si>
  <si>
    <t xml:space="preserve">Mater and the Ghostlight</t>
  </si>
  <si>
    <t xml:space="preserve">https://boxd.it/1P66</t>
  </si>
  <si>
    <t xml:space="preserve">Lifted</t>
  </si>
  <si>
    <t xml:space="preserve">https://boxd.it/1QW8</t>
  </si>
  <si>
    <t xml:space="preserve">Your Friend the Rat</t>
  </si>
  <si>
    <t xml:space="preserve">https://boxd.it/1QVY</t>
  </si>
  <si>
    <t xml:space="preserve">Rescue Squad Mater</t>
  </si>
  <si>
    <t xml:space="preserve">https://boxd.it/oOI</t>
  </si>
  <si>
    <t xml:space="preserve">Tokyo Mater</t>
  </si>
  <si>
    <t xml:space="preserve">https://boxd.it/1xS2</t>
  </si>
  <si>
    <t xml:space="preserve">El Materdor</t>
  </si>
  <si>
    <t xml:space="preserve">https://boxd.it/14CY</t>
  </si>
  <si>
    <t xml:space="preserve">Presto</t>
  </si>
  <si>
    <t xml:space="preserve">https://boxd.it/1QYI</t>
  </si>
  <si>
    <t xml:space="preserve">2021-10-14</t>
  </si>
  <si>
    <t xml:space="preserve">Mater the Greater</t>
  </si>
  <si>
    <t xml:space="preserve">https://boxd.it/4vXU</t>
  </si>
  <si>
    <t xml:space="preserve">BURN·E</t>
  </si>
  <si>
    <t xml:space="preserve">https://boxd.it/1QdM</t>
  </si>
  <si>
    <t xml:space="preserve">The Campaign</t>
  </si>
  <si>
    <t xml:space="preserve">https://boxd.it/2Hz2</t>
  </si>
  <si>
    <t xml:space="preserve">The Peanut Butter Falcon</t>
  </si>
  <si>
    <t xml:space="preserve">https://boxd.it/gzu2</t>
  </si>
  <si>
    <t xml:space="preserve">2021-10-15</t>
  </si>
  <si>
    <t xml:space="preserve">https://boxd.it/29Cc</t>
  </si>
  <si>
    <t xml:space="preserve">2021-10-18</t>
  </si>
  <si>
    <t xml:space="preserve">https://boxd.it/1YEc</t>
  </si>
  <si>
    <t xml:space="preserve">2021-10-19</t>
  </si>
  <si>
    <t xml:space="preserve">https://boxd.it/29uC</t>
  </si>
  <si>
    <t xml:space="preserve">2021-10-20</t>
  </si>
  <si>
    <t xml:space="preserve">Harry Potter and the Philosopher's Stone</t>
  </si>
  <si>
    <t xml:space="preserve">https://boxd.it/29QS</t>
  </si>
  <si>
    <t xml:space="preserve">2021-10-21</t>
  </si>
  <si>
    <t xml:space="preserve">Corpse Bride</t>
  </si>
  <si>
    <t xml:space="preserve">https://boxd.it/24WQ</t>
  </si>
  <si>
    <t xml:space="preserve">2021-10-23</t>
  </si>
  <si>
    <t xml:space="preserve">Ghost World</t>
  </si>
  <si>
    <t xml:space="preserve">https://boxd.it/28Dy</t>
  </si>
  <si>
    <t xml:space="preserve">2021-10-24</t>
  </si>
  <si>
    <t xml:space="preserve">Rocky II</t>
  </si>
  <si>
    <t xml:space="preserve">https://boxd.it/28Ua</t>
  </si>
  <si>
    <t xml:space="preserve">2021-10-25</t>
  </si>
  <si>
    <t xml:space="preserve">The Cable Guy</t>
  </si>
  <si>
    <t xml:space="preserve">https://boxd.it/1XAI</t>
  </si>
  <si>
    <t xml:space="preserve">https://boxd.it/1SWk</t>
  </si>
  <si>
    <t xml:space="preserve">2021-10-26</t>
  </si>
  <si>
    <t xml:space="preserve">Rocky III</t>
  </si>
  <si>
    <t xml:space="preserve">https://boxd.it/28Tw</t>
  </si>
  <si>
    <t xml:space="preserve">2021-10-28</t>
  </si>
  <si>
    <t xml:space="preserve">https://boxd.it/hCY2</t>
  </si>
  <si>
    <t xml:space="preserve">2021-10-29</t>
  </si>
  <si>
    <t xml:space="preserve">Do You Like to Read?</t>
  </si>
  <si>
    <t xml:space="preserve">https://boxd.it/jMMY</t>
  </si>
  <si>
    <t xml:space="preserve">2021-11-01</t>
  </si>
  <si>
    <t xml:space="preserve">https://boxd.it/7l4c</t>
  </si>
  <si>
    <t xml:space="preserve">2021-11-02</t>
  </si>
  <si>
    <t xml:space="preserve">https://boxd.it/1ZKq</t>
  </si>
  <si>
    <t xml:space="preserve">2021-11-10</t>
  </si>
  <si>
    <t xml:space="preserve">https://boxd.it/2aSg</t>
  </si>
  <si>
    <t xml:space="preserve">2021-11-12</t>
  </si>
  <si>
    <t xml:space="preserve">True Romance</t>
  </si>
  <si>
    <t xml:space="preserve">https://boxd.it/2aBa</t>
  </si>
  <si>
    <t xml:space="preserve">2021-11-13</t>
  </si>
  <si>
    <t xml:space="preserve">Skyscraper</t>
  </si>
  <si>
    <t xml:space="preserve">https://boxd.it/fVqa</t>
  </si>
  <si>
    <t xml:space="preserve">2021-11-15</t>
  </si>
  <si>
    <t xml:space="preserve">https://boxd.it/29EW</t>
  </si>
  <si>
    <t xml:space="preserve">https://boxd.it/3wEC</t>
  </si>
  <si>
    <t xml:space="preserve">2021-11-16</t>
  </si>
  <si>
    <t xml:space="preserve">All Too Well: The Short Film</t>
  </si>
  <si>
    <t xml:space="preserve">https://boxd.it/xTmc</t>
  </si>
  <si>
    <t xml:space="preserve">2021-11-18</t>
  </si>
  <si>
    <t xml:space="preserve">https://boxd.it/2bbW</t>
  </si>
  <si>
    <t xml:space="preserve">2021-11-21</t>
  </si>
  <si>
    <t xml:space="preserve">https://boxd.it/3eWe</t>
  </si>
  <si>
    <t xml:space="preserve">2021-11-23</t>
  </si>
  <si>
    <t xml:space="preserve">Miracle</t>
  </si>
  <si>
    <t xml:space="preserve">https://boxd.it/1OmM</t>
  </si>
  <si>
    <t xml:space="preserve">2021-11-26</t>
  </si>
  <si>
    <t xml:space="preserve">https://boxd.it/26zE</t>
  </si>
  <si>
    <t xml:space="preserve">2021-11-28</t>
  </si>
  <si>
    <t xml:space="preserve">https://boxd.it/jP62</t>
  </si>
  <si>
    <t xml:space="preserve">2021-11-29</t>
  </si>
  <si>
    <t xml:space="preserve">Unidentified Flying Mater</t>
  </si>
  <si>
    <t xml:space="preserve">https://boxd.it/5hPu</t>
  </si>
  <si>
    <t xml:space="preserve">2021-12-01</t>
  </si>
  <si>
    <t xml:space="preserve">https://boxd.it/1Z6A</t>
  </si>
  <si>
    <t xml:space="preserve">2021-12-02</t>
  </si>
  <si>
    <t xml:space="preserve">https://boxd.it/1VqG</t>
  </si>
  <si>
    <t xml:space="preserve">2021-12-03</t>
  </si>
  <si>
    <t xml:space="preserve">https://boxd.it/1YIe</t>
  </si>
  <si>
    <t xml:space="preserve">2021-12-04</t>
  </si>
  <si>
    <t xml:space="preserve">Elf</t>
  </si>
  <si>
    <t xml:space="preserve">https://boxd.it/1VyK</t>
  </si>
  <si>
    <t xml:space="preserve">2021-12-05</t>
  </si>
  <si>
    <t xml:space="preserve">Edward Scissorhands</t>
  </si>
  <si>
    <t xml:space="preserve">https://boxd.it/2aZc</t>
  </si>
  <si>
    <t xml:space="preserve">2021-12-06</t>
  </si>
  <si>
    <t xml:space="preserve">Last Flag Flying</t>
  </si>
  <si>
    <t xml:space="preserve">https://boxd.it/ePAG</t>
  </si>
  <si>
    <t xml:space="preserve">2021-12-07</t>
  </si>
  <si>
    <t xml:space="preserve">https://boxd.it/1WKM</t>
  </si>
  <si>
    <t xml:space="preserve">2021-12-09</t>
  </si>
  <si>
    <t xml:space="preserve">Talladega Nights: The Ballad of Ricky Bobby</t>
  </si>
  <si>
    <t xml:space="preserve">https://boxd.it/1XYq</t>
  </si>
  <si>
    <t xml:space="preserve">2021-12-10</t>
  </si>
  <si>
    <t xml:space="preserve">Mars Attacks!</t>
  </si>
  <si>
    <t xml:space="preserve">https://boxd.it/2bd4</t>
  </si>
  <si>
    <t xml:space="preserve">2021-12-11</t>
  </si>
  <si>
    <t xml:space="preserve">https://boxd.it/2au4</t>
  </si>
  <si>
    <t xml:space="preserve">2021-12-12</t>
  </si>
  <si>
    <t xml:space="preserve">National Lampoon's Christmas Vacation</t>
  </si>
  <si>
    <t xml:space="preserve">https://boxd.it/22wQ</t>
  </si>
  <si>
    <t xml:space="preserve">2021-12-14</t>
  </si>
  <si>
    <t xml:space="preserve">all night</t>
  </si>
  <si>
    <t xml:space="preserve">https://boxd.it/xZxq</t>
  </si>
  <si>
    <t xml:space="preserve">Falling Down</t>
  </si>
  <si>
    <t xml:space="preserve">https://boxd.it/194M</t>
  </si>
  <si>
    <t xml:space="preserve">The Polar Express</t>
  </si>
  <si>
    <t xml:space="preserve">https://boxd.it/23am</t>
  </si>
  <si>
    <t xml:space="preserve">2021-12-15</t>
  </si>
  <si>
    <t xml:space="preserve">https://boxd.it/2a5e</t>
  </si>
  <si>
    <t xml:space="preserve">2021-12-16</t>
  </si>
  <si>
    <t xml:space="preserve">Frankenweenie</t>
  </si>
  <si>
    <t xml:space="preserve">https://boxd.it/bPS</t>
  </si>
  <si>
    <t xml:space="preserve">2021-12-17</t>
  </si>
  <si>
    <t xml:space="preserve">https://boxd.it/29Fg</t>
  </si>
  <si>
    <t xml:space="preserve">2021-12-18</t>
  </si>
  <si>
    <t xml:space="preserve">Last Days</t>
  </si>
  <si>
    <t xml:space="preserve">https://boxd.it/28lY</t>
  </si>
  <si>
    <t xml:space="preserve">2021-12-19</t>
  </si>
  <si>
    <t xml:space="preserve">https://boxd.it/2awY</t>
  </si>
  <si>
    <t xml:space="preserve">2021-12-20</t>
  </si>
  <si>
    <t xml:space="preserve">https://boxd.it/2aIU</t>
  </si>
  <si>
    <t xml:space="preserve">2021-12-21</t>
  </si>
  <si>
    <t xml:space="preserve">https://boxd.it/2bcA</t>
  </si>
  <si>
    <t xml:space="preserve">2021-12-22</t>
  </si>
  <si>
    <t xml:space="preserve">Pee-wee's Big Adventure</t>
  </si>
  <si>
    <t xml:space="preserve">https://boxd.it/22Lw</t>
  </si>
  <si>
    <t xml:space="preserve">2021-12-23</t>
  </si>
  <si>
    <t xml:space="preserve">Thunder Road</t>
  </si>
  <si>
    <t xml:space="preserve">https://boxd.it/i8Hs</t>
  </si>
  <si>
    <t xml:space="preserve">2021-12-24</t>
  </si>
  <si>
    <t xml:space="preserve">https://boxd.it/27GG</t>
  </si>
  <si>
    <t xml:space="preserve">2021-12-25</t>
  </si>
  <si>
    <t xml:space="preserve">https://boxd.it/29lU</t>
  </si>
  <si>
    <t xml:space="preserve">2021-12-26</t>
  </si>
  <si>
    <t xml:space="preserve">Guns Akimbo</t>
  </si>
  <si>
    <t xml:space="preserve">https://boxd.it/gkFu</t>
  </si>
  <si>
    <t xml:space="preserve">Harry Potter and the Chamber of Secrets</t>
  </si>
  <si>
    <t xml:space="preserve">https://boxd.it/29QI</t>
  </si>
  <si>
    <t xml:space="preserve">2021-12-30</t>
  </si>
  <si>
    <t xml:space="preserve">https://boxd.it/qTKY</t>
  </si>
  <si>
    <t xml:space="preserve">2022-01-01</t>
  </si>
  <si>
    <t xml:space="preserve">https://boxd.it/29re</t>
  </si>
  <si>
    <t xml:space="preserve">2022-01-04</t>
  </si>
  <si>
    <t xml:space="preserve">The Pianist</t>
  </si>
  <si>
    <t xml:space="preserve">https://boxd.it/2aqc</t>
  </si>
  <si>
    <t xml:space="preserve">2022-01-05</t>
  </si>
  <si>
    <t xml:space="preserve">https://boxd.it/1Ylk</t>
  </si>
  <si>
    <t xml:space="preserve">2022-01-06</t>
  </si>
  <si>
    <t xml:space="preserve">https://boxd.it/28PO</t>
  </si>
  <si>
    <t xml:space="preserve">2022-01-07</t>
  </si>
  <si>
    <t xml:space="preserve">https://boxd.it/2aCW</t>
  </si>
  <si>
    <t xml:space="preserve">Batman Returns</t>
  </si>
  <si>
    <t xml:space="preserve">https://boxd.it/2awa</t>
  </si>
  <si>
    <t xml:space="preserve">2022-01-10</t>
  </si>
  <si>
    <t xml:space="preserve">Batman Forever</t>
  </si>
  <si>
    <t xml:space="preserve">https://boxd.it/2ara</t>
  </si>
  <si>
    <t xml:space="preserve">https://boxd.it/b8wK</t>
  </si>
  <si>
    <t xml:space="preserve">https://boxd.it/299E</t>
  </si>
  <si>
    <t xml:space="preserve">2022-01-12</t>
  </si>
  <si>
    <t xml:space="preserve">The French Dispatch of the Liberty, Kansas Evening Sun</t>
  </si>
  <si>
    <t xml:space="preserve">https://boxd.it/jLP8</t>
  </si>
  <si>
    <t xml:space="preserve">2022-01-13</t>
  </si>
  <si>
    <t xml:space="preserve">https://boxd.it/3hBy</t>
  </si>
  <si>
    <t xml:space="preserve">2022-01-14</t>
  </si>
  <si>
    <t xml:space="preserve">https://boxd.it/251w</t>
  </si>
  <si>
    <t xml:space="preserve">https://boxd.it/nzoW</t>
  </si>
  <si>
    <t xml:space="preserve">2022-01-16</t>
  </si>
  <si>
    <t xml:space="preserve">https://boxd.it/25Hi</t>
  </si>
  <si>
    <t xml:space="preserve">2022-01-17</t>
  </si>
  <si>
    <t xml:space="preserve">https://boxd.it/o0lg</t>
  </si>
  <si>
    <t xml:space="preserve">Ray Donovan: The Movie</t>
  </si>
  <si>
    <t xml:space="preserve">https://boxd.it/u82S</t>
  </si>
  <si>
    <t xml:space="preserve">2022-01-18</t>
  </si>
  <si>
    <t xml:space="preserve">Partly Cloudy</t>
  </si>
  <si>
    <t xml:space="preserve">https://boxd.it/1xzE</t>
  </si>
  <si>
    <t xml:space="preserve">https://boxd.it/2a46</t>
  </si>
  <si>
    <t xml:space="preserve">Rocky IV</t>
  </si>
  <si>
    <t xml:space="preserve">https://boxd.it/28T2</t>
  </si>
  <si>
    <t xml:space="preserve">2022-01-20</t>
  </si>
  <si>
    <t xml:space="preserve">https://boxd.it/1ZVo</t>
  </si>
  <si>
    <t xml:space="preserve">2022-01-21</t>
  </si>
  <si>
    <t xml:space="preserve">https://boxd.it/29HG</t>
  </si>
  <si>
    <t xml:space="preserve">2022-01-22</t>
  </si>
  <si>
    <t xml:space="preserve">Belle and Sebastian</t>
  </si>
  <si>
    <t xml:space="preserve">https://boxd.it/68RS</t>
  </si>
  <si>
    <t xml:space="preserve">https://boxd.it/1YqE</t>
  </si>
  <si>
    <t xml:space="preserve">2022-01-23</t>
  </si>
  <si>
    <t xml:space="preserve">https://boxd.it/jB2q</t>
  </si>
  <si>
    <t xml:space="preserve">2022-01-24</t>
  </si>
  <si>
    <t xml:space="preserve">https://boxd.it/29PA</t>
  </si>
  <si>
    <t xml:space="preserve">2022-01-25</t>
  </si>
  <si>
    <t xml:space="preserve">Jurassic Park</t>
  </si>
  <si>
    <t xml:space="preserve">https://boxd.it/2aA2</t>
  </si>
  <si>
    <t xml:space="preserve">2022-01-26</t>
  </si>
  <si>
    <t xml:space="preserve">https://boxd.it/EAs</t>
  </si>
  <si>
    <t xml:space="preserve">2022-01-27</t>
  </si>
  <si>
    <t xml:space="preserve">Awakenings</t>
  </si>
  <si>
    <t xml:space="preserve">https://boxd.it/1USu</t>
  </si>
  <si>
    <t xml:space="preserve">2022-01-30</t>
  </si>
  <si>
    <t xml:space="preserve">Reservation Road</t>
  </si>
  <si>
    <t xml:space="preserve">https://boxd.it/1Zvq</t>
  </si>
  <si>
    <t xml:space="preserve">https://boxd.it/1WlM</t>
  </si>
  <si>
    <t xml:space="preserve">2022-01-31</t>
  </si>
  <si>
    <t xml:space="preserve">Spider-Man: No Way Home</t>
  </si>
  <si>
    <t xml:space="preserve">https://boxd.it/nwRw</t>
  </si>
  <si>
    <t xml:space="preserve">2022-02-01</t>
  </si>
  <si>
    <t xml:space="preserve">Saw</t>
  </si>
  <si>
    <t xml:space="preserve">https://boxd.it/2aWW</t>
  </si>
  <si>
    <t xml:space="preserve">Capote</t>
  </si>
  <si>
    <t xml:space="preserve">https://boxd.it/2atq</t>
  </si>
  <si>
    <t xml:space="preserve">2022-02-02</t>
  </si>
  <si>
    <t xml:space="preserve">Bruce Almighty</t>
  </si>
  <si>
    <t xml:space="preserve">https://boxd.it/2aCC</t>
  </si>
  <si>
    <t xml:space="preserve">2022-02-04</t>
  </si>
  <si>
    <t xml:space="preserve">Jackass Number Two</t>
  </si>
  <si>
    <t xml:space="preserve">https://boxd.it/1SyM</t>
  </si>
  <si>
    <t xml:space="preserve">2022-02-05</t>
  </si>
  <si>
    <t xml:space="preserve">The Lost World: Jurassic Park</t>
  </si>
  <si>
    <t xml:space="preserve">https://boxd.it/2azS</t>
  </si>
  <si>
    <t xml:space="preserve">Impractical Jokers: The Movie</t>
  </si>
  <si>
    <t xml:space="preserve">https://boxd.it/kMLI</t>
  </si>
  <si>
    <t xml:space="preserve">2022-02-06</t>
  </si>
  <si>
    <t xml:space="preserve">Jackass 2.5</t>
  </si>
  <si>
    <t xml:space="preserve">https://boxd.it/1OEw</t>
  </si>
  <si>
    <t xml:space="preserve">2022-02-08</t>
  </si>
  <si>
    <t xml:space="preserve">https://boxd.it/2ak4</t>
  </si>
  <si>
    <t xml:space="preserve">2022-02-09</t>
  </si>
  <si>
    <t xml:space="preserve">https://boxd.it/1NRk</t>
  </si>
  <si>
    <t xml:space="preserve">2022-02-11</t>
  </si>
  <si>
    <t xml:space="preserve">https://boxd.it/m99E</t>
  </si>
  <si>
    <t xml:space="preserve">2022-02-12</t>
  </si>
  <si>
    <t xml:space="preserve">https://boxd.it/iwt0</t>
  </si>
  <si>
    <t xml:space="preserve">2022-02-13</t>
  </si>
  <si>
    <t xml:space="preserve">Ready Player One</t>
  </si>
  <si>
    <t xml:space="preserve">https://boxd.it/aZes</t>
  </si>
  <si>
    <t xml:space="preserve">2022-02-14</t>
  </si>
  <si>
    <t xml:space="preserve">Rush Hour</t>
  </si>
  <si>
    <t xml:space="preserve">https://boxd.it/27pU</t>
  </si>
  <si>
    <t xml:space="preserve">https://boxd.it/1W4c</t>
  </si>
  <si>
    <t xml:space="preserve">2022-02-16</t>
  </si>
  <si>
    <t xml:space="preserve">https://boxd.it/2aOe</t>
  </si>
  <si>
    <t xml:space="preserve">2022-02-17</t>
  </si>
  <si>
    <t xml:space="preserve">https://boxd.it/ZJq</t>
  </si>
  <si>
    <t xml:space="preserve">2022-02-18</t>
  </si>
  <si>
    <t xml:space="preserve">https://boxd.it/72s</t>
  </si>
  <si>
    <t xml:space="preserve">Gerry</t>
  </si>
  <si>
    <t xml:space="preserve">https://boxd.it/27LG</t>
  </si>
  <si>
    <t xml:space="preserve">2022-02-19</t>
  </si>
  <si>
    <t xml:space="preserve">https://boxd.it/35Di</t>
  </si>
  <si>
    <t xml:space="preserve">2022-02-21</t>
  </si>
  <si>
    <t xml:space="preserve">Gran Torino</t>
  </si>
  <si>
    <t xml:space="preserve">https://boxd.it/1Qzy</t>
  </si>
  <si>
    <t xml:space="preserve">Don't Look Up</t>
  </si>
  <si>
    <t xml:space="preserve">https://boxd.it/o0Hc</t>
  </si>
  <si>
    <t xml:space="preserve">2022-02-27</t>
  </si>
  <si>
    <t xml:space="preserve">Rain Man</t>
  </si>
  <si>
    <t xml:space="preserve">https://boxd.it/2avw</t>
  </si>
  <si>
    <t xml:space="preserve">2022-02-28</t>
  </si>
  <si>
    <t xml:space="preserve">https://boxd.it/2a3M</t>
  </si>
  <si>
    <t xml:space="preserve">https://boxd.it/1I2c</t>
  </si>
  <si>
    <t xml:space="preserve">https://boxd.it/29Ve</t>
  </si>
  <si>
    <t xml:space="preserve">2022-03-03</t>
  </si>
  <si>
    <t xml:space="preserve">David Lynch Cooks Quinoa</t>
  </si>
  <si>
    <t xml:space="preserve">https://boxd.it/Ljok</t>
  </si>
  <si>
    <t xml:space="preserve">https://boxd.it/2afS</t>
  </si>
  <si>
    <t xml:space="preserve">2022-03-06</t>
  </si>
  <si>
    <t xml:space="preserve">The Adventures of Tintin</t>
  </si>
  <si>
    <t xml:space="preserve">https://boxd.it/1Irc</t>
  </si>
  <si>
    <t xml:space="preserve">https://boxd.it/29u8</t>
  </si>
  <si>
    <t xml:space="preserve">2022-03-07</t>
  </si>
  <si>
    <t xml:space="preserve">Mysterious Skin</t>
  </si>
  <si>
    <t xml:space="preserve">https://boxd.it/1UsG</t>
  </si>
  <si>
    <t xml:space="preserve">2022-03-08</t>
  </si>
  <si>
    <t xml:space="preserve">https://boxd.it/lMi4</t>
  </si>
  <si>
    <t xml:space="preserve">2022-03-09</t>
  </si>
  <si>
    <t xml:space="preserve">https://boxd.it/1U9E</t>
  </si>
  <si>
    <t xml:space="preserve">2022-03-15</t>
  </si>
  <si>
    <t xml:space="preserve">https://boxd.it/21em</t>
  </si>
  <si>
    <t xml:space="preserve">https://boxd.it/29Nk</t>
  </si>
  <si>
    <t xml:space="preserve">2022-03-16</t>
  </si>
  <si>
    <t xml:space="preserve">Body Bags</t>
  </si>
  <si>
    <t xml:space="preserve">https://boxd.it/1iNc</t>
  </si>
  <si>
    <t xml:space="preserve">2022-03-22</t>
  </si>
  <si>
    <t xml:space="preserve">https://boxd.it/fTeG</t>
  </si>
  <si>
    <t xml:space="preserve">2022-03-24</t>
  </si>
  <si>
    <t xml:space="preserve">https://boxd.it/1SJq</t>
  </si>
  <si>
    <t xml:space="preserve">2022-03-27</t>
  </si>
  <si>
    <t xml:space="preserve">An American Werewolf in London</t>
  </si>
  <si>
    <t xml:space="preserve">https://boxd.it/29yk</t>
  </si>
  <si>
    <t xml:space="preserve">2022-03-28</t>
  </si>
  <si>
    <t xml:space="preserve">https://boxd.it/1U6g</t>
  </si>
  <si>
    <t xml:space="preserve">2022-03-29</t>
  </si>
  <si>
    <t xml:space="preserve">https://boxd.it/1So8</t>
  </si>
  <si>
    <t xml:space="preserve">2022-03-30</t>
  </si>
  <si>
    <t xml:space="preserve">https://boxd.it/2aoU</t>
  </si>
  <si>
    <t xml:space="preserve">2022-04-01</t>
  </si>
  <si>
    <t xml:space="preserve">The Salt of the Earth</t>
  </si>
  <si>
    <t xml:space="preserve">https://boxd.it/7Uyc</t>
  </si>
  <si>
    <t xml:space="preserve">2022-04-04</t>
  </si>
  <si>
    <t xml:space="preserve">https://boxd.it/1vLe</t>
  </si>
  <si>
    <t xml:space="preserve">2022-04-07</t>
  </si>
  <si>
    <t xml:space="preserve">https://boxd.it/281O</t>
  </si>
  <si>
    <t xml:space="preserve">https://boxd.it/2aOI</t>
  </si>
  <si>
    <t xml:space="preserve">2022-04-09</t>
  </si>
  <si>
    <t xml:space="preserve">The Lego Movie</t>
  </si>
  <si>
    <t xml:space="preserve">https://boxd.it/4pDO</t>
  </si>
  <si>
    <t xml:space="preserve">https://boxd.it/29VS</t>
  </si>
  <si>
    <t xml:space="preserve">2022-04-11</t>
  </si>
  <si>
    <t xml:space="preserve">The Lego Movie 2: The Second Part</t>
  </si>
  <si>
    <t xml:space="preserve">https://boxd.it/8BAU</t>
  </si>
  <si>
    <t xml:space="preserve">2022-04-12</t>
  </si>
  <si>
    <t xml:space="preserve">https://boxd.it/26VK</t>
  </si>
  <si>
    <t xml:space="preserve">2022-04-13</t>
  </si>
  <si>
    <t xml:space="preserve">https://boxd.it/18YE</t>
  </si>
  <si>
    <t xml:space="preserve">2022-04-14</t>
  </si>
  <si>
    <t xml:space="preserve">Jackass Forever</t>
  </si>
  <si>
    <t xml:space="preserve">https://boxd.it/opUg</t>
  </si>
  <si>
    <t xml:space="preserve">https://boxd.it/6Z4</t>
  </si>
  <si>
    <t xml:space="preserve">2022-04-17</t>
  </si>
  <si>
    <t xml:space="preserve">https://boxd.it/gY6</t>
  </si>
  <si>
    <t xml:space="preserve">2022-04-18</t>
  </si>
  <si>
    <t xml:space="preserve">The People vs. Larry Flynt</t>
  </si>
  <si>
    <t xml:space="preserve">https://boxd.it/28rs</t>
  </si>
  <si>
    <t xml:space="preserve">Risky Business</t>
  </si>
  <si>
    <t xml:space="preserve">https://boxd.it/1YUE</t>
  </si>
  <si>
    <t xml:space="preserve">2022-04-19</t>
  </si>
  <si>
    <t xml:space="preserve">Fantastic Beasts and Where to Find Them</t>
  </si>
  <si>
    <t xml:space="preserve">https://boxd.it/7FPC</t>
  </si>
  <si>
    <t xml:space="preserve">2022-04-20</t>
  </si>
  <si>
    <t xml:space="preserve">Cosmopolis</t>
  </si>
  <si>
    <t xml:space="preserve">https://boxd.it/H4O</t>
  </si>
  <si>
    <t xml:space="preserve">2022-04-21</t>
  </si>
  <si>
    <t xml:space="preserve">Cry Macho</t>
  </si>
  <si>
    <t xml:space="preserve">https://boxd.it/s9z0</t>
  </si>
  <si>
    <t xml:space="preserve">https://boxd.it/1ovS</t>
  </si>
  <si>
    <t xml:space="preserve">https://boxd.it/1Yoo</t>
  </si>
  <si>
    <t xml:space="preserve">2022-04-24</t>
  </si>
  <si>
    <t xml:space="preserve">The Northman</t>
  </si>
  <si>
    <t xml:space="preserve">https://boxd.it/nK2s</t>
  </si>
  <si>
    <t xml:space="preserve">2022-04-26</t>
  </si>
  <si>
    <t xml:space="preserve">https://boxd.it/1I0g</t>
  </si>
  <si>
    <t xml:space="preserve">2022-04-28</t>
  </si>
  <si>
    <t xml:space="preserve">https://boxd.it/jUk4</t>
  </si>
  <si>
    <t xml:space="preserve">2022-04-29</t>
  </si>
  <si>
    <t xml:space="preserve">Apollo 10½: A Space Age Childhood</t>
  </si>
  <si>
    <t xml:space="preserve">https://boxd.it/oKiM</t>
  </si>
  <si>
    <t xml:space="preserve">https://boxd.it/f21E</t>
  </si>
  <si>
    <t xml:space="preserve">2022-04-30</t>
  </si>
  <si>
    <t xml:space="preserve">The Unbearable Weight of Massive Talent</t>
  </si>
  <si>
    <t xml:space="preserve">https://boxd.it/o6eK</t>
  </si>
  <si>
    <t xml:space="preserve">2022-05-01</t>
  </si>
  <si>
    <t xml:space="preserve">https://boxd.it/29Ts</t>
  </si>
  <si>
    <t xml:space="preserve">2022-05-02</t>
  </si>
  <si>
    <t xml:space="preserve">Hook</t>
  </si>
  <si>
    <t xml:space="preserve">https://boxd.it/29nQ</t>
  </si>
  <si>
    <t xml:space="preserve">2022-05-08</t>
  </si>
  <si>
    <t xml:space="preserve">War Horse</t>
  </si>
  <si>
    <t xml:space="preserve">https://boxd.it/nf8</t>
  </si>
  <si>
    <t xml:space="preserve">2022-05-09</t>
  </si>
  <si>
    <t xml:space="preserve">Always</t>
  </si>
  <si>
    <t xml:space="preserve">https://boxd.it/1U3G</t>
  </si>
  <si>
    <t xml:space="preserve">2022-05-15</t>
  </si>
  <si>
    <t xml:space="preserve">https://boxd.it/1TF0</t>
  </si>
  <si>
    <t xml:space="preserve">https://boxd.it/4exq</t>
  </si>
  <si>
    <t xml:space="preserve">2022-05-16</t>
  </si>
  <si>
    <t xml:space="preserve">https://boxd.it/1hRs</t>
  </si>
  <si>
    <t xml:space="preserve">Amistad</t>
  </si>
  <si>
    <t xml:space="preserve">https://boxd.it/1SZ4</t>
  </si>
  <si>
    <t xml:space="preserve">2022-05-17</t>
  </si>
  <si>
    <t xml:space="preserve">Who Framed Roger Rabbit</t>
  </si>
  <si>
    <t xml:space="preserve">https://boxd.it/29ry</t>
  </si>
  <si>
    <t xml:space="preserve">2022-05-22</t>
  </si>
  <si>
    <t xml:space="preserve">https://boxd.it/1SJA</t>
  </si>
  <si>
    <t xml:space="preserve">2022-05-23</t>
  </si>
  <si>
    <t xml:space="preserve">https://boxd.it/1SCO</t>
  </si>
  <si>
    <t xml:space="preserve">2022-05-28</t>
  </si>
  <si>
    <t xml:space="preserve">https://boxd.it/28d6</t>
  </si>
  <si>
    <t xml:space="preserve">2022-05-29</t>
  </si>
  <si>
    <t xml:space="preserve">https://boxd.it/29JC</t>
  </si>
  <si>
    <t xml:space="preserve">2022-05-31</t>
  </si>
  <si>
    <t xml:space="preserve">Jackass 4.5</t>
  </si>
  <si>
    <t xml:space="preserve">https://boxd.it/vfTm</t>
  </si>
  <si>
    <t xml:space="preserve">https://boxd.it/2a38</t>
  </si>
  <si>
    <t xml:space="preserve">2022-06-01</t>
  </si>
  <si>
    <t xml:space="preserve">https://boxd.it/1Zdc</t>
  </si>
  <si>
    <t xml:space="preserve">2022-06-04</t>
  </si>
  <si>
    <t xml:space="preserve">https://boxd.it/2aw0</t>
  </si>
  <si>
    <t xml:space="preserve">2022-06-05</t>
  </si>
  <si>
    <t xml:space="preserve">Happy Gilmore</t>
  </si>
  <si>
    <t xml:space="preserve">https://boxd.it/1Yey</t>
  </si>
  <si>
    <t xml:space="preserve">The Naked Gun 2½: The Smell of Fear</t>
  </si>
  <si>
    <t xml:space="preserve">https://boxd.it/18Yu</t>
  </si>
  <si>
    <t xml:space="preserve">2022-06-07</t>
  </si>
  <si>
    <t xml:space="preserve">Naked Gun 33⅓: The Final Insult</t>
  </si>
  <si>
    <t xml:space="preserve">https://boxd.it/1afQ</t>
  </si>
  <si>
    <t xml:space="preserve">2022-06-09</t>
  </si>
  <si>
    <t xml:space="preserve">https://boxd.it/1UTi</t>
  </si>
  <si>
    <t xml:space="preserve">2022-06-13</t>
  </si>
  <si>
    <t xml:space="preserve">https://boxd.it/1tIi</t>
  </si>
  <si>
    <t xml:space="preserve">The Muppet Movie</t>
  </si>
  <si>
    <t xml:space="preserve">https://boxd.it/1UrS</t>
  </si>
  <si>
    <t xml:space="preserve">2022-06-16</t>
  </si>
  <si>
    <t xml:space="preserve">The Jerk</t>
  </si>
  <si>
    <t xml:space="preserve">https://boxd.it/21EO</t>
  </si>
  <si>
    <t xml:space="preserve">2022-06-17</t>
  </si>
  <si>
    <t xml:space="preserve">https://boxd.it/1YMA</t>
  </si>
  <si>
    <t xml:space="preserve">2022-06-18</t>
  </si>
  <si>
    <t xml:space="preserve">Hustle</t>
  </si>
  <si>
    <t xml:space="preserve">https://boxd.it/qpig</t>
  </si>
  <si>
    <t xml:space="preserve">2022-06-19</t>
  </si>
  <si>
    <t xml:space="preserve">https://boxd.it/cjr4</t>
  </si>
  <si>
    <t xml:space="preserve">2022-06-20</t>
  </si>
  <si>
    <t xml:space="preserve">The Great Muppet Caper</t>
  </si>
  <si>
    <t xml:space="preserve">https://boxd.it/1N9i</t>
  </si>
  <si>
    <t xml:space="preserve">2022-06-21</t>
  </si>
  <si>
    <t xml:space="preserve">Anchorman 2: The Legend Continues</t>
  </si>
  <si>
    <t xml:space="preserve">https://boxd.it/3GNk</t>
  </si>
  <si>
    <t xml:space="preserve">2022-06-22</t>
  </si>
  <si>
    <t xml:space="preserve">https://boxd.it/1VLO</t>
  </si>
  <si>
    <t xml:space="preserve">Lightyear</t>
  </si>
  <si>
    <t xml:space="preserve">https://boxd.it/qV1G</t>
  </si>
  <si>
    <t xml:space="preserve">2022-06-25</t>
  </si>
  <si>
    <t xml:space="preserve">As Good as It Gets</t>
  </si>
  <si>
    <t xml:space="preserve">https://boxd.it/268y</t>
  </si>
  <si>
    <t xml:space="preserve">2022-06-26</t>
  </si>
  <si>
    <t xml:space="preserve">Cha Cha Real Smooth</t>
  </si>
  <si>
    <t xml:space="preserve">https://boxd.it/uF8E</t>
  </si>
  <si>
    <t xml:space="preserve">https://boxd.it/2aZm</t>
  </si>
  <si>
    <t xml:space="preserve">2022-06-27</t>
  </si>
  <si>
    <t xml:space="preserve">Calendar Girls</t>
  </si>
  <si>
    <t xml:space="preserve">https://boxd.it/yps2</t>
  </si>
  <si>
    <t xml:space="preserve">Ocean's Twelve</t>
  </si>
  <si>
    <t xml:space="preserve">https://boxd.it/2aZ2</t>
  </si>
  <si>
    <t xml:space="preserve">https://boxd.it/wMAk</t>
  </si>
  <si>
    <t xml:space="preserve">2022-06-28</t>
  </si>
  <si>
    <t xml:space="preserve">Ocean's Thirteen</t>
  </si>
  <si>
    <t xml:space="preserve">https://boxd.it/2aEy</t>
  </si>
  <si>
    <t xml:space="preserve">https://boxd.it/13rq</t>
  </si>
  <si>
    <t xml:space="preserve">https://boxd.it/1Keu</t>
  </si>
  <si>
    <t xml:space="preserve">2022-06-29</t>
  </si>
  <si>
    <t xml:space="preserve">https://boxd.it/2al2</t>
  </si>
  <si>
    <t xml:space="preserve">Kimi</t>
  </si>
  <si>
    <t xml:space="preserve">https://boxd.it/u7LW</t>
  </si>
  <si>
    <t xml:space="preserve">High Flying Bird</t>
  </si>
  <si>
    <t xml:space="preserve">https://boxd.it/itka</t>
  </si>
  <si>
    <t xml:space="preserve">2022-06-30</t>
  </si>
  <si>
    <t xml:space="preserve">The Laundromat</t>
  </si>
  <si>
    <t xml:space="preserve">https://boxd.it/iLUK</t>
  </si>
  <si>
    <t xml:space="preserve">Gray's Anatomy</t>
  </si>
  <si>
    <t xml:space="preserve">https://boxd.it/1gGI</t>
  </si>
  <si>
    <t xml:space="preserve">2022-07-02</t>
  </si>
  <si>
    <t xml:space="preserve">https://boxd.it/VxA</t>
  </si>
  <si>
    <t xml:space="preserve">2022-07-03</t>
  </si>
  <si>
    <t xml:space="preserve">https://boxd.it/dZrs</t>
  </si>
  <si>
    <t xml:space="preserve">War of the Worlds</t>
  </si>
  <si>
    <t xml:space="preserve">https://boxd.it/2bde</t>
  </si>
  <si>
    <t xml:space="preserve">https://boxd.it/29e0</t>
  </si>
  <si>
    <t xml:space="preserve">2022-07-04</t>
  </si>
  <si>
    <t xml:space="preserve">https://boxd.it/29M2</t>
  </si>
  <si>
    <t xml:space="preserve">2022-07-05</t>
  </si>
  <si>
    <t xml:space="preserve">https://boxd.it/25GE</t>
  </si>
  <si>
    <t xml:space="preserve">2022-07-06</t>
  </si>
  <si>
    <t xml:space="preserve">The Sandlot</t>
  </si>
  <si>
    <t xml:space="preserve">https://boxd.it/1TDy</t>
  </si>
  <si>
    <t xml:space="preserve">2022-07-07</t>
  </si>
  <si>
    <t xml:space="preserve">https://boxd.it/1Vqm</t>
  </si>
  <si>
    <t xml:space="preserve">2022-07-11</t>
  </si>
  <si>
    <t xml:space="preserve">https://boxd.it/cRk2</t>
  </si>
  <si>
    <t xml:space="preserve">Chip 'n Dale: Rescue Rangers</t>
  </si>
  <si>
    <t xml:space="preserve">https://boxd.it/eSk2</t>
  </si>
  <si>
    <t xml:space="preserve">It Ain't Over</t>
  </si>
  <si>
    <t xml:space="preserve">https://boxd.it/ArIg</t>
  </si>
  <si>
    <t xml:space="preserve">The Farewell</t>
  </si>
  <si>
    <t xml:space="preserve">https://boxd.it/kIky</t>
  </si>
  <si>
    <t xml:space="preserve">2022-07-12</t>
  </si>
  <si>
    <t xml:space="preserve">https://boxd.it/29wI</t>
  </si>
  <si>
    <t xml:space="preserve">https://boxd.it/aNGk</t>
  </si>
  <si>
    <t xml:space="preserve">Captains Courageous</t>
  </si>
  <si>
    <t xml:space="preserve">https://boxd.it/1K1g</t>
  </si>
  <si>
    <t xml:space="preserve">2022-07-13</t>
  </si>
  <si>
    <t xml:space="preserve">Behind the Candelabra</t>
  </si>
  <si>
    <t xml:space="preserve">https://boxd.it/3Y0U</t>
  </si>
  <si>
    <t xml:space="preserve">Vampires</t>
  </si>
  <si>
    <t xml:space="preserve">https://boxd.it/1XsY</t>
  </si>
  <si>
    <t xml:space="preserve">2022-07-15</t>
  </si>
  <si>
    <t xml:space="preserve">Friday After Next</t>
  </si>
  <si>
    <t xml:space="preserve">https://boxd.it/1Wie</t>
  </si>
  <si>
    <t xml:space="preserve">2022-07-16</t>
  </si>
  <si>
    <t xml:space="preserve">Rango</t>
  </si>
  <si>
    <t xml:space="preserve">https://boxd.it/QPk</t>
  </si>
  <si>
    <t xml:space="preserve">2022-07-17</t>
  </si>
  <si>
    <t xml:space="preserve">Black Dynamite</t>
  </si>
  <si>
    <t xml:space="preserve">https://boxd.it/1wX6</t>
  </si>
  <si>
    <t xml:space="preserve">The Bucket List</t>
  </si>
  <si>
    <t xml:space="preserve">https://boxd.it/20Ye</t>
  </si>
  <si>
    <t xml:space="preserve">2022-07-18</t>
  </si>
  <si>
    <t xml:space="preserve">https://boxd.it/1Yye</t>
  </si>
  <si>
    <t xml:space="preserve">2022-07-19</t>
  </si>
  <si>
    <t xml:space="preserve">Something's Gotta Give</t>
  </si>
  <si>
    <t xml:space="preserve">https://boxd.it/21gC</t>
  </si>
  <si>
    <t xml:space="preserve">2022-07-20</t>
  </si>
  <si>
    <t xml:space="preserve">A League of Their Own</t>
  </si>
  <si>
    <t xml:space="preserve">https://boxd.it/1UdG</t>
  </si>
  <si>
    <t xml:space="preserve">The Bob's Burgers Movie</t>
  </si>
  <si>
    <t xml:space="preserve">https://boxd.it/if7w</t>
  </si>
  <si>
    <t xml:space="preserve">2022-07-21</t>
  </si>
  <si>
    <t xml:space="preserve">Kingpin</t>
  </si>
  <si>
    <t xml:space="preserve">https://boxd.it/1TB8</t>
  </si>
  <si>
    <t xml:space="preserve">Minions: The Rise of Gru</t>
  </si>
  <si>
    <t xml:space="preserve">https://boxd.it/fz9w</t>
  </si>
  <si>
    <t xml:space="preserve">2022-07-23</t>
  </si>
  <si>
    <t xml:space="preserve">Down and Out in Beverly Hills</t>
  </si>
  <si>
    <t xml:space="preserve">https://boxd.it/1XtC</t>
  </si>
  <si>
    <t xml:space="preserve">2022-07-25</t>
  </si>
  <si>
    <t xml:space="preserve">The Circus</t>
  </si>
  <si>
    <t xml:space="preserve">https://boxd.it/1orm</t>
  </si>
  <si>
    <t xml:space="preserve">2022-07-28</t>
  </si>
  <si>
    <t xml:space="preserve">https://boxd.it/28qk</t>
  </si>
  <si>
    <t xml:space="preserve">D.B. Cooper: Where Are You?!</t>
  </si>
  <si>
    <t xml:space="preserve">https://boxd.it/BVn0</t>
  </si>
  <si>
    <t xml:space="preserve">Midnight in Paris</t>
  </si>
  <si>
    <t xml:space="preserve">https://boxd.it/i4a</t>
  </si>
  <si>
    <t xml:space="preserve">2022-07-29</t>
  </si>
  <si>
    <t xml:space="preserve">Lethal Weapon 2</t>
  </si>
  <si>
    <t xml:space="preserve">https://boxd.it/29dQ</t>
  </si>
  <si>
    <t xml:space="preserve">Lethal Weapon 3</t>
  </si>
  <si>
    <t xml:space="preserve">https://boxd.it/29dG</t>
  </si>
  <si>
    <t xml:space="preserve">Next Friday</t>
  </si>
  <si>
    <t xml:space="preserve">https://boxd.it/1Wbi</t>
  </si>
  <si>
    <t xml:space="preserve">2022-07-30</t>
  </si>
  <si>
    <t xml:space="preserve">Lethal Weapon 4</t>
  </si>
  <si>
    <t xml:space="preserve">https://boxd.it/29dw</t>
  </si>
  <si>
    <t xml:space="preserve">2022-07-31</t>
  </si>
  <si>
    <t xml:space="preserve">https://boxd.it/29Na</t>
  </si>
  <si>
    <t xml:space="preserve">An American Tail</t>
  </si>
  <si>
    <t xml:space="preserve">https://boxd.it/23wM</t>
  </si>
  <si>
    <t xml:space="preserve">2022-08-01</t>
  </si>
  <si>
    <t xml:space="preserve">The Talented Mr. Ripley</t>
  </si>
  <si>
    <t xml:space="preserve">https://boxd.it/2924</t>
  </si>
  <si>
    <t xml:space="preserve">The Perks of Being a Wallflower</t>
  </si>
  <si>
    <t xml:space="preserve">https://boxd.it/2ZA8</t>
  </si>
  <si>
    <t xml:space="preserve">2022-08-02</t>
  </si>
  <si>
    <t xml:space="preserve">https://boxd.it/sDCe</t>
  </si>
  <si>
    <t xml:space="preserve">2022-08-03</t>
  </si>
  <si>
    <t xml:space="preserve">https://boxd.it/29U6</t>
  </si>
  <si>
    <t xml:space="preserve">DC League of Super-Pets</t>
  </si>
  <si>
    <t xml:space="preserve">https://boxd.it/jFTI</t>
  </si>
  <si>
    <t xml:space="preserve">The Goonies</t>
  </si>
  <si>
    <t xml:space="preserve">https://boxd.it/1YVC</t>
  </si>
  <si>
    <t xml:space="preserve">2022-08-04</t>
  </si>
  <si>
    <t xml:space="preserve">DodgeBall: A True Underdog Story</t>
  </si>
  <si>
    <t xml:space="preserve">https://boxd.it/1YAY</t>
  </si>
  <si>
    <t xml:space="preserve">2022-08-05</t>
  </si>
  <si>
    <t xml:space="preserve">Jerry &amp; Marge Go Large</t>
  </si>
  <si>
    <t xml:space="preserve">https://boxd.it/vPf8</t>
  </si>
  <si>
    <t xml:space="preserve">2022-08-06</t>
  </si>
  <si>
    <t xml:space="preserve">https://boxd.it/1Wow</t>
  </si>
  <si>
    <t xml:space="preserve">2022-08-07</t>
  </si>
  <si>
    <t xml:space="preserve">https://boxd.it/23Ne</t>
  </si>
  <si>
    <t xml:space="preserve">2022-08-09</t>
  </si>
  <si>
    <t xml:space="preserve">Bullet Train</t>
  </si>
  <si>
    <t xml:space="preserve">https://boxd.it/qW26</t>
  </si>
  <si>
    <t xml:space="preserve">2022-08-17</t>
  </si>
  <si>
    <t xml:space="preserve">Bodies Bodies Bodies</t>
  </si>
  <si>
    <t xml:space="preserve">https://boxd.it/iRcE</t>
  </si>
  <si>
    <t xml:space="preserve">2022-08-19</t>
  </si>
  <si>
    <t xml:space="preserve">The Nice Guys</t>
  </si>
  <si>
    <t xml:space="preserve">https://boxd.it/94Hg</t>
  </si>
  <si>
    <t xml:space="preserve">2022-08-20</t>
  </si>
  <si>
    <t xml:space="preserve">https://boxd.it/158K</t>
  </si>
  <si>
    <t xml:space="preserve">2022-08-23</t>
  </si>
  <si>
    <t xml:space="preserve">https://boxd.it/9n9C</t>
  </si>
  <si>
    <t xml:space="preserve">2022-08-25</t>
  </si>
  <si>
    <t xml:space="preserve">https://boxd.it/1Y5c</t>
  </si>
  <si>
    <t xml:space="preserve">2022-08-27</t>
  </si>
  <si>
    <t xml:space="preserve">https://boxd.it/22Wu</t>
  </si>
  <si>
    <t xml:space="preserve">https://boxd.it/29yu</t>
  </si>
  <si>
    <t xml:space="preserve">https://boxd.it/29ro</t>
  </si>
  <si>
    <t xml:space="preserve">2022-08-29</t>
  </si>
  <si>
    <t xml:space="preserve">https://boxd.it/1Nbe</t>
  </si>
  <si>
    <t xml:space="preserve">The Dark Crystal</t>
  </si>
  <si>
    <t xml:space="preserve">https://boxd.it/1Tm8</t>
  </si>
  <si>
    <t xml:space="preserve">2022-08-31</t>
  </si>
  <si>
    <t xml:space="preserve">Major League</t>
  </si>
  <si>
    <t xml:space="preserve">https://boxd.it/1Xts</t>
  </si>
  <si>
    <t xml:space="preserve">2022-09-01</t>
  </si>
  <si>
    <t xml:space="preserve">https://boxd.it/1YhC</t>
  </si>
  <si>
    <t xml:space="preserve">2022-09-05</t>
  </si>
  <si>
    <t xml:space="preserve">https://boxd.it/9kiw</t>
  </si>
  <si>
    <t xml:space="preserve">2022-09-06</t>
  </si>
  <si>
    <t xml:space="preserve">Brawl in Cell Block 99</t>
  </si>
  <si>
    <t xml:space="preserve">https://boxd.it/dWOo</t>
  </si>
  <si>
    <t xml:space="preserve">2022-09-12</t>
  </si>
  <si>
    <t xml:space="preserve">https://boxd.it/1TPa</t>
  </si>
  <si>
    <t xml:space="preserve">2022-10-08</t>
  </si>
  <si>
    <t xml:space="preserve">George Carlin's American Dream</t>
  </si>
  <si>
    <t xml:space="preserve">https://boxd.it/ADUe</t>
  </si>
  <si>
    <t xml:space="preserve">2022-11-12</t>
  </si>
  <si>
    <t xml:space="preserve">National Lampoon's Vacation</t>
  </si>
  <si>
    <t xml:space="preserve">https://boxd.it/1Uvq</t>
  </si>
  <si>
    <t xml:space="preserve">2022-11-18</t>
  </si>
  <si>
    <t xml:space="preserve">Rat Race</t>
  </si>
  <si>
    <t xml:space="preserve">https://boxd.it/1XAo</t>
  </si>
  <si>
    <t xml:space="preserve">2022-11-19</t>
  </si>
  <si>
    <t xml:space="preserve">https://boxd.it/270g</t>
  </si>
  <si>
    <t xml:space="preserve">The Other Guys</t>
  </si>
  <si>
    <t xml:space="preserve">https://boxd.it/1rtq</t>
  </si>
  <si>
    <t xml:space="preserve">2022-11-22</t>
  </si>
  <si>
    <t xml:space="preserve">National Lampoon's European Vacation</t>
  </si>
  <si>
    <t xml:space="preserve">https://boxd.it/1TTc</t>
  </si>
  <si>
    <t xml:space="preserve">Fahrenheit 9/11</t>
  </si>
  <si>
    <t xml:space="preserve">https://boxd.it/28a2</t>
  </si>
  <si>
    <t xml:space="preserve">2022-11-23</t>
  </si>
  <si>
    <t xml:space="preserve">Up in the Air</t>
  </si>
  <si>
    <t xml:space="preserve">https://boxd.it/1zPY</t>
  </si>
  <si>
    <t xml:space="preserve">2022-11-25</t>
  </si>
  <si>
    <t xml:space="preserve">A Charlie Brown Thanksgiving</t>
  </si>
  <si>
    <t xml:space="preserve">https://boxd.it/1Q5I</t>
  </si>
  <si>
    <t xml:space="preserve">2022-11-28</t>
  </si>
  <si>
    <t xml:space="preserve">Happy Feet</t>
  </si>
  <si>
    <t xml:space="preserve">https://boxd.it/1XH0</t>
  </si>
  <si>
    <t xml:space="preserve">2022-11-29</t>
  </si>
  <si>
    <t xml:space="preserve">Looney Tunes: Back in Action</t>
  </si>
  <si>
    <t xml:space="preserve">https://boxd.it/1Vzo</t>
  </si>
  <si>
    <t xml:space="preserve">2022-11-30</t>
  </si>
  <si>
    <t xml:space="preserve">https://boxd.it/el3M</t>
  </si>
  <si>
    <t xml:space="preserve">2022-12-04</t>
  </si>
  <si>
    <t xml:space="preserve">Frosty the Snowman</t>
  </si>
  <si>
    <t xml:space="preserve">https://boxd.it/1PEC</t>
  </si>
  <si>
    <t xml:space="preserve">2022-12-05</t>
  </si>
  <si>
    <t xml:space="preserve">https://boxd.it/1tIW</t>
  </si>
  <si>
    <t xml:space="preserve">2022-12-07</t>
  </si>
  <si>
    <t xml:space="preserve">Fred Claus</t>
  </si>
  <si>
    <t xml:space="preserve">https://boxd.it/236O</t>
  </si>
  <si>
    <t xml:space="preserve">A Forbidden Orange</t>
  </si>
  <si>
    <t xml:space="preserve">https://boxd.it/xxE4</t>
  </si>
  <si>
    <t xml:space="preserve">2022-12-09</t>
  </si>
  <si>
    <t xml:space="preserve">The Santa Clause</t>
  </si>
  <si>
    <t xml:space="preserve">https://boxd.it/1TWK</t>
  </si>
  <si>
    <t xml:space="preserve">2022-12-12</t>
  </si>
  <si>
    <t xml:space="preserve">Home Alone 2: Lost in New York</t>
  </si>
  <si>
    <t xml:space="preserve">https://boxd.it/29F6</t>
  </si>
  <si>
    <t xml:space="preserve">2022-12-17</t>
  </si>
  <si>
    <t xml:space="preserve">A Christmas Carol</t>
  </si>
  <si>
    <t xml:space="preserve">https://boxd.it/1HKW</t>
  </si>
  <si>
    <t xml:space="preserve">2022-12-22</t>
  </si>
  <si>
    <t xml:space="preserve">How the Grinch Stole Christmas</t>
  </si>
  <si>
    <t xml:space="preserve">https://boxd.it/1ZHQ</t>
  </si>
  <si>
    <t xml:space="preserve">2022-12-24</t>
  </si>
  <si>
    <t xml:space="preserve">Scrooged</t>
  </si>
  <si>
    <t xml:space="preserve">https://boxd.it/1Y9e</t>
  </si>
  <si>
    <t xml:space="preserve">Jingle All the Way</t>
  </si>
  <si>
    <t xml:space="preserve">https://boxd.it/1Z58</t>
  </si>
  <si>
    <t xml:space="preserve">Mean Girls</t>
  </si>
  <si>
    <t xml:space="preserve">https://boxd.it/1VNg</t>
  </si>
  <si>
    <t xml:space="preserve">https://boxd.it/29sw</t>
  </si>
  <si>
    <t xml:space="preserve">2022-12-25</t>
  </si>
  <si>
    <t xml:space="preserve">Arthur Christmas</t>
  </si>
  <si>
    <t xml:space="preserve">https://boxd.it/Cg6</t>
  </si>
  <si>
    <t xml:space="preserve">2022-12-28</t>
  </si>
  <si>
    <t xml:space="preserve">The Banshees of Inisherin</t>
  </si>
  <si>
    <t xml:space="preserve">https://boxd.it/p7XS</t>
  </si>
  <si>
    <t xml:space="preserve">2023-01-09</t>
  </si>
  <si>
    <t xml:space="preserve">Matinee</t>
  </si>
  <si>
    <t xml:space="preserve">https://boxd.it/1vV4</t>
  </si>
  <si>
    <t xml:space="preserve">The 'Burbs</t>
  </si>
  <si>
    <t xml:space="preserve">https://boxd.it/1SDi</t>
  </si>
  <si>
    <t xml:space="preserve">2023-01-14</t>
  </si>
  <si>
    <t xml:space="preserve">https://boxd.it/29gg</t>
  </si>
  <si>
    <t xml:space="preserve">Gremlins 2: The New Batch</t>
  </si>
  <si>
    <t xml:space="preserve">https://boxd.it/29g6</t>
  </si>
  <si>
    <t xml:space="preserve">2023-01-15</t>
  </si>
  <si>
    <t xml:space="preserve">Small Soldiers</t>
  </si>
  <si>
    <t xml:space="preserve">https://boxd.it/1TzQ</t>
  </si>
  <si>
    <t xml:space="preserve">Mississippi Burning</t>
  </si>
  <si>
    <t xml:space="preserve">https://boxd.it/28r8</t>
  </si>
  <si>
    <t xml:space="preserve">2023-01-16</t>
  </si>
  <si>
    <t xml:space="preserve">The Four Seasons</t>
  </si>
  <si>
    <t xml:space="preserve">https://boxd.it/1wn8</t>
  </si>
  <si>
    <t xml:space="preserve">https://boxd.it/1TlE</t>
  </si>
  <si>
    <t xml:space="preserve">2023-01-17</t>
  </si>
  <si>
    <t xml:space="preserve">The Gentlemen</t>
  </si>
  <si>
    <t xml:space="preserve">https://boxd.it/iYBQ</t>
  </si>
  <si>
    <t xml:space="preserve">2023-01-21</t>
  </si>
  <si>
    <t xml:space="preserve">Bananas</t>
  </si>
  <si>
    <t xml:space="preserve">https://boxd.it/1UbA</t>
  </si>
  <si>
    <t xml:space="preserve">Thank You for Smoking</t>
  </si>
  <si>
    <t xml:space="preserve">https://boxd.it/1YOc</t>
  </si>
  <si>
    <t xml:space="preserve">2023-01-22</t>
  </si>
  <si>
    <t xml:space="preserve">RocknRolla</t>
  </si>
  <si>
    <t xml:space="preserve">https://boxd.it/1PmI</t>
  </si>
  <si>
    <t xml:space="preserve">https://boxd.it/25HW</t>
  </si>
  <si>
    <t xml:space="preserve">https://boxd.it/24ai</t>
  </si>
  <si>
    <t xml:space="preserve">2023-01-23</t>
  </si>
  <si>
    <t xml:space="preserve">https://boxd.it/a84k</t>
  </si>
  <si>
    <t xml:space="preserve">2023-01-27</t>
  </si>
  <si>
    <t xml:space="preserve">Snake Eyes</t>
  </si>
  <si>
    <t xml:space="preserve">https://boxd.it/1ZX0</t>
  </si>
  <si>
    <t xml:space="preserve">2023-01-28</t>
  </si>
  <si>
    <t xml:space="preserve">https://boxd.it/20RW</t>
  </si>
  <si>
    <t xml:space="preserve">https://boxd.it/1IGQ</t>
  </si>
  <si>
    <t xml:space="preserve">2023-01-29</t>
  </si>
  <si>
    <t xml:space="preserve">Borg vs McEnroe</t>
  </si>
  <si>
    <t xml:space="preserve">https://boxd.it/dViG</t>
  </si>
  <si>
    <t xml:space="preserve">The Man from U.N.C.L.E.</t>
  </si>
  <si>
    <t xml:space="preserve">https://boxd.it/67lG</t>
  </si>
  <si>
    <t xml:space="preserve">A Man Called Otto</t>
  </si>
  <si>
    <t xml:space="preserve">https://boxd.it/zl06</t>
  </si>
  <si>
    <t xml:space="preserve">2023-01-30</t>
  </si>
  <si>
    <t xml:space="preserve">LX Forty</t>
  </si>
  <si>
    <t xml:space="preserve">https://boxd.it/7xBs</t>
  </si>
  <si>
    <t xml:space="preserve">https://boxd.it/1y3Y</t>
  </si>
  <si>
    <t xml:space="preserve">2023-02-04</t>
  </si>
  <si>
    <t xml:space="preserve">https://boxd.it/2b3e</t>
  </si>
  <si>
    <t xml:space="preserve">2023-02-05</t>
  </si>
  <si>
    <t xml:space="preserve">Don't Worry, He Won't Get Far on Foot</t>
  </si>
  <si>
    <t xml:space="preserve">https://boxd.it/fLeo</t>
  </si>
  <si>
    <t xml:space="preserve">Last Action Hero</t>
  </si>
  <si>
    <t xml:space="preserve">https://boxd.it/1YhW</t>
  </si>
  <si>
    <t xml:space="preserve">2023-02-11</t>
  </si>
  <si>
    <t xml:space="preserve">The Untouchables</t>
  </si>
  <si>
    <t xml:space="preserve">https://boxd.it/2b6i</t>
  </si>
  <si>
    <t xml:space="preserve">2023-02-12</t>
  </si>
  <si>
    <t xml:space="preserve">Westworld</t>
  </si>
  <si>
    <t xml:space="preserve">https://boxd.it/26RS</t>
  </si>
  <si>
    <t xml:space="preserve">Secret Window</t>
  </si>
  <si>
    <t xml:space="preserve">https://boxd.it/28xq</t>
  </si>
  <si>
    <t xml:space="preserve">https://boxd.it/20i8</t>
  </si>
  <si>
    <t xml:space="preserve">2023-02-16</t>
  </si>
  <si>
    <t xml:space="preserve">https://boxd.it/1q4u</t>
  </si>
  <si>
    <t xml:space="preserve">2023-02-24</t>
  </si>
  <si>
    <t xml:space="preserve">https://boxd.it/275q</t>
  </si>
  <si>
    <t xml:space="preserve">https://boxd.it/2062</t>
  </si>
  <si>
    <t xml:space="preserve">2023-02-25</t>
  </si>
  <si>
    <t xml:space="preserve">The Redeem Team</t>
  </si>
  <si>
    <t xml:space="preserve">https://boxd.it/Cvz2</t>
  </si>
  <si>
    <t xml:space="preserve">Executive Decision</t>
  </si>
  <si>
    <t xml:space="preserve">https://boxd.it/26We</t>
  </si>
  <si>
    <t xml:space="preserve">2023-02-26</t>
  </si>
  <si>
    <t xml:space="preserve">The Secret Life of Walter Mitty</t>
  </si>
  <si>
    <t xml:space="preserve">https://boxd.it/3SWy</t>
  </si>
  <si>
    <t xml:space="preserve">Fletch</t>
  </si>
  <si>
    <t xml:space="preserve">https://boxd.it/1XTU</t>
  </si>
  <si>
    <t xml:space="preserve">2023-02-27</t>
  </si>
  <si>
    <t xml:space="preserve">https://boxd.it/1Yig</t>
  </si>
  <si>
    <t xml:space="preserve">https://boxd.it/28q0</t>
  </si>
  <si>
    <t xml:space="preserve">Arachnophobia</t>
  </si>
  <si>
    <t xml:space="preserve">https://boxd.it/21Co</t>
  </si>
  <si>
    <t xml:space="preserve">2023-02-28</t>
  </si>
  <si>
    <t xml:space="preserve">Village of the Damned</t>
  </si>
  <si>
    <t xml:space="preserve">https://boxd.it/1T7C</t>
  </si>
  <si>
    <t xml:space="preserve">2023-03-04</t>
  </si>
  <si>
    <t xml:space="preserve">Marc Maron: From Bleak to Dark</t>
  </si>
  <si>
    <t xml:space="preserve">https://boxd.it/ENNK</t>
  </si>
  <si>
    <t xml:space="preserve">The Nutty Professor</t>
  </si>
  <si>
    <t xml:space="preserve">https://boxd.it/1YXI</t>
  </si>
  <si>
    <t xml:space="preserve">2023-03-05</t>
  </si>
  <si>
    <t xml:space="preserve">https://boxd.it/2aQY</t>
  </si>
  <si>
    <t xml:space="preserve">https://boxd.it/27MY</t>
  </si>
  <si>
    <t xml:space="preserve">Swing Kids</t>
  </si>
  <si>
    <t xml:space="preserve">https://boxd.it/1Wjm</t>
  </si>
  <si>
    <t xml:space="preserve">The Wolf of Snow Hollow</t>
  </si>
  <si>
    <t xml:space="preserve">https://boxd.it/oeu2</t>
  </si>
  <si>
    <t xml:space="preserve">2023-03-12</t>
  </si>
  <si>
    <t xml:space="preserve">Charlotte's Web</t>
  </si>
  <si>
    <t xml:space="preserve">https://boxd.it/1MFW</t>
  </si>
  <si>
    <t xml:space="preserve">2023-03-19</t>
  </si>
  <si>
    <t xml:space="preserve">A Man Apart</t>
  </si>
  <si>
    <t xml:space="preserve">https://boxd.it/20dC</t>
  </si>
  <si>
    <t xml:space="preserve">Prince Avalanche</t>
  </si>
  <si>
    <t xml:space="preserve">https://boxd.it/3MO4</t>
  </si>
  <si>
    <t xml:space="preserve">https://boxd.it/1WZi</t>
  </si>
  <si>
    <t xml:space="preserve">The Adventures of Elmo in Grouchland</t>
  </si>
  <si>
    <t xml:space="preserve">https://boxd.it/1KNu</t>
  </si>
  <si>
    <t xml:space="preserve">2023-03-20</t>
  </si>
  <si>
    <t xml:space="preserve">Patch Adams</t>
  </si>
  <si>
    <t xml:space="preserve">https://boxd.it/1Wzk</t>
  </si>
  <si>
    <t xml:space="preserve">Flipped</t>
  </si>
  <si>
    <t xml:space="preserve">https://boxd.it/Tb8</t>
  </si>
  <si>
    <t xml:space="preserve">2023-03-26</t>
  </si>
  <si>
    <t xml:space="preserve">Toys</t>
  </si>
  <si>
    <t xml:space="preserve">https://boxd.it/1TsK</t>
  </si>
  <si>
    <t xml:space="preserve">Cold Pursuit</t>
  </si>
  <si>
    <t xml:space="preserve">https://boxd.it/fA80</t>
  </si>
  <si>
    <t xml:space="preserve">2023-04-04</t>
  </si>
  <si>
    <t xml:space="preserve">https://boxd.it/1Aq6</t>
  </si>
  <si>
    <t xml:space="preserve">2023-04-05</t>
  </si>
  <si>
    <t xml:space="preserve">https://boxd.it/2a3W</t>
  </si>
  <si>
    <t xml:space="preserve">https://boxd.it/1NhQ</t>
  </si>
  <si>
    <t xml:space="preserve">2023-04-06</t>
  </si>
  <si>
    <t xml:space="preserve">The Band That Wouldn't Die</t>
  </si>
  <si>
    <t xml:space="preserve">https://boxd.it/txC</t>
  </si>
  <si>
    <t xml:space="preserve">2023-04-07</t>
  </si>
  <si>
    <t xml:space="preserve">Paterno</t>
  </si>
  <si>
    <t xml:space="preserve">https://boxd.it/gL4g</t>
  </si>
  <si>
    <t xml:space="preserve">You Don't Know Jack</t>
  </si>
  <si>
    <t xml:space="preserve">https://boxd.it/19qe</t>
  </si>
  <si>
    <t xml:space="preserve">2023-04-08</t>
  </si>
  <si>
    <t xml:space="preserve">Postcards from the Edge</t>
  </si>
  <si>
    <t xml:space="preserve">https://boxd.it/1ACc</t>
  </si>
  <si>
    <t xml:space="preserve">Wit</t>
  </si>
  <si>
    <t xml:space="preserve">https://boxd.it/1sKW</t>
  </si>
  <si>
    <t xml:space="preserve">2023-04-09</t>
  </si>
  <si>
    <t xml:space="preserve">Man of the Year</t>
  </si>
  <si>
    <t xml:space="preserve">https://boxd.it/1XAy</t>
  </si>
  <si>
    <t xml:space="preserve">2023-04-13</t>
  </si>
  <si>
    <t xml:space="preserve">Everything You Always Wanted to Know About Sex *But Were Afraid to Ask</t>
  </si>
  <si>
    <t xml:space="preserve">https://boxd.it/1Toy</t>
  </si>
  <si>
    <t xml:space="preserve">2023-04-15</t>
  </si>
  <si>
    <t xml:space="preserve">Greyhound</t>
  </si>
  <si>
    <t xml:space="preserve">https://boxd.it/iIaE</t>
  </si>
  <si>
    <t xml:space="preserve">https://boxd.it/1Tj4</t>
  </si>
  <si>
    <t xml:space="preserve">2023-04-16</t>
  </si>
  <si>
    <t xml:space="preserve">Young Sherlock Holmes</t>
  </si>
  <si>
    <t xml:space="preserve">https://boxd.it/1SOg</t>
  </si>
  <si>
    <t xml:space="preserve">2023-04-17</t>
  </si>
  <si>
    <t xml:space="preserve">https://boxd.it/28Ow</t>
  </si>
  <si>
    <t xml:space="preserve">2023-04-18</t>
  </si>
  <si>
    <t xml:space="preserve">Captain Voyeur</t>
  </si>
  <si>
    <t xml:space="preserve">https://boxd.it/fPY6</t>
  </si>
  <si>
    <t xml:space="preserve">Building No. 7</t>
  </si>
  <si>
    <t xml:space="preserve">https://boxd.it/8ycg</t>
  </si>
  <si>
    <t xml:space="preserve">The Muppet Introduction</t>
  </si>
  <si>
    <t xml:space="preserve">https://boxd.it/wo9E</t>
  </si>
  <si>
    <t xml:space="preserve">The Secret of Success</t>
  </si>
  <si>
    <t xml:space="preserve">https://boxd.it/wu9g</t>
  </si>
  <si>
    <t xml:space="preserve">2023-04-19</t>
  </si>
  <si>
    <t xml:space="preserve">https://boxd.it/1SsE</t>
  </si>
  <si>
    <t xml:space="preserve">2023-04-23</t>
  </si>
  <si>
    <t xml:space="preserve">El Mariachi</t>
  </si>
  <si>
    <t xml:space="preserve">https://boxd.it/1YRq</t>
  </si>
  <si>
    <t xml:space="preserve">Jack</t>
  </si>
  <si>
    <t xml:space="preserve">https://boxd.it/21au</t>
  </si>
  <si>
    <t xml:space="preserve">A Glimpse Inside the Mind of Charles Swan III</t>
  </si>
  <si>
    <t xml:space="preserve">https://boxd.it/45ZU</t>
  </si>
  <si>
    <t xml:space="preserve">Dracula: Dead and Loving It</t>
  </si>
  <si>
    <t xml:space="preserve">https://boxd.it/1Swm</t>
  </si>
  <si>
    <t xml:space="preserve">2023-04-24</t>
  </si>
  <si>
    <t xml:space="preserve">World's Greatest Dad</t>
  </si>
  <si>
    <t xml:space="preserve">https://boxd.it/1DVG</t>
  </si>
  <si>
    <t xml:space="preserve">Wonder Wheel</t>
  </si>
  <si>
    <t xml:space="preserve">https://boxd.it/fcGC</t>
  </si>
  <si>
    <t xml:space="preserve">The Three Stooges</t>
  </si>
  <si>
    <t xml:space="preserve">https://boxd.it/2DFA</t>
  </si>
  <si>
    <t xml:space="preserve">2023-04-29</t>
  </si>
  <si>
    <t xml:space="preserve">Happy Feet Two</t>
  </si>
  <si>
    <t xml:space="preserve">https://boxd.it/2Om</t>
  </si>
  <si>
    <t xml:space="preserve">Shallow Grave</t>
  </si>
  <si>
    <t xml:space="preserve">https://boxd.it/1XyW</t>
  </si>
  <si>
    <t xml:space="preserve">Chicken Little</t>
  </si>
  <si>
    <t xml:space="preserve">https://boxd.it/1Xnu</t>
  </si>
  <si>
    <t xml:space="preserve">2023-05-01</t>
  </si>
  <si>
    <t xml:space="preserve">Dinner for Schmucks</t>
  </si>
  <si>
    <t xml:space="preserve">https://boxd.it/15dA</t>
  </si>
  <si>
    <t xml:space="preserve">Magnum Force</t>
  </si>
  <si>
    <t xml:space="preserve">https://boxd.it/1VJy</t>
  </si>
  <si>
    <t xml:space="preserve">2023-05-04</t>
  </si>
  <si>
    <t xml:space="preserve">Vegas Vacation</t>
  </si>
  <si>
    <t xml:space="preserve">https://boxd.it/1TT2</t>
  </si>
  <si>
    <t xml:space="preserve">2023-05-14</t>
  </si>
  <si>
    <t xml:space="preserve">A Goofy Movie</t>
  </si>
  <si>
    <t xml:space="preserve">https://boxd.it/1Lwu</t>
  </si>
  <si>
    <t xml:space="preserve">2023-05-15</t>
  </si>
  <si>
    <t xml:space="preserve">Osmosis Jones</t>
  </si>
  <si>
    <t xml:space="preserve">https://boxd.it/1RAi</t>
  </si>
  <si>
    <t xml:space="preserve">2023-05-16</t>
  </si>
  <si>
    <t xml:space="preserve">https://boxd.it/1yCu</t>
  </si>
  <si>
    <t xml:space="preserve">2023-05-18</t>
  </si>
  <si>
    <t xml:space="preserve">https://boxd.it/1TcW</t>
  </si>
  <si>
    <t xml:space="preserve">2023-05-23</t>
  </si>
  <si>
    <t xml:space="preserve">Horrible Bosses</t>
  </si>
  <si>
    <t xml:space="preserve">https://boxd.it/Ba2</t>
  </si>
  <si>
    <t xml:space="preserve">2023-05-24</t>
  </si>
  <si>
    <t xml:space="preserve">The Old Man &amp; the Gun</t>
  </si>
  <si>
    <t xml:space="preserve">https://boxd.it/fd1q</t>
  </si>
  <si>
    <t xml:space="preserve">2023-05-25</t>
  </si>
  <si>
    <t xml:space="preserve">https://boxd.it/2aHW</t>
  </si>
  <si>
    <t xml:space="preserve">2023-06-21</t>
  </si>
  <si>
    <t xml:space="preserve">Argo</t>
  </si>
  <si>
    <t xml:space="preserve">https://boxd.it/2czU</t>
  </si>
  <si>
    <t xml:space="preserve">Birdy</t>
  </si>
  <si>
    <t xml:space="preserve">https://boxd.it/1Ucy</t>
  </si>
  <si>
    <t xml:space="preserve">2023-06-26</t>
  </si>
  <si>
    <t xml:space="preserve">Jules</t>
  </si>
  <si>
    <t xml:space="preserve">https://boxd.it/EzeQ</t>
  </si>
  <si>
    <t xml:space="preserve">2023-07-08</t>
  </si>
  <si>
    <t xml:space="preserve">Indiana Jones and the Dial of Destiny</t>
  </si>
  <si>
    <t xml:space="preserve">https://boxd.it/b8vM</t>
  </si>
  <si>
    <t xml:space="preserve">2023-07-09</t>
  </si>
  <si>
    <t xml:space="preserve">https://boxd.it/u5li</t>
  </si>
  <si>
    <t xml:space="preserve">2023-07-11</t>
  </si>
  <si>
    <t xml:space="preserve">Accepted</t>
  </si>
  <si>
    <t xml:space="preserve">https://boxd.it/1XO6</t>
  </si>
  <si>
    <t xml:space="preserve">2023-07-22</t>
  </si>
  <si>
    <t xml:space="preserve">Mission: Impossible – Dead Reckoning</t>
  </si>
  <si>
    <t xml:space="preserve">https://boxd.it/l7zS</t>
  </si>
  <si>
    <t xml:space="preserve">2023-07-24</t>
  </si>
  <si>
    <t xml:space="preserve">https://boxd.it/s3ds</t>
  </si>
  <si>
    <t xml:space="preserve">Dave Chappelle: Sticks &amp; Stones</t>
  </si>
  <si>
    <t xml:space="preserve">https://boxd.it/n8fy</t>
  </si>
  <si>
    <t xml:space="preserve">2023-07-25</t>
  </si>
  <si>
    <t xml:space="preserve">https://boxd.it/wUow</t>
  </si>
  <si>
    <t xml:space="preserve">2023-07-26</t>
  </si>
  <si>
    <t xml:space="preserve">Cyrus</t>
  </si>
  <si>
    <t xml:space="preserve">https://boxd.it/14zA</t>
  </si>
  <si>
    <t xml:space="preserve">2023-08-08</t>
  </si>
  <si>
    <t xml:space="preserve">The Benchwarmers</t>
  </si>
  <si>
    <t xml:space="preserve">https://boxd.it/1Xr2</t>
  </si>
  <si>
    <t xml:space="preserve">https://boxd.it/285G</t>
  </si>
  <si>
    <t xml:space="preserve">2023-08-25</t>
  </si>
  <si>
    <t xml:space="preserve">The Dirty Dozen</t>
  </si>
  <si>
    <t xml:space="preserve">https://boxd.it/28nK</t>
  </si>
  <si>
    <t xml:space="preserve">2023-08-28</t>
  </si>
  <si>
    <t xml:space="preserve">Barbarian</t>
  </si>
  <si>
    <t xml:space="preserve">https://boxd.it/yohi</t>
  </si>
  <si>
    <t xml:space="preserve">2023-08-30</t>
  </si>
  <si>
    <t xml:space="preserve">https://boxd.it/29S0</t>
  </si>
  <si>
    <t xml:space="preserve">2023-08-31</t>
  </si>
  <si>
    <t xml:space="preserve">Edmond</t>
  </si>
  <si>
    <t xml:space="preserve">https://boxd.it/1Hpa</t>
  </si>
  <si>
    <t xml:space="preserve">2023-09-01</t>
  </si>
  <si>
    <t xml:space="preserve">The Stranger</t>
  </si>
  <si>
    <t xml:space="preserve">https://boxd.it/1DP4</t>
  </si>
  <si>
    <t xml:space="preserve">Rudy</t>
  </si>
  <si>
    <t xml:space="preserve">https://boxd.it/1NUe</t>
  </si>
  <si>
    <t xml:space="preserve">2023-09-02</t>
  </si>
  <si>
    <t xml:space="preserve">Goosebumps</t>
  </si>
  <si>
    <t xml:space="preserve">https://boxd.it/7Bp6</t>
  </si>
  <si>
    <t xml:space="preserve">2023-09-05</t>
  </si>
  <si>
    <t xml:space="preserve">Barbie</t>
  </si>
  <si>
    <t xml:space="preserve">https://boxd.it/bCLK</t>
  </si>
  <si>
    <t xml:space="preserve">https://boxd.it/wzY4</t>
  </si>
  <si>
    <t xml:space="preserve">2023-09-11</t>
  </si>
  <si>
    <t xml:space="preserve">https://boxd.it/1tww</t>
  </si>
  <si>
    <t xml:space="preserve">2023-11-28</t>
  </si>
  <si>
    <t xml:space="preserve">Deck the Halls</t>
  </si>
  <si>
    <t xml:space="preserve">https://boxd.it/1Xpg</t>
  </si>
  <si>
    <t xml:space="preserve">2023-12-09</t>
  </si>
  <si>
    <t xml:space="preserve">Dream Scenario</t>
  </si>
  <si>
    <t xml:space="preserve">https://boxd.it/v2h0</t>
  </si>
  <si>
    <t xml:space="preserve">https://boxd.it/vHza</t>
  </si>
  <si>
    <t xml:space="preserve">2023-12-22</t>
  </si>
  <si>
    <t xml:space="preserve">A Muppets Christmas: Letters to Santa</t>
  </si>
  <si>
    <t xml:space="preserve">https://boxd.it/1smK</t>
  </si>
  <si>
    <t xml:space="preserve">Love Actually</t>
  </si>
  <si>
    <t xml:space="preserve">https://boxd.it/2aeU</t>
  </si>
  <si>
    <t xml:space="preserve">2023-12-26</t>
  </si>
  <si>
    <t xml:space="preserve">YES DAY</t>
  </si>
  <si>
    <t xml:space="preserve">https://boxd.it/nHgc</t>
  </si>
  <si>
    <t xml:space="preserve">Hollywood Ending</t>
  </si>
  <si>
    <t xml:space="preserve">https://boxd.it/1Y2W</t>
  </si>
  <si>
    <t xml:space="preserve">https://boxd.it/28xA</t>
  </si>
  <si>
    <t xml:space="preserve">2023-12-28</t>
  </si>
  <si>
    <t xml:space="preserve">The Informant!</t>
  </si>
  <si>
    <t xml:space="preserve">https://boxd.it/1U8c</t>
  </si>
  <si>
    <t xml:space="preserve">https://boxd.it/296g</t>
  </si>
  <si>
    <t xml:space="preserve">2023-12-31</t>
  </si>
  <si>
    <t xml:space="preserve">The Pink Panther</t>
  </si>
  <si>
    <t xml:space="preserve">https://boxd.it/29eO</t>
  </si>
  <si>
    <t xml:space="preserve">Hoosiers</t>
  </si>
  <si>
    <t xml:space="preserve">https://boxd.it/22Ke</t>
  </si>
  <si>
    <t xml:space="preserve">2024-01-01</t>
  </si>
  <si>
    <t xml:space="preserve">Clear History</t>
  </si>
  <si>
    <t xml:space="preserve">https://boxd.it/4kBy</t>
  </si>
  <si>
    <t xml:space="preserve">2024-01-08</t>
  </si>
  <si>
    <t xml:space="preserve">...And Justice for All</t>
  </si>
  <si>
    <t xml:space="preserve">https://boxd.it/1IFI</t>
  </si>
  <si>
    <t xml:space="preserve">2024-01-10</t>
  </si>
  <si>
    <t xml:space="preserve">The Great Outdoors</t>
  </si>
  <si>
    <t xml:space="preserve">https://boxd.it/26yw</t>
  </si>
  <si>
    <t xml:space="preserve">2024-01-11</t>
  </si>
  <si>
    <t xml:space="preserve">BlackBerry</t>
  </si>
  <si>
    <t xml:space="preserve">https://boxd.it/CoVK</t>
  </si>
  <si>
    <t xml:space="preserve">2024-01-16</t>
  </si>
  <si>
    <t xml:space="preserve">https://boxd.it/1D7w</t>
  </si>
  <si>
    <t xml:space="preserve">https://boxd.it/25M8</t>
  </si>
  <si>
    <t xml:space="preserve">Dave Chappelle: The Dreamer</t>
  </si>
  <si>
    <t xml:space="preserve">https://boxd.it/K7vm</t>
  </si>
  <si>
    <t xml:space="preserve">2024-01-17</t>
  </si>
  <si>
    <t xml:space="preserve">https://boxd.it/25MC</t>
  </si>
  <si>
    <t xml:space="preserve">2024-01-23</t>
  </si>
  <si>
    <t xml:space="preserve">Cedar Rapids</t>
  </si>
  <si>
    <t xml:space="preserve">https://boxd.it/zU8</t>
  </si>
  <si>
    <t xml:space="preserve">2024-01-24</t>
  </si>
  <si>
    <t xml:space="preserve">Strip Search</t>
  </si>
  <si>
    <t xml:space="preserve">https://boxd.it/Yny</t>
  </si>
  <si>
    <t xml:space="preserve">2024-01-25</t>
  </si>
  <si>
    <t xml:space="preserve">Weird Science</t>
  </si>
  <si>
    <t xml:space="preserve">https://boxd.it/1T1O</t>
  </si>
  <si>
    <t xml:space="preserve">2024-01-30</t>
  </si>
  <si>
    <t xml:space="preserve">Uncle Buck</t>
  </si>
  <si>
    <t xml:space="preserve">https://boxd.it/26yG</t>
  </si>
  <si>
    <t xml:space="preserve">2024-03-11</t>
  </si>
  <si>
    <t xml:space="preserve">Murder on the Orient Express</t>
  </si>
  <si>
    <t xml:space="preserve">https://boxd.it/24IY</t>
  </si>
  <si>
    <t xml:space="preserve">2024-03-12</t>
  </si>
  <si>
    <t xml:space="preserve">Machete</t>
  </si>
  <si>
    <t xml:space="preserve">https://boxd.it/1yXW</t>
  </si>
  <si>
    <t xml:space="preserve">2024-03-17</t>
  </si>
  <si>
    <t xml:space="preserve">What Just Happened</t>
  </si>
  <si>
    <t xml:space="preserve">https://boxd.it/1ZwI</t>
  </si>
  <si>
    <t xml:space="preserve">2024-03-25</t>
  </si>
  <si>
    <t xml:space="preserve">Deconstructing Harry</t>
  </si>
  <si>
    <t xml:space="preserve">https://boxd.it/26xe</t>
  </si>
  <si>
    <t xml:space="preserve">2024-03-26</t>
  </si>
  <si>
    <t xml:space="preserve">Vicky Cristina Barcelona</t>
  </si>
  <si>
    <t xml:space="preserve">https://boxd.it/23rW</t>
  </si>
  <si>
    <t xml:space="preserve">2024-03-28</t>
  </si>
  <si>
    <t xml:space="preserve">Everyone Says I Love You</t>
  </si>
  <si>
    <t xml:space="preserve">https://boxd.it/1XYK</t>
  </si>
  <si>
    <t xml:space="preserve">2024-04-02</t>
  </si>
  <si>
    <t xml:space="preserve">Small Time Crooks</t>
  </si>
  <si>
    <t xml:space="preserve">https://boxd.it/1VVY</t>
  </si>
  <si>
    <t xml:space="preserve">Not of This Earth</t>
  </si>
  <si>
    <t xml:space="preserve">https://boxd.it/1rn8</t>
  </si>
  <si>
    <t xml:space="preserve">Dumb and Dumber To</t>
  </si>
  <si>
    <t xml:space="preserve">https://boxd.it/3qPk</t>
  </si>
  <si>
    <t xml:space="preserve">2024-04-03</t>
  </si>
  <si>
    <t xml:space="preserve">Manhattan Murder Mystery</t>
  </si>
  <si>
    <t xml:space="preserve">https://boxd.it/1Wg8</t>
  </si>
  <si>
    <t xml:space="preserve">2024-04-04</t>
  </si>
  <si>
    <t xml:space="preserve">Play Misty for Me</t>
  </si>
  <si>
    <t xml:space="preserve">https://boxd.it/1MjQ</t>
  </si>
  <si>
    <t xml:space="preserve">2024-04-05</t>
  </si>
  <si>
    <t xml:space="preserve">The Purple Rose of Cairo</t>
  </si>
  <si>
    <t xml:space="preserve">https://boxd.it/1VeU</t>
  </si>
  <si>
    <t xml:space="preserve">2024-04-10</t>
  </si>
  <si>
    <t xml:space="preserve">Hannah and Her Sisters</t>
  </si>
  <si>
    <t xml:space="preserve">https://boxd.it/23jy</t>
  </si>
  <si>
    <t xml:space="preserve">2024-05-04</t>
  </si>
  <si>
    <t xml:space="preserve">A Rainy Day in New York</t>
  </si>
  <si>
    <t xml:space="preserve">https://boxd.it/h2z6</t>
  </si>
  <si>
    <t xml:space="preserve">2024-05-12</t>
  </si>
  <si>
    <t xml:space="preserve">Mighty Aphrodite</t>
  </si>
  <si>
    <t xml:space="preserve">https://boxd.it/1TPu</t>
  </si>
  <si>
    <t xml:space="preserve">2024-05-28</t>
  </si>
  <si>
    <t xml:space="preserve">https://boxd.it/1UOC</t>
  </si>
  <si>
    <t xml:space="preserve">2024-06-17</t>
  </si>
  <si>
    <t xml:space="preserve">Inside Out 2</t>
  </si>
  <si>
    <t xml:space="preserve">https://boxd.it/CFrC</t>
  </si>
  <si>
    <t xml:space="preserve">2024-06-23</t>
  </si>
  <si>
    <t xml:space="preserve">Due Date</t>
  </si>
  <si>
    <t xml:space="preserve">https://boxd.it/YFs</t>
  </si>
  <si>
    <t xml:space="preserve">2024-06-26</t>
  </si>
  <si>
    <t xml:space="preserve">Marty</t>
  </si>
  <si>
    <t xml:space="preserve">https://boxd.it/1Leg</t>
  </si>
  <si>
    <t xml:space="preserve">2024-06-27</t>
  </si>
  <si>
    <t xml:space="preserve">https://boxd.it/2aHi</t>
  </si>
  <si>
    <t xml:space="preserve">2024-07-21</t>
  </si>
  <si>
    <t xml:space="preserve">Shiva Baby</t>
  </si>
  <si>
    <t xml:space="preserve">https://boxd.it/oIv0</t>
  </si>
  <si>
    <t xml:space="preserve">2024-07-31</t>
  </si>
  <si>
    <t xml:space="preserve">https://boxd.it/20PQ</t>
  </si>
  <si>
    <t xml:space="preserve">2024-08-01</t>
  </si>
  <si>
    <t xml:space="preserve">Babe</t>
  </si>
  <si>
    <t xml:space="preserve">https://boxd.it/1Yh8</t>
  </si>
  <si>
    <t xml:space="preserve">2024-08-05</t>
  </si>
  <si>
    <t xml:space="preserve">The Color of Money</t>
  </si>
  <si>
    <t xml:space="preserve">https://boxd.it/1SSM</t>
  </si>
  <si>
    <t xml:space="preserve">2024-08-06</t>
  </si>
  <si>
    <t xml:space="preserve">The Waterboy</t>
  </si>
  <si>
    <t xml:space="preserve">https://boxd.it/1VHi</t>
  </si>
  <si>
    <t xml:space="preserve">2024-08-10</t>
  </si>
  <si>
    <t xml:space="preserve">Get Shorty</t>
  </si>
  <si>
    <t xml:space="preserve">https://boxd.it/20Ga</t>
  </si>
  <si>
    <t xml:space="preserve">2024-08-15</t>
  </si>
  <si>
    <t xml:space="preserve">Be Cool</t>
  </si>
  <si>
    <t xml:space="preserve">https://boxd.it/248w</t>
  </si>
  <si>
    <t xml:space="preserve">2024-08-21</t>
  </si>
  <si>
    <t xml:space="preserve">American Splendor</t>
  </si>
  <si>
    <t xml:space="preserve">https://boxd.it/26kE</t>
  </si>
  <si>
    <t xml:space="preserve">Affliction</t>
  </si>
  <si>
    <t xml:space="preserve">https://boxd.it/1iAM</t>
  </si>
  <si>
    <t xml:space="preserve">2024-08-22</t>
  </si>
  <si>
    <t xml:space="preserve">Bedtime Stories</t>
  </si>
  <si>
    <t xml:space="preserve">https://boxd.it/1WPM</t>
  </si>
  <si>
    <t xml:space="preserve">2024-08-23</t>
  </si>
  <si>
    <t xml:space="preserve">https://boxd.it/26EO</t>
  </si>
  <si>
    <t xml:space="preserve">2024-08-28</t>
  </si>
  <si>
    <t xml:space="preserve">https://boxd.it/d0xa</t>
  </si>
  <si>
    <t xml:space="preserve">2024-10-12</t>
  </si>
  <si>
    <t xml:space="preserve">https://boxd.it/Gpfo</t>
  </si>
  <si>
    <t xml:space="preserve">2024-11-09</t>
  </si>
  <si>
    <t xml:space="preserve">Legends of the Fall</t>
  </si>
  <si>
    <t xml:space="preserve">https://boxd.it/24ho</t>
  </si>
  <si>
    <t xml:space="preserve">2024-11-11</t>
  </si>
  <si>
    <t xml:space="preserve">Seven Years in Tibet</t>
  </si>
  <si>
    <t xml:space="preserve">https://boxd.it/29aC</t>
  </si>
  <si>
    <t xml:space="preserve">Garfield's Thanksgiving</t>
  </si>
  <si>
    <t xml:space="preserve">https://boxd.it/QY2</t>
  </si>
  <si>
    <t xml:space="preserve">2024-11-18</t>
  </si>
  <si>
    <t xml:space="preserve">https://boxd.it/2b2A</t>
  </si>
  <si>
    <t xml:space="preserve">2024-11-30</t>
  </si>
  <si>
    <t xml:space="preserve">Ruby Gillman, Teenage Kraken</t>
  </si>
  <si>
    <t xml:space="preserve">https://boxd.it/Dmne</t>
  </si>
  <si>
    <t xml:space="preserve">Hot Shots! Part Deux</t>
  </si>
  <si>
    <t xml:space="preserve">https://boxd.it/1Z90</t>
  </si>
  <si>
    <t xml:space="preserve">2024-12-02</t>
  </si>
  <si>
    <t xml:space="preserve">https://boxd.it/1RSc</t>
  </si>
  <si>
    <t xml:space="preserve">2024-12-03</t>
  </si>
  <si>
    <t xml:space="preserve">Nutcrackers</t>
  </si>
  <si>
    <t xml:space="preserve">https://boxd.it/JEkO</t>
  </si>
  <si>
    <t xml:space="preserve">2024-12-08</t>
  </si>
  <si>
    <t xml:space="preserve">Bad Santa</t>
  </si>
  <si>
    <t xml:space="preserve">https://boxd.it/1WYk</t>
  </si>
  <si>
    <t xml:space="preserve">2024-12-09</t>
  </si>
  <si>
    <t xml:space="preserve">Hurricane Season</t>
  </si>
  <si>
    <t xml:space="preserve">https://boxd.it/1hVY</t>
  </si>
  <si>
    <t xml:space="preserve">A Very Murray Christmas</t>
  </si>
  <si>
    <t xml:space="preserve">https://boxd.it/cBeM</t>
  </si>
  <si>
    <t xml:space="preserve">https://boxd.it/ipoi</t>
  </si>
  <si>
    <t xml:space="preserve">2024-12-15</t>
  </si>
  <si>
    <t xml:space="preserve">The Little Drummer Boy</t>
  </si>
  <si>
    <t xml:space="preserve">https://boxd.it/1Gds</t>
  </si>
  <si>
    <t xml:space="preserve">2024-12-23</t>
  </si>
  <si>
    <t xml:space="preserve">Violent Night</t>
  </si>
  <si>
    <t xml:space="preserve">https://boxd.it/xXBA</t>
  </si>
  <si>
    <t xml:space="preserve">Kraven the Hunter</t>
  </si>
  <si>
    <t xml:space="preserve">https://boxd.it/jGuE</t>
  </si>
  <si>
    <t xml:space="preserve">2024-12-24</t>
  </si>
  <si>
    <t xml:space="preserve">It's a Very Merry Muppet Christmas Movie</t>
  </si>
  <si>
    <t xml:space="preserve">https://boxd.it/1QmE</t>
  </si>
  <si>
    <t xml:space="preserve">2024-12-25</t>
  </si>
  <si>
    <t xml:space="preserve">The Muppet Christmas Carol</t>
  </si>
  <si>
    <t xml:space="preserve">https://boxd.it/1WgC</t>
  </si>
  <si>
    <t xml:space="preserve">2024-12-28</t>
  </si>
  <si>
    <t xml:space="preserve">https://boxd.it/1XMO</t>
  </si>
  <si>
    <t xml:space="preserve">2025-01-01</t>
  </si>
  <si>
    <t xml:space="preserve">https://boxd.it/251c</t>
  </si>
  <si>
    <t xml:space="preserve">2025-01-02</t>
  </si>
  <si>
    <t xml:space="preserve">https://boxd.it/f5eG</t>
  </si>
  <si>
    <t xml:space="preserve">2025-01-05</t>
  </si>
  <si>
    <t xml:space="preserve">https://boxd.it/1fVs</t>
  </si>
  <si>
    <t xml:space="preserve">2025-01-24</t>
  </si>
  <si>
    <t xml:space="preserve">A Complete Unknown</t>
  </si>
  <si>
    <t xml:space="preserve">https://boxd.it/oBYa</t>
  </si>
  <si>
    <t xml:space="preserve">2025-01-28</t>
  </si>
  <si>
    <t xml:space="preserve">https://boxd.it/3zn0</t>
  </si>
  <si>
    <t xml:space="preserve">Monkeyshines, No. 1</t>
  </si>
  <si>
    <t xml:space="preserve">https://boxd.it/1gVo</t>
  </si>
  <si>
    <t xml:space="preserve">Monkeyshines, No. 2</t>
  </si>
  <si>
    <t xml:space="preserve">https://boxd.it/1fKO</t>
  </si>
  <si>
    <t xml:space="preserve">Men Boxing</t>
  </si>
  <si>
    <t xml:space="preserve">https://boxd.it/1fKk</t>
  </si>
  <si>
    <t xml:space="preserve">Newark Athlete</t>
  </si>
  <si>
    <t xml:space="preserve">https://boxd.it/3z3k</t>
  </si>
  <si>
    <t xml:space="preserve">Dickson Greeting</t>
  </si>
  <si>
    <t xml:space="preserve">https://boxd.it/1fSy</t>
  </si>
  <si>
    <t xml:space="preserve">Blacksmithing Scene</t>
  </si>
  <si>
    <t xml:space="preserve">https://boxd.it/1JSS</t>
  </si>
  <si>
    <t xml:space="preserve">The Barber Shop</t>
  </si>
  <si>
    <t xml:space="preserve">https://boxd.it/4NwC</t>
  </si>
  <si>
    <t xml:space="preserve">Annabelle Butterfly Dance</t>
  </si>
  <si>
    <t xml:space="preserve">https://boxd.it/3zmG</t>
  </si>
  <si>
    <t xml:space="preserve">Luis Martinetti, Contortionist</t>
  </si>
  <si>
    <t xml:space="preserve">https://boxd.it/5Ix8</t>
  </si>
  <si>
    <t xml:space="preserve">Cock Fight, No. 2</t>
  </si>
  <si>
    <t xml:space="preserve">https://boxd.it/alQw</t>
  </si>
  <si>
    <t xml:space="preserve">Athlete with Wand</t>
  </si>
  <si>
    <t xml:space="preserve">https://boxd.it/5Hxc</t>
  </si>
  <si>
    <t xml:space="preserve">Carmencita</t>
  </si>
  <si>
    <t xml:space="preserve">https://boxd.it/1JUa</t>
  </si>
  <si>
    <t xml:space="preserve">Chinese Laundry Scene</t>
  </si>
  <si>
    <t xml:space="preserve">https://boxd.it/4ZWi</t>
  </si>
  <si>
    <t xml:space="preserve">Sandow: The Strong Man</t>
  </si>
  <si>
    <t xml:space="preserve">https://boxd.it/5DJo</t>
  </si>
  <si>
    <t xml:space="preserve">The Boxing Cats</t>
  </si>
  <si>
    <t xml:space="preserve">https://boxd.it/4ZWW</t>
  </si>
  <si>
    <t xml:space="preserve">https://boxd.it/2aZw</t>
  </si>
  <si>
    <t xml:space="preserve">https://boxd.it/3kt8</t>
  </si>
  <si>
    <t xml:space="preserve">https://boxd.it/29EC</t>
  </si>
  <si>
    <t xml:space="preserve">2025-02-09</t>
  </si>
  <si>
    <t xml:space="preserve">https://boxd.it/71a</t>
  </si>
  <si>
    <t xml:space="preserve">2025-02-16</t>
  </si>
  <si>
    <t xml:space="preserve">Under Suspicion</t>
  </si>
  <si>
    <t xml:space="preserve">https://boxd.it/1VX6</t>
  </si>
  <si>
    <t xml:space="preserve">2025-02-20</t>
  </si>
  <si>
    <t xml:space="preserve">https://boxd.it/1XRO</t>
  </si>
  <si>
    <t xml:space="preserve">2025-03-12</t>
  </si>
  <si>
    <t xml:space="preserve">Nathan for You: Finding Frances</t>
  </si>
  <si>
    <t xml:space="preserve">https://boxd.it/hufy</t>
  </si>
  <si>
    <t xml:space="preserve">2025-04-06</t>
  </si>
  <si>
    <t xml:space="preserve">Day of the Fight</t>
  </si>
  <si>
    <t xml:space="preserve">https://boxd.it/Ohq</t>
  </si>
  <si>
    <t xml:space="preserve">Flying Padre</t>
  </si>
  <si>
    <t xml:space="preserve">https://boxd.it/OgM</t>
  </si>
  <si>
    <t xml:space="preserve">https://boxd.it/1WVq</t>
  </si>
  <si>
    <t xml:space="preserve">2025-04-13</t>
  </si>
  <si>
    <t xml:space="preserve">https://boxd.it/1Xcc</t>
  </si>
  <si>
    <t xml:space="preserve">The Seafarers</t>
  </si>
  <si>
    <t xml:space="preserve">https://boxd.it/PPy</t>
  </si>
  <si>
    <t xml:space="preserve">2025-04-15</t>
  </si>
  <si>
    <t xml:space="preserve">Blue Bayou</t>
  </si>
  <si>
    <t xml:space="preserve">https://boxd.it/nUwi</t>
  </si>
  <si>
    <t xml:space="preserve">2025-04-16</t>
  </si>
  <si>
    <t xml:space="preserve">Madame DuBarry</t>
  </si>
  <si>
    <t xml:space="preserve">https://boxd.it/J0k</t>
  </si>
  <si>
    <t xml:space="preserve">2025-04-17</t>
  </si>
  <si>
    <t xml:space="preserve">https://boxd.it/2adW</t>
  </si>
  <si>
    <t xml:space="preserve">2025-04-18</t>
  </si>
  <si>
    <t xml:space="preserve">Easter Parade</t>
  </si>
  <si>
    <t xml:space="preserve">https://boxd.it/1nCe</t>
  </si>
  <si>
    <t xml:space="preserve">2025-04-20</t>
  </si>
  <si>
    <t xml:space="preserve">https://boxd.it/2aMi</t>
  </si>
  <si>
    <t xml:space="preserve">2025-04-21</t>
  </si>
  <si>
    <t xml:space="preserve">https://boxd.it/29O8</t>
  </si>
  <si>
    <t xml:space="preserve">2025-04-23</t>
  </si>
  <si>
    <t xml:space="preserve">https://boxd.it/1MzY</t>
  </si>
  <si>
    <t xml:space="preserve">2025-07-03</t>
  </si>
  <si>
    <t xml:space="preserve">The Negotiator</t>
  </si>
  <si>
    <t xml:space="preserve">https://boxd.it/1YbO</t>
  </si>
  <si>
    <t xml:space="preserve">2025-07-25</t>
  </si>
  <si>
    <t xml:space="preserve">The Fantastic 4: First Steps</t>
  </si>
  <si>
    <t xml:space="preserve">https://boxd.it/mP6C</t>
  </si>
  <si>
    <t xml:space="preserve">2025-08-11</t>
  </si>
  <si>
    <t xml:space="preserve">Paul</t>
  </si>
  <si>
    <t xml:space="preserve">https://boxd.it/13uE</t>
  </si>
  <si>
    <t xml:space="preserve">2025-11-01</t>
  </si>
  <si>
    <t xml:space="preserve">The Descent</t>
  </si>
  <si>
    <t xml:space="preserve">https://boxd.it/1YNy</t>
  </si>
  <si>
    <t xml:space="preserve">2025-11-26</t>
  </si>
  <si>
    <t xml:space="preserve">https://boxd.it/1T6a</t>
  </si>
  <si>
    <t xml:space="preserve">2025-12-24</t>
  </si>
  <si>
    <t xml:space="preserve">Memoirs of an Invisible Man</t>
  </si>
  <si>
    <t xml:space="preserve">https://boxd.it/26sS</t>
  </si>
  <si>
    <t xml:space="preserve">https://boxd.it/26vi</t>
  </si>
  <si>
    <t xml:space="preserve">2025-12-25</t>
  </si>
  <si>
    <t xml:space="preserve">Ghosts of Mars</t>
  </si>
  <si>
    <t xml:space="preserve">https://boxd.it/1Xik</t>
  </si>
  <si>
    <t xml:space="preserve">Eight Crazy Nights</t>
  </si>
  <si>
    <t xml:space="preserve">https://boxd.it/1Qjg</t>
  </si>
  <si>
    <t xml:space="preserve">Four Christmases</t>
  </si>
  <si>
    <t xml:space="preserve">https://boxd.it/1SjM</t>
  </si>
  <si>
    <t xml:space="preserve">2026-01-01</t>
  </si>
  <si>
    <t xml:space="preserve">https://boxd.it/1Y6O</t>
  </si>
  <si>
    <t xml:space="preserve">2026-01-03</t>
  </si>
  <si>
    <t xml:space="preserve">https://boxd.it/1YYc</t>
  </si>
  <si>
    <t xml:space="preserve">2026-01-09</t>
  </si>
  <si>
    <t xml:space="preserve">https://boxd.it/Ttw</t>
  </si>
  <si>
    <t xml:space="preserve">2026-01-11</t>
  </si>
  <si>
    <t xml:space="preserve">The Smashing Machine</t>
  </si>
  <si>
    <t xml:space="preserve">https://boxd.it/syUC</t>
  </si>
  <si>
    <t xml:space="preserve">Roofman</t>
  </si>
  <si>
    <t xml:space="preserve">https://boxd.it/LcIW</t>
  </si>
  <si>
    <t xml:space="preserve">2026-01-12</t>
  </si>
  <si>
    <t xml:space="preserve">The Bodyguard</t>
  </si>
  <si>
    <t xml:space="preserve">https://boxd.it/abcw</t>
  </si>
  <si>
    <t xml:space="preserve">2026-01-13</t>
  </si>
  <si>
    <t xml:space="preserve">Joe Versus the Volcano</t>
  </si>
  <si>
    <t xml:space="preserve">https://boxd.it/26Ce</t>
  </si>
  <si>
    <t xml:space="preserve">2026-01-14</t>
  </si>
  <si>
    <t xml:space="preserve">RV</t>
  </si>
  <si>
    <t xml:space="preserve">https://boxd.it/1YrW</t>
  </si>
  <si>
    <t xml:space="preserve">People We Meet on Vacation</t>
  </si>
  <si>
    <t xml:space="preserve">https://boxd.it/D8ME</t>
  </si>
  <si>
    <t xml:space="preserve">2026-01-15</t>
  </si>
  <si>
    <t xml:space="preserve">Nine Lives</t>
  </si>
  <si>
    <t xml:space="preserve">https://boxd.it/asya</t>
  </si>
  <si>
    <t xml:space="preserve">Lost in America</t>
  </si>
  <si>
    <t xml:space="preserve">https://boxd.it/1shq</t>
  </si>
  <si>
    <t xml:space="preserve">https://boxd.it/1NRO</t>
  </si>
  <si>
    <t xml:space="preserve">2026-01-16</t>
  </si>
  <si>
    <t xml:space="preserve">https://boxd.it/1Ud2</t>
  </si>
  <si>
    <t xml:space="preserve">2026-01-17</t>
  </si>
  <si>
    <t xml:space="preserve">https://boxd.it/1Woc</t>
  </si>
  <si>
    <t xml:space="preserve">Natural Born Killers</t>
  </si>
  <si>
    <t xml:space="preserve">https://boxd.it/2aNg</t>
  </si>
  <si>
    <t xml:space="preserve">2026-03-06</t>
  </si>
  <si>
    <t xml:space="preserve">https://boxd.it/DUHM</t>
  </si>
  <si>
    <t xml:space="preserve">2026-03-15</t>
  </si>
  <si>
    <t xml:space="preserve">The Fisher King</t>
  </si>
  <si>
    <t xml:space="preserve">https://boxd.it/2aWM</t>
  </si>
  <si>
    <t xml:space="preserve">2026-03-17</t>
  </si>
  <si>
    <t xml:space="preserve">https://boxd.it/1XFo</t>
  </si>
  <si>
    <t xml:space="preserve">2026-04-15</t>
  </si>
  <si>
    <t xml:space="preserve">Whatever Works</t>
  </si>
  <si>
    <t xml:space="preserve">https://boxd.it/1FoE</t>
  </si>
  <si>
    <t xml:space="preserve">2026-04-19</t>
  </si>
  <si>
    <t xml:space="preserve">Match Point</t>
  </si>
  <si>
    <t xml:space="preserve">https://boxd.it/2b6s</t>
  </si>
  <si>
    <t xml:space="preserve">2026-05-09</t>
  </si>
  <si>
    <t xml:space="preserve">Gamer</t>
  </si>
  <si>
    <t xml:space="preserve">https://boxd.it/1GQk</t>
  </si>
  <si>
    <t xml:space="preserve">Shadows and Fog</t>
  </si>
  <si>
    <t xml:space="preserve">https://boxd.it/1Fus</t>
  </si>
  <si>
    <t xml:space="preserve">2026-05-19</t>
  </si>
  <si>
    <t xml:space="preserve">https://boxd.it/1VFG</t>
  </si>
  <si>
    <t xml:space="preserve">2026-05-21</t>
  </si>
  <si>
    <t xml:space="preserve">Red Dawn</t>
  </si>
  <si>
    <t xml:space="preserve">https://boxd.it/27X8</t>
  </si>
  <si>
    <t xml:space="preserve">Seven Psychopaths</t>
  </si>
  <si>
    <t xml:space="preserve">https://boxd.it/34PW</t>
  </si>
  <si>
    <t xml:space="preserve">2026-05-22</t>
  </si>
  <si>
    <t xml:space="preserve">The Bourne Supremacy</t>
  </si>
  <si>
    <t xml:space="preserve">https://boxd.it/26EE</t>
  </si>
  <si>
    <t xml:space="preserve">2026-05-24</t>
  </si>
  <si>
    <t xml:space="preserve">https://boxd.it/1CWI</t>
  </si>
  <si>
    <t xml:space="preserve">2026-05-25</t>
  </si>
  <si>
    <t xml:space="preserve">180° South</t>
  </si>
  <si>
    <t xml:space="preserve">https://boxd.it/13VA</t>
  </si>
  <si>
    <t xml:space="preserve">2026-05-26</t>
  </si>
  <si>
    <t xml:space="preserve">https://boxd.it/23la</t>
  </si>
  <si>
    <t xml:space="preserve">https://boxd.it/297I</t>
  </si>
  <si>
    <t xml:space="preserve">2026-05-27</t>
  </si>
  <si>
    <t xml:space="preserve">https://boxd.it/29tu</t>
  </si>
  <si>
    <t xml:space="preserve">2026-05-28</t>
  </si>
  <si>
    <t xml:space="preserve">https://boxd.it/1Dbe</t>
  </si>
  <si>
    <t xml:space="preserve">2026-06-01</t>
  </si>
  <si>
    <t xml:space="preserve">https://boxd.it/20wu</t>
  </si>
  <si>
    <t xml:space="preserve">https://boxd.it/ATh8</t>
  </si>
  <si>
    <t xml:space="preserve">2026-06-02</t>
  </si>
  <si>
    <t xml:space="preserve">https://boxd.it/z1jW</t>
  </si>
  <si>
    <t xml:space="preserve">2026-06-03</t>
  </si>
  <si>
    <t xml:space="preserve">https://boxd.it/29UU</t>
  </si>
  <si>
    <t xml:space="preserve">2026-06-06</t>
  </si>
  <si>
    <t xml:space="preserve">Sneakers</t>
  </si>
  <si>
    <t xml:space="preserve">https://boxd.it/26VU</t>
  </si>
  <si>
    <t xml:space="preserve">2026-06-07</t>
  </si>
  <si>
    <t xml:space="preserve">Backrooms</t>
  </si>
  <si>
    <t xml:space="preserve">https://boxd.it/EY6W</t>
  </si>
  <si>
    <t xml:space="preserve">2026-06-10</t>
  </si>
  <si>
    <t xml:space="preserve">https://boxd.it/2bg8</t>
  </si>
  <si>
    <t xml:space="preserve">2026-06-16</t>
  </si>
  <si>
    <t xml:space="preserve">Hang 'em High</t>
  </si>
  <si>
    <t xml:space="preserve">https://boxd.it/23Ec</t>
  </si>
  <si>
    <t xml:space="preserve">2026-06-22</t>
  </si>
  <si>
    <t xml:space="preserve">The Baby</t>
  </si>
  <si>
    <t xml:space="preserve">https://boxd.it/1q7I</t>
  </si>
  <si>
    <t xml:space="preserve">2026-06-26</t>
  </si>
  <si>
    <t xml:space="preserve">https://boxd.it/25HC</t>
  </si>
  <si>
    <t xml:space="preserve">2026-06-28</t>
  </si>
  <si>
    <t xml:space="preserve">The Cars That Ate Paris</t>
  </si>
  <si>
    <t xml:space="preserve">https://boxd.it/awU</t>
  </si>
  <si>
    <t xml:space="preserve">2026-06-29</t>
  </si>
  <si>
    <t xml:space="preserve">The Phoenician Scheme</t>
  </si>
  <si>
    <t xml:space="preserve">https://boxd.it/H0Ca</t>
  </si>
  <si>
    <t xml:space="preserve">2026-06-30</t>
  </si>
  <si>
    <t xml:space="preserve">https://boxd.it/1UQe</t>
  </si>
  <si>
    <t xml:space="preserve">2026-07-01</t>
  </si>
  <si>
    <t xml:space="preserve">https://boxd.it/2oOM</t>
  </si>
  <si>
    <t xml:space="preserve">2026-07-03</t>
  </si>
  <si>
    <t xml:space="preserve">https://boxd.it/1Tlk</t>
  </si>
  <si>
    <t xml:space="preserve">2026-07-15</t>
  </si>
  <si>
    <t xml:space="preserve">The Year of Living Dangerously</t>
  </si>
  <si>
    <t xml:space="preserve">https://boxd.it/1TBs</t>
  </si>
  <si>
    <t xml:space="preserve">2026-07-17</t>
  </si>
  <si>
    <t xml:space="preserve">https://boxd.it/1Z4O</t>
  </si>
  <si>
    <t xml:space="preserve">The Mosquito Coast</t>
  </si>
  <si>
    <t xml:space="preserve">https://boxd.it/1UAA</t>
  </si>
  <si>
    <t xml:space="preserve">2026-07-18</t>
  </si>
  <si>
    <t xml:space="preserve">https://boxd.it/230G</t>
  </si>
  <si>
    <t xml:space="preserve">2026-07-19</t>
  </si>
  <si>
    <t xml:space="preserve">Fury</t>
  </si>
  <si>
    <t xml:space="preserve">https://boxd.it/6JwC</t>
  </si>
  <si>
    <t xml:space="preserve">2026-07-20</t>
  </si>
  <si>
    <t xml:space="preserve">https://boxd.it/2aMW</t>
  </si>
  <si>
    <t xml:space="preserve">2026-07-21</t>
  </si>
  <si>
    <t xml:space="preserve">https://boxd.it/8gw8</t>
  </si>
  <si>
    <t xml:space="preserve">2026-07-22</t>
  </si>
  <si>
    <t xml:space="preserve">Planet Terror</t>
  </si>
  <si>
    <t xml:space="preserve">https://boxd.it/27Gw</t>
  </si>
  <si>
    <t xml:space="preserve">2026-07-25</t>
  </si>
  <si>
    <t xml:space="preserve">https://boxd.it/27Vw</t>
  </si>
  <si>
    <t xml:space="preserve">The Good Son</t>
  </si>
  <si>
    <t xml:space="preserve">https://boxd.it/1Z6g</t>
  </si>
  <si>
    <t xml:space="preserve">2026-07-26</t>
  </si>
  <si>
    <t xml:space="preserve">Spider-Man 2</t>
  </si>
  <si>
    <t xml:space="preserve">https://boxd.it/2a88</t>
  </si>
  <si>
    <t xml:space="preserve">2026-07-29</t>
  </si>
  <si>
    <t xml:space="preserve">The Odyssey</t>
  </si>
  <si>
    <t xml:space="preserve">https://boxd.it/QFQU</t>
  </si>
  <si>
    <t xml:space="preserve">2026-07-30</t>
  </si>
  <si>
    <t xml:space="preserve">National Treasure</t>
  </si>
  <si>
    <t xml:space="preserve">https://boxd.it/27x0</t>
  </si>
  <si>
    <t xml:space="preserve">2026-07-31</t>
  </si>
  <si>
    <t xml:space="preserve">Robots</t>
  </si>
  <si>
    <t xml:space="preserve">https://boxd.it/1Xve</t>
  </si>
  <si>
    <t xml:space="preserve">2026-08-01</t>
  </si>
  <si>
    <t xml:space="preserve">Three Thousand Years of Longing</t>
  </si>
  <si>
    <t xml:space="preserve">https://boxd.it/kmoy</t>
  </si>
  <si>
    <t xml:space="preserve">2026-08-02</t>
  </si>
  <si>
    <t xml:space="preserve">https://boxd.it/1Y7i</t>
  </si>
  <si>
    <t xml:space="preserve">2026-08-03</t>
  </si>
  <si>
    <t xml:space="preserve">https://boxd.it/2a4q</t>
  </si>
  <si>
    <t xml:space="preserve">2026-08-04</t>
  </si>
  <si>
    <t xml:space="preserve">Absolutely Anything</t>
  </si>
  <si>
    <t xml:space="preserve">https://boxd.it/34Ry</t>
  </si>
  <si>
    <t xml:space="preserve">2026-08-05</t>
  </si>
  <si>
    <t xml:space="preserve">Dragged Across Concrete</t>
  </si>
  <si>
    <t xml:space="preserve">https://boxd.it/fAly</t>
  </si>
  <si>
    <t xml:space="preserve">2026-08-11</t>
  </si>
  <si>
    <t xml:space="preserve">Matilda</t>
  </si>
  <si>
    <t xml:space="preserve">https://boxd.it/1VhY</t>
  </si>
  <si>
    <t xml:space="preserve">2026-08-12</t>
  </si>
  <si>
    <t xml:space="preserve">Duplex</t>
  </si>
  <si>
    <t xml:space="preserve">https://boxd.it/2134</t>
  </si>
  <si>
    <t xml:space="preserve">2026-08-13</t>
  </si>
  <si>
    <t xml:space="preserve">The Ratings Game</t>
  </si>
  <si>
    <t xml:space="preserve">https://boxd.it/6eSM</t>
  </si>
  <si>
    <t xml:space="preserve">https://boxd.it/g2w</t>
  </si>
  <si>
    <t xml:space="preserve">Twins</t>
  </si>
  <si>
    <t xml:space="preserve">https://boxd.it/1YxK</t>
  </si>
  <si>
    <t xml:space="preserve">2026-08-14</t>
  </si>
  <si>
    <t xml:space="preserve">No Strings Attached</t>
  </si>
  <si>
    <t xml:space="preserve">https://boxd.it/YUs</t>
  </si>
  <si>
    <t xml:space="preserve">Evolution</t>
  </si>
  <si>
    <t xml:space="preserve">https://boxd.it/1YMK</t>
  </si>
  <si>
    <t xml:space="preserve">2026-08-15</t>
  </si>
  <si>
    <t xml:space="preserve">Kindergarten Cop</t>
  </si>
  <si>
    <t xml:space="preserve">https://boxd.it/29dm</t>
  </si>
  <si>
    <t xml:space="preserve">2026-08-18</t>
  </si>
  <si>
    <t xml:space="preserve">Meatballs</t>
  </si>
  <si>
    <t xml:space="preserve">https://boxd.it/1OTc</t>
  </si>
  <si>
    <t xml:space="preserve">2026-08-22</t>
  </si>
  <si>
    <t xml:space="preserve">Bugonia</t>
  </si>
  <si>
    <t xml:space="preserve">https://boxd.it/qeWY</t>
  </si>
  <si>
    <t xml:space="preserve">2026-08-23</t>
  </si>
  <si>
    <t xml:space="preserve">Tumbbad</t>
  </si>
  <si>
    <t xml:space="preserve">https://boxd.it/jDZk</t>
  </si>
  <si>
    <t xml:space="preserve">2026-08-31</t>
  </si>
  <si>
    <t xml:space="preserve">https://boxd.it/7T0y</t>
  </si>
  <si>
    <t xml:space="preserve">2026-09-07</t>
  </si>
  <si>
    <t xml:space="preserve">The End of Oak Street</t>
  </si>
  <si>
    <t xml:space="preserve">https://boxd.it/FF9a</t>
  </si>
  <si>
    <t xml:space="preserve">2026-09-17</t>
  </si>
  <si>
    <t xml:space="preserve">The Myth of the American Sleepover</t>
  </si>
  <si>
    <t xml:space="preserve">https://boxd.it/2t9u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</si>
</sst>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CE6F1"/>
        <bgColor rgb="FFD9E1F2"/>
      </patternFill>
    </fill>
    <fill>
      <patternFill patternType="solid">
        <fgColor rgb="FFE4DFEC"/>
        <bgColor rgb="FFD9E1F2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DCE6F1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F0D9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5B9BD5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DCE6F1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E699"/>
      <rgbColor rgb="FFD9E1F2"/>
      <rgbColor rgb="FFFCE4D6"/>
      <rgbColor rgb="FFE4DFEC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4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f aca="false">COUNTA('Master List'!A2:A2594)</f>
        <v>2593</v>
      </c>
    </row>
    <row r="7" customFormat="false" ht="15" hidden="false" customHeight="false" outlineLevel="0" collapsed="false">
      <c r="B7" s="4" t="s">
        <v>4</v>
      </c>
      <c r="C7" s="5" t="n">
        <f aca="false">SUM('Master List'!G2:G2594)</f>
        <v>411</v>
      </c>
    </row>
    <row r="8" customFormat="false" ht="15" hidden="false" customHeight="false" outlineLevel="0" collapsed="false">
      <c r="B8" s="4" t="s">
        <v>5</v>
      </c>
      <c r="C8" s="6" t="n">
        <f aca="false">IF(C6=0,0,C7/C6)</f>
        <v>0.158503663709988</v>
      </c>
    </row>
    <row r="9" customFormat="false" ht="15" hidden="false" customHeight="false" outlineLevel="0" collapsed="false">
      <c r="B9" s="4" t="s">
        <v>6</v>
      </c>
      <c r="C9" s="5" t="n">
        <f aca="false">COUNTA('Watch Paths'!G2:G4220)</f>
        <v>4219</v>
      </c>
    </row>
    <row r="10" customFormat="false" ht="15" hidden="false" customHeight="false" outlineLevel="0" collapsed="false">
      <c r="B10" s="4" t="s">
        <v>7</v>
      </c>
      <c r="C10" s="5" t="s">
        <v>8</v>
      </c>
    </row>
    <row r="12" customFormat="false" ht="15" hidden="false" customHeight="false" outlineLevel="0" collapsed="false">
      <c r="B12" s="3" t="s">
        <v>9</v>
      </c>
    </row>
    <row r="13" customFormat="false" ht="30" hidden="false" customHeight="true" outlineLevel="0" collapsed="false">
      <c r="B13" s="7" t="s">
        <v>10</v>
      </c>
      <c r="C13" s="8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</row>
    <row r="15" customFormat="false" ht="30" hidden="false" customHeight="true" outlineLevel="0" collapsed="false">
      <c r="B15" s="7" t="s">
        <v>14</v>
      </c>
      <c r="C15" s="8" t="s">
        <v>15</v>
      </c>
    </row>
    <row r="16" customFormat="false" ht="30" hidden="false" customHeight="true" outlineLevel="0" collapsed="false">
      <c r="B16" s="7" t="s">
        <v>16</v>
      </c>
      <c r="C16" s="8" t="s">
        <v>17</v>
      </c>
    </row>
    <row r="17" customFormat="false" ht="30" hidden="false" customHeight="true" outlineLevel="0" collapsed="false">
      <c r="B17" s="7" t="s">
        <v>18</v>
      </c>
      <c r="C17" s="8" t="s">
        <v>19</v>
      </c>
    </row>
    <row r="18" customFormat="false" ht="30" hidden="false" customHeight="true" outlineLevel="0" collapsed="false">
      <c r="B18" s="7" t="s">
        <v>20</v>
      </c>
      <c r="C18" s="8" t="s">
        <v>21</v>
      </c>
    </row>
    <row r="19" customFormat="false" ht="30" hidden="false" customHeight="true" outlineLevel="0" collapsed="false">
      <c r="B19" s="7" t="s">
        <v>22</v>
      </c>
      <c r="C19" s="8" t="s">
        <v>23</v>
      </c>
    </row>
    <row r="21" customFormat="false" ht="15" hidden="false" customHeight="false" outlineLevel="0" collapsed="false">
      <c r="B21" s="3" t="s">
        <v>24</v>
      </c>
    </row>
    <row r="22" customFormat="false" ht="30" hidden="false" customHeight="true" outlineLevel="0" collapsed="false">
      <c r="B22" s="7" t="s">
        <v>25</v>
      </c>
      <c r="C22" s="8" t="s">
        <v>26</v>
      </c>
    </row>
    <row r="23" customFormat="false" ht="30" hidden="false" customHeight="true" outlineLevel="0" collapsed="false">
      <c r="B23" s="7" t="s">
        <v>27</v>
      </c>
      <c r="C23" s="8" t="s">
        <v>28</v>
      </c>
    </row>
    <row r="24" customFormat="false" ht="30" hidden="false" customHeight="true" outlineLevel="0" collapsed="false">
      <c r="B24" s="7" t="s">
        <v>29</v>
      </c>
      <c r="C24" s="8" t="s">
        <v>30</v>
      </c>
    </row>
    <row r="25" customFormat="false" ht="30" hidden="false" customHeight="true" outlineLevel="0" collapsed="false">
      <c r="B25" s="7" t="s">
        <v>31</v>
      </c>
      <c r="C25" s="8" t="s">
        <v>32</v>
      </c>
    </row>
    <row r="26" customFormat="false" ht="43.5" hidden="false" customHeight="true" outlineLevel="0" collapsed="false">
      <c r="B26" s="7" t="s">
        <v>33</v>
      </c>
      <c r="C26" s="8" t="s">
        <v>34</v>
      </c>
    </row>
    <row r="27" customFormat="false" ht="43.5" hidden="false" customHeight="true" outlineLevel="0" collapsed="false">
      <c r="B27" s="7" t="s">
        <v>35</v>
      </c>
      <c r="C27" s="8" t="s">
        <v>36</v>
      </c>
    </row>
    <row r="28" customFormat="false" ht="30" hidden="false" customHeight="true" outlineLevel="0" collapsed="false">
      <c r="B28" s="7" t="s">
        <v>37</v>
      </c>
      <c r="C28" s="8" t="s">
        <v>38</v>
      </c>
    </row>
    <row r="29" customFormat="false" ht="43.5" hidden="false" customHeight="true" outlineLevel="0" collapsed="false">
      <c r="B29" s="7" t="s">
        <v>39</v>
      </c>
      <c r="C29" s="8" t="s">
        <v>40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B2:G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0"/>
    <col collapsed="false" customWidth="true" hidden="false" outlineLevel="0" max="6" min="4" style="0" width="10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41</v>
      </c>
    </row>
    <row r="3" customFormat="false" ht="15" hidden="false" customHeight="false" outlineLevel="0" collapsed="false">
      <c r="B3" s="9" t="s">
        <v>42</v>
      </c>
    </row>
    <row r="5" customFormat="false" ht="15" hidden="false" customHeight="false" outlineLevel="0" collapsed="false">
      <c r="B5" s="10" t="s">
        <v>43</v>
      </c>
      <c r="C5" s="10" t="s">
        <v>44</v>
      </c>
      <c r="D5" s="10" t="s">
        <v>45</v>
      </c>
      <c r="E5" s="10" t="s">
        <v>46</v>
      </c>
      <c r="F5" s="10" t="s">
        <v>47</v>
      </c>
      <c r="G5" s="10" t="s">
        <v>48</v>
      </c>
    </row>
    <row r="6" customFormat="false" ht="15" hidden="false" customHeight="false" outlineLevel="0" collapsed="false">
      <c r="B6" s="11" t="s">
        <v>49</v>
      </c>
      <c r="C6" s="12" t="n">
        <f aca="false">COUNTIF('Master List'!$N$2:$N$2594,1)</f>
        <v>84</v>
      </c>
      <c r="D6" s="12" t="n">
        <f aca="false">COUNTIFS('Master List'!$N$2:$N$2594,1,'Master List'!$G$2:$G$2594,1)</f>
        <v>40</v>
      </c>
      <c r="E6" s="13" t="n">
        <f aca="false">IF(C6=0,0,D6/C6)</f>
        <v>0.476190476190476</v>
      </c>
      <c r="F6" s="12" t="n">
        <f aca="false">COUNTIF(Taxonomy!$B$2:$B$331,B6)</f>
        <v>8</v>
      </c>
      <c r="G6" s="12" t="n">
        <f aca="false">COUNTIFS(Taxonomy!$B$2:$B$331,B6,Taxonomy!$G$2:$G$331,1)</f>
        <v>0</v>
      </c>
    </row>
    <row r="7" customFormat="false" ht="15" hidden="false" customHeight="false" outlineLevel="0" collapsed="false">
      <c r="B7" s="14" t="s">
        <v>50</v>
      </c>
      <c r="C7" s="12" t="n">
        <f aca="false">COUNTIF('Master List'!$O$2:$O$2594,1)</f>
        <v>251</v>
      </c>
      <c r="D7" s="12" t="n">
        <f aca="false">COUNTIFS('Master List'!$O$2:$O$2594,1,'Master List'!$G$2:$G$2594,1)</f>
        <v>68</v>
      </c>
      <c r="E7" s="13" t="n">
        <f aca="false">IF(C7=0,0,D7/C7)</f>
        <v>0.270916334661355</v>
      </c>
      <c r="F7" s="12" t="n">
        <f aca="false">COUNTIF(Taxonomy!$B$2:$B$331,B7)</f>
        <v>19</v>
      </c>
      <c r="G7" s="12" t="n">
        <f aca="false">COUNTIFS(Taxonomy!$B$2:$B$331,B7,Taxonomy!$G$2:$G$331,1)</f>
        <v>0</v>
      </c>
    </row>
    <row r="8" customFormat="false" ht="15" hidden="false" customHeight="false" outlineLevel="0" collapsed="false">
      <c r="B8" s="15" t="s">
        <v>51</v>
      </c>
      <c r="C8" s="12" t="n">
        <f aca="false">COUNTIF('Master List'!$P$2:$P$2594,1)</f>
        <v>646</v>
      </c>
      <c r="D8" s="12" t="n">
        <f aca="false">COUNTIFS('Master List'!$P$2:$P$2594,1,'Master List'!$G$2:$G$2594,1)</f>
        <v>24</v>
      </c>
      <c r="E8" s="13" t="n">
        <f aca="false">IF(C8=0,0,D8/C8)</f>
        <v>0.0371517027863777</v>
      </c>
      <c r="F8" s="12" t="n">
        <f aca="false">COUNTIF(Taxonomy!$B$2:$B$331,B8)</f>
        <v>56</v>
      </c>
      <c r="G8" s="12" t="n">
        <f aca="false">COUNTIFS(Taxonomy!$B$2:$B$331,B8,Taxonomy!$G$2:$G$331,1)</f>
        <v>0</v>
      </c>
    </row>
    <row r="9" customFormat="false" ht="15" hidden="false" customHeight="false" outlineLevel="0" collapsed="false">
      <c r="B9" s="16" t="s">
        <v>52</v>
      </c>
      <c r="C9" s="12" t="n">
        <f aca="false">COUNTIF('Master List'!$Q$2:$Q$2594,1)</f>
        <v>821</v>
      </c>
      <c r="D9" s="12" t="n">
        <f aca="false">COUNTIFS('Master List'!$Q$2:$Q$2594,1,'Master List'!$G$2:$G$2594,1)</f>
        <v>165</v>
      </c>
      <c r="E9" s="13" t="n">
        <f aca="false">IF(C9=0,0,D9/C9)</f>
        <v>0.200974421437272</v>
      </c>
      <c r="F9" s="12" t="n">
        <f aca="false">COUNTIF(Taxonomy!$B$2:$B$331,B9)</f>
        <v>72</v>
      </c>
      <c r="G9" s="12" t="n">
        <f aca="false">COUNTIFS(Taxonomy!$B$2:$B$331,B9,Taxonomy!$G$2:$G$331,1)</f>
        <v>0</v>
      </c>
    </row>
    <row r="10" customFormat="false" ht="15" hidden="false" customHeight="false" outlineLevel="0" collapsed="false">
      <c r="B10" s="17" t="s">
        <v>53</v>
      </c>
      <c r="C10" s="12" t="n">
        <f aca="false">COUNTIF('Master List'!$R$2:$R$2594,1)</f>
        <v>781</v>
      </c>
      <c r="D10" s="12" t="n">
        <f aca="false">COUNTIFS('Master List'!$R$2:$R$2594,1,'Master List'!$G$2:$G$2594,1)</f>
        <v>205</v>
      </c>
      <c r="E10" s="13" t="n">
        <f aca="false">IF(C10=0,0,D10/C10)</f>
        <v>0.262483994878361</v>
      </c>
      <c r="F10" s="12" t="n">
        <f aca="false">COUNTIF(Taxonomy!$B$2:$B$331,B10)</f>
        <v>67</v>
      </c>
      <c r="G10" s="12" t="n">
        <f aca="false">COUNTIFS(Taxonomy!$B$2:$B$331,B10,Taxonomy!$G$2:$G$331,1)</f>
        <v>2</v>
      </c>
    </row>
    <row r="11" customFormat="false" ht="15" hidden="false" customHeight="false" outlineLevel="0" collapsed="false">
      <c r="B11" s="18" t="s">
        <v>54</v>
      </c>
      <c r="C11" s="12" t="n">
        <f aca="false">COUNTIF('Master List'!$S$2:$S$2594,1)</f>
        <v>256</v>
      </c>
      <c r="D11" s="12" t="n">
        <f aca="false">COUNTIFS('Master List'!$S$2:$S$2594,1,'Master List'!$G$2:$G$2594,1)</f>
        <v>48</v>
      </c>
      <c r="E11" s="13" t="n">
        <f aca="false">IF(C11=0,0,D11/C11)</f>
        <v>0.1875</v>
      </c>
      <c r="F11" s="12" t="n">
        <f aca="false">COUNTIF(Taxonomy!$B$2:$B$331,B11)</f>
        <v>22</v>
      </c>
      <c r="G11" s="12" t="n">
        <f aca="false">COUNTIFS(Taxonomy!$B$2:$B$331,B11,Taxonomy!$G$2:$G$331,1)</f>
        <v>0</v>
      </c>
    </row>
    <row r="12" customFormat="false" ht="15" hidden="false" customHeight="false" outlineLevel="0" collapsed="false">
      <c r="B12" s="19" t="s">
        <v>55</v>
      </c>
      <c r="C12" s="12" t="n">
        <f aca="false">COUNTIF('Master List'!$T$2:$T$2594,1)</f>
        <v>422</v>
      </c>
      <c r="D12" s="12" t="n">
        <f aca="false">COUNTIFS('Master List'!$T$2:$T$2594,1,'Master List'!$G$2:$G$2594,1)</f>
        <v>114</v>
      </c>
      <c r="E12" s="13" t="n">
        <f aca="false">IF(C12=0,0,D12/C12)</f>
        <v>0.270142180094787</v>
      </c>
      <c r="F12" s="12" t="n">
        <f aca="false">COUNTIF(Taxonomy!$B$2:$B$331,B12)</f>
        <v>31</v>
      </c>
      <c r="G12" s="12" t="n">
        <f aca="false">COUNTIFS(Taxonomy!$B$2:$B$331,B12,Taxonomy!$G$2:$G$331,1)</f>
        <v>0</v>
      </c>
    </row>
    <row r="13" customFormat="false" ht="15" hidden="false" customHeight="false" outlineLevel="0" collapsed="false">
      <c r="B13" s="20" t="s">
        <v>56</v>
      </c>
      <c r="C13" s="12" t="n">
        <f aca="false">COUNTIF('Master List'!$U$2:$U$2594,1)</f>
        <v>281</v>
      </c>
      <c r="D13" s="12" t="n">
        <f aca="false">COUNTIFS('Master List'!$U$2:$U$2594,1,'Master List'!$G$2:$G$2594,1)</f>
        <v>63</v>
      </c>
      <c r="E13" s="13" t="n">
        <f aca="false">IF(C13=0,0,D13/C13)</f>
        <v>0.224199288256228</v>
      </c>
      <c r="F13" s="12" t="n">
        <f aca="false">COUNTIF(Taxonomy!$B$2:$B$331,B13)</f>
        <v>25</v>
      </c>
      <c r="G13" s="12" t="n">
        <f aca="false">COUNTIFS(Taxonomy!$B$2:$B$331,B13,Taxonomy!$G$2:$G$331,1)</f>
        <v>0</v>
      </c>
    </row>
    <row r="14" customFormat="false" ht="15" hidden="false" customHeight="false" outlineLevel="0" collapsed="false">
      <c r="B14" s="21" t="s">
        <v>57</v>
      </c>
      <c r="C14" s="12" t="n">
        <f aca="false">COUNTIF('Master List'!$V$2:$V$2594,1)</f>
        <v>298</v>
      </c>
      <c r="D14" s="12" t="n">
        <f aca="false">COUNTIFS('Master List'!$V$2:$V$2594,1,'Master List'!$G$2:$G$2594,1)</f>
        <v>79</v>
      </c>
      <c r="E14" s="13" t="n">
        <f aca="false">IF(C14=0,0,D14/C14)</f>
        <v>0.26510067114094</v>
      </c>
      <c r="F14" s="12" t="n">
        <f aca="false">COUNTIF(Taxonomy!$B$2:$B$331,B14)</f>
        <v>16</v>
      </c>
      <c r="G14" s="12" t="n">
        <f aca="false">COUNTIFS(Taxonomy!$B$2:$B$331,B14,Taxonomy!$G$2:$G$331,1)</f>
        <v>0</v>
      </c>
    </row>
    <row r="15" customFormat="false" ht="15" hidden="false" customHeight="false" outlineLevel="0" collapsed="false">
      <c r="B15" s="22" t="s">
        <v>58</v>
      </c>
      <c r="C15" s="12" t="n">
        <f aca="false">COUNTIF('Master List'!$W$2:$W$2594,1)</f>
        <v>139</v>
      </c>
      <c r="D15" s="12" t="n">
        <f aca="false">COUNTIFS('Master List'!$W$2:$W$2594,1,'Master List'!$G$2:$G$2594,1)</f>
        <v>41</v>
      </c>
      <c r="E15" s="13" t="n">
        <f aca="false">IF(C15=0,0,D15/C15)</f>
        <v>0.294964028776978</v>
      </c>
      <c r="F15" s="12" t="n">
        <f aca="false">COUNTIF(Taxonomy!$B$2:$B$331,B15)</f>
        <v>14</v>
      </c>
      <c r="G15" s="12" t="n">
        <f aca="false">COUNTIFS(Taxonomy!$B$2:$B$331,B15,Taxonomy!$G$2:$G$331,1)</f>
        <v>0</v>
      </c>
    </row>
    <row r="16" customFormat="false" ht="15" hidden="false" customHeight="false" outlineLevel="0" collapsed="false">
      <c r="B16" s="7" t="s">
        <v>59</v>
      </c>
      <c r="C16" s="7" t="n">
        <f aca="false">COUNTA('Master List'!A2:A2594)</f>
        <v>2593</v>
      </c>
      <c r="D16" s="7" t="n">
        <f aca="false">SUM('Master List'!G2:G2594)</f>
        <v>411</v>
      </c>
      <c r="E16" s="23" t="n">
        <f aca="false">IF(C16=0,0,D16/C16)</f>
        <v>0.158503663709988</v>
      </c>
      <c r="F16" s="7" t="n">
        <f aca="false">SUM(F6:F15)</f>
        <v>330</v>
      </c>
      <c r="G16" s="7" t="n">
        <f aca="false">SUM(G6:G15)</f>
        <v>2</v>
      </c>
    </row>
    <row r="18" customFormat="false" ht="15" hidden="false" customHeight="false" outlineLevel="0" collapsed="false">
      <c r="B18" s="3" t="s">
        <v>60</v>
      </c>
    </row>
    <row r="19" customFormat="false" ht="15" hidden="false" customHeight="false" outlineLevel="0" collapsed="false">
      <c r="B19" s="10" t="s">
        <v>43</v>
      </c>
      <c r="C19" s="10" t="s">
        <v>61</v>
      </c>
      <c r="D19" s="10" t="s">
        <v>62</v>
      </c>
      <c r="E19" s="10" t="s">
        <v>45</v>
      </c>
      <c r="F19" s="10" t="s">
        <v>46</v>
      </c>
      <c r="G19" s="10" t="s">
        <v>47</v>
      </c>
    </row>
    <row r="20" customFormat="false" ht="15" hidden="false" customHeight="false" outlineLevel="0" collapsed="false">
      <c r="B20" s="11" t="s">
        <v>49</v>
      </c>
      <c r="C20" s="12" t="s">
        <v>63</v>
      </c>
      <c r="D20" s="12" t="n">
        <f aca="false">COUNTIFS('Watch Paths'!$B$2:$B$4220,B20,'Watch Paths'!$C$2:$C$4220,C20)</f>
        <v>70</v>
      </c>
      <c r="E20" s="12" t="n">
        <f aca="false">COUNTIFS('Watch Paths'!$B$2:$B$4220,B20,'Watch Paths'!$C$2:$C$4220,C20,'Watch Paths'!$M$2:$M$4220,1)</f>
        <v>32</v>
      </c>
      <c r="F20" s="13" t="n">
        <f aca="false">IF(D20=0,0,E20/D20)</f>
        <v>0.457142857142857</v>
      </c>
      <c r="G20" s="12" t="n">
        <f aca="false">COUNTIFS(Taxonomy!$B$2:$B$331,B20,Taxonomy!$C$2:$C$331,C20)</f>
        <v>6</v>
      </c>
    </row>
    <row r="21" customFormat="false" ht="15" hidden="false" customHeight="false" outlineLevel="0" collapsed="false">
      <c r="B21" s="11" t="s">
        <v>49</v>
      </c>
      <c r="C21" s="12" t="s">
        <v>64</v>
      </c>
      <c r="D21" s="12" t="n">
        <f aca="false">COUNTIFS('Watch Paths'!$B$2:$B$4220,B21,'Watch Paths'!$C$2:$C$4220,C21)</f>
        <v>20</v>
      </c>
      <c r="E21" s="12" t="n">
        <f aca="false">COUNTIFS('Watch Paths'!$B$2:$B$4220,B21,'Watch Paths'!$C$2:$C$4220,C21,'Watch Paths'!$M$2:$M$4220,1)</f>
        <v>12</v>
      </c>
      <c r="F21" s="13" t="n">
        <f aca="false">IF(D21=0,0,E21/D21)</f>
        <v>0.6</v>
      </c>
      <c r="G21" s="12" t="n">
        <f aca="false">COUNTIFS(Taxonomy!$B$2:$B$331,B21,Taxonomy!$C$2:$C$331,C21)</f>
        <v>2</v>
      </c>
    </row>
    <row r="22" customFormat="false" ht="15" hidden="false" customHeight="false" outlineLevel="0" collapsed="false">
      <c r="B22" s="14" t="s">
        <v>50</v>
      </c>
      <c r="C22" s="12" t="s">
        <v>65</v>
      </c>
      <c r="D22" s="12" t="n">
        <f aca="false">COUNTIFS('Watch Paths'!$B$2:$B$4220,B22,'Watch Paths'!$C$2:$C$4220,C22)</f>
        <v>73</v>
      </c>
      <c r="E22" s="12" t="n">
        <f aca="false">COUNTIFS('Watch Paths'!$B$2:$B$4220,B22,'Watch Paths'!$C$2:$C$4220,C22,'Watch Paths'!$M$2:$M$4220,1)</f>
        <v>6</v>
      </c>
      <c r="F22" s="13" t="n">
        <f aca="false">IF(D22=0,0,E22/D22)</f>
        <v>0.0821917808219178</v>
      </c>
      <c r="G22" s="12" t="n">
        <f aca="false">COUNTIFS(Taxonomy!$B$2:$B$331,B22,Taxonomy!$C$2:$C$331,C22)</f>
        <v>7</v>
      </c>
    </row>
    <row r="23" customFormat="false" ht="15" hidden="false" customHeight="false" outlineLevel="0" collapsed="false">
      <c r="B23" s="14" t="s">
        <v>50</v>
      </c>
      <c r="C23" s="12" t="s">
        <v>66</v>
      </c>
      <c r="D23" s="12" t="n">
        <f aca="false">COUNTIFS('Watch Paths'!$B$2:$B$4220,B23,'Watch Paths'!$C$2:$C$4220,C23)</f>
        <v>24</v>
      </c>
      <c r="E23" s="12" t="n">
        <f aca="false">COUNTIFS('Watch Paths'!$B$2:$B$4220,B23,'Watch Paths'!$C$2:$C$4220,C23,'Watch Paths'!$M$2:$M$4220,1)</f>
        <v>1</v>
      </c>
      <c r="F23" s="13" t="n">
        <f aca="false">IF(D23=0,0,E23/D23)</f>
        <v>0.0416666666666667</v>
      </c>
      <c r="G23" s="12" t="n">
        <f aca="false">COUNTIFS(Taxonomy!$B$2:$B$331,B23,Taxonomy!$C$2:$C$331,C23)</f>
        <v>2</v>
      </c>
    </row>
    <row r="24" customFormat="false" ht="15" hidden="false" customHeight="false" outlineLevel="0" collapsed="false">
      <c r="B24" s="14" t="s">
        <v>50</v>
      </c>
      <c r="C24" s="12" t="s">
        <v>67</v>
      </c>
      <c r="D24" s="12" t="n">
        <f aca="false">COUNTIFS('Watch Paths'!$B$2:$B$4220,B24,'Watch Paths'!$C$2:$C$4220,C24)</f>
        <v>30</v>
      </c>
      <c r="E24" s="12" t="n">
        <f aca="false">COUNTIFS('Watch Paths'!$B$2:$B$4220,B24,'Watch Paths'!$C$2:$C$4220,C24,'Watch Paths'!$M$2:$M$4220,1)</f>
        <v>6</v>
      </c>
      <c r="F24" s="13" t="n">
        <f aca="false">IF(D24=0,0,E24/D24)</f>
        <v>0.2</v>
      </c>
      <c r="G24" s="12" t="n">
        <f aca="false">COUNTIFS(Taxonomy!$B$2:$B$331,B24,Taxonomy!$C$2:$C$331,C24)</f>
        <v>2</v>
      </c>
    </row>
    <row r="25" customFormat="false" ht="15" hidden="false" customHeight="false" outlineLevel="0" collapsed="false">
      <c r="B25" s="14" t="s">
        <v>50</v>
      </c>
      <c r="C25" s="12" t="s">
        <v>68</v>
      </c>
      <c r="D25" s="12" t="n">
        <f aca="false">COUNTIFS('Watch Paths'!$B$2:$B$4220,B25,'Watch Paths'!$C$2:$C$4220,C25)</f>
        <v>14</v>
      </c>
      <c r="E25" s="12" t="n">
        <f aca="false">COUNTIFS('Watch Paths'!$B$2:$B$4220,B25,'Watch Paths'!$C$2:$C$4220,C25,'Watch Paths'!$M$2:$M$4220,1)</f>
        <v>3</v>
      </c>
      <c r="F25" s="13" t="n">
        <f aca="false">IF(D25=0,0,E25/D25)</f>
        <v>0.214285714285714</v>
      </c>
      <c r="G25" s="12" t="n">
        <f aca="false">COUNTIFS(Taxonomy!$B$2:$B$331,B25,Taxonomy!$C$2:$C$331,C25)</f>
        <v>1</v>
      </c>
    </row>
    <row r="26" customFormat="false" ht="15" hidden="false" customHeight="false" outlineLevel="0" collapsed="false">
      <c r="B26" s="14" t="s">
        <v>50</v>
      </c>
      <c r="C26" s="12" t="s">
        <v>69</v>
      </c>
      <c r="D26" s="12" t="n">
        <f aca="false">COUNTIFS('Watch Paths'!$B$2:$B$4220,B26,'Watch Paths'!$C$2:$C$4220,C26)</f>
        <v>16</v>
      </c>
      <c r="E26" s="12" t="n">
        <f aca="false">COUNTIFS('Watch Paths'!$B$2:$B$4220,B26,'Watch Paths'!$C$2:$C$4220,C26,'Watch Paths'!$M$2:$M$4220,1)</f>
        <v>1</v>
      </c>
      <c r="F26" s="13" t="n">
        <f aca="false">IF(D26=0,0,E26/D26)</f>
        <v>0.0625</v>
      </c>
      <c r="G26" s="12" t="n">
        <f aca="false">COUNTIFS(Taxonomy!$B$2:$B$331,B26,Taxonomy!$C$2:$C$331,C26)</f>
        <v>1</v>
      </c>
    </row>
    <row r="27" customFormat="false" ht="15" hidden="false" customHeight="false" outlineLevel="0" collapsed="false">
      <c r="B27" s="14" t="s">
        <v>50</v>
      </c>
      <c r="C27" s="12" t="s">
        <v>70</v>
      </c>
      <c r="D27" s="12" t="n">
        <f aca="false">COUNTIFS('Watch Paths'!$B$2:$B$4220,B27,'Watch Paths'!$C$2:$C$4220,C27)</f>
        <v>22</v>
      </c>
      <c r="E27" s="12" t="n">
        <f aca="false">COUNTIFS('Watch Paths'!$B$2:$B$4220,B27,'Watch Paths'!$C$2:$C$4220,C27,'Watch Paths'!$M$2:$M$4220,1)</f>
        <v>14</v>
      </c>
      <c r="F27" s="13" t="n">
        <f aca="false">IF(D27=0,0,E27/D27)</f>
        <v>0.636363636363636</v>
      </c>
      <c r="G27" s="12" t="n">
        <f aca="false">COUNTIFS(Taxonomy!$B$2:$B$331,B27,Taxonomy!$C$2:$C$331,C27)</f>
        <v>1</v>
      </c>
    </row>
    <row r="28" customFormat="false" ht="15" hidden="false" customHeight="false" outlineLevel="0" collapsed="false">
      <c r="B28" s="14" t="s">
        <v>50</v>
      </c>
      <c r="C28" s="12" t="s">
        <v>71</v>
      </c>
      <c r="D28" s="12" t="n">
        <f aca="false">COUNTIFS('Watch Paths'!$B$2:$B$4220,B28,'Watch Paths'!$C$2:$C$4220,C28)</f>
        <v>24</v>
      </c>
      <c r="E28" s="12" t="n">
        <f aca="false">COUNTIFS('Watch Paths'!$B$2:$B$4220,B28,'Watch Paths'!$C$2:$C$4220,C28,'Watch Paths'!$M$2:$M$4220,1)</f>
        <v>17</v>
      </c>
      <c r="F28" s="13" t="n">
        <f aca="false">IF(D28=0,0,E28/D28)</f>
        <v>0.708333333333333</v>
      </c>
      <c r="G28" s="12" t="n">
        <f aca="false">COUNTIFS(Taxonomy!$B$2:$B$331,B28,Taxonomy!$C$2:$C$331,C28)</f>
        <v>2</v>
      </c>
    </row>
    <row r="29" customFormat="false" ht="15" hidden="false" customHeight="false" outlineLevel="0" collapsed="false">
      <c r="B29" s="14" t="s">
        <v>50</v>
      </c>
      <c r="C29" s="12" t="s">
        <v>72</v>
      </c>
      <c r="D29" s="12" t="n">
        <f aca="false">COUNTIFS('Watch Paths'!$B$2:$B$4220,B29,'Watch Paths'!$C$2:$C$4220,C29)</f>
        <v>17</v>
      </c>
      <c r="E29" s="12" t="n">
        <f aca="false">COUNTIFS('Watch Paths'!$B$2:$B$4220,B29,'Watch Paths'!$C$2:$C$4220,C29,'Watch Paths'!$M$2:$M$4220,1)</f>
        <v>7</v>
      </c>
      <c r="F29" s="13" t="n">
        <f aca="false">IF(D29=0,0,E29/D29)</f>
        <v>0.411764705882353</v>
      </c>
      <c r="G29" s="12" t="n">
        <f aca="false">COUNTIFS(Taxonomy!$B$2:$B$331,B29,Taxonomy!$C$2:$C$331,C29)</f>
        <v>1</v>
      </c>
    </row>
    <row r="30" customFormat="false" ht="15" hidden="false" customHeight="false" outlineLevel="0" collapsed="false">
      <c r="B30" s="14" t="s">
        <v>50</v>
      </c>
      <c r="C30" s="12" t="s">
        <v>73</v>
      </c>
      <c r="D30" s="12" t="n">
        <f aca="false">COUNTIFS('Watch Paths'!$B$2:$B$4220,B30,'Watch Paths'!$C$2:$C$4220,C30)</f>
        <v>17</v>
      </c>
      <c r="E30" s="12" t="n">
        <f aca="false">COUNTIFS('Watch Paths'!$B$2:$B$4220,B30,'Watch Paths'!$C$2:$C$4220,C30,'Watch Paths'!$M$2:$M$4220,1)</f>
        <v>8</v>
      </c>
      <c r="F30" s="13" t="n">
        <f aca="false">IF(D30=0,0,E30/D30)</f>
        <v>0.470588235294118</v>
      </c>
      <c r="G30" s="12" t="n">
        <f aca="false">COUNTIFS(Taxonomy!$B$2:$B$331,B30,Taxonomy!$C$2:$C$331,C30)</f>
        <v>1</v>
      </c>
    </row>
    <row r="31" customFormat="false" ht="15" hidden="false" customHeight="false" outlineLevel="0" collapsed="false">
      <c r="B31" s="14" t="s">
        <v>50</v>
      </c>
      <c r="C31" s="12" t="s">
        <v>74</v>
      </c>
      <c r="D31" s="12" t="n">
        <f aca="false">COUNTIFS('Watch Paths'!$B$2:$B$4220,B31,'Watch Paths'!$C$2:$C$4220,C31)</f>
        <v>18</v>
      </c>
      <c r="E31" s="12" t="n">
        <f aca="false">COUNTIFS('Watch Paths'!$B$2:$B$4220,B31,'Watch Paths'!$C$2:$C$4220,C31,'Watch Paths'!$M$2:$M$4220,1)</f>
        <v>5</v>
      </c>
      <c r="F31" s="13" t="n">
        <f aca="false">IF(D31=0,0,E31/D31)</f>
        <v>0.277777777777778</v>
      </c>
      <c r="G31" s="12" t="n">
        <f aca="false">COUNTIFS(Taxonomy!$B$2:$B$331,B31,Taxonomy!$C$2:$C$331,C31)</f>
        <v>1</v>
      </c>
    </row>
    <row r="32" customFormat="false" ht="15" hidden="false" customHeight="false" outlineLevel="0" collapsed="false">
      <c r="B32" s="15" t="s">
        <v>51</v>
      </c>
      <c r="C32" s="12" t="s">
        <v>75</v>
      </c>
      <c r="D32" s="12" t="n">
        <f aca="false">COUNTIFS('Watch Paths'!$B$2:$B$4220,B32,'Watch Paths'!$C$2:$C$4220,C32)</f>
        <v>80</v>
      </c>
      <c r="E32" s="12" t="n">
        <f aca="false">COUNTIFS('Watch Paths'!$B$2:$B$4220,B32,'Watch Paths'!$C$2:$C$4220,C32,'Watch Paths'!$M$2:$M$4220,1)</f>
        <v>4</v>
      </c>
      <c r="F32" s="13" t="n">
        <f aca="false">IF(D32=0,0,E32/D32)</f>
        <v>0.05</v>
      </c>
      <c r="G32" s="12" t="n">
        <f aca="false">COUNTIFS(Taxonomy!$B$2:$B$331,B32,Taxonomy!$C$2:$C$331,C32)</f>
        <v>6</v>
      </c>
    </row>
    <row r="33" customFormat="false" ht="15" hidden="false" customHeight="false" outlineLevel="0" collapsed="false">
      <c r="B33" s="15" t="s">
        <v>51</v>
      </c>
      <c r="C33" s="12" t="s">
        <v>76</v>
      </c>
      <c r="D33" s="12" t="n">
        <f aca="false">COUNTIFS('Watch Paths'!$B$2:$B$4220,B33,'Watch Paths'!$C$2:$C$4220,C33)</f>
        <v>90</v>
      </c>
      <c r="E33" s="12" t="n">
        <f aca="false">COUNTIFS('Watch Paths'!$B$2:$B$4220,B33,'Watch Paths'!$C$2:$C$4220,C33,'Watch Paths'!$M$2:$M$4220,1)</f>
        <v>5</v>
      </c>
      <c r="F33" s="13" t="n">
        <f aca="false">IF(D33=0,0,E33/D33)</f>
        <v>0.0555555555555556</v>
      </c>
      <c r="G33" s="12" t="n">
        <f aca="false">COUNTIFS(Taxonomy!$B$2:$B$331,B33,Taxonomy!$C$2:$C$331,C33)</f>
        <v>8</v>
      </c>
    </row>
    <row r="34" customFormat="false" ht="15" hidden="false" customHeight="false" outlineLevel="0" collapsed="false">
      <c r="B34" s="15" t="s">
        <v>51</v>
      </c>
      <c r="C34" s="12" t="s">
        <v>77</v>
      </c>
      <c r="D34" s="12" t="n">
        <f aca="false">COUNTIFS('Watch Paths'!$B$2:$B$4220,B34,'Watch Paths'!$C$2:$C$4220,C34)</f>
        <v>74</v>
      </c>
      <c r="E34" s="12" t="n">
        <f aca="false">COUNTIFS('Watch Paths'!$B$2:$B$4220,B34,'Watch Paths'!$C$2:$C$4220,C34,'Watch Paths'!$M$2:$M$4220,1)</f>
        <v>1</v>
      </c>
      <c r="F34" s="13" t="n">
        <f aca="false">IF(D34=0,0,E34/D34)</f>
        <v>0.0135135135135135</v>
      </c>
      <c r="G34" s="12" t="n">
        <f aca="false">COUNTIFS(Taxonomy!$B$2:$B$331,B34,Taxonomy!$C$2:$C$331,C34)</f>
        <v>7</v>
      </c>
    </row>
    <row r="35" customFormat="false" ht="15" hidden="false" customHeight="false" outlineLevel="0" collapsed="false">
      <c r="B35" s="15" t="s">
        <v>51</v>
      </c>
      <c r="C35" s="12" t="s">
        <v>78</v>
      </c>
      <c r="D35" s="12" t="n">
        <f aca="false">COUNTIFS('Watch Paths'!$B$2:$B$4220,B35,'Watch Paths'!$C$2:$C$4220,C35)</f>
        <v>28</v>
      </c>
      <c r="E35" s="12" t="n">
        <f aca="false">COUNTIFS('Watch Paths'!$B$2:$B$4220,B35,'Watch Paths'!$C$2:$C$4220,C35,'Watch Paths'!$M$2:$M$4220,1)</f>
        <v>2</v>
      </c>
      <c r="F35" s="13" t="n">
        <f aca="false">IF(D35=0,0,E35/D35)</f>
        <v>0.0714285714285714</v>
      </c>
      <c r="G35" s="12" t="n">
        <f aca="false">COUNTIFS(Taxonomy!$B$2:$B$331,B35,Taxonomy!$C$2:$C$331,C35)</f>
        <v>2</v>
      </c>
    </row>
    <row r="36" customFormat="false" ht="15" hidden="false" customHeight="false" outlineLevel="0" collapsed="false">
      <c r="B36" s="15" t="s">
        <v>51</v>
      </c>
      <c r="C36" s="12" t="s">
        <v>79</v>
      </c>
      <c r="D36" s="12" t="n">
        <f aca="false">COUNTIFS('Watch Paths'!$B$2:$B$4220,B36,'Watch Paths'!$C$2:$C$4220,C36)</f>
        <v>55</v>
      </c>
      <c r="E36" s="12" t="n">
        <f aca="false">COUNTIFS('Watch Paths'!$B$2:$B$4220,B36,'Watch Paths'!$C$2:$C$4220,C36,'Watch Paths'!$M$2:$M$4220,1)</f>
        <v>1</v>
      </c>
      <c r="F36" s="13" t="n">
        <f aca="false">IF(D36=0,0,E36/D36)</f>
        <v>0.0181818181818182</v>
      </c>
      <c r="G36" s="12" t="n">
        <f aca="false">COUNTIFS(Taxonomy!$B$2:$B$331,B36,Taxonomy!$C$2:$C$331,C36)</f>
        <v>5</v>
      </c>
    </row>
    <row r="37" customFormat="false" ht="15" hidden="false" customHeight="false" outlineLevel="0" collapsed="false">
      <c r="B37" s="15" t="s">
        <v>51</v>
      </c>
      <c r="C37" s="12" t="s">
        <v>80</v>
      </c>
      <c r="D37" s="12" t="n">
        <f aca="false">COUNTIFS('Watch Paths'!$B$2:$B$4220,B37,'Watch Paths'!$C$2:$C$4220,C37)</f>
        <v>24</v>
      </c>
      <c r="E37" s="12" t="n">
        <f aca="false">COUNTIFS('Watch Paths'!$B$2:$B$4220,B37,'Watch Paths'!$C$2:$C$4220,C37,'Watch Paths'!$M$2:$M$4220,1)</f>
        <v>2</v>
      </c>
      <c r="F37" s="13" t="n">
        <f aca="false">IF(D37=0,0,E37/D37)</f>
        <v>0.0833333333333333</v>
      </c>
      <c r="G37" s="12" t="n">
        <f aca="false">COUNTIFS(Taxonomy!$B$2:$B$331,B37,Taxonomy!$C$2:$C$331,C37)</f>
        <v>2</v>
      </c>
    </row>
    <row r="38" customFormat="false" ht="15" hidden="false" customHeight="false" outlineLevel="0" collapsed="false">
      <c r="B38" s="15" t="s">
        <v>51</v>
      </c>
      <c r="C38" s="12" t="s">
        <v>81</v>
      </c>
      <c r="D38" s="12" t="n">
        <f aca="false">COUNTIFS('Watch Paths'!$B$2:$B$4220,B38,'Watch Paths'!$C$2:$C$4220,C38)</f>
        <v>61</v>
      </c>
      <c r="E38" s="12" t="n">
        <f aca="false">COUNTIFS('Watch Paths'!$B$2:$B$4220,B38,'Watch Paths'!$C$2:$C$4220,C38,'Watch Paths'!$M$2:$M$4220,1)</f>
        <v>1</v>
      </c>
      <c r="F38" s="13" t="n">
        <f aca="false">IF(D38=0,0,E38/D38)</f>
        <v>0.0163934426229508</v>
      </c>
      <c r="G38" s="12" t="n">
        <f aca="false">COUNTIFS(Taxonomy!$B$2:$B$331,B38,Taxonomy!$C$2:$C$331,C38)</f>
        <v>6</v>
      </c>
    </row>
    <row r="39" customFormat="false" ht="15" hidden="false" customHeight="false" outlineLevel="0" collapsed="false">
      <c r="B39" s="15" t="s">
        <v>51</v>
      </c>
      <c r="C39" s="12" t="s">
        <v>82</v>
      </c>
      <c r="D39" s="12" t="n">
        <f aca="false">COUNTIFS('Watch Paths'!$B$2:$B$4220,B39,'Watch Paths'!$C$2:$C$4220,C39)</f>
        <v>51</v>
      </c>
      <c r="E39" s="12" t="n">
        <f aca="false">COUNTIFS('Watch Paths'!$B$2:$B$4220,B39,'Watch Paths'!$C$2:$C$4220,C39,'Watch Paths'!$M$2:$M$4220,1)</f>
        <v>0</v>
      </c>
      <c r="F39" s="13" t="n">
        <f aca="false">IF(D39=0,0,E39/D39)</f>
        <v>0</v>
      </c>
      <c r="G39" s="12" t="n">
        <f aca="false">COUNTIFS(Taxonomy!$B$2:$B$331,B39,Taxonomy!$C$2:$C$331,C39)</f>
        <v>5</v>
      </c>
    </row>
    <row r="40" customFormat="false" ht="15" hidden="false" customHeight="false" outlineLevel="0" collapsed="false">
      <c r="B40" s="15" t="s">
        <v>51</v>
      </c>
      <c r="C40" s="12" t="s">
        <v>83</v>
      </c>
      <c r="D40" s="12" t="n">
        <f aca="false">COUNTIFS('Watch Paths'!$B$2:$B$4220,B40,'Watch Paths'!$C$2:$C$4220,C40)</f>
        <v>61</v>
      </c>
      <c r="E40" s="12" t="n">
        <f aca="false">COUNTIFS('Watch Paths'!$B$2:$B$4220,B40,'Watch Paths'!$C$2:$C$4220,C40,'Watch Paths'!$M$2:$M$4220,1)</f>
        <v>2</v>
      </c>
      <c r="F40" s="13" t="n">
        <f aca="false">IF(D40=0,0,E40/D40)</f>
        <v>0.0327868852459016</v>
      </c>
      <c r="G40" s="12" t="n">
        <f aca="false">COUNTIFS(Taxonomy!$B$2:$B$331,B40,Taxonomy!$C$2:$C$331,C40)</f>
        <v>5</v>
      </c>
    </row>
    <row r="41" customFormat="false" ht="15" hidden="false" customHeight="false" outlineLevel="0" collapsed="false">
      <c r="B41" s="15" t="s">
        <v>51</v>
      </c>
      <c r="C41" s="12" t="s">
        <v>84</v>
      </c>
      <c r="D41" s="12" t="n">
        <f aca="false">COUNTIFS('Watch Paths'!$B$2:$B$4220,B41,'Watch Paths'!$C$2:$C$4220,C41)</f>
        <v>24</v>
      </c>
      <c r="E41" s="12" t="n">
        <f aca="false">COUNTIFS('Watch Paths'!$B$2:$B$4220,B41,'Watch Paths'!$C$2:$C$4220,C41,'Watch Paths'!$M$2:$M$4220,1)</f>
        <v>0</v>
      </c>
      <c r="F41" s="13" t="n">
        <f aca="false">IF(D41=0,0,E41/D41)</f>
        <v>0</v>
      </c>
      <c r="G41" s="12" t="n">
        <f aca="false">COUNTIFS(Taxonomy!$B$2:$B$331,B41,Taxonomy!$C$2:$C$331,C41)</f>
        <v>2</v>
      </c>
    </row>
    <row r="42" customFormat="false" ht="15" hidden="false" customHeight="false" outlineLevel="0" collapsed="false">
      <c r="B42" s="15" t="s">
        <v>51</v>
      </c>
      <c r="C42" s="12" t="s">
        <v>85</v>
      </c>
      <c r="D42" s="12" t="n">
        <f aca="false">COUNTIFS('Watch Paths'!$B$2:$B$4220,B42,'Watch Paths'!$C$2:$C$4220,C42)</f>
        <v>36</v>
      </c>
      <c r="E42" s="12" t="n">
        <f aca="false">COUNTIFS('Watch Paths'!$B$2:$B$4220,B42,'Watch Paths'!$C$2:$C$4220,C42,'Watch Paths'!$M$2:$M$4220,1)</f>
        <v>0</v>
      </c>
      <c r="F42" s="13" t="n">
        <f aca="false">IF(D42=0,0,E42/D42)</f>
        <v>0</v>
      </c>
      <c r="G42" s="12" t="n">
        <f aca="false">COUNTIFS(Taxonomy!$B$2:$B$331,B42,Taxonomy!$C$2:$C$331,C42)</f>
        <v>3</v>
      </c>
    </row>
    <row r="43" customFormat="false" ht="15" hidden="false" customHeight="false" outlineLevel="0" collapsed="false">
      <c r="B43" s="15" t="s">
        <v>51</v>
      </c>
      <c r="C43" s="12" t="s">
        <v>86</v>
      </c>
      <c r="D43" s="12" t="n">
        <f aca="false">COUNTIFS('Watch Paths'!$B$2:$B$4220,B43,'Watch Paths'!$C$2:$C$4220,C43)</f>
        <v>27</v>
      </c>
      <c r="E43" s="12" t="n">
        <f aca="false">COUNTIFS('Watch Paths'!$B$2:$B$4220,B43,'Watch Paths'!$C$2:$C$4220,C43,'Watch Paths'!$M$2:$M$4220,1)</f>
        <v>1</v>
      </c>
      <c r="F43" s="13" t="n">
        <f aca="false">IF(D43=0,0,E43/D43)</f>
        <v>0.037037037037037</v>
      </c>
      <c r="G43" s="12" t="n">
        <f aca="false">COUNTIFS(Taxonomy!$B$2:$B$331,B43,Taxonomy!$C$2:$C$331,C43)</f>
        <v>2</v>
      </c>
    </row>
    <row r="44" customFormat="false" ht="15" hidden="false" customHeight="false" outlineLevel="0" collapsed="false">
      <c r="B44" s="15" t="s">
        <v>51</v>
      </c>
      <c r="C44" s="12" t="s">
        <v>87</v>
      </c>
      <c r="D44" s="12" t="n">
        <f aca="false">COUNTIFS('Watch Paths'!$B$2:$B$4220,B44,'Watch Paths'!$C$2:$C$4220,C44)</f>
        <v>14</v>
      </c>
      <c r="E44" s="12" t="n">
        <f aca="false">COUNTIFS('Watch Paths'!$B$2:$B$4220,B44,'Watch Paths'!$C$2:$C$4220,C44,'Watch Paths'!$M$2:$M$4220,1)</f>
        <v>0</v>
      </c>
      <c r="F44" s="13" t="n">
        <f aca="false">IF(D44=0,0,E44/D44)</f>
        <v>0</v>
      </c>
      <c r="G44" s="12" t="n">
        <f aca="false">COUNTIFS(Taxonomy!$B$2:$B$331,B44,Taxonomy!$C$2:$C$331,C44)</f>
        <v>1</v>
      </c>
    </row>
    <row r="45" customFormat="false" ht="15" hidden="false" customHeight="false" outlineLevel="0" collapsed="false">
      <c r="B45" s="15" t="s">
        <v>51</v>
      </c>
      <c r="C45" s="12" t="s">
        <v>88</v>
      </c>
      <c r="D45" s="12" t="n">
        <f aca="false">COUNTIFS('Watch Paths'!$B$2:$B$4220,B45,'Watch Paths'!$C$2:$C$4220,C45)</f>
        <v>25</v>
      </c>
      <c r="E45" s="12" t="n">
        <f aca="false">COUNTIFS('Watch Paths'!$B$2:$B$4220,B45,'Watch Paths'!$C$2:$C$4220,C45,'Watch Paths'!$M$2:$M$4220,1)</f>
        <v>5</v>
      </c>
      <c r="F45" s="13" t="n">
        <f aca="false">IF(D45=0,0,E45/D45)</f>
        <v>0.2</v>
      </c>
      <c r="G45" s="12" t="n">
        <f aca="false">COUNTIFS(Taxonomy!$B$2:$B$331,B45,Taxonomy!$C$2:$C$331,C45)</f>
        <v>2</v>
      </c>
    </row>
    <row r="46" customFormat="false" ht="15" hidden="false" customHeight="false" outlineLevel="0" collapsed="false">
      <c r="B46" s="16" t="s">
        <v>52</v>
      </c>
      <c r="C46" s="12" t="s">
        <v>89</v>
      </c>
      <c r="D46" s="12" t="n">
        <f aca="false">COUNTIFS('Watch Paths'!$B$2:$B$4220,B46,'Watch Paths'!$C$2:$C$4220,C46)</f>
        <v>56</v>
      </c>
      <c r="E46" s="12" t="n">
        <f aca="false">COUNTIFS('Watch Paths'!$B$2:$B$4220,B46,'Watch Paths'!$C$2:$C$4220,C46,'Watch Paths'!$M$2:$M$4220,1)</f>
        <v>13</v>
      </c>
      <c r="F46" s="13" t="n">
        <f aca="false">IF(D46=0,0,E46/D46)</f>
        <v>0.232142857142857</v>
      </c>
      <c r="G46" s="12" t="n">
        <f aca="false">COUNTIFS(Taxonomy!$B$2:$B$331,B46,Taxonomy!$C$2:$C$331,C46)</f>
        <v>3</v>
      </c>
    </row>
    <row r="47" customFormat="false" ht="15" hidden="false" customHeight="false" outlineLevel="0" collapsed="false">
      <c r="B47" s="16" t="s">
        <v>52</v>
      </c>
      <c r="C47" s="12" t="s">
        <v>90</v>
      </c>
      <c r="D47" s="12" t="n">
        <f aca="false">COUNTIFS('Watch Paths'!$B$2:$B$4220,B47,'Watch Paths'!$C$2:$C$4220,C47)</f>
        <v>62</v>
      </c>
      <c r="E47" s="12" t="n">
        <f aca="false">COUNTIFS('Watch Paths'!$B$2:$B$4220,B47,'Watch Paths'!$C$2:$C$4220,C47,'Watch Paths'!$M$2:$M$4220,1)</f>
        <v>9</v>
      </c>
      <c r="F47" s="13" t="n">
        <f aca="false">IF(D47=0,0,E47/D47)</f>
        <v>0.145161290322581</v>
      </c>
      <c r="G47" s="12" t="n">
        <f aca="false">COUNTIFS(Taxonomy!$B$2:$B$331,B47,Taxonomy!$C$2:$C$331,C47)</f>
        <v>5</v>
      </c>
    </row>
    <row r="48" customFormat="false" ht="15" hidden="false" customHeight="false" outlineLevel="0" collapsed="false">
      <c r="B48" s="16" t="s">
        <v>52</v>
      </c>
      <c r="C48" s="12" t="s">
        <v>91</v>
      </c>
      <c r="D48" s="12" t="n">
        <f aca="false">COUNTIFS('Watch Paths'!$B$2:$B$4220,B48,'Watch Paths'!$C$2:$C$4220,C48)</f>
        <v>155</v>
      </c>
      <c r="E48" s="12" t="n">
        <f aca="false">COUNTIFS('Watch Paths'!$B$2:$B$4220,B48,'Watch Paths'!$C$2:$C$4220,C48,'Watch Paths'!$M$2:$M$4220,1)</f>
        <v>21</v>
      </c>
      <c r="F48" s="13" t="n">
        <f aca="false">IF(D48=0,0,E48/D48)</f>
        <v>0.135483870967742</v>
      </c>
      <c r="G48" s="12" t="n">
        <f aca="false">COUNTIFS(Taxonomy!$B$2:$B$331,B48,Taxonomy!$C$2:$C$331,C48)</f>
        <v>13</v>
      </c>
    </row>
    <row r="49" customFormat="false" ht="15" hidden="false" customHeight="false" outlineLevel="0" collapsed="false">
      <c r="B49" s="16" t="s">
        <v>52</v>
      </c>
      <c r="C49" s="12" t="s">
        <v>92</v>
      </c>
      <c r="D49" s="12" t="n">
        <f aca="false">COUNTIFS('Watch Paths'!$B$2:$B$4220,B49,'Watch Paths'!$C$2:$C$4220,C49)</f>
        <v>70</v>
      </c>
      <c r="E49" s="12" t="n">
        <f aca="false">COUNTIFS('Watch Paths'!$B$2:$B$4220,B49,'Watch Paths'!$C$2:$C$4220,C49,'Watch Paths'!$M$2:$M$4220,1)</f>
        <v>25</v>
      </c>
      <c r="F49" s="13" t="n">
        <f aca="false">IF(D49=0,0,E49/D49)</f>
        <v>0.357142857142857</v>
      </c>
      <c r="G49" s="12" t="n">
        <f aca="false">COUNTIFS(Taxonomy!$B$2:$B$331,B49,Taxonomy!$C$2:$C$331,C49)</f>
        <v>6</v>
      </c>
    </row>
    <row r="50" customFormat="false" ht="15" hidden="false" customHeight="false" outlineLevel="0" collapsed="false">
      <c r="B50" s="16" t="s">
        <v>52</v>
      </c>
      <c r="C50" s="12" t="s">
        <v>93</v>
      </c>
      <c r="D50" s="12" t="n">
        <f aca="false">COUNTIFS('Watch Paths'!$B$2:$B$4220,B50,'Watch Paths'!$C$2:$C$4220,C50)</f>
        <v>88</v>
      </c>
      <c r="E50" s="12" t="n">
        <f aca="false">COUNTIFS('Watch Paths'!$B$2:$B$4220,B50,'Watch Paths'!$C$2:$C$4220,C50,'Watch Paths'!$M$2:$M$4220,1)</f>
        <v>27</v>
      </c>
      <c r="F50" s="13" t="n">
        <f aca="false">IF(D50=0,0,E50/D50)</f>
        <v>0.306818181818182</v>
      </c>
      <c r="G50" s="12" t="n">
        <f aca="false">COUNTIFS(Taxonomy!$B$2:$B$331,B50,Taxonomy!$C$2:$C$331,C50)</f>
        <v>7</v>
      </c>
    </row>
    <row r="51" customFormat="false" ht="15" hidden="false" customHeight="false" outlineLevel="0" collapsed="false">
      <c r="B51" s="16" t="s">
        <v>52</v>
      </c>
      <c r="C51" s="12" t="s">
        <v>94</v>
      </c>
      <c r="D51" s="12" t="n">
        <f aca="false">COUNTIFS('Watch Paths'!$B$2:$B$4220,B51,'Watch Paths'!$C$2:$C$4220,C51)</f>
        <v>39</v>
      </c>
      <c r="E51" s="12" t="n">
        <f aca="false">COUNTIFS('Watch Paths'!$B$2:$B$4220,B51,'Watch Paths'!$C$2:$C$4220,C51,'Watch Paths'!$M$2:$M$4220,1)</f>
        <v>3</v>
      </c>
      <c r="F51" s="13" t="n">
        <f aca="false">IF(D51=0,0,E51/D51)</f>
        <v>0.0769230769230769</v>
      </c>
      <c r="G51" s="12" t="n">
        <f aca="false">COUNTIFS(Taxonomy!$B$2:$B$331,B51,Taxonomy!$C$2:$C$331,C51)</f>
        <v>3</v>
      </c>
    </row>
    <row r="52" customFormat="false" ht="15" hidden="false" customHeight="false" outlineLevel="0" collapsed="false">
      <c r="B52" s="16" t="s">
        <v>52</v>
      </c>
      <c r="C52" s="12" t="s">
        <v>95</v>
      </c>
      <c r="D52" s="12" t="n">
        <f aca="false">COUNTIFS('Watch Paths'!$B$2:$B$4220,B52,'Watch Paths'!$C$2:$C$4220,C52)</f>
        <v>52</v>
      </c>
      <c r="E52" s="12" t="n">
        <f aca="false">COUNTIFS('Watch Paths'!$B$2:$B$4220,B52,'Watch Paths'!$C$2:$C$4220,C52,'Watch Paths'!$M$2:$M$4220,1)</f>
        <v>14</v>
      </c>
      <c r="F52" s="13" t="n">
        <f aca="false">IF(D52=0,0,E52/D52)</f>
        <v>0.269230769230769</v>
      </c>
      <c r="G52" s="12" t="n">
        <f aca="false">COUNTIFS(Taxonomy!$B$2:$B$331,B52,Taxonomy!$C$2:$C$331,C52)</f>
        <v>4</v>
      </c>
    </row>
    <row r="53" customFormat="false" ht="15" hidden="false" customHeight="false" outlineLevel="0" collapsed="false">
      <c r="B53" s="16" t="s">
        <v>52</v>
      </c>
      <c r="C53" s="12" t="s">
        <v>96</v>
      </c>
      <c r="D53" s="12" t="n">
        <f aca="false">COUNTIFS('Watch Paths'!$B$2:$B$4220,B53,'Watch Paths'!$C$2:$C$4220,C53)</f>
        <v>69</v>
      </c>
      <c r="E53" s="12" t="n">
        <f aca="false">COUNTIFS('Watch Paths'!$B$2:$B$4220,B53,'Watch Paths'!$C$2:$C$4220,C53,'Watch Paths'!$M$2:$M$4220,1)</f>
        <v>20</v>
      </c>
      <c r="F53" s="13" t="n">
        <f aca="false">IF(D53=0,0,E53/D53)</f>
        <v>0.289855072463768</v>
      </c>
      <c r="G53" s="12" t="n">
        <f aca="false">COUNTIFS(Taxonomy!$B$2:$B$331,B53,Taxonomy!$C$2:$C$331,C53)</f>
        <v>6</v>
      </c>
    </row>
    <row r="54" customFormat="false" ht="15" hidden="false" customHeight="false" outlineLevel="0" collapsed="false">
      <c r="B54" s="16" t="s">
        <v>52</v>
      </c>
      <c r="C54" s="12" t="s">
        <v>97</v>
      </c>
      <c r="D54" s="12" t="n">
        <f aca="false">COUNTIFS('Watch Paths'!$B$2:$B$4220,B54,'Watch Paths'!$C$2:$C$4220,C54)</f>
        <v>61</v>
      </c>
      <c r="E54" s="12" t="n">
        <f aca="false">COUNTIFS('Watch Paths'!$B$2:$B$4220,B54,'Watch Paths'!$C$2:$C$4220,C54,'Watch Paths'!$M$2:$M$4220,1)</f>
        <v>14</v>
      </c>
      <c r="F54" s="13" t="n">
        <f aca="false">IF(D54=0,0,E54/D54)</f>
        <v>0.229508196721311</v>
      </c>
      <c r="G54" s="12" t="n">
        <f aca="false">COUNTIFS(Taxonomy!$B$2:$B$331,B54,Taxonomy!$C$2:$C$331,C54)</f>
        <v>5</v>
      </c>
    </row>
    <row r="55" customFormat="false" ht="15" hidden="false" customHeight="false" outlineLevel="0" collapsed="false">
      <c r="B55" s="16" t="s">
        <v>52</v>
      </c>
      <c r="C55" s="12" t="s">
        <v>98</v>
      </c>
      <c r="D55" s="12" t="n">
        <f aca="false">COUNTIFS('Watch Paths'!$B$2:$B$4220,B55,'Watch Paths'!$C$2:$C$4220,C55)</f>
        <v>56</v>
      </c>
      <c r="E55" s="12" t="n">
        <f aca="false">COUNTIFS('Watch Paths'!$B$2:$B$4220,B55,'Watch Paths'!$C$2:$C$4220,C55,'Watch Paths'!$M$2:$M$4220,1)</f>
        <v>8</v>
      </c>
      <c r="F55" s="13" t="n">
        <f aca="false">IF(D55=0,0,E55/D55)</f>
        <v>0.142857142857143</v>
      </c>
      <c r="G55" s="12" t="n">
        <f aca="false">COUNTIFS(Taxonomy!$B$2:$B$331,B55,Taxonomy!$C$2:$C$331,C55)</f>
        <v>5</v>
      </c>
    </row>
    <row r="56" customFormat="false" ht="15" hidden="false" customHeight="false" outlineLevel="0" collapsed="false">
      <c r="B56" s="16" t="s">
        <v>52</v>
      </c>
      <c r="C56" s="12" t="s">
        <v>99</v>
      </c>
      <c r="D56" s="12" t="n">
        <f aca="false">COUNTIFS('Watch Paths'!$B$2:$B$4220,B56,'Watch Paths'!$C$2:$C$4220,C56)</f>
        <v>31</v>
      </c>
      <c r="E56" s="12" t="n">
        <f aca="false">COUNTIFS('Watch Paths'!$B$2:$B$4220,B56,'Watch Paths'!$C$2:$C$4220,C56,'Watch Paths'!$M$2:$M$4220,1)</f>
        <v>6</v>
      </c>
      <c r="F56" s="13" t="n">
        <f aca="false">IF(D56=0,0,E56/D56)</f>
        <v>0.193548387096774</v>
      </c>
      <c r="G56" s="12" t="n">
        <f aca="false">COUNTIFS(Taxonomy!$B$2:$B$331,B56,Taxonomy!$C$2:$C$331,C56)</f>
        <v>3</v>
      </c>
    </row>
    <row r="57" customFormat="false" ht="15" hidden="false" customHeight="false" outlineLevel="0" collapsed="false">
      <c r="B57" s="16" t="s">
        <v>52</v>
      </c>
      <c r="C57" s="12" t="s">
        <v>100</v>
      </c>
      <c r="D57" s="12" t="n">
        <f aca="false">COUNTIFS('Watch Paths'!$B$2:$B$4220,B57,'Watch Paths'!$C$2:$C$4220,C57)</f>
        <v>51</v>
      </c>
      <c r="E57" s="12" t="n">
        <f aca="false">COUNTIFS('Watch Paths'!$B$2:$B$4220,B57,'Watch Paths'!$C$2:$C$4220,C57,'Watch Paths'!$M$2:$M$4220,1)</f>
        <v>16</v>
      </c>
      <c r="F57" s="13" t="n">
        <f aca="false">IF(D57=0,0,E57/D57)</f>
        <v>0.313725490196078</v>
      </c>
      <c r="G57" s="12" t="n">
        <f aca="false">COUNTIFS(Taxonomy!$B$2:$B$331,B57,Taxonomy!$C$2:$C$331,C57)</f>
        <v>4</v>
      </c>
    </row>
    <row r="58" customFormat="false" ht="15" hidden="false" customHeight="false" outlineLevel="0" collapsed="false">
      <c r="B58" s="16" t="s">
        <v>52</v>
      </c>
      <c r="C58" s="12" t="s">
        <v>101</v>
      </c>
      <c r="D58" s="12" t="n">
        <f aca="false">COUNTIFS('Watch Paths'!$B$2:$B$4220,B58,'Watch Paths'!$C$2:$C$4220,C58)</f>
        <v>56</v>
      </c>
      <c r="E58" s="12" t="n">
        <f aca="false">COUNTIFS('Watch Paths'!$B$2:$B$4220,B58,'Watch Paths'!$C$2:$C$4220,C58,'Watch Paths'!$M$2:$M$4220,1)</f>
        <v>2</v>
      </c>
      <c r="F58" s="13" t="n">
        <f aca="false">IF(D58=0,0,E58/D58)</f>
        <v>0.0357142857142857</v>
      </c>
      <c r="G58" s="12" t="n">
        <f aca="false">COUNTIFS(Taxonomy!$B$2:$B$331,B58,Taxonomy!$C$2:$C$331,C58)</f>
        <v>5</v>
      </c>
    </row>
    <row r="59" customFormat="false" ht="15" hidden="false" customHeight="false" outlineLevel="0" collapsed="false">
      <c r="B59" s="16" t="s">
        <v>52</v>
      </c>
      <c r="C59" s="12" t="s">
        <v>102</v>
      </c>
      <c r="D59" s="12" t="n">
        <f aca="false">COUNTIFS('Watch Paths'!$B$2:$B$4220,B59,'Watch Paths'!$C$2:$C$4220,C59)</f>
        <v>32</v>
      </c>
      <c r="E59" s="12" t="n">
        <f aca="false">COUNTIFS('Watch Paths'!$B$2:$B$4220,B59,'Watch Paths'!$C$2:$C$4220,C59,'Watch Paths'!$M$2:$M$4220,1)</f>
        <v>1</v>
      </c>
      <c r="F59" s="13" t="n">
        <f aca="false">IF(D59=0,0,E59/D59)</f>
        <v>0.03125</v>
      </c>
      <c r="G59" s="12" t="n">
        <f aca="false">COUNTIFS(Taxonomy!$B$2:$B$331,B59,Taxonomy!$C$2:$C$331,C59)</f>
        <v>3</v>
      </c>
    </row>
    <row r="60" customFormat="false" ht="15" hidden="false" customHeight="false" outlineLevel="0" collapsed="false">
      <c r="B60" s="17" t="s">
        <v>53</v>
      </c>
      <c r="C60" s="12" t="s">
        <v>103</v>
      </c>
      <c r="D60" s="12" t="n">
        <f aca="false">COUNTIFS('Watch Paths'!$B$2:$B$4220,B60,'Watch Paths'!$C$2:$C$4220,C60)</f>
        <v>95</v>
      </c>
      <c r="E60" s="12" t="n">
        <f aca="false">COUNTIFS('Watch Paths'!$B$2:$B$4220,B60,'Watch Paths'!$C$2:$C$4220,C60,'Watch Paths'!$M$2:$M$4220,1)</f>
        <v>11</v>
      </c>
      <c r="F60" s="13" t="n">
        <f aca="false">IF(D60=0,0,E60/D60)</f>
        <v>0.115789473684211</v>
      </c>
      <c r="G60" s="12" t="n">
        <f aca="false">COUNTIFS(Taxonomy!$B$2:$B$331,B60,Taxonomy!$C$2:$C$331,C60)</f>
        <v>8</v>
      </c>
    </row>
    <row r="61" customFormat="false" ht="15" hidden="false" customHeight="false" outlineLevel="0" collapsed="false">
      <c r="B61" s="17" t="s">
        <v>53</v>
      </c>
      <c r="C61" s="12" t="s">
        <v>104</v>
      </c>
      <c r="D61" s="12" t="n">
        <f aca="false">COUNTIFS('Watch Paths'!$B$2:$B$4220,B61,'Watch Paths'!$C$2:$C$4220,C61)</f>
        <v>271</v>
      </c>
      <c r="E61" s="12" t="n">
        <f aca="false">COUNTIFS('Watch Paths'!$B$2:$B$4220,B61,'Watch Paths'!$C$2:$C$4220,C61,'Watch Paths'!$M$2:$M$4220,1)</f>
        <v>144</v>
      </c>
      <c r="F61" s="13" t="n">
        <f aca="false">IF(D61=0,0,E61/D61)</f>
        <v>0.531365313653137</v>
      </c>
      <c r="G61" s="12" t="n">
        <f aca="false">COUNTIFS(Taxonomy!$B$2:$B$331,B61,Taxonomy!$C$2:$C$331,C61)</f>
        <v>22</v>
      </c>
    </row>
    <row r="62" customFormat="false" ht="15" hidden="false" customHeight="false" outlineLevel="0" collapsed="false">
      <c r="B62" s="17" t="s">
        <v>53</v>
      </c>
      <c r="C62" s="12" t="s">
        <v>105</v>
      </c>
      <c r="D62" s="12" t="n">
        <f aca="false">COUNTIFS('Watch Paths'!$B$2:$B$4220,B62,'Watch Paths'!$C$2:$C$4220,C62)</f>
        <v>205</v>
      </c>
      <c r="E62" s="12" t="n">
        <f aca="false">COUNTIFS('Watch Paths'!$B$2:$B$4220,B62,'Watch Paths'!$C$2:$C$4220,C62,'Watch Paths'!$M$2:$M$4220,1)</f>
        <v>10</v>
      </c>
      <c r="F62" s="13" t="n">
        <f aca="false">IF(D62=0,0,E62/D62)</f>
        <v>0.0487804878048781</v>
      </c>
      <c r="G62" s="12" t="n">
        <f aca="false">COUNTIFS(Taxonomy!$B$2:$B$331,B62,Taxonomy!$C$2:$C$331,C62)</f>
        <v>19</v>
      </c>
    </row>
    <row r="63" customFormat="false" ht="15" hidden="false" customHeight="false" outlineLevel="0" collapsed="false">
      <c r="B63" s="17" t="s">
        <v>53</v>
      </c>
      <c r="C63" s="12" t="s">
        <v>106</v>
      </c>
      <c r="D63" s="12" t="n">
        <f aca="false">COUNTIFS('Watch Paths'!$B$2:$B$4220,B63,'Watch Paths'!$C$2:$C$4220,C63)</f>
        <v>136</v>
      </c>
      <c r="E63" s="12" t="n">
        <f aca="false">COUNTIFS('Watch Paths'!$B$2:$B$4220,B63,'Watch Paths'!$C$2:$C$4220,C63,'Watch Paths'!$M$2:$M$4220,1)</f>
        <v>12</v>
      </c>
      <c r="F63" s="13" t="n">
        <f aca="false">IF(D63=0,0,E63/D63)</f>
        <v>0.0882352941176471</v>
      </c>
      <c r="G63" s="12" t="n">
        <f aca="false">COUNTIFS(Taxonomy!$B$2:$B$331,B63,Taxonomy!$C$2:$C$331,C63)</f>
        <v>11</v>
      </c>
    </row>
    <row r="64" customFormat="false" ht="15" hidden="false" customHeight="false" outlineLevel="0" collapsed="false">
      <c r="B64" s="17" t="s">
        <v>53</v>
      </c>
      <c r="C64" s="12" t="s">
        <v>107</v>
      </c>
      <c r="D64" s="12" t="n">
        <f aca="false">COUNTIFS('Watch Paths'!$B$2:$B$4220,B64,'Watch Paths'!$C$2:$C$4220,C64)</f>
        <v>74</v>
      </c>
      <c r="E64" s="12" t="n">
        <f aca="false">COUNTIFS('Watch Paths'!$B$2:$B$4220,B64,'Watch Paths'!$C$2:$C$4220,C64,'Watch Paths'!$M$2:$M$4220,1)</f>
        <v>28</v>
      </c>
      <c r="F64" s="13" t="n">
        <f aca="false">IF(D64=0,0,E64/D64)</f>
        <v>0.378378378378378</v>
      </c>
      <c r="G64" s="12" t="n">
        <f aca="false">COUNTIFS(Taxonomy!$B$2:$B$331,B64,Taxonomy!$C$2:$C$331,C64)</f>
        <v>7</v>
      </c>
    </row>
    <row r="65" customFormat="false" ht="15" hidden="false" customHeight="false" outlineLevel="0" collapsed="false">
      <c r="B65" s="18" t="s">
        <v>54</v>
      </c>
      <c r="C65" s="12" t="s">
        <v>108</v>
      </c>
      <c r="D65" s="12" t="n">
        <f aca="false">COUNTIFS('Watch Paths'!$B$2:$B$4220,B65,'Watch Paths'!$C$2:$C$4220,C65)</f>
        <v>42</v>
      </c>
      <c r="E65" s="12" t="n">
        <f aca="false">COUNTIFS('Watch Paths'!$B$2:$B$4220,B65,'Watch Paths'!$C$2:$C$4220,C65,'Watch Paths'!$M$2:$M$4220,1)</f>
        <v>4</v>
      </c>
      <c r="F65" s="13" t="n">
        <f aca="false">IF(D65=0,0,E65/D65)</f>
        <v>0.0952380952380952</v>
      </c>
      <c r="G65" s="12" t="n">
        <f aca="false">COUNTIFS(Taxonomy!$B$2:$B$331,B65,Taxonomy!$C$2:$C$331,C65)</f>
        <v>4</v>
      </c>
    </row>
    <row r="66" customFormat="false" ht="15" hidden="false" customHeight="false" outlineLevel="0" collapsed="false">
      <c r="B66" s="18" t="s">
        <v>54</v>
      </c>
      <c r="C66" s="12" t="s">
        <v>109</v>
      </c>
      <c r="D66" s="12" t="n">
        <f aca="false">COUNTIFS('Watch Paths'!$B$2:$B$4220,B66,'Watch Paths'!$C$2:$C$4220,C66)</f>
        <v>43</v>
      </c>
      <c r="E66" s="12" t="n">
        <f aca="false">COUNTIFS('Watch Paths'!$B$2:$B$4220,B66,'Watch Paths'!$C$2:$C$4220,C66,'Watch Paths'!$M$2:$M$4220,1)</f>
        <v>8</v>
      </c>
      <c r="F66" s="13" t="n">
        <f aca="false">IF(D66=0,0,E66/D66)</f>
        <v>0.186046511627907</v>
      </c>
      <c r="G66" s="12" t="n">
        <f aca="false">COUNTIFS(Taxonomy!$B$2:$B$331,B66,Taxonomy!$C$2:$C$331,C66)</f>
        <v>3</v>
      </c>
    </row>
    <row r="67" customFormat="false" ht="15" hidden="false" customHeight="false" outlineLevel="0" collapsed="false">
      <c r="B67" s="18" t="s">
        <v>54</v>
      </c>
      <c r="C67" s="12" t="s">
        <v>110</v>
      </c>
      <c r="D67" s="12" t="n">
        <f aca="false">COUNTIFS('Watch Paths'!$B$2:$B$4220,B67,'Watch Paths'!$C$2:$C$4220,C67)</f>
        <v>68</v>
      </c>
      <c r="E67" s="12" t="n">
        <f aca="false">COUNTIFS('Watch Paths'!$B$2:$B$4220,B67,'Watch Paths'!$C$2:$C$4220,C67,'Watch Paths'!$M$2:$M$4220,1)</f>
        <v>8</v>
      </c>
      <c r="F67" s="13" t="n">
        <f aca="false">IF(D67=0,0,E67/D67)</f>
        <v>0.117647058823529</v>
      </c>
      <c r="G67" s="12" t="n">
        <f aca="false">COUNTIFS(Taxonomy!$B$2:$B$331,B67,Taxonomy!$C$2:$C$331,C67)</f>
        <v>6</v>
      </c>
    </row>
    <row r="68" customFormat="false" ht="15" hidden="false" customHeight="false" outlineLevel="0" collapsed="false">
      <c r="B68" s="18" t="s">
        <v>54</v>
      </c>
      <c r="C68" s="12" t="s">
        <v>111</v>
      </c>
      <c r="D68" s="12" t="n">
        <f aca="false">COUNTIFS('Watch Paths'!$B$2:$B$4220,B68,'Watch Paths'!$C$2:$C$4220,C68)</f>
        <v>30</v>
      </c>
      <c r="E68" s="12" t="n">
        <f aca="false">COUNTIFS('Watch Paths'!$B$2:$B$4220,B68,'Watch Paths'!$C$2:$C$4220,C68,'Watch Paths'!$M$2:$M$4220,1)</f>
        <v>3</v>
      </c>
      <c r="F68" s="13" t="n">
        <f aca="false">IF(D68=0,0,E68/D68)</f>
        <v>0.1</v>
      </c>
      <c r="G68" s="12" t="n">
        <f aca="false">COUNTIFS(Taxonomy!$B$2:$B$331,B68,Taxonomy!$C$2:$C$331,C68)</f>
        <v>2</v>
      </c>
    </row>
    <row r="69" customFormat="false" ht="15" hidden="false" customHeight="false" outlineLevel="0" collapsed="false">
      <c r="B69" s="18" t="s">
        <v>54</v>
      </c>
      <c r="C69" s="12" t="s">
        <v>112</v>
      </c>
      <c r="D69" s="12" t="n">
        <f aca="false">COUNTIFS('Watch Paths'!$B$2:$B$4220,B69,'Watch Paths'!$C$2:$C$4220,C69)</f>
        <v>87</v>
      </c>
      <c r="E69" s="12" t="n">
        <f aca="false">COUNTIFS('Watch Paths'!$B$2:$B$4220,B69,'Watch Paths'!$C$2:$C$4220,C69,'Watch Paths'!$M$2:$M$4220,1)</f>
        <v>28</v>
      </c>
      <c r="F69" s="13" t="n">
        <f aca="false">IF(D69=0,0,E69/D69)</f>
        <v>0.32183908045977</v>
      </c>
      <c r="G69" s="12" t="n">
        <f aca="false">COUNTIFS(Taxonomy!$B$2:$B$331,B69,Taxonomy!$C$2:$C$331,C69)</f>
        <v>7</v>
      </c>
    </row>
    <row r="70" customFormat="false" ht="15" hidden="false" customHeight="false" outlineLevel="0" collapsed="false">
      <c r="B70" s="19" t="s">
        <v>55</v>
      </c>
      <c r="C70" s="12" t="s">
        <v>113</v>
      </c>
      <c r="D70" s="12" t="n">
        <f aca="false">COUNTIFS('Watch Paths'!$B$2:$B$4220,B70,'Watch Paths'!$C$2:$C$4220,C70)</f>
        <v>108</v>
      </c>
      <c r="E70" s="12" t="n">
        <f aca="false">COUNTIFS('Watch Paths'!$B$2:$B$4220,B70,'Watch Paths'!$C$2:$C$4220,C70,'Watch Paths'!$M$2:$M$4220,1)</f>
        <v>26</v>
      </c>
      <c r="F70" s="13" t="n">
        <f aca="false">IF(D70=0,0,E70/D70)</f>
        <v>0.240740740740741</v>
      </c>
      <c r="G70" s="12" t="n">
        <f aca="false">COUNTIFS(Taxonomy!$B$2:$B$331,B70,Taxonomy!$C$2:$C$331,C70)</f>
        <v>7</v>
      </c>
    </row>
    <row r="71" customFormat="false" ht="15" hidden="false" customHeight="false" outlineLevel="0" collapsed="false">
      <c r="B71" s="19" t="s">
        <v>55</v>
      </c>
      <c r="C71" s="12" t="s">
        <v>114</v>
      </c>
      <c r="D71" s="12" t="n">
        <f aca="false">COUNTIFS('Watch Paths'!$B$2:$B$4220,B71,'Watch Paths'!$C$2:$C$4220,C71)</f>
        <v>72</v>
      </c>
      <c r="E71" s="12" t="n">
        <f aca="false">COUNTIFS('Watch Paths'!$B$2:$B$4220,B71,'Watch Paths'!$C$2:$C$4220,C71,'Watch Paths'!$M$2:$M$4220,1)</f>
        <v>24</v>
      </c>
      <c r="F71" s="13" t="n">
        <f aca="false">IF(D71=0,0,E71/D71)</f>
        <v>0.333333333333333</v>
      </c>
      <c r="G71" s="12" t="n">
        <f aca="false">COUNTIFS(Taxonomy!$B$2:$B$331,B71,Taxonomy!$C$2:$C$331,C71)</f>
        <v>5</v>
      </c>
    </row>
    <row r="72" customFormat="false" ht="15" hidden="false" customHeight="false" outlineLevel="0" collapsed="false">
      <c r="B72" s="19" t="s">
        <v>55</v>
      </c>
      <c r="C72" s="12" t="s">
        <v>115</v>
      </c>
      <c r="D72" s="12" t="n">
        <f aca="false">COUNTIFS('Watch Paths'!$B$2:$B$4220,B72,'Watch Paths'!$C$2:$C$4220,C72)</f>
        <v>40</v>
      </c>
      <c r="E72" s="12" t="n">
        <f aca="false">COUNTIFS('Watch Paths'!$B$2:$B$4220,B72,'Watch Paths'!$C$2:$C$4220,C72,'Watch Paths'!$M$2:$M$4220,1)</f>
        <v>9</v>
      </c>
      <c r="F72" s="13" t="n">
        <f aca="false">IF(D72=0,0,E72/D72)</f>
        <v>0.225</v>
      </c>
      <c r="G72" s="12" t="n">
        <f aca="false">COUNTIFS(Taxonomy!$B$2:$B$331,B72,Taxonomy!$C$2:$C$331,C72)</f>
        <v>3</v>
      </c>
    </row>
    <row r="73" customFormat="false" ht="15" hidden="false" customHeight="false" outlineLevel="0" collapsed="false">
      <c r="B73" s="19" t="s">
        <v>55</v>
      </c>
      <c r="C73" s="12" t="s">
        <v>116</v>
      </c>
      <c r="D73" s="12" t="n">
        <f aca="false">COUNTIFS('Watch Paths'!$B$2:$B$4220,B73,'Watch Paths'!$C$2:$C$4220,C73)</f>
        <v>75</v>
      </c>
      <c r="E73" s="12" t="n">
        <f aca="false">COUNTIFS('Watch Paths'!$B$2:$B$4220,B73,'Watch Paths'!$C$2:$C$4220,C73,'Watch Paths'!$M$2:$M$4220,1)</f>
        <v>20</v>
      </c>
      <c r="F73" s="13" t="n">
        <f aca="false">IF(D73=0,0,E73/D73)</f>
        <v>0.266666666666667</v>
      </c>
      <c r="G73" s="12" t="n">
        <f aca="false">COUNTIFS(Taxonomy!$B$2:$B$331,B73,Taxonomy!$C$2:$C$331,C73)</f>
        <v>5</v>
      </c>
    </row>
    <row r="74" customFormat="false" ht="15" hidden="false" customHeight="false" outlineLevel="0" collapsed="false">
      <c r="B74" s="19" t="s">
        <v>55</v>
      </c>
      <c r="C74" s="12" t="s">
        <v>117</v>
      </c>
      <c r="D74" s="12" t="n">
        <f aca="false">COUNTIFS('Watch Paths'!$B$2:$B$4220,B74,'Watch Paths'!$C$2:$C$4220,C74)</f>
        <v>74</v>
      </c>
      <c r="E74" s="12" t="n">
        <f aca="false">COUNTIFS('Watch Paths'!$B$2:$B$4220,B74,'Watch Paths'!$C$2:$C$4220,C74,'Watch Paths'!$M$2:$M$4220,1)</f>
        <v>29</v>
      </c>
      <c r="F74" s="13" t="n">
        <f aca="false">IF(D74=0,0,E74/D74)</f>
        <v>0.391891891891892</v>
      </c>
      <c r="G74" s="12" t="n">
        <f aca="false">COUNTIFS(Taxonomy!$B$2:$B$331,B74,Taxonomy!$C$2:$C$331,C74)</f>
        <v>5</v>
      </c>
    </row>
    <row r="75" customFormat="false" ht="15" hidden="false" customHeight="false" outlineLevel="0" collapsed="false">
      <c r="B75" s="19" t="s">
        <v>55</v>
      </c>
      <c r="C75" s="12" t="s">
        <v>118</v>
      </c>
      <c r="D75" s="12" t="n">
        <f aca="false">COUNTIFS('Watch Paths'!$B$2:$B$4220,B75,'Watch Paths'!$C$2:$C$4220,C75)</f>
        <v>96</v>
      </c>
      <c r="E75" s="12" t="n">
        <f aca="false">COUNTIFS('Watch Paths'!$B$2:$B$4220,B75,'Watch Paths'!$C$2:$C$4220,C75,'Watch Paths'!$M$2:$M$4220,1)</f>
        <v>27</v>
      </c>
      <c r="F75" s="13" t="n">
        <f aca="false">IF(D75=0,0,E75/D75)</f>
        <v>0.28125</v>
      </c>
      <c r="G75" s="12" t="n">
        <f aca="false">COUNTIFS(Taxonomy!$B$2:$B$331,B75,Taxonomy!$C$2:$C$331,C75)</f>
        <v>6</v>
      </c>
    </row>
    <row r="76" customFormat="false" ht="15" hidden="false" customHeight="false" outlineLevel="0" collapsed="false">
      <c r="B76" s="20" t="s">
        <v>56</v>
      </c>
      <c r="C76" s="12" t="s">
        <v>119</v>
      </c>
      <c r="D76" s="12" t="n">
        <f aca="false">COUNTIFS('Watch Paths'!$B$2:$B$4220,B76,'Watch Paths'!$C$2:$C$4220,C76)</f>
        <v>51</v>
      </c>
      <c r="E76" s="12" t="n">
        <f aca="false">COUNTIFS('Watch Paths'!$B$2:$B$4220,B76,'Watch Paths'!$C$2:$C$4220,C76,'Watch Paths'!$M$2:$M$4220,1)</f>
        <v>12</v>
      </c>
      <c r="F76" s="13" t="n">
        <f aca="false">IF(D76=0,0,E76/D76)</f>
        <v>0.235294117647059</v>
      </c>
      <c r="G76" s="12" t="n">
        <f aca="false">COUNTIFS(Taxonomy!$B$2:$B$331,B76,Taxonomy!$C$2:$C$331,C76)</f>
        <v>4</v>
      </c>
    </row>
    <row r="77" customFormat="false" ht="15" hidden="false" customHeight="false" outlineLevel="0" collapsed="false">
      <c r="B77" s="20" t="s">
        <v>56</v>
      </c>
      <c r="C77" s="12" t="s">
        <v>120</v>
      </c>
      <c r="D77" s="12" t="n">
        <f aca="false">COUNTIFS('Watch Paths'!$B$2:$B$4220,B77,'Watch Paths'!$C$2:$C$4220,C77)</f>
        <v>105</v>
      </c>
      <c r="E77" s="12" t="n">
        <f aca="false">COUNTIFS('Watch Paths'!$B$2:$B$4220,B77,'Watch Paths'!$C$2:$C$4220,C77,'Watch Paths'!$M$2:$M$4220,1)</f>
        <v>22</v>
      </c>
      <c r="F77" s="13" t="n">
        <f aca="false">IF(D77=0,0,E77/D77)</f>
        <v>0.20952380952381</v>
      </c>
      <c r="G77" s="12" t="n">
        <f aca="false">COUNTIFS(Taxonomy!$B$2:$B$331,B77,Taxonomy!$C$2:$C$331,C77)</f>
        <v>10</v>
      </c>
    </row>
    <row r="78" customFormat="false" ht="15" hidden="false" customHeight="false" outlineLevel="0" collapsed="false">
      <c r="B78" s="20" t="s">
        <v>56</v>
      </c>
      <c r="C78" s="12" t="s">
        <v>121</v>
      </c>
      <c r="D78" s="12" t="n">
        <f aca="false">COUNTIFS('Watch Paths'!$B$2:$B$4220,B78,'Watch Paths'!$C$2:$C$4220,C78)</f>
        <v>41</v>
      </c>
      <c r="E78" s="12" t="n">
        <f aca="false">COUNTIFS('Watch Paths'!$B$2:$B$4220,B78,'Watch Paths'!$C$2:$C$4220,C78,'Watch Paths'!$M$2:$M$4220,1)</f>
        <v>3</v>
      </c>
      <c r="F78" s="13" t="n">
        <f aca="false">IF(D78=0,0,E78/D78)</f>
        <v>0.0731707317073171</v>
      </c>
      <c r="G78" s="12" t="n">
        <f aca="false">COUNTIFS(Taxonomy!$B$2:$B$331,B78,Taxonomy!$C$2:$C$331,C78)</f>
        <v>4</v>
      </c>
    </row>
    <row r="79" customFormat="false" ht="15" hidden="false" customHeight="false" outlineLevel="0" collapsed="false">
      <c r="B79" s="20" t="s">
        <v>56</v>
      </c>
      <c r="C79" s="12" t="s">
        <v>122</v>
      </c>
      <c r="D79" s="12" t="n">
        <f aca="false">COUNTIFS('Watch Paths'!$B$2:$B$4220,B79,'Watch Paths'!$C$2:$C$4220,C79)</f>
        <v>45</v>
      </c>
      <c r="E79" s="12" t="n">
        <f aca="false">COUNTIFS('Watch Paths'!$B$2:$B$4220,B79,'Watch Paths'!$C$2:$C$4220,C79,'Watch Paths'!$M$2:$M$4220,1)</f>
        <v>12</v>
      </c>
      <c r="F79" s="13" t="n">
        <f aca="false">IF(D79=0,0,E79/D79)</f>
        <v>0.266666666666667</v>
      </c>
      <c r="G79" s="12" t="n">
        <f aca="false">COUNTIFS(Taxonomy!$B$2:$B$331,B79,Taxonomy!$C$2:$C$331,C79)</f>
        <v>3</v>
      </c>
    </row>
    <row r="80" customFormat="false" ht="15" hidden="false" customHeight="false" outlineLevel="0" collapsed="false">
      <c r="B80" s="20" t="s">
        <v>56</v>
      </c>
      <c r="C80" s="12" t="s">
        <v>123</v>
      </c>
      <c r="D80" s="12" t="n">
        <f aca="false">COUNTIFS('Watch Paths'!$B$2:$B$4220,B80,'Watch Paths'!$C$2:$C$4220,C80)</f>
        <v>51</v>
      </c>
      <c r="E80" s="12" t="n">
        <f aca="false">COUNTIFS('Watch Paths'!$B$2:$B$4220,B80,'Watch Paths'!$C$2:$C$4220,C80,'Watch Paths'!$M$2:$M$4220,1)</f>
        <v>19</v>
      </c>
      <c r="F80" s="13" t="n">
        <f aca="false">IF(D80=0,0,E80/D80)</f>
        <v>0.372549019607843</v>
      </c>
      <c r="G80" s="12" t="n">
        <f aca="false">COUNTIFS(Taxonomy!$B$2:$B$331,B80,Taxonomy!$C$2:$C$331,C80)</f>
        <v>4</v>
      </c>
    </row>
    <row r="81" customFormat="false" ht="15" hidden="false" customHeight="false" outlineLevel="0" collapsed="false">
      <c r="B81" s="21" t="s">
        <v>57</v>
      </c>
      <c r="C81" s="12" t="s">
        <v>124</v>
      </c>
      <c r="D81" s="12" t="n">
        <f aca="false">COUNTIFS('Watch Paths'!$B$2:$B$4220,B81,'Watch Paths'!$C$2:$C$4220,C81)</f>
        <v>200</v>
      </c>
      <c r="E81" s="12" t="n">
        <f aca="false">COUNTIFS('Watch Paths'!$B$2:$B$4220,B81,'Watch Paths'!$C$2:$C$4220,C81,'Watch Paths'!$M$2:$M$4220,1)</f>
        <v>68</v>
      </c>
      <c r="F81" s="13" t="n">
        <f aca="false">IF(D81=0,0,E81/D81)</f>
        <v>0.34</v>
      </c>
      <c r="G81" s="12" t="n">
        <f aca="false">COUNTIFS(Taxonomy!$B$2:$B$331,B81,Taxonomy!$C$2:$C$331,C81)</f>
        <v>4</v>
      </c>
    </row>
    <row r="82" customFormat="false" ht="15" hidden="false" customHeight="false" outlineLevel="0" collapsed="false">
      <c r="B82" s="21" t="s">
        <v>57</v>
      </c>
      <c r="C82" s="12" t="s">
        <v>125</v>
      </c>
      <c r="D82" s="12" t="n">
        <f aca="false">COUNTIFS('Watch Paths'!$B$2:$B$4220,B82,'Watch Paths'!$C$2:$C$4220,C82)</f>
        <v>20</v>
      </c>
      <c r="E82" s="12" t="n">
        <f aca="false">COUNTIFS('Watch Paths'!$B$2:$B$4220,B82,'Watch Paths'!$C$2:$C$4220,C82,'Watch Paths'!$M$2:$M$4220,1)</f>
        <v>0</v>
      </c>
      <c r="F82" s="13" t="n">
        <f aca="false">IF(D82=0,0,E82/D82)</f>
        <v>0</v>
      </c>
      <c r="G82" s="12" t="n">
        <f aca="false">COUNTIFS(Taxonomy!$B$2:$B$331,B82,Taxonomy!$C$2:$C$331,C82)</f>
        <v>2</v>
      </c>
    </row>
    <row r="83" customFormat="false" ht="15" hidden="false" customHeight="false" outlineLevel="0" collapsed="false">
      <c r="B83" s="21" t="s">
        <v>57</v>
      </c>
      <c r="C83" s="12" t="s">
        <v>126</v>
      </c>
      <c r="D83" s="12" t="n">
        <f aca="false">COUNTIFS('Watch Paths'!$B$2:$B$4220,B83,'Watch Paths'!$C$2:$C$4220,C83)</f>
        <v>101</v>
      </c>
      <c r="E83" s="12" t="n">
        <f aca="false">COUNTIFS('Watch Paths'!$B$2:$B$4220,B83,'Watch Paths'!$C$2:$C$4220,C83,'Watch Paths'!$M$2:$M$4220,1)</f>
        <v>19</v>
      </c>
      <c r="F83" s="13" t="n">
        <f aca="false">IF(D83=0,0,E83/D83)</f>
        <v>0.188118811881188</v>
      </c>
      <c r="G83" s="12" t="n">
        <f aca="false">COUNTIFS(Taxonomy!$B$2:$B$331,B83,Taxonomy!$C$2:$C$331,C83)</f>
        <v>7</v>
      </c>
    </row>
    <row r="84" customFormat="false" ht="15" hidden="false" customHeight="false" outlineLevel="0" collapsed="false">
      <c r="B84" s="21" t="s">
        <v>57</v>
      </c>
      <c r="C84" s="12" t="s">
        <v>127</v>
      </c>
      <c r="D84" s="12" t="n">
        <f aca="false">COUNTIFS('Watch Paths'!$B$2:$B$4220,B84,'Watch Paths'!$C$2:$C$4220,C84)</f>
        <v>71</v>
      </c>
      <c r="E84" s="12" t="n">
        <f aca="false">COUNTIFS('Watch Paths'!$B$2:$B$4220,B84,'Watch Paths'!$C$2:$C$4220,C84,'Watch Paths'!$M$2:$M$4220,1)</f>
        <v>27</v>
      </c>
      <c r="F84" s="13" t="n">
        <f aca="false">IF(D84=0,0,E84/D84)</f>
        <v>0.380281690140845</v>
      </c>
      <c r="G84" s="12" t="n">
        <f aca="false">COUNTIFS(Taxonomy!$B$2:$B$331,B84,Taxonomy!$C$2:$C$331,C84)</f>
        <v>3</v>
      </c>
    </row>
    <row r="85" customFormat="false" ht="15" hidden="false" customHeight="false" outlineLevel="0" collapsed="false">
      <c r="B85" s="22" t="s">
        <v>58</v>
      </c>
      <c r="C85" s="12" t="s">
        <v>128</v>
      </c>
      <c r="D85" s="12" t="n">
        <f aca="false">COUNTIFS('Watch Paths'!$B$2:$B$4220,B85,'Watch Paths'!$C$2:$C$4220,C85)</f>
        <v>31</v>
      </c>
      <c r="E85" s="12" t="n">
        <f aca="false">COUNTIFS('Watch Paths'!$B$2:$B$4220,B85,'Watch Paths'!$C$2:$C$4220,C85,'Watch Paths'!$M$2:$M$4220,1)</f>
        <v>7</v>
      </c>
      <c r="F85" s="13" t="n">
        <f aca="false">IF(D85=0,0,E85/D85)</f>
        <v>0.225806451612903</v>
      </c>
      <c r="G85" s="12" t="n">
        <f aca="false">COUNTIFS(Taxonomy!$B$2:$B$331,B85,Taxonomy!$C$2:$C$331,C85)</f>
        <v>3</v>
      </c>
    </row>
    <row r="86" customFormat="false" ht="15" hidden="false" customHeight="false" outlineLevel="0" collapsed="false">
      <c r="B86" s="22" t="s">
        <v>58</v>
      </c>
      <c r="C86" s="12" t="s">
        <v>129</v>
      </c>
      <c r="D86" s="12" t="n">
        <f aca="false">COUNTIFS('Watch Paths'!$B$2:$B$4220,B86,'Watch Paths'!$C$2:$C$4220,C86)</f>
        <v>52</v>
      </c>
      <c r="E86" s="12" t="n">
        <f aca="false">COUNTIFS('Watch Paths'!$B$2:$B$4220,B86,'Watch Paths'!$C$2:$C$4220,C86,'Watch Paths'!$M$2:$M$4220,1)</f>
        <v>24</v>
      </c>
      <c r="F86" s="13" t="n">
        <f aca="false">IF(D86=0,0,E86/D86)</f>
        <v>0.461538461538462</v>
      </c>
      <c r="G86" s="12" t="n">
        <f aca="false">COUNTIFS(Taxonomy!$B$2:$B$331,B86,Taxonomy!$C$2:$C$331,C86)</f>
        <v>5</v>
      </c>
    </row>
    <row r="87" customFormat="false" ht="15" hidden="false" customHeight="false" outlineLevel="0" collapsed="false">
      <c r="B87" s="22" t="s">
        <v>58</v>
      </c>
      <c r="C87" s="12" t="s">
        <v>130</v>
      </c>
      <c r="D87" s="12" t="n">
        <f aca="false">COUNTIFS('Watch Paths'!$B$2:$B$4220,B87,'Watch Paths'!$C$2:$C$4220,C87)</f>
        <v>62</v>
      </c>
      <c r="E87" s="12" t="n">
        <f aca="false">COUNTIFS('Watch Paths'!$B$2:$B$4220,B87,'Watch Paths'!$C$2:$C$4220,C87,'Watch Paths'!$M$2:$M$4220,1)</f>
        <v>10</v>
      </c>
      <c r="F87" s="13" t="n">
        <f aca="false">IF(D87=0,0,E87/D87)</f>
        <v>0.161290322580645</v>
      </c>
      <c r="G87" s="12" t="n">
        <f aca="false">COUNTIFS(Taxonomy!$B$2:$B$331,B87,Taxonomy!$C$2:$C$331,C87)</f>
        <v>6</v>
      </c>
    </row>
  </sheetData>
  <conditionalFormatting sqref="E6:E15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{A05364A3-B8C8-48A4-9A56-A7743C3DEE94}</x14:id>
        </ext>
      </extLst>
    </cfRule>
  </conditionalFormatting>
  <conditionalFormatting sqref="F20:F87">
    <cfRule type="dataBar" priority="3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{71AF1F4E-8010-4BB9-BFA8-8A591475A2F3}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5364A3-B8C8-48A4-9A56-A7743C3DEE9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E6:E15</xm:sqref>
        </x14:conditionalFormatting>
        <x14:conditionalFormatting xmlns:xm="http://schemas.microsoft.com/office/excel/2006/main">
          <x14:cfRule type="dataBar" id="{71AF1F4E-8010-4BB9-BFA8-8A591475A2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F20:F87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2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38"/>
    <col collapsed="false" customWidth="true" hidden="true" outlineLevel="0" max="10" min="10" style="0" width="7"/>
    <col collapsed="false" customWidth="true" hidden="true" outlineLevel="0" max="11" min="11" style="0" width="8"/>
  </cols>
  <sheetData>
    <row r="1" customFormat="false" ht="30" hidden="false" customHeight="true" outlineLevel="0" collapsed="false">
      <c r="A1" s="24" t="s">
        <v>131</v>
      </c>
      <c r="B1" s="24" t="s">
        <v>132</v>
      </c>
      <c r="C1" s="24" t="s">
        <v>133</v>
      </c>
      <c r="D1" s="24" t="s">
        <v>134</v>
      </c>
      <c r="E1" s="24" t="s">
        <v>45</v>
      </c>
      <c r="F1" s="24" t="s">
        <v>135</v>
      </c>
      <c r="G1" s="24" t="s">
        <v>136</v>
      </c>
      <c r="H1" s="24" t="s">
        <v>137</v>
      </c>
      <c r="I1" s="24" t="s">
        <v>138</v>
      </c>
      <c r="J1" s="24" t="s">
        <v>139</v>
      </c>
      <c r="K1" s="24" t="s">
        <v>140</v>
      </c>
      <c r="M1" s="9" t="s">
        <v>141</v>
      </c>
    </row>
    <row r="2" customFormat="false" ht="15" hidden="false" customHeight="false" outlineLevel="0" collapsed="false">
      <c r="A2" s="4" t="n">
        <v>1</v>
      </c>
      <c r="B2" s="4" t="s">
        <v>142</v>
      </c>
      <c r="C2" s="4" t="n">
        <v>1941</v>
      </c>
      <c r="D2" s="4" t="s">
        <v>143</v>
      </c>
      <c r="E2" s="25" t="str">
        <f aca="false">IF(J2=1,"✓","")</f>
        <v/>
      </c>
      <c r="F2" s="4" t="n">
        <v>32</v>
      </c>
      <c r="G2" s="4" t="n">
        <v>13</v>
      </c>
      <c r="H2" s="4" t="s">
        <v>144</v>
      </c>
      <c r="I2" s="4" t="s">
        <v>49</v>
      </c>
      <c r="J2" s="4" t="n">
        <f aca="false">INDEX('Master List'!$G$2:$G$2594,K2)</f>
        <v>0</v>
      </c>
      <c r="K2" s="4" t="n">
        <v>462</v>
      </c>
    </row>
    <row r="3" customFormat="false" ht="15" hidden="false" customHeight="false" outlineLevel="0" collapsed="false">
      <c r="A3" s="4" t="n">
        <v>2</v>
      </c>
      <c r="B3" s="4" t="s">
        <v>145</v>
      </c>
      <c r="C3" s="4" t="n">
        <v>1953</v>
      </c>
      <c r="D3" s="4" t="s">
        <v>146</v>
      </c>
      <c r="E3" s="25" t="str">
        <f aca="false">IF(J3=1,"✓","")</f>
        <v/>
      </c>
      <c r="F3" s="4" t="n">
        <v>25</v>
      </c>
      <c r="G3" s="4" t="n">
        <v>10</v>
      </c>
      <c r="H3" s="4" t="s">
        <v>144</v>
      </c>
      <c r="I3" s="4" t="s">
        <v>49</v>
      </c>
      <c r="J3" s="4" t="n">
        <f aca="false">INDEX('Master List'!$G$2:$G$2594,K3)</f>
        <v>0</v>
      </c>
      <c r="K3" s="4" t="n">
        <v>2328</v>
      </c>
    </row>
    <row r="4" customFormat="false" ht="15" hidden="false" customHeight="false" outlineLevel="0" collapsed="false">
      <c r="A4" s="4" t="n">
        <v>3</v>
      </c>
      <c r="B4" s="4" t="s">
        <v>147</v>
      </c>
      <c r="C4" s="4" t="n">
        <v>1989</v>
      </c>
      <c r="D4" s="4" t="s">
        <v>148</v>
      </c>
      <c r="E4" s="25" t="str">
        <f aca="false">IF(J4=1,"✓","")</f>
        <v>✓</v>
      </c>
      <c r="F4" s="4" t="n">
        <v>25</v>
      </c>
      <c r="G4" s="4" t="n">
        <v>11</v>
      </c>
      <c r="H4" s="4" t="s">
        <v>144</v>
      </c>
      <c r="I4" s="4" t="s">
        <v>49</v>
      </c>
      <c r="J4" s="4" t="n">
        <f aca="false">INDEX('Master List'!$G$2:$G$2594,K4)</f>
        <v>1</v>
      </c>
      <c r="K4" s="4" t="n">
        <v>646</v>
      </c>
    </row>
    <row r="5" customFormat="false" ht="15" hidden="false" customHeight="false" outlineLevel="0" collapsed="false">
      <c r="A5" s="4" t="n">
        <v>4</v>
      </c>
      <c r="B5" s="4" t="s">
        <v>149</v>
      </c>
      <c r="C5" s="4" t="n">
        <v>1959</v>
      </c>
      <c r="D5" s="4" t="s">
        <v>150</v>
      </c>
      <c r="E5" s="25" t="str">
        <f aca="false">IF(J5=1,"✓","")</f>
        <v/>
      </c>
      <c r="F5" s="4" t="n">
        <v>22</v>
      </c>
      <c r="G5" s="4" t="n">
        <v>8</v>
      </c>
      <c r="H5" s="4" t="s">
        <v>144</v>
      </c>
      <c r="I5" s="4" t="s">
        <v>50</v>
      </c>
      <c r="J5" s="4" t="n">
        <f aca="false">INDEX('Master List'!$G$2:$G$2594,K5)</f>
        <v>0</v>
      </c>
      <c r="K5" s="4" t="n">
        <v>25</v>
      </c>
    </row>
    <row r="6" customFormat="false" ht="15" hidden="false" customHeight="false" outlineLevel="0" collapsed="false">
      <c r="A6" s="4" t="n">
        <v>5</v>
      </c>
      <c r="B6" s="4" t="s">
        <v>151</v>
      </c>
      <c r="C6" s="4" t="n">
        <v>1960</v>
      </c>
      <c r="D6" s="4" t="s">
        <v>152</v>
      </c>
      <c r="E6" s="25" t="str">
        <f aca="false">IF(J6=1,"✓","")</f>
        <v/>
      </c>
      <c r="F6" s="4" t="n">
        <v>21</v>
      </c>
      <c r="G6" s="4" t="n">
        <v>9</v>
      </c>
      <c r="H6" s="4" t="s">
        <v>144</v>
      </c>
      <c r="I6" s="4" t="s">
        <v>49</v>
      </c>
      <c r="J6" s="4" t="n">
        <f aca="false">INDEX('Master List'!$G$2:$G$2594,K6)</f>
        <v>0</v>
      </c>
      <c r="K6" s="4" t="n">
        <v>342</v>
      </c>
    </row>
    <row r="7" customFormat="false" ht="15" hidden="false" customHeight="false" outlineLevel="0" collapsed="false">
      <c r="A7" s="4" t="n">
        <v>6</v>
      </c>
      <c r="B7" s="4" t="s">
        <v>153</v>
      </c>
      <c r="C7" s="4" t="n">
        <v>2001</v>
      </c>
      <c r="D7" s="4" t="s">
        <v>154</v>
      </c>
      <c r="E7" s="25" t="str">
        <f aca="false">IF(J7=1,"✓","")</f>
        <v>✓</v>
      </c>
      <c r="F7" s="4" t="n">
        <v>20</v>
      </c>
      <c r="G7" s="4" t="n">
        <v>9</v>
      </c>
      <c r="H7" s="4" t="s">
        <v>144</v>
      </c>
      <c r="I7" s="4" t="s">
        <v>49</v>
      </c>
      <c r="J7" s="4" t="n">
        <f aca="false">INDEX('Master List'!$G$2:$G$2594,K7)</f>
        <v>1</v>
      </c>
      <c r="K7" s="4" t="n">
        <v>1555</v>
      </c>
    </row>
    <row r="8" customFormat="false" ht="15" hidden="false" customHeight="false" outlineLevel="0" collapsed="false">
      <c r="A8" s="4" t="n">
        <v>7</v>
      </c>
      <c r="B8" s="4" t="s">
        <v>155</v>
      </c>
      <c r="C8" s="4" t="n">
        <v>1954</v>
      </c>
      <c r="D8" s="4" t="s">
        <v>156</v>
      </c>
      <c r="E8" s="25" t="str">
        <f aca="false">IF(J8=1,"✓","")</f>
        <v/>
      </c>
      <c r="F8" s="4" t="n">
        <v>20</v>
      </c>
      <c r="G8" s="4" t="n">
        <v>8</v>
      </c>
      <c r="H8" s="4" t="s">
        <v>144</v>
      </c>
      <c r="I8" s="4" t="s">
        <v>50</v>
      </c>
      <c r="J8" s="4" t="n">
        <f aca="false">INDEX('Master List'!$G$2:$G$2594,K8)</f>
        <v>0</v>
      </c>
      <c r="K8" s="4" t="n">
        <v>2021</v>
      </c>
    </row>
    <row r="9" customFormat="false" ht="15" hidden="false" customHeight="false" outlineLevel="0" collapsed="false">
      <c r="A9" s="4" t="n">
        <v>8</v>
      </c>
      <c r="B9" s="4" t="s">
        <v>157</v>
      </c>
      <c r="C9" s="4" t="n">
        <v>1962</v>
      </c>
      <c r="D9" s="4" t="s">
        <v>158</v>
      </c>
      <c r="E9" s="25" t="str">
        <f aca="false">IF(J9=1,"✓","")</f>
        <v/>
      </c>
      <c r="F9" s="4" t="n">
        <v>19</v>
      </c>
      <c r="G9" s="4" t="n">
        <v>7</v>
      </c>
      <c r="H9" s="4" t="s">
        <v>144</v>
      </c>
      <c r="I9" s="4" t="s">
        <v>50</v>
      </c>
      <c r="J9" s="4" t="n">
        <f aca="false">INDEX('Master List'!$G$2:$G$2594,K9)</f>
        <v>0</v>
      </c>
      <c r="K9" s="4" t="n">
        <v>475</v>
      </c>
    </row>
    <row r="10" customFormat="false" ht="15" hidden="false" customHeight="false" outlineLevel="0" collapsed="false">
      <c r="A10" s="4" t="n">
        <v>9</v>
      </c>
      <c r="B10" s="4" t="s">
        <v>159</v>
      </c>
      <c r="C10" s="4" t="n">
        <v>1948</v>
      </c>
      <c r="D10" s="4" t="s">
        <v>160</v>
      </c>
      <c r="E10" s="25" t="str">
        <f aca="false">IF(J10=1,"✓","")</f>
        <v/>
      </c>
      <c r="F10" s="4" t="n">
        <v>19</v>
      </c>
      <c r="G10" s="4" t="n">
        <v>7</v>
      </c>
      <c r="H10" s="4" t="s">
        <v>144</v>
      </c>
      <c r="I10" s="4" t="s">
        <v>50</v>
      </c>
      <c r="J10" s="4" t="n">
        <f aca="false">INDEX('Master List'!$G$2:$G$2594,K10)</f>
        <v>0</v>
      </c>
      <c r="K10" s="4" t="n">
        <v>238</v>
      </c>
    </row>
    <row r="11" customFormat="false" ht="15" hidden="false" customHeight="false" outlineLevel="0" collapsed="false">
      <c r="A11" s="4" t="n">
        <v>10</v>
      </c>
      <c r="B11" s="4" t="s">
        <v>161</v>
      </c>
      <c r="C11" s="4" t="n">
        <v>1958</v>
      </c>
      <c r="D11" s="4" t="s">
        <v>162</v>
      </c>
      <c r="E11" s="25" t="str">
        <f aca="false">IF(J11=1,"✓","")</f>
        <v/>
      </c>
      <c r="F11" s="4" t="n">
        <v>19</v>
      </c>
      <c r="G11" s="4" t="n">
        <v>7</v>
      </c>
      <c r="H11" s="4" t="s">
        <v>144</v>
      </c>
      <c r="I11" s="4" t="s">
        <v>50</v>
      </c>
      <c r="J11" s="4" t="n">
        <f aca="false">INDEX('Master List'!$G$2:$G$2594,K11)</f>
        <v>0</v>
      </c>
      <c r="K11" s="4" t="n">
        <v>2429</v>
      </c>
    </row>
    <row r="12" customFormat="false" ht="15" hidden="false" customHeight="false" outlineLevel="0" collapsed="false">
      <c r="A12" s="4" t="n">
        <v>11</v>
      </c>
      <c r="B12" s="4" t="s">
        <v>163</v>
      </c>
      <c r="C12" s="4" t="n">
        <v>1976</v>
      </c>
      <c r="D12" s="4" t="s">
        <v>164</v>
      </c>
      <c r="E12" s="25" t="str">
        <f aca="false">IF(J12=1,"✓","")</f>
        <v>✓</v>
      </c>
      <c r="F12" s="4" t="n">
        <v>19</v>
      </c>
      <c r="G12" s="4" t="n">
        <v>8</v>
      </c>
      <c r="H12" s="4" t="s">
        <v>144</v>
      </c>
      <c r="I12" s="4" t="s">
        <v>50</v>
      </c>
      <c r="J12" s="4" t="n">
        <f aca="false">INDEX('Master List'!$G$2:$G$2594,K12)</f>
        <v>1</v>
      </c>
      <c r="K12" s="4" t="n">
        <v>2248</v>
      </c>
    </row>
    <row r="13" customFormat="false" ht="15" hidden="false" customHeight="false" outlineLevel="0" collapsed="false">
      <c r="A13" s="4" t="n">
        <v>12</v>
      </c>
      <c r="B13" s="4" t="s">
        <v>165</v>
      </c>
      <c r="C13" s="4" t="n">
        <v>2016</v>
      </c>
      <c r="D13" s="4" t="s">
        <v>166</v>
      </c>
      <c r="E13" s="25" t="str">
        <f aca="false">IF(J13=1,"✓","")</f>
        <v>✓</v>
      </c>
      <c r="F13" s="4" t="n">
        <v>19</v>
      </c>
      <c r="G13" s="4" t="n">
        <v>8</v>
      </c>
      <c r="H13" s="4" t="s">
        <v>144</v>
      </c>
      <c r="I13" s="4" t="s">
        <v>50</v>
      </c>
      <c r="J13" s="4" t="n">
        <f aca="false">INDEX('Master List'!$G$2:$G$2594,K13)</f>
        <v>1</v>
      </c>
      <c r="K13" s="4" t="n">
        <v>1532</v>
      </c>
    </row>
    <row r="14" customFormat="false" ht="15" hidden="false" customHeight="false" outlineLevel="0" collapsed="false">
      <c r="A14" s="4" t="n">
        <v>13</v>
      </c>
      <c r="B14" s="4" t="s">
        <v>167</v>
      </c>
      <c r="C14" s="4" t="n">
        <v>1940</v>
      </c>
      <c r="D14" s="4" t="s">
        <v>168</v>
      </c>
      <c r="E14" s="25" t="str">
        <f aca="false">IF(J14=1,"✓","")</f>
        <v>✓</v>
      </c>
      <c r="F14" s="4" t="n">
        <v>18</v>
      </c>
      <c r="G14" s="4" t="n">
        <v>7</v>
      </c>
      <c r="H14" s="4" t="s">
        <v>144</v>
      </c>
      <c r="I14" s="4" t="s">
        <v>49</v>
      </c>
      <c r="J14" s="4" t="n">
        <f aca="false">INDEX('Master List'!$G$2:$G$2594,K14)</f>
        <v>1</v>
      </c>
      <c r="K14" s="4" t="n">
        <v>1041</v>
      </c>
    </row>
    <row r="15" customFormat="false" ht="15" hidden="false" customHeight="false" outlineLevel="0" collapsed="false">
      <c r="A15" s="4" t="n">
        <v>14</v>
      </c>
      <c r="B15" s="4" t="s">
        <v>169</v>
      </c>
      <c r="C15" s="4" t="n">
        <v>1957</v>
      </c>
      <c r="D15" s="4" t="s">
        <v>170</v>
      </c>
      <c r="E15" s="25" t="str">
        <f aca="false">IF(J15=1,"✓","")</f>
        <v/>
      </c>
      <c r="F15" s="4" t="n">
        <v>18</v>
      </c>
      <c r="G15" s="4" t="n">
        <v>8</v>
      </c>
      <c r="H15" s="4" t="s">
        <v>144</v>
      </c>
      <c r="I15" s="4" t="s">
        <v>50</v>
      </c>
      <c r="J15" s="4" t="n">
        <f aca="false">INDEX('Master List'!$G$2:$G$2594,K15)</f>
        <v>0</v>
      </c>
      <c r="K15" s="4" t="n">
        <v>2516</v>
      </c>
    </row>
    <row r="16" customFormat="false" ht="15" hidden="false" customHeight="false" outlineLevel="0" collapsed="false">
      <c r="A16" s="4" t="n">
        <v>15</v>
      </c>
      <c r="B16" s="4" t="s">
        <v>171</v>
      </c>
      <c r="C16" s="4" t="n">
        <v>1974</v>
      </c>
      <c r="D16" s="4" t="s">
        <v>172</v>
      </c>
      <c r="E16" s="25" t="str">
        <f aca="false">IF(J16=1,"✓","")</f>
        <v>✓</v>
      </c>
      <c r="F16" s="4" t="n">
        <v>18</v>
      </c>
      <c r="G16" s="4" t="n">
        <v>8</v>
      </c>
      <c r="H16" s="4" t="s">
        <v>144</v>
      </c>
      <c r="I16" s="4" t="s">
        <v>49</v>
      </c>
      <c r="J16" s="4" t="n">
        <f aca="false">INDEX('Master List'!$G$2:$G$2594,K16)</f>
        <v>1</v>
      </c>
      <c r="K16" s="4" t="n">
        <v>520</v>
      </c>
    </row>
    <row r="17" customFormat="false" ht="15" hidden="false" customHeight="false" outlineLevel="0" collapsed="false">
      <c r="A17" s="4" t="n">
        <v>16</v>
      </c>
      <c r="B17" s="4" t="s">
        <v>173</v>
      </c>
      <c r="C17" s="4" t="n">
        <v>1982</v>
      </c>
      <c r="D17" s="4" t="s">
        <v>174</v>
      </c>
      <c r="E17" s="25" t="str">
        <f aca="false">IF(J17=1,"✓","")</f>
        <v>✓</v>
      </c>
      <c r="F17" s="4" t="n">
        <v>18</v>
      </c>
      <c r="G17" s="4" t="n">
        <v>8</v>
      </c>
      <c r="H17" s="4" t="s">
        <v>144</v>
      </c>
      <c r="I17" s="4" t="s">
        <v>49</v>
      </c>
      <c r="J17" s="4" t="n">
        <f aca="false">INDEX('Master List'!$G$2:$G$2594,K17)</f>
        <v>1</v>
      </c>
      <c r="K17" s="4" t="n">
        <v>279</v>
      </c>
    </row>
    <row r="18" customFormat="false" ht="15" hidden="false" customHeight="false" outlineLevel="0" collapsed="false">
      <c r="A18" s="4" t="n">
        <v>17</v>
      </c>
      <c r="B18" s="4" t="s">
        <v>175</v>
      </c>
      <c r="C18" s="4" t="n">
        <v>1934</v>
      </c>
      <c r="D18" s="4" t="s">
        <v>176</v>
      </c>
      <c r="E18" s="25" t="str">
        <f aca="false">IF(J18=1,"✓","")</f>
        <v/>
      </c>
      <c r="F18" s="4" t="n">
        <v>18</v>
      </c>
      <c r="G18" s="4" t="n">
        <v>7</v>
      </c>
      <c r="H18" s="4" t="s">
        <v>144</v>
      </c>
      <c r="I18" s="4" t="s">
        <v>50</v>
      </c>
      <c r="J18" s="4" t="n">
        <f aca="false">INDEX('Master List'!$G$2:$G$2594,K18)</f>
        <v>0</v>
      </c>
      <c r="K18" s="4" t="n">
        <v>1176</v>
      </c>
    </row>
    <row r="19" customFormat="false" ht="15" hidden="false" customHeight="false" outlineLevel="0" collapsed="false">
      <c r="A19" s="4" t="n">
        <v>18</v>
      </c>
      <c r="B19" s="4" t="s">
        <v>177</v>
      </c>
      <c r="C19" s="4" t="n">
        <v>1960</v>
      </c>
      <c r="D19" s="4" t="s">
        <v>162</v>
      </c>
      <c r="E19" s="25" t="str">
        <f aca="false">IF(J19=1,"✓","")</f>
        <v>✓</v>
      </c>
      <c r="F19" s="4" t="n">
        <v>18</v>
      </c>
      <c r="G19" s="4" t="n">
        <v>8</v>
      </c>
      <c r="H19" s="4" t="s">
        <v>144</v>
      </c>
      <c r="I19" s="4" t="s">
        <v>49</v>
      </c>
      <c r="J19" s="4" t="n">
        <f aca="false">INDEX('Master List'!$G$2:$G$2594,K19)</f>
        <v>1</v>
      </c>
      <c r="K19" s="4" t="n">
        <v>1826</v>
      </c>
    </row>
    <row r="20" customFormat="false" ht="15" hidden="false" customHeight="false" outlineLevel="0" collapsed="false">
      <c r="A20" s="4" t="n">
        <v>19</v>
      </c>
      <c r="B20" s="4" t="s">
        <v>178</v>
      </c>
      <c r="C20" s="4" t="n">
        <v>1963</v>
      </c>
      <c r="D20" s="4" t="s">
        <v>179</v>
      </c>
      <c r="E20" s="25" t="str">
        <f aca="false">IF(J20=1,"✓","")</f>
        <v/>
      </c>
      <c r="F20" s="4" t="n">
        <v>17</v>
      </c>
      <c r="G20" s="4" t="n">
        <v>7</v>
      </c>
      <c r="H20" s="4" t="s">
        <v>144</v>
      </c>
      <c r="I20" s="4" t="s">
        <v>50</v>
      </c>
      <c r="J20" s="4" t="n">
        <f aca="false">INDEX('Master List'!$G$2:$G$2594,K20)</f>
        <v>0</v>
      </c>
      <c r="K20" s="4" t="n">
        <v>32</v>
      </c>
    </row>
    <row r="21" customFormat="false" ht="15" hidden="false" customHeight="false" outlineLevel="0" collapsed="false">
      <c r="A21" s="4" t="n">
        <v>20</v>
      </c>
      <c r="B21" s="4" t="s">
        <v>180</v>
      </c>
      <c r="C21" s="4" t="n">
        <v>1929</v>
      </c>
      <c r="D21" s="4" t="s">
        <v>181</v>
      </c>
      <c r="E21" s="25" t="str">
        <f aca="false">IF(J21=1,"✓","")</f>
        <v/>
      </c>
      <c r="F21" s="4" t="n">
        <v>17</v>
      </c>
      <c r="G21" s="4" t="n">
        <v>7</v>
      </c>
      <c r="H21" s="4" t="s">
        <v>144</v>
      </c>
      <c r="I21" s="4" t="s">
        <v>49</v>
      </c>
      <c r="J21" s="4" t="n">
        <f aca="false">INDEX('Master List'!$G$2:$G$2594,K21)</f>
        <v>0</v>
      </c>
      <c r="K21" s="4" t="n">
        <v>1434</v>
      </c>
    </row>
    <row r="22" customFormat="false" ht="15" hidden="false" customHeight="false" outlineLevel="0" collapsed="false">
      <c r="A22" s="4" t="n">
        <v>21</v>
      </c>
      <c r="B22" s="4" t="s">
        <v>182</v>
      </c>
      <c r="C22" s="4" t="n">
        <v>1975</v>
      </c>
      <c r="D22" s="4" t="s">
        <v>183</v>
      </c>
      <c r="E22" s="25" t="str">
        <f aca="false">IF(J22=1,"✓","")</f>
        <v>✓</v>
      </c>
      <c r="F22" s="4" t="n">
        <v>17</v>
      </c>
      <c r="G22" s="4" t="n">
        <v>7</v>
      </c>
      <c r="H22" s="4" t="s">
        <v>144</v>
      </c>
      <c r="I22" s="4" t="s">
        <v>50</v>
      </c>
      <c r="J22" s="4" t="n">
        <f aca="false">INDEX('Master List'!$G$2:$G$2594,K22)</f>
        <v>1</v>
      </c>
      <c r="K22" s="4" t="n">
        <v>1196</v>
      </c>
    </row>
    <row r="23" customFormat="false" ht="15" hidden="false" customHeight="false" outlineLevel="0" collapsed="false">
      <c r="A23" s="4" t="n">
        <v>22</v>
      </c>
      <c r="B23" s="4" t="s">
        <v>184</v>
      </c>
      <c r="C23" s="4" t="n">
        <v>1975</v>
      </c>
      <c r="D23" s="4" t="s">
        <v>185</v>
      </c>
      <c r="E23" s="25" t="str">
        <f aca="false">IF(J23=1,"✓","")</f>
        <v/>
      </c>
      <c r="F23" s="4" t="n">
        <v>17</v>
      </c>
      <c r="G23" s="4" t="n">
        <v>8</v>
      </c>
      <c r="H23" s="4" t="s">
        <v>144</v>
      </c>
      <c r="I23" s="4" t="s">
        <v>53</v>
      </c>
      <c r="J23" s="4" t="n">
        <f aca="false">INDEX('Master List'!$G$2:$G$2594,K23)</f>
        <v>0</v>
      </c>
      <c r="K23" s="4" t="n">
        <v>1201</v>
      </c>
    </row>
    <row r="24" customFormat="false" ht="15" hidden="false" customHeight="false" outlineLevel="0" collapsed="false">
      <c r="A24" s="4" t="n">
        <v>23</v>
      </c>
      <c r="B24" s="4" t="s">
        <v>186</v>
      </c>
      <c r="C24" s="4" t="n">
        <v>1968</v>
      </c>
      <c r="D24" s="4" t="s">
        <v>187</v>
      </c>
      <c r="E24" s="25" t="str">
        <f aca="false">IF(J24=1,"✓","")</f>
        <v>✓</v>
      </c>
      <c r="F24" s="4" t="n">
        <v>16</v>
      </c>
      <c r="G24" s="4" t="n">
        <v>7</v>
      </c>
      <c r="H24" s="4" t="s">
        <v>144</v>
      </c>
      <c r="I24" s="4" t="s">
        <v>50</v>
      </c>
      <c r="J24" s="4" t="n">
        <f aca="false">INDEX('Master List'!$G$2:$G$2594,K24)</f>
        <v>1</v>
      </c>
      <c r="K24" s="4" t="n">
        <v>12</v>
      </c>
    </row>
    <row r="25" customFormat="false" ht="15" hidden="false" customHeight="false" outlineLevel="0" collapsed="false">
      <c r="A25" s="4" t="n">
        <v>24</v>
      </c>
      <c r="B25" s="4" t="s">
        <v>188</v>
      </c>
      <c r="C25" s="4" t="n">
        <v>1976</v>
      </c>
      <c r="D25" s="4" t="s">
        <v>189</v>
      </c>
      <c r="E25" s="25" t="str">
        <f aca="false">IF(J25=1,"✓","")</f>
        <v>✓</v>
      </c>
      <c r="F25" s="4" t="n">
        <v>16</v>
      </c>
      <c r="G25" s="4" t="n">
        <v>7</v>
      </c>
      <c r="H25" s="4" t="s">
        <v>144</v>
      </c>
      <c r="I25" s="4" t="s">
        <v>50</v>
      </c>
      <c r="J25" s="4" t="n">
        <f aca="false">INDEX('Master List'!$G$2:$G$2594,K25)</f>
        <v>1</v>
      </c>
      <c r="K25" s="4" t="n">
        <v>1593</v>
      </c>
    </row>
    <row r="26" customFormat="false" ht="15" hidden="false" customHeight="false" outlineLevel="0" collapsed="false">
      <c r="A26" s="4" t="n">
        <v>25</v>
      </c>
      <c r="B26" s="4" t="s">
        <v>190</v>
      </c>
      <c r="C26" s="4" t="n">
        <v>1954</v>
      </c>
      <c r="D26" s="4" t="s">
        <v>162</v>
      </c>
      <c r="E26" s="25" t="str">
        <f aca="false">IF(J26=1,"✓","")</f>
        <v>✓</v>
      </c>
      <c r="F26" s="4" t="n">
        <v>16</v>
      </c>
      <c r="G26" s="4" t="n">
        <v>6</v>
      </c>
      <c r="H26" s="4" t="s">
        <v>144</v>
      </c>
      <c r="I26" s="4" t="s">
        <v>50</v>
      </c>
      <c r="J26" s="4" t="n">
        <f aca="false">INDEX('Master List'!$G$2:$G$2594,K26)</f>
        <v>1</v>
      </c>
      <c r="K26" s="4" t="n">
        <v>1866</v>
      </c>
    </row>
    <row r="27" customFormat="false" ht="15" hidden="false" customHeight="false" outlineLevel="0" collapsed="false">
      <c r="A27" s="4" t="n">
        <v>26</v>
      </c>
      <c r="B27" s="4" t="s">
        <v>191</v>
      </c>
      <c r="C27" s="4" t="n">
        <v>1966</v>
      </c>
      <c r="D27" s="4" t="s">
        <v>170</v>
      </c>
      <c r="E27" s="25" t="str">
        <f aca="false">IF(J27=1,"✓","")</f>
        <v/>
      </c>
      <c r="F27" s="4" t="n">
        <v>16</v>
      </c>
      <c r="G27" s="4" t="n">
        <v>7</v>
      </c>
      <c r="H27" s="4" t="s">
        <v>144</v>
      </c>
      <c r="I27" s="4" t="s">
        <v>50</v>
      </c>
      <c r="J27" s="4" t="n">
        <f aca="false">INDEX('Master List'!$G$2:$G$2594,K27)</f>
        <v>0</v>
      </c>
      <c r="K27" s="4" t="n">
        <v>1749</v>
      </c>
    </row>
    <row r="28" customFormat="false" ht="15" hidden="false" customHeight="false" outlineLevel="0" collapsed="false">
      <c r="A28" s="4" t="n">
        <v>27</v>
      </c>
      <c r="B28" s="4" t="s">
        <v>192</v>
      </c>
      <c r="C28" s="4" t="n">
        <v>1994</v>
      </c>
      <c r="D28" s="4" t="s">
        <v>193</v>
      </c>
      <c r="E28" s="25" t="str">
        <f aca="false">IF(J28=1,"✓","")</f>
        <v/>
      </c>
      <c r="F28" s="4" t="n">
        <v>16</v>
      </c>
      <c r="G28" s="4" t="n">
        <v>7</v>
      </c>
      <c r="H28" s="4" t="s">
        <v>144</v>
      </c>
      <c r="I28" s="4" t="s">
        <v>49</v>
      </c>
      <c r="J28" s="4" t="n">
        <f aca="false">INDEX('Master List'!$G$2:$G$2594,K28)</f>
        <v>0</v>
      </c>
      <c r="K28" s="4" t="n">
        <v>458</v>
      </c>
    </row>
    <row r="29" customFormat="false" ht="15" hidden="false" customHeight="false" outlineLevel="0" collapsed="false">
      <c r="A29" s="4" t="n">
        <v>28</v>
      </c>
      <c r="B29" s="4" t="s">
        <v>194</v>
      </c>
      <c r="C29" s="4" t="n">
        <v>1974</v>
      </c>
      <c r="D29" s="4" t="s">
        <v>195</v>
      </c>
      <c r="E29" s="25" t="str">
        <f aca="false">IF(J29=1,"✓","")</f>
        <v>✓</v>
      </c>
      <c r="F29" s="4" t="n">
        <v>15</v>
      </c>
      <c r="G29" s="4" t="n">
        <v>6</v>
      </c>
      <c r="H29" s="4" t="s">
        <v>144</v>
      </c>
      <c r="I29" s="4" t="s">
        <v>49</v>
      </c>
      <c r="J29" s="4" t="n">
        <f aca="false">INDEX('Master List'!$G$2:$G$2594,K29)</f>
        <v>1</v>
      </c>
      <c r="K29" s="4" t="n">
        <v>450</v>
      </c>
    </row>
    <row r="30" customFormat="false" ht="15" hidden="false" customHeight="false" outlineLevel="0" collapsed="false">
      <c r="A30" s="4" t="n">
        <v>29</v>
      </c>
      <c r="B30" s="4" t="s">
        <v>196</v>
      </c>
      <c r="C30" s="4" t="n">
        <v>1975</v>
      </c>
      <c r="D30" s="4" t="s">
        <v>197</v>
      </c>
      <c r="E30" s="25" t="str">
        <f aca="false">IF(J30=1,"✓","")</f>
        <v>✓</v>
      </c>
      <c r="F30" s="4" t="n">
        <v>15</v>
      </c>
      <c r="G30" s="4" t="n">
        <v>6</v>
      </c>
      <c r="H30" s="4" t="s">
        <v>144</v>
      </c>
      <c r="I30" s="4" t="s">
        <v>50</v>
      </c>
      <c r="J30" s="4" t="n">
        <f aca="false">INDEX('Master List'!$G$2:$G$2594,K30)</f>
        <v>1</v>
      </c>
      <c r="K30" s="4" t="n">
        <v>1587</v>
      </c>
    </row>
    <row r="31" customFormat="false" ht="15" hidden="false" customHeight="false" outlineLevel="0" collapsed="false">
      <c r="A31" s="4" t="n">
        <v>30</v>
      </c>
      <c r="B31" s="4" t="s">
        <v>198</v>
      </c>
      <c r="C31" s="4" t="n">
        <v>1957</v>
      </c>
      <c r="D31" s="4" t="s">
        <v>170</v>
      </c>
      <c r="E31" s="25" t="str">
        <f aca="false">IF(J31=1,"✓","")</f>
        <v>✓</v>
      </c>
      <c r="F31" s="4" t="n">
        <v>15</v>
      </c>
      <c r="G31" s="4" t="n">
        <v>6</v>
      </c>
      <c r="H31" s="4" t="s">
        <v>144</v>
      </c>
      <c r="I31" s="4" t="s">
        <v>50</v>
      </c>
      <c r="J31" s="4" t="n">
        <f aca="false">INDEX('Master List'!$G$2:$G$2594,K31)</f>
        <v>1</v>
      </c>
      <c r="K31" s="4" t="n">
        <v>2025</v>
      </c>
    </row>
    <row r="32" customFormat="false" ht="15" hidden="false" customHeight="false" outlineLevel="0" collapsed="false">
      <c r="A32" s="4" t="n">
        <v>31</v>
      </c>
      <c r="B32" s="4" t="s">
        <v>199</v>
      </c>
      <c r="C32" s="4" t="n">
        <v>1960</v>
      </c>
      <c r="D32" s="4" t="s">
        <v>200</v>
      </c>
      <c r="E32" s="25" t="str">
        <f aca="false">IF(J32=1,"✓","")</f>
        <v/>
      </c>
      <c r="F32" s="4" t="n">
        <v>15</v>
      </c>
      <c r="G32" s="4" t="n">
        <v>7</v>
      </c>
      <c r="H32" s="4" t="s">
        <v>144</v>
      </c>
      <c r="I32" s="4" t="s">
        <v>52</v>
      </c>
      <c r="J32" s="4" t="n">
        <f aca="false">INDEX('Master List'!$G$2:$G$2594,K32)</f>
        <v>0</v>
      </c>
      <c r="K32" s="4" t="n">
        <v>120</v>
      </c>
    </row>
    <row r="33" customFormat="false" ht="15" hidden="false" customHeight="false" outlineLevel="0" collapsed="false">
      <c r="A33" s="4" t="n">
        <v>32</v>
      </c>
      <c r="B33" s="4" t="s">
        <v>201</v>
      </c>
      <c r="C33" s="4" t="n">
        <v>1979</v>
      </c>
      <c r="D33" s="4" t="s">
        <v>172</v>
      </c>
      <c r="E33" s="25" t="str">
        <f aca="false">IF(J33=1,"✓","")</f>
        <v>✓</v>
      </c>
      <c r="F33" s="4" t="n">
        <v>15</v>
      </c>
      <c r="G33" s="4" t="n">
        <v>7</v>
      </c>
      <c r="H33" s="4" t="s">
        <v>144</v>
      </c>
      <c r="I33" s="4" t="s">
        <v>49</v>
      </c>
      <c r="J33" s="4" t="n">
        <f aca="false">INDEX('Master List'!$G$2:$G$2594,K33)</f>
        <v>1</v>
      </c>
      <c r="K33" s="4" t="n">
        <v>121</v>
      </c>
    </row>
    <row r="34" customFormat="false" ht="15" hidden="false" customHeight="false" outlineLevel="0" collapsed="false">
      <c r="A34" s="4" t="n">
        <v>33</v>
      </c>
      <c r="B34" s="4" t="s">
        <v>202</v>
      </c>
      <c r="C34" s="4" t="n">
        <v>1990</v>
      </c>
      <c r="D34" s="4" t="s">
        <v>203</v>
      </c>
      <c r="E34" s="25" t="str">
        <f aca="false">IF(J34=1,"✓","")</f>
        <v/>
      </c>
      <c r="F34" s="4" t="n">
        <v>15</v>
      </c>
      <c r="G34" s="4" t="n">
        <v>7</v>
      </c>
      <c r="H34" s="4" t="s">
        <v>144</v>
      </c>
      <c r="I34" s="4" t="s">
        <v>51</v>
      </c>
      <c r="J34" s="4" t="n">
        <f aca="false">INDEX('Master List'!$G$2:$G$2594,K34)</f>
        <v>0</v>
      </c>
      <c r="K34" s="4" t="n">
        <v>480</v>
      </c>
    </row>
    <row r="35" customFormat="false" ht="15" hidden="false" customHeight="false" outlineLevel="0" collapsed="false">
      <c r="A35" s="4" t="n">
        <v>34</v>
      </c>
      <c r="B35" s="4" t="s">
        <v>204</v>
      </c>
      <c r="C35" s="4" t="n">
        <v>1940</v>
      </c>
      <c r="D35" s="4" t="s">
        <v>205</v>
      </c>
      <c r="E35" s="25" t="str">
        <f aca="false">IF(J35=1,"✓","")</f>
        <v/>
      </c>
      <c r="F35" s="4" t="n">
        <v>15</v>
      </c>
      <c r="G35" s="4" t="n">
        <v>7</v>
      </c>
      <c r="H35" s="4" t="s">
        <v>144</v>
      </c>
      <c r="I35" s="4" t="s">
        <v>50</v>
      </c>
      <c r="J35" s="4" t="n">
        <f aca="false">INDEX('Master List'!$G$2:$G$2594,K35)</f>
        <v>0</v>
      </c>
      <c r="K35" s="4" t="n">
        <v>946</v>
      </c>
    </row>
    <row r="36" customFormat="false" ht="15" hidden="false" customHeight="false" outlineLevel="0" collapsed="false">
      <c r="A36" s="4" t="n">
        <v>35</v>
      </c>
      <c r="B36" s="4" t="s">
        <v>206</v>
      </c>
      <c r="C36" s="4" t="n">
        <v>1972</v>
      </c>
      <c r="D36" s="4" t="s">
        <v>172</v>
      </c>
      <c r="E36" s="25" t="str">
        <f aca="false">IF(J36=1,"✓","")</f>
        <v>✓</v>
      </c>
      <c r="F36" s="4" t="n">
        <v>15</v>
      </c>
      <c r="G36" s="4" t="n">
        <v>6</v>
      </c>
      <c r="H36" s="4" t="s">
        <v>144</v>
      </c>
      <c r="I36" s="4" t="s">
        <v>50</v>
      </c>
      <c r="J36" s="4" t="n">
        <f aca="false">INDEX('Master List'!$G$2:$G$2594,K36)</f>
        <v>1</v>
      </c>
      <c r="K36" s="4" t="n">
        <v>909</v>
      </c>
    </row>
    <row r="37" customFormat="false" ht="15" hidden="false" customHeight="false" outlineLevel="0" collapsed="false">
      <c r="A37" s="4" t="n">
        <v>36</v>
      </c>
      <c r="B37" s="4" t="s">
        <v>207</v>
      </c>
      <c r="C37" s="4" t="n">
        <v>1994</v>
      </c>
      <c r="D37" s="4" t="s">
        <v>208</v>
      </c>
      <c r="E37" s="25" t="str">
        <f aca="false">IF(J37=1,"✓","")</f>
        <v>✓</v>
      </c>
      <c r="F37" s="4" t="n">
        <v>15</v>
      </c>
      <c r="G37" s="4" t="n">
        <v>6</v>
      </c>
      <c r="H37" s="4" t="s">
        <v>144</v>
      </c>
      <c r="I37" s="4" t="s">
        <v>49</v>
      </c>
      <c r="J37" s="4" t="n">
        <f aca="false">INDEX('Master List'!$G$2:$G$2594,K37)</f>
        <v>1</v>
      </c>
      <c r="K37" s="4" t="n">
        <v>1830</v>
      </c>
    </row>
    <row r="38" customFormat="false" ht="15" hidden="false" customHeight="false" outlineLevel="0" collapsed="false">
      <c r="A38" s="4" t="n">
        <v>37</v>
      </c>
      <c r="B38" s="4" t="s">
        <v>209</v>
      </c>
      <c r="C38" s="4" t="n">
        <v>1979</v>
      </c>
      <c r="D38" s="4" t="s">
        <v>210</v>
      </c>
      <c r="E38" s="25" t="str">
        <f aca="false">IF(J38=1,"✓","")</f>
        <v>✓</v>
      </c>
      <c r="F38" s="4" t="n">
        <v>14</v>
      </c>
      <c r="G38" s="4" t="n">
        <v>7</v>
      </c>
      <c r="H38" s="4" t="s">
        <v>144</v>
      </c>
      <c r="I38" s="4" t="s">
        <v>51</v>
      </c>
      <c r="J38" s="4" t="n">
        <f aca="false">INDEX('Master List'!$G$2:$G$2594,K38)</f>
        <v>1</v>
      </c>
      <c r="K38" s="4" t="n">
        <v>2145</v>
      </c>
    </row>
    <row r="39" customFormat="false" ht="15" hidden="false" customHeight="false" outlineLevel="0" collapsed="false">
      <c r="A39" s="4" t="n">
        <v>38</v>
      </c>
      <c r="B39" s="4" t="s">
        <v>211</v>
      </c>
      <c r="C39" s="4" t="n">
        <v>2022</v>
      </c>
      <c r="D39" s="4" t="s">
        <v>212</v>
      </c>
      <c r="E39" s="25" t="str">
        <f aca="false">IF(J39=1,"✓","")</f>
        <v/>
      </c>
      <c r="F39" s="4" t="n">
        <v>14</v>
      </c>
      <c r="G39" s="4" t="n">
        <v>7</v>
      </c>
      <c r="H39" s="4" t="s">
        <v>213</v>
      </c>
      <c r="I39" s="4" t="s">
        <v>50</v>
      </c>
      <c r="J39" s="4" t="n">
        <f aca="false">INDEX('Master List'!$G$2:$G$2594,K39)</f>
        <v>0</v>
      </c>
      <c r="K39" s="4" t="n">
        <v>53</v>
      </c>
    </row>
    <row r="40" customFormat="false" ht="15" hidden="false" customHeight="false" outlineLevel="0" collapsed="false">
      <c r="A40" s="4" t="n">
        <v>39</v>
      </c>
      <c r="B40" s="4" t="s">
        <v>214</v>
      </c>
      <c r="C40" s="4" t="n">
        <v>1951</v>
      </c>
      <c r="D40" s="4" t="s">
        <v>215</v>
      </c>
      <c r="E40" s="25" t="str">
        <f aca="false">IF(J40=1,"✓","")</f>
        <v/>
      </c>
      <c r="F40" s="4" t="n">
        <v>14</v>
      </c>
      <c r="G40" s="4" t="n">
        <v>6</v>
      </c>
      <c r="H40" s="4" t="s">
        <v>144</v>
      </c>
      <c r="I40" s="4" t="s">
        <v>53</v>
      </c>
      <c r="J40" s="4" t="n">
        <f aca="false">INDEX('Master List'!$G$2:$G$2594,K40)</f>
        <v>0</v>
      </c>
      <c r="K40" s="4" t="n">
        <v>628</v>
      </c>
    </row>
    <row r="41" customFormat="false" ht="15" hidden="false" customHeight="false" outlineLevel="0" collapsed="false">
      <c r="A41" s="4" t="n">
        <v>40</v>
      </c>
      <c r="B41" s="4" t="s">
        <v>216</v>
      </c>
      <c r="C41" s="4" t="n">
        <v>1960</v>
      </c>
      <c r="D41" s="4" t="s">
        <v>217</v>
      </c>
      <c r="E41" s="25" t="str">
        <f aca="false">IF(J41=1,"✓","")</f>
        <v/>
      </c>
      <c r="F41" s="4" t="n">
        <v>14</v>
      </c>
      <c r="G41" s="4" t="n">
        <v>6</v>
      </c>
      <c r="H41" s="4" t="s">
        <v>144</v>
      </c>
      <c r="I41" s="4" t="s">
        <v>50</v>
      </c>
      <c r="J41" s="4" t="n">
        <f aca="false">INDEX('Master List'!$G$2:$G$2594,K41)</f>
        <v>0</v>
      </c>
      <c r="K41" s="4" t="n">
        <v>154</v>
      </c>
    </row>
    <row r="42" customFormat="false" ht="15" hidden="false" customHeight="false" outlineLevel="0" collapsed="false">
      <c r="A42" s="4" t="n">
        <v>41</v>
      </c>
      <c r="B42" s="4" t="s">
        <v>218</v>
      </c>
      <c r="C42" s="4" t="n">
        <v>1977</v>
      </c>
      <c r="D42" s="4" t="s">
        <v>154</v>
      </c>
      <c r="E42" s="25" t="str">
        <f aca="false">IF(J42=1,"✓","")</f>
        <v>✓</v>
      </c>
      <c r="F42" s="4" t="n">
        <v>14</v>
      </c>
      <c r="G42" s="4" t="n">
        <v>6</v>
      </c>
      <c r="H42" s="4" t="s">
        <v>144</v>
      </c>
      <c r="I42" s="4" t="s">
        <v>49</v>
      </c>
      <c r="J42" s="4" t="n">
        <f aca="false">INDEX('Master List'!$G$2:$G$2594,K42)</f>
        <v>1</v>
      </c>
      <c r="K42" s="4" t="n">
        <v>740</v>
      </c>
    </row>
    <row r="43" customFormat="false" ht="15" hidden="false" customHeight="false" outlineLevel="0" collapsed="false">
      <c r="A43" s="4" t="n">
        <v>42</v>
      </c>
      <c r="B43" s="4" t="s">
        <v>219</v>
      </c>
      <c r="C43" s="4" t="n">
        <v>1944</v>
      </c>
      <c r="D43" s="4" t="s">
        <v>200</v>
      </c>
      <c r="E43" s="25" t="str">
        <f aca="false">IF(J43=1,"✓","")</f>
        <v>✓</v>
      </c>
      <c r="F43" s="4" t="n">
        <v>14</v>
      </c>
      <c r="G43" s="4" t="n">
        <v>6</v>
      </c>
      <c r="H43" s="4" t="s">
        <v>144</v>
      </c>
      <c r="I43" s="4" t="s">
        <v>52</v>
      </c>
      <c r="J43" s="4" t="n">
        <f aca="false">INDEX('Master List'!$G$2:$G$2594,K43)</f>
        <v>1</v>
      </c>
      <c r="K43" s="4" t="n">
        <v>663</v>
      </c>
    </row>
    <row r="44" customFormat="false" ht="15" hidden="false" customHeight="false" outlineLevel="0" collapsed="false">
      <c r="A44" s="4" t="n">
        <v>43</v>
      </c>
      <c r="B44" s="4" t="s">
        <v>220</v>
      </c>
      <c r="C44" s="4" t="n">
        <v>1950</v>
      </c>
      <c r="D44" s="4" t="s">
        <v>156</v>
      </c>
      <c r="E44" s="25" t="str">
        <f aca="false">IF(J44=1,"✓","")</f>
        <v>✓</v>
      </c>
      <c r="F44" s="4" t="n">
        <v>14</v>
      </c>
      <c r="G44" s="4" t="n">
        <v>6</v>
      </c>
      <c r="H44" s="4" t="s">
        <v>144</v>
      </c>
      <c r="I44" s="4" t="s">
        <v>49</v>
      </c>
      <c r="J44" s="4" t="n">
        <f aca="false">INDEX('Master List'!$G$2:$G$2594,K44)</f>
        <v>1</v>
      </c>
      <c r="K44" s="4" t="n">
        <v>1860</v>
      </c>
    </row>
    <row r="45" customFormat="false" ht="15" hidden="false" customHeight="false" outlineLevel="0" collapsed="false">
      <c r="A45" s="4" t="n">
        <v>44</v>
      </c>
      <c r="B45" s="4" t="s">
        <v>221</v>
      </c>
      <c r="C45" s="4" t="n">
        <v>1956</v>
      </c>
      <c r="D45" s="4" t="s">
        <v>205</v>
      </c>
      <c r="E45" s="25" t="str">
        <f aca="false">IF(J45=1,"✓","")</f>
        <v>✓</v>
      </c>
      <c r="F45" s="4" t="n">
        <v>14</v>
      </c>
      <c r="G45" s="4" t="n">
        <v>6</v>
      </c>
      <c r="H45" s="4" t="s">
        <v>144</v>
      </c>
      <c r="I45" s="4" t="s">
        <v>50</v>
      </c>
      <c r="J45" s="4" t="n">
        <f aca="false">INDEX('Master List'!$G$2:$G$2594,K45)</f>
        <v>1</v>
      </c>
      <c r="K45" s="4" t="n">
        <v>1998</v>
      </c>
    </row>
    <row r="46" customFormat="false" ht="15" hidden="false" customHeight="false" outlineLevel="0" collapsed="false">
      <c r="A46" s="4" t="n">
        <v>45</v>
      </c>
      <c r="B46" s="4" t="s">
        <v>222</v>
      </c>
      <c r="C46" s="4" t="n">
        <v>2000</v>
      </c>
      <c r="D46" s="4" t="s">
        <v>223</v>
      </c>
      <c r="E46" s="25" t="str">
        <f aca="false">IF(J46=1,"✓","")</f>
        <v/>
      </c>
      <c r="F46" s="4" t="n">
        <v>14</v>
      </c>
      <c r="G46" s="4" t="n">
        <v>6</v>
      </c>
      <c r="H46" s="4" t="s">
        <v>144</v>
      </c>
      <c r="I46" s="4" t="s">
        <v>50</v>
      </c>
      <c r="J46" s="4" t="n">
        <f aca="false">INDEX('Master List'!$G$2:$G$2594,K46)</f>
        <v>0</v>
      </c>
      <c r="K46" s="4" t="n">
        <v>2569</v>
      </c>
    </row>
    <row r="47" customFormat="false" ht="15" hidden="false" customHeight="false" outlineLevel="0" collapsed="false">
      <c r="A47" s="4" t="n">
        <v>46</v>
      </c>
      <c r="B47" s="4" t="s">
        <v>224</v>
      </c>
      <c r="C47" s="4" t="n">
        <v>1952</v>
      </c>
      <c r="D47" s="4" t="s">
        <v>225</v>
      </c>
      <c r="E47" s="25" t="str">
        <f aca="false">IF(J47=1,"✓","")</f>
        <v/>
      </c>
      <c r="F47" s="4" t="n">
        <v>13</v>
      </c>
      <c r="G47" s="4" t="n">
        <v>6</v>
      </c>
      <c r="H47" s="4" t="s">
        <v>144</v>
      </c>
      <c r="I47" s="4" t="s">
        <v>50</v>
      </c>
      <c r="J47" s="4" t="n">
        <f aca="false">INDEX('Master List'!$G$2:$G$2594,K47)</f>
        <v>0</v>
      </c>
      <c r="K47" s="4" t="n">
        <v>2080</v>
      </c>
    </row>
    <row r="48" customFormat="false" ht="15" hidden="false" customHeight="false" outlineLevel="0" collapsed="false">
      <c r="A48" s="4" t="n">
        <v>47</v>
      </c>
      <c r="B48" s="4" t="s">
        <v>226</v>
      </c>
      <c r="C48" s="4" t="n">
        <v>1952</v>
      </c>
      <c r="D48" s="4" t="s">
        <v>160</v>
      </c>
      <c r="E48" s="25" t="str">
        <f aca="false">IF(J48=1,"✓","")</f>
        <v/>
      </c>
      <c r="F48" s="4" t="n">
        <v>13</v>
      </c>
      <c r="G48" s="4" t="n">
        <v>6</v>
      </c>
      <c r="H48" s="4" t="s">
        <v>144</v>
      </c>
      <c r="I48" s="4" t="s">
        <v>51</v>
      </c>
      <c r="J48" s="4" t="n">
        <f aca="false">INDEX('Master List'!$G$2:$G$2594,K48)</f>
        <v>0</v>
      </c>
      <c r="K48" s="4" t="n">
        <v>2395</v>
      </c>
    </row>
    <row r="49" customFormat="false" ht="15" hidden="false" customHeight="false" outlineLevel="0" collapsed="false">
      <c r="A49" s="4" t="n">
        <v>48</v>
      </c>
      <c r="B49" s="4" t="s">
        <v>227</v>
      </c>
      <c r="C49" s="4" t="n">
        <v>1966</v>
      </c>
      <c r="D49" s="4" t="s">
        <v>228</v>
      </c>
      <c r="E49" s="25" t="str">
        <f aca="false">IF(J49=1,"✓","")</f>
        <v/>
      </c>
      <c r="F49" s="4" t="n">
        <v>13</v>
      </c>
      <c r="G49" s="4" t="n">
        <v>6</v>
      </c>
      <c r="H49" s="4" t="s">
        <v>144</v>
      </c>
      <c r="I49" s="4" t="s">
        <v>50</v>
      </c>
      <c r="J49" s="4" t="n">
        <f aca="false">INDEX('Master List'!$G$2:$G$2594,K49)</f>
        <v>0</v>
      </c>
      <c r="K49" s="4" t="n">
        <v>554</v>
      </c>
    </row>
    <row r="50" customFormat="false" ht="15" hidden="false" customHeight="false" outlineLevel="0" collapsed="false">
      <c r="A50" s="4" t="n">
        <v>49</v>
      </c>
      <c r="B50" s="4" t="s">
        <v>229</v>
      </c>
      <c r="C50" s="4" t="n">
        <v>1975</v>
      </c>
      <c r="D50" s="4" t="s">
        <v>210</v>
      </c>
      <c r="E50" s="25" t="str">
        <f aca="false">IF(J50=1,"✓","")</f>
        <v/>
      </c>
      <c r="F50" s="4" t="n">
        <v>13</v>
      </c>
      <c r="G50" s="4" t="n">
        <v>6</v>
      </c>
      <c r="H50" s="4" t="s">
        <v>144</v>
      </c>
      <c r="I50" s="4" t="s">
        <v>53</v>
      </c>
      <c r="J50" s="4" t="n">
        <f aca="false">INDEX('Master List'!$G$2:$G$2594,K50)</f>
        <v>0</v>
      </c>
      <c r="K50" s="4" t="n">
        <v>1512</v>
      </c>
    </row>
    <row r="51" customFormat="false" ht="15" hidden="false" customHeight="false" outlineLevel="0" collapsed="false">
      <c r="A51" s="4" t="n">
        <v>50</v>
      </c>
      <c r="B51" s="4" t="s">
        <v>230</v>
      </c>
      <c r="C51" s="4" t="n">
        <v>2000</v>
      </c>
      <c r="D51" s="4" t="s">
        <v>193</v>
      </c>
      <c r="E51" s="25" t="str">
        <f aca="false">IF(J51=1,"✓","")</f>
        <v>✓</v>
      </c>
      <c r="F51" s="4" t="n">
        <v>13</v>
      </c>
      <c r="G51" s="4" t="n">
        <v>5</v>
      </c>
      <c r="H51" s="4" t="s">
        <v>144</v>
      </c>
      <c r="I51" s="4" t="s">
        <v>49</v>
      </c>
      <c r="J51" s="4" t="n">
        <f aca="false">INDEX('Master List'!$G$2:$G$2594,K51)</f>
        <v>1</v>
      </c>
      <c r="K51" s="4" t="n">
        <v>1129</v>
      </c>
    </row>
    <row r="52" customFormat="false" ht="15" hidden="false" customHeight="false" outlineLevel="0" collapsed="false">
      <c r="A52" s="4" t="n">
        <v>51</v>
      </c>
      <c r="B52" s="4" t="s">
        <v>231</v>
      </c>
      <c r="C52" s="4" t="n">
        <v>1925</v>
      </c>
      <c r="D52" s="4" t="s">
        <v>232</v>
      </c>
      <c r="E52" s="25" t="str">
        <f aca="false">IF(J52=1,"✓","")</f>
        <v/>
      </c>
      <c r="F52" s="4" t="n">
        <v>13</v>
      </c>
      <c r="G52" s="4" t="n">
        <v>5</v>
      </c>
      <c r="H52" s="4" t="s">
        <v>144</v>
      </c>
      <c r="I52" s="4" t="s">
        <v>49</v>
      </c>
      <c r="J52" s="4" t="n">
        <f aca="false">INDEX('Master List'!$G$2:$G$2594,K52)</f>
        <v>0</v>
      </c>
      <c r="K52" s="4" t="n">
        <v>199</v>
      </c>
    </row>
    <row r="53" customFormat="false" ht="15" hidden="false" customHeight="false" outlineLevel="0" collapsed="false">
      <c r="A53" s="4" t="n">
        <v>52</v>
      </c>
      <c r="B53" s="4" t="s">
        <v>233</v>
      </c>
      <c r="C53" s="4" t="n">
        <v>1939</v>
      </c>
      <c r="D53" s="4" t="s">
        <v>234</v>
      </c>
      <c r="E53" s="25" t="str">
        <f aca="false">IF(J53=1,"✓","")</f>
        <v/>
      </c>
      <c r="F53" s="4" t="n">
        <v>13</v>
      </c>
      <c r="G53" s="4" t="n">
        <v>5</v>
      </c>
      <c r="H53" s="4" t="s">
        <v>144</v>
      </c>
      <c r="I53" s="4" t="s">
        <v>51</v>
      </c>
      <c r="J53" s="4" t="n">
        <f aca="false">INDEX('Master List'!$G$2:$G$2594,K53)</f>
        <v>0</v>
      </c>
      <c r="K53" s="4" t="n">
        <v>1943</v>
      </c>
    </row>
    <row r="54" customFormat="false" ht="15" hidden="false" customHeight="false" outlineLevel="0" collapsed="false">
      <c r="A54" s="4" t="n">
        <v>53</v>
      </c>
      <c r="B54" s="4" t="s">
        <v>235</v>
      </c>
      <c r="C54" s="4" t="n">
        <v>1952</v>
      </c>
      <c r="D54" s="4" t="s">
        <v>156</v>
      </c>
      <c r="E54" s="25" t="str">
        <f aca="false">IF(J54=1,"✓","")</f>
        <v>✓</v>
      </c>
      <c r="F54" s="4" t="n">
        <v>13</v>
      </c>
      <c r="G54" s="4" t="n">
        <v>5</v>
      </c>
      <c r="H54" s="4" t="s">
        <v>144</v>
      </c>
      <c r="I54" s="4" t="s">
        <v>51</v>
      </c>
      <c r="J54" s="4" t="n">
        <f aca="false">INDEX('Master List'!$G$2:$G$2594,K54)</f>
        <v>1</v>
      </c>
      <c r="K54" s="4" t="n">
        <v>1118</v>
      </c>
    </row>
    <row r="55" customFormat="false" ht="15" hidden="false" customHeight="false" outlineLevel="0" collapsed="false">
      <c r="A55" s="4" t="n">
        <v>54</v>
      </c>
      <c r="B55" s="4" t="s">
        <v>236</v>
      </c>
      <c r="C55" s="4" t="n">
        <v>1957</v>
      </c>
      <c r="D55" s="4" t="s">
        <v>189</v>
      </c>
      <c r="E55" s="25" t="str">
        <f aca="false">IF(J55=1,"✓","")</f>
        <v>✓</v>
      </c>
      <c r="F55" s="4" t="n">
        <v>13</v>
      </c>
      <c r="G55" s="4" t="n">
        <v>5</v>
      </c>
      <c r="H55" s="4" t="s">
        <v>144</v>
      </c>
      <c r="I55" s="4" t="s">
        <v>53</v>
      </c>
      <c r="J55" s="4" t="n">
        <f aca="false">INDEX('Master List'!$G$2:$G$2594,K55)</f>
        <v>1</v>
      </c>
      <c r="K55" s="4" t="n">
        <v>3</v>
      </c>
    </row>
    <row r="56" customFormat="false" ht="15" hidden="false" customHeight="false" outlineLevel="0" collapsed="false">
      <c r="A56" s="4" t="n">
        <v>55</v>
      </c>
      <c r="B56" s="4" t="s">
        <v>237</v>
      </c>
      <c r="C56" s="4" t="n">
        <v>1964</v>
      </c>
      <c r="D56" s="4" t="s">
        <v>187</v>
      </c>
      <c r="E56" s="25" t="str">
        <f aca="false">IF(J56=1,"✓","")</f>
        <v>✓</v>
      </c>
      <c r="F56" s="4" t="n">
        <v>13</v>
      </c>
      <c r="G56" s="4" t="n">
        <v>5</v>
      </c>
      <c r="H56" s="4" t="s">
        <v>144</v>
      </c>
      <c r="I56" s="4" t="s">
        <v>52</v>
      </c>
      <c r="J56" s="4" t="n">
        <f aca="false">INDEX('Master List'!$G$2:$G$2594,K56)</f>
        <v>1</v>
      </c>
      <c r="K56" s="4" t="n">
        <v>671</v>
      </c>
    </row>
    <row r="57" customFormat="false" ht="15" hidden="false" customHeight="false" outlineLevel="0" collapsed="false">
      <c r="A57" s="4" t="n">
        <v>56</v>
      </c>
      <c r="B57" s="4" t="s">
        <v>238</v>
      </c>
      <c r="C57" s="4" t="n">
        <v>1978</v>
      </c>
      <c r="D57" s="4" t="s">
        <v>239</v>
      </c>
      <c r="E57" s="25" t="str">
        <f aca="false">IF(J57=1,"✓","")</f>
        <v/>
      </c>
      <c r="F57" s="4" t="n">
        <v>13</v>
      </c>
      <c r="G57" s="4" t="n">
        <v>6</v>
      </c>
      <c r="H57" s="4" t="s">
        <v>144</v>
      </c>
      <c r="I57" s="4" t="s">
        <v>54</v>
      </c>
      <c r="J57" s="4" t="n">
        <f aca="false">INDEX('Master List'!$G$2:$G$2594,K57)</f>
        <v>0</v>
      </c>
      <c r="K57" s="4" t="n">
        <v>1248</v>
      </c>
    </row>
    <row r="58" customFormat="false" ht="15" hidden="false" customHeight="false" outlineLevel="0" collapsed="false">
      <c r="A58" s="4" t="n">
        <v>57</v>
      </c>
      <c r="B58" s="4" t="s">
        <v>240</v>
      </c>
      <c r="C58" s="4" t="n">
        <v>2019</v>
      </c>
      <c r="D58" s="4" t="s">
        <v>241</v>
      </c>
      <c r="E58" s="25" t="str">
        <f aca="false">IF(J58=1,"✓","")</f>
        <v/>
      </c>
      <c r="F58" s="4" t="n">
        <v>13</v>
      </c>
      <c r="G58" s="4" t="n">
        <v>6</v>
      </c>
      <c r="H58" s="4" t="s">
        <v>144</v>
      </c>
      <c r="I58" s="4" t="s">
        <v>50</v>
      </c>
      <c r="J58" s="4" t="n">
        <f aca="false">INDEX('Master List'!$G$2:$G$2594,K58)</f>
        <v>0</v>
      </c>
      <c r="K58" s="4" t="n">
        <v>1799</v>
      </c>
    </row>
    <row r="59" customFormat="false" ht="15" hidden="false" customHeight="false" outlineLevel="0" collapsed="false">
      <c r="A59" s="4" t="n">
        <v>58</v>
      </c>
      <c r="B59" s="4" t="s">
        <v>242</v>
      </c>
      <c r="C59" s="4" t="n">
        <v>1976</v>
      </c>
      <c r="D59" s="4" t="s">
        <v>243</v>
      </c>
      <c r="E59" s="25" t="str">
        <f aca="false">IF(J59=1,"✓","")</f>
        <v>✓</v>
      </c>
      <c r="F59" s="4" t="n">
        <v>13</v>
      </c>
      <c r="G59" s="4" t="n">
        <v>5</v>
      </c>
      <c r="H59" s="4" t="s">
        <v>144</v>
      </c>
      <c r="I59" s="4" t="s">
        <v>52</v>
      </c>
      <c r="J59" s="4" t="n">
        <f aca="false">INDEX('Master List'!$G$2:$G$2594,K59)</f>
        <v>1</v>
      </c>
      <c r="K59" s="4" t="n">
        <v>78</v>
      </c>
    </row>
    <row r="60" customFormat="false" ht="15" hidden="false" customHeight="false" outlineLevel="0" collapsed="false">
      <c r="A60" s="4" t="n">
        <v>59</v>
      </c>
      <c r="B60" s="4" t="s">
        <v>244</v>
      </c>
      <c r="C60" s="4" t="n">
        <v>1980</v>
      </c>
      <c r="D60" s="4" t="s">
        <v>164</v>
      </c>
      <c r="E60" s="25" t="str">
        <f aca="false">IF(J60=1,"✓","")</f>
        <v>✓</v>
      </c>
      <c r="F60" s="4" t="n">
        <v>12</v>
      </c>
      <c r="G60" s="4" t="n">
        <v>5</v>
      </c>
      <c r="H60" s="4" t="s">
        <v>144</v>
      </c>
      <c r="I60" s="4" t="s">
        <v>49</v>
      </c>
      <c r="J60" s="4" t="n">
        <f aca="false">INDEX('Master List'!$G$2:$G$2594,K60)</f>
        <v>1</v>
      </c>
      <c r="K60" s="4" t="n">
        <v>1850</v>
      </c>
    </row>
    <row r="61" customFormat="false" ht="15" hidden="false" customHeight="false" outlineLevel="0" collapsed="false">
      <c r="A61" s="4" t="n">
        <v>60</v>
      </c>
      <c r="B61" s="4" t="s">
        <v>245</v>
      </c>
      <c r="C61" s="4" t="n">
        <v>1928</v>
      </c>
      <c r="D61" s="4" t="s">
        <v>246</v>
      </c>
      <c r="E61" s="25" t="str">
        <f aca="false">IF(J61=1,"✓","")</f>
        <v/>
      </c>
      <c r="F61" s="4" t="n">
        <v>12</v>
      </c>
      <c r="G61" s="4" t="n">
        <v>5</v>
      </c>
      <c r="H61" s="4" t="s">
        <v>144</v>
      </c>
      <c r="I61" s="4" t="s">
        <v>50</v>
      </c>
      <c r="J61" s="4" t="n">
        <f aca="false">INDEX('Master List'!$G$2:$G$2594,K61)</f>
        <v>0</v>
      </c>
      <c r="K61" s="4" t="n">
        <v>1729</v>
      </c>
    </row>
    <row r="62" customFormat="false" ht="15" hidden="false" customHeight="false" outlineLevel="0" collapsed="false">
      <c r="A62" s="4" t="n">
        <v>61</v>
      </c>
      <c r="B62" s="4" t="s">
        <v>247</v>
      </c>
      <c r="C62" s="4" t="n">
        <v>1931</v>
      </c>
      <c r="D62" s="4" t="s">
        <v>248</v>
      </c>
      <c r="E62" s="25" t="str">
        <f aca="false">IF(J62=1,"✓","")</f>
        <v>✓</v>
      </c>
      <c r="F62" s="4" t="n">
        <v>12</v>
      </c>
      <c r="G62" s="4" t="n">
        <v>5</v>
      </c>
      <c r="H62" s="4" t="s">
        <v>144</v>
      </c>
      <c r="I62" s="4" t="s">
        <v>49</v>
      </c>
      <c r="J62" s="4" t="n">
        <f aca="false">INDEX('Master List'!$G$2:$G$2594,K62)</f>
        <v>1</v>
      </c>
      <c r="K62" s="4" t="n">
        <v>1398</v>
      </c>
    </row>
    <row r="63" customFormat="false" ht="15" hidden="false" customHeight="false" outlineLevel="0" collapsed="false">
      <c r="A63" s="4" t="n">
        <v>62</v>
      </c>
      <c r="B63" s="4" t="s">
        <v>249</v>
      </c>
      <c r="C63" s="4" t="n">
        <v>1941</v>
      </c>
      <c r="D63" s="4" t="s">
        <v>250</v>
      </c>
      <c r="E63" s="25" t="str">
        <f aca="false">IF(J63=1,"✓","")</f>
        <v/>
      </c>
      <c r="F63" s="4" t="n">
        <v>12</v>
      </c>
      <c r="G63" s="4" t="n">
        <v>5</v>
      </c>
      <c r="H63" s="4" t="s">
        <v>144</v>
      </c>
      <c r="I63" s="4" t="s">
        <v>53</v>
      </c>
      <c r="J63" s="4" t="n">
        <f aca="false">INDEX('Master List'!$G$2:$G$2594,K63)</f>
        <v>0</v>
      </c>
      <c r="K63" s="4" t="n">
        <v>2195</v>
      </c>
    </row>
    <row r="64" customFormat="false" ht="15" hidden="false" customHeight="false" outlineLevel="0" collapsed="false">
      <c r="A64" s="4" t="n">
        <v>63</v>
      </c>
      <c r="B64" s="4" t="s">
        <v>251</v>
      </c>
      <c r="C64" s="4" t="n">
        <v>1948</v>
      </c>
      <c r="D64" s="4" t="s">
        <v>162</v>
      </c>
      <c r="E64" s="25" t="str">
        <f aca="false">IF(J64=1,"✓","")</f>
        <v/>
      </c>
      <c r="F64" s="4" t="n">
        <v>12</v>
      </c>
      <c r="G64" s="4" t="n">
        <v>5</v>
      </c>
      <c r="H64" s="4" t="s">
        <v>144</v>
      </c>
      <c r="I64" s="4" t="s">
        <v>49</v>
      </c>
      <c r="J64" s="4" t="n">
        <f aca="false">INDEX('Master List'!$G$2:$G$2594,K64)</f>
        <v>0</v>
      </c>
      <c r="K64" s="4" t="n">
        <v>1933</v>
      </c>
    </row>
    <row r="65" customFormat="false" ht="15" hidden="false" customHeight="false" outlineLevel="0" collapsed="false">
      <c r="A65" s="4" t="n">
        <v>64</v>
      </c>
      <c r="B65" s="4" t="s">
        <v>252</v>
      </c>
      <c r="C65" s="4" t="n">
        <v>1955</v>
      </c>
      <c r="D65" s="4" t="s">
        <v>253</v>
      </c>
      <c r="E65" s="25" t="str">
        <f aca="false">IF(J65=1,"✓","")</f>
        <v/>
      </c>
      <c r="F65" s="4" t="n">
        <v>12</v>
      </c>
      <c r="G65" s="4" t="n">
        <v>5</v>
      </c>
      <c r="H65" s="4" t="s">
        <v>144</v>
      </c>
      <c r="I65" s="4" t="s">
        <v>50</v>
      </c>
      <c r="J65" s="4" t="n">
        <f aca="false">INDEX('Master List'!$G$2:$G$2594,K65)</f>
        <v>0</v>
      </c>
      <c r="K65" s="4" t="n">
        <v>1734</v>
      </c>
    </row>
    <row r="66" customFormat="false" ht="15" hidden="false" customHeight="false" outlineLevel="0" collapsed="false">
      <c r="A66" s="4" t="n">
        <v>65</v>
      </c>
      <c r="B66" s="4" t="s">
        <v>254</v>
      </c>
      <c r="C66" s="4" t="n">
        <v>1962</v>
      </c>
      <c r="D66" s="4" t="s">
        <v>255</v>
      </c>
      <c r="E66" s="25" t="str">
        <f aca="false">IF(J66=1,"✓","")</f>
        <v/>
      </c>
      <c r="F66" s="4" t="n">
        <v>12</v>
      </c>
      <c r="G66" s="4" t="n">
        <v>5</v>
      </c>
      <c r="H66" s="4" t="s">
        <v>144</v>
      </c>
      <c r="I66" s="4" t="s">
        <v>49</v>
      </c>
      <c r="J66" s="4" t="n">
        <f aca="false">INDEX('Master List'!$G$2:$G$2594,K66)</f>
        <v>0</v>
      </c>
      <c r="K66" s="4" t="n">
        <v>1313</v>
      </c>
    </row>
    <row r="67" customFormat="false" ht="15" hidden="false" customHeight="false" outlineLevel="0" collapsed="false">
      <c r="A67" s="4" t="n">
        <v>66</v>
      </c>
      <c r="B67" s="4" t="s">
        <v>256</v>
      </c>
      <c r="C67" s="4" t="n">
        <v>1977</v>
      </c>
      <c r="D67" s="4" t="s">
        <v>257</v>
      </c>
      <c r="E67" s="25" t="str">
        <f aca="false">IF(J67=1,"✓","")</f>
        <v>✓</v>
      </c>
      <c r="F67" s="4" t="n">
        <v>12</v>
      </c>
      <c r="G67" s="4" t="n">
        <v>5</v>
      </c>
      <c r="H67" s="4" t="s">
        <v>144</v>
      </c>
      <c r="I67" s="4" t="s">
        <v>50</v>
      </c>
      <c r="J67" s="4" t="n">
        <f aca="false">INDEX('Master List'!$G$2:$G$2594,K67)</f>
        <v>1</v>
      </c>
      <c r="K67" s="4" t="n">
        <v>2149</v>
      </c>
    </row>
    <row r="68" customFormat="false" ht="15" hidden="false" customHeight="false" outlineLevel="0" collapsed="false">
      <c r="A68" s="4" t="n">
        <v>67</v>
      </c>
      <c r="B68" s="4" t="s">
        <v>258</v>
      </c>
      <c r="C68" s="4" t="n">
        <v>1992</v>
      </c>
      <c r="D68" s="4" t="s">
        <v>208</v>
      </c>
      <c r="E68" s="25" t="str">
        <f aca="false">IF(J68=1,"✓","")</f>
        <v>✓</v>
      </c>
      <c r="F68" s="4" t="n">
        <v>12</v>
      </c>
      <c r="G68" s="4" t="n">
        <v>5</v>
      </c>
      <c r="H68" s="4" t="s">
        <v>144</v>
      </c>
      <c r="I68" s="4" t="s">
        <v>50</v>
      </c>
      <c r="J68" s="4" t="n">
        <f aca="false">INDEX('Master List'!$G$2:$G$2594,K68)</f>
        <v>1</v>
      </c>
      <c r="K68" s="4" t="n">
        <v>1892</v>
      </c>
    </row>
    <row r="69" customFormat="false" ht="15" hidden="false" customHeight="false" outlineLevel="0" collapsed="false">
      <c r="A69" s="4" t="n">
        <v>68</v>
      </c>
      <c r="B69" s="4" t="s">
        <v>259</v>
      </c>
      <c r="C69" s="4" t="n">
        <v>1993</v>
      </c>
      <c r="D69" s="4" t="s">
        <v>260</v>
      </c>
      <c r="E69" s="25" t="str">
        <f aca="false">IF(J69=1,"✓","")</f>
        <v>✓</v>
      </c>
      <c r="F69" s="4" t="n">
        <v>12</v>
      </c>
      <c r="G69" s="4" t="n">
        <v>5</v>
      </c>
      <c r="H69" s="4" t="s">
        <v>144</v>
      </c>
      <c r="I69" s="4" t="s">
        <v>49</v>
      </c>
      <c r="J69" s="4" t="n">
        <f aca="false">INDEX('Master List'!$G$2:$G$2594,K69)</f>
        <v>1</v>
      </c>
      <c r="K69" s="4" t="n">
        <v>970</v>
      </c>
    </row>
    <row r="70" customFormat="false" ht="15" hidden="false" customHeight="false" outlineLevel="0" collapsed="false">
      <c r="A70" s="4" t="n">
        <v>69</v>
      </c>
      <c r="B70" s="4" t="s">
        <v>261</v>
      </c>
      <c r="C70" s="4" t="n">
        <v>1999</v>
      </c>
      <c r="D70" s="4" t="s">
        <v>262</v>
      </c>
      <c r="E70" s="25" t="str">
        <f aca="false">IF(J70=1,"✓","")</f>
        <v/>
      </c>
      <c r="F70" s="4" t="n">
        <v>12</v>
      </c>
      <c r="G70" s="4" t="n">
        <v>5</v>
      </c>
      <c r="H70" s="4" t="s">
        <v>144</v>
      </c>
      <c r="I70" s="4" t="s">
        <v>51</v>
      </c>
      <c r="J70" s="4" t="n">
        <f aca="false">INDEX('Master List'!$G$2:$G$2594,K70)</f>
        <v>0</v>
      </c>
      <c r="K70" s="4" t="n">
        <v>206</v>
      </c>
    </row>
    <row r="71" customFormat="false" ht="15" hidden="false" customHeight="false" outlineLevel="0" collapsed="false">
      <c r="A71" s="4" t="n">
        <v>70</v>
      </c>
      <c r="B71" s="4" t="s">
        <v>263</v>
      </c>
      <c r="C71" s="4" t="n">
        <v>1943</v>
      </c>
      <c r="D71" s="4" t="s">
        <v>264</v>
      </c>
      <c r="E71" s="25" t="str">
        <f aca="false">IF(J71=1,"✓","")</f>
        <v/>
      </c>
      <c r="F71" s="4" t="n">
        <v>12</v>
      </c>
      <c r="G71" s="4" t="n">
        <v>5</v>
      </c>
      <c r="H71" s="4" t="s">
        <v>144</v>
      </c>
      <c r="I71" s="4" t="s">
        <v>52</v>
      </c>
      <c r="J71" s="4" t="n">
        <f aca="false">INDEX('Master List'!$G$2:$G$2594,K71)</f>
        <v>0</v>
      </c>
      <c r="K71" s="4" t="n">
        <v>1486</v>
      </c>
    </row>
    <row r="72" customFormat="false" ht="15" hidden="false" customHeight="false" outlineLevel="0" collapsed="false">
      <c r="A72" s="4" t="n">
        <v>71</v>
      </c>
      <c r="B72" s="4" t="s">
        <v>265</v>
      </c>
      <c r="C72" s="4" t="n">
        <v>1982</v>
      </c>
      <c r="D72" s="4" t="s">
        <v>266</v>
      </c>
      <c r="E72" s="25" t="str">
        <f aca="false">IF(J72=1,"✓","")</f>
        <v>✓</v>
      </c>
      <c r="F72" s="4" t="n">
        <v>12</v>
      </c>
      <c r="G72" s="4" t="n">
        <v>4</v>
      </c>
      <c r="H72" s="4" t="s">
        <v>144</v>
      </c>
      <c r="I72" s="4" t="s">
        <v>52</v>
      </c>
      <c r="J72" s="4" t="n">
        <f aca="false">INDEX('Master List'!$G$2:$G$2594,K72)</f>
        <v>1</v>
      </c>
      <c r="K72" s="4" t="n">
        <v>2278</v>
      </c>
    </row>
    <row r="73" customFormat="false" ht="15" hidden="false" customHeight="false" outlineLevel="0" collapsed="false">
      <c r="A73" s="4" t="n">
        <v>72</v>
      </c>
      <c r="B73" s="4" t="s">
        <v>267</v>
      </c>
      <c r="C73" s="4" t="n">
        <v>1954</v>
      </c>
      <c r="D73" s="4" t="s">
        <v>268</v>
      </c>
      <c r="E73" s="25" t="str">
        <f aca="false">IF(J73=1,"✓","")</f>
        <v/>
      </c>
      <c r="F73" s="4" t="n">
        <v>11</v>
      </c>
      <c r="G73" s="4" t="n">
        <v>6</v>
      </c>
      <c r="H73" s="4" t="s">
        <v>144</v>
      </c>
      <c r="I73" s="4" t="s">
        <v>50</v>
      </c>
      <c r="J73" s="4" t="n">
        <f aca="false">INDEX('Master List'!$G$2:$G$2594,K73)</f>
        <v>0</v>
      </c>
      <c r="K73" s="4" t="n">
        <v>1219</v>
      </c>
    </row>
    <row r="74" customFormat="false" ht="15" hidden="false" customHeight="false" outlineLevel="0" collapsed="false">
      <c r="A74" s="4" t="n">
        <v>73</v>
      </c>
      <c r="B74" s="4" t="s">
        <v>269</v>
      </c>
      <c r="C74" s="4" t="n">
        <v>1955</v>
      </c>
      <c r="D74" s="4" t="s">
        <v>270</v>
      </c>
      <c r="E74" s="25" t="str">
        <f aca="false">IF(J74=1,"✓","")</f>
        <v/>
      </c>
      <c r="F74" s="4" t="n">
        <v>11</v>
      </c>
      <c r="G74" s="4" t="n">
        <v>5</v>
      </c>
      <c r="H74" s="4" t="s">
        <v>144</v>
      </c>
      <c r="I74" s="4" t="s">
        <v>50</v>
      </c>
      <c r="J74" s="4" t="n">
        <f aca="false">INDEX('Master List'!$G$2:$G$2594,K74)</f>
        <v>0</v>
      </c>
      <c r="K74" s="4" t="n">
        <v>1868</v>
      </c>
    </row>
    <row r="75" customFormat="false" ht="15" hidden="false" customHeight="false" outlineLevel="0" collapsed="false">
      <c r="A75" s="4" t="n">
        <v>74</v>
      </c>
      <c r="B75" s="4" t="s">
        <v>271</v>
      </c>
      <c r="C75" s="4" t="n">
        <v>1959</v>
      </c>
      <c r="D75" s="4" t="s">
        <v>272</v>
      </c>
      <c r="E75" s="25" t="str">
        <f aca="false">IF(J75=1,"✓","")</f>
        <v/>
      </c>
      <c r="F75" s="4" t="n">
        <v>11</v>
      </c>
      <c r="G75" s="4" t="n">
        <v>6</v>
      </c>
      <c r="H75" s="4" t="s">
        <v>213</v>
      </c>
      <c r="I75" s="4" t="s">
        <v>49</v>
      </c>
      <c r="J75" s="4" t="n">
        <f aca="false">INDEX('Master List'!$G$2:$G$2594,K75)</f>
        <v>0</v>
      </c>
      <c r="K75" s="4" t="n">
        <v>1040</v>
      </c>
    </row>
    <row r="76" customFormat="false" ht="15" hidden="false" customHeight="false" outlineLevel="0" collapsed="false">
      <c r="A76" s="4" t="n">
        <v>75</v>
      </c>
      <c r="B76" s="4" t="s">
        <v>273</v>
      </c>
      <c r="C76" s="4" t="n">
        <v>1998</v>
      </c>
      <c r="D76" s="4" t="s">
        <v>274</v>
      </c>
      <c r="E76" s="25" t="str">
        <f aca="false">IF(J76=1,"✓","")</f>
        <v>✓</v>
      </c>
      <c r="F76" s="4" t="n">
        <v>11</v>
      </c>
      <c r="G76" s="4" t="n">
        <v>5</v>
      </c>
      <c r="H76" s="4" t="s">
        <v>144</v>
      </c>
      <c r="I76" s="4" t="s">
        <v>50</v>
      </c>
      <c r="J76" s="4" t="n">
        <f aca="false">INDEX('Master List'!$G$2:$G$2594,K76)</f>
        <v>1</v>
      </c>
      <c r="K76" s="4" t="n">
        <v>1948</v>
      </c>
    </row>
    <row r="77" customFormat="false" ht="15" hidden="false" customHeight="false" outlineLevel="0" collapsed="false">
      <c r="A77" s="4" t="n">
        <v>76</v>
      </c>
      <c r="B77" s="4" t="s">
        <v>275</v>
      </c>
      <c r="C77" s="4" t="n">
        <v>2003</v>
      </c>
      <c r="D77" s="4" t="s">
        <v>276</v>
      </c>
      <c r="E77" s="25" t="str">
        <f aca="false">IF(J77=1,"✓","")</f>
        <v/>
      </c>
      <c r="F77" s="4" t="n">
        <v>11</v>
      </c>
      <c r="G77" s="4" t="n">
        <v>5</v>
      </c>
      <c r="H77" s="4" t="s">
        <v>144</v>
      </c>
      <c r="I77" s="4" t="s">
        <v>50</v>
      </c>
      <c r="J77" s="4" t="n">
        <f aca="false">INDEX('Master List'!$G$2:$G$2594,K77)</f>
        <v>0</v>
      </c>
      <c r="K77" s="4" t="n">
        <v>1478</v>
      </c>
    </row>
    <row r="78" customFormat="false" ht="15" hidden="false" customHeight="false" outlineLevel="0" collapsed="false">
      <c r="A78" s="4" t="n">
        <v>77</v>
      </c>
      <c r="B78" s="4" t="s">
        <v>277</v>
      </c>
      <c r="C78" s="4" t="n">
        <v>2007</v>
      </c>
      <c r="D78" s="4" t="s">
        <v>278</v>
      </c>
      <c r="E78" s="25" t="str">
        <f aca="false">IF(J78=1,"✓","")</f>
        <v>✓</v>
      </c>
      <c r="F78" s="4" t="n">
        <v>11</v>
      </c>
      <c r="G78" s="4" t="n">
        <v>5</v>
      </c>
      <c r="H78" s="4" t="s">
        <v>144</v>
      </c>
      <c r="I78" s="4" t="s">
        <v>49</v>
      </c>
      <c r="J78" s="4" t="n">
        <f aca="false">INDEX('Master List'!$G$2:$G$2594,K78)</f>
        <v>1</v>
      </c>
      <c r="K78" s="4" t="n">
        <v>2269</v>
      </c>
    </row>
    <row r="79" customFormat="false" ht="15" hidden="false" customHeight="false" outlineLevel="0" collapsed="false">
      <c r="A79" s="4" t="n">
        <v>78</v>
      </c>
      <c r="B79" s="4" t="s">
        <v>279</v>
      </c>
      <c r="C79" s="4" t="n">
        <v>2017</v>
      </c>
      <c r="D79" s="4" t="s">
        <v>280</v>
      </c>
      <c r="E79" s="25" t="str">
        <f aca="false">IF(J79=1,"✓","")</f>
        <v>✓</v>
      </c>
      <c r="F79" s="4" t="n">
        <v>11</v>
      </c>
      <c r="G79" s="4" t="n">
        <v>5</v>
      </c>
      <c r="H79" s="4" t="s">
        <v>144</v>
      </c>
      <c r="I79" s="4" t="s">
        <v>50</v>
      </c>
      <c r="J79" s="4" t="n">
        <f aca="false">INDEX('Master List'!$G$2:$G$2594,K79)</f>
        <v>1</v>
      </c>
      <c r="K79" s="4" t="n">
        <v>889</v>
      </c>
    </row>
    <row r="80" customFormat="false" ht="15" hidden="false" customHeight="false" outlineLevel="0" collapsed="false">
      <c r="A80" s="4" t="n">
        <v>79</v>
      </c>
      <c r="B80" s="4" t="s">
        <v>281</v>
      </c>
      <c r="C80" s="4" t="n">
        <v>1927</v>
      </c>
      <c r="D80" s="4" t="s">
        <v>248</v>
      </c>
      <c r="E80" s="25" t="str">
        <f aca="false">IF(J80=1,"✓","")</f>
        <v>✓</v>
      </c>
      <c r="F80" s="4" t="n">
        <v>11</v>
      </c>
      <c r="G80" s="4" t="n">
        <v>5</v>
      </c>
      <c r="H80" s="4" t="s">
        <v>144</v>
      </c>
      <c r="I80" s="4" t="s">
        <v>49</v>
      </c>
      <c r="J80" s="4" t="n">
        <f aca="false">INDEX('Master List'!$G$2:$G$2594,K80)</f>
        <v>1</v>
      </c>
      <c r="K80" s="4" t="n">
        <v>1487</v>
      </c>
    </row>
    <row r="81" customFormat="false" ht="15" hidden="false" customHeight="false" outlineLevel="0" collapsed="false">
      <c r="A81" s="4" t="n">
        <v>80</v>
      </c>
      <c r="B81" s="4" t="s">
        <v>282</v>
      </c>
      <c r="C81" s="4" t="n">
        <v>1941</v>
      </c>
      <c r="D81" s="4" t="s">
        <v>283</v>
      </c>
      <c r="E81" s="25" t="str">
        <f aca="false">IF(J81=1,"✓","")</f>
        <v/>
      </c>
      <c r="F81" s="4" t="n">
        <v>11</v>
      </c>
      <c r="G81" s="4" t="n">
        <v>5</v>
      </c>
      <c r="H81" s="4" t="s">
        <v>144</v>
      </c>
      <c r="I81" s="4" t="s">
        <v>50</v>
      </c>
      <c r="J81" s="4" t="n">
        <f aca="false">INDEX('Master List'!$G$2:$G$2594,K81)</f>
        <v>0</v>
      </c>
      <c r="K81" s="4" t="n">
        <v>1419</v>
      </c>
    </row>
    <row r="82" customFormat="false" ht="15" hidden="false" customHeight="false" outlineLevel="0" collapsed="false">
      <c r="A82" s="4" t="n">
        <v>81</v>
      </c>
      <c r="B82" s="4" t="s">
        <v>284</v>
      </c>
      <c r="C82" s="4" t="n">
        <v>1950</v>
      </c>
      <c r="D82" s="4" t="s">
        <v>200</v>
      </c>
      <c r="E82" s="25" t="str">
        <f aca="false">IF(J82=1,"✓","")</f>
        <v>✓</v>
      </c>
      <c r="F82" s="4" t="n">
        <v>11</v>
      </c>
      <c r="G82" s="4" t="n">
        <v>5</v>
      </c>
      <c r="H82" s="4" t="s">
        <v>144</v>
      </c>
      <c r="I82" s="4" t="s">
        <v>50</v>
      </c>
      <c r="J82" s="4" t="n">
        <f aca="false">INDEX('Master List'!$G$2:$G$2594,K82)</f>
        <v>1</v>
      </c>
      <c r="K82" s="4" t="n">
        <v>2203</v>
      </c>
    </row>
    <row r="83" customFormat="false" ht="15" hidden="false" customHeight="false" outlineLevel="0" collapsed="false">
      <c r="A83" s="4" t="n">
        <v>82</v>
      </c>
      <c r="B83" s="4" t="s">
        <v>285</v>
      </c>
      <c r="C83" s="4" t="n">
        <v>1953</v>
      </c>
      <c r="D83" s="4" t="s">
        <v>286</v>
      </c>
      <c r="E83" s="25" t="str">
        <f aca="false">IF(J83=1,"✓","")</f>
        <v/>
      </c>
      <c r="F83" s="4" t="n">
        <v>11</v>
      </c>
      <c r="G83" s="4" t="n">
        <v>5</v>
      </c>
      <c r="H83" s="4" t="s">
        <v>144</v>
      </c>
      <c r="I83" s="4" t="s">
        <v>50</v>
      </c>
      <c r="J83" s="4" t="n">
        <f aca="false">INDEX('Master List'!$G$2:$G$2594,K83)</f>
        <v>0</v>
      </c>
      <c r="K83" s="4" t="n">
        <v>2393</v>
      </c>
    </row>
    <row r="84" customFormat="false" ht="15" hidden="false" customHeight="false" outlineLevel="0" collapsed="false">
      <c r="A84" s="4" t="n">
        <v>83</v>
      </c>
      <c r="B84" s="4" t="s">
        <v>287</v>
      </c>
      <c r="C84" s="4" t="n">
        <v>1960</v>
      </c>
      <c r="D84" s="4" t="s">
        <v>179</v>
      </c>
      <c r="E84" s="25" t="str">
        <f aca="false">IF(J84=1,"✓","")</f>
        <v>✓</v>
      </c>
      <c r="F84" s="4" t="n">
        <v>11</v>
      </c>
      <c r="G84" s="4" t="n">
        <v>5</v>
      </c>
      <c r="H84" s="4" t="s">
        <v>144</v>
      </c>
      <c r="I84" s="4" t="s">
        <v>50</v>
      </c>
      <c r="J84" s="4" t="n">
        <f aca="false">INDEX('Master List'!$G$2:$G$2594,K84)</f>
        <v>1</v>
      </c>
      <c r="K84" s="4" t="n">
        <v>655</v>
      </c>
    </row>
    <row r="85" customFormat="false" ht="15" hidden="false" customHeight="false" outlineLevel="0" collapsed="false">
      <c r="A85" s="4" t="n">
        <v>84</v>
      </c>
      <c r="B85" s="4" t="s">
        <v>288</v>
      </c>
      <c r="C85" s="4" t="n">
        <v>1963</v>
      </c>
      <c r="D85" s="4" t="s">
        <v>170</v>
      </c>
      <c r="E85" s="25" t="str">
        <f aca="false">IF(J85=1,"✓","")</f>
        <v/>
      </c>
      <c r="F85" s="4" t="n">
        <v>11</v>
      </c>
      <c r="G85" s="4" t="n">
        <v>4</v>
      </c>
      <c r="H85" s="4" t="s">
        <v>144</v>
      </c>
      <c r="I85" s="4" t="s">
        <v>53</v>
      </c>
      <c r="J85" s="4" t="n">
        <f aca="false">INDEX('Master List'!$G$2:$G$2594,K85)</f>
        <v>0</v>
      </c>
      <c r="K85" s="4" t="n">
        <v>2529</v>
      </c>
    </row>
    <row r="86" customFormat="false" ht="15" hidden="false" customHeight="false" outlineLevel="0" collapsed="false">
      <c r="A86" s="4" t="n">
        <v>85</v>
      </c>
      <c r="B86" s="4" t="s">
        <v>289</v>
      </c>
      <c r="C86" s="4" t="n">
        <v>1967</v>
      </c>
      <c r="D86" s="4" t="s">
        <v>290</v>
      </c>
      <c r="E86" s="25" t="str">
        <f aca="false">IF(J86=1,"✓","")</f>
        <v/>
      </c>
      <c r="F86" s="4" t="n">
        <v>11</v>
      </c>
      <c r="G86" s="4" t="n">
        <v>4</v>
      </c>
      <c r="H86" s="4" t="s">
        <v>144</v>
      </c>
      <c r="I86" s="4" t="s">
        <v>51</v>
      </c>
      <c r="J86" s="4" t="n">
        <f aca="false">INDEX('Master List'!$G$2:$G$2594,K86)</f>
        <v>0</v>
      </c>
      <c r="K86" s="4" t="n">
        <v>1964</v>
      </c>
    </row>
    <row r="87" customFormat="false" ht="15" hidden="false" customHeight="false" outlineLevel="0" collapsed="false">
      <c r="A87" s="4" t="n">
        <v>86</v>
      </c>
      <c r="B87" s="4" t="s">
        <v>291</v>
      </c>
      <c r="C87" s="4" t="n">
        <v>1972</v>
      </c>
      <c r="D87" s="4" t="s">
        <v>292</v>
      </c>
      <c r="E87" s="25" t="str">
        <f aca="false">IF(J87=1,"✓","")</f>
        <v/>
      </c>
      <c r="F87" s="4" t="n">
        <v>11</v>
      </c>
      <c r="G87" s="4" t="n">
        <v>4</v>
      </c>
      <c r="H87" s="4" t="s">
        <v>144</v>
      </c>
      <c r="I87" s="4" t="s">
        <v>51</v>
      </c>
      <c r="J87" s="4" t="n">
        <f aca="false">INDEX('Master List'!$G$2:$G$2594,K87)</f>
        <v>0</v>
      </c>
      <c r="K87" s="4" t="n">
        <v>56</v>
      </c>
    </row>
    <row r="88" customFormat="false" ht="15" hidden="false" customHeight="false" outlineLevel="0" collapsed="false">
      <c r="A88" s="4" t="n">
        <v>87</v>
      </c>
      <c r="B88" s="4" t="s">
        <v>293</v>
      </c>
      <c r="C88" s="4" t="n">
        <v>1978</v>
      </c>
      <c r="D88" s="4" t="s">
        <v>266</v>
      </c>
      <c r="E88" s="25" t="str">
        <f aca="false">IF(J88=1,"✓","")</f>
        <v>✓</v>
      </c>
      <c r="F88" s="4" t="n">
        <v>11</v>
      </c>
      <c r="G88" s="4" t="n">
        <v>4</v>
      </c>
      <c r="H88" s="4" t="s">
        <v>144</v>
      </c>
      <c r="I88" s="4" t="s">
        <v>52</v>
      </c>
      <c r="J88" s="4" t="n">
        <f aca="false">INDEX('Master List'!$G$2:$G$2594,K88)</f>
        <v>1</v>
      </c>
      <c r="K88" s="4" t="n">
        <v>981</v>
      </c>
    </row>
    <row r="89" customFormat="false" ht="15" hidden="false" customHeight="false" outlineLevel="0" collapsed="false">
      <c r="A89" s="4" t="n">
        <v>88</v>
      </c>
      <c r="B89" s="4" t="s">
        <v>294</v>
      </c>
      <c r="C89" s="4" t="n">
        <v>1993</v>
      </c>
      <c r="D89" s="4" t="s">
        <v>197</v>
      </c>
      <c r="E89" s="25" t="str">
        <f aca="false">IF(J89=1,"✓","")</f>
        <v>✓</v>
      </c>
      <c r="F89" s="4" t="n">
        <v>11</v>
      </c>
      <c r="G89" s="4" t="n">
        <v>5</v>
      </c>
      <c r="H89" s="4" t="s">
        <v>144</v>
      </c>
      <c r="I89" s="4" t="s">
        <v>53</v>
      </c>
      <c r="J89" s="4" t="n">
        <f aca="false">INDEX('Master List'!$G$2:$G$2594,K89)</f>
        <v>1</v>
      </c>
      <c r="K89" s="4" t="n">
        <v>2058</v>
      </c>
    </row>
    <row r="90" customFormat="false" ht="15" hidden="false" customHeight="false" outlineLevel="0" collapsed="false">
      <c r="A90" s="4" t="n">
        <v>89</v>
      </c>
      <c r="B90" s="4" t="s">
        <v>295</v>
      </c>
      <c r="C90" s="4" t="n">
        <v>1995</v>
      </c>
      <c r="D90" s="4" t="s">
        <v>296</v>
      </c>
      <c r="E90" s="25" t="str">
        <f aca="false">IF(J90=1,"✓","")</f>
        <v>✓</v>
      </c>
      <c r="F90" s="4" t="n">
        <v>11</v>
      </c>
      <c r="G90" s="4" t="n">
        <v>4</v>
      </c>
      <c r="H90" s="4" t="s">
        <v>144</v>
      </c>
      <c r="I90" s="4" t="s">
        <v>52</v>
      </c>
      <c r="J90" s="4" t="n">
        <f aca="false">INDEX('Master List'!$G$2:$G$2594,K90)</f>
        <v>1</v>
      </c>
      <c r="K90" s="4" t="n">
        <v>1011</v>
      </c>
    </row>
    <row r="91" customFormat="false" ht="15" hidden="false" customHeight="false" outlineLevel="0" collapsed="false">
      <c r="A91" s="4" t="n">
        <v>90</v>
      </c>
      <c r="B91" s="4" t="s">
        <v>297</v>
      </c>
      <c r="C91" s="4" t="n">
        <v>2019</v>
      </c>
      <c r="D91" s="4" t="s">
        <v>276</v>
      </c>
      <c r="E91" s="25" t="str">
        <f aca="false">IF(J91=1,"✓","")</f>
        <v>✓</v>
      </c>
      <c r="F91" s="4" t="n">
        <v>11</v>
      </c>
      <c r="G91" s="4" t="n">
        <v>5</v>
      </c>
      <c r="H91" s="4" t="s">
        <v>144</v>
      </c>
      <c r="I91" s="4" t="s">
        <v>50</v>
      </c>
      <c r="J91" s="4" t="n">
        <f aca="false">INDEX('Master List'!$G$2:$G$2594,K91)</f>
        <v>1</v>
      </c>
      <c r="K91" s="4" t="n">
        <v>1720</v>
      </c>
    </row>
    <row r="92" customFormat="false" ht="15" hidden="false" customHeight="false" outlineLevel="0" collapsed="false">
      <c r="A92" s="4" t="n">
        <v>91</v>
      </c>
      <c r="B92" s="4" t="s">
        <v>298</v>
      </c>
      <c r="C92" s="4" t="n">
        <v>1927</v>
      </c>
      <c r="D92" s="4" t="s">
        <v>299</v>
      </c>
      <c r="E92" s="25" t="str">
        <f aca="false">IF(J92=1,"✓","")</f>
        <v/>
      </c>
      <c r="F92" s="4" t="n">
        <v>11</v>
      </c>
      <c r="G92" s="4" t="n">
        <v>5</v>
      </c>
      <c r="H92" s="4" t="s">
        <v>144</v>
      </c>
      <c r="I92" s="4" t="s">
        <v>49</v>
      </c>
      <c r="J92" s="4" t="n">
        <f aca="false">INDEX('Master List'!$G$2:$G$2594,K92)</f>
        <v>0</v>
      </c>
      <c r="K92" s="4" t="n">
        <v>2202</v>
      </c>
    </row>
    <row r="93" customFormat="false" ht="15" hidden="false" customHeight="false" outlineLevel="0" collapsed="false">
      <c r="A93" s="4" t="n">
        <v>92</v>
      </c>
      <c r="B93" s="4" t="s">
        <v>300</v>
      </c>
      <c r="C93" s="4" t="n">
        <v>1967</v>
      </c>
      <c r="D93" s="4" t="s">
        <v>301</v>
      </c>
      <c r="E93" s="25" t="str">
        <f aca="false">IF(J93=1,"✓","")</f>
        <v>✓</v>
      </c>
      <c r="F93" s="4" t="n">
        <v>11</v>
      </c>
      <c r="G93" s="4" t="n">
        <v>5</v>
      </c>
      <c r="H93" s="4" t="s">
        <v>144</v>
      </c>
      <c r="I93" s="4" t="s">
        <v>49</v>
      </c>
      <c r="J93" s="4" t="n">
        <f aca="false">INDEX('Master List'!$G$2:$G$2594,K93)</f>
        <v>1</v>
      </c>
      <c r="K93" s="4" t="n">
        <v>314</v>
      </c>
    </row>
    <row r="94" customFormat="false" ht="15" hidden="false" customHeight="false" outlineLevel="0" collapsed="false">
      <c r="A94" s="4" t="n">
        <v>93</v>
      </c>
      <c r="B94" s="4" t="s">
        <v>302</v>
      </c>
      <c r="C94" s="4" t="n">
        <v>1939</v>
      </c>
      <c r="D94" s="4" t="s">
        <v>205</v>
      </c>
      <c r="E94" s="25" t="str">
        <f aca="false">IF(J94=1,"✓","")</f>
        <v/>
      </c>
      <c r="F94" s="4" t="n">
        <v>10</v>
      </c>
      <c r="G94" s="4" t="n">
        <v>4</v>
      </c>
      <c r="H94" s="4" t="s">
        <v>144</v>
      </c>
      <c r="I94" s="4" t="s">
        <v>50</v>
      </c>
      <c r="J94" s="4" t="n">
        <f aca="false">INDEX('Master List'!$G$2:$G$2594,K94)</f>
        <v>0</v>
      </c>
      <c r="K94" s="4" t="n">
        <v>2143</v>
      </c>
    </row>
    <row r="95" customFormat="false" ht="15" hidden="false" customHeight="false" outlineLevel="0" collapsed="false">
      <c r="A95" s="4" t="n">
        <v>94</v>
      </c>
      <c r="B95" s="4" t="s">
        <v>303</v>
      </c>
      <c r="C95" s="4" t="n">
        <v>1939</v>
      </c>
      <c r="D95" s="4" t="s">
        <v>176</v>
      </c>
      <c r="E95" s="25" t="str">
        <f aca="false">IF(J95=1,"✓","")</f>
        <v/>
      </c>
      <c r="F95" s="4" t="n">
        <v>10</v>
      </c>
      <c r="G95" s="4" t="n">
        <v>4</v>
      </c>
      <c r="H95" s="4" t="s">
        <v>144</v>
      </c>
      <c r="I95" s="4" t="s">
        <v>50</v>
      </c>
      <c r="J95" s="4" t="n">
        <f aca="false">INDEX('Master List'!$G$2:$G$2594,K95)</f>
        <v>0</v>
      </c>
      <c r="K95" s="4" t="n">
        <v>1550</v>
      </c>
    </row>
    <row r="96" customFormat="false" ht="15" hidden="false" customHeight="false" outlineLevel="0" collapsed="false">
      <c r="A96" s="4" t="n">
        <v>95</v>
      </c>
      <c r="B96" s="4" t="s">
        <v>304</v>
      </c>
      <c r="C96" s="4" t="n">
        <v>1946</v>
      </c>
      <c r="D96" s="4" t="s">
        <v>305</v>
      </c>
      <c r="E96" s="25" t="str">
        <f aca="false">IF(J96=1,"✓","")</f>
        <v/>
      </c>
      <c r="F96" s="4" t="n">
        <v>10</v>
      </c>
      <c r="G96" s="4" t="n">
        <v>5</v>
      </c>
      <c r="H96" s="4" t="s">
        <v>213</v>
      </c>
      <c r="I96" s="4" t="s">
        <v>50</v>
      </c>
      <c r="J96" s="4" t="n">
        <f aca="false">INDEX('Master List'!$G$2:$G$2594,K96)</f>
        <v>0</v>
      </c>
      <c r="K96" s="4" t="n">
        <v>231</v>
      </c>
    </row>
    <row r="97" customFormat="false" ht="15" hidden="false" customHeight="false" outlineLevel="0" collapsed="false">
      <c r="A97" s="4" t="n">
        <v>96</v>
      </c>
      <c r="B97" s="4" t="s">
        <v>306</v>
      </c>
      <c r="C97" s="4" t="n">
        <v>1946</v>
      </c>
      <c r="D97" s="4" t="s">
        <v>176</v>
      </c>
      <c r="E97" s="25" t="str">
        <f aca="false">IF(J97=1,"✓","")</f>
        <v>✓</v>
      </c>
      <c r="F97" s="4" t="n">
        <v>10</v>
      </c>
      <c r="G97" s="4" t="n">
        <v>4</v>
      </c>
      <c r="H97" s="4" t="s">
        <v>144</v>
      </c>
      <c r="I97" s="4" t="s">
        <v>50</v>
      </c>
      <c r="J97" s="4" t="n">
        <f aca="false">INDEX('Master List'!$G$2:$G$2594,K97)</f>
        <v>1</v>
      </c>
      <c r="K97" s="4" t="n">
        <v>1178</v>
      </c>
    </row>
    <row r="98" customFormat="false" ht="15" hidden="false" customHeight="false" outlineLevel="0" collapsed="false">
      <c r="A98" s="4" t="n">
        <v>97</v>
      </c>
      <c r="B98" s="4" t="s">
        <v>307</v>
      </c>
      <c r="C98" s="4" t="n">
        <v>1957</v>
      </c>
      <c r="D98" s="4" t="s">
        <v>187</v>
      </c>
      <c r="E98" s="25" t="str">
        <f aca="false">IF(J98=1,"✓","")</f>
        <v>✓</v>
      </c>
      <c r="F98" s="4" t="n">
        <v>10</v>
      </c>
      <c r="G98" s="4" t="n">
        <v>5</v>
      </c>
      <c r="H98" s="4" t="s">
        <v>144</v>
      </c>
      <c r="I98" s="4" t="s">
        <v>50</v>
      </c>
      <c r="J98" s="4" t="n">
        <f aca="false">INDEX('Master List'!$G$2:$G$2594,K98)</f>
        <v>1</v>
      </c>
      <c r="K98" s="4" t="n">
        <v>1735</v>
      </c>
    </row>
    <row r="99" customFormat="false" ht="15" hidden="false" customHeight="false" outlineLevel="0" collapsed="false">
      <c r="A99" s="4" t="n">
        <v>98</v>
      </c>
      <c r="B99" s="4" t="s">
        <v>308</v>
      </c>
      <c r="C99" s="4" t="n">
        <v>1958</v>
      </c>
      <c r="D99" s="4" t="s">
        <v>143</v>
      </c>
      <c r="E99" s="25" t="str">
        <f aca="false">IF(J99=1,"✓","")</f>
        <v/>
      </c>
      <c r="F99" s="4" t="n">
        <v>10</v>
      </c>
      <c r="G99" s="4" t="n">
        <v>4</v>
      </c>
      <c r="H99" s="4" t="s">
        <v>144</v>
      </c>
      <c r="I99" s="4" t="s">
        <v>49</v>
      </c>
      <c r="J99" s="4" t="n">
        <f aca="false">INDEX('Master List'!$G$2:$G$2594,K99)</f>
        <v>0</v>
      </c>
      <c r="K99" s="4" t="n">
        <v>2344</v>
      </c>
    </row>
    <row r="100" customFormat="false" ht="15" hidden="false" customHeight="false" outlineLevel="0" collapsed="false">
      <c r="A100" s="4" t="n">
        <v>99</v>
      </c>
      <c r="B100" s="4" t="s">
        <v>309</v>
      </c>
      <c r="C100" s="4" t="n">
        <v>1971</v>
      </c>
      <c r="D100" s="4" t="s">
        <v>310</v>
      </c>
      <c r="E100" s="25" t="str">
        <f aca="false">IF(J100=1,"✓","")</f>
        <v/>
      </c>
      <c r="F100" s="4" t="n">
        <v>10</v>
      </c>
      <c r="G100" s="4" t="n">
        <v>4</v>
      </c>
      <c r="H100" s="4" t="s">
        <v>144</v>
      </c>
      <c r="I100" s="4" t="s">
        <v>52</v>
      </c>
      <c r="J100" s="4" t="n">
        <f aca="false">INDEX('Master List'!$G$2:$G$2594,K100)</f>
        <v>0</v>
      </c>
      <c r="K100" s="4" t="n">
        <v>999</v>
      </c>
    </row>
    <row r="101" customFormat="false" ht="15" hidden="false" customHeight="false" outlineLevel="0" collapsed="false">
      <c r="A101" s="4" t="n">
        <v>100</v>
      </c>
      <c r="B101" s="4" t="s">
        <v>311</v>
      </c>
      <c r="C101" s="4" t="n">
        <v>1974</v>
      </c>
      <c r="D101" s="4" t="s">
        <v>312</v>
      </c>
      <c r="E101" s="25" t="str">
        <f aca="false">IF(J101=1,"✓","")</f>
        <v/>
      </c>
      <c r="F101" s="4" t="n">
        <v>10</v>
      </c>
      <c r="G101" s="4" t="n">
        <v>4</v>
      </c>
      <c r="H101" s="4" t="s">
        <v>144</v>
      </c>
      <c r="I101" s="4" t="s">
        <v>51</v>
      </c>
      <c r="J101" s="4" t="n">
        <f aca="false">INDEX('Master List'!$G$2:$G$2594,K101)</f>
        <v>0</v>
      </c>
      <c r="K101" s="4" t="n">
        <v>62</v>
      </c>
    </row>
    <row r="102" customFormat="false" ht="15" hidden="false" customHeight="false" outlineLevel="0" collapsed="false">
      <c r="A102" s="4" t="n">
        <v>101</v>
      </c>
      <c r="B102" s="4" t="s">
        <v>313</v>
      </c>
      <c r="C102" s="4" t="n">
        <v>1980</v>
      </c>
      <c r="D102" s="4" t="s">
        <v>187</v>
      </c>
      <c r="E102" s="25" t="str">
        <f aca="false">IF(J102=1,"✓","")</f>
        <v>✓</v>
      </c>
      <c r="F102" s="4" t="n">
        <v>10</v>
      </c>
      <c r="G102" s="4" t="n">
        <v>4</v>
      </c>
      <c r="H102" s="4" t="s">
        <v>144</v>
      </c>
      <c r="I102" s="4" t="s">
        <v>50</v>
      </c>
      <c r="J102" s="4" t="n">
        <f aca="false">INDEX('Master List'!$G$2:$G$2594,K102)</f>
        <v>1</v>
      </c>
      <c r="K102" s="4" t="n">
        <v>2046</v>
      </c>
    </row>
    <row r="103" customFormat="false" ht="15" hidden="false" customHeight="false" outlineLevel="0" collapsed="false">
      <c r="A103" s="4" t="n">
        <v>102</v>
      </c>
      <c r="B103" s="4" t="s">
        <v>314</v>
      </c>
      <c r="C103" s="4" t="n">
        <v>1982</v>
      </c>
      <c r="D103" s="4" t="s">
        <v>164</v>
      </c>
      <c r="E103" s="25" t="str">
        <f aca="false">IF(J103=1,"✓","")</f>
        <v>✓</v>
      </c>
      <c r="F103" s="4" t="n">
        <v>10</v>
      </c>
      <c r="G103" s="4" t="n">
        <v>4</v>
      </c>
      <c r="H103" s="4" t="s">
        <v>144</v>
      </c>
      <c r="I103" s="4" t="s">
        <v>50</v>
      </c>
      <c r="J103" s="4" t="n">
        <f aca="false">INDEX('Master List'!$G$2:$G$2594,K103)</f>
        <v>1</v>
      </c>
      <c r="K103" s="4" t="n">
        <v>1258</v>
      </c>
    </row>
    <row r="104" customFormat="false" ht="15" hidden="false" customHeight="false" outlineLevel="0" collapsed="false">
      <c r="A104" s="4" t="n">
        <v>103</v>
      </c>
      <c r="B104" s="4" t="s">
        <v>315</v>
      </c>
      <c r="C104" s="4" t="n">
        <v>1983</v>
      </c>
      <c r="D104" s="4" t="s">
        <v>316</v>
      </c>
      <c r="E104" s="25" t="str">
        <f aca="false">IF(J104=1,"✓","")</f>
        <v>✓</v>
      </c>
      <c r="F104" s="4" t="n">
        <v>10</v>
      </c>
      <c r="G104" s="4" t="n">
        <v>5</v>
      </c>
      <c r="H104" s="4" t="s">
        <v>144</v>
      </c>
      <c r="I104" s="4" t="s">
        <v>50</v>
      </c>
      <c r="J104" s="4" t="n">
        <f aca="false">INDEX('Master List'!$G$2:$G$2594,K104)</f>
        <v>1</v>
      </c>
      <c r="K104" s="4" t="n">
        <v>2434</v>
      </c>
    </row>
    <row r="105" customFormat="false" ht="15" hidden="false" customHeight="false" outlineLevel="0" collapsed="false">
      <c r="A105" s="4" t="n">
        <v>104</v>
      </c>
      <c r="B105" s="4" t="s">
        <v>317</v>
      </c>
      <c r="C105" s="4" t="n">
        <v>1986</v>
      </c>
      <c r="D105" s="4" t="s">
        <v>154</v>
      </c>
      <c r="E105" s="25" t="str">
        <f aca="false">IF(J105=1,"✓","")</f>
        <v>✓</v>
      </c>
      <c r="F105" s="4" t="n">
        <v>10</v>
      </c>
      <c r="G105" s="4" t="n">
        <v>4</v>
      </c>
      <c r="H105" s="4" t="s">
        <v>144</v>
      </c>
      <c r="I105" s="4" t="s">
        <v>50</v>
      </c>
      <c r="J105" s="4" t="n">
        <f aca="false">INDEX('Master List'!$G$2:$G$2594,K105)</f>
        <v>1</v>
      </c>
      <c r="K105" s="4" t="n">
        <v>302</v>
      </c>
    </row>
    <row r="106" customFormat="false" ht="15" hidden="false" customHeight="false" outlineLevel="0" collapsed="false">
      <c r="A106" s="4" t="n">
        <v>105</v>
      </c>
      <c r="B106" s="4" t="s">
        <v>318</v>
      </c>
      <c r="C106" s="4" t="n">
        <v>1990</v>
      </c>
      <c r="D106" s="4" t="s">
        <v>164</v>
      </c>
      <c r="E106" s="25" t="str">
        <f aca="false">IF(J106=1,"✓","")</f>
        <v>✓</v>
      </c>
      <c r="F106" s="4" t="n">
        <v>10</v>
      </c>
      <c r="G106" s="4" t="n">
        <v>4</v>
      </c>
      <c r="H106" s="4" t="s">
        <v>144</v>
      </c>
      <c r="I106" s="4" t="s">
        <v>49</v>
      </c>
      <c r="J106" s="4" t="n">
        <f aca="false">INDEX('Master List'!$G$2:$G$2594,K106)</f>
        <v>1</v>
      </c>
      <c r="K106" s="4" t="n">
        <v>936</v>
      </c>
    </row>
    <row r="107" customFormat="false" ht="15" hidden="false" customHeight="false" outlineLevel="0" collapsed="false">
      <c r="A107" s="4" t="n">
        <v>106</v>
      </c>
      <c r="B107" s="4" t="s">
        <v>319</v>
      </c>
      <c r="C107" s="4" t="n">
        <v>1993</v>
      </c>
      <c r="D107" s="4" t="s">
        <v>320</v>
      </c>
      <c r="E107" s="25" t="str">
        <f aca="false">IF(J107=1,"✓","")</f>
        <v>✓</v>
      </c>
      <c r="F107" s="4" t="n">
        <v>10</v>
      </c>
      <c r="G107" s="4" t="n">
        <v>4</v>
      </c>
      <c r="H107" s="4" t="s">
        <v>144</v>
      </c>
      <c r="I107" s="4" t="s">
        <v>53</v>
      </c>
      <c r="J107" s="4" t="n">
        <f aca="false">INDEX('Master List'!$G$2:$G$2594,K107)</f>
        <v>1</v>
      </c>
      <c r="K107" s="4" t="n">
        <v>582</v>
      </c>
    </row>
    <row r="108" customFormat="false" ht="15" hidden="false" customHeight="false" outlineLevel="0" collapsed="false">
      <c r="A108" s="4" t="n">
        <v>107</v>
      </c>
      <c r="B108" s="4" t="s">
        <v>321</v>
      </c>
      <c r="C108" s="4" t="n">
        <v>1997</v>
      </c>
      <c r="D108" s="4" t="s">
        <v>203</v>
      </c>
      <c r="E108" s="25" t="str">
        <f aca="false">IF(J108=1,"✓","")</f>
        <v>✓</v>
      </c>
      <c r="F108" s="4" t="n">
        <v>10</v>
      </c>
      <c r="G108" s="4" t="n">
        <v>4</v>
      </c>
      <c r="H108" s="4" t="s">
        <v>144</v>
      </c>
      <c r="I108" s="4" t="s">
        <v>51</v>
      </c>
      <c r="J108" s="4" t="n">
        <f aca="false">INDEX('Master List'!$G$2:$G$2594,K108)</f>
        <v>1</v>
      </c>
      <c r="K108" s="4" t="n">
        <v>2245</v>
      </c>
    </row>
    <row r="109" customFormat="false" ht="15" hidden="false" customHeight="false" outlineLevel="0" collapsed="false">
      <c r="A109" s="4" t="n">
        <v>108</v>
      </c>
      <c r="B109" s="4" t="s">
        <v>322</v>
      </c>
      <c r="C109" s="4" t="n">
        <v>2007</v>
      </c>
      <c r="D109" s="4" t="s">
        <v>323</v>
      </c>
      <c r="E109" s="25" t="str">
        <f aca="false">IF(J109=1,"✓","")</f>
        <v>✓</v>
      </c>
      <c r="F109" s="4" t="n">
        <v>10</v>
      </c>
      <c r="G109" s="4" t="n">
        <v>4</v>
      </c>
      <c r="H109" s="4" t="s">
        <v>144</v>
      </c>
      <c r="I109" s="4" t="s">
        <v>50</v>
      </c>
      <c r="J109" s="4" t="n">
        <f aca="false">INDEX('Master List'!$G$2:$G$2594,K109)</f>
        <v>1</v>
      </c>
      <c r="K109" s="4" t="n">
        <v>1622</v>
      </c>
    </row>
    <row r="110" customFormat="false" ht="15" hidden="false" customHeight="false" outlineLevel="0" collapsed="false">
      <c r="A110" s="4" t="n">
        <v>109</v>
      </c>
      <c r="B110" s="4" t="s">
        <v>324</v>
      </c>
      <c r="C110" s="4" t="n">
        <v>2007</v>
      </c>
      <c r="D110" s="4" t="s">
        <v>325</v>
      </c>
      <c r="E110" s="25" t="str">
        <f aca="false">IF(J110=1,"✓","")</f>
        <v/>
      </c>
      <c r="F110" s="4" t="n">
        <v>10</v>
      </c>
      <c r="G110" s="4" t="n">
        <v>4</v>
      </c>
      <c r="H110" s="4" t="s">
        <v>144</v>
      </c>
      <c r="I110" s="4" t="s">
        <v>50</v>
      </c>
      <c r="J110" s="4" t="n">
        <f aca="false">INDEX('Master List'!$G$2:$G$2594,K110)</f>
        <v>0</v>
      </c>
      <c r="K110" s="4" t="n">
        <v>2588</v>
      </c>
    </row>
    <row r="111" customFormat="false" ht="15" hidden="false" customHeight="false" outlineLevel="0" collapsed="false">
      <c r="A111" s="4" t="n">
        <v>110</v>
      </c>
      <c r="B111" s="4" t="s">
        <v>326</v>
      </c>
      <c r="C111" s="4" t="n">
        <v>2016</v>
      </c>
      <c r="D111" s="4" t="s">
        <v>327</v>
      </c>
      <c r="E111" s="25" t="str">
        <f aca="false">IF(J111=1,"✓","")</f>
        <v>✓</v>
      </c>
      <c r="F111" s="4" t="n">
        <v>10</v>
      </c>
      <c r="G111" s="4" t="n">
        <v>4</v>
      </c>
      <c r="H111" s="4" t="s">
        <v>144</v>
      </c>
      <c r="I111" s="4" t="s">
        <v>52</v>
      </c>
      <c r="J111" s="4" t="n">
        <f aca="false">INDEX('Master List'!$G$2:$G$2594,K111)</f>
        <v>1</v>
      </c>
      <c r="K111" s="4" t="n">
        <v>130</v>
      </c>
    </row>
    <row r="112" customFormat="false" ht="15" hidden="false" customHeight="false" outlineLevel="0" collapsed="false">
      <c r="A112" s="4" t="n">
        <v>111</v>
      </c>
      <c r="B112" s="4" t="s">
        <v>328</v>
      </c>
      <c r="C112" s="4" t="n">
        <v>2023</v>
      </c>
      <c r="D112" s="4" t="s">
        <v>329</v>
      </c>
      <c r="E112" s="25" t="str">
        <f aca="false">IF(J112=1,"✓","")</f>
        <v/>
      </c>
      <c r="F112" s="4" t="n">
        <v>10</v>
      </c>
      <c r="G112" s="4" t="n">
        <v>5</v>
      </c>
      <c r="H112" s="4" t="s">
        <v>213</v>
      </c>
      <c r="I112" s="4" t="s">
        <v>50</v>
      </c>
      <c r="J112" s="4" t="n">
        <f aca="false">INDEX('Master List'!$G$2:$G$2594,K112)</f>
        <v>0</v>
      </c>
      <c r="K112" s="4" t="n">
        <v>1731</v>
      </c>
    </row>
    <row r="113" customFormat="false" ht="15" hidden="false" customHeight="false" outlineLevel="0" collapsed="false">
      <c r="A113" s="4" t="n">
        <v>112</v>
      </c>
      <c r="B113" s="4" t="s">
        <v>330</v>
      </c>
      <c r="C113" s="4" t="n">
        <v>1920</v>
      </c>
      <c r="D113" s="4" t="s">
        <v>331</v>
      </c>
      <c r="E113" s="25" t="str">
        <f aca="false">IF(J113=1,"✓","")</f>
        <v/>
      </c>
      <c r="F113" s="4" t="n">
        <v>10</v>
      </c>
      <c r="G113" s="4" t="n">
        <v>4</v>
      </c>
      <c r="H113" s="4" t="s">
        <v>144</v>
      </c>
      <c r="I113" s="4" t="s">
        <v>49</v>
      </c>
      <c r="J113" s="4" t="n">
        <f aca="false">INDEX('Master List'!$G$2:$G$2594,K113)</f>
        <v>0</v>
      </c>
      <c r="K113" s="4" t="n">
        <v>377</v>
      </c>
    </row>
    <row r="114" customFormat="false" ht="15" hidden="false" customHeight="false" outlineLevel="0" collapsed="false">
      <c r="A114" s="4" t="n">
        <v>113</v>
      </c>
      <c r="B114" s="4" t="s">
        <v>332</v>
      </c>
      <c r="C114" s="4" t="n">
        <v>1924</v>
      </c>
      <c r="D114" s="4" t="s">
        <v>333</v>
      </c>
      <c r="E114" s="25" t="str">
        <f aca="false">IF(J114=1,"✓","")</f>
        <v/>
      </c>
      <c r="F114" s="4" t="n">
        <v>10</v>
      </c>
      <c r="G114" s="4" t="n">
        <v>4</v>
      </c>
      <c r="H114" s="4" t="s">
        <v>144</v>
      </c>
      <c r="I114" s="4" t="s">
        <v>50</v>
      </c>
      <c r="J114" s="4" t="n">
        <f aca="false">INDEX('Master List'!$G$2:$G$2594,K114)</f>
        <v>0</v>
      </c>
      <c r="K114" s="4" t="n">
        <v>2043</v>
      </c>
    </row>
    <row r="115" customFormat="false" ht="15" hidden="false" customHeight="false" outlineLevel="0" collapsed="false">
      <c r="A115" s="4" t="n">
        <v>114</v>
      </c>
      <c r="B115" s="4" t="s">
        <v>334</v>
      </c>
      <c r="C115" s="4" t="n">
        <v>1942</v>
      </c>
      <c r="D115" s="4" t="s">
        <v>335</v>
      </c>
      <c r="E115" s="25" t="str">
        <f aca="false">IF(J115=1,"✓","")</f>
        <v/>
      </c>
      <c r="F115" s="4" t="n">
        <v>10</v>
      </c>
      <c r="G115" s="4" t="n">
        <v>4</v>
      </c>
      <c r="H115" s="4" t="s">
        <v>144</v>
      </c>
      <c r="I115" s="4" t="s">
        <v>49</v>
      </c>
      <c r="J115" s="4" t="n">
        <f aca="false">INDEX('Master List'!$G$2:$G$2594,K115)</f>
        <v>0</v>
      </c>
      <c r="K115" s="4" t="n">
        <v>403</v>
      </c>
    </row>
    <row r="116" customFormat="false" ht="15" hidden="false" customHeight="false" outlineLevel="0" collapsed="false">
      <c r="A116" s="4" t="n">
        <v>115</v>
      </c>
      <c r="B116" s="4" t="s">
        <v>336</v>
      </c>
      <c r="C116" s="4" t="n">
        <v>1966</v>
      </c>
      <c r="D116" s="4" t="s">
        <v>215</v>
      </c>
      <c r="E116" s="25" t="str">
        <f aca="false">IF(J116=1,"✓","")</f>
        <v/>
      </c>
      <c r="F116" s="4" t="n">
        <v>10</v>
      </c>
      <c r="G116" s="4" t="n">
        <v>5</v>
      </c>
      <c r="H116" s="4" t="s">
        <v>213</v>
      </c>
      <c r="I116" s="4" t="s">
        <v>53</v>
      </c>
      <c r="J116" s="4" t="n">
        <f aca="false">INDEX('Master List'!$G$2:$G$2594,K116)</f>
        <v>0</v>
      </c>
      <c r="K116" s="4" t="n">
        <v>149</v>
      </c>
    </row>
    <row r="117" customFormat="false" ht="15" hidden="false" customHeight="false" outlineLevel="0" collapsed="false">
      <c r="A117" s="4" t="n">
        <v>116</v>
      </c>
      <c r="B117" s="4" t="s">
        <v>337</v>
      </c>
      <c r="C117" s="4" t="n">
        <v>1967</v>
      </c>
      <c r="D117" s="4" t="s">
        <v>338</v>
      </c>
      <c r="E117" s="25" t="str">
        <f aca="false">IF(J117=1,"✓","")</f>
        <v/>
      </c>
      <c r="F117" s="4" t="n">
        <v>10</v>
      </c>
      <c r="G117" s="4" t="n">
        <v>4</v>
      </c>
      <c r="H117" s="4" t="s">
        <v>144</v>
      </c>
      <c r="I117" s="4" t="s">
        <v>49</v>
      </c>
      <c r="J117" s="4" t="n">
        <f aca="false">INDEX('Master List'!$G$2:$G$2594,K117)</f>
        <v>0</v>
      </c>
      <c r="K117" s="4" t="n">
        <v>1780</v>
      </c>
    </row>
    <row r="118" customFormat="false" ht="15" hidden="false" customHeight="false" outlineLevel="0" collapsed="false">
      <c r="A118" s="4" t="n">
        <v>117</v>
      </c>
      <c r="B118" s="4" t="s">
        <v>339</v>
      </c>
      <c r="C118" s="4" t="n">
        <v>1973</v>
      </c>
      <c r="D118" s="4" t="s">
        <v>340</v>
      </c>
      <c r="E118" s="25" t="str">
        <f aca="false">IF(J118=1,"✓","")</f>
        <v/>
      </c>
      <c r="F118" s="4" t="n">
        <v>10</v>
      </c>
      <c r="G118" s="4" t="n">
        <v>4</v>
      </c>
      <c r="H118" s="4" t="s">
        <v>144</v>
      </c>
      <c r="I118" s="4" t="s">
        <v>50</v>
      </c>
      <c r="J118" s="4" t="n">
        <f aca="false">INDEX('Master List'!$G$2:$G$2594,K118)</f>
        <v>0</v>
      </c>
      <c r="K118" s="4" t="n">
        <v>2349</v>
      </c>
    </row>
    <row r="119" customFormat="false" ht="15" hidden="false" customHeight="false" outlineLevel="0" collapsed="false">
      <c r="A119" s="4" t="n">
        <v>118</v>
      </c>
      <c r="B119" s="4" t="s">
        <v>341</v>
      </c>
      <c r="C119" s="4" t="n">
        <v>2000</v>
      </c>
      <c r="D119" s="4" t="s">
        <v>342</v>
      </c>
      <c r="E119" s="25" t="str">
        <f aca="false">IF(J119=1,"✓","")</f>
        <v>✓</v>
      </c>
      <c r="F119" s="4" t="n">
        <v>10</v>
      </c>
      <c r="G119" s="4" t="n">
        <v>4</v>
      </c>
      <c r="H119" s="4" t="s">
        <v>144</v>
      </c>
      <c r="I119" s="4" t="s">
        <v>49</v>
      </c>
      <c r="J119" s="4" t="n">
        <f aca="false">INDEX('Master List'!$G$2:$G$2594,K119)</f>
        <v>1</v>
      </c>
      <c r="K119" s="4" t="n">
        <v>1475</v>
      </c>
    </row>
    <row r="120" customFormat="false" ht="15" hidden="false" customHeight="false" outlineLevel="0" collapsed="false">
      <c r="A120" s="4" t="n">
        <v>119</v>
      </c>
      <c r="B120" s="4" t="s">
        <v>343</v>
      </c>
      <c r="C120" s="4" t="n">
        <v>1931</v>
      </c>
      <c r="D120" s="4" t="s">
        <v>344</v>
      </c>
      <c r="E120" s="25" t="str">
        <f aca="false">IF(J120=1,"✓","")</f>
        <v/>
      </c>
      <c r="F120" s="4" t="n">
        <v>10</v>
      </c>
      <c r="G120" s="4" t="n">
        <v>5</v>
      </c>
      <c r="H120" s="4" t="s">
        <v>213</v>
      </c>
      <c r="I120" s="4" t="s">
        <v>50</v>
      </c>
      <c r="J120" s="4" t="n">
        <f aca="false">INDEX('Master List'!$G$2:$G$2594,K120)</f>
        <v>0</v>
      </c>
      <c r="K120" s="4" t="n">
        <v>464</v>
      </c>
    </row>
    <row r="121" customFormat="false" ht="15" hidden="false" customHeight="false" outlineLevel="0" collapsed="false">
      <c r="A121" s="4" t="n">
        <v>120</v>
      </c>
      <c r="B121" s="4" t="s">
        <v>345</v>
      </c>
      <c r="C121" s="4" t="n">
        <v>1939</v>
      </c>
      <c r="D121" s="4" t="s">
        <v>346</v>
      </c>
      <c r="E121" s="25" t="str">
        <f aca="false">IF(J121=1,"✓","")</f>
        <v/>
      </c>
      <c r="F121" s="4" t="n">
        <v>9</v>
      </c>
      <c r="G121" s="4" t="n">
        <v>4</v>
      </c>
      <c r="H121" s="4" t="s">
        <v>144</v>
      </c>
      <c r="I121" s="4" t="s">
        <v>50</v>
      </c>
      <c r="J121" s="4" t="n">
        <f aca="false">INDEX('Master List'!$G$2:$G$2594,K121)</f>
        <v>0</v>
      </c>
      <c r="K121" s="4" t="n">
        <v>2540</v>
      </c>
    </row>
    <row r="122" customFormat="false" ht="15" hidden="false" customHeight="false" outlineLevel="0" collapsed="false">
      <c r="A122" s="4" t="n">
        <v>121</v>
      </c>
      <c r="B122" s="4" t="s">
        <v>347</v>
      </c>
      <c r="C122" s="4" t="n">
        <v>1940</v>
      </c>
      <c r="D122" s="4" t="s">
        <v>348</v>
      </c>
      <c r="E122" s="25" t="str">
        <f aca="false">IF(J122=1,"✓","")</f>
        <v/>
      </c>
      <c r="F122" s="4" t="n">
        <v>9</v>
      </c>
      <c r="G122" s="4" t="n">
        <v>4</v>
      </c>
      <c r="H122" s="4" t="s">
        <v>144</v>
      </c>
      <c r="I122" s="4" t="s">
        <v>50</v>
      </c>
      <c r="J122" s="4" t="n">
        <f aca="false">INDEX('Master List'!$G$2:$G$2594,K122)</f>
        <v>0</v>
      </c>
      <c r="K122" s="4" t="n">
        <v>2055</v>
      </c>
    </row>
    <row r="123" customFormat="false" ht="15" hidden="false" customHeight="false" outlineLevel="0" collapsed="false">
      <c r="A123" s="4" t="n">
        <v>122</v>
      </c>
      <c r="B123" s="4" t="s">
        <v>349</v>
      </c>
      <c r="C123" s="4" t="n">
        <v>1945</v>
      </c>
      <c r="D123" s="4" t="s">
        <v>268</v>
      </c>
      <c r="E123" s="25" t="str">
        <f aca="false">IF(J123=1,"✓","")</f>
        <v/>
      </c>
      <c r="F123" s="4" t="n">
        <v>9</v>
      </c>
      <c r="G123" s="4" t="n">
        <v>4</v>
      </c>
      <c r="H123" s="4" t="s">
        <v>144</v>
      </c>
      <c r="I123" s="4" t="s">
        <v>50</v>
      </c>
      <c r="J123" s="4" t="n">
        <f aca="false">INDEX('Master List'!$G$2:$G$2594,K123)</f>
        <v>0</v>
      </c>
      <c r="K123" s="4" t="n">
        <v>1928</v>
      </c>
    </row>
    <row r="124" customFormat="false" ht="15" hidden="false" customHeight="false" outlineLevel="0" collapsed="false">
      <c r="A124" s="4" t="n">
        <v>123</v>
      </c>
      <c r="B124" s="4" t="s">
        <v>350</v>
      </c>
      <c r="C124" s="4" t="n">
        <v>1949</v>
      </c>
      <c r="D124" s="4" t="s">
        <v>146</v>
      </c>
      <c r="E124" s="25" t="str">
        <f aca="false">IF(J124=1,"✓","")</f>
        <v/>
      </c>
      <c r="F124" s="4" t="n">
        <v>9</v>
      </c>
      <c r="G124" s="4" t="n">
        <v>4</v>
      </c>
      <c r="H124" s="4" t="s">
        <v>144</v>
      </c>
      <c r="I124" s="4" t="s">
        <v>51</v>
      </c>
      <c r="J124" s="4" t="n">
        <f aca="false">INDEX('Master List'!$G$2:$G$2594,K124)</f>
        <v>0</v>
      </c>
      <c r="K124" s="4" t="n">
        <v>1308</v>
      </c>
    </row>
    <row r="125" customFormat="false" ht="15" hidden="false" customHeight="false" outlineLevel="0" collapsed="false">
      <c r="A125" s="4" t="n">
        <v>124</v>
      </c>
      <c r="B125" s="4" t="s">
        <v>351</v>
      </c>
      <c r="C125" s="4" t="n">
        <v>1949</v>
      </c>
      <c r="D125" s="4" t="s">
        <v>156</v>
      </c>
      <c r="E125" s="25" t="str">
        <f aca="false">IF(J125=1,"✓","")</f>
        <v/>
      </c>
      <c r="F125" s="4" t="n">
        <v>9</v>
      </c>
      <c r="G125" s="4" t="n">
        <v>4</v>
      </c>
      <c r="H125" s="4" t="s">
        <v>144</v>
      </c>
      <c r="I125" s="4" t="s">
        <v>51</v>
      </c>
      <c r="J125" s="4" t="n">
        <f aca="false">INDEX('Master List'!$G$2:$G$2594,K125)</f>
        <v>0</v>
      </c>
      <c r="K125" s="4" t="n">
        <v>2179</v>
      </c>
    </row>
    <row r="126" customFormat="false" ht="15" hidden="false" customHeight="false" outlineLevel="0" collapsed="false">
      <c r="A126" s="4" t="n">
        <v>125</v>
      </c>
      <c r="B126" s="4" t="s">
        <v>352</v>
      </c>
      <c r="C126" s="4" t="n">
        <v>1952</v>
      </c>
      <c r="D126" s="4" t="s">
        <v>353</v>
      </c>
      <c r="E126" s="25" t="str">
        <f aca="false">IF(J126=1,"✓","")</f>
        <v/>
      </c>
      <c r="F126" s="4" t="n">
        <v>9</v>
      </c>
      <c r="G126" s="4" t="n">
        <v>4</v>
      </c>
      <c r="H126" s="4" t="s">
        <v>144</v>
      </c>
      <c r="I126" s="4" t="s">
        <v>50</v>
      </c>
      <c r="J126" s="4" t="n">
        <f aca="false">INDEX('Master List'!$G$2:$G$2594,K126)</f>
        <v>0</v>
      </c>
      <c r="K126" s="4" t="n">
        <v>1035</v>
      </c>
    </row>
    <row r="127" customFormat="false" ht="15" hidden="false" customHeight="false" outlineLevel="0" collapsed="false">
      <c r="A127" s="4" t="n">
        <v>126</v>
      </c>
      <c r="B127" s="4" t="s">
        <v>354</v>
      </c>
      <c r="C127" s="4" t="n">
        <v>1955</v>
      </c>
      <c r="D127" s="4" t="s">
        <v>355</v>
      </c>
      <c r="E127" s="25" t="str">
        <f aca="false">IF(J127=1,"✓","")</f>
        <v>✓</v>
      </c>
      <c r="F127" s="4" t="n">
        <v>9</v>
      </c>
      <c r="G127" s="4" t="n">
        <v>4</v>
      </c>
      <c r="H127" s="4" t="s">
        <v>144</v>
      </c>
      <c r="I127" s="4" t="s">
        <v>52</v>
      </c>
      <c r="J127" s="4" t="n">
        <f aca="false">INDEX('Master List'!$G$2:$G$2594,K127)</f>
        <v>1</v>
      </c>
      <c r="K127" s="4" t="n">
        <v>1606</v>
      </c>
    </row>
    <row r="128" customFormat="false" ht="15" hidden="false" customHeight="false" outlineLevel="0" collapsed="false">
      <c r="A128" s="4" t="n">
        <v>127</v>
      </c>
      <c r="B128" s="4" t="s">
        <v>356</v>
      </c>
      <c r="C128" s="4" t="n">
        <v>1966</v>
      </c>
      <c r="D128" s="4" t="s">
        <v>357</v>
      </c>
      <c r="E128" s="25" t="str">
        <f aca="false">IF(J128=1,"✓","")</f>
        <v/>
      </c>
      <c r="F128" s="4" t="n">
        <v>9</v>
      </c>
      <c r="G128" s="4" t="n">
        <v>4</v>
      </c>
      <c r="H128" s="4" t="s">
        <v>144</v>
      </c>
      <c r="I128" s="4" t="s">
        <v>53</v>
      </c>
      <c r="J128" s="4" t="n">
        <f aca="false">INDEX('Master List'!$G$2:$G$2594,K128)</f>
        <v>0</v>
      </c>
      <c r="K128" s="4" t="n">
        <v>2509</v>
      </c>
    </row>
    <row r="129" customFormat="false" ht="15" hidden="false" customHeight="false" outlineLevel="0" collapsed="false">
      <c r="A129" s="4" t="n">
        <v>128</v>
      </c>
      <c r="B129" s="4" t="s">
        <v>358</v>
      </c>
      <c r="C129" s="4" t="n">
        <v>1969</v>
      </c>
      <c r="D129" s="4" t="s">
        <v>359</v>
      </c>
      <c r="E129" s="25" t="str">
        <f aca="false">IF(J129=1,"✓","")</f>
        <v/>
      </c>
      <c r="F129" s="4" t="n">
        <v>9</v>
      </c>
      <c r="G129" s="4" t="n">
        <v>4</v>
      </c>
      <c r="H129" s="4" t="s">
        <v>144</v>
      </c>
      <c r="I129" s="4" t="s">
        <v>51</v>
      </c>
      <c r="J129" s="4" t="n">
        <f aca="false">INDEX('Master List'!$G$2:$G$2594,K129)</f>
        <v>0</v>
      </c>
      <c r="K129" s="4" t="n">
        <v>1236</v>
      </c>
    </row>
    <row r="130" customFormat="false" ht="15" hidden="false" customHeight="false" outlineLevel="0" collapsed="false">
      <c r="A130" s="4" t="n">
        <v>129</v>
      </c>
      <c r="B130" s="4" t="s">
        <v>360</v>
      </c>
      <c r="C130" s="4" t="n">
        <v>1978</v>
      </c>
      <c r="D130" s="4" t="s">
        <v>361</v>
      </c>
      <c r="E130" s="25" t="str">
        <f aca="false">IF(J130=1,"✓","")</f>
        <v>✓</v>
      </c>
      <c r="F130" s="4" t="n">
        <v>9</v>
      </c>
      <c r="G130" s="4" t="n">
        <v>4</v>
      </c>
      <c r="H130" s="4" t="s">
        <v>144</v>
      </c>
      <c r="I130" s="4" t="s">
        <v>49</v>
      </c>
      <c r="J130" s="4" t="n">
        <f aca="false">INDEX('Master List'!$G$2:$G$2594,K130)</f>
        <v>1</v>
      </c>
      <c r="K130" s="4" t="n">
        <v>580</v>
      </c>
    </row>
    <row r="131" customFormat="false" ht="15" hidden="false" customHeight="false" outlineLevel="0" collapsed="false">
      <c r="A131" s="4" t="n">
        <v>130</v>
      </c>
      <c r="B131" s="4" t="s">
        <v>362</v>
      </c>
      <c r="C131" s="4" t="n">
        <v>1979</v>
      </c>
      <c r="D131" s="4" t="s">
        <v>174</v>
      </c>
      <c r="E131" s="25" t="str">
        <f aca="false">IF(J131=1,"✓","")</f>
        <v>✓</v>
      </c>
      <c r="F131" s="4" t="n">
        <v>9</v>
      </c>
      <c r="G131" s="4" t="n">
        <v>4</v>
      </c>
      <c r="H131" s="4" t="s">
        <v>144</v>
      </c>
      <c r="I131" s="4" t="s">
        <v>50</v>
      </c>
      <c r="J131" s="4" t="n">
        <f aca="false">INDEX('Master List'!$G$2:$G$2594,K131)</f>
        <v>1</v>
      </c>
      <c r="K131" s="4" t="n">
        <v>66</v>
      </c>
    </row>
    <row r="132" customFormat="false" ht="15" hidden="false" customHeight="false" outlineLevel="0" collapsed="false">
      <c r="A132" s="4" t="n">
        <v>131</v>
      </c>
      <c r="B132" s="4" t="s">
        <v>363</v>
      </c>
      <c r="C132" s="4" t="n">
        <v>1981</v>
      </c>
      <c r="D132" s="4" t="s">
        <v>183</v>
      </c>
      <c r="E132" s="25" t="str">
        <f aca="false">IF(J132=1,"✓","")</f>
        <v>✓</v>
      </c>
      <c r="F132" s="4" t="n">
        <v>9</v>
      </c>
      <c r="G132" s="4" t="n">
        <v>4</v>
      </c>
      <c r="H132" s="4" t="s">
        <v>144</v>
      </c>
      <c r="I132" s="4" t="s">
        <v>50</v>
      </c>
      <c r="J132" s="4" t="n">
        <f aca="false">INDEX('Master List'!$G$2:$G$2594,K132)</f>
        <v>1</v>
      </c>
      <c r="K132" s="4" t="n">
        <v>1853</v>
      </c>
    </row>
    <row r="133" customFormat="false" ht="15" hidden="false" customHeight="false" outlineLevel="0" collapsed="false">
      <c r="A133" s="4" t="n">
        <v>132</v>
      </c>
      <c r="B133" s="4" t="s">
        <v>364</v>
      </c>
      <c r="C133" s="4" t="n">
        <v>1984</v>
      </c>
      <c r="D133" s="4" t="s">
        <v>365</v>
      </c>
      <c r="E133" s="25" t="str">
        <f aca="false">IF(J133=1,"✓","")</f>
        <v>✓</v>
      </c>
      <c r="F133" s="4" t="n">
        <v>9</v>
      </c>
      <c r="G133" s="4" t="n">
        <v>4</v>
      </c>
      <c r="H133" s="4" t="s">
        <v>144</v>
      </c>
      <c r="I133" s="4" t="s">
        <v>51</v>
      </c>
      <c r="J133" s="4" t="n">
        <f aca="false">INDEX('Master List'!$G$2:$G$2594,K133)</f>
        <v>1</v>
      </c>
      <c r="K133" s="4" t="n">
        <v>1724</v>
      </c>
    </row>
    <row r="134" customFormat="false" ht="15" hidden="false" customHeight="false" outlineLevel="0" collapsed="false">
      <c r="A134" s="4" t="n">
        <v>133</v>
      </c>
      <c r="B134" s="4" t="s">
        <v>366</v>
      </c>
      <c r="C134" s="4" t="n">
        <v>1985</v>
      </c>
      <c r="D134" s="4" t="s">
        <v>367</v>
      </c>
      <c r="E134" s="25" t="str">
        <f aca="false">IF(J134=1,"✓","")</f>
        <v/>
      </c>
      <c r="F134" s="4" t="n">
        <v>9</v>
      </c>
      <c r="G134" s="4" t="n">
        <v>4</v>
      </c>
      <c r="H134" s="4" t="s">
        <v>144</v>
      </c>
      <c r="I134" s="4" t="s">
        <v>50</v>
      </c>
      <c r="J134" s="4" t="n">
        <f aca="false">INDEX('Master List'!$G$2:$G$2594,K134)</f>
        <v>0</v>
      </c>
      <c r="K134" s="4" t="n">
        <v>337</v>
      </c>
    </row>
    <row r="135" customFormat="false" ht="15" hidden="false" customHeight="false" outlineLevel="0" collapsed="false">
      <c r="A135" s="4" t="n">
        <v>134</v>
      </c>
      <c r="B135" s="4" t="s">
        <v>368</v>
      </c>
      <c r="C135" s="4" t="n">
        <v>1988</v>
      </c>
      <c r="D135" s="4" t="s">
        <v>369</v>
      </c>
      <c r="E135" s="25" t="str">
        <f aca="false">IF(J135=1,"✓","")</f>
        <v/>
      </c>
      <c r="F135" s="4" t="n">
        <v>9</v>
      </c>
      <c r="G135" s="4" t="n">
        <v>4</v>
      </c>
      <c r="H135" s="4" t="s">
        <v>144</v>
      </c>
      <c r="I135" s="4" t="s">
        <v>49</v>
      </c>
      <c r="J135" s="4" t="n">
        <f aca="false">INDEX('Master List'!$G$2:$G$2594,K135)</f>
        <v>0</v>
      </c>
      <c r="K135" s="4" t="n">
        <v>992</v>
      </c>
    </row>
    <row r="136" customFormat="false" ht="15" hidden="false" customHeight="false" outlineLevel="0" collapsed="false">
      <c r="A136" s="4" t="n">
        <v>135</v>
      </c>
      <c r="B136" s="4" t="s">
        <v>370</v>
      </c>
      <c r="C136" s="4" t="n">
        <v>1990</v>
      </c>
      <c r="D136" s="4" t="s">
        <v>320</v>
      </c>
      <c r="E136" s="25" t="str">
        <f aca="false">IF(J136=1,"✓","")</f>
        <v/>
      </c>
      <c r="F136" s="4" t="n">
        <v>9</v>
      </c>
      <c r="G136" s="4" t="n">
        <v>4</v>
      </c>
      <c r="H136" s="4" t="s">
        <v>144</v>
      </c>
      <c r="I136" s="4" t="s">
        <v>50</v>
      </c>
      <c r="J136" s="4" t="n">
        <f aca="false">INDEX('Master List'!$G$2:$G$2594,K136)</f>
        <v>0</v>
      </c>
      <c r="K136" s="4" t="n">
        <v>2086</v>
      </c>
    </row>
    <row r="137" customFormat="false" ht="15" hidden="false" customHeight="false" outlineLevel="0" collapsed="false">
      <c r="A137" s="4" t="n">
        <v>136</v>
      </c>
      <c r="B137" s="4" t="s">
        <v>371</v>
      </c>
      <c r="C137" s="4" t="n">
        <v>1991</v>
      </c>
      <c r="D137" s="4" t="s">
        <v>372</v>
      </c>
      <c r="E137" s="25" t="str">
        <f aca="false">IF(J137=1,"✓","")</f>
        <v/>
      </c>
      <c r="F137" s="4" t="n">
        <v>9</v>
      </c>
      <c r="G137" s="4" t="n">
        <v>4</v>
      </c>
      <c r="H137" s="4" t="s">
        <v>144</v>
      </c>
      <c r="I137" s="4" t="s">
        <v>54</v>
      </c>
      <c r="J137" s="4" t="n">
        <f aca="false">INDEX('Master List'!$G$2:$G$2594,K137)</f>
        <v>0</v>
      </c>
      <c r="K137" s="4" t="n">
        <v>333</v>
      </c>
    </row>
    <row r="138" customFormat="false" ht="15" hidden="false" customHeight="false" outlineLevel="0" collapsed="false">
      <c r="A138" s="4" t="n">
        <v>137</v>
      </c>
      <c r="B138" s="4" t="s">
        <v>373</v>
      </c>
      <c r="C138" s="4" t="n">
        <v>1995</v>
      </c>
      <c r="D138" s="4" t="s">
        <v>320</v>
      </c>
      <c r="E138" s="25" t="str">
        <f aca="false">IF(J138=1,"✓","")</f>
        <v>✓</v>
      </c>
      <c r="F138" s="4" t="n">
        <v>9</v>
      </c>
      <c r="G138" s="4" t="n">
        <v>4</v>
      </c>
      <c r="H138" s="4" t="s">
        <v>144</v>
      </c>
      <c r="I138" s="4" t="s">
        <v>52</v>
      </c>
      <c r="J138" s="4" t="n">
        <f aca="false">INDEX('Master List'!$G$2:$G$2594,K138)</f>
        <v>1</v>
      </c>
      <c r="K138" s="4" t="n">
        <v>212</v>
      </c>
    </row>
    <row r="139" customFormat="false" ht="15" hidden="false" customHeight="false" outlineLevel="0" collapsed="false">
      <c r="A139" s="4" t="n">
        <v>138</v>
      </c>
      <c r="B139" s="4" t="s">
        <v>374</v>
      </c>
      <c r="C139" s="4" t="n">
        <v>1954</v>
      </c>
      <c r="D139" s="4" t="s">
        <v>375</v>
      </c>
      <c r="E139" s="25" t="str">
        <f aca="false">IF(J139=1,"✓","")</f>
        <v/>
      </c>
      <c r="F139" s="4" t="n">
        <v>9</v>
      </c>
      <c r="G139" s="4" t="n">
        <v>4</v>
      </c>
      <c r="H139" s="4" t="s">
        <v>144</v>
      </c>
      <c r="I139" s="4" t="s">
        <v>50</v>
      </c>
      <c r="J139" s="4" t="n">
        <f aca="false">INDEX('Master List'!$G$2:$G$2594,K139)</f>
        <v>0</v>
      </c>
      <c r="K139" s="4" t="n">
        <v>1667</v>
      </c>
    </row>
    <row r="140" customFormat="false" ht="15" hidden="false" customHeight="false" outlineLevel="0" collapsed="false">
      <c r="A140" s="4" t="n">
        <v>139</v>
      </c>
      <c r="B140" s="4" t="s">
        <v>376</v>
      </c>
      <c r="C140" s="4" t="n">
        <v>1964</v>
      </c>
      <c r="D140" s="4" t="s">
        <v>377</v>
      </c>
      <c r="E140" s="25" t="str">
        <f aca="false">IF(J140=1,"✓","")</f>
        <v/>
      </c>
      <c r="F140" s="4" t="n">
        <v>9</v>
      </c>
      <c r="G140" s="4" t="n">
        <v>4</v>
      </c>
      <c r="H140" s="4" t="s">
        <v>144</v>
      </c>
      <c r="I140" s="4" t="s">
        <v>51</v>
      </c>
      <c r="J140" s="4" t="n">
        <f aca="false">INDEX('Master List'!$G$2:$G$2594,K140)</f>
        <v>0</v>
      </c>
      <c r="K140" s="4" t="n">
        <v>1683</v>
      </c>
    </row>
    <row r="141" customFormat="false" ht="15" hidden="false" customHeight="false" outlineLevel="0" collapsed="false">
      <c r="A141" s="4" t="n">
        <v>140</v>
      </c>
      <c r="B141" s="4" t="s">
        <v>378</v>
      </c>
      <c r="C141" s="4" t="n">
        <v>1995</v>
      </c>
      <c r="D141" s="4" t="s">
        <v>379</v>
      </c>
      <c r="E141" s="25" t="str">
        <f aca="false">IF(J141=1,"✓","")</f>
        <v>✓</v>
      </c>
      <c r="F141" s="4" t="n">
        <v>9</v>
      </c>
      <c r="G141" s="4" t="n">
        <v>4</v>
      </c>
      <c r="H141" s="4" t="s">
        <v>144</v>
      </c>
      <c r="I141" s="4" t="s">
        <v>49</v>
      </c>
      <c r="J141" s="4" t="n">
        <f aca="false">INDEX('Master List'!$G$2:$G$2594,K141)</f>
        <v>1</v>
      </c>
      <c r="K141" s="4" t="n">
        <v>2353</v>
      </c>
    </row>
    <row r="142" customFormat="false" ht="15" hidden="false" customHeight="false" outlineLevel="0" collapsed="false">
      <c r="A142" s="4" t="n">
        <v>141</v>
      </c>
      <c r="B142" s="4" t="s">
        <v>380</v>
      </c>
      <c r="C142" s="4" t="n">
        <v>2000</v>
      </c>
      <c r="D142" s="4" t="s">
        <v>158</v>
      </c>
      <c r="E142" s="25" t="str">
        <f aca="false">IF(J142=1,"✓","")</f>
        <v/>
      </c>
      <c r="F142" s="4" t="n">
        <v>9</v>
      </c>
      <c r="G142" s="4" t="n">
        <v>4</v>
      </c>
      <c r="H142" s="4" t="s">
        <v>144</v>
      </c>
      <c r="I142" s="4" t="s">
        <v>52</v>
      </c>
      <c r="J142" s="4" t="n">
        <f aca="false">INDEX('Master List'!$G$2:$G$2594,K142)</f>
        <v>0</v>
      </c>
      <c r="K142" s="4" t="n">
        <v>903</v>
      </c>
    </row>
    <row r="143" customFormat="false" ht="15" hidden="false" customHeight="false" outlineLevel="0" collapsed="false">
      <c r="A143" s="4" t="n">
        <v>142</v>
      </c>
      <c r="B143" s="4" t="s">
        <v>381</v>
      </c>
      <c r="C143" s="4" t="n">
        <v>2001</v>
      </c>
      <c r="D143" s="4" t="s">
        <v>382</v>
      </c>
      <c r="E143" s="25" t="str">
        <f aca="false">IF(J143=1,"✓","")</f>
        <v/>
      </c>
      <c r="F143" s="4" t="n">
        <v>9</v>
      </c>
      <c r="G143" s="4" t="n">
        <v>4</v>
      </c>
      <c r="H143" s="4" t="s">
        <v>144</v>
      </c>
      <c r="I143" s="4" t="s">
        <v>50</v>
      </c>
      <c r="J143" s="4" t="n">
        <f aca="false">INDEX('Master List'!$G$2:$G$2594,K143)</f>
        <v>0</v>
      </c>
      <c r="K143" s="4" t="n">
        <v>2136</v>
      </c>
    </row>
    <row r="144" customFormat="false" ht="15" hidden="false" customHeight="false" outlineLevel="0" collapsed="false">
      <c r="A144" s="4" t="n">
        <v>143</v>
      </c>
      <c r="B144" s="4" t="s">
        <v>383</v>
      </c>
      <c r="C144" s="4" t="n">
        <v>2006</v>
      </c>
      <c r="D144" s="4" t="s">
        <v>384</v>
      </c>
      <c r="E144" s="25" t="str">
        <f aca="false">IF(J144=1,"✓","")</f>
        <v>✓</v>
      </c>
      <c r="F144" s="4" t="n">
        <v>9</v>
      </c>
      <c r="G144" s="4" t="n">
        <v>4</v>
      </c>
      <c r="H144" s="4" t="s">
        <v>144</v>
      </c>
      <c r="I144" s="4" t="s">
        <v>49</v>
      </c>
      <c r="J144" s="4" t="n">
        <f aca="false">INDEX('Master List'!$G$2:$G$2594,K144)</f>
        <v>1</v>
      </c>
      <c r="K144" s="4" t="n">
        <v>444</v>
      </c>
    </row>
    <row r="145" customFormat="false" ht="15" hidden="false" customHeight="false" outlineLevel="0" collapsed="false">
      <c r="A145" s="4" t="n">
        <v>144</v>
      </c>
      <c r="B145" s="4" t="s">
        <v>385</v>
      </c>
      <c r="C145" s="4" t="n">
        <v>1955</v>
      </c>
      <c r="D145" s="4" t="s">
        <v>246</v>
      </c>
      <c r="E145" s="25" t="str">
        <f aca="false">IF(J145=1,"✓","")</f>
        <v/>
      </c>
      <c r="F145" s="4" t="n">
        <v>8</v>
      </c>
      <c r="G145" s="4" t="n">
        <v>4</v>
      </c>
      <c r="H145" s="4" t="s">
        <v>213</v>
      </c>
      <c r="I145" s="4" t="s">
        <v>51</v>
      </c>
      <c r="J145" s="4" t="n">
        <f aca="false">INDEX('Master List'!$G$2:$G$2594,K145)</f>
        <v>0</v>
      </c>
      <c r="K145" s="4" t="n">
        <v>1690</v>
      </c>
    </row>
    <row r="146" customFormat="false" ht="15" hidden="false" customHeight="false" outlineLevel="0" collapsed="false">
      <c r="A146" s="4" t="n">
        <v>145</v>
      </c>
      <c r="B146" s="4" t="s">
        <v>386</v>
      </c>
      <c r="C146" s="4" t="n">
        <v>1970</v>
      </c>
      <c r="D146" s="4" t="s">
        <v>290</v>
      </c>
      <c r="E146" s="25" t="str">
        <f aca="false">IF(J146=1,"✓","")</f>
        <v/>
      </c>
      <c r="F146" s="4" t="n">
        <v>8</v>
      </c>
      <c r="G146" s="4" t="n">
        <v>4</v>
      </c>
      <c r="H146" s="4" t="s">
        <v>213</v>
      </c>
      <c r="I146" s="4" t="s">
        <v>51</v>
      </c>
      <c r="J146" s="4" t="n">
        <f aca="false">INDEX('Master List'!$G$2:$G$2594,K146)</f>
        <v>0</v>
      </c>
      <c r="K146" s="4" t="n">
        <v>422</v>
      </c>
    </row>
    <row r="147" customFormat="false" ht="15" hidden="false" customHeight="false" outlineLevel="0" collapsed="false">
      <c r="A147" s="4" t="n">
        <v>146</v>
      </c>
      <c r="B147" s="4" t="s">
        <v>387</v>
      </c>
      <c r="C147" s="4" t="n">
        <v>1971</v>
      </c>
      <c r="D147" s="4" t="s">
        <v>197</v>
      </c>
      <c r="E147" s="25" t="str">
        <f aca="false">IF(J147=1,"✓","")</f>
        <v/>
      </c>
      <c r="F147" s="4" t="n">
        <v>8</v>
      </c>
      <c r="G147" s="4" t="n">
        <v>4</v>
      </c>
      <c r="H147" s="4" t="s">
        <v>213</v>
      </c>
      <c r="I147" s="4" t="s">
        <v>50</v>
      </c>
      <c r="J147" s="4" t="n">
        <f aca="false">INDEX('Master List'!$G$2:$G$2594,K147)</f>
        <v>0</v>
      </c>
      <c r="K147" s="4" t="n">
        <v>1467</v>
      </c>
    </row>
    <row r="148" customFormat="false" ht="15" hidden="false" customHeight="false" outlineLevel="0" collapsed="false">
      <c r="A148" s="4" t="n">
        <v>147</v>
      </c>
      <c r="B148" s="4" t="s">
        <v>388</v>
      </c>
      <c r="C148" s="4" t="n">
        <v>1971</v>
      </c>
      <c r="D148" s="4" t="s">
        <v>389</v>
      </c>
      <c r="E148" s="25" t="str">
        <f aca="false">IF(J148=1,"✓","")</f>
        <v/>
      </c>
      <c r="F148" s="4" t="n">
        <v>8</v>
      </c>
      <c r="G148" s="4" t="n">
        <v>4</v>
      </c>
      <c r="H148" s="4" t="s">
        <v>213</v>
      </c>
      <c r="I148" s="4" t="s">
        <v>50</v>
      </c>
      <c r="J148" s="4" t="n">
        <f aca="false">INDEX('Master List'!$G$2:$G$2594,K148)</f>
        <v>0</v>
      </c>
      <c r="K148" s="4" t="n">
        <v>1300</v>
      </c>
    </row>
    <row r="149" customFormat="false" ht="15" hidden="false" customHeight="false" outlineLevel="0" collapsed="false">
      <c r="A149" s="4" t="n">
        <v>148</v>
      </c>
      <c r="B149" s="4" t="s">
        <v>390</v>
      </c>
      <c r="C149" s="4" t="n">
        <v>1973</v>
      </c>
      <c r="D149" s="4" t="s">
        <v>391</v>
      </c>
      <c r="E149" s="25" t="str">
        <f aca="false">IF(J149=1,"✓","")</f>
        <v/>
      </c>
      <c r="F149" s="4" t="n">
        <v>8</v>
      </c>
      <c r="G149" s="4" t="n">
        <v>4</v>
      </c>
      <c r="H149" s="4" t="s">
        <v>213</v>
      </c>
      <c r="I149" s="4" t="s">
        <v>49</v>
      </c>
      <c r="J149" s="4" t="n">
        <f aca="false">INDEX('Master List'!$G$2:$G$2594,K149)</f>
        <v>0</v>
      </c>
      <c r="K149" s="4" t="n">
        <v>659</v>
      </c>
    </row>
    <row r="150" customFormat="false" ht="15" hidden="false" customHeight="false" outlineLevel="0" collapsed="false">
      <c r="A150" s="4" t="n">
        <v>149</v>
      </c>
      <c r="B150" s="4" t="s">
        <v>392</v>
      </c>
      <c r="C150" s="4" t="n">
        <v>1973</v>
      </c>
      <c r="D150" s="4" t="s">
        <v>257</v>
      </c>
      <c r="E150" s="25" t="str">
        <f aca="false">IF(J150=1,"✓","")</f>
        <v/>
      </c>
      <c r="F150" s="4" t="n">
        <v>8</v>
      </c>
      <c r="G150" s="4" t="n">
        <v>4</v>
      </c>
      <c r="H150" s="4" t="s">
        <v>213</v>
      </c>
      <c r="I150" s="4" t="s">
        <v>54</v>
      </c>
      <c r="J150" s="4" t="n">
        <f aca="false">INDEX('Master List'!$G$2:$G$2594,K150)</f>
        <v>0</v>
      </c>
      <c r="K150" s="4" t="n">
        <v>89</v>
      </c>
    </row>
    <row r="151" customFormat="false" ht="15" hidden="false" customHeight="false" outlineLevel="0" collapsed="false">
      <c r="A151" s="4" t="n">
        <v>150</v>
      </c>
      <c r="B151" s="4" t="s">
        <v>393</v>
      </c>
      <c r="C151" s="4" t="n">
        <v>1974</v>
      </c>
      <c r="D151" s="4" t="s">
        <v>172</v>
      </c>
      <c r="E151" s="25" t="str">
        <f aca="false">IF(J151=1,"✓","")</f>
        <v/>
      </c>
      <c r="F151" s="4" t="n">
        <v>8</v>
      </c>
      <c r="G151" s="4" t="n">
        <v>4</v>
      </c>
      <c r="H151" s="4" t="s">
        <v>213</v>
      </c>
      <c r="I151" s="4" t="s">
        <v>52</v>
      </c>
      <c r="J151" s="4" t="n">
        <f aca="false">INDEX('Master List'!$G$2:$G$2594,K151)</f>
        <v>0</v>
      </c>
      <c r="K151" s="4" t="n">
        <v>910</v>
      </c>
    </row>
    <row r="152" customFormat="false" ht="15" hidden="false" customHeight="false" outlineLevel="0" collapsed="false">
      <c r="A152" s="4" t="n">
        <v>151</v>
      </c>
      <c r="B152" s="4" t="s">
        <v>394</v>
      </c>
      <c r="C152" s="4" t="n">
        <v>1984</v>
      </c>
      <c r="D152" s="4" t="s">
        <v>395</v>
      </c>
      <c r="E152" s="25" t="str">
        <f aca="false">IF(J152=1,"✓","")</f>
        <v/>
      </c>
      <c r="F152" s="4" t="n">
        <v>8</v>
      </c>
      <c r="G152" s="4" t="n">
        <v>4</v>
      </c>
      <c r="H152" s="4" t="s">
        <v>213</v>
      </c>
      <c r="I152" s="4" t="s">
        <v>50</v>
      </c>
      <c r="J152" s="4" t="n">
        <f aca="false">INDEX('Master List'!$G$2:$G$2594,K152)</f>
        <v>0</v>
      </c>
      <c r="K152" s="4" t="n">
        <v>1669</v>
      </c>
    </row>
    <row r="153" customFormat="false" ht="15" hidden="false" customHeight="false" outlineLevel="0" collapsed="false">
      <c r="A153" s="4" t="n">
        <v>152</v>
      </c>
      <c r="B153" s="4" t="s">
        <v>396</v>
      </c>
      <c r="C153" s="4" t="n">
        <v>1984</v>
      </c>
      <c r="D153" s="4" t="s">
        <v>397</v>
      </c>
      <c r="E153" s="25" t="str">
        <f aca="false">IF(J153=1,"✓","")</f>
        <v>✓</v>
      </c>
      <c r="F153" s="4" t="n">
        <v>8</v>
      </c>
      <c r="G153" s="4" t="n">
        <v>4</v>
      </c>
      <c r="H153" s="4" t="s">
        <v>213</v>
      </c>
      <c r="I153" s="4" t="s">
        <v>50</v>
      </c>
      <c r="J153" s="4" t="n">
        <f aca="false">INDEX('Master List'!$G$2:$G$2594,K153)</f>
        <v>1</v>
      </c>
      <c r="K153" s="4" t="n">
        <v>294</v>
      </c>
    </row>
    <row r="154" customFormat="false" ht="15" hidden="false" customHeight="false" outlineLevel="0" collapsed="false">
      <c r="A154" s="4" t="n">
        <v>153</v>
      </c>
      <c r="B154" s="4" t="s">
        <v>398</v>
      </c>
      <c r="C154" s="4" t="n">
        <v>1985</v>
      </c>
      <c r="D154" s="4" t="s">
        <v>164</v>
      </c>
      <c r="E154" s="25" t="str">
        <f aca="false">IF(J154=1,"✓","")</f>
        <v>✓</v>
      </c>
      <c r="F154" s="4" t="n">
        <v>8</v>
      </c>
      <c r="G154" s="4" t="n">
        <v>4</v>
      </c>
      <c r="H154" s="4" t="s">
        <v>213</v>
      </c>
      <c r="I154" s="4" t="s">
        <v>50</v>
      </c>
      <c r="J154" s="4" t="n">
        <f aca="false">INDEX('Master List'!$G$2:$G$2594,K154)</f>
        <v>1</v>
      </c>
      <c r="K154" s="4" t="n">
        <v>49</v>
      </c>
    </row>
    <row r="155" customFormat="false" ht="15" hidden="false" customHeight="false" outlineLevel="0" collapsed="false">
      <c r="A155" s="4" t="n">
        <v>154</v>
      </c>
      <c r="B155" s="4" t="s">
        <v>399</v>
      </c>
      <c r="C155" s="4" t="n">
        <v>2023</v>
      </c>
      <c r="D155" s="4" t="s">
        <v>400</v>
      </c>
      <c r="E155" s="25" t="str">
        <f aca="false">IF(J155=1,"✓","")</f>
        <v/>
      </c>
      <c r="F155" s="4" t="n">
        <v>8</v>
      </c>
      <c r="G155" s="4" t="n">
        <v>4</v>
      </c>
      <c r="H155" s="4" t="s">
        <v>213</v>
      </c>
      <c r="I155" s="4" t="s">
        <v>49</v>
      </c>
      <c r="J155" s="4" t="n">
        <f aca="false">INDEX('Master List'!$G$2:$G$2594,K155)</f>
        <v>0</v>
      </c>
      <c r="K155" s="4" t="n">
        <v>2591</v>
      </c>
    </row>
    <row r="156" customFormat="false" ht="15" hidden="false" customHeight="false" outlineLevel="0" collapsed="false">
      <c r="A156" s="4" t="n">
        <v>155</v>
      </c>
      <c r="B156" s="4" t="s">
        <v>401</v>
      </c>
      <c r="C156" s="4" t="n">
        <v>1929</v>
      </c>
      <c r="D156" s="4" t="s">
        <v>402</v>
      </c>
      <c r="E156" s="25" t="str">
        <f aca="false">IF(J156=1,"✓","")</f>
        <v/>
      </c>
      <c r="F156" s="4" t="n">
        <v>8</v>
      </c>
      <c r="G156" s="4" t="n">
        <v>3</v>
      </c>
      <c r="H156" s="4" t="s">
        <v>144</v>
      </c>
      <c r="I156" s="4" t="s">
        <v>50</v>
      </c>
      <c r="J156" s="4" t="n">
        <f aca="false">INDEX('Master List'!$G$2:$G$2594,K156)</f>
        <v>0</v>
      </c>
      <c r="K156" s="4" t="n">
        <v>2397</v>
      </c>
    </row>
    <row r="157" customFormat="false" ht="15" hidden="false" customHeight="false" outlineLevel="0" collapsed="false">
      <c r="A157" s="4" t="n">
        <v>156</v>
      </c>
      <c r="B157" s="4" t="s">
        <v>403</v>
      </c>
      <c r="C157" s="4" t="n">
        <v>1938</v>
      </c>
      <c r="D157" s="4" t="s">
        <v>168</v>
      </c>
      <c r="E157" s="25" t="str">
        <f aca="false">IF(J157=1,"✓","")</f>
        <v/>
      </c>
      <c r="F157" s="4" t="n">
        <v>8</v>
      </c>
      <c r="G157" s="4" t="n">
        <v>4</v>
      </c>
      <c r="H157" s="4" t="s">
        <v>213</v>
      </c>
      <c r="I157" s="4" t="s">
        <v>52</v>
      </c>
      <c r="J157" s="4" t="n">
        <f aca="false">INDEX('Master List'!$G$2:$G$2594,K157)</f>
        <v>0</v>
      </c>
      <c r="K157" s="4" t="n">
        <v>353</v>
      </c>
    </row>
    <row r="158" customFormat="false" ht="15" hidden="false" customHeight="false" outlineLevel="0" collapsed="false">
      <c r="A158" s="4" t="n">
        <v>157</v>
      </c>
      <c r="B158" s="4" t="s">
        <v>404</v>
      </c>
      <c r="C158" s="4" t="n">
        <v>1945</v>
      </c>
      <c r="D158" s="4" t="s">
        <v>255</v>
      </c>
      <c r="E158" s="25" t="str">
        <f aca="false">IF(J158=1,"✓","")</f>
        <v/>
      </c>
      <c r="F158" s="4" t="n">
        <v>8</v>
      </c>
      <c r="G158" s="4" t="n">
        <v>3</v>
      </c>
      <c r="H158" s="4" t="s">
        <v>144</v>
      </c>
      <c r="I158" s="4" t="s">
        <v>52</v>
      </c>
      <c r="J158" s="4" t="n">
        <f aca="false">INDEX('Master List'!$G$2:$G$2594,K158)</f>
        <v>0</v>
      </c>
      <c r="K158" s="4" t="n">
        <v>349</v>
      </c>
    </row>
    <row r="159" customFormat="false" ht="15" hidden="false" customHeight="false" outlineLevel="0" collapsed="false">
      <c r="A159" s="4" t="n">
        <v>158</v>
      </c>
      <c r="B159" s="4" t="s">
        <v>405</v>
      </c>
      <c r="C159" s="4" t="n">
        <v>1948</v>
      </c>
      <c r="D159" s="4" t="s">
        <v>283</v>
      </c>
      <c r="E159" s="25" t="str">
        <f aca="false">IF(J159=1,"✓","")</f>
        <v/>
      </c>
      <c r="F159" s="4" t="n">
        <v>8</v>
      </c>
      <c r="G159" s="4" t="n">
        <v>4</v>
      </c>
      <c r="H159" s="4" t="s">
        <v>213</v>
      </c>
      <c r="I159" s="4" t="s">
        <v>52</v>
      </c>
      <c r="J159" s="4" t="n">
        <f aca="false">INDEX('Master List'!$G$2:$G$2594,K159)</f>
        <v>0</v>
      </c>
      <c r="K159" s="4" t="n">
        <v>2362</v>
      </c>
    </row>
    <row r="160" customFormat="false" ht="15" hidden="false" customHeight="false" outlineLevel="0" collapsed="false">
      <c r="A160" s="4" t="n">
        <v>159</v>
      </c>
      <c r="B160" s="4" t="s">
        <v>406</v>
      </c>
      <c r="C160" s="4" t="n">
        <v>1954</v>
      </c>
      <c r="D160" s="4" t="s">
        <v>407</v>
      </c>
      <c r="E160" s="25" t="str">
        <f aca="false">IF(J160=1,"✓","")</f>
        <v/>
      </c>
      <c r="F160" s="4" t="n">
        <v>8</v>
      </c>
      <c r="G160" s="4" t="n">
        <v>3</v>
      </c>
      <c r="H160" s="4" t="s">
        <v>144</v>
      </c>
      <c r="I160" s="4" t="s">
        <v>52</v>
      </c>
      <c r="J160" s="4" t="n">
        <f aca="false">INDEX('Master List'!$G$2:$G$2594,K160)</f>
        <v>0</v>
      </c>
      <c r="K160" s="4" t="n">
        <v>911</v>
      </c>
    </row>
    <row r="161" customFormat="false" ht="15" hidden="false" customHeight="false" outlineLevel="0" collapsed="false">
      <c r="A161" s="4" t="n">
        <v>160</v>
      </c>
      <c r="B161" s="4" t="s">
        <v>408</v>
      </c>
      <c r="C161" s="4" t="n">
        <v>1956</v>
      </c>
      <c r="D161" s="4" t="s">
        <v>409</v>
      </c>
      <c r="E161" s="25" t="str">
        <f aca="false">IF(J161=1,"✓","")</f>
        <v/>
      </c>
      <c r="F161" s="4" t="n">
        <v>8</v>
      </c>
      <c r="G161" s="4" t="n">
        <v>3</v>
      </c>
      <c r="H161" s="4" t="s">
        <v>144</v>
      </c>
      <c r="I161" s="4" t="s">
        <v>50</v>
      </c>
      <c r="J161" s="4" t="n">
        <f aca="false">INDEX('Master List'!$G$2:$G$2594,K161)</f>
        <v>0</v>
      </c>
      <c r="K161" s="4" t="n">
        <v>1160</v>
      </c>
    </row>
    <row r="162" customFormat="false" ht="15" hidden="false" customHeight="false" outlineLevel="0" collapsed="false">
      <c r="A162" s="4" t="n">
        <v>161</v>
      </c>
      <c r="B162" s="4" t="s">
        <v>410</v>
      </c>
      <c r="C162" s="4" t="n">
        <v>1957</v>
      </c>
      <c r="D162" s="4" t="s">
        <v>411</v>
      </c>
      <c r="E162" s="25" t="str">
        <f aca="false">IF(J162=1,"✓","")</f>
        <v/>
      </c>
      <c r="F162" s="4" t="n">
        <v>8</v>
      </c>
      <c r="G162" s="4" t="n">
        <v>4</v>
      </c>
      <c r="H162" s="4" t="s">
        <v>213</v>
      </c>
      <c r="I162" s="4" t="s">
        <v>50</v>
      </c>
      <c r="J162" s="4" t="n">
        <f aca="false">INDEX('Master List'!$G$2:$G$2594,K162)</f>
        <v>0</v>
      </c>
      <c r="K162" s="4" t="n">
        <v>2215</v>
      </c>
    </row>
    <row r="163" customFormat="false" ht="15" hidden="false" customHeight="false" outlineLevel="0" collapsed="false">
      <c r="A163" s="4" t="n">
        <v>162</v>
      </c>
      <c r="B163" s="4" t="s">
        <v>412</v>
      </c>
      <c r="C163" s="4" t="n">
        <v>1959</v>
      </c>
      <c r="D163" s="4" t="s">
        <v>162</v>
      </c>
      <c r="E163" s="25" t="str">
        <f aca="false">IF(J163=1,"✓","")</f>
        <v/>
      </c>
      <c r="F163" s="4" t="n">
        <v>8</v>
      </c>
      <c r="G163" s="4" t="n">
        <v>3</v>
      </c>
      <c r="H163" s="4" t="s">
        <v>144</v>
      </c>
      <c r="I163" s="4" t="s">
        <v>49</v>
      </c>
      <c r="J163" s="4" t="n">
        <f aca="false">INDEX('Master List'!$G$2:$G$2594,K163)</f>
        <v>0</v>
      </c>
      <c r="K163" s="4" t="n">
        <v>1630</v>
      </c>
    </row>
    <row r="164" customFormat="false" ht="15" hidden="false" customHeight="false" outlineLevel="0" collapsed="false">
      <c r="A164" s="4" t="n">
        <v>163</v>
      </c>
      <c r="B164" s="4" t="s">
        <v>413</v>
      </c>
      <c r="C164" s="4" t="n">
        <v>1959</v>
      </c>
      <c r="D164" s="4" t="s">
        <v>200</v>
      </c>
      <c r="E164" s="25" t="str">
        <f aca="false">IF(J164=1,"✓","")</f>
        <v/>
      </c>
      <c r="F164" s="4" t="n">
        <v>8</v>
      </c>
      <c r="G164" s="4" t="n">
        <v>4</v>
      </c>
      <c r="H164" s="4" t="s">
        <v>213</v>
      </c>
      <c r="I164" s="4" t="s">
        <v>50</v>
      </c>
      <c r="J164" s="4" t="n">
        <f aca="false">INDEX('Master List'!$G$2:$G$2594,K164)</f>
        <v>0</v>
      </c>
      <c r="K164" s="4" t="n">
        <v>2107</v>
      </c>
    </row>
    <row r="165" customFormat="false" ht="15" hidden="false" customHeight="false" outlineLevel="0" collapsed="false">
      <c r="A165" s="4" t="n">
        <v>164</v>
      </c>
      <c r="B165" s="4" t="s">
        <v>414</v>
      </c>
      <c r="C165" s="4" t="n">
        <v>1959</v>
      </c>
      <c r="D165" s="4" t="s">
        <v>168</v>
      </c>
      <c r="E165" s="25" t="str">
        <f aca="false">IF(J165=1,"✓","")</f>
        <v/>
      </c>
      <c r="F165" s="4" t="n">
        <v>8</v>
      </c>
      <c r="G165" s="4" t="n">
        <v>3</v>
      </c>
      <c r="H165" s="4" t="s">
        <v>144</v>
      </c>
      <c r="I165" s="4" t="s">
        <v>52</v>
      </c>
      <c r="J165" s="4" t="n">
        <f aca="false">INDEX('Master List'!$G$2:$G$2594,K165)</f>
        <v>0</v>
      </c>
      <c r="K165" s="4" t="n">
        <v>1909</v>
      </c>
    </row>
    <row r="166" customFormat="false" ht="15" hidden="false" customHeight="false" outlineLevel="0" collapsed="false">
      <c r="A166" s="4" t="n">
        <v>165</v>
      </c>
      <c r="B166" s="4" t="s">
        <v>415</v>
      </c>
      <c r="C166" s="4" t="n">
        <v>1962</v>
      </c>
      <c r="D166" s="4" t="s">
        <v>416</v>
      </c>
      <c r="E166" s="25" t="str">
        <f aca="false">IF(J166=1,"✓","")</f>
        <v/>
      </c>
      <c r="F166" s="4" t="n">
        <v>8</v>
      </c>
      <c r="G166" s="4" t="n">
        <v>3</v>
      </c>
      <c r="H166" s="4" t="s">
        <v>144</v>
      </c>
      <c r="I166" s="4" t="s">
        <v>51</v>
      </c>
      <c r="J166" s="4" t="n">
        <f aca="false">INDEX('Master List'!$G$2:$G$2594,K166)</f>
        <v>0</v>
      </c>
      <c r="K166" s="4" t="n">
        <v>1205</v>
      </c>
    </row>
    <row r="167" customFormat="false" ht="15" hidden="false" customHeight="false" outlineLevel="0" collapsed="false">
      <c r="A167" s="4" t="n">
        <v>166</v>
      </c>
      <c r="B167" s="4" t="s">
        <v>417</v>
      </c>
      <c r="C167" s="4" t="n">
        <v>1967</v>
      </c>
      <c r="D167" s="4" t="s">
        <v>357</v>
      </c>
      <c r="E167" s="25" t="str">
        <f aca="false">IF(J167=1,"✓","")</f>
        <v>✓</v>
      </c>
      <c r="F167" s="4" t="n">
        <v>8</v>
      </c>
      <c r="G167" s="4" t="n">
        <v>3</v>
      </c>
      <c r="H167" s="4" t="s">
        <v>144</v>
      </c>
      <c r="I167" s="4" t="s">
        <v>50</v>
      </c>
      <c r="J167" s="4" t="n">
        <f aca="false">INDEX('Master List'!$G$2:$G$2594,K167)</f>
        <v>1</v>
      </c>
      <c r="K167" s="4" t="n">
        <v>939</v>
      </c>
    </row>
    <row r="168" customFormat="false" ht="15" hidden="false" customHeight="false" outlineLevel="0" collapsed="false">
      <c r="A168" s="4" t="n">
        <v>167</v>
      </c>
      <c r="B168" s="4" t="s">
        <v>418</v>
      </c>
      <c r="C168" s="4" t="n">
        <v>1969</v>
      </c>
      <c r="D168" s="4" t="s">
        <v>419</v>
      </c>
      <c r="E168" s="25" t="str">
        <f aca="false">IF(J168=1,"✓","")</f>
        <v/>
      </c>
      <c r="F168" s="4" t="n">
        <v>8</v>
      </c>
      <c r="G168" s="4" t="n">
        <v>3</v>
      </c>
      <c r="H168" s="4" t="s">
        <v>144</v>
      </c>
      <c r="I168" s="4" t="s">
        <v>51</v>
      </c>
      <c r="J168" s="4" t="n">
        <f aca="false">INDEX('Master List'!$G$2:$G$2594,K168)</f>
        <v>0</v>
      </c>
      <c r="K168" s="4" t="n">
        <v>1575</v>
      </c>
    </row>
    <row r="169" customFormat="false" ht="15" hidden="false" customHeight="false" outlineLevel="0" collapsed="false">
      <c r="A169" s="4" t="n">
        <v>168</v>
      </c>
      <c r="B169" s="4" t="s">
        <v>420</v>
      </c>
      <c r="C169" s="4" t="n">
        <v>1970</v>
      </c>
      <c r="D169" s="4" t="s">
        <v>421</v>
      </c>
      <c r="E169" s="25" t="str">
        <f aca="false">IF(J169=1,"✓","")</f>
        <v/>
      </c>
      <c r="F169" s="4" t="n">
        <v>8</v>
      </c>
      <c r="G169" s="4" t="n">
        <v>3</v>
      </c>
      <c r="H169" s="4" t="s">
        <v>144</v>
      </c>
      <c r="I169" s="4" t="s">
        <v>52</v>
      </c>
      <c r="J169" s="4" t="n">
        <f aca="false">INDEX('Master List'!$G$2:$G$2594,K169)</f>
        <v>0</v>
      </c>
      <c r="K169" s="4" t="n">
        <v>2341</v>
      </c>
    </row>
    <row r="170" customFormat="false" ht="15" hidden="false" customHeight="false" outlineLevel="0" collapsed="false">
      <c r="A170" s="4" t="n">
        <v>169</v>
      </c>
      <c r="B170" s="4" t="s">
        <v>422</v>
      </c>
      <c r="C170" s="4" t="n">
        <v>1970</v>
      </c>
      <c r="D170" s="4" t="s">
        <v>197</v>
      </c>
      <c r="E170" s="25" t="str">
        <f aca="false">IF(J170=1,"✓","")</f>
        <v>✓</v>
      </c>
      <c r="F170" s="4" t="n">
        <v>8</v>
      </c>
      <c r="G170" s="4" t="n">
        <v>4</v>
      </c>
      <c r="H170" s="4" t="s">
        <v>213</v>
      </c>
      <c r="I170" s="4" t="s">
        <v>52</v>
      </c>
      <c r="J170" s="4" t="n">
        <f aca="false">INDEX('Master List'!$G$2:$G$2594,K170)</f>
        <v>1</v>
      </c>
      <c r="K170" s="4" t="n">
        <v>1399</v>
      </c>
    </row>
    <row r="171" customFormat="false" ht="15" hidden="false" customHeight="false" outlineLevel="0" collapsed="false">
      <c r="A171" s="4" t="n">
        <v>170</v>
      </c>
      <c r="B171" s="4" t="s">
        <v>423</v>
      </c>
      <c r="C171" s="4" t="n">
        <v>1973</v>
      </c>
      <c r="D171" s="4" t="s">
        <v>389</v>
      </c>
      <c r="E171" s="25" t="str">
        <f aca="false">IF(J171=1,"✓","")</f>
        <v>✓</v>
      </c>
      <c r="F171" s="4" t="n">
        <v>8</v>
      </c>
      <c r="G171" s="4" t="n">
        <v>3</v>
      </c>
      <c r="H171" s="4" t="s">
        <v>144</v>
      </c>
      <c r="I171" s="4" t="s">
        <v>52</v>
      </c>
      <c r="J171" s="4" t="n">
        <f aca="false">INDEX('Master List'!$G$2:$G$2594,K171)</f>
        <v>1</v>
      </c>
      <c r="K171" s="4" t="n">
        <v>1715</v>
      </c>
    </row>
    <row r="172" customFormat="false" ht="15" hidden="false" customHeight="false" outlineLevel="0" collapsed="false">
      <c r="A172" s="4" t="n">
        <v>171</v>
      </c>
      <c r="B172" s="4" t="s">
        <v>424</v>
      </c>
      <c r="C172" s="4" t="n">
        <v>1988</v>
      </c>
      <c r="D172" s="4" t="s">
        <v>382</v>
      </c>
      <c r="E172" s="25" t="str">
        <f aca="false">IF(J172=1,"✓","")</f>
        <v/>
      </c>
      <c r="F172" s="4" t="n">
        <v>8</v>
      </c>
      <c r="G172" s="4" t="n">
        <v>3</v>
      </c>
      <c r="H172" s="4" t="s">
        <v>144</v>
      </c>
      <c r="I172" s="4" t="s">
        <v>53</v>
      </c>
      <c r="J172" s="4" t="n">
        <f aca="false">INDEX('Master List'!$G$2:$G$2594,K172)</f>
        <v>0</v>
      </c>
      <c r="K172" s="4" t="n">
        <v>1574</v>
      </c>
    </row>
    <row r="173" customFormat="false" ht="15" hidden="false" customHeight="false" outlineLevel="0" collapsed="false">
      <c r="A173" s="4" t="n">
        <v>172</v>
      </c>
      <c r="B173" s="4" t="s">
        <v>425</v>
      </c>
      <c r="C173" s="4" t="n">
        <v>1995</v>
      </c>
      <c r="D173" s="4" t="s">
        <v>426</v>
      </c>
      <c r="E173" s="25" t="str">
        <f aca="false">IF(J173=1,"✓","")</f>
        <v>✓</v>
      </c>
      <c r="F173" s="4" t="n">
        <v>8</v>
      </c>
      <c r="G173" s="4" t="n">
        <v>3</v>
      </c>
      <c r="H173" s="4" t="s">
        <v>144</v>
      </c>
      <c r="I173" s="4" t="s">
        <v>54</v>
      </c>
      <c r="J173" s="4" t="n">
        <f aca="false">INDEX('Master List'!$G$2:$G$2594,K173)</f>
        <v>1</v>
      </c>
      <c r="K173" s="4" t="n">
        <v>978</v>
      </c>
    </row>
    <row r="174" customFormat="false" ht="15" hidden="false" customHeight="false" outlineLevel="0" collapsed="false">
      <c r="A174" s="4" t="n">
        <v>173</v>
      </c>
      <c r="B174" s="4" t="s">
        <v>427</v>
      </c>
      <c r="C174" s="4" t="n">
        <v>1996</v>
      </c>
      <c r="D174" s="4" t="s">
        <v>397</v>
      </c>
      <c r="E174" s="25" t="str">
        <f aca="false">IF(J174=1,"✓","")</f>
        <v>✓</v>
      </c>
      <c r="F174" s="4" t="n">
        <v>8</v>
      </c>
      <c r="G174" s="4" t="n">
        <v>3</v>
      </c>
      <c r="H174" s="4" t="s">
        <v>144</v>
      </c>
      <c r="I174" s="4" t="s">
        <v>50</v>
      </c>
      <c r="J174" s="4" t="n">
        <f aca="false">INDEX('Master List'!$G$2:$G$2594,K174)</f>
        <v>1</v>
      </c>
      <c r="K174" s="4" t="n">
        <v>787</v>
      </c>
    </row>
    <row r="175" customFormat="false" ht="15" hidden="false" customHeight="false" outlineLevel="0" collapsed="false">
      <c r="A175" s="4" t="n">
        <v>174</v>
      </c>
      <c r="B175" s="4" t="s">
        <v>428</v>
      </c>
      <c r="C175" s="4" t="n">
        <v>1999</v>
      </c>
      <c r="D175" s="4" t="s">
        <v>429</v>
      </c>
      <c r="E175" s="25" t="str">
        <f aca="false">IF(J175=1,"✓","")</f>
        <v>✓</v>
      </c>
      <c r="F175" s="4" t="n">
        <v>8</v>
      </c>
      <c r="G175" s="4" t="n">
        <v>4</v>
      </c>
      <c r="H175" s="4" t="s">
        <v>213</v>
      </c>
      <c r="I175" s="4" t="s">
        <v>50</v>
      </c>
      <c r="J175" s="4" t="n">
        <f aca="false">INDEX('Master List'!$G$2:$G$2594,K175)</f>
        <v>1</v>
      </c>
      <c r="K175" s="4" t="n">
        <v>716</v>
      </c>
    </row>
    <row r="176" customFormat="false" ht="15" hidden="false" customHeight="false" outlineLevel="0" collapsed="false">
      <c r="A176" s="4" t="n">
        <v>175</v>
      </c>
      <c r="B176" s="4" t="s">
        <v>430</v>
      </c>
      <c r="C176" s="4" t="n">
        <v>2009</v>
      </c>
      <c r="D176" s="4" t="s">
        <v>274</v>
      </c>
      <c r="E176" s="25" t="str">
        <f aca="false">IF(J176=1,"✓","")</f>
        <v>✓</v>
      </c>
      <c r="F176" s="4" t="n">
        <v>8</v>
      </c>
      <c r="G176" s="4" t="n">
        <v>3</v>
      </c>
      <c r="H176" s="4" t="s">
        <v>144</v>
      </c>
      <c r="I176" s="4" t="s">
        <v>52</v>
      </c>
      <c r="J176" s="4" t="n">
        <f aca="false">INDEX('Master List'!$G$2:$G$2594,K176)</f>
        <v>1</v>
      </c>
      <c r="K176" s="4" t="n">
        <v>783</v>
      </c>
    </row>
    <row r="177" customFormat="false" ht="15" hidden="false" customHeight="false" outlineLevel="0" collapsed="false">
      <c r="A177" s="4" t="n">
        <v>176</v>
      </c>
      <c r="B177" s="4" t="s">
        <v>431</v>
      </c>
      <c r="C177" s="4" t="n">
        <v>1941</v>
      </c>
      <c r="D177" s="4" t="s">
        <v>250</v>
      </c>
      <c r="E177" s="25" t="str">
        <f aca="false">IF(J177=1,"✓","")</f>
        <v/>
      </c>
      <c r="F177" s="4" t="n">
        <v>8</v>
      </c>
      <c r="G177" s="4" t="n">
        <v>4</v>
      </c>
      <c r="H177" s="4" t="s">
        <v>213</v>
      </c>
      <c r="I177" s="4" t="s">
        <v>52</v>
      </c>
      <c r="J177" s="4" t="n">
        <f aca="false">INDEX('Master List'!$G$2:$G$2594,K177)</f>
        <v>0</v>
      </c>
      <c r="K177" s="4" t="n">
        <v>1279</v>
      </c>
    </row>
    <row r="178" customFormat="false" ht="15" hidden="false" customHeight="false" outlineLevel="0" collapsed="false">
      <c r="A178" s="4" t="n">
        <v>177</v>
      </c>
      <c r="B178" s="4" t="s">
        <v>432</v>
      </c>
      <c r="C178" s="4" t="n">
        <v>1962</v>
      </c>
      <c r="D178" s="4" t="s">
        <v>433</v>
      </c>
      <c r="E178" s="25" t="str">
        <f aca="false">IF(J178=1,"✓","")</f>
        <v/>
      </c>
      <c r="F178" s="4" t="n">
        <v>8</v>
      </c>
      <c r="G178" s="4" t="n">
        <v>3</v>
      </c>
      <c r="H178" s="4" t="s">
        <v>144</v>
      </c>
      <c r="I178" s="4" t="s">
        <v>55</v>
      </c>
      <c r="J178" s="4" t="n">
        <f aca="false">INDEX('Master List'!$G$2:$G$2594,K178)</f>
        <v>0</v>
      </c>
      <c r="K178" s="4" t="n">
        <v>2318</v>
      </c>
    </row>
    <row r="179" customFormat="false" ht="15" hidden="false" customHeight="false" outlineLevel="0" collapsed="false">
      <c r="A179" s="4" t="n">
        <v>178</v>
      </c>
      <c r="B179" s="4" t="s">
        <v>434</v>
      </c>
      <c r="C179" s="4" t="n">
        <v>1974</v>
      </c>
      <c r="D179" s="4" t="s">
        <v>435</v>
      </c>
      <c r="E179" s="25" t="str">
        <f aca="false">IF(J179=1,"✓","")</f>
        <v/>
      </c>
      <c r="F179" s="4" t="n">
        <v>8</v>
      </c>
      <c r="G179" s="4" t="n">
        <v>3</v>
      </c>
      <c r="H179" s="4" t="s">
        <v>144</v>
      </c>
      <c r="I179" s="4" t="s">
        <v>52</v>
      </c>
      <c r="J179" s="4" t="n">
        <f aca="false">INDEX('Master List'!$G$2:$G$2594,K179)</f>
        <v>0</v>
      </c>
      <c r="K179" s="4" t="n">
        <v>2260</v>
      </c>
    </row>
    <row r="180" customFormat="false" ht="15" hidden="false" customHeight="false" outlineLevel="0" collapsed="false">
      <c r="A180" s="4" t="n">
        <v>179</v>
      </c>
      <c r="B180" s="4" t="s">
        <v>436</v>
      </c>
      <c r="C180" s="4" t="n">
        <v>1985</v>
      </c>
      <c r="D180" s="4" t="s">
        <v>437</v>
      </c>
      <c r="E180" s="25" t="str">
        <f aca="false">IF(J180=1,"✓","")</f>
        <v/>
      </c>
      <c r="F180" s="4" t="n">
        <v>8</v>
      </c>
      <c r="G180" s="4" t="n">
        <v>3</v>
      </c>
      <c r="H180" s="4" t="s">
        <v>144</v>
      </c>
      <c r="I180" s="4" t="s">
        <v>51</v>
      </c>
      <c r="J180" s="4" t="n">
        <f aca="false">INDEX('Master List'!$G$2:$G$2594,K180)</f>
        <v>0</v>
      </c>
      <c r="K180" s="4" t="n">
        <v>502</v>
      </c>
    </row>
    <row r="181" customFormat="false" ht="15" hidden="false" customHeight="false" outlineLevel="0" collapsed="false">
      <c r="A181" s="4" t="n">
        <v>180</v>
      </c>
      <c r="B181" s="4" t="s">
        <v>438</v>
      </c>
      <c r="C181" s="4" t="n">
        <v>1998</v>
      </c>
      <c r="D181" s="4" t="s">
        <v>439</v>
      </c>
      <c r="E181" s="25" t="str">
        <f aca="false">IF(J181=1,"✓","")</f>
        <v>✓</v>
      </c>
      <c r="F181" s="4" t="n">
        <v>8</v>
      </c>
      <c r="G181" s="4" t="n">
        <v>4</v>
      </c>
      <c r="H181" s="4" t="s">
        <v>213</v>
      </c>
      <c r="I181" s="4" t="s">
        <v>54</v>
      </c>
      <c r="J181" s="4" t="n">
        <f aca="false">INDEX('Master List'!$G$2:$G$2594,K181)</f>
        <v>1</v>
      </c>
      <c r="K181" s="4" t="n">
        <v>2380</v>
      </c>
    </row>
    <row r="182" customFormat="false" ht="15" hidden="false" customHeight="false" outlineLevel="0" collapsed="false">
      <c r="A182" s="4" t="n">
        <v>181</v>
      </c>
      <c r="B182" s="4" t="s">
        <v>440</v>
      </c>
      <c r="C182" s="4" t="n">
        <v>2003</v>
      </c>
      <c r="D182" s="4" t="s">
        <v>441</v>
      </c>
      <c r="E182" s="25" t="str">
        <f aca="false">IF(J182=1,"✓","")</f>
        <v>✓</v>
      </c>
      <c r="F182" s="4" t="n">
        <v>8</v>
      </c>
      <c r="G182" s="4" t="n">
        <v>3</v>
      </c>
      <c r="H182" s="4" t="s">
        <v>144</v>
      </c>
      <c r="I182" s="4" t="s">
        <v>54</v>
      </c>
      <c r="J182" s="4" t="n">
        <f aca="false">INDEX('Master List'!$G$2:$G$2594,K182)</f>
        <v>1</v>
      </c>
      <c r="K182" s="4" t="n">
        <v>1385</v>
      </c>
    </row>
    <row r="183" customFormat="false" ht="15" hidden="false" customHeight="false" outlineLevel="0" collapsed="false">
      <c r="A183" s="4" t="n">
        <v>182</v>
      </c>
      <c r="B183" s="4" t="s">
        <v>442</v>
      </c>
      <c r="C183" s="4" t="n">
        <v>1997</v>
      </c>
      <c r="D183" s="4" t="s">
        <v>154</v>
      </c>
      <c r="E183" s="25" t="str">
        <f aca="false">IF(J183=1,"✓","")</f>
        <v/>
      </c>
      <c r="F183" s="4" t="n">
        <v>7</v>
      </c>
      <c r="G183" s="4" t="n">
        <v>4</v>
      </c>
      <c r="H183" s="4" t="s">
        <v>213</v>
      </c>
      <c r="I183" s="4" t="s">
        <v>52</v>
      </c>
      <c r="J183" s="4" t="n">
        <f aca="false">INDEX('Master List'!$G$2:$G$2594,K183)</f>
        <v>0</v>
      </c>
      <c r="K183" s="4" t="n">
        <v>1384</v>
      </c>
    </row>
    <row r="184" customFormat="false" ht="15" hidden="false" customHeight="false" outlineLevel="0" collapsed="false">
      <c r="A184" s="4" t="n">
        <v>183</v>
      </c>
      <c r="B184" s="4" t="s">
        <v>443</v>
      </c>
      <c r="C184" s="4" t="n">
        <v>2004</v>
      </c>
      <c r="D184" s="4" t="s">
        <v>444</v>
      </c>
      <c r="E184" s="25" t="str">
        <f aca="false">IF(J184=1,"✓","")</f>
        <v/>
      </c>
      <c r="F184" s="4" t="n">
        <v>7</v>
      </c>
      <c r="G184" s="4" t="n">
        <v>4</v>
      </c>
      <c r="H184" s="4" t="s">
        <v>213</v>
      </c>
      <c r="I184" s="4" t="s">
        <v>50</v>
      </c>
      <c r="J184" s="4" t="n">
        <f aca="false">INDEX('Master List'!$G$2:$G$2594,K184)</f>
        <v>0</v>
      </c>
      <c r="K184" s="4" t="n">
        <v>2374</v>
      </c>
    </row>
    <row r="185" customFormat="false" ht="15" hidden="false" customHeight="false" outlineLevel="0" collapsed="false">
      <c r="A185" s="4" t="n">
        <v>184</v>
      </c>
      <c r="B185" s="4" t="s">
        <v>445</v>
      </c>
      <c r="C185" s="4" t="n">
        <v>2013</v>
      </c>
      <c r="D185" s="4" t="s">
        <v>327</v>
      </c>
      <c r="E185" s="25" t="str">
        <f aca="false">IF(J185=1,"✓","")</f>
        <v>✓</v>
      </c>
      <c r="F185" s="4" t="n">
        <v>7</v>
      </c>
      <c r="G185" s="4" t="n">
        <v>4</v>
      </c>
      <c r="H185" s="4" t="s">
        <v>213</v>
      </c>
      <c r="I185" s="4" t="s">
        <v>53</v>
      </c>
      <c r="J185" s="4" t="n">
        <f aca="false">INDEX('Master List'!$G$2:$G$2594,K185)</f>
        <v>1</v>
      </c>
      <c r="K185" s="4" t="n">
        <v>732</v>
      </c>
    </row>
    <row r="186" customFormat="false" ht="15" hidden="false" customHeight="false" outlineLevel="0" collapsed="false">
      <c r="A186" s="4" t="n">
        <v>185</v>
      </c>
      <c r="B186" s="4" t="s">
        <v>446</v>
      </c>
      <c r="C186" s="4" t="n">
        <v>2023</v>
      </c>
      <c r="D186" s="4" t="s">
        <v>447</v>
      </c>
      <c r="E186" s="25" t="str">
        <f aca="false">IF(J186=1,"✓","")</f>
        <v/>
      </c>
      <c r="F186" s="4" t="n">
        <v>7</v>
      </c>
      <c r="G186" s="4" t="n">
        <v>4</v>
      </c>
      <c r="H186" s="4" t="s">
        <v>213</v>
      </c>
      <c r="I186" s="4" t="s">
        <v>50</v>
      </c>
      <c r="J186" s="4" t="n">
        <f aca="false">INDEX('Master List'!$G$2:$G$2594,K186)</f>
        <v>0</v>
      </c>
      <c r="K186" s="4" t="n">
        <v>98</v>
      </c>
    </row>
    <row r="187" customFormat="false" ht="15" hidden="false" customHeight="false" outlineLevel="0" collapsed="false">
      <c r="A187" s="4" t="n">
        <v>186</v>
      </c>
      <c r="B187" s="4" t="s">
        <v>448</v>
      </c>
      <c r="C187" s="4" t="n">
        <v>1922</v>
      </c>
      <c r="D187" s="4" t="s">
        <v>299</v>
      </c>
      <c r="E187" s="25" t="str">
        <f aca="false">IF(J187=1,"✓","")</f>
        <v/>
      </c>
      <c r="F187" s="4" t="n">
        <v>7</v>
      </c>
      <c r="G187" s="4" t="n">
        <v>3</v>
      </c>
      <c r="H187" s="4" t="s">
        <v>144</v>
      </c>
      <c r="I187" s="4" t="s">
        <v>50</v>
      </c>
      <c r="J187" s="4" t="n">
        <f aca="false">INDEX('Master List'!$G$2:$G$2594,K187)</f>
        <v>0</v>
      </c>
      <c r="K187" s="4" t="n">
        <v>1632</v>
      </c>
    </row>
    <row r="188" customFormat="false" ht="15" hidden="false" customHeight="false" outlineLevel="0" collapsed="false">
      <c r="A188" s="4" t="n">
        <v>187</v>
      </c>
      <c r="B188" s="4" t="s">
        <v>449</v>
      </c>
      <c r="C188" s="4" t="n">
        <v>1933</v>
      </c>
      <c r="D188" s="4" t="s">
        <v>450</v>
      </c>
      <c r="E188" s="25" t="str">
        <f aca="false">IF(J188=1,"✓","")</f>
        <v/>
      </c>
      <c r="F188" s="4" t="n">
        <v>7</v>
      </c>
      <c r="G188" s="4" t="n">
        <v>3</v>
      </c>
      <c r="H188" s="4" t="s">
        <v>144</v>
      </c>
      <c r="I188" s="4" t="s">
        <v>50</v>
      </c>
      <c r="J188" s="4" t="n">
        <f aca="false">INDEX('Master List'!$G$2:$G$2594,K188)</f>
        <v>0</v>
      </c>
      <c r="K188" s="4" t="n">
        <v>686</v>
      </c>
    </row>
    <row r="189" customFormat="false" ht="15" hidden="false" customHeight="false" outlineLevel="0" collapsed="false">
      <c r="A189" s="4" t="n">
        <v>188</v>
      </c>
      <c r="B189" s="4" t="s">
        <v>451</v>
      </c>
      <c r="C189" s="4" t="n">
        <v>1937</v>
      </c>
      <c r="D189" s="4" t="s">
        <v>234</v>
      </c>
      <c r="E189" s="25" t="str">
        <f aca="false">IF(J189=1,"✓","")</f>
        <v/>
      </c>
      <c r="F189" s="4" t="n">
        <v>7</v>
      </c>
      <c r="G189" s="4" t="n">
        <v>3</v>
      </c>
      <c r="H189" s="4" t="s">
        <v>144</v>
      </c>
      <c r="I189" s="4" t="s">
        <v>51</v>
      </c>
      <c r="J189" s="4" t="n">
        <f aca="false">INDEX('Master List'!$G$2:$G$2594,K189)</f>
        <v>0</v>
      </c>
      <c r="K189" s="4" t="n">
        <v>942</v>
      </c>
    </row>
    <row r="190" customFormat="false" ht="15" hidden="false" customHeight="false" outlineLevel="0" collapsed="false">
      <c r="A190" s="4" t="n">
        <v>189</v>
      </c>
      <c r="B190" s="4" t="s">
        <v>452</v>
      </c>
      <c r="C190" s="4" t="n">
        <v>1948</v>
      </c>
      <c r="D190" s="4" t="s">
        <v>453</v>
      </c>
      <c r="E190" s="25" t="str">
        <f aca="false">IF(J190=1,"✓","")</f>
        <v/>
      </c>
      <c r="F190" s="4" t="n">
        <v>7</v>
      </c>
      <c r="G190" s="4" t="n">
        <v>3</v>
      </c>
      <c r="H190" s="4" t="s">
        <v>144</v>
      </c>
      <c r="I190" s="4" t="s">
        <v>49</v>
      </c>
      <c r="J190" s="4" t="n">
        <f aca="false">INDEX('Master List'!$G$2:$G$2594,K190)</f>
        <v>0</v>
      </c>
      <c r="K190" s="4" t="n">
        <v>1877</v>
      </c>
    </row>
    <row r="191" customFormat="false" ht="15" hidden="false" customHeight="false" outlineLevel="0" collapsed="false">
      <c r="A191" s="4" t="n">
        <v>190</v>
      </c>
      <c r="B191" s="4" t="s">
        <v>454</v>
      </c>
      <c r="C191" s="4" t="n">
        <v>1949</v>
      </c>
      <c r="D191" s="4" t="s">
        <v>455</v>
      </c>
      <c r="E191" s="25" t="str">
        <f aca="false">IF(J191=1,"✓","")</f>
        <v/>
      </c>
      <c r="F191" s="4" t="n">
        <v>7</v>
      </c>
      <c r="G191" s="4" t="n">
        <v>3</v>
      </c>
      <c r="H191" s="4" t="s">
        <v>144</v>
      </c>
      <c r="I191" s="4" t="s">
        <v>51</v>
      </c>
      <c r="J191" s="4" t="n">
        <f aca="false">INDEX('Master List'!$G$2:$G$2594,K191)</f>
        <v>0</v>
      </c>
      <c r="K191" s="4" t="n">
        <v>1255</v>
      </c>
    </row>
    <row r="192" customFormat="false" ht="15" hidden="false" customHeight="false" outlineLevel="0" collapsed="false">
      <c r="A192" s="4" t="n">
        <v>191</v>
      </c>
      <c r="B192" s="4" t="s">
        <v>456</v>
      </c>
      <c r="C192" s="4" t="n">
        <v>1956</v>
      </c>
      <c r="D192" s="4" t="s">
        <v>215</v>
      </c>
      <c r="E192" s="25" t="str">
        <f aca="false">IF(J192=1,"✓","")</f>
        <v>✓</v>
      </c>
      <c r="F192" s="4" t="n">
        <v>7</v>
      </c>
      <c r="G192" s="4" t="n">
        <v>3</v>
      </c>
      <c r="H192" s="4" t="s">
        <v>144</v>
      </c>
      <c r="I192" s="4" t="s">
        <v>49</v>
      </c>
      <c r="J192" s="4" t="n">
        <f aca="false">INDEX('Master List'!$G$2:$G$2594,K192)</f>
        <v>1</v>
      </c>
      <c r="K192" s="4" t="n">
        <v>1422</v>
      </c>
    </row>
    <row r="193" customFormat="false" ht="15" hidden="false" customHeight="false" outlineLevel="0" collapsed="false">
      <c r="A193" s="4" t="n">
        <v>192</v>
      </c>
      <c r="B193" s="4" t="s">
        <v>457</v>
      </c>
      <c r="C193" s="4" t="n">
        <v>1959</v>
      </c>
      <c r="D193" s="4" t="s">
        <v>215</v>
      </c>
      <c r="E193" s="25" t="str">
        <f aca="false">IF(J193=1,"✓","")</f>
        <v>✓</v>
      </c>
      <c r="F193" s="4" t="n">
        <v>7</v>
      </c>
      <c r="G193" s="4" t="n">
        <v>3</v>
      </c>
      <c r="H193" s="4" t="s">
        <v>144</v>
      </c>
      <c r="I193" s="4" t="s">
        <v>50</v>
      </c>
      <c r="J193" s="4" t="n">
        <f aca="false">INDEX('Master List'!$G$2:$G$2594,K193)</f>
        <v>1</v>
      </c>
      <c r="K193" s="4" t="n">
        <v>1762</v>
      </c>
    </row>
    <row r="194" customFormat="false" ht="15" hidden="false" customHeight="false" outlineLevel="0" collapsed="false">
      <c r="A194" s="4" t="n">
        <v>193</v>
      </c>
      <c r="B194" s="4" t="s">
        <v>458</v>
      </c>
      <c r="C194" s="4" t="n">
        <v>1961</v>
      </c>
      <c r="D194" s="4" t="s">
        <v>272</v>
      </c>
      <c r="E194" s="25" t="str">
        <f aca="false">IF(J194=1,"✓","")</f>
        <v/>
      </c>
      <c r="F194" s="4" t="n">
        <v>7</v>
      </c>
      <c r="G194" s="4" t="n">
        <v>3</v>
      </c>
      <c r="H194" s="4" t="s">
        <v>144</v>
      </c>
      <c r="I194" s="4" t="s">
        <v>49</v>
      </c>
      <c r="J194" s="4" t="n">
        <f aca="false">INDEX('Master List'!$G$2:$G$2594,K194)</f>
        <v>0</v>
      </c>
      <c r="K194" s="4" t="n">
        <v>1305</v>
      </c>
    </row>
    <row r="195" customFormat="false" ht="15" hidden="false" customHeight="false" outlineLevel="0" collapsed="false">
      <c r="A195" s="4" t="n">
        <v>194</v>
      </c>
      <c r="B195" s="4" t="s">
        <v>459</v>
      </c>
      <c r="C195" s="4" t="n">
        <v>1961</v>
      </c>
      <c r="D195" s="4" t="s">
        <v>156</v>
      </c>
      <c r="E195" s="25" t="str">
        <f aca="false">IF(J195=1,"✓","")</f>
        <v/>
      </c>
      <c r="F195" s="4" t="n">
        <v>7</v>
      </c>
      <c r="G195" s="4" t="n">
        <v>3</v>
      </c>
      <c r="H195" s="4" t="s">
        <v>144</v>
      </c>
      <c r="I195" s="4" t="s">
        <v>51</v>
      </c>
      <c r="J195" s="4" t="n">
        <f aca="false">INDEX('Master List'!$G$2:$G$2594,K195)</f>
        <v>0</v>
      </c>
      <c r="K195" s="4" t="n">
        <v>2570</v>
      </c>
    </row>
    <row r="196" customFormat="false" ht="15" hidden="false" customHeight="false" outlineLevel="0" collapsed="false">
      <c r="A196" s="4" t="n">
        <v>195</v>
      </c>
      <c r="B196" s="4" t="s">
        <v>460</v>
      </c>
      <c r="C196" s="4" t="n">
        <v>1963</v>
      </c>
      <c r="D196" s="4" t="s">
        <v>461</v>
      </c>
      <c r="E196" s="25" t="str">
        <f aca="false">IF(J196=1,"✓","")</f>
        <v/>
      </c>
      <c r="F196" s="4" t="n">
        <v>7</v>
      </c>
      <c r="G196" s="4" t="n">
        <v>3</v>
      </c>
      <c r="H196" s="4" t="s">
        <v>144</v>
      </c>
      <c r="I196" s="4" t="s">
        <v>49</v>
      </c>
      <c r="J196" s="4" t="n">
        <f aca="false">INDEX('Master List'!$G$2:$G$2594,K196)</f>
        <v>0</v>
      </c>
      <c r="K196" s="4" t="n">
        <v>1321</v>
      </c>
    </row>
    <row r="197" customFormat="false" ht="15" hidden="false" customHeight="false" outlineLevel="0" collapsed="false">
      <c r="A197" s="4" t="n">
        <v>196</v>
      </c>
      <c r="B197" s="4" t="s">
        <v>462</v>
      </c>
      <c r="C197" s="4" t="n">
        <v>1963</v>
      </c>
      <c r="D197" s="4" t="s">
        <v>152</v>
      </c>
      <c r="E197" s="25" t="str">
        <f aca="false">IF(J197=1,"✓","")</f>
        <v/>
      </c>
      <c r="F197" s="4" t="n">
        <v>7</v>
      </c>
      <c r="G197" s="4" t="n">
        <v>3</v>
      </c>
      <c r="H197" s="4" t="s">
        <v>144</v>
      </c>
      <c r="I197" s="4" t="s">
        <v>51</v>
      </c>
      <c r="J197" s="4" t="n">
        <f aca="false">INDEX('Master List'!$G$2:$G$2594,K197)</f>
        <v>0</v>
      </c>
      <c r="K197" s="4" t="n">
        <v>518</v>
      </c>
    </row>
    <row r="198" customFormat="false" ht="15" hidden="false" customHeight="false" outlineLevel="0" collapsed="false">
      <c r="A198" s="4" t="n">
        <v>197</v>
      </c>
      <c r="B198" s="4" t="s">
        <v>463</v>
      </c>
      <c r="C198" s="4" t="n">
        <v>1964</v>
      </c>
      <c r="D198" s="4" t="s">
        <v>464</v>
      </c>
      <c r="E198" s="25" t="str">
        <f aca="false">IF(J198=1,"✓","")</f>
        <v/>
      </c>
      <c r="F198" s="4" t="n">
        <v>7</v>
      </c>
      <c r="G198" s="4" t="n">
        <v>3</v>
      </c>
      <c r="H198" s="4" t="s">
        <v>144</v>
      </c>
      <c r="I198" s="4" t="s">
        <v>50</v>
      </c>
      <c r="J198" s="4" t="n">
        <f aca="false">INDEX('Master List'!$G$2:$G$2594,K198)</f>
        <v>0</v>
      </c>
      <c r="K198" s="4" t="n">
        <v>267</v>
      </c>
    </row>
    <row r="199" customFormat="false" ht="15" hidden="false" customHeight="false" outlineLevel="0" collapsed="false">
      <c r="A199" s="4" t="n">
        <v>198</v>
      </c>
      <c r="B199" s="4" t="s">
        <v>465</v>
      </c>
      <c r="C199" s="4" t="n">
        <v>1964</v>
      </c>
      <c r="D199" s="4" t="s">
        <v>466</v>
      </c>
      <c r="E199" s="25" t="str">
        <f aca="false">IF(J199=1,"✓","")</f>
        <v/>
      </c>
      <c r="F199" s="4" t="n">
        <v>7</v>
      </c>
      <c r="G199" s="4" t="n">
        <v>3</v>
      </c>
      <c r="H199" s="4" t="s">
        <v>144</v>
      </c>
      <c r="I199" s="4" t="s">
        <v>51</v>
      </c>
      <c r="J199" s="4" t="n">
        <f aca="false">INDEX('Master List'!$G$2:$G$2594,K199)</f>
        <v>0</v>
      </c>
      <c r="K199" s="4" t="n">
        <v>2543</v>
      </c>
    </row>
    <row r="200" customFormat="false" ht="15" hidden="false" customHeight="false" outlineLevel="0" collapsed="false">
      <c r="A200" s="4" t="n">
        <v>199</v>
      </c>
      <c r="B200" s="4" t="s">
        <v>467</v>
      </c>
      <c r="C200" s="4" t="n">
        <v>1964</v>
      </c>
      <c r="D200" s="4" t="s">
        <v>395</v>
      </c>
      <c r="E200" s="25" t="str">
        <f aca="false">IF(J200=1,"✓","")</f>
        <v>✓</v>
      </c>
      <c r="F200" s="4" t="n">
        <v>7</v>
      </c>
      <c r="G200" s="4" t="n">
        <v>3</v>
      </c>
      <c r="H200" s="4" t="s">
        <v>144</v>
      </c>
      <c r="I200" s="4" t="s">
        <v>51</v>
      </c>
      <c r="J200" s="4" t="n">
        <f aca="false">INDEX('Master List'!$G$2:$G$2594,K200)</f>
        <v>1</v>
      </c>
      <c r="K200" s="4" t="n">
        <v>812</v>
      </c>
    </row>
    <row r="201" customFormat="false" ht="15" hidden="false" customHeight="false" outlineLevel="0" collapsed="false">
      <c r="A201" s="4" t="n">
        <v>200</v>
      </c>
      <c r="B201" s="4" t="s">
        <v>468</v>
      </c>
      <c r="C201" s="4" t="n">
        <v>1966</v>
      </c>
      <c r="D201" s="4" t="s">
        <v>210</v>
      </c>
      <c r="E201" s="25" t="str">
        <f aca="false">IF(J201=1,"✓","")</f>
        <v/>
      </c>
      <c r="F201" s="4" t="n">
        <v>7</v>
      </c>
      <c r="G201" s="4" t="n">
        <v>3</v>
      </c>
      <c r="H201" s="4" t="s">
        <v>144</v>
      </c>
      <c r="I201" s="4" t="s">
        <v>51</v>
      </c>
      <c r="J201" s="4" t="n">
        <f aca="false">INDEX('Master List'!$G$2:$G$2594,K201)</f>
        <v>0</v>
      </c>
      <c r="K201" s="4" t="n">
        <v>102</v>
      </c>
    </row>
    <row r="202" customFormat="false" ht="15" hidden="false" customHeight="false" outlineLevel="0" collapsed="false">
      <c r="A202" s="4" t="n">
        <v>201</v>
      </c>
      <c r="B202" s="4" t="s">
        <v>469</v>
      </c>
      <c r="C202" s="4" t="n">
        <v>1966</v>
      </c>
      <c r="D202" s="4" t="s">
        <v>470</v>
      </c>
      <c r="E202" s="25" t="str">
        <f aca="false">IF(J202=1,"✓","")</f>
        <v/>
      </c>
      <c r="F202" s="4" t="n">
        <v>7</v>
      </c>
      <c r="G202" s="4" t="n">
        <v>3</v>
      </c>
      <c r="H202" s="4" t="s">
        <v>144</v>
      </c>
      <c r="I202" s="4" t="s">
        <v>51</v>
      </c>
      <c r="J202" s="4" t="n">
        <f aca="false">INDEX('Master List'!$G$2:$G$2594,K202)</f>
        <v>0</v>
      </c>
      <c r="K202" s="4" t="n">
        <v>266</v>
      </c>
    </row>
    <row r="203" customFormat="false" ht="15" hidden="false" customHeight="false" outlineLevel="0" collapsed="false">
      <c r="A203" s="4" t="n">
        <v>202</v>
      </c>
      <c r="B203" s="4" t="s">
        <v>471</v>
      </c>
      <c r="C203" s="4" t="n">
        <v>1967</v>
      </c>
      <c r="D203" s="4" t="s">
        <v>472</v>
      </c>
      <c r="E203" s="25" t="str">
        <f aca="false">IF(J203=1,"✓","")</f>
        <v/>
      </c>
      <c r="F203" s="4" t="n">
        <v>7</v>
      </c>
      <c r="G203" s="4" t="n">
        <v>3</v>
      </c>
      <c r="H203" s="4" t="s">
        <v>144</v>
      </c>
      <c r="I203" s="4" t="s">
        <v>51</v>
      </c>
      <c r="J203" s="4" t="n">
        <f aca="false">INDEX('Master List'!$G$2:$G$2594,K203)</f>
        <v>0</v>
      </c>
      <c r="K203" s="4" t="n">
        <v>336</v>
      </c>
    </row>
    <row r="204" customFormat="false" ht="15" hidden="false" customHeight="false" outlineLevel="0" collapsed="false">
      <c r="A204" s="4" t="n">
        <v>203</v>
      </c>
      <c r="B204" s="4" t="s">
        <v>473</v>
      </c>
      <c r="C204" s="4" t="n">
        <v>1968</v>
      </c>
      <c r="D204" s="4" t="s">
        <v>395</v>
      </c>
      <c r="E204" s="25" t="str">
        <f aca="false">IF(J204=1,"✓","")</f>
        <v>✓</v>
      </c>
      <c r="F204" s="4" t="n">
        <v>7</v>
      </c>
      <c r="G204" s="4" t="n">
        <v>3</v>
      </c>
      <c r="H204" s="4" t="s">
        <v>144</v>
      </c>
      <c r="I204" s="4" t="s">
        <v>49</v>
      </c>
      <c r="J204" s="4" t="n">
        <f aca="false">INDEX('Master List'!$G$2:$G$2594,K204)</f>
        <v>1</v>
      </c>
      <c r="K204" s="4" t="n">
        <v>1673</v>
      </c>
    </row>
    <row r="205" customFormat="false" ht="15" hidden="false" customHeight="false" outlineLevel="0" collapsed="false">
      <c r="A205" s="4" t="n">
        <v>204</v>
      </c>
      <c r="B205" s="4" t="s">
        <v>474</v>
      </c>
      <c r="C205" s="4" t="n">
        <v>1968</v>
      </c>
      <c r="D205" s="4" t="s">
        <v>475</v>
      </c>
      <c r="E205" s="25" t="str">
        <f aca="false">IF(J205=1,"✓","")</f>
        <v/>
      </c>
      <c r="F205" s="4" t="n">
        <v>7</v>
      </c>
      <c r="G205" s="4" t="n">
        <v>3</v>
      </c>
      <c r="H205" s="4" t="s">
        <v>144</v>
      </c>
      <c r="I205" s="4" t="s">
        <v>52</v>
      </c>
      <c r="J205" s="4" t="n">
        <f aca="false">INDEX('Master List'!$G$2:$G$2594,K205)</f>
        <v>0</v>
      </c>
      <c r="K205" s="4" t="n">
        <v>1607</v>
      </c>
    </row>
    <row r="206" customFormat="false" ht="15" hidden="false" customHeight="false" outlineLevel="0" collapsed="false">
      <c r="A206" s="4" t="n">
        <v>205</v>
      </c>
      <c r="B206" s="4" t="s">
        <v>476</v>
      </c>
      <c r="C206" s="4" t="n">
        <v>1969</v>
      </c>
      <c r="D206" s="4" t="s">
        <v>477</v>
      </c>
      <c r="E206" s="25" t="str">
        <f aca="false">IF(J206=1,"✓","")</f>
        <v/>
      </c>
      <c r="F206" s="4" t="n">
        <v>7</v>
      </c>
      <c r="G206" s="4" t="n">
        <v>3</v>
      </c>
      <c r="H206" s="4" t="s">
        <v>144</v>
      </c>
      <c r="I206" s="4" t="s">
        <v>50</v>
      </c>
      <c r="J206" s="4" t="n">
        <f aca="false">INDEX('Master List'!$G$2:$G$2594,K206)</f>
        <v>0</v>
      </c>
      <c r="K206" s="4" t="n">
        <v>706</v>
      </c>
    </row>
    <row r="207" customFormat="false" ht="15" hidden="false" customHeight="false" outlineLevel="0" collapsed="false">
      <c r="A207" s="4" t="n">
        <v>206</v>
      </c>
      <c r="B207" s="4" t="s">
        <v>478</v>
      </c>
      <c r="C207" s="4" t="n">
        <v>1971</v>
      </c>
      <c r="D207" s="4" t="s">
        <v>479</v>
      </c>
      <c r="E207" s="25" t="str">
        <f aca="false">IF(J207=1,"✓","")</f>
        <v>✓</v>
      </c>
      <c r="F207" s="4" t="n">
        <v>7</v>
      </c>
      <c r="G207" s="4" t="n">
        <v>3</v>
      </c>
      <c r="H207" s="4" t="s">
        <v>144</v>
      </c>
      <c r="I207" s="4" t="s">
        <v>49</v>
      </c>
      <c r="J207" s="4" t="n">
        <f aca="false">INDEX('Master List'!$G$2:$G$2594,K207)</f>
        <v>1</v>
      </c>
      <c r="K207" s="4" t="n">
        <v>851</v>
      </c>
    </row>
    <row r="208" customFormat="false" ht="15" hidden="false" customHeight="false" outlineLevel="0" collapsed="false">
      <c r="A208" s="4" t="n">
        <v>207</v>
      </c>
      <c r="B208" s="4" t="s">
        <v>480</v>
      </c>
      <c r="C208" s="4" t="n">
        <v>1973</v>
      </c>
      <c r="D208" s="4" t="s">
        <v>197</v>
      </c>
      <c r="E208" s="25" t="str">
        <f aca="false">IF(J208=1,"✓","")</f>
        <v>✓</v>
      </c>
      <c r="F208" s="4" t="n">
        <v>7</v>
      </c>
      <c r="G208" s="4" t="n">
        <v>3</v>
      </c>
      <c r="H208" s="4" t="s">
        <v>144</v>
      </c>
      <c r="I208" s="4" t="s">
        <v>52</v>
      </c>
      <c r="J208" s="4" t="n">
        <f aca="false">INDEX('Master List'!$G$2:$G$2594,K208)</f>
        <v>1</v>
      </c>
      <c r="K208" s="4" t="n">
        <v>1377</v>
      </c>
    </row>
    <row r="209" customFormat="false" ht="15" hidden="false" customHeight="false" outlineLevel="0" collapsed="false">
      <c r="A209" s="4" t="n">
        <v>208</v>
      </c>
      <c r="B209" s="4" t="s">
        <v>481</v>
      </c>
      <c r="C209" s="4" t="n">
        <v>1973</v>
      </c>
      <c r="D209" s="4" t="s">
        <v>361</v>
      </c>
      <c r="E209" s="25" t="str">
        <f aca="false">IF(J209=1,"✓","")</f>
        <v>✓</v>
      </c>
      <c r="F209" s="4" t="n">
        <v>7</v>
      </c>
      <c r="G209" s="4" t="n">
        <v>3</v>
      </c>
      <c r="H209" s="4" t="s">
        <v>144</v>
      </c>
      <c r="I209" s="4" t="s">
        <v>53</v>
      </c>
      <c r="J209" s="4" t="n">
        <f aca="false">INDEX('Master List'!$G$2:$G$2594,K209)</f>
        <v>1</v>
      </c>
      <c r="K209" s="4" t="n">
        <v>172</v>
      </c>
    </row>
    <row r="210" customFormat="false" ht="15" hidden="false" customHeight="false" outlineLevel="0" collapsed="false">
      <c r="A210" s="4" t="n">
        <v>209</v>
      </c>
      <c r="B210" s="4" t="s">
        <v>482</v>
      </c>
      <c r="C210" s="4" t="n">
        <v>1975</v>
      </c>
      <c r="D210" s="4" t="s">
        <v>189</v>
      </c>
      <c r="E210" s="25" t="str">
        <f aca="false">IF(J210=1,"✓","")</f>
        <v>✓</v>
      </c>
      <c r="F210" s="4" t="n">
        <v>7</v>
      </c>
      <c r="G210" s="4" t="n">
        <v>3</v>
      </c>
      <c r="H210" s="4" t="s">
        <v>144</v>
      </c>
      <c r="I210" s="4" t="s">
        <v>50</v>
      </c>
      <c r="J210" s="4" t="n">
        <f aca="false">INDEX('Master List'!$G$2:$G$2594,K210)</f>
        <v>1</v>
      </c>
      <c r="K210" s="4" t="n">
        <v>650</v>
      </c>
    </row>
    <row r="211" customFormat="false" ht="15" hidden="false" customHeight="false" outlineLevel="0" collapsed="false">
      <c r="A211" s="4" t="n">
        <v>210</v>
      </c>
      <c r="B211" s="4" t="s">
        <v>483</v>
      </c>
      <c r="C211" s="4" t="n">
        <v>1975</v>
      </c>
      <c r="D211" s="4" t="s">
        <v>484</v>
      </c>
      <c r="E211" s="25" t="str">
        <f aca="false">IF(J211=1,"✓","")</f>
        <v/>
      </c>
      <c r="F211" s="4" t="n">
        <v>7</v>
      </c>
      <c r="G211" s="4" t="n">
        <v>3</v>
      </c>
      <c r="H211" s="4" t="s">
        <v>144</v>
      </c>
      <c r="I211" s="4" t="s">
        <v>52</v>
      </c>
      <c r="J211" s="4" t="n">
        <f aca="false">INDEX('Master List'!$G$2:$G$2594,K211)</f>
        <v>0</v>
      </c>
      <c r="K211" s="4" t="n">
        <v>1922</v>
      </c>
    </row>
    <row r="212" customFormat="false" ht="15" hidden="false" customHeight="false" outlineLevel="0" collapsed="false">
      <c r="A212" s="4" t="n">
        <v>211</v>
      </c>
      <c r="B212" s="4" t="s">
        <v>485</v>
      </c>
      <c r="C212" s="4" t="n">
        <v>1977</v>
      </c>
      <c r="D212" s="4" t="s">
        <v>486</v>
      </c>
      <c r="E212" s="25" t="str">
        <f aca="false">IF(J212=1,"✓","")</f>
        <v/>
      </c>
      <c r="F212" s="4" t="n">
        <v>7</v>
      </c>
      <c r="G212" s="4" t="n">
        <v>3</v>
      </c>
      <c r="H212" s="4" t="s">
        <v>144</v>
      </c>
      <c r="I212" s="4" t="s">
        <v>52</v>
      </c>
      <c r="J212" s="4" t="n">
        <f aca="false">INDEX('Master List'!$G$2:$G$2594,K212)</f>
        <v>0</v>
      </c>
      <c r="K212" s="4" t="n">
        <v>1072</v>
      </c>
    </row>
    <row r="213" customFormat="false" ht="15" hidden="false" customHeight="false" outlineLevel="0" collapsed="false">
      <c r="A213" s="4" t="n">
        <v>212</v>
      </c>
      <c r="B213" s="4" t="s">
        <v>487</v>
      </c>
      <c r="C213" s="4" t="n">
        <v>1981</v>
      </c>
      <c r="D213" s="4" t="s">
        <v>488</v>
      </c>
      <c r="E213" s="25" t="str">
        <f aca="false">IF(J213=1,"✓","")</f>
        <v>✓</v>
      </c>
      <c r="F213" s="4" t="n">
        <v>7</v>
      </c>
      <c r="G213" s="4" t="n">
        <v>3</v>
      </c>
      <c r="H213" s="4" t="s">
        <v>144</v>
      </c>
      <c r="I213" s="4" t="s">
        <v>49</v>
      </c>
      <c r="J213" s="4" t="n">
        <f aca="false">INDEX('Master List'!$G$2:$G$2594,K213)</f>
        <v>1</v>
      </c>
      <c r="K213" s="4" t="n">
        <v>295</v>
      </c>
    </row>
    <row r="214" customFormat="false" ht="15" hidden="false" customHeight="false" outlineLevel="0" collapsed="false">
      <c r="A214" s="4" t="n">
        <v>213</v>
      </c>
      <c r="B214" s="4" t="s">
        <v>489</v>
      </c>
      <c r="C214" s="4" t="n">
        <v>1989</v>
      </c>
      <c r="D214" s="4" t="s">
        <v>490</v>
      </c>
      <c r="E214" s="25" t="str">
        <f aca="false">IF(J214=1,"✓","")</f>
        <v/>
      </c>
      <c r="F214" s="4" t="n">
        <v>7</v>
      </c>
      <c r="G214" s="4" t="n">
        <v>3</v>
      </c>
      <c r="H214" s="4" t="s">
        <v>144</v>
      </c>
      <c r="I214" s="4" t="s">
        <v>50</v>
      </c>
      <c r="J214" s="4" t="n">
        <f aca="false">INDEX('Master List'!$G$2:$G$2594,K214)</f>
        <v>0</v>
      </c>
      <c r="K214" s="4" t="n">
        <v>2027</v>
      </c>
    </row>
    <row r="215" customFormat="false" ht="15" hidden="false" customHeight="false" outlineLevel="0" collapsed="false">
      <c r="A215" s="4" t="n">
        <v>214</v>
      </c>
      <c r="B215" s="4" t="s">
        <v>491</v>
      </c>
      <c r="C215" s="4" t="n">
        <v>1989</v>
      </c>
      <c r="D215" s="4" t="s">
        <v>492</v>
      </c>
      <c r="E215" s="25" t="str">
        <f aca="false">IF(J215=1,"✓","")</f>
        <v/>
      </c>
      <c r="F215" s="4" t="n">
        <v>7</v>
      </c>
      <c r="G215" s="4" t="n">
        <v>3</v>
      </c>
      <c r="H215" s="4" t="s">
        <v>144</v>
      </c>
      <c r="I215" s="4" t="s">
        <v>51</v>
      </c>
      <c r="J215" s="4" t="n">
        <f aca="false">INDEX('Master List'!$G$2:$G$2594,K215)</f>
        <v>0</v>
      </c>
      <c r="K215" s="4" t="n">
        <v>466</v>
      </c>
    </row>
    <row r="216" customFormat="false" ht="15" hidden="false" customHeight="false" outlineLevel="0" collapsed="false">
      <c r="A216" s="4" t="n">
        <v>215</v>
      </c>
      <c r="B216" s="4" t="s">
        <v>493</v>
      </c>
      <c r="C216" s="4" t="n">
        <v>1989</v>
      </c>
      <c r="D216" s="4" t="s">
        <v>494</v>
      </c>
      <c r="E216" s="25" t="str">
        <f aca="false">IF(J216=1,"✓","")</f>
        <v/>
      </c>
      <c r="F216" s="4" t="n">
        <v>7</v>
      </c>
      <c r="G216" s="4" t="n">
        <v>4</v>
      </c>
      <c r="H216" s="4" t="s">
        <v>213</v>
      </c>
      <c r="I216" s="4" t="s">
        <v>52</v>
      </c>
      <c r="J216" s="4" t="n">
        <f aca="false">INDEX('Master List'!$G$2:$G$2594,K216)</f>
        <v>0</v>
      </c>
      <c r="K216" s="4" t="n">
        <v>2259</v>
      </c>
    </row>
    <row r="217" customFormat="false" ht="15" hidden="false" customHeight="false" outlineLevel="0" collapsed="false">
      <c r="A217" s="4" t="n">
        <v>216</v>
      </c>
      <c r="B217" s="4" t="s">
        <v>495</v>
      </c>
      <c r="C217" s="4" t="n">
        <v>1991</v>
      </c>
      <c r="D217" s="4" t="s">
        <v>496</v>
      </c>
      <c r="E217" s="25" t="str">
        <f aca="false">IF(J217=1,"✓","")</f>
        <v>✓</v>
      </c>
      <c r="F217" s="4" t="n">
        <v>7</v>
      </c>
      <c r="G217" s="4" t="n">
        <v>3</v>
      </c>
      <c r="H217" s="4" t="s">
        <v>144</v>
      </c>
      <c r="I217" s="4" t="s">
        <v>49</v>
      </c>
      <c r="J217" s="4" t="n">
        <f aca="false">INDEX('Master List'!$G$2:$G$2594,K217)</f>
        <v>1</v>
      </c>
      <c r="K217" s="4" t="n">
        <v>2069</v>
      </c>
    </row>
    <row r="218" customFormat="false" ht="15" hidden="false" customHeight="false" outlineLevel="0" collapsed="false">
      <c r="A218" s="4" t="n">
        <v>217</v>
      </c>
      <c r="B218" s="4" t="s">
        <v>497</v>
      </c>
      <c r="C218" s="4" t="n">
        <v>1992</v>
      </c>
      <c r="D218" s="4" t="s">
        <v>148</v>
      </c>
      <c r="E218" s="25" t="str">
        <f aca="false">IF(J218=1,"✓","")</f>
        <v/>
      </c>
      <c r="F218" s="4" t="n">
        <v>7</v>
      </c>
      <c r="G218" s="4" t="n">
        <v>3</v>
      </c>
      <c r="H218" s="4" t="s">
        <v>144</v>
      </c>
      <c r="I218" s="4" t="s">
        <v>53</v>
      </c>
      <c r="J218" s="4" t="n">
        <f aca="false">INDEX('Master List'!$G$2:$G$2594,K218)</f>
        <v>0</v>
      </c>
      <c r="K218" s="4" t="n">
        <v>1418</v>
      </c>
    </row>
    <row r="219" customFormat="false" ht="15" hidden="false" customHeight="false" outlineLevel="0" collapsed="false">
      <c r="A219" s="4" t="n">
        <v>218</v>
      </c>
      <c r="B219" s="4" t="s">
        <v>498</v>
      </c>
      <c r="C219" s="4" t="n">
        <v>1993</v>
      </c>
      <c r="D219" s="4" t="s">
        <v>183</v>
      </c>
      <c r="E219" s="25" t="str">
        <f aca="false">IF(J219=1,"✓","")</f>
        <v/>
      </c>
      <c r="F219" s="4" t="n">
        <v>7</v>
      </c>
      <c r="G219" s="4" t="n">
        <v>3</v>
      </c>
      <c r="H219" s="4" t="s">
        <v>144</v>
      </c>
      <c r="I219" s="4" t="s">
        <v>52</v>
      </c>
      <c r="J219" s="4" t="n">
        <f aca="false">INDEX('Master List'!$G$2:$G$2594,K219)</f>
        <v>0</v>
      </c>
      <c r="K219" s="4" t="n">
        <v>1989</v>
      </c>
    </row>
    <row r="220" customFormat="false" ht="15" hidden="false" customHeight="false" outlineLevel="0" collapsed="false">
      <c r="A220" s="4" t="n">
        <v>219</v>
      </c>
      <c r="B220" s="4" t="s">
        <v>499</v>
      </c>
      <c r="C220" s="4" t="n">
        <v>1993</v>
      </c>
      <c r="D220" s="4" t="s">
        <v>500</v>
      </c>
      <c r="E220" s="25" t="str">
        <f aca="false">IF(J220=1,"✓","")</f>
        <v/>
      </c>
      <c r="F220" s="4" t="n">
        <v>7</v>
      </c>
      <c r="G220" s="4" t="n">
        <v>3</v>
      </c>
      <c r="H220" s="4" t="s">
        <v>144</v>
      </c>
      <c r="I220" s="4" t="s">
        <v>54</v>
      </c>
      <c r="J220" s="4" t="n">
        <f aca="false">INDEX('Master List'!$G$2:$G$2594,K220)</f>
        <v>0</v>
      </c>
      <c r="K220" s="4" t="n">
        <v>1480</v>
      </c>
    </row>
    <row r="221" customFormat="false" ht="15" hidden="false" customHeight="false" outlineLevel="0" collapsed="false">
      <c r="A221" s="4" t="n">
        <v>220</v>
      </c>
      <c r="B221" s="4" t="s">
        <v>501</v>
      </c>
      <c r="C221" s="4" t="n">
        <v>1994</v>
      </c>
      <c r="D221" s="4" t="s">
        <v>502</v>
      </c>
      <c r="E221" s="25" t="str">
        <f aca="false">IF(J221=1,"✓","")</f>
        <v/>
      </c>
      <c r="F221" s="4" t="n">
        <v>7</v>
      </c>
      <c r="G221" s="4" t="n">
        <v>3</v>
      </c>
      <c r="H221" s="4" t="s">
        <v>144</v>
      </c>
      <c r="I221" s="4" t="s">
        <v>52</v>
      </c>
      <c r="J221" s="4" t="n">
        <f aca="false">INDEX('Master List'!$G$2:$G$2594,K221)</f>
        <v>0</v>
      </c>
      <c r="K221" s="4" t="n">
        <v>1059</v>
      </c>
    </row>
    <row r="222" customFormat="false" ht="15" hidden="false" customHeight="false" outlineLevel="0" collapsed="false">
      <c r="A222" s="4" t="n">
        <v>221</v>
      </c>
      <c r="B222" s="4" t="s">
        <v>503</v>
      </c>
      <c r="C222" s="4" t="n">
        <v>1997</v>
      </c>
      <c r="D222" s="4" t="s">
        <v>278</v>
      </c>
      <c r="E222" s="25" t="str">
        <f aca="false">IF(J222=1,"✓","")</f>
        <v>✓</v>
      </c>
      <c r="F222" s="4" t="n">
        <v>7</v>
      </c>
      <c r="G222" s="4" t="n">
        <v>3</v>
      </c>
      <c r="H222" s="4" t="s">
        <v>144</v>
      </c>
      <c r="I222" s="4" t="s">
        <v>49</v>
      </c>
      <c r="J222" s="4" t="n">
        <f aca="false">INDEX('Master List'!$G$2:$G$2594,K222)</f>
        <v>1</v>
      </c>
      <c r="K222" s="4" t="n">
        <v>315</v>
      </c>
    </row>
    <row r="223" customFormat="false" ht="15" hidden="false" customHeight="false" outlineLevel="0" collapsed="false">
      <c r="A223" s="4" t="n">
        <v>222</v>
      </c>
      <c r="B223" s="4" t="s">
        <v>504</v>
      </c>
      <c r="C223" s="4" t="n">
        <v>1997</v>
      </c>
      <c r="D223" s="4" t="s">
        <v>505</v>
      </c>
      <c r="E223" s="25" t="str">
        <f aca="false">IF(J223=1,"✓","")</f>
        <v/>
      </c>
      <c r="F223" s="4" t="n">
        <v>7</v>
      </c>
      <c r="G223" s="4" t="n">
        <v>4</v>
      </c>
      <c r="H223" s="4" t="s">
        <v>213</v>
      </c>
      <c r="I223" s="4" t="s">
        <v>51</v>
      </c>
      <c r="J223" s="4" t="n">
        <f aca="false">INDEX('Master List'!$G$2:$G$2594,K223)</f>
        <v>0</v>
      </c>
      <c r="K223" s="4" t="n">
        <v>548</v>
      </c>
    </row>
    <row r="224" customFormat="false" ht="15" hidden="false" customHeight="false" outlineLevel="0" collapsed="false">
      <c r="A224" s="4" t="n">
        <v>223</v>
      </c>
      <c r="B224" s="4" t="s">
        <v>506</v>
      </c>
      <c r="C224" s="4" t="n">
        <v>1998</v>
      </c>
      <c r="D224" s="4" t="s">
        <v>490</v>
      </c>
      <c r="E224" s="25" t="str">
        <f aca="false">IF(J224=1,"✓","")</f>
        <v/>
      </c>
      <c r="F224" s="4" t="n">
        <v>7</v>
      </c>
      <c r="G224" s="4" t="n">
        <v>3</v>
      </c>
      <c r="H224" s="4" t="s">
        <v>144</v>
      </c>
      <c r="I224" s="4" t="s">
        <v>49</v>
      </c>
      <c r="J224" s="4" t="n">
        <f aca="false">INDEX('Master List'!$G$2:$G$2594,K224)</f>
        <v>0</v>
      </c>
      <c r="K224" s="4" t="n">
        <v>1699</v>
      </c>
    </row>
    <row r="225" customFormat="false" ht="15" hidden="false" customHeight="false" outlineLevel="0" collapsed="false">
      <c r="A225" s="4" t="n">
        <v>224</v>
      </c>
      <c r="B225" s="4" t="s">
        <v>507</v>
      </c>
      <c r="C225" s="4" t="n">
        <v>1999</v>
      </c>
      <c r="D225" s="4" t="s">
        <v>508</v>
      </c>
      <c r="E225" s="25" t="str">
        <f aca="false">IF(J225=1,"✓","")</f>
        <v>✓</v>
      </c>
      <c r="F225" s="4" t="n">
        <v>7</v>
      </c>
      <c r="G225" s="4" t="n">
        <v>3</v>
      </c>
      <c r="H225" s="4" t="s">
        <v>144</v>
      </c>
      <c r="I225" s="4" t="s">
        <v>50</v>
      </c>
      <c r="J225" s="4" t="n">
        <f aca="false">INDEX('Master List'!$G$2:$G$2594,K225)</f>
        <v>1</v>
      </c>
      <c r="K225" s="4" t="n">
        <v>217</v>
      </c>
    </row>
    <row r="226" customFormat="false" ht="15" hidden="false" customHeight="false" outlineLevel="0" collapsed="false">
      <c r="A226" s="4" t="n">
        <v>225</v>
      </c>
      <c r="B226" s="4" t="s">
        <v>509</v>
      </c>
      <c r="C226" s="4" t="n">
        <v>1999</v>
      </c>
      <c r="D226" s="4" t="s">
        <v>278</v>
      </c>
      <c r="E226" s="25" t="str">
        <f aca="false">IF(J226=1,"✓","")</f>
        <v>✓</v>
      </c>
      <c r="F226" s="4" t="n">
        <v>7</v>
      </c>
      <c r="G226" s="4" t="n">
        <v>3</v>
      </c>
      <c r="H226" s="4" t="s">
        <v>144</v>
      </c>
      <c r="I226" s="4" t="s">
        <v>50</v>
      </c>
      <c r="J226" s="4" t="n">
        <f aca="false">INDEX('Master List'!$G$2:$G$2594,K226)</f>
        <v>1</v>
      </c>
      <c r="K226" s="4" t="n">
        <v>1415</v>
      </c>
    </row>
    <row r="227" customFormat="false" ht="15" hidden="false" customHeight="false" outlineLevel="0" collapsed="false">
      <c r="A227" s="4" t="n">
        <v>226</v>
      </c>
      <c r="B227" s="4" t="s">
        <v>510</v>
      </c>
      <c r="C227" s="4" t="n">
        <v>2004</v>
      </c>
      <c r="D227" s="4" t="s">
        <v>511</v>
      </c>
      <c r="E227" s="25" t="str">
        <f aca="false">IF(J227=1,"✓","")</f>
        <v>✓</v>
      </c>
      <c r="F227" s="4" t="n">
        <v>7</v>
      </c>
      <c r="G227" s="4" t="n">
        <v>3</v>
      </c>
      <c r="H227" s="4" t="s">
        <v>144</v>
      </c>
      <c r="I227" s="4" t="s">
        <v>49</v>
      </c>
      <c r="J227" s="4" t="n">
        <f aca="false">INDEX('Master List'!$G$2:$G$2594,K227)</f>
        <v>1</v>
      </c>
      <c r="K227" s="4" t="n">
        <v>745</v>
      </c>
    </row>
    <row r="228" customFormat="false" ht="15" hidden="false" customHeight="false" outlineLevel="0" collapsed="false">
      <c r="A228" s="4" t="n">
        <v>227</v>
      </c>
      <c r="B228" s="4" t="s">
        <v>512</v>
      </c>
      <c r="C228" s="4" t="n">
        <v>2004</v>
      </c>
      <c r="D228" s="4" t="s">
        <v>513</v>
      </c>
      <c r="E228" s="25" t="str">
        <f aca="false">IF(J228=1,"✓","")</f>
        <v/>
      </c>
      <c r="F228" s="4" t="n">
        <v>7</v>
      </c>
      <c r="G228" s="4" t="n">
        <v>3</v>
      </c>
      <c r="H228" s="4" t="s">
        <v>144</v>
      </c>
      <c r="I228" s="4" t="s">
        <v>52</v>
      </c>
      <c r="J228" s="4" t="n">
        <f aca="false">INDEX('Master List'!$G$2:$G$2594,K228)</f>
        <v>0</v>
      </c>
      <c r="K228" s="4" t="n">
        <v>1814</v>
      </c>
    </row>
    <row r="229" customFormat="false" ht="15" hidden="false" customHeight="false" outlineLevel="0" collapsed="false">
      <c r="A229" s="4" t="n">
        <v>228</v>
      </c>
      <c r="B229" s="4" t="s">
        <v>514</v>
      </c>
      <c r="C229" s="4" t="n">
        <v>2004</v>
      </c>
      <c r="D229" s="4" t="s">
        <v>296</v>
      </c>
      <c r="E229" s="25" t="str">
        <f aca="false">IF(J229=1,"✓","")</f>
        <v>✓</v>
      </c>
      <c r="F229" s="4" t="n">
        <v>7</v>
      </c>
      <c r="G229" s="4" t="n">
        <v>3</v>
      </c>
      <c r="H229" s="4" t="s">
        <v>144</v>
      </c>
      <c r="I229" s="4" t="s">
        <v>53</v>
      </c>
      <c r="J229" s="4" t="n">
        <f aca="false">INDEX('Master List'!$G$2:$G$2594,K229)</f>
        <v>1</v>
      </c>
      <c r="K229" s="4" t="n">
        <v>495</v>
      </c>
    </row>
    <row r="230" customFormat="false" ht="15" hidden="false" customHeight="false" outlineLevel="0" collapsed="false">
      <c r="A230" s="4" t="n">
        <v>229</v>
      </c>
      <c r="B230" s="4" t="s">
        <v>515</v>
      </c>
      <c r="C230" s="4" t="n">
        <v>2005</v>
      </c>
      <c r="D230" s="4" t="s">
        <v>516</v>
      </c>
      <c r="E230" s="25" t="str">
        <f aca="false">IF(J230=1,"✓","")</f>
        <v/>
      </c>
      <c r="F230" s="4" t="n">
        <v>7</v>
      </c>
      <c r="G230" s="4" t="n">
        <v>3</v>
      </c>
      <c r="H230" s="4" t="s">
        <v>144</v>
      </c>
      <c r="I230" s="4" t="s">
        <v>50</v>
      </c>
      <c r="J230" s="4" t="n">
        <f aca="false">INDEX('Master List'!$G$2:$G$2594,K230)</f>
        <v>0</v>
      </c>
      <c r="K230" s="4" t="n">
        <v>379</v>
      </c>
    </row>
    <row r="231" customFormat="false" ht="15" hidden="false" customHeight="false" outlineLevel="0" collapsed="false">
      <c r="A231" s="4" t="n">
        <v>230</v>
      </c>
      <c r="B231" s="4" t="s">
        <v>517</v>
      </c>
      <c r="C231" s="4" t="n">
        <v>2010</v>
      </c>
      <c r="D231" s="4" t="s">
        <v>444</v>
      </c>
      <c r="E231" s="25" t="str">
        <f aca="false">IF(J231=1,"✓","")</f>
        <v/>
      </c>
      <c r="F231" s="4" t="n">
        <v>7</v>
      </c>
      <c r="G231" s="4" t="n">
        <v>3</v>
      </c>
      <c r="H231" s="4" t="s">
        <v>144</v>
      </c>
      <c r="I231" s="4" t="s">
        <v>51</v>
      </c>
      <c r="J231" s="4" t="n">
        <f aca="false">INDEX('Master List'!$G$2:$G$2594,K231)</f>
        <v>0</v>
      </c>
      <c r="K231" s="4" t="n">
        <v>2399</v>
      </c>
    </row>
    <row r="232" customFormat="false" ht="15" hidden="false" customHeight="false" outlineLevel="0" collapsed="false">
      <c r="A232" s="4" t="n">
        <v>231</v>
      </c>
      <c r="B232" s="4" t="s">
        <v>518</v>
      </c>
      <c r="C232" s="4" t="n">
        <v>2011</v>
      </c>
      <c r="D232" s="4" t="s">
        <v>519</v>
      </c>
      <c r="E232" s="25" t="str">
        <f aca="false">IF(J232=1,"✓","")</f>
        <v/>
      </c>
      <c r="F232" s="4" t="n">
        <v>7</v>
      </c>
      <c r="G232" s="4" t="n">
        <v>3</v>
      </c>
      <c r="H232" s="4" t="s">
        <v>144</v>
      </c>
      <c r="I232" s="4" t="s">
        <v>50</v>
      </c>
      <c r="J232" s="4" t="n">
        <f aca="false">INDEX('Master List'!$G$2:$G$2594,K232)</f>
        <v>0</v>
      </c>
      <c r="K232" s="4" t="n">
        <v>2011</v>
      </c>
    </row>
    <row r="233" customFormat="false" ht="15" hidden="false" customHeight="false" outlineLevel="0" collapsed="false">
      <c r="A233" s="4" t="n">
        <v>232</v>
      </c>
      <c r="B233" s="4" t="s">
        <v>520</v>
      </c>
      <c r="C233" s="4" t="n">
        <v>2011</v>
      </c>
      <c r="D233" s="4" t="s">
        <v>521</v>
      </c>
      <c r="E233" s="25" t="str">
        <f aca="false">IF(J233=1,"✓","")</f>
        <v/>
      </c>
      <c r="F233" s="4" t="n">
        <v>7</v>
      </c>
      <c r="G233" s="4" t="n">
        <v>3</v>
      </c>
      <c r="H233" s="4" t="s">
        <v>144</v>
      </c>
      <c r="I233" s="4" t="s">
        <v>52</v>
      </c>
      <c r="J233" s="4" t="n">
        <f aca="false">INDEX('Master List'!$G$2:$G$2594,K233)</f>
        <v>0</v>
      </c>
      <c r="K233" s="4" t="n">
        <v>680</v>
      </c>
    </row>
    <row r="234" customFormat="false" ht="15" hidden="false" customHeight="false" outlineLevel="0" collapsed="false">
      <c r="A234" s="4" t="n">
        <v>233</v>
      </c>
      <c r="B234" s="4" t="s">
        <v>522</v>
      </c>
      <c r="C234" s="4" t="n">
        <v>2013</v>
      </c>
      <c r="D234" s="4" t="s">
        <v>323</v>
      </c>
      <c r="E234" s="25" t="str">
        <f aca="false">IF(J234=1,"✓","")</f>
        <v>✓</v>
      </c>
      <c r="F234" s="4" t="n">
        <v>7</v>
      </c>
      <c r="G234" s="4" t="n">
        <v>3</v>
      </c>
      <c r="H234" s="4" t="s">
        <v>144</v>
      </c>
      <c r="I234" s="4" t="s">
        <v>50</v>
      </c>
      <c r="J234" s="4" t="n">
        <f aca="false">INDEX('Master List'!$G$2:$G$2594,K234)</f>
        <v>1</v>
      </c>
      <c r="K234" s="4" t="n">
        <v>1149</v>
      </c>
    </row>
    <row r="235" customFormat="false" ht="15" hidden="false" customHeight="false" outlineLevel="0" collapsed="false">
      <c r="A235" s="4" t="n">
        <v>234</v>
      </c>
      <c r="B235" s="4" t="s">
        <v>523</v>
      </c>
      <c r="C235" s="4" t="n">
        <v>2013</v>
      </c>
      <c r="D235" s="4" t="s">
        <v>320</v>
      </c>
      <c r="E235" s="25" t="str">
        <f aca="false">IF(J235=1,"✓","")</f>
        <v>✓</v>
      </c>
      <c r="F235" s="4" t="n">
        <v>7</v>
      </c>
      <c r="G235" s="4" t="n">
        <v>3</v>
      </c>
      <c r="H235" s="4" t="s">
        <v>144</v>
      </c>
      <c r="I235" s="4" t="s">
        <v>52</v>
      </c>
      <c r="J235" s="4" t="n">
        <f aca="false">INDEX('Master List'!$G$2:$G$2594,K235)</f>
        <v>1</v>
      </c>
      <c r="K235" s="4" t="n">
        <v>211</v>
      </c>
    </row>
    <row r="236" customFormat="false" ht="15" hidden="false" customHeight="false" outlineLevel="0" collapsed="false">
      <c r="A236" s="4" t="n">
        <v>235</v>
      </c>
      <c r="B236" s="4" t="s">
        <v>524</v>
      </c>
      <c r="C236" s="4" t="n">
        <v>2014</v>
      </c>
      <c r="D236" s="4" t="s">
        <v>274</v>
      </c>
      <c r="E236" s="25" t="str">
        <f aca="false">IF(J236=1,"✓","")</f>
        <v>✓</v>
      </c>
      <c r="F236" s="4" t="n">
        <v>7</v>
      </c>
      <c r="G236" s="4" t="n">
        <v>3</v>
      </c>
      <c r="H236" s="4" t="s">
        <v>144</v>
      </c>
      <c r="I236" s="4" t="s">
        <v>49</v>
      </c>
      <c r="J236" s="4" t="n">
        <f aca="false">INDEX('Master List'!$G$2:$G$2594,K236)</f>
        <v>1</v>
      </c>
      <c r="K236" s="4" t="n">
        <v>941</v>
      </c>
    </row>
    <row r="237" customFormat="false" ht="15" hidden="false" customHeight="false" outlineLevel="0" collapsed="false">
      <c r="A237" s="4" t="n">
        <v>236</v>
      </c>
      <c r="B237" s="4" t="s">
        <v>525</v>
      </c>
      <c r="C237" s="4" t="n">
        <v>2014</v>
      </c>
      <c r="D237" s="4" t="s">
        <v>320</v>
      </c>
      <c r="E237" s="25" t="str">
        <f aca="false">IF(J237=1,"✓","")</f>
        <v/>
      </c>
      <c r="F237" s="4" t="n">
        <v>7</v>
      </c>
      <c r="G237" s="4" t="n">
        <v>3</v>
      </c>
      <c r="H237" s="4" t="s">
        <v>144</v>
      </c>
      <c r="I237" s="4" t="s">
        <v>53</v>
      </c>
      <c r="J237" s="4" t="n">
        <f aca="false">INDEX('Master List'!$G$2:$G$2594,K237)</f>
        <v>0</v>
      </c>
      <c r="K237" s="4" t="n">
        <v>330</v>
      </c>
    </row>
    <row r="238" customFormat="false" ht="15" hidden="false" customHeight="false" outlineLevel="0" collapsed="false">
      <c r="A238" s="4" t="n">
        <v>237</v>
      </c>
      <c r="B238" s="4" t="s">
        <v>526</v>
      </c>
      <c r="C238" s="4" t="n">
        <v>2016</v>
      </c>
      <c r="D238" s="4" t="s">
        <v>527</v>
      </c>
      <c r="E238" s="25" t="str">
        <f aca="false">IF(J238=1,"✓","")</f>
        <v/>
      </c>
      <c r="F238" s="4" t="n">
        <v>7</v>
      </c>
      <c r="G238" s="4" t="n">
        <v>3</v>
      </c>
      <c r="H238" s="4" t="s">
        <v>144</v>
      </c>
      <c r="I238" s="4" t="s">
        <v>51</v>
      </c>
      <c r="J238" s="4" t="n">
        <f aca="false">INDEX('Master List'!$G$2:$G$2594,K238)</f>
        <v>0</v>
      </c>
      <c r="K238" s="4" t="n">
        <v>2332</v>
      </c>
    </row>
    <row r="239" customFormat="false" ht="15" hidden="false" customHeight="false" outlineLevel="0" collapsed="false">
      <c r="A239" s="4" t="n">
        <v>238</v>
      </c>
      <c r="B239" s="4" t="s">
        <v>528</v>
      </c>
      <c r="C239" s="4" t="n">
        <v>1903</v>
      </c>
      <c r="D239" s="4" t="s">
        <v>529</v>
      </c>
      <c r="E239" s="25" t="str">
        <f aca="false">IF(J239=1,"✓","")</f>
        <v/>
      </c>
      <c r="F239" s="4" t="n">
        <v>7</v>
      </c>
      <c r="G239" s="4" t="n">
        <v>3</v>
      </c>
      <c r="H239" s="4" t="s">
        <v>144</v>
      </c>
      <c r="I239" s="4" t="s">
        <v>50</v>
      </c>
      <c r="J239" s="4" t="n">
        <f aca="false">INDEX('Master List'!$G$2:$G$2594,K239)</f>
        <v>0</v>
      </c>
      <c r="K239" s="4" t="n">
        <v>957</v>
      </c>
    </row>
    <row r="240" customFormat="false" ht="15" hidden="false" customHeight="false" outlineLevel="0" collapsed="false">
      <c r="A240" s="4" t="n">
        <v>239</v>
      </c>
      <c r="B240" s="4" t="s">
        <v>530</v>
      </c>
      <c r="C240" s="4" t="n">
        <v>1915</v>
      </c>
      <c r="D240" s="4" t="s">
        <v>531</v>
      </c>
      <c r="E240" s="25" t="str">
        <f aca="false">IF(J240=1,"✓","")</f>
        <v/>
      </c>
      <c r="F240" s="4" t="n">
        <v>7</v>
      </c>
      <c r="G240" s="4" t="n">
        <v>3</v>
      </c>
      <c r="H240" s="4" t="s">
        <v>144</v>
      </c>
      <c r="I240" s="4" t="s">
        <v>50</v>
      </c>
      <c r="J240" s="4" t="n">
        <f aca="false">INDEX('Master List'!$G$2:$G$2594,K240)</f>
        <v>0</v>
      </c>
      <c r="K240" s="4" t="n">
        <v>259</v>
      </c>
    </row>
    <row r="241" customFormat="false" ht="15" hidden="false" customHeight="false" outlineLevel="0" collapsed="false">
      <c r="A241" s="4" t="n">
        <v>240</v>
      </c>
      <c r="B241" s="4" t="s">
        <v>532</v>
      </c>
      <c r="C241" s="4" t="n">
        <v>1926</v>
      </c>
      <c r="D241" s="4" t="s">
        <v>533</v>
      </c>
      <c r="E241" s="25" t="str">
        <f aca="false">IF(J241=1,"✓","")</f>
        <v/>
      </c>
      <c r="F241" s="4" t="n">
        <v>7</v>
      </c>
      <c r="G241" s="4" t="n">
        <v>3</v>
      </c>
      <c r="H241" s="4" t="s">
        <v>144</v>
      </c>
      <c r="I241" s="4" t="s">
        <v>50</v>
      </c>
      <c r="J241" s="4" t="n">
        <f aca="false">INDEX('Master List'!$G$2:$G$2594,K241)</f>
        <v>0</v>
      </c>
      <c r="K241" s="4" t="n">
        <v>883</v>
      </c>
    </row>
    <row r="242" customFormat="false" ht="15" hidden="false" customHeight="false" outlineLevel="0" collapsed="false">
      <c r="A242" s="4" t="n">
        <v>241</v>
      </c>
      <c r="B242" s="4" t="s">
        <v>534</v>
      </c>
      <c r="C242" s="4" t="n">
        <v>1928</v>
      </c>
      <c r="D242" s="4" t="s">
        <v>535</v>
      </c>
      <c r="E242" s="25" t="str">
        <f aca="false">IF(J242=1,"✓","")</f>
        <v/>
      </c>
      <c r="F242" s="4" t="n">
        <v>7</v>
      </c>
      <c r="G242" s="4" t="n">
        <v>3</v>
      </c>
      <c r="H242" s="4" t="s">
        <v>144</v>
      </c>
      <c r="I242" s="4" t="s">
        <v>50</v>
      </c>
      <c r="J242" s="4" t="n">
        <f aca="false">INDEX('Master List'!$G$2:$G$2594,K242)</f>
        <v>0</v>
      </c>
      <c r="K242" s="4" t="n">
        <v>544</v>
      </c>
    </row>
    <row r="243" customFormat="false" ht="15" hidden="false" customHeight="false" outlineLevel="0" collapsed="false">
      <c r="A243" s="4" t="n">
        <v>242</v>
      </c>
      <c r="B243" s="4" t="s">
        <v>536</v>
      </c>
      <c r="C243" s="4" t="n">
        <v>1940</v>
      </c>
      <c r="D243" s="4" t="s">
        <v>537</v>
      </c>
      <c r="E243" s="25" t="str">
        <f aca="false">IF(J243=1,"✓","")</f>
        <v/>
      </c>
      <c r="F243" s="4" t="n">
        <v>7</v>
      </c>
      <c r="G243" s="4" t="n">
        <v>3</v>
      </c>
      <c r="H243" s="4" t="s">
        <v>144</v>
      </c>
      <c r="I243" s="4" t="s">
        <v>52</v>
      </c>
      <c r="J243" s="4" t="n">
        <f aca="false">INDEX('Master List'!$G$2:$G$2594,K243)</f>
        <v>0</v>
      </c>
      <c r="K243" s="4" t="n">
        <v>1757</v>
      </c>
    </row>
    <row r="244" customFormat="false" ht="15" hidden="false" customHeight="false" outlineLevel="0" collapsed="false">
      <c r="A244" s="4" t="n">
        <v>243</v>
      </c>
      <c r="B244" s="4" t="s">
        <v>538</v>
      </c>
      <c r="C244" s="4" t="n">
        <v>1949</v>
      </c>
      <c r="D244" s="4" t="s">
        <v>539</v>
      </c>
      <c r="E244" s="25" t="str">
        <f aca="false">IF(J244=1,"✓","")</f>
        <v/>
      </c>
      <c r="F244" s="4" t="n">
        <v>7</v>
      </c>
      <c r="G244" s="4" t="n">
        <v>3</v>
      </c>
      <c r="H244" s="4" t="s">
        <v>144</v>
      </c>
      <c r="I244" s="4" t="s">
        <v>49</v>
      </c>
      <c r="J244" s="4" t="n">
        <f aca="false">INDEX('Master List'!$G$2:$G$2594,K244)</f>
        <v>0</v>
      </c>
      <c r="K244" s="4" t="n">
        <v>2281</v>
      </c>
    </row>
    <row r="245" customFormat="false" ht="15" hidden="false" customHeight="false" outlineLevel="0" collapsed="false">
      <c r="A245" s="4" t="n">
        <v>244</v>
      </c>
      <c r="B245" s="4" t="s">
        <v>540</v>
      </c>
      <c r="C245" s="4" t="n">
        <v>1962</v>
      </c>
      <c r="D245" s="4" t="s">
        <v>541</v>
      </c>
      <c r="E245" s="25" t="str">
        <f aca="false">IF(J245=1,"✓","")</f>
        <v/>
      </c>
      <c r="F245" s="4" t="n">
        <v>7</v>
      </c>
      <c r="G245" s="4" t="n">
        <v>3</v>
      </c>
      <c r="H245" s="4" t="s">
        <v>144</v>
      </c>
      <c r="I245" s="4" t="s">
        <v>51</v>
      </c>
      <c r="J245" s="4" t="n">
        <f aca="false">INDEX('Master List'!$G$2:$G$2594,K245)</f>
        <v>0</v>
      </c>
      <c r="K245" s="4" t="n">
        <v>991</v>
      </c>
    </row>
    <row r="246" customFormat="false" ht="15" hidden="false" customHeight="false" outlineLevel="0" collapsed="false">
      <c r="A246" s="4" t="n">
        <v>245</v>
      </c>
      <c r="B246" s="4" t="s">
        <v>542</v>
      </c>
      <c r="C246" s="4" t="n">
        <v>1972</v>
      </c>
      <c r="D246" s="4" t="s">
        <v>210</v>
      </c>
      <c r="E246" s="25" t="str">
        <f aca="false">IF(J246=1,"✓","")</f>
        <v/>
      </c>
      <c r="F246" s="4" t="n">
        <v>7</v>
      </c>
      <c r="G246" s="4" t="n">
        <v>3</v>
      </c>
      <c r="H246" s="4" t="s">
        <v>144</v>
      </c>
      <c r="I246" s="4" t="s">
        <v>52</v>
      </c>
      <c r="J246" s="4" t="n">
        <f aca="false">INDEX('Master List'!$G$2:$G$2594,K246)</f>
        <v>0</v>
      </c>
      <c r="K246" s="4" t="n">
        <v>2104</v>
      </c>
    </row>
    <row r="247" customFormat="false" ht="15" hidden="false" customHeight="false" outlineLevel="0" collapsed="false">
      <c r="A247" s="4" t="n">
        <v>246</v>
      </c>
      <c r="B247" s="4" t="s">
        <v>543</v>
      </c>
      <c r="C247" s="4" t="n">
        <v>1973</v>
      </c>
      <c r="D247" s="4" t="s">
        <v>544</v>
      </c>
      <c r="E247" s="25" t="str">
        <f aca="false">IF(J247=1,"✓","")</f>
        <v/>
      </c>
      <c r="F247" s="4" t="n">
        <v>7</v>
      </c>
      <c r="G247" s="4" t="n">
        <v>3</v>
      </c>
      <c r="H247" s="4" t="s">
        <v>144</v>
      </c>
      <c r="I247" s="4" t="s">
        <v>51</v>
      </c>
      <c r="J247" s="4" t="n">
        <f aca="false">INDEX('Master List'!$G$2:$G$2594,K247)</f>
        <v>0</v>
      </c>
      <c r="K247" s="4" t="n">
        <v>1281</v>
      </c>
    </row>
    <row r="248" customFormat="false" ht="15" hidden="false" customHeight="false" outlineLevel="0" collapsed="false">
      <c r="A248" s="4" t="n">
        <v>247</v>
      </c>
      <c r="B248" s="4" t="s">
        <v>545</v>
      </c>
      <c r="C248" s="4" t="n">
        <v>1974</v>
      </c>
      <c r="D248" s="4" t="s">
        <v>546</v>
      </c>
      <c r="E248" s="25" t="str">
        <f aca="false">IF(J248=1,"✓","")</f>
        <v/>
      </c>
      <c r="F248" s="4" t="n">
        <v>7</v>
      </c>
      <c r="G248" s="4" t="n">
        <v>3</v>
      </c>
      <c r="H248" s="4" t="s">
        <v>144</v>
      </c>
      <c r="I248" s="4" t="s">
        <v>52</v>
      </c>
      <c r="J248" s="4" t="n">
        <f aca="false">INDEX('Master List'!$G$2:$G$2594,K248)</f>
        <v>0</v>
      </c>
      <c r="K248" s="4" t="n">
        <v>265</v>
      </c>
    </row>
    <row r="249" customFormat="false" ht="15" hidden="false" customHeight="false" outlineLevel="0" collapsed="false">
      <c r="A249" s="4" t="n">
        <v>248</v>
      </c>
      <c r="B249" s="4" t="s">
        <v>547</v>
      </c>
      <c r="C249" s="4" t="n">
        <v>1975</v>
      </c>
      <c r="D249" s="4" t="s">
        <v>548</v>
      </c>
      <c r="E249" s="25" t="str">
        <f aca="false">IF(J249=1,"✓","")</f>
        <v>✓</v>
      </c>
      <c r="F249" s="4" t="n">
        <v>7</v>
      </c>
      <c r="G249" s="4" t="n">
        <v>3</v>
      </c>
      <c r="H249" s="4" t="s">
        <v>144</v>
      </c>
      <c r="I249" s="4" t="s">
        <v>55</v>
      </c>
      <c r="J249" s="4" t="n">
        <f aca="false">INDEX('Master List'!$G$2:$G$2594,K249)</f>
        <v>1</v>
      </c>
      <c r="K249" s="4" t="n">
        <v>1678</v>
      </c>
    </row>
    <row r="250" customFormat="false" ht="15" hidden="false" customHeight="false" outlineLevel="0" collapsed="false">
      <c r="A250" s="4" t="n">
        <v>249</v>
      </c>
      <c r="B250" s="4" t="s">
        <v>549</v>
      </c>
      <c r="C250" s="4" t="n">
        <v>1981</v>
      </c>
      <c r="D250" s="4" t="s">
        <v>550</v>
      </c>
      <c r="E250" s="25" t="str">
        <f aca="false">IF(J250=1,"✓","")</f>
        <v/>
      </c>
      <c r="F250" s="4" t="n">
        <v>7</v>
      </c>
      <c r="G250" s="4" t="n">
        <v>3</v>
      </c>
      <c r="H250" s="4" t="s">
        <v>144</v>
      </c>
      <c r="I250" s="4" t="s">
        <v>52</v>
      </c>
      <c r="J250" s="4" t="n">
        <f aca="false">INDEX('Master List'!$G$2:$G$2594,K250)</f>
        <v>0</v>
      </c>
      <c r="K250" s="4" t="n">
        <v>309</v>
      </c>
    </row>
    <row r="251" customFormat="false" ht="15" hidden="false" customHeight="false" outlineLevel="0" collapsed="false">
      <c r="A251" s="4" t="n">
        <v>250</v>
      </c>
      <c r="B251" s="4" t="s">
        <v>551</v>
      </c>
      <c r="C251" s="4" t="n">
        <v>1983</v>
      </c>
      <c r="D251" s="4" t="s">
        <v>416</v>
      </c>
      <c r="E251" s="25" t="str">
        <f aca="false">IF(J251=1,"✓","")</f>
        <v/>
      </c>
      <c r="F251" s="4" t="n">
        <v>7</v>
      </c>
      <c r="G251" s="4" t="n">
        <v>3</v>
      </c>
      <c r="H251" s="4" t="s">
        <v>144</v>
      </c>
      <c r="I251" s="4" t="s">
        <v>51</v>
      </c>
      <c r="J251" s="4" t="n">
        <f aca="false">INDEX('Master List'!$G$2:$G$2594,K251)</f>
        <v>0</v>
      </c>
      <c r="K251" s="4" t="n">
        <v>1969</v>
      </c>
    </row>
    <row r="252" customFormat="false" ht="15" hidden="false" customHeight="false" outlineLevel="0" collapsed="false">
      <c r="A252" s="4" t="n">
        <v>251</v>
      </c>
      <c r="B252" s="4" t="s">
        <v>552</v>
      </c>
      <c r="C252" s="4" t="n">
        <v>1991</v>
      </c>
      <c r="D252" s="4" t="s">
        <v>553</v>
      </c>
      <c r="E252" s="25" t="str">
        <f aca="false">IF(J252=1,"✓","")</f>
        <v/>
      </c>
      <c r="F252" s="4" t="n">
        <v>7</v>
      </c>
      <c r="G252" s="4" t="n">
        <v>3</v>
      </c>
      <c r="H252" s="4" t="s">
        <v>144</v>
      </c>
      <c r="I252" s="4" t="s">
        <v>54</v>
      </c>
      <c r="J252" s="4" t="n">
        <f aca="false">INDEX('Master List'!$G$2:$G$2594,K252)</f>
        <v>0</v>
      </c>
      <c r="K252" s="4" t="n">
        <v>568</v>
      </c>
    </row>
    <row r="253" customFormat="false" ht="15" hidden="false" customHeight="false" outlineLevel="0" collapsed="false">
      <c r="A253" s="4" t="n">
        <v>252</v>
      </c>
      <c r="B253" s="4" t="s">
        <v>554</v>
      </c>
      <c r="C253" s="4" t="n">
        <v>2012</v>
      </c>
      <c r="D253" s="4" t="s">
        <v>183</v>
      </c>
      <c r="E253" s="25" t="str">
        <f aca="false">IF(J253=1,"✓","")</f>
        <v/>
      </c>
      <c r="F253" s="4" t="n">
        <v>7</v>
      </c>
      <c r="G253" s="4" t="n">
        <v>3</v>
      </c>
      <c r="H253" s="4" t="s">
        <v>144</v>
      </c>
      <c r="I253" s="4" t="s">
        <v>53</v>
      </c>
      <c r="J253" s="4" t="n">
        <f aca="false">INDEX('Master List'!$G$2:$G$2594,K253)</f>
        <v>0</v>
      </c>
      <c r="K253" s="4" t="n">
        <v>1343</v>
      </c>
    </row>
    <row r="254" customFormat="false" ht="15" hidden="false" customHeight="false" outlineLevel="0" collapsed="false">
      <c r="A254" s="4" t="n">
        <v>253</v>
      </c>
      <c r="B254" s="4" t="s">
        <v>555</v>
      </c>
      <c r="C254" s="4" t="n">
        <v>2013</v>
      </c>
      <c r="D254" s="4" t="s">
        <v>508</v>
      </c>
      <c r="E254" s="25" t="str">
        <f aca="false">IF(J254=1,"✓","")</f>
        <v>✓</v>
      </c>
      <c r="F254" s="4" t="n">
        <v>7</v>
      </c>
      <c r="G254" s="4" t="n">
        <v>3</v>
      </c>
      <c r="H254" s="4" t="s">
        <v>144</v>
      </c>
      <c r="I254" s="4" t="s">
        <v>52</v>
      </c>
      <c r="J254" s="4" t="n">
        <f aca="false">INDEX('Master List'!$G$2:$G$2594,K254)</f>
        <v>1</v>
      </c>
      <c r="K254" s="4" t="n">
        <v>1024</v>
      </c>
    </row>
    <row r="255" customFormat="false" ht="15" hidden="false" customHeight="false" outlineLevel="0" collapsed="false">
      <c r="A255" s="4" t="n">
        <v>254</v>
      </c>
      <c r="B255" s="4" t="s">
        <v>556</v>
      </c>
      <c r="C255" s="4" t="n">
        <v>2023</v>
      </c>
      <c r="D255" s="4" t="s">
        <v>342</v>
      </c>
      <c r="E255" s="25" t="str">
        <f aca="false">IF(J255=1,"✓","")</f>
        <v>✓</v>
      </c>
      <c r="F255" s="4" t="n">
        <v>7</v>
      </c>
      <c r="G255" s="4" t="n">
        <v>3</v>
      </c>
      <c r="H255" s="4" t="s">
        <v>144</v>
      </c>
      <c r="I255" s="4" t="s">
        <v>53</v>
      </c>
      <c r="J255" s="4" t="n">
        <f aca="false">INDEX('Master List'!$G$2:$G$2594,K255)</f>
        <v>1</v>
      </c>
      <c r="K255" s="4" t="n">
        <v>1689</v>
      </c>
    </row>
    <row r="256" customFormat="false" ht="15" hidden="false" customHeight="false" outlineLevel="0" collapsed="false">
      <c r="A256" s="4" t="n">
        <v>255</v>
      </c>
      <c r="B256" s="4" t="s">
        <v>557</v>
      </c>
      <c r="C256" s="4" t="n">
        <v>1979</v>
      </c>
      <c r="D256" s="4" t="s">
        <v>558</v>
      </c>
      <c r="E256" s="25" t="str">
        <f aca="false">IF(J256=1,"✓","")</f>
        <v/>
      </c>
      <c r="F256" s="4" t="n">
        <v>7</v>
      </c>
      <c r="G256" s="4" t="n">
        <v>3</v>
      </c>
      <c r="H256" s="4" t="s">
        <v>144</v>
      </c>
      <c r="I256" s="4" t="s">
        <v>55</v>
      </c>
      <c r="J256" s="4" t="n">
        <f aca="false">INDEX('Master List'!$G$2:$G$2594,K256)</f>
        <v>0</v>
      </c>
      <c r="K256" s="4" t="n">
        <v>1271</v>
      </c>
    </row>
    <row r="257" customFormat="false" ht="15" hidden="false" customHeight="false" outlineLevel="0" collapsed="false">
      <c r="A257" s="4" t="n">
        <v>256</v>
      </c>
      <c r="B257" s="4" t="s">
        <v>559</v>
      </c>
      <c r="C257" s="4" t="n">
        <v>1981</v>
      </c>
      <c r="D257" s="4" t="s">
        <v>296</v>
      </c>
      <c r="E257" s="25" t="str">
        <f aca="false">IF(J257=1,"✓","")</f>
        <v/>
      </c>
      <c r="F257" s="4" t="n">
        <v>6</v>
      </c>
      <c r="G257" s="4" t="n">
        <v>4</v>
      </c>
      <c r="H257" s="4" t="s">
        <v>213</v>
      </c>
      <c r="I257" s="4" t="s">
        <v>50</v>
      </c>
      <c r="J257" s="4" t="n">
        <f aca="false">INDEX('Master List'!$G$2:$G$2594,K257)</f>
        <v>0</v>
      </c>
      <c r="K257" s="4" t="n">
        <v>2274</v>
      </c>
    </row>
    <row r="258" customFormat="false" ht="15" hidden="false" customHeight="false" outlineLevel="0" collapsed="false">
      <c r="A258" s="4" t="n">
        <v>257</v>
      </c>
      <c r="B258" s="4" t="s">
        <v>560</v>
      </c>
      <c r="C258" s="4" t="n">
        <v>1981</v>
      </c>
      <c r="D258" s="4" t="s">
        <v>561</v>
      </c>
      <c r="E258" s="25" t="str">
        <f aca="false">IF(J258=1,"✓","")</f>
        <v/>
      </c>
      <c r="F258" s="4" t="n">
        <v>6</v>
      </c>
      <c r="G258" s="4" t="n">
        <v>4</v>
      </c>
      <c r="H258" s="4" t="s">
        <v>213</v>
      </c>
      <c r="I258" s="4" t="s">
        <v>52</v>
      </c>
      <c r="J258" s="4" t="n">
        <f aca="false">INDEX('Master List'!$G$2:$G$2594,K258)</f>
        <v>0</v>
      </c>
      <c r="K258" s="4" t="n">
        <v>1801</v>
      </c>
    </row>
    <row r="259" customFormat="false" ht="15" hidden="false" customHeight="false" outlineLevel="0" collapsed="false">
      <c r="A259" s="4" t="n">
        <v>258</v>
      </c>
      <c r="B259" s="4" t="s">
        <v>562</v>
      </c>
      <c r="C259" s="4" t="n">
        <v>1916</v>
      </c>
      <c r="D259" s="4" t="s">
        <v>531</v>
      </c>
      <c r="E259" s="25" t="str">
        <f aca="false">IF(J259=1,"✓","")</f>
        <v/>
      </c>
      <c r="F259" s="4" t="n">
        <v>6</v>
      </c>
      <c r="G259" s="4" t="n">
        <v>3</v>
      </c>
      <c r="H259" s="4" t="s">
        <v>213</v>
      </c>
      <c r="I259" s="4" t="s">
        <v>49</v>
      </c>
      <c r="J259" s="4" t="n">
        <f aca="false">INDEX('Master List'!$G$2:$G$2594,K259)</f>
        <v>0</v>
      </c>
      <c r="K259" s="4" t="n">
        <v>1158</v>
      </c>
    </row>
    <row r="260" customFormat="false" ht="15" hidden="false" customHeight="false" outlineLevel="0" collapsed="false">
      <c r="A260" s="4" t="n">
        <v>259</v>
      </c>
      <c r="B260" s="4" t="s">
        <v>563</v>
      </c>
      <c r="C260" s="4" t="n">
        <v>1931</v>
      </c>
      <c r="D260" s="4" t="s">
        <v>564</v>
      </c>
      <c r="E260" s="25" t="str">
        <f aca="false">IF(J260=1,"✓","")</f>
        <v/>
      </c>
      <c r="F260" s="4" t="n">
        <v>6</v>
      </c>
      <c r="G260" s="4" t="n">
        <v>3</v>
      </c>
      <c r="H260" s="4" t="s">
        <v>213</v>
      </c>
      <c r="I260" s="4" t="s">
        <v>50</v>
      </c>
      <c r="J260" s="4" t="n">
        <f aca="false">INDEX('Master List'!$G$2:$G$2594,K260)</f>
        <v>0</v>
      </c>
      <c r="K260" s="4" t="n">
        <v>1828</v>
      </c>
    </row>
    <row r="261" customFormat="false" ht="15" hidden="false" customHeight="false" outlineLevel="0" collapsed="false">
      <c r="A261" s="4" t="n">
        <v>260</v>
      </c>
      <c r="B261" s="4" t="s">
        <v>565</v>
      </c>
      <c r="C261" s="4" t="n">
        <v>1932</v>
      </c>
      <c r="D261" s="4" t="s">
        <v>168</v>
      </c>
      <c r="E261" s="25" t="str">
        <f aca="false">IF(J261=1,"✓","")</f>
        <v/>
      </c>
      <c r="F261" s="4" t="n">
        <v>6</v>
      </c>
      <c r="G261" s="4" t="n">
        <v>3</v>
      </c>
      <c r="H261" s="4" t="s">
        <v>213</v>
      </c>
      <c r="I261" s="4" t="s">
        <v>50</v>
      </c>
      <c r="J261" s="4" t="n">
        <f aca="false">INDEX('Master List'!$G$2:$G$2594,K261)</f>
        <v>0</v>
      </c>
      <c r="K261" s="4" t="n">
        <v>1983</v>
      </c>
    </row>
    <row r="262" customFormat="false" ht="15" hidden="false" customHeight="false" outlineLevel="0" collapsed="false">
      <c r="A262" s="4" t="n">
        <v>261</v>
      </c>
      <c r="B262" s="4" t="s">
        <v>566</v>
      </c>
      <c r="C262" s="4" t="n">
        <v>1933</v>
      </c>
      <c r="D262" s="4" t="s">
        <v>567</v>
      </c>
      <c r="E262" s="25" t="str">
        <f aca="false">IF(J262=1,"✓","")</f>
        <v/>
      </c>
      <c r="F262" s="4" t="n">
        <v>6</v>
      </c>
      <c r="G262" s="4" t="n">
        <v>3</v>
      </c>
      <c r="H262" s="4" t="s">
        <v>213</v>
      </c>
      <c r="I262" s="4" t="s">
        <v>52</v>
      </c>
      <c r="J262" s="4" t="n">
        <f aca="false">INDEX('Master List'!$G$2:$G$2594,K262)</f>
        <v>0</v>
      </c>
      <c r="K262" s="4" t="n">
        <v>1257</v>
      </c>
    </row>
    <row r="263" customFormat="false" ht="15" hidden="false" customHeight="false" outlineLevel="0" collapsed="false">
      <c r="A263" s="4" t="n">
        <v>262</v>
      </c>
      <c r="B263" s="4" t="s">
        <v>568</v>
      </c>
      <c r="C263" s="4" t="n">
        <v>1935</v>
      </c>
      <c r="D263" s="4" t="s">
        <v>162</v>
      </c>
      <c r="E263" s="25" t="str">
        <f aca="false">IF(J263=1,"✓","")</f>
        <v/>
      </c>
      <c r="F263" s="4" t="n">
        <v>6</v>
      </c>
      <c r="G263" s="4" t="n">
        <v>3</v>
      </c>
      <c r="H263" s="4" t="s">
        <v>213</v>
      </c>
      <c r="I263" s="4" t="s">
        <v>52</v>
      </c>
      <c r="J263" s="4" t="n">
        <f aca="false">INDEX('Master List'!$G$2:$G$2594,K263)</f>
        <v>0</v>
      </c>
      <c r="K263" s="4" t="n">
        <v>22</v>
      </c>
    </row>
    <row r="264" customFormat="false" ht="15" hidden="false" customHeight="false" outlineLevel="0" collapsed="false">
      <c r="A264" s="4" t="n">
        <v>263</v>
      </c>
      <c r="B264" s="4" t="s">
        <v>569</v>
      </c>
      <c r="C264" s="4" t="n">
        <v>1944</v>
      </c>
      <c r="D264" s="4" t="s">
        <v>570</v>
      </c>
      <c r="E264" s="25" t="str">
        <f aca="false">IF(J264=1,"✓","")</f>
        <v/>
      </c>
      <c r="F264" s="4" t="n">
        <v>6</v>
      </c>
      <c r="G264" s="4" t="n">
        <v>3</v>
      </c>
      <c r="H264" s="4" t="s">
        <v>213</v>
      </c>
      <c r="I264" s="4" t="s">
        <v>49</v>
      </c>
      <c r="J264" s="4" t="n">
        <f aca="false">INDEX('Master List'!$G$2:$G$2594,K264)</f>
        <v>0</v>
      </c>
      <c r="K264" s="4" t="n">
        <v>1473</v>
      </c>
    </row>
    <row r="265" customFormat="false" ht="15" hidden="false" customHeight="false" outlineLevel="0" collapsed="false">
      <c r="A265" s="4" t="n">
        <v>264</v>
      </c>
      <c r="B265" s="4" t="s">
        <v>571</v>
      </c>
      <c r="C265" s="4" t="n">
        <v>1946</v>
      </c>
      <c r="D265" s="4" t="s">
        <v>168</v>
      </c>
      <c r="E265" s="25" t="str">
        <f aca="false">IF(J265=1,"✓","")</f>
        <v/>
      </c>
      <c r="F265" s="4" t="n">
        <v>6</v>
      </c>
      <c r="G265" s="4" t="n">
        <v>3</v>
      </c>
      <c r="H265" s="4" t="s">
        <v>213</v>
      </c>
      <c r="I265" s="4" t="s">
        <v>52</v>
      </c>
      <c r="J265" s="4" t="n">
        <f aca="false">INDEX('Master List'!$G$2:$G$2594,K265)</f>
        <v>0</v>
      </c>
      <c r="K265" s="4" t="n">
        <v>248</v>
      </c>
    </row>
    <row r="266" customFormat="false" ht="15" hidden="false" customHeight="false" outlineLevel="0" collapsed="false">
      <c r="A266" s="4" t="n">
        <v>265</v>
      </c>
      <c r="B266" s="4" t="s">
        <v>572</v>
      </c>
      <c r="C266" s="4" t="n">
        <v>1947</v>
      </c>
      <c r="D266" s="4" t="s">
        <v>143</v>
      </c>
      <c r="E266" s="25" t="str">
        <f aca="false">IF(J266=1,"✓","")</f>
        <v/>
      </c>
      <c r="F266" s="4" t="n">
        <v>6</v>
      </c>
      <c r="G266" s="4" t="n">
        <v>3</v>
      </c>
      <c r="H266" s="4" t="s">
        <v>213</v>
      </c>
      <c r="I266" s="4" t="s">
        <v>52</v>
      </c>
      <c r="J266" s="4" t="n">
        <f aca="false">INDEX('Master List'!$G$2:$G$2594,K266)</f>
        <v>0</v>
      </c>
      <c r="K266" s="4" t="n">
        <v>1280</v>
      </c>
    </row>
    <row r="267" customFormat="false" ht="15" hidden="false" customHeight="false" outlineLevel="0" collapsed="false">
      <c r="A267" s="4" t="n">
        <v>266</v>
      </c>
      <c r="B267" s="4" t="s">
        <v>573</v>
      </c>
      <c r="C267" s="4" t="n">
        <v>1951</v>
      </c>
      <c r="D267" s="4" t="s">
        <v>375</v>
      </c>
      <c r="E267" s="25" t="str">
        <f aca="false">IF(J267=1,"✓","")</f>
        <v/>
      </c>
      <c r="F267" s="4" t="n">
        <v>6</v>
      </c>
      <c r="G267" s="4" t="n">
        <v>3</v>
      </c>
      <c r="H267" s="4" t="s">
        <v>213</v>
      </c>
      <c r="I267" s="4" t="s">
        <v>50</v>
      </c>
      <c r="J267" s="4" t="n">
        <f aca="false">INDEX('Master List'!$G$2:$G$2594,K267)</f>
        <v>0</v>
      </c>
      <c r="K267" s="4" t="n">
        <v>2184</v>
      </c>
    </row>
    <row r="268" customFormat="false" ht="15" hidden="false" customHeight="false" outlineLevel="0" collapsed="false">
      <c r="A268" s="4" t="n">
        <v>267</v>
      </c>
      <c r="B268" s="4" t="s">
        <v>574</v>
      </c>
      <c r="C268" s="4" t="n">
        <v>1951</v>
      </c>
      <c r="D268" s="4" t="s">
        <v>200</v>
      </c>
      <c r="E268" s="25" t="str">
        <f aca="false">IF(J268=1,"✓","")</f>
        <v/>
      </c>
      <c r="F268" s="4" t="n">
        <v>6</v>
      </c>
      <c r="G268" s="4" t="n">
        <v>3</v>
      </c>
      <c r="H268" s="4" t="s">
        <v>213</v>
      </c>
      <c r="I268" s="4" t="s">
        <v>52</v>
      </c>
      <c r="J268" s="4" t="n">
        <f aca="false">INDEX('Master List'!$G$2:$G$2594,K268)</f>
        <v>0</v>
      </c>
      <c r="K268" s="4" t="n">
        <v>38</v>
      </c>
    </row>
    <row r="269" customFormat="false" ht="15" hidden="false" customHeight="false" outlineLevel="0" collapsed="false">
      <c r="A269" s="4" t="n">
        <v>268</v>
      </c>
      <c r="B269" s="4" t="s">
        <v>575</v>
      </c>
      <c r="C269" s="4" t="n">
        <v>1954</v>
      </c>
      <c r="D269" s="4" t="s">
        <v>286</v>
      </c>
      <c r="E269" s="25" t="str">
        <f aca="false">IF(J269=1,"✓","")</f>
        <v/>
      </c>
      <c r="F269" s="4" t="n">
        <v>6</v>
      </c>
      <c r="G269" s="4" t="n">
        <v>3</v>
      </c>
      <c r="H269" s="4" t="s">
        <v>213</v>
      </c>
      <c r="I269" s="4" t="s">
        <v>51</v>
      </c>
      <c r="J269" s="4" t="n">
        <f aca="false">INDEX('Master List'!$G$2:$G$2594,K269)</f>
        <v>0</v>
      </c>
      <c r="K269" s="4" t="n">
        <v>1970</v>
      </c>
    </row>
    <row r="270" customFormat="false" ht="15" hidden="false" customHeight="false" outlineLevel="0" collapsed="false">
      <c r="A270" s="4" t="n">
        <v>269</v>
      </c>
      <c r="B270" s="4" t="s">
        <v>576</v>
      </c>
      <c r="C270" s="4" t="n">
        <v>1956</v>
      </c>
      <c r="D270" s="4" t="s">
        <v>187</v>
      </c>
      <c r="E270" s="25" t="str">
        <f aca="false">IF(J270=1,"✓","")</f>
        <v>✓</v>
      </c>
      <c r="F270" s="4" t="n">
        <v>6</v>
      </c>
      <c r="G270" s="4" t="n">
        <v>3</v>
      </c>
      <c r="H270" s="4" t="s">
        <v>213</v>
      </c>
      <c r="I270" s="4" t="s">
        <v>49</v>
      </c>
      <c r="J270" s="4" t="n">
        <f aca="false">INDEX('Master List'!$G$2:$G$2594,K270)</f>
        <v>1</v>
      </c>
      <c r="K270" s="4" t="n">
        <v>1252</v>
      </c>
    </row>
    <row r="271" customFormat="false" ht="15" hidden="false" customHeight="false" outlineLevel="0" collapsed="false">
      <c r="A271" s="4" t="n">
        <v>270</v>
      </c>
      <c r="B271" s="4" t="s">
        <v>577</v>
      </c>
      <c r="C271" s="4" t="n">
        <v>1956</v>
      </c>
      <c r="D271" s="4" t="s">
        <v>290</v>
      </c>
      <c r="E271" s="25" t="str">
        <f aca="false">IF(J271=1,"✓","")</f>
        <v/>
      </c>
      <c r="F271" s="4" t="n">
        <v>6</v>
      </c>
      <c r="G271" s="4" t="n">
        <v>3</v>
      </c>
      <c r="H271" s="4" t="s">
        <v>213</v>
      </c>
      <c r="I271" s="4" t="s">
        <v>51</v>
      </c>
      <c r="J271" s="4" t="n">
        <f aca="false">INDEX('Master List'!$G$2:$G$2594,K271)</f>
        <v>0</v>
      </c>
      <c r="K271" s="4" t="n">
        <v>305</v>
      </c>
    </row>
    <row r="272" customFormat="false" ht="15" hidden="false" customHeight="false" outlineLevel="0" collapsed="false">
      <c r="A272" s="4" t="n">
        <v>271</v>
      </c>
      <c r="B272" s="4" t="s">
        <v>578</v>
      </c>
      <c r="C272" s="4" t="n">
        <v>1957</v>
      </c>
      <c r="D272" s="4" t="s">
        <v>156</v>
      </c>
      <c r="E272" s="25" t="str">
        <f aca="false">IF(J272=1,"✓","")</f>
        <v>✓</v>
      </c>
      <c r="F272" s="4" t="n">
        <v>6</v>
      </c>
      <c r="G272" s="4" t="n">
        <v>3</v>
      </c>
      <c r="H272" s="4" t="s">
        <v>213</v>
      </c>
      <c r="I272" s="4" t="s">
        <v>51</v>
      </c>
      <c r="J272" s="4" t="n">
        <f aca="false">INDEX('Master List'!$G$2:$G$2594,K272)</f>
        <v>1</v>
      </c>
      <c r="K272" s="4" t="n">
        <v>2298</v>
      </c>
    </row>
    <row r="273" customFormat="false" ht="15" hidden="false" customHeight="false" outlineLevel="0" collapsed="false">
      <c r="A273" s="4" t="n">
        <v>272</v>
      </c>
      <c r="B273" s="4" t="s">
        <v>579</v>
      </c>
      <c r="C273" s="4" t="n">
        <v>1957</v>
      </c>
      <c r="D273" s="4" t="s">
        <v>255</v>
      </c>
      <c r="E273" s="25" t="str">
        <f aca="false">IF(J273=1,"✓","")</f>
        <v/>
      </c>
      <c r="F273" s="4" t="n">
        <v>6</v>
      </c>
      <c r="G273" s="4" t="n">
        <v>3</v>
      </c>
      <c r="H273" s="4" t="s">
        <v>213</v>
      </c>
      <c r="I273" s="4" t="s">
        <v>52</v>
      </c>
      <c r="J273" s="4" t="n">
        <f aca="false">INDEX('Master List'!$G$2:$G$2594,K273)</f>
        <v>0</v>
      </c>
      <c r="K273" s="4" t="n">
        <v>348</v>
      </c>
    </row>
    <row r="274" customFormat="false" ht="15" hidden="false" customHeight="false" outlineLevel="0" collapsed="false">
      <c r="A274" s="4" t="n">
        <v>273</v>
      </c>
      <c r="B274" s="4" t="s">
        <v>580</v>
      </c>
      <c r="C274" s="4" t="n">
        <v>1960</v>
      </c>
      <c r="D274" s="4" t="s">
        <v>581</v>
      </c>
      <c r="E274" s="25" t="str">
        <f aca="false">IF(J274=1,"✓","")</f>
        <v/>
      </c>
      <c r="F274" s="4" t="n">
        <v>6</v>
      </c>
      <c r="G274" s="4" t="n">
        <v>3</v>
      </c>
      <c r="H274" s="4" t="s">
        <v>213</v>
      </c>
      <c r="I274" s="4" t="s">
        <v>51</v>
      </c>
      <c r="J274" s="4" t="n">
        <f aca="false">INDEX('Master List'!$G$2:$G$2594,K274)</f>
        <v>0</v>
      </c>
      <c r="K274" s="4" t="n">
        <v>1739</v>
      </c>
    </row>
    <row r="275" customFormat="false" ht="15" hidden="false" customHeight="false" outlineLevel="0" collapsed="false">
      <c r="A275" s="4" t="n">
        <v>274</v>
      </c>
      <c r="B275" s="4" t="s">
        <v>582</v>
      </c>
      <c r="C275" s="4" t="n">
        <v>1961</v>
      </c>
      <c r="D275" s="4" t="s">
        <v>217</v>
      </c>
      <c r="E275" s="25" t="str">
        <f aca="false">IF(J275=1,"✓","")</f>
        <v/>
      </c>
      <c r="F275" s="4" t="n">
        <v>6</v>
      </c>
      <c r="G275" s="4" t="n">
        <v>3</v>
      </c>
      <c r="H275" s="4" t="s">
        <v>213</v>
      </c>
      <c r="I275" s="4" t="s">
        <v>51</v>
      </c>
      <c r="J275" s="4" t="n">
        <f aca="false">INDEX('Master List'!$G$2:$G$2594,K275)</f>
        <v>0</v>
      </c>
      <c r="K275" s="4" t="n">
        <v>1639</v>
      </c>
    </row>
    <row r="276" customFormat="false" ht="15" hidden="false" customHeight="false" outlineLevel="0" collapsed="false">
      <c r="A276" s="4" t="n">
        <v>275</v>
      </c>
      <c r="B276" s="4" t="s">
        <v>583</v>
      </c>
      <c r="C276" s="4" t="n">
        <v>1962</v>
      </c>
      <c r="D276" s="4" t="s">
        <v>195</v>
      </c>
      <c r="E276" s="25" t="str">
        <f aca="false">IF(J276=1,"✓","")</f>
        <v/>
      </c>
      <c r="F276" s="4" t="n">
        <v>6</v>
      </c>
      <c r="G276" s="4" t="n">
        <v>3</v>
      </c>
      <c r="H276" s="4" t="s">
        <v>213</v>
      </c>
      <c r="I276" s="4" t="s">
        <v>50</v>
      </c>
      <c r="J276" s="4" t="n">
        <f aca="false">INDEX('Master List'!$G$2:$G$2594,K276)</f>
        <v>0</v>
      </c>
      <c r="K276" s="4" t="n">
        <v>1268</v>
      </c>
    </row>
    <row r="277" customFormat="false" ht="15" hidden="false" customHeight="false" outlineLevel="0" collapsed="false">
      <c r="A277" s="4" t="n">
        <v>276</v>
      </c>
      <c r="B277" s="4" t="s">
        <v>584</v>
      </c>
      <c r="C277" s="4" t="n">
        <v>1962</v>
      </c>
      <c r="D277" s="4" t="s">
        <v>402</v>
      </c>
      <c r="E277" s="25" t="str">
        <f aca="false">IF(J277=1,"✓","")</f>
        <v/>
      </c>
      <c r="F277" s="4" t="n">
        <v>6</v>
      </c>
      <c r="G277" s="4" t="n">
        <v>3</v>
      </c>
      <c r="H277" s="4" t="s">
        <v>213</v>
      </c>
      <c r="I277" s="4" t="s">
        <v>51</v>
      </c>
      <c r="J277" s="4" t="n">
        <f aca="false">INDEX('Master List'!$G$2:$G$2594,K277)</f>
        <v>0</v>
      </c>
      <c r="K277" s="4" t="n">
        <v>765</v>
      </c>
    </row>
    <row r="278" customFormat="false" ht="15" hidden="false" customHeight="false" outlineLevel="0" collapsed="false">
      <c r="A278" s="4" t="n">
        <v>277</v>
      </c>
      <c r="B278" s="4" t="s">
        <v>585</v>
      </c>
      <c r="C278" s="4" t="n">
        <v>1964</v>
      </c>
      <c r="D278" s="4" t="s">
        <v>152</v>
      </c>
      <c r="E278" s="25" t="str">
        <f aca="false">IF(J278=1,"✓","")</f>
        <v/>
      </c>
      <c r="F278" s="4" t="n">
        <v>6</v>
      </c>
      <c r="G278" s="4" t="n">
        <v>3</v>
      </c>
      <c r="H278" s="4" t="s">
        <v>213</v>
      </c>
      <c r="I278" s="4" t="s">
        <v>51</v>
      </c>
      <c r="J278" s="4" t="n">
        <f aca="false">INDEX('Master List'!$G$2:$G$2594,K278)</f>
        <v>0</v>
      </c>
      <c r="K278" s="4" t="n">
        <v>182</v>
      </c>
    </row>
    <row r="279" customFormat="false" ht="15" hidden="false" customHeight="false" outlineLevel="0" collapsed="false">
      <c r="A279" s="4" t="n">
        <v>278</v>
      </c>
      <c r="B279" s="4" t="s">
        <v>586</v>
      </c>
      <c r="C279" s="4" t="n">
        <v>1968</v>
      </c>
      <c r="D279" s="4" t="s">
        <v>587</v>
      </c>
      <c r="E279" s="25" t="str">
        <f aca="false">IF(J279=1,"✓","")</f>
        <v/>
      </c>
      <c r="F279" s="4" t="n">
        <v>6</v>
      </c>
      <c r="G279" s="4" t="n">
        <v>3</v>
      </c>
      <c r="H279" s="4" t="s">
        <v>213</v>
      </c>
      <c r="I279" s="4" t="s">
        <v>52</v>
      </c>
      <c r="J279" s="4" t="n">
        <f aca="false">INDEX('Master List'!$G$2:$G$2594,K279)</f>
        <v>0</v>
      </c>
      <c r="K279" s="4" t="n">
        <v>367</v>
      </c>
    </row>
    <row r="280" customFormat="false" ht="15" hidden="false" customHeight="false" outlineLevel="0" collapsed="false">
      <c r="A280" s="4" t="n">
        <v>279</v>
      </c>
      <c r="B280" s="4" t="s">
        <v>588</v>
      </c>
      <c r="C280" s="4" t="n">
        <v>1969</v>
      </c>
      <c r="D280" s="4" t="s">
        <v>589</v>
      </c>
      <c r="E280" s="25" t="str">
        <f aca="false">IF(J280=1,"✓","")</f>
        <v>✓</v>
      </c>
      <c r="F280" s="4" t="n">
        <v>6</v>
      </c>
      <c r="G280" s="4" t="n">
        <v>3</v>
      </c>
      <c r="H280" s="4" t="s">
        <v>213</v>
      </c>
      <c r="I280" s="4" t="s">
        <v>50</v>
      </c>
      <c r="J280" s="4" t="n">
        <f aca="false">INDEX('Master List'!$G$2:$G$2594,K280)</f>
        <v>1</v>
      </c>
      <c r="K280" s="4" t="n">
        <v>1493</v>
      </c>
    </row>
    <row r="281" customFormat="false" ht="15" hidden="false" customHeight="false" outlineLevel="0" collapsed="false">
      <c r="A281" s="4" t="n">
        <v>280</v>
      </c>
      <c r="B281" s="4" t="s">
        <v>590</v>
      </c>
      <c r="C281" s="4" t="n">
        <v>1969</v>
      </c>
      <c r="D281" s="4" t="s">
        <v>290</v>
      </c>
      <c r="E281" s="25" t="str">
        <f aca="false">IF(J281=1,"✓","")</f>
        <v/>
      </c>
      <c r="F281" s="4" t="n">
        <v>6</v>
      </c>
      <c r="G281" s="4" t="n">
        <v>3</v>
      </c>
      <c r="H281" s="4" t="s">
        <v>213</v>
      </c>
      <c r="I281" s="4" t="s">
        <v>51</v>
      </c>
      <c r="J281" s="4" t="n">
        <f aca="false">INDEX('Master List'!$G$2:$G$2594,K281)</f>
        <v>0</v>
      </c>
      <c r="K281" s="4" t="n">
        <v>129</v>
      </c>
    </row>
    <row r="282" customFormat="false" ht="15" hidden="false" customHeight="false" outlineLevel="0" collapsed="false">
      <c r="A282" s="4" t="n">
        <v>281</v>
      </c>
      <c r="B282" s="4" t="s">
        <v>591</v>
      </c>
      <c r="C282" s="4" t="n">
        <v>1970</v>
      </c>
      <c r="D282" s="4" t="s">
        <v>592</v>
      </c>
      <c r="E282" s="25" t="str">
        <f aca="false">IF(J282=1,"✓","")</f>
        <v/>
      </c>
      <c r="F282" s="4" t="n">
        <v>6</v>
      </c>
      <c r="G282" s="4" t="n">
        <v>3</v>
      </c>
      <c r="H282" s="4" t="s">
        <v>213</v>
      </c>
      <c r="I282" s="4" t="s">
        <v>49</v>
      </c>
      <c r="J282" s="4" t="n">
        <f aca="false">INDEX('Master List'!$G$2:$G$2594,K282)</f>
        <v>0</v>
      </c>
      <c r="K282" s="4" t="n">
        <v>513</v>
      </c>
    </row>
    <row r="283" customFormat="false" ht="15" hidden="false" customHeight="false" outlineLevel="0" collapsed="false">
      <c r="A283" s="4" t="n">
        <v>282</v>
      </c>
      <c r="B283" s="4" t="s">
        <v>593</v>
      </c>
      <c r="C283" s="4" t="n">
        <v>1970</v>
      </c>
      <c r="D283" s="4" t="s">
        <v>594</v>
      </c>
      <c r="E283" s="25" t="str">
        <f aca="false">IF(J283=1,"✓","")</f>
        <v>✓</v>
      </c>
      <c r="F283" s="4" t="n">
        <v>6</v>
      </c>
      <c r="G283" s="4" t="n">
        <v>3</v>
      </c>
      <c r="H283" s="4" t="s">
        <v>213</v>
      </c>
      <c r="I283" s="4" t="s">
        <v>50</v>
      </c>
      <c r="J283" s="4" t="n">
        <f aca="false">INDEX('Master List'!$G$2:$G$2594,K283)</f>
        <v>1</v>
      </c>
      <c r="K283" s="4" t="n">
        <v>816</v>
      </c>
    </row>
    <row r="284" customFormat="false" ht="15" hidden="false" customHeight="false" outlineLevel="0" collapsed="false">
      <c r="A284" s="4" t="n">
        <v>283</v>
      </c>
      <c r="B284" s="4" t="s">
        <v>595</v>
      </c>
      <c r="C284" s="4" t="n">
        <v>1970</v>
      </c>
      <c r="D284" s="4" t="s">
        <v>596</v>
      </c>
      <c r="E284" s="25" t="str">
        <f aca="false">IF(J284=1,"✓","")</f>
        <v/>
      </c>
      <c r="F284" s="4" t="n">
        <v>6</v>
      </c>
      <c r="G284" s="4" t="n">
        <v>3</v>
      </c>
      <c r="H284" s="4" t="s">
        <v>144</v>
      </c>
      <c r="I284" s="4" t="s">
        <v>50</v>
      </c>
      <c r="J284" s="4" t="n">
        <f aca="false">INDEX('Master List'!$G$2:$G$2594,K284)</f>
        <v>0</v>
      </c>
      <c r="K284" s="4" t="n">
        <v>2461</v>
      </c>
    </row>
    <row r="285" customFormat="false" ht="15" hidden="false" customHeight="false" outlineLevel="0" collapsed="false">
      <c r="A285" s="4" t="n">
        <v>284</v>
      </c>
      <c r="B285" s="4" t="s">
        <v>597</v>
      </c>
      <c r="C285" s="4" t="n">
        <v>1971</v>
      </c>
      <c r="D285" s="4" t="s">
        <v>187</v>
      </c>
      <c r="E285" s="25" t="str">
        <f aca="false">IF(J285=1,"✓","")</f>
        <v>✓</v>
      </c>
      <c r="F285" s="4" t="n">
        <v>6</v>
      </c>
      <c r="G285" s="4" t="n">
        <v>3</v>
      </c>
      <c r="H285" s="4" t="s">
        <v>213</v>
      </c>
      <c r="I285" s="4" t="s">
        <v>52</v>
      </c>
      <c r="J285" s="4" t="n">
        <f aca="false">INDEX('Master List'!$G$2:$G$2594,K285)</f>
        <v>1</v>
      </c>
      <c r="K285" s="4" t="n">
        <v>478</v>
      </c>
    </row>
    <row r="286" customFormat="false" ht="15" hidden="false" customHeight="false" outlineLevel="0" collapsed="false">
      <c r="A286" s="4" t="n">
        <v>285</v>
      </c>
      <c r="B286" s="4" t="s">
        <v>598</v>
      </c>
      <c r="C286" s="4" t="n">
        <v>1971</v>
      </c>
      <c r="D286" s="4" t="s">
        <v>599</v>
      </c>
      <c r="E286" s="25" t="str">
        <f aca="false">IF(J286=1,"✓","")</f>
        <v/>
      </c>
      <c r="F286" s="4" t="n">
        <v>6</v>
      </c>
      <c r="G286" s="4" t="n">
        <v>3</v>
      </c>
      <c r="H286" s="4" t="s">
        <v>213</v>
      </c>
      <c r="I286" s="4" t="s">
        <v>54</v>
      </c>
      <c r="J286" s="4" t="n">
        <f aca="false">INDEX('Master List'!$G$2:$G$2594,K286)</f>
        <v>0</v>
      </c>
      <c r="K286" s="4" t="n">
        <v>2422</v>
      </c>
    </row>
    <row r="287" customFormat="false" ht="15" hidden="false" customHeight="false" outlineLevel="0" collapsed="false">
      <c r="A287" s="4" t="n">
        <v>286</v>
      </c>
      <c r="B287" s="4" t="s">
        <v>600</v>
      </c>
      <c r="C287" s="4" t="n">
        <v>1973</v>
      </c>
      <c r="D287" s="4" t="s">
        <v>164</v>
      </c>
      <c r="E287" s="25" t="str">
        <f aca="false">IF(J287=1,"✓","")</f>
        <v>✓</v>
      </c>
      <c r="F287" s="4" t="n">
        <v>6</v>
      </c>
      <c r="G287" s="4" t="n">
        <v>3</v>
      </c>
      <c r="H287" s="4" t="s">
        <v>213</v>
      </c>
      <c r="I287" s="4" t="s">
        <v>50</v>
      </c>
      <c r="J287" s="4" t="n">
        <f aca="false">INDEX('Master List'!$G$2:$G$2594,K287)</f>
        <v>1</v>
      </c>
      <c r="K287" s="4" t="n">
        <v>1468</v>
      </c>
    </row>
    <row r="288" customFormat="false" ht="15" hidden="false" customHeight="false" outlineLevel="0" collapsed="false">
      <c r="A288" s="4" t="n">
        <v>287</v>
      </c>
      <c r="B288" s="4" t="s">
        <v>601</v>
      </c>
      <c r="C288" s="4" t="n">
        <v>1975</v>
      </c>
      <c r="D288" s="4" t="s">
        <v>187</v>
      </c>
      <c r="E288" s="25" t="str">
        <f aca="false">IF(J288=1,"✓","")</f>
        <v>✓</v>
      </c>
      <c r="F288" s="4" t="n">
        <v>6</v>
      </c>
      <c r="G288" s="4" t="n">
        <v>3</v>
      </c>
      <c r="H288" s="4" t="s">
        <v>213</v>
      </c>
      <c r="I288" s="4" t="s">
        <v>49</v>
      </c>
      <c r="J288" s="4" t="n">
        <f aca="false">INDEX('Master List'!$G$2:$G$2594,K288)</f>
        <v>1</v>
      </c>
      <c r="K288" s="4" t="n">
        <v>189</v>
      </c>
    </row>
    <row r="289" customFormat="false" ht="15" hidden="false" customHeight="false" outlineLevel="0" collapsed="false">
      <c r="A289" s="4" t="n">
        <v>288</v>
      </c>
      <c r="B289" s="4" t="s">
        <v>602</v>
      </c>
      <c r="C289" s="4" t="n">
        <v>1975</v>
      </c>
      <c r="D289" s="4" t="s">
        <v>316</v>
      </c>
      <c r="E289" s="25" t="str">
        <f aca="false">IF(J289=1,"✓","")</f>
        <v/>
      </c>
      <c r="F289" s="4" t="n">
        <v>6</v>
      </c>
      <c r="G289" s="4" t="n">
        <v>3</v>
      </c>
      <c r="H289" s="4" t="s">
        <v>213</v>
      </c>
      <c r="I289" s="4" t="s">
        <v>52</v>
      </c>
      <c r="J289" s="4" t="n">
        <f aca="false">INDEX('Master List'!$G$2:$G$2594,K289)</f>
        <v>0</v>
      </c>
      <c r="K289" s="4" t="n">
        <v>2047</v>
      </c>
    </row>
    <row r="290" customFormat="false" ht="15" hidden="false" customHeight="false" outlineLevel="0" collapsed="false">
      <c r="A290" s="4" t="n">
        <v>289</v>
      </c>
      <c r="B290" s="4" t="s">
        <v>603</v>
      </c>
      <c r="C290" s="4" t="n">
        <v>1977</v>
      </c>
      <c r="D290" s="4" t="s">
        <v>604</v>
      </c>
      <c r="E290" s="25" t="str">
        <f aca="false">IF(J290=1,"✓","")</f>
        <v>✓</v>
      </c>
      <c r="F290" s="4" t="n">
        <v>6</v>
      </c>
      <c r="G290" s="4" t="n">
        <v>3</v>
      </c>
      <c r="H290" s="4" t="s">
        <v>213</v>
      </c>
      <c r="I290" s="4" t="s">
        <v>50</v>
      </c>
      <c r="J290" s="4" t="n">
        <f aca="false">INDEX('Master List'!$G$2:$G$2594,K290)</f>
        <v>1</v>
      </c>
      <c r="K290" s="4" t="n">
        <v>112</v>
      </c>
    </row>
    <row r="291" customFormat="false" ht="15" hidden="false" customHeight="false" outlineLevel="0" collapsed="false">
      <c r="A291" s="4" t="n">
        <v>290</v>
      </c>
      <c r="B291" s="4" t="s">
        <v>605</v>
      </c>
      <c r="C291" s="4" t="n">
        <v>1978</v>
      </c>
      <c r="D291" s="4" t="s">
        <v>606</v>
      </c>
      <c r="E291" s="25" t="str">
        <f aca="false">IF(J291=1,"✓","")</f>
        <v/>
      </c>
      <c r="F291" s="4" t="n">
        <v>6</v>
      </c>
      <c r="G291" s="4" t="n">
        <v>3</v>
      </c>
      <c r="H291" s="4" t="s">
        <v>213</v>
      </c>
      <c r="I291" s="4" t="s">
        <v>50</v>
      </c>
      <c r="J291" s="4" t="n">
        <f aca="false">INDEX('Master List'!$G$2:$G$2594,K291)</f>
        <v>0</v>
      </c>
      <c r="K291" s="4" t="n">
        <v>605</v>
      </c>
    </row>
    <row r="292" customFormat="false" ht="15" hidden="false" customHeight="false" outlineLevel="0" collapsed="false">
      <c r="A292" s="4" t="n">
        <v>291</v>
      </c>
      <c r="B292" s="4" t="s">
        <v>607</v>
      </c>
      <c r="C292" s="4" t="n">
        <v>1979</v>
      </c>
      <c r="D292" s="4" t="s">
        <v>316</v>
      </c>
      <c r="E292" s="25" t="str">
        <f aca="false">IF(J292=1,"✓","")</f>
        <v>✓</v>
      </c>
      <c r="F292" s="4" t="n">
        <v>6</v>
      </c>
      <c r="G292" s="4" t="n">
        <v>3</v>
      </c>
      <c r="H292" s="4" t="s">
        <v>213</v>
      </c>
      <c r="I292" s="4" t="s">
        <v>52</v>
      </c>
      <c r="J292" s="4" t="n">
        <f aca="false">INDEX('Master List'!$G$2:$G$2594,K292)</f>
        <v>1</v>
      </c>
      <c r="K292" s="4" t="n">
        <v>359</v>
      </c>
    </row>
    <row r="293" customFormat="false" ht="15" hidden="false" customHeight="false" outlineLevel="0" collapsed="false">
      <c r="A293" s="4" t="n">
        <v>292</v>
      </c>
      <c r="B293" s="4" t="s">
        <v>608</v>
      </c>
      <c r="C293" s="4" t="n">
        <v>1979</v>
      </c>
      <c r="D293" s="4" t="s">
        <v>310</v>
      </c>
      <c r="E293" s="25" t="str">
        <f aca="false">IF(J293=1,"✓","")</f>
        <v/>
      </c>
      <c r="F293" s="4" t="n">
        <v>6</v>
      </c>
      <c r="G293" s="4" t="n">
        <v>3</v>
      </c>
      <c r="H293" s="4" t="s">
        <v>213</v>
      </c>
      <c r="I293" s="4" t="s">
        <v>52</v>
      </c>
      <c r="J293" s="4" t="n">
        <f aca="false">INDEX('Master List'!$G$2:$G$2594,K293)</f>
        <v>0</v>
      </c>
      <c r="K293" s="4" t="n">
        <v>218</v>
      </c>
    </row>
    <row r="294" customFormat="false" ht="15" hidden="false" customHeight="false" outlineLevel="0" collapsed="false">
      <c r="A294" s="4" t="n">
        <v>293</v>
      </c>
      <c r="B294" s="4" t="s">
        <v>609</v>
      </c>
      <c r="C294" s="4" t="n">
        <v>1982</v>
      </c>
      <c r="D294" s="4" t="s">
        <v>183</v>
      </c>
      <c r="E294" s="25" t="str">
        <f aca="false">IF(J294=1,"✓","")</f>
        <v>✓</v>
      </c>
      <c r="F294" s="4" t="n">
        <v>6</v>
      </c>
      <c r="G294" s="4" t="n">
        <v>3</v>
      </c>
      <c r="H294" s="4" t="s">
        <v>213</v>
      </c>
      <c r="I294" s="4" t="s">
        <v>50</v>
      </c>
      <c r="J294" s="4" t="n">
        <f aca="false">INDEX('Master List'!$G$2:$G$2594,K294)</f>
        <v>1</v>
      </c>
      <c r="K294" s="4" t="n">
        <v>697</v>
      </c>
    </row>
    <row r="295" customFormat="false" ht="15" hidden="false" customHeight="false" outlineLevel="0" collapsed="false">
      <c r="A295" s="4" t="n">
        <v>294</v>
      </c>
      <c r="B295" s="4" t="s">
        <v>610</v>
      </c>
      <c r="C295" s="4" t="n">
        <v>1988</v>
      </c>
      <c r="D295" s="4" t="s">
        <v>611</v>
      </c>
      <c r="E295" s="25" t="str">
        <f aca="false">IF(J295=1,"✓","")</f>
        <v/>
      </c>
      <c r="F295" s="4" t="n">
        <v>6</v>
      </c>
      <c r="G295" s="4" t="n">
        <v>3</v>
      </c>
      <c r="H295" s="4" t="s">
        <v>213</v>
      </c>
      <c r="I295" s="4" t="s">
        <v>51</v>
      </c>
      <c r="J295" s="4" t="n">
        <f aca="false">INDEX('Master List'!$G$2:$G$2594,K295)</f>
        <v>0</v>
      </c>
      <c r="K295" s="4" t="n">
        <v>947</v>
      </c>
    </row>
    <row r="296" customFormat="false" ht="15" hidden="false" customHeight="false" outlineLevel="0" collapsed="false">
      <c r="A296" s="4" t="n">
        <v>295</v>
      </c>
      <c r="B296" s="4" t="s">
        <v>612</v>
      </c>
      <c r="C296" s="4" t="n">
        <v>1990</v>
      </c>
      <c r="D296" s="4" t="s">
        <v>397</v>
      </c>
      <c r="E296" s="25" t="str">
        <f aca="false">IF(J296=1,"✓","")</f>
        <v>✓</v>
      </c>
      <c r="F296" s="4" t="n">
        <v>6</v>
      </c>
      <c r="G296" s="4" t="n">
        <v>3</v>
      </c>
      <c r="H296" s="4" t="s">
        <v>213</v>
      </c>
      <c r="I296" s="4" t="s">
        <v>52</v>
      </c>
      <c r="J296" s="4" t="n">
        <f aca="false">INDEX('Master List'!$G$2:$G$2594,K296)</f>
        <v>1</v>
      </c>
      <c r="K296" s="4" t="n">
        <v>1504</v>
      </c>
    </row>
    <row r="297" customFormat="false" ht="15" hidden="false" customHeight="false" outlineLevel="0" collapsed="false">
      <c r="A297" s="4" t="n">
        <v>296</v>
      </c>
      <c r="B297" s="4" t="s">
        <v>613</v>
      </c>
      <c r="C297" s="4" t="n">
        <v>1991</v>
      </c>
      <c r="D297" s="4" t="s">
        <v>223</v>
      </c>
      <c r="E297" s="25" t="str">
        <f aca="false">IF(J297=1,"✓","")</f>
        <v/>
      </c>
      <c r="F297" s="4" t="n">
        <v>6</v>
      </c>
      <c r="G297" s="4" t="n">
        <v>3</v>
      </c>
      <c r="H297" s="4" t="s">
        <v>144</v>
      </c>
      <c r="I297" s="4" t="s">
        <v>51</v>
      </c>
      <c r="J297" s="4" t="n">
        <f aca="false">INDEX('Master List'!$G$2:$G$2594,K297)</f>
        <v>0</v>
      </c>
      <c r="K297" s="4" t="n">
        <v>350</v>
      </c>
    </row>
    <row r="298" customFormat="false" ht="15" hidden="false" customHeight="false" outlineLevel="0" collapsed="false">
      <c r="A298" s="4" t="n">
        <v>297</v>
      </c>
      <c r="B298" s="4" t="s">
        <v>614</v>
      </c>
      <c r="C298" s="4" t="n">
        <v>1991</v>
      </c>
      <c r="D298" s="4" t="s">
        <v>615</v>
      </c>
      <c r="E298" s="25" t="str">
        <f aca="false">IF(J298=1,"✓","")</f>
        <v/>
      </c>
      <c r="F298" s="4" t="n">
        <v>6</v>
      </c>
      <c r="G298" s="4" t="n">
        <v>3</v>
      </c>
      <c r="H298" s="4" t="s">
        <v>144</v>
      </c>
      <c r="I298" s="4" t="s">
        <v>53</v>
      </c>
      <c r="J298" s="4" t="n">
        <f aca="false">INDEX('Master List'!$G$2:$G$2594,K298)</f>
        <v>0</v>
      </c>
      <c r="K298" s="4" t="n">
        <v>1608</v>
      </c>
    </row>
    <row r="299" customFormat="false" ht="15" hidden="false" customHeight="false" outlineLevel="0" collapsed="false">
      <c r="A299" s="4" t="n">
        <v>298</v>
      </c>
      <c r="B299" s="4" t="s">
        <v>616</v>
      </c>
      <c r="C299" s="4" t="n">
        <v>1992</v>
      </c>
      <c r="D299" s="4" t="s">
        <v>197</v>
      </c>
      <c r="E299" s="25" t="str">
        <f aca="false">IF(J299=1,"✓","")</f>
        <v>✓</v>
      </c>
      <c r="F299" s="4" t="n">
        <v>6</v>
      </c>
      <c r="G299" s="4" t="n">
        <v>3</v>
      </c>
      <c r="H299" s="4" t="s">
        <v>213</v>
      </c>
      <c r="I299" s="4" t="s">
        <v>49</v>
      </c>
      <c r="J299" s="4" t="n">
        <f aca="false">INDEX('Master List'!$G$2:$G$2594,K299)</f>
        <v>1</v>
      </c>
      <c r="K299" s="4" t="n">
        <v>1779</v>
      </c>
    </row>
    <row r="300" customFormat="false" ht="15" hidden="false" customHeight="false" outlineLevel="0" collapsed="false">
      <c r="A300" s="4" t="n">
        <v>299</v>
      </c>
      <c r="B300" s="4" t="s">
        <v>617</v>
      </c>
      <c r="C300" s="4" t="n">
        <v>1994</v>
      </c>
      <c r="D300" s="4" t="s">
        <v>618</v>
      </c>
      <c r="E300" s="25" t="str">
        <f aca="false">IF(J300=1,"✓","")</f>
        <v/>
      </c>
      <c r="F300" s="4" t="n">
        <v>6</v>
      </c>
      <c r="G300" s="4" t="n">
        <v>3</v>
      </c>
      <c r="H300" s="4" t="s">
        <v>213</v>
      </c>
      <c r="I300" s="4" t="s">
        <v>51</v>
      </c>
      <c r="J300" s="4" t="n">
        <f aca="false">INDEX('Master List'!$G$2:$G$2594,K300)</f>
        <v>0</v>
      </c>
      <c r="K300" s="4" t="n">
        <v>1972</v>
      </c>
    </row>
    <row r="301" customFormat="false" ht="15" hidden="false" customHeight="false" outlineLevel="0" collapsed="false">
      <c r="A301" s="4" t="n">
        <v>300</v>
      </c>
      <c r="B301" s="4" t="s">
        <v>619</v>
      </c>
      <c r="C301" s="4" t="n">
        <v>1995</v>
      </c>
      <c r="D301" s="4" t="s">
        <v>193</v>
      </c>
      <c r="E301" s="25" t="str">
        <f aca="false">IF(J301=1,"✓","")</f>
        <v/>
      </c>
      <c r="F301" s="4" t="n">
        <v>6</v>
      </c>
      <c r="G301" s="4" t="n">
        <v>3</v>
      </c>
      <c r="H301" s="4" t="s">
        <v>213</v>
      </c>
      <c r="I301" s="4" t="s">
        <v>51</v>
      </c>
      <c r="J301" s="4" t="n">
        <f aca="false">INDEX('Master List'!$G$2:$G$2594,K301)</f>
        <v>0</v>
      </c>
      <c r="K301" s="4" t="n">
        <v>778</v>
      </c>
    </row>
    <row r="302" customFormat="false" ht="15" hidden="false" customHeight="false" outlineLevel="0" collapsed="false">
      <c r="A302" s="4" t="n">
        <v>301</v>
      </c>
      <c r="B302" s="4" t="s">
        <v>620</v>
      </c>
      <c r="C302" s="4" t="n">
        <v>1996</v>
      </c>
      <c r="D302" s="4" t="s">
        <v>278</v>
      </c>
      <c r="E302" s="25" t="str">
        <f aca="false">IF(J302=1,"✓","")</f>
        <v>✓</v>
      </c>
      <c r="F302" s="4" t="n">
        <v>6</v>
      </c>
      <c r="G302" s="4" t="n">
        <v>3</v>
      </c>
      <c r="H302" s="4" t="s">
        <v>213</v>
      </c>
      <c r="I302" s="4" t="s">
        <v>53</v>
      </c>
      <c r="J302" s="4" t="n">
        <f aca="false">INDEX('Master List'!$G$2:$G$2594,K302)</f>
        <v>1</v>
      </c>
      <c r="K302" s="4" t="n">
        <v>995</v>
      </c>
    </row>
    <row r="303" customFormat="false" ht="15" hidden="false" customHeight="false" outlineLevel="0" collapsed="false">
      <c r="A303" s="4" t="n">
        <v>302</v>
      </c>
      <c r="B303" s="4" t="s">
        <v>621</v>
      </c>
      <c r="C303" s="4" t="n">
        <v>1997</v>
      </c>
      <c r="D303" s="4" t="s">
        <v>193</v>
      </c>
      <c r="E303" s="25" t="str">
        <f aca="false">IF(J303=1,"✓","")</f>
        <v/>
      </c>
      <c r="F303" s="4" t="n">
        <v>6</v>
      </c>
      <c r="G303" s="4" t="n">
        <v>3</v>
      </c>
      <c r="H303" s="4" t="s">
        <v>213</v>
      </c>
      <c r="I303" s="4" t="s">
        <v>51</v>
      </c>
      <c r="J303" s="4" t="n">
        <f aca="false">INDEX('Master List'!$G$2:$G$2594,K303)</f>
        <v>0</v>
      </c>
      <c r="K303" s="4" t="n">
        <v>990</v>
      </c>
    </row>
    <row r="304" customFormat="false" ht="15" hidden="false" customHeight="false" outlineLevel="0" collapsed="false">
      <c r="A304" s="4" t="n">
        <v>303</v>
      </c>
      <c r="B304" s="4" t="s">
        <v>622</v>
      </c>
      <c r="C304" s="4" t="n">
        <v>1997</v>
      </c>
      <c r="D304" s="4" t="s">
        <v>325</v>
      </c>
      <c r="E304" s="25" t="str">
        <f aca="false">IF(J304=1,"✓","")</f>
        <v>✓</v>
      </c>
      <c r="F304" s="4" t="n">
        <v>6</v>
      </c>
      <c r="G304" s="4" t="n">
        <v>3</v>
      </c>
      <c r="H304" s="4" t="s">
        <v>213</v>
      </c>
      <c r="I304" s="4" t="s">
        <v>52</v>
      </c>
      <c r="J304" s="4" t="n">
        <f aca="false">INDEX('Master List'!$G$2:$G$2594,K304)</f>
        <v>1</v>
      </c>
      <c r="K304" s="4" t="n">
        <v>874</v>
      </c>
    </row>
    <row r="305" customFormat="false" ht="15" hidden="false" customHeight="false" outlineLevel="0" collapsed="false">
      <c r="A305" s="4" t="n">
        <v>304</v>
      </c>
      <c r="B305" s="4" t="s">
        <v>623</v>
      </c>
      <c r="C305" s="4" t="n">
        <v>1998</v>
      </c>
      <c r="D305" s="4" t="s">
        <v>624</v>
      </c>
      <c r="E305" s="25" t="str">
        <f aca="false">IF(J305=1,"✓","")</f>
        <v/>
      </c>
      <c r="F305" s="4" t="n">
        <v>6</v>
      </c>
      <c r="G305" s="4" t="n">
        <v>3</v>
      </c>
      <c r="H305" s="4" t="s">
        <v>213</v>
      </c>
      <c r="I305" s="4" t="s">
        <v>50</v>
      </c>
      <c r="J305" s="4" t="n">
        <f aca="false">INDEX('Master List'!$G$2:$G$2594,K305)</f>
        <v>0</v>
      </c>
      <c r="K305" s="4" t="n">
        <v>986</v>
      </c>
    </row>
    <row r="306" customFormat="false" ht="15" hidden="false" customHeight="false" outlineLevel="0" collapsed="false">
      <c r="A306" s="4" t="n">
        <v>305</v>
      </c>
      <c r="B306" s="4" t="s">
        <v>625</v>
      </c>
      <c r="C306" s="4" t="n">
        <v>1998</v>
      </c>
      <c r="D306" s="4" t="s">
        <v>361</v>
      </c>
      <c r="E306" s="25" t="str">
        <f aca="false">IF(J306=1,"✓","")</f>
        <v>✓</v>
      </c>
      <c r="F306" s="4" t="n">
        <v>6</v>
      </c>
      <c r="G306" s="4" t="n">
        <v>3</v>
      </c>
      <c r="H306" s="4" t="s">
        <v>213</v>
      </c>
      <c r="I306" s="4" t="s">
        <v>52</v>
      </c>
      <c r="J306" s="4" t="n">
        <f aca="false">INDEX('Master List'!$G$2:$G$2594,K306)</f>
        <v>1</v>
      </c>
      <c r="K306" s="4" t="n">
        <v>2277</v>
      </c>
    </row>
    <row r="307" customFormat="false" ht="15" hidden="false" customHeight="false" outlineLevel="0" collapsed="false">
      <c r="A307" s="4" t="n">
        <v>306</v>
      </c>
      <c r="B307" s="4" t="s">
        <v>626</v>
      </c>
      <c r="C307" s="4" t="n">
        <v>1998</v>
      </c>
      <c r="D307" s="4" t="s">
        <v>397</v>
      </c>
      <c r="E307" s="25" t="str">
        <f aca="false">IF(J307=1,"✓","")</f>
        <v>✓</v>
      </c>
      <c r="F307" s="4" t="n">
        <v>6</v>
      </c>
      <c r="G307" s="4" t="n">
        <v>3</v>
      </c>
      <c r="H307" s="4" t="s">
        <v>213</v>
      </c>
      <c r="I307" s="4" t="s">
        <v>53</v>
      </c>
      <c r="J307" s="4" t="n">
        <f aca="false">INDEX('Master List'!$G$2:$G$2594,K307)</f>
        <v>1</v>
      </c>
      <c r="K307" s="4" t="n">
        <v>244</v>
      </c>
    </row>
    <row r="308" customFormat="false" ht="15" hidden="false" customHeight="false" outlineLevel="0" collapsed="false">
      <c r="A308" s="4" t="n">
        <v>307</v>
      </c>
      <c r="B308" s="4" t="s">
        <v>627</v>
      </c>
      <c r="C308" s="4" t="n">
        <v>1999</v>
      </c>
      <c r="D308" s="4" t="s">
        <v>628</v>
      </c>
      <c r="E308" s="25" t="str">
        <f aca="false">IF(J308=1,"✓","")</f>
        <v/>
      </c>
      <c r="F308" s="4" t="n">
        <v>6</v>
      </c>
      <c r="G308" s="4" t="n">
        <v>3</v>
      </c>
      <c r="H308" s="4" t="s">
        <v>213</v>
      </c>
      <c r="I308" s="4" t="s">
        <v>51</v>
      </c>
      <c r="J308" s="4" t="n">
        <f aca="false">INDEX('Master List'!$G$2:$G$2594,K308)</f>
        <v>0</v>
      </c>
      <c r="K308" s="4" t="n">
        <v>1935</v>
      </c>
    </row>
    <row r="309" customFormat="false" ht="15" hidden="false" customHeight="false" outlineLevel="0" collapsed="false">
      <c r="A309" s="4" t="n">
        <v>308</v>
      </c>
      <c r="B309" s="4" t="s">
        <v>629</v>
      </c>
      <c r="C309" s="4" t="n">
        <v>1999</v>
      </c>
      <c r="D309" s="4" t="s">
        <v>187</v>
      </c>
      <c r="E309" s="25" t="str">
        <f aca="false">IF(J309=1,"✓","")</f>
        <v>✓</v>
      </c>
      <c r="F309" s="4" t="n">
        <v>6</v>
      </c>
      <c r="G309" s="4" t="n">
        <v>3</v>
      </c>
      <c r="H309" s="4" t="s">
        <v>213</v>
      </c>
      <c r="I309" s="4" t="s">
        <v>52</v>
      </c>
      <c r="J309" s="4" t="n">
        <f aca="false">INDEX('Master List'!$G$2:$G$2594,K309)</f>
        <v>1</v>
      </c>
      <c r="K309" s="4" t="n">
        <v>767</v>
      </c>
    </row>
    <row r="310" customFormat="false" ht="15" hidden="false" customHeight="false" outlineLevel="0" collapsed="false">
      <c r="A310" s="4" t="n">
        <v>309</v>
      </c>
      <c r="B310" s="4" t="s">
        <v>630</v>
      </c>
      <c r="C310" s="4" t="n">
        <v>2000</v>
      </c>
      <c r="D310" s="4" t="s">
        <v>631</v>
      </c>
      <c r="E310" s="25" t="str">
        <f aca="false">IF(J310=1,"✓","")</f>
        <v/>
      </c>
      <c r="F310" s="4" t="n">
        <v>6</v>
      </c>
      <c r="G310" s="4" t="n">
        <v>3</v>
      </c>
      <c r="H310" s="4" t="s">
        <v>144</v>
      </c>
      <c r="I310" s="4" t="s">
        <v>51</v>
      </c>
      <c r="J310" s="4" t="n">
        <f aca="false">INDEX('Master List'!$G$2:$G$2594,K310)</f>
        <v>0</v>
      </c>
      <c r="K310" s="4" t="n">
        <v>2113</v>
      </c>
    </row>
    <row r="311" customFormat="false" ht="15" hidden="false" customHeight="false" outlineLevel="0" collapsed="false">
      <c r="A311" s="4" t="n">
        <v>310</v>
      </c>
      <c r="B311" s="4" t="s">
        <v>632</v>
      </c>
      <c r="C311" s="4" t="n">
        <v>2001</v>
      </c>
      <c r="D311" s="4" t="s">
        <v>490</v>
      </c>
      <c r="E311" s="25" t="str">
        <f aca="false">IF(J311=1,"✓","")</f>
        <v>✓</v>
      </c>
      <c r="F311" s="4" t="n">
        <v>6</v>
      </c>
      <c r="G311" s="4" t="n">
        <v>3</v>
      </c>
      <c r="H311" s="4" t="s">
        <v>213</v>
      </c>
      <c r="I311" s="4" t="s">
        <v>52</v>
      </c>
      <c r="J311" s="4" t="n">
        <f aca="false">INDEX('Master List'!$G$2:$G$2594,K311)</f>
        <v>1</v>
      </c>
      <c r="K311" s="4" t="n">
        <v>1646</v>
      </c>
    </row>
    <row r="312" customFormat="false" ht="15" hidden="false" customHeight="false" outlineLevel="0" collapsed="false">
      <c r="A312" s="4" t="n">
        <v>311</v>
      </c>
      <c r="B312" s="4" t="s">
        <v>633</v>
      </c>
      <c r="C312" s="4" t="n">
        <v>2001</v>
      </c>
      <c r="D312" s="4" t="s">
        <v>320</v>
      </c>
      <c r="E312" s="25" t="str">
        <f aca="false">IF(J312=1,"✓","")</f>
        <v>✓</v>
      </c>
      <c r="F312" s="4" t="n">
        <v>6</v>
      </c>
      <c r="G312" s="4" t="n">
        <v>3</v>
      </c>
      <c r="H312" s="4" t="s">
        <v>213</v>
      </c>
      <c r="I312" s="4" t="s">
        <v>52</v>
      </c>
      <c r="J312" s="4" t="n">
        <f aca="false">INDEX('Master List'!$G$2:$G$2594,K312)</f>
        <v>1</v>
      </c>
      <c r="K312" s="4" t="n">
        <v>2453</v>
      </c>
    </row>
    <row r="313" customFormat="false" ht="15" hidden="false" customHeight="false" outlineLevel="0" collapsed="false">
      <c r="A313" s="4" t="n">
        <v>312</v>
      </c>
      <c r="B313" s="4" t="s">
        <v>634</v>
      </c>
      <c r="C313" s="4" t="n">
        <v>2003</v>
      </c>
      <c r="D313" s="4" t="s">
        <v>635</v>
      </c>
      <c r="E313" s="25" t="str">
        <f aca="false">IF(J313=1,"✓","")</f>
        <v/>
      </c>
      <c r="F313" s="4" t="n">
        <v>6</v>
      </c>
      <c r="G313" s="4" t="n">
        <v>3</v>
      </c>
      <c r="H313" s="4" t="s">
        <v>213</v>
      </c>
      <c r="I313" s="4" t="s">
        <v>51</v>
      </c>
      <c r="J313" s="4" t="n">
        <f aca="false">INDEX('Master List'!$G$2:$G$2594,K313)</f>
        <v>0</v>
      </c>
      <c r="K313" s="4" t="n">
        <v>2326</v>
      </c>
    </row>
    <row r="314" customFormat="false" ht="15" hidden="false" customHeight="false" outlineLevel="0" collapsed="false">
      <c r="A314" s="4" t="n">
        <v>313</v>
      </c>
      <c r="B314" s="4" t="s">
        <v>636</v>
      </c>
      <c r="C314" s="4" t="n">
        <v>2003</v>
      </c>
      <c r="D314" s="4" t="s">
        <v>615</v>
      </c>
      <c r="E314" s="25" t="str">
        <f aca="false">IF(J314=1,"✓","")</f>
        <v>✓</v>
      </c>
      <c r="F314" s="4" t="n">
        <v>6</v>
      </c>
      <c r="G314" s="4" t="n">
        <v>3</v>
      </c>
      <c r="H314" s="4" t="s">
        <v>213</v>
      </c>
      <c r="I314" s="4" t="s">
        <v>53</v>
      </c>
      <c r="J314" s="4" t="n">
        <f aca="false">INDEX('Master List'!$G$2:$G$2594,K314)</f>
        <v>1</v>
      </c>
      <c r="K314" s="4" t="n">
        <v>491</v>
      </c>
    </row>
    <row r="315" customFormat="false" ht="15" hidden="false" customHeight="false" outlineLevel="0" collapsed="false">
      <c r="A315" s="4" t="n">
        <v>314</v>
      </c>
      <c r="B315" s="4" t="s">
        <v>637</v>
      </c>
      <c r="C315" s="4" t="n">
        <v>2004</v>
      </c>
      <c r="D315" s="4" t="s">
        <v>320</v>
      </c>
      <c r="E315" s="25" t="str">
        <f aca="false">IF(J315=1,"✓","")</f>
        <v>✓</v>
      </c>
      <c r="F315" s="4" t="n">
        <v>6</v>
      </c>
      <c r="G315" s="4" t="n">
        <v>3</v>
      </c>
      <c r="H315" s="4" t="s">
        <v>213</v>
      </c>
      <c r="I315" s="4" t="s">
        <v>52</v>
      </c>
      <c r="J315" s="4" t="n">
        <f aca="false">INDEX('Master List'!$G$2:$G$2594,K315)</f>
        <v>1</v>
      </c>
      <c r="K315" s="4" t="n">
        <v>213</v>
      </c>
    </row>
    <row r="316" customFormat="false" ht="15" hidden="false" customHeight="false" outlineLevel="0" collapsed="false">
      <c r="A316" s="4" t="n">
        <v>315</v>
      </c>
      <c r="B316" s="4" t="s">
        <v>638</v>
      </c>
      <c r="C316" s="4" t="n">
        <v>2006</v>
      </c>
      <c r="D316" s="4" t="s">
        <v>276</v>
      </c>
      <c r="E316" s="25" t="str">
        <f aca="false">IF(J316=1,"✓","")</f>
        <v/>
      </c>
      <c r="F316" s="4" t="n">
        <v>6</v>
      </c>
      <c r="G316" s="4" t="n">
        <v>3</v>
      </c>
      <c r="H316" s="4" t="s">
        <v>213</v>
      </c>
      <c r="I316" s="4" t="s">
        <v>51</v>
      </c>
      <c r="J316" s="4" t="n">
        <f aca="false">INDEX('Master List'!$G$2:$G$2594,K316)</f>
        <v>0</v>
      </c>
      <c r="K316" s="4" t="n">
        <v>1063</v>
      </c>
    </row>
    <row r="317" customFormat="false" ht="15" hidden="false" customHeight="false" outlineLevel="0" collapsed="false">
      <c r="A317" s="4" t="n">
        <v>316</v>
      </c>
      <c r="B317" s="4" t="s">
        <v>639</v>
      </c>
      <c r="C317" s="4" t="n">
        <v>2010</v>
      </c>
      <c r="D317" s="4" t="s">
        <v>203</v>
      </c>
      <c r="E317" s="25" t="str">
        <f aca="false">IF(J317=1,"✓","")</f>
        <v/>
      </c>
      <c r="F317" s="4" t="n">
        <v>6</v>
      </c>
      <c r="G317" s="4" t="n">
        <v>3</v>
      </c>
      <c r="H317" s="4" t="s">
        <v>213</v>
      </c>
      <c r="I317" s="4" t="s">
        <v>52</v>
      </c>
      <c r="J317" s="4" t="n">
        <f aca="false">INDEX('Master List'!$G$2:$G$2594,K317)</f>
        <v>0</v>
      </c>
      <c r="K317" s="4" t="n">
        <v>424</v>
      </c>
    </row>
    <row r="318" customFormat="false" ht="15" hidden="false" customHeight="false" outlineLevel="0" collapsed="false">
      <c r="A318" s="4" t="n">
        <v>317</v>
      </c>
      <c r="B318" s="4" t="s">
        <v>640</v>
      </c>
      <c r="C318" s="4" t="n">
        <v>2010</v>
      </c>
      <c r="D318" s="4" t="s">
        <v>325</v>
      </c>
      <c r="E318" s="25" t="str">
        <f aca="false">IF(J318=1,"✓","")</f>
        <v>✓</v>
      </c>
      <c r="F318" s="4" t="n">
        <v>6</v>
      </c>
      <c r="G318" s="4" t="n">
        <v>3</v>
      </c>
      <c r="H318" s="4" t="s">
        <v>213</v>
      </c>
      <c r="I318" s="4" t="s">
        <v>53</v>
      </c>
      <c r="J318" s="4" t="n">
        <f aca="false">INDEX('Master List'!$G$2:$G$2594,K318)</f>
        <v>1</v>
      </c>
      <c r="K318" s="4" t="n">
        <v>2102</v>
      </c>
    </row>
    <row r="319" customFormat="false" ht="15" hidden="false" customHeight="false" outlineLevel="0" collapsed="false">
      <c r="A319" s="4" t="n">
        <v>318</v>
      </c>
      <c r="B319" s="4" t="s">
        <v>641</v>
      </c>
      <c r="C319" s="4" t="n">
        <v>2012</v>
      </c>
      <c r="D319" s="4" t="s">
        <v>278</v>
      </c>
      <c r="E319" s="25" t="str">
        <f aca="false">IF(J319=1,"✓","")</f>
        <v>✓</v>
      </c>
      <c r="F319" s="4" t="n">
        <v>6</v>
      </c>
      <c r="G319" s="4" t="n">
        <v>3</v>
      </c>
      <c r="H319" s="4" t="s">
        <v>213</v>
      </c>
      <c r="I319" s="4" t="s">
        <v>50</v>
      </c>
      <c r="J319" s="4" t="n">
        <f aca="false">INDEX('Master List'!$G$2:$G$2594,K319)</f>
        <v>1</v>
      </c>
      <c r="K319" s="4" t="n">
        <v>1458</v>
      </c>
    </row>
    <row r="320" customFormat="false" ht="15" hidden="false" customHeight="false" outlineLevel="0" collapsed="false">
      <c r="A320" s="4" t="n">
        <v>319</v>
      </c>
      <c r="B320" s="4" t="s">
        <v>642</v>
      </c>
      <c r="C320" s="4" t="n">
        <v>2014</v>
      </c>
      <c r="D320" s="4" t="s">
        <v>643</v>
      </c>
      <c r="E320" s="25" t="str">
        <f aca="false">IF(J320=1,"✓","")</f>
        <v/>
      </c>
      <c r="F320" s="4" t="n">
        <v>6</v>
      </c>
      <c r="G320" s="4" t="n">
        <v>3</v>
      </c>
      <c r="H320" s="4" t="s">
        <v>213</v>
      </c>
      <c r="I320" s="4" t="s">
        <v>51</v>
      </c>
      <c r="J320" s="4" t="n">
        <f aca="false">INDEX('Master List'!$G$2:$G$2594,K320)</f>
        <v>0</v>
      </c>
      <c r="K320" s="4" t="n">
        <v>833</v>
      </c>
    </row>
    <row r="321" customFormat="false" ht="15" hidden="false" customHeight="false" outlineLevel="0" collapsed="false">
      <c r="A321" s="4" t="n">
        <v>320</v>
      </c>
      <c r="B321" s="4" t="s">
        <v>644</v>
      </c>
      <c r="C321" s="4" t="n">
        <v>2014</v>
      </c>
      <c r="D321" s="4" t="s">
        <v>278</v>
      </c>
      <c r="E321" s="25" t="str">
        <f aca="false">IF(J321=1,"✓","")</f>
        <v>✓</v>
      </c>
      <c r="F321" s="4" t="n">
        <v>6</v>
      </c>
      <c r="G321" s="4" t="n">
        <v>3</v>
      </c>
      <c r="H321" s="4" t="s">
        <v>213</v>
      </c>
      <c r="I321" s="4" t="s">
        <v>52</v>
      </c>
      <c r="J321" s="4" t="n">
        <f aca="false">INDEX('Master List'!$G$2:$G$2594,K321)</f>
        <v>1</v>
      </c>
      <c r="K321" s="4" t="n">
        <v>1140</v>
      </c>
    </row>
    <row r="322" customFormat="false" ht="15" hidden="false" customHeight="false" outlineLevel="0" collapsed="false">
      <c r="A322" s="4" t="n">
        <v>321</v>
      </c>
      <c r="B322" s="4" t="s">
        <v>645</v>
      </c>
      <c r="C322" s="4" t="n">
        <v>2015</v>
      </c>
      <c r="D322" s="4" t="s">
        <v>646</v>
      </c>
      <c r="E322" s="25" t="str">
        <f aca="false">IF(J322=1,"✓","")</f>
        <v/>
      </c>
      <c r="F322" s="4" t="n">
        <v>6</v>
      </c>
      <c r="G322" s="4" t="n">
        <v>3</v>
      </c>
      <c r="H322" s="4" t="s">
        <v>213</v>
      </c>
      <c r="I322" s="4" t="s">
        <v>52</v>
      </c>
      <c r="J322" s="4" t="n">
        <f aca="false">INDEX('Master List'!$G$2:$G$2594,K322)</f>
        <v>0</v>
      </c>
      <c r="K322" s="4" t="n">
        <v>756</v>
      </c>
    </row>
    <row r="323" customFormat="false" ht="15" hidden="false" customHeight="false" outlineLevel="0" collapsed="false">
      <c r="A323" s="4" t="n">
        <v>322</v>
      </c>
      <c r="B323" s="4" t="s">
        <v>647</v>
      </c>
      <c r="C323" s="4" t="n">
        <v>2015</v>
      </c>
      <c r="D323" s="4" t="s">
        <v>648</v>
      </c>
      <c r="E323" s="25" t="str">
        <f aca="false">IF(J323=1,"✓","")</f>
        <v/>
      </c>
      <c r="F323" s="4" t="n">
        <v>6</v>
      </c>
      <c r="G323" s="4" t="n">
        <v>3</v>
      </c>
      <c r="H323" s="4" t="s">
        <v>213</v>
      </c>
      <c r="I323" s="4" t="s">
        <v>52</v>
      </c>
      <c r="J323" s="4" t="n">
        <f aca="false">INDEX('Master List'!$G$2:$G$2594,K323)</f>
        <v>0</v>
      </c>
      <c r="K323" s="4" t="n">
        <v>114</v>
      </c>
    </row>
    <row r="324" customFormat="false" ht="15" hidden="false" customHeight="false" outlineLevel="0" collapsed="false">
      <c r="A324" s="4" t="n">
        <v>323</v>
      </c>
      <c r="B324" s="4" t="s">
        <v>649</v>
      </c>
      <c r="C324" s="4" t="n">
        <v>2017</v>
      </c>
      <c r="D324" s="4" t="s">
        <v>278</v>
      </c>
      <c r="E324" s="25" t="str">
        <f aca="false">IF(J324=1,"✓","")</f>
        <v>✓</v>
      </c>
      <c r="F324" s="4" t="n">
        <v>6</v>
      </c>
      <c r="G324" s="4" t="n">
        <v>3</v>
      </c>
      <c r="H324" s="4" t="s">
        <v>213</v>
      </c>
      <c r="I324" s="4" t="s">
        <v>50</v>
      </c>
      <c r="J324" s="4" t="n">
        <f aca="false">INDEX('Master List'!$G$2:$G$2594,K324)</f>
        <v>1</v>
      </c>
      <c r="K324" s="4" t="n">
        <v>1754</v>
      </c>
    </row>
    <row r="325" customFormat="false" ht="15" hidden="false" customHeight="false" outlineLevel="0" collapsed="false">
      <c r="A325" s="4" t="n">
        <v>324</v>
      </c>
      <c r="B325" s="4" t="s">
        <v>650</v>
      </c>
      <c r="C325" s="4" t="n">
        <v>2018</v>
      </c>
      <c r="D325" s="4" t="s">
        <v>384</v>
      </c>
      <c r="E325" s="25" t="str">
        <f aca="false">IF(J325=1,"✓","")</f>
        <v/>
      </c>
      <c r="F325" s="4" t="n">
        <v>6</v>
      </c>
      <c r="G325" s="4" t="n">
        <v>3</v>
      </c>
      <c r="H325" s="4" t="s">
        <v>213</v>
      </c>
      <c r="I325" s="4" t="s">
        <v>49</v>
      </c>
      <c r="J325" s="4" t="n">
        <f aca="false">INDEX('Master List'!$G$2:$G$2594,K325)</f>
        <v>0</v>
      </c>
      <c r="K325" s="4" t="n">
        <v>1926</v>
      </c>
    </row>
    <row r="326" customFormat="false" ht="15" hidden="false" customHeight="false" outlineLevel="0" collapsed="false">
      <c r="A326" s="4" t="n">
        <v>325</v>
      </c>
      <c r="B326" s="4" t="s">
        <v>651</v>
      </c>
      <c r="C326" s="4" t="n">
        <v>2019</v>
      </c>
      <c r="D326" s="4" t="s">
        <v>361</v>
      </c>
      <c r="E326" s="25" t="str">
        <f aca="false">IF(J326=1,"✓","")</f>
        <v/>
      </c>
      <c r="F326" s="4" t="n">
        <v>6</v>
      </c>
      <c r="G326" s="4" t="n">
        <v>3</v>
      </c>
      <c r="H326" s="4" t="s">
        <v>213</v>
      </c>
      <c r="I326" s="4" t="s">
        <v>53</v>
      </c>
      <c r="J326" s="4" t="n">
        <f aca="false">INDEX('Master List'!$G$2:$G$2594,K326)</f>
        <v>0</v>
      </c>
      <c r="K326" s="4" t="n">
        <v>1031</v>
      </c>
    </row>
    <row r="327" customFormat="false" ht="15" hidden="false" customHeight="false" outlineLevel="0" collapsed="false">
      <c r="A327" s="4" t="n">
        <v>326</v>
      </c>
      <c r="B327" s="4" t="s">
        <v>652</v>
      </c>
      <c r="C327" s="4" t="n">
        <v>2019</v>
      </c>
      <c r="D327" s="4" t="s">
        <v>653</v>
      </c>
      <c r="E327" s="25" t="str">
        <f aca="false">IF(J327=1,"✓","")</f>
        <v>✓</v>
      </c>
      <c r="F327" s="4" t="n">
        <v>6</v>
      </c>
      <c r="G327" s="4" t="n">
        <v>3</v>
      </c>
      <c r="H327" s="4" t="s">
        <v>213</v>
      </c>
      <c r="I327" s="4" t="s">
        <v>55</v>
      </c>
      <c r="J327" s="4" t="n">
        <f aca="false">INDEX('Master List'!$G$2:$G$2594,K327)</f>
        <v>1</v>
      </c>
      <c r="K327" s="4" t="n">
        <v>2400</v>
      </c>
    </row>
    <row r="328" customFormat="false" ht="15" hidden="false" customHeight="false" outlineLevel="0" collapsed="false">
      <c r="A328" s="4" t="n">
        <v>327</v>
      </c>
      <c r="B328" s="4" t="s">
        <v>654</v>
      </c>
      <c r="C328" s="4" t="n">
        <v>2023</v>
      </c>
      <c r="D328" s="4" t="s">
        <v>164</v>
      </c>
      <c r="E328" s="25" t="str">
        <f aca="false">IF(J328=1,"✓","")</f>
        <v/>
      </c>
      <c r="F328" s="4" t="n">
        <v>6</v>
      </c>
      <c r="G328" s="4" t="n">
        <v>3</v>
      </c>
      <c r="H328" s="4" t="s">
        <v>213</v>
      </c>
      <c r="I328" s="4" t="s">
        <v>52</v>
      </c>
      <c r="J328" s="4" t="n">
        <f aca="false">INDEX('Master List'!$G$2:$G$2594,K328)</f>
        <v>0</v>
      </c>
      <c r="K328" s="4" t="n">
        <v>1251</v>
      </c>
    </row>
    <row r="329" customFormat="false" ht="15" hidden="false" customHeight="false" outlineLevel="0" collapsed="false">
      <c r="A329" s="4" t="n">
        <v>328</v>
      </c>
      <c r="B329" s="4" t="s">
        <v>655</v>
      </c>
      <c r="C329" s="4" t="n">
        <v>1925</v>
      </c>
      <c r="D329" s="4" t="s">
        <v>344</v>
      </c>
      <c r="E329" s="25" t="str">
        <f aca="false">IF(J329=1,"✓","")</f>
        <v>✓</v>
      </c>
      <c r="F329" s="4" t="n">
        <v>6</v>
      </c>
      <c r="G329" s="4" t="n">
        <v>3</v>
      </c>
      <c r="H329" s="4" t="s">
        <v>213</v>
      </c>
      <c r="I329" s="4" t="s">
        <v>50</v>
      </c>
      <c r="J329" s="4" t="n">
        <f aca="false">INDEX('Master List'!$G$2:$G$2594,K329)</f>
        <v>1</v>
      </c>
      <c r="K329" s="4" t="n">
        <v>916</v>
      </c>
    </row>
    <row r="330" customFormat="false" ht="15" hidden="false" customHeight="false" outlineLevel="0" collapsed="false">
      <c r="A330" s="4" t="n">
        <v>329</v>
      </c>
      <c r="B330" s="4" t="s">
        <v>656</v>
      </c>
      <c r="C330" s="4" t="n">
        <v>1932</v>
      </c>
      <c r="D330" s="4" t="s">
        <v>348</v>
      </c>
      <c r="E330" s="25" t="str">
        <f aca="false">IF(J330=1,"✓","")</f>
        <v/>
      </c>
      <c r="F330" s="4" t="n">
        <v>6</v>
      </c>
      <c r="G330" s="4" t="n">
        <v>2</v>
      </c>
      <c r="H330" s="4" t="s">
        <v>144</v>
      </c>
      <c r="I330" s="4" t="s">
        <v>50</v>
      </c>
      <c r="J330" s="4" t="n">
        <f aca="false">INDEX('Master List'!$G$2:$G$2594,K330)</f>
        <v>0</v>
      </c>
      <c r="K330" s="4" t="n">
        <v>2377</v>
      </c>
    </row>
    <row r="331" customFormat="false" ht="15" hidden="false" customHeight="false" outlineLevel="0" collapsed="false">
      <c r="A331" s="4" t="n">
        <v>330</v>
      </c>
      <c r="B331" s="4" t="s">
        <v>657</v>
      </c>
      <c r="C331" s="4" t="n">
        <v>1955</v>
      </c>
      <c r="D331" s="4" t="s">
        <v>658</v>
      </c>
      <c r="E331" s="25" t="str">
        <f aca="false">IF(J331=1,"✓","")</f>
        <v/>
      </c>
      <c r="F331" s="4" t="n">
        <v>6</v>
      </c>
      <c r="G331" s="4" t="n">
        <v>2</v>
      </c>
      <c r="H331" s="4" t="s">
        <v>144</v>
      </c>
      <c r="I331" s="4" t="s">
        <v>51</v>
      </c>
      <c r="J331" s="4" t="n">
        <f aca="false">INDEX('Master List'!$G$2:$G$2594,K331)</f>
        <v>0</v>
      </c>
      <c r="K331" s="4" t="n">
        <v>1905</v>
      </c>
    </row>
    <row r="332" customFormat="false" ht="15" hidden="false" customHeight="false" outlineLevel="0" collapsed="false">
      <c r="A332" s="4" t="n">
        <v>331</v>
      </c>
      <c r="B332" s="4" t="s">
        <v>659</v>
      </c>
      <c r="C332" s="4" t="n">
        <v>1956</v>
      </c>
      <c r="D332" s="4" t="s">
        <v>272</v>
      </c>
      <c r="E332" s="25" t="str">
        <f aca="false">IF(J332=1,"✓","")</f>
        <v/>
      </c>
      <c r="F332" s="4" t="n">
        <v>6</v>
      </c>
      <c r="G332" s="4" t="n">
        <v>3</v>
      </c>
      <c r="H332" s="4" t="s">
        <v>213</v>
      </c>
      <c r="I332" s="4" t="s">
        <v>51</v>
      </c>
      <c r="J332" s="4" t="n">
        <f aca="false">INDEX('Master List'!$G$2:$G$2594,K332)</f>
        <v>0</v>
      </c>
      <c r="K332" s="4" t="n">
        <v>1600</v>
      </c>
    </row>
    <row r="333" customFormat="false" ht="15" hidden="false" customHeight="false" outlineLevel="0" collapsed="false">
      <c r="A333" s="4" t="n">
        <v>332</v>
      </c>
      <c r="B333" s="4" t="s">
        <v>660</v>
      </c>
      <c r="C333" s="4" t="n">
        <v>1960</v>
      </c>
      <c r="D333" s="4" t="s">
        <v>661</v>
      </c>
      <c r="E333" s="25" t="str">
        <f aca="false">IF(J333=1,"✓","")</f>
        <v/>
      </c>
      <c r="F333" s="4" t="n">
        <v>6</v>
      </c>
      <c r="G333" s="4" t="n">
        <v>2</v>
      </c>
      <c r="H333" s="4" t="s">
        <v>144</v>
      </c>
      <c r="I333" s="4" t="s">
        <v>51</v>
      </c>
      <c r="J333" s="4" t="n">
        <f aca="false">INDEX('Master List'!$G$2:$G$2594,K333)</f>
        <v>0</v>
      </c>
      <c r="K333" s="4" t="n">
        <v>1077</v>
      </c>
    </row>
    <row r="334" customFormat="false" ht="15" hidden="false" customHeight="false" outlineLevel="0" collapsed="false">
      <c r="A334" s="4" t="n">
        <v>333</v>
      </c>
      <c r="B334" s="4" t="s">
        <v>662</v>
      </c>
      <c r="C334" s="4" t="n">
        <v>1961</v>
      </c>
      <c r="D334" s="4" t="s">
        <v>402</v>
      </c>
      <c r="E334" s="25" t="str">
        <f aca="false">IF(J334=1,"✓","")</f>
        <v/>
      </c>
      <c r="F334" s="4" t="n">
        <v>6</v>
      </c>
      <c r="G334" s="4" t="n">
        <v>2</v>
      </c>
      <c r="H334" s="4" t="s">
        <v>144</v>
      </c>
      <c r="I334" s="4" t="s">
        <v>51</v>
      </c>
      <c r="J334" s="4" t="n">
        <f aca="false">INDEX('Master List'!$G$2:$G$2594,K334)</f>
        <v>0</v>
      </c>
      <c r="K334" s="4" t="n">
        <v>2437</v>
      </c>
    </row>
    <row r="335" customFormat="false" ht="15" hidden="false" customHeight="false" outlineLevel="0" collapsed="false">
      <c r="A335" s="4" t="n">
        <v>334</v>
      </c>
      <c r="B335" s="4" t="s">
        <v>663</v>
      </c>
      <c r="C335" s="4" t="n">
        <v>1964</v>
      </c>
      <c r="D335" s="4" t="s">
        <v>541</v>
      </c>
      <c r="E335" s="25" t="str">
        <f aca="false">IF(J335=1,"✓","")</f>
        <v/>
      </c>
      <c r="F335" s="4" t="n">
        <v>6</v>
      </c>
      <c r="G335" s="4" t="n">
        <v>2</v>
      </c>
      <c r="H335" s="4" t="s">
        <v>144</v>
      </c>
      <c r="I335" s="4" t="s">
        <v>52</v>
      </c>
      <c r="J335" s="4" t="n">
        <f aca="false">INDEX('Master List'!$G$2:$G$2594,K335)</f>
        <v>0</v>
      </c>
      <c r="K335" s="4" t="n">
        <v>1275</v>
      </c>
    </row>
    <row r="336" customFormat="false" ht="15" hidden="false" customHeight="false" outlineLevel="0" collapsed="false">
      <c r="A336" s="4" t="n">
        <v>335</v>
      </c>
      <c r="B336" s="4" t="s">
        <v>664</v>
      </c>
      <c r="C336" s="4" t="n">
        <v>1965</v>
      </c>
      <c r="D336" s="4" t="s">
        <v>152</v>
      </c>
      <c r="E336" s="25" t="str">
        <f aca="false">IF(J336=1,"✓","")</f>
        <v/>
      </c>
      <c r="F336" s="4" t="n">
        <v>6</v>
      </c>
      <c r="G336" s="4" t="n">
        <v>3</v>
      </c>
      <c r="H336" s="4" t="s">
        <v>213</v>
      </c>
      <c r="I336" s="4" t="s">
        <v>52</v>
      </c>
      <c r="J336" s="4" t="n">
        <f aca="false">INDEX('Master List'!$G$2:$G$2594,K336)</f>
        <v>0</v>
      </c>
      <c r="K336" s="4" t="n">
        <v>82</v>
      </c>
    </row>
    <row r="337" customFormat="false" ht="15" hidden="false" customHeight="false" outlineLevel="0" collapsed="false">
      <c r="A337" s="4" t="n">
        <v>336</v>
      </c>
      <c r="B337" s="4" t="s">
        <v>665</v>
      </c>
      <c r="C337" s="4" t="n">
        <v>1966</v>
      </c>
      <c r="D337" s="4" t="s">
        <v>395</v>
      </c>
      <c r="E337" s="25" t="str">
        <f aca="false">IF(J337=1,"✓","")</f>
        <v/>
      </c>
      <c r="F337" s="4" t="n">
        <v>6</v>
      </c>
      <c r="G337" s="4" t="n">
        <v>2</v>
      </c>
      <c r="H337" s="4" t="s">
        <v>144</v>
      </c>
      <c r="I337" s="4" t="s">
        <v>51</v>
      </c>
      <c r="J337" s="4" t="n">
        <f aca="false">INDEX('Master List'!$G$2:$G$2594,K337)</f>
        <v>0</v>
      </c>
      <c r="K337" s="4" t="n">
        <v>928</v>
      </c>
    </row>
    <row r="338" customFormat="false" ht="15" hidden="false" customHeight="false" outlineLevel="0" collapsed="false">
      <c r="A338" s="4" t="n">
        <v>337</v>
      </c>
      <c r="B338" s="4" t="s">
        <v>666</v>
      </c>
      <c r="C338" s="4" t="n">
        <v>1966</v>
      </c>
      <c r="D338" s="4" t="s">
        <v>217</v>
      </c>
      <c r="E338" s="25" t="str">
        <f aca="false">IF(J338=1,"✓","")</f>
        <v/>
      </c>
      <c r="F338" s="4" t="n">
        <v>6</v>
      </c>
      <c r="G338" s="4" t="n">
        <v>2</v>
      </c>
      <c r="H338" s="4" t="s">
        <v>144</v>
      </c>
      <c r="I338" s="4" t="s">
        <v>51</v>
      </c>
      <c r="J338" s="4" t="n">
        <f aca="false">INDEX('Master List'!$G$2:$G$2594,K338)</f>
        <v>0</v>
      </c>
      <c r="K338" s="4" t="n">
        <v>296</v>
      </c>
    </row>
    <row r="339" customFormat="false" ht="15" hidden="false" customHeight="false" outlineLevel="0" collapsed="false">
      <c r="A339" s="4" t="n">
        <v>338</v>
      </c>
      <c r="B339" s="4" t="s">
        <v>667</v>
      </c>
      <c r="C339" s="4" t="n">
        <v>1968</v>
      </c>
      <c r="D339" s="4" t="s">
        <v>668</v>
      </c>
      <c r="E339" s="25" t="str">
        <f aca="false">IF(J339=1,"✓","")</f>
        <v/>
      </c>
      <c r="F339" s="4" t="n">
        <v>6</v>
      </c>
      <c r="G339" s="4" t="n">
        <v>3</v>
      </c>
      <c r="H339" s="4" t="s">
        <v>213</v>
      </c>
      <c r="I339" s="4" t="s">
        <v>51</v>
      </c>
      <c r="J339" s="4" t="n">
        <f aca="false">INDEX('Master List'!$G$2:$G$2594,K339)</f>
        <v>0</v>
      </c>
      <c r="K339" s="4" t="n">
        <v>956</v>
      </c>
    </row>
    <row r="340" customFormat="false" ht="15" hidden="false" customHeight="false" outlineLevel="0" collapsed="false">
      <c r="A340" s="4" t="n">
        <v>339</v>
      </c>
      <c r="B340" s="4" t="s">
        <v>669</v>
      </c>
      <c r="C340" s="4" t="n">
        <v>1972</v>
      </c>
      <c r="D340" s="4" t="s">
        <v>402</v>
      </c>
      <c r="E340" s="25" t="str">
        <f aca="false">IF(J340=1,"✓","")</f>
        <v/>
      </c>
      <c r="F340" s="4" t="n">
        <v>6</v>
      </c>
      <c r="G340" s="4" t="n">
        <v>3</v>
      </c>
      <c r="H340" s="4" t="s">
        <v>144</v>
      </c>
      <c r="I340" s="4" t="s">
        <v>52</v>
      </c>
      <c r="J340" s="4" t="n">
        <f aca="false">INDEX('Master List'!$G$2:$G$2594,K340)</f>
        <v>0</v>
      </c>
      <c r="K340" s="4" t="n">
        <v>636</v>
      </c>
    </row>
    <row r="341" customFormat="false" ht="15" hidden="false" customHeight="false" outlineLevel="0" collapsed="false">
      <c r="A341" s="4" t="n">
        <v>340</v>
      </c>
      <c r="B341" s="4" t="s">
        <v>670</v>
      </c>
      <c r="C341" s="4" t="n">
        <v>1972</v>
      </c>
      <c r="D341" s="4" t="s">
        <v>671</v>
      </c>
      <c r="E341" s="25" t="str">
        <f aca="false">IF(J341=1,"✓","")</f>
        <v/>
      </c>
      <c r="F341" s="4" t="n">
        <v>6</v>
      </c>
      <c r="G341" s="4" t="n">
        <v>3</v>
      </c>
      <c r="H341" s="4" t="s">
        <v>213</v>
      </c>
      <c r="I341" s="4" t="s">
        <v>54</v>
      </c>
      <c r="J341" s="4" t="n">
        <f aca="false">INDEX('Master List'!$G$2:$G$2594,K341)</f>
        <v>0</v>
      </c>
      <c r="K341" s="4" t="n">
        <v>1769</v>
      </c>
    </row>
    <row r="342" customFormat="false" ht="15" hidden="false" customHeight="false" outlineLevel="0" collapsed="false">
      <c r="A342" s="4" t="n">
        <v>341</v>
      </c>
      <c r="B342" s="4" t="s">
        <v>672</v>
      </c>
      <c r="C342" s="4" t="n">
        <v>1973</v>
      </c>
      <c r="D342" s="4" t="s">
        <v>673</v>
      </c>
      <c r="E342" s="25" t="str">
        <f aca="false">IF(J342=1,"✓","")</f>
        <v/>
      </c>
      <c r="F342" s="4" t="n">
        <v>6</v>
      </c>
      <c r="G342" s="4" t="n">
        <v>2</v>
      </c>
      <c r="H342" s="4" t="s">
        <v>144</v>
      </c>
      <c r="I342" s="4" t="s">
        <v>51</v>
      </c>
      <c r="J342" s="4" t="n">
        <f aca="false">INDEX('Master List'!$G$2:$G$2594,K342)</f>
        <v>0</v>
      </c>
      <c r="K342" s="4" t="n">
        <v>198</v>
      </c>
    </row>
    <row r="343" customFormat="false" ht="15" hidden="false" customHeight="false" outlineLevel="0" collapsed="false">
      <c r="A343" s="4" t="n">
        <v>342</v>
      </c>
      <c r="B343" s="4" t="s">
        <v>674</v>
      </c>
      <c r="C343" s="4" t="n">
        <v>1973</v>
      </c>
      <c r="D343" s="4" t="s">
        <v>143</v>
      </c>
      <c r="E343" s="25" t="str">
        <f aca="false">IF(J343=1,"✓","")</f>
        <v>✓</v>
      </c>
      <c r="F343" s="4" t="n">
        <v>6</v>
      </c>
      <c r="G343" s="4" t="n">
        <v>3</v>
      </c>
      <c r="H343" s="4" t="s">
        <v>144</v>
      </c>
      <c r="I343" s="4" t="s">
        <v>52</v>
      </c>
      <c r="J343" s="4" t="n">
        <f aca="false">INDEX('Master List'!$G$2:$G$2594,K343)</f>
        <v>1</v>
      </c>
      <c r="K343" s="4" t="n">
        <v>768</v>
      </c>
    </row>
    <row r="344" customFormat="false" ht="15" hidden="false" customHeight="false" outlineLevel="0" collapsed="false">
      <c r="A344" s="4" t="n">
        <v>343</v>
      </c>
      <c r="B344" s="4" t="s">
        <v>675</v>
      </c>
      <c r="C344" s="4" t="n">
        <v>1973</v>
      </c>
      <c r="D344" s="4" t="s">
        <v>310</v>
      </c>
      <c r="E344" s="25" t="str">
        <f aca="false">IF(J344=1,"✓","")</f>
        <v>✓</v>
      </c>
      <c r="F344" s="4" t="n">
        <v>6</v>
      </c>
      <c r="G344" s="4" t="n">
        <v>2</v>
      </c>
      <c r="H344" s="4" t="s">
        <v>144</v>
      </c>
      <c r="I344" s="4" t="s">
        <v>53</v>
      </c>
      <c r="J344" s="4" t="n">
        <f aca="false">INDEX('Master List'!$G$2:$G$2594,K344)</f>
        <v>1</v>
      </c>
      <c r="K344" s="4" t="n">
        <v>1294</v>
      </c>
    </row>
    <row r="345" customFormat="false" ht="15" hidden="false" customHeight="false" outlineLevel="0" collapsed="false">
      <c r="A345" s="4" t="n">
        <v>344</v>
      </c>
      <c r="B345" s="4" t="s">
        <v>676</v>
      </c>
      <c r="C345" s="4" t="n">
        <v>1975</v>
      </c>
      <c r="D345" s="4" t="s">
        <v>677</v>
      </c>
      <c r="E345" s="25" t="str">
        <f aca="false">IF(J345=1,"✓","")</f>
        <v/>
      </c>
      <c r="F345" s="4" t="n">
        <v>6</v>
      </c>
      <c r="G345" s="4" t="n">
        <v>2</v>
      </c>
      <c r="H345" s="4" t="s">
        <v>144</v>
      </c>
      <c r="I345" s="4" t="s">
        <v>51</v>
      </c>
      <c r="J345" s="4" t="n">
        <f aca="false">INDEX('Master List'!$G$2:$G$2594,K345)</f>
        <v>0</v>
      </c>
      <c r="K345" s="4" t="n">
        <v>604</v>
      </c>
    </row>
    <row r="346" customFormat="false" ht="15" hidden="false" customHeight="false" outlineLevel="0" collapsed="false">
      <c r="A346" s="4" t="n">
        <v>345</v>
      </c>
      <c r="B346" s="4" t="s">
        <v>678</v>
      </c>
      <c r="C346" s="4" t="n">
        <v>1976</v>
      </c>
      <c r="D346" s="4" t="s">
        <v>488</v>
      </c>
      <c r="E346" s="25" t="str">
        <f aca="false">IF(J346=1,"✓","")</f>
        <v>✓</v>
      </c>
      <c r="F346" s="4" t="n">
        <v>6</v>
      </c>
      <c r="G346" s="4" t="n">
        <v>2</v>
      </c>
      <c r="H346" s="4" t="s">
        <v>144</v>
      </c>
      <c r="I346" s="4" t="s">
        <v>53</v>
      </c>
      <c r="J346" s="4" t="n">
        <f aca="false">INDEX('Master List'!$G$2:$G$2594,K346)</f>
        <v>1</v>
      </c>
      <c r="K346" s="4" t="n">
        <v>402</v>
      </c>
    </row>
    <row r="347" customFormat="false" ht="15" hidden="false" customHeight="false" outlineLevel="0" collapsed="false">
      <c r="A347" s="4" t="n">
        <v>346</v>
      </c>
      <c r="B347" s="4" t="s">
        <v>679</v>
      </c>
      <c r="C347" s="4" t="n">
        <v>1980</v>
      </c>
      <c r="D347" s="4" t="s">
        <v>488</v>
      </c>
      <c r="E347" s="25" t="str">
        <f aca="false">IF(J347=1,"✓","")</f>
        <v/>
      </c>
      <c r="F347" s="4" t="n">
        <v>6</v>
      </c>
      <c r="G347" s="4" t="n">
        <v>3</v>
      </c>
      <c r="H347" s="4" t="s">
        <v>213</v>
      </c>
      <c r="I347" s="4" t="s">
        <v>52</v>
      </c>
      <c r="J347" s="4" t="n">
        <f aca="false">INDEX('Master List'!$G$2:$G$2594,K347)</f>
        <v>0</v>
      </c>
      <c r="K347" s="4" t="n">
        <v>677</v>
      </c>
    </row>
    <row r="348" customFormat="false" ht="15" hidden="false" customHeight="false" outlineLevel="0" collapsed="false">
      <c r="A348" s="4" t="n">
        <v>347</v>
      </c>
      <c r="B348" s="4" t="s">
        <v>680</v>
      </c>
      <c r="C348" s="4" t="n">
        <v>1984</v>
      </c>
      <c r="D348" s="4" t="s">
        <v>615</v>
      </c>
      <c r="E348" s="25" t="str">
        <f aca="false">IF(J348=1,"✓","")</f>
        <v/>
      </c>
      <c r="F348" s="4" t="n">
        <v>6</v>
      </c>
      <c r="G348" s="4" t="n">
        <v>2</v>
      </c>
      <c r="H348" s="4" t="s">
        <v>144</v>
      </c>
      <c r="I348" s="4" t="s">
        <v>50</v>
      </c>
      <c r="J348" s="4" t="n">
        <f aca="false">INDEX('Master List'!$G$2:$G$2594,K348)</f>
        <v>0</v>
      </c>
      <c r="K348" s="4" t="n">
        <v>2176</v>
      </c>
    </row>
    <row r="349" customFormat="false" ht="15" hidden="false" customHeight="false" outlineLevel="0" collapsed="false">
      <c r="A349" s="4" t="n">
        <v>348</v>
      </c>
      <c r="B349" s="4" t="s">
        <v>681</v>
      </c>
      <c r="C349" s="4" t="n">
        <v>1986</v>
      </c>
      <c r="D349" s="4" t="s">
        <v>316</v>
      </c>
      <c r="E349" s="25" t="str">
        <f aca="false">IF(J349=1,"✓","")</f>
        <v>✓</v>
      </c>
      <c r="F349" s="4" t="n">
        <v>6</v>
      </c>
      <c r="G349" s="4" t="n">
        <v>2</v>
      </c>
      <c r="H349" s="4" t="s">
        <v>144</v>
      </c>
      <c r="I349" s="4" t="s">
        <v>52</v>
      </c>
      <c r="J349" s="4" t="n">
        <f aca="false">INDEX('Master List'!$G$2:$G$2594,K349)</f>
        <v>1</v>
      </c>
      <c r="K349" s="4" t="n">
        <v>827</v>
      </c>
    </row>
    <row r="350" customFormat="false" ht="15" hidden="false" customHeight="false" outlineLevel="0" collapsed="false">
      <c r="A350" s="4" t="n">
        <v>349</v>
      </c>
      <c r="B350" s="4" t="s">
        <v>682</v>
      </c>
      <c r="C350" s="4" t="n">
        <v>1989</v>
      </c>
      <c r="D350" s="4" t="s">
        <v>439</v>
      </c>
      <c r="E350" s="25" t="str">
        <f aca="false">IF(J350=1,"✓","")</f>
        <v>✓</v>
      </c>
      <c r="F350" s="4" t="n">
        <v>6</v>
      </c>
      <c r="G350" s="4" t="n">
        <v>2</v>
      </c>
      <c r="H350" s="4" t="s">
        <v>144</v>
      </c>
      <c r="I350" s="4" t="s">
        <v>55</v>
      </c>
      <c r="J350" s="4" t="n">
        <f aca="false">INDEX('Master List'!$G$2:$G$2594,K350)</f>
        <v>1</v>
      </c>
      <c r="K350" s="4" t="n">
        <v>586</v>
      </c>
    </row>
    <row r="351" customFormat="false" ht="15" hidden="false" customHeight="false" outlineLevel="0" collapsed="false">
      <c r="A351" s="4" t="n">
        <v>350</v>
      </c>
      <c r="B351" s="4" t="s">
        <v>683</v>
      </c>
      <c r="C351" s="4" t="n">
        <v>2002</v>
      </c>
      <c r="D351" s="4" t="s">
        <v>183</v>
      </c>
      <c r="E351" s="25" t="str">
        <f aca="false">IF(J351=1,"✓","")</f>
        <v/>
      </c>
      <c r="F351" s="4" t="n">
        <v>6</v>
      </c>
      <c r="G351" s="4" t="n">
        <v>3</v>
      </c>
      <c r="H351" s="4" t="s">
        <v>213</v>
      </c>
      <c r="I351" s="4" t="s">
        <v>52</v>
      </c>
      <c r="J351" s="4" t="n">
        <f aca="false">INDEX('Master List'!$G$2:$G$2594,K351)</f>
        <v>0</v>
      </c>
      <c r="K351" s="4" t="n">
        <v>1509</v>
      </c>
    </row>
    <row r="352" customFormat="false" ht="15" hidden="false" customHeight="false" outlineLevel="0" collapsed="false">
      <c r="A352" s="4" t="n">
        <v>351</v>
      </c>
      <c r="B352" s="4" t="s">
        <v>684</v>
      </c>
      <c r="C352" s="4" t="n">
        <v>2003</v>
      </c>
      <c r="D352" s="4" t="s">
        <v>685</v>
      </c>
      <c r="E352" s="25" t="str">
        <f aca="false">IF(J352=1,"✓","")</f>
        <v/>
      </c>
      <c r="F352" s="4" t="n">
        <v>6</v>
      </c>
      <c r="G352" s="4" t="n">
        <v>2</v>
      </c>
      <c r="H352" s="4" t="s">
        <v>144</v>
      </c>
      <c r="I352" s="4" t="s">
        <v>51</v>
      </c>
      <c r="J352" s="4" t="n">
        <f aca="false">INDEX('Master List'!$G$2:$G$2594,K352)</f>
        <v>0</v>
      </c>
      <c r="K352" s="4" t="n">
        <v>1658</v>
      </c>
    </row>
    <row r="353" customFormat="false" ht="15" hidden="false" customHeight="false" outlineLevel="0" collapsed="false">
      <c r="A353" s="4" t="n">
        <v>352</v>
      </c>
      <c r="B353" s="4" t="s">
        <v>686</v>
      </c>
      <c r="C353" s="4" t="n">
        <v>2003</v>
      </c>
      <c r="D353" s="4" t="s">
        <v>687</v>
      </c>
      <c r="E353" s="25" t="str">
        <f aca="false">IF(J353=1,"✓","")</f>
        <v/>
      </c>
      <c r="F353" s="4" t="n">
        <v>6</v>
      </c>
      <c r="G353" s="4" t="n">
        <v>3</v>
      </c>
      <c r="H353" s="4" t="s">
        <v>144</v>
      </c>
      <c r="I353" s="4" t="s">
        <v>52</v>
      </c>
      <c r="J353" s="4" t="n">
        <f aca="false">INDEX('Master List'!$G$2:$G$2594,K353)</f>
        <v>0</v>
      </c>
      <c r="K353" s="4" t="n">
        <v>1382</v>
      </c>
    </row>
    <row r="354" customFormat="false" ht="15" hidden="false" customHeight="false" outlineLevel="0" collapsed="false">
      <c r="A354" s="4" t="n">
        <v>353</v>
      </c>
      <c r="B354" s="4" t="s">
        <v>688</v>
      </c>
      <c r="C354" s="4" t="n">
        <v>2007</v>
      </c>
      <c r="D354" s="4" t="s">
        <v>689</v>
      </c>
      <c r="E354" s="25" t="str">
        <f aca="false">IF(J354=1,"✓","")</f>
        <v/>
      </c>
      <c r="F354" s="4" t="n">
        <v>6</v>
      </c>
      <c r="G354" s="4" t="n">
        <v>2</v>
      </c>
      <c r="H354" s="4" t="s">
        <v>144</v>
      </c>
      <c r="I354" s="4" t="s">
        <v>51</v>
      </c>
      <c r="J354" s="4" t="n">
        <f aca="false">INDEX('Master List'!$G$2:$G$2594,K354)</f>
        <v>0</v>
      </c>
      <c r="K354" s="4" t="n">
        <v>1748</v>
      </c>
    </row>
    <row r="355" customFormat="false" ht="15" hidden="false" customHeight="false" outlineLevel="0" collapsed="false">
      <c r="A355" s="4" t="n">
        <v>354</v>
      </c>
      <c r="B355" s="4" t="s">
        <v>690</v>
      </c>
      <c r="C355" s="4" t="n">
        <v>2013</v>
      </c>
      <c r="D355" s="4" t="s">
        <v>429</v>
      </c>
      <c r="E355" s="25" t="str">
        <f aca="false">IF(J355=1,"✓","")</f>
        <v>✓</v>
      </c>
      <c r="F355" s="4" t="n">
        <v>6</v>
      </c>
      <c r="G355" s="4" t="n">
        <v>3</v>
      </c>
      <c r="H355" s="4" t="s">
        <v>213</v>
      </c>
      <c r="I355" s="4" t="s">
        <v>55</v>
      </c>
      <c r="J355" s="4" t="n">
        <f aca="false">INDEX('Master List'!$G$2:$G$2594,K355)</f>
        <v>1</v>
      </c>
      <c r="K355" s="4" t="n">
        <v>1591</v>
      </c>
    </row>
    <row r="356" customFormat="false" ht="15" hidden="false" customHeight="false" outlineLevel="0" collapsed="false">
      <c r="A356" s="4" t="n">
        <v>355</v>
      </c>
      <c r="B356" s="4" t="s">
        <v>691</v>
      </c>
      <c r="C356" s="4" t="n">
        <v>2015</v>
      </c>
      <c r="D356" s="4" t="s">
        <v>692</v>
      </c>
      <c r="E356" s="25" t="str">
        <f aca="false">IF(J356=1,"✓","")</f>
        <v/>
      </c>
      <c r="F356" s="4" t="n">
        <v>6</v>
      </c>
      <c r="G356" s="4" t="n">
        <v>3</v>
      </c>
      <c r="H356" s="4" t="s">
        <v>213</v>
      </c>
      <c r="I356" s="4" t="s">
        <v>52</v>
      </c>
      <c r="J356" s="4" t="n">
        <f aca="false">INDEX('Master List'!$G$2:$G$2594,K356)</f>
        <v>0</v>
      </c>
      <c r="K356" s="4" t="n">
        <v>2533</v>
      </c>
    </row>
    <row r="357" customFormat="false" ht="15" hidden="false" customHeight="false" outlineLevel="0" collapsed="false">
      <c r="A357" s="4" t="n">
        <v>356</v>
      </c>
      <c r="B357" s="4" t="s">
        <v>693</v>
      </c>
      <c r="C357" s="4" t="n">
        <v>2015</v>
      </c>
      <c r="D357" s="4" t="s">
        <v>694</v>
      </c>
      <c r="E357" s="25" t="str">
        <f aca="false">IF(J357=1,"✓","")</f>
        <v/>
      </c>
      <c r="F357" s="4" t="n">
        <v>6</v>
      </c>
      <c r="G357" s="4" t="n">
        <v>3</v>
      </c>
      <c r="H357" s="4" t="s">
        <v>213</v>
      </c>
      <c r="I357" s="4" t="s">
        <v>54</v>
      </c>
      <c r="J357" s="4" t="n">
        <f aca="false">INDEX('Master List'!$G$2:$G$2594,K357)</f>
        <v>0</v>
      </c>
      <c r="K357" s="4" t="n">
        <v>2239</v>
      </c>
    </row>
    <row r="358" customFormat="false" ht="15" hidden="false" customHeight="false" outlineLevel="0" collapsed="false">
      <c r="A358" s="4" t="n">
        <v>357</v>
      </c>
      <c r="B358" s="4" t="s">
        <v>695</v>
      </c>
      <c r="C358" s="4" t="n">
        <v>2018</v>
      </c>
      <c r="D358" s="4" t="s">
        <v>696</v>
      </c>
      <c r="E358" s="25" t="str">
        <f aca="false">IF(J358=1,"✓","")</f>
        <v>✓</v>
      </c>
      <c r="F358" s="4" t="n">
        <v>6</v>
      </c>
      <c r="G358" s="4" t="n">
        <v>3</v>
      </c>
      <c r="H358" s="4" t="s">
        <v>213</v>
      </c>
      <c r="I358" s="4" t="s">
        <v>52</v>
      </c>
      <c r="J358" s="4" t="n">
        <f aca="false">INDEX('Master List'!$G$2:$G$2594,K358)</f>
        <v>1</v>
      </c>
      <c r="K358" s="4" t="n">
        <v>1025</v>
      </c>
    </row>
    <row r="359" customFormat="false" ht="15" hidden="false" customHeight="false" outlineLevel="0" collapsed="false">
      <c r="A359" s="4" t="n">
        <v>358</v>
      </c>
      <c r="B359" s="4" t="s">
        <v>697</v>
      </c>
      <c r="C359" s="4" t="n">
        <v>2023</v>
      </c>
      <c r="D359" s="4" t="s">
        <v>365</v>
      </c>
      <c r="E359" s="25" t="str">
        <f aca="false">IF(J359=1,"✓","")</f>
        <v>✓</v>
      </c>
      <c r="F359" s="4" t="n">
        <v>6</v>
      </c>
      <c r="G359" s="4" t="n">
        <v>3</v>
      </c>
      <c r="H359" s="4" t="s">
        <v>213</v>
      </c>
      <c r="I359" s="4" t="s">
        <v>50</v>
      </c>
      <c r="J359" s="4" t="n">
        <f aca="false">INDEX('Master List'!$G$2:$G$2594,K359)</f>
        <v>1</v>
      </c>
      <c r="K359" s="4" t="n">
        <v>1745</v>
      </c>
    </row>
    <row r="360" customFormat="false" ht="15" hidden="false" customHeight="false" outlineLevel="0" collapsed="false">
      <c r="A360" s="4" t="n">
        <v>359</v>
      </c>
      <c r="B360" s="4" t="s">
        <v>698</v>
      </c>
      <c r="C360" s="4" t="n">
        <v>1987</v>
      </c>
      <c r="D360" s="4" t="s">
        <v>699</v>
      </c>
      <c r="E360" s="25" t="str">
        <f aca="false">IF(J360=1,"✓","")</f>
        <v>✓</v>
      </c>
      <c r="F360" s="4" t="n">
        <v>6</v>
      </c>
      <c r="G360" s="4" t="n">
        <v>3</v>
      </c>
      <c r="H360" s="4" t="s">
        <v>213</v>
      </c>
      <c r="I360" s="4" t="s">
        <v>52</v>
      </c>
      <c r="J360" s="4" t="n">
        <f aca="false">INDEX('Master List'!$G$2:$G$2594,K360)</f>
        <v>1</v>
      </c>
      <c r="K360" s="4" t="n">
        <v>1918</v>
      </c>
    </row>
    <row r="361" customFormat="false" ht="15" hidden="false" customHeight="false" outlineLevel="0" collapsed="false">
      <c r="A361" s="4" t="n">
        <v>360</v>
      </c>
      <c r="B361" s="4" t="s">
        <v>700</v>
      </c>
      <c r="C361" s="4" t="n">
        <v>1952</v>
      </c>
      <c r="D361" s="4" t="s">
        <v>286</v>
      </c>
      <c r="E361" s="25" t="str">
        <f aca="false">IF(J361=1,"✓","")</f>
        <v/>
      </c>
      <c r="F361" s="4" t="n">
        <v>5</v>
      </c>
      <c r="G361" s="4" t="n">
        <v>3</v>
      </c>
      <c r="H361" s="4" t="s">
        <v>213</v>
      </c>
      <c r="I361" s="4" t="s">
        <v>51</v>
      </c>
      <c r="J361" s="4" t="n">
        <f aca="false">INDEX('Master List'!$G$2:$G$2594,K361)</f>
        <v>0</v>
      </c>
      <c r="K361" s="4" t="n">
        <v>1334</v>
      </c>
    </row>
    <row r="362" customFormat="false" ht="15" hidden="false" customHeight="false" outlineLevel="0" collapsed="false">
      <c r="A362" s="4" t="n">
        <v>361</v>
      </c>
      <c r="B362" s="4" t="s">
        <v>701</v>
      </c>
      <c r="C362" s="4" t="n">
        <v>1956</v>
      </c>
      <c r="D362" s="4" t="s">
        <v>270</v>
      </c>
      <c r="E362" s="25" t="str">
        <f aca="false">IF(J362=1,"✓","")</f>
        <v/>
      </c>
      <c r="F362" s="4" t="n">
        <v>5</v>
      </c>
      <c r="G362" s="4" t="n">
        <v>3</v>
      </c>
      <c r="H362" s="4" t="s">
        <v>213</v>
      </c>
      <c r="I362" s="4" t="s">
        <v>50</v>
      </c>
      <c r="J362" s="4" t="n">
        <f aca="false">INDEX('Master List'!$G$2:$G$2594,K362)</f>
        <v>0</v>
      </c>
      <c r="K362" s="4" t="n">
        <v>252</v>
      </c>
    </row>
    <row r="363" customFormat="false" ht="15" hidden="false" customHeight="false" outlineLevel="0" collapsed="false">
      <c r="A363" s="4" t="n">
        <v>362</v>
      </c>
      <c r="B363" s="4" t="s">
        <v>702</v>
      </c>
      <c r="C363" s="4" t="n">
        <v>1962</v>
      </c>
      <c r="D363" s="4" t="s">
        <v>146</v>
      </c>
      <c r="E363" s="25" t="str">
        <f aca="false">IF(J363=1,"✓","")</f>
        <v/>
      </c>
      <c r="F363" s="4" t="n">
        <v>5</v>
      </c>
      <c r="G363" s="4" t="n">
        <v>3</v>
      </c>
      <c r="H363" s="4" t="s">
        <v>213</v>
      </c>
      <c r="I363" s="4" t="s">
        <v>51</v>
      </c>
      <c r="J363" s="4" t="n">
        <f aca="false">INDEX('Master List'!$G$2:$G$2594,K363)</f>
        <v>0</v>
      </c>
      <c r="K363" s="4" t="n">
        <v>152</v>
      </c>
    </row>
    <row r="364" customFormat="false" ht="15" hidden="false" customHeight="false" outlineLevel="0" collapsed="false">
      <c r="A364" s="4" t="n">
        <v>363</v>
      </c>
      <c r="B364" s="4" t="s">
        <v>703</v>
      </c>
      <c r="C364" s="4" t="n">
        <v>1966</v>
      </c>
      <c r="D364" s="4" t="s">
        <v>472</v>
      </c>
      <c r="E364" s="25" t="str">
        <f aca="false">IF(J364=1,"✓","")</f>
        <v/>
      </c>
      <c r="F364" s="4" t="n">
        <v>5</v>
      </c>
      <c r="G364" s="4" t="n">
        <v>3</v>
      </c>
      <c r="H364" s="4" t="s">
        <v>213</v>
      </c>
      <c r="I364" s="4" t="s">
        <v>50</v>
      </c>
      <c r="J364" s="4" t="n">
        <f aca="false">INDEX('Master List'!$G$2:$G$2594,K364)</f>
        <v>0</v>
      </c>
      <c r="K364" s="4" t="n">
        <v>2324</v>
      </c>
    </row>
    <row r="365" customFormat="false" ht="15" hidden="false" customHeight="false" outlineLevel="0" collapsed="false">
      <c r="A365" s="4" t="n">
        <v>364</v>
      </c>
      <c r="B365" s="4" t="s">
        <v>704</v>
      </c>
      <c r="C365" s="4" t="n">
        <v>1970</v>
      </c>
      <c r="D365" s="4" t="s">
        <v>705</v>
      </c>
      <c r="E365" s="25" t="str">
        <f aca="false">IF(J365=1,"✓","")</f>
        <v/>
      </c>
      <c r="F365" s="4" t="n">
        <v>5</v>
      </c>
      <c r="G365" s="4" t="n">
        <v>3</v>
      </c>
      <c r="H365" s="4" t="s">
        <v>213</v>
      </c>
      <c r="I365" s="4" t="s">
        <v>51</v>
      </c>
      <c r="J365" s="4" t="n">
        <f aca="false">INDEX('Master List'!$G$2:$G$2594,K365)</f>
        <v>0</v>
      </c>
      <c r="K365" s="4" t="n">
        <v>2105</v>
      </c>
    </row>
    <row r="366" customFormat="false" ht="15" hidden="false" customHeight="false" outlineLevel="0" collapsed="false">
      <c r="A366" s="4" t="n">
        <v>365</v>
      </c>
      <c r="B366" s="4" t="s">
        <v>706</v>
      </c>
      <c r="C366" s="4" t="n">
        <v>1972</v>
      </c>
      <c r="D366" s="4" t="s">
        <v>707</v>
      </c>
      <c r="E366" s="25" t="str">
        <f aca="false">IF(J366=1,"✓","")</f>
        <v/>
      </c>
      <c r="F366" s="4" t="n">
        <v>5</v>
      </c>
      <c r="G366" s="4" t="n">
        <v>3</v>
      </c>
      <c r="H366" s="4" t="s">
        <v>213</v>
      </c>
      <c r="I366" s="4" t="s">
        <v>52</v>
      </c>
      <c r="J366" s="4" t="n">
        <f aca="false">INDEX('Master List'!$G$2:$G$2594,K366)</f>
        <v>0</v>
      </c>
      <c r="K366" s="4" t="n">
        <v>1008</v>
      </c>
    </row>
    <row r="367" customFormat="false" ht="15" hidden="false" customHeight="false" outlineLevel="0" collapsed="false">
      <c r="A367" s="4" t="n">
        <v>366</v>
      </c>
      <c r="B367" s="4" t="s">
        <v>708</v>
      </c>
      <c r="C367" s="4" t="n">
        <v>1981</v>
      </c>
      <c r="D367" s="4" t="s">
        <v>709</v>
      </c>
      <c r="E367" s="25" t="str">
        <f aca="false">IF(J367=1,"✓","")</f>
        <v/>
      </c>
      <c r="F367" s="4" t="n">
        <v>5</v>
      </c>
      <c r="G367" s="4" t="n">
        <v>3</v>
      </c>
      <c r="H367" s="4" t="s">
        <v>213</v>
      </c>
      <c r="I367" s="4" t="s">
        <v>51</v>
      </c>
      <c r="J367" s="4" t="n">
        <f aca="false">INDEX('Master List'!$G$2:$G$2594,K367)</f>
        <v>0</v>
      </c>
      <c r="K367" s="4" t="n">
        <v>235</v>
      </c>
    </row>
    <row r="368" customFormat="false" ht="15" hidden="false" customHeight="false" outlineLevel="0" collapsed="false">
      <c r="A368" s="4" t="n">
        <v>367</v>
      </c>
      <c r="B368" s="4" t="s">
        <v>710</v>
      </c>
      <c r="C368" s="4" t="n">
        <v>1982</v>
      </c>
      <c r="D368" s="4" t="s">
        <v>292</v>
      </c>
      <c r="E368" s="25" t="str">
        <f aca="false">IF(J368=1,"✓","")</f>
        <v/>
      </c>
      <c r="F368" s="4" t="n">
        <v>5</v>
      </c>
      <c r="G368" s="4" t="n">
        <v>3</v>
      </c>
      <c r="H368" s="4" t="s">
        <v>213</v>
      </c>
      <c r="I368" s="4" t="s">
        <v>51</v>
      </c>
      <c r="J368" s="4" t="n">
        <f aca="false">INDEX('Master List'!$G$2:$G$2594,K368)</f>
        <v>0</v>
      </c>
      <c r="K368" s="4" t="n">
        <v>814</v>
      </c>
    </row>
    <row r="369" customFormat="false" ht="15" hidden="false" customHeight="false" outlineLevel="0" collapsed="false">
      <c r="A369" s="4" t="n">
        <v>368</v>
      </c>
      <c r="B369" s="4" t="s">
        <v>711</v>
      </c>
      <c r="C369" s="4" t="n">
        <v>1982</v>
      </c>
      <c r="D369" s="4" t="s">
        <v>170</v>
      </c>
      <c r="E369" s="25" t="str">
        <f aca="false">IF(J369=1,"✓","")</f>
        <v/>
      </c>
      <c r="F369" s="4" t="n">
        <v>5</v>
      </c>
      <c r="G369" s="4" t="n">
        <v>3</v>
      </c>
      <c r="H369" s="4" t="s">
        <v>213</v>
      </c>
      <c r="I369" s="4" t="s">
        <v>53</v>
      </c>
      <c r="J369" s="4" t="n">
        <f aca="false">INDEX('Master List'!$G$2:$G$2594,K369)</f>
        <v>0</v>
      </c>
      <c r="K369" s="4" t="n">
        <v>780</v>
      </c>
    </row>
    <row r="370" customFormat="false" ht="15" hidden="false" customHeight="false" outlineLevel="0" collapsed="false">
      <c r="A370" s="4" t="n">
        <v>369</v>
      </c>
      <c r="B370" s="4" t="s">
        <v>712</v>
      </c>
      <c r="C370" s="4" t="n">
        <v>1999</v>
      </c>
      <c r="D370" s="4" t="s">
        <v>713</v>
      </c>
      <c r="E370" s="25" t="str">
        <f aca="false">IF(J370=1,"✓","")</f>
        <v/>
      </c>
      <c r="F370" s="4" t="n">
        <v>5</v>
      </c>
      <c r="G370" s="4" t="n">
        <v>3</v>
      </c>
      <c r="H370" s="4" t="s">
        <v>213</v>
      </c>
      <c r="I370" s="4" t="s">
        <v>51</v>
      </c>
      <c r="J370" s="4" t="n">
        <f aca="false">INDEX('Master List'!$G$2:$G$2594,K370)</f>
        <v>0</v>
      </c>
      <c r="K370" s="4" t="n">
        <v>1862</v>
      </c>
    </row>
    <row r="371" customFormat="false" ht="15" hidden="false" customHeight="false" outlineLevel="0" collapsed="false">
      <c r="A371" s="4" t="n">
        <v>370</v>
      </c>
      <c r="B371" s="4" t="s">
        <v>714</v>
      </c>
      <c r="C371" s="4" t="n">
        <v>2001</v>
      </c>
      <c r="D371" s="4" t="s">
        <v>505</v>
      </c>
      <c r="E371" s="25" t="str">
        <f aca="false">IF(J371=1,"✓","")</f>
        <v/>
      </c>
      <c r="F371" s="4" t="n">
        <v>5</v>
      </c>
      <c r="G371" s="4" t="n">
        <v>3</v>
      </c>
      <c r="H371" s="4" t="s">
        <v>213</v>
      </c>
      <c r="I371" s="4" t="s">
        <v>52</v>
      </c>
      <c r="J371" s="4" t="n">
        <f aca="false">INDEX('Master List'!$G$2:$G$2594,K371)</f>
        <v>0</v>
      </c>
      <c r="K371" s="4" t="n">
        <v>1831</v>
      </c>
    </row>
    <row r="372" customFormat="false" ht="15" hidden="false" customHeight="false" outlineLevel="0" collapsed="false">
      <c r="A372" s="4" t="n">
        <v>371</v>
      </c>
      <c r="B372" s="4" t="s">
        <v>715</v>
      </c>
      <c r="C372" s="4" t="n">
        <v>2012</v>
      </c>
      <c r="D372" s="4" t="s">
        <v>716</v>
      </c>
      <c r="E372" s="25" t="str">
        <f aca="false">IF(J372=1,"✓","")</f>
        <v/>
      </c>
      <c r="F372" s="4" t="n">
        <v>5</v>
      </c>
      <c r="G372" s="4" t="n">
        <v>3</v>
      </c>
      <c r="H372" s="4" t="s">
        <v>213</v>
      </c>
      <c r="I372" s="4" t="s">
        <v>50</v>
      </c>
      <c r="J372" s="4" t="n">
        <f aca="false">INDEX('Master List'!$G$2:$G$2594,K372)</f>
        <v>0</v>
      </c>
      <c r="K372" s="4" t="n">
        <v>40</v>
      </c>
    </row>
    <row r="373" customFormat="false" ht="15" hidden="false" customHeight="false" outlineLevel="0" collapsed="false">
      <c r="A373" s="4" t="n">
        <v>372</v>
      </c>
      <c r="B373" s="4" t="s">
        <v>717</v>
      </c>
      <c r="C373" s="4" t="n">
        <v>2015</v>
      </c>
      <c r="D373" s="4" t="s">
        <v>718</v>
      </c>
      <c r="E373" s="25" t="str">
        <f aca="false">IF(J373=1,"✓","")</f>
        <v/>
      </c>
      <c r="F373" s="4" t="n">
        <v>5</v>
      </c>
      <c r="G373" s="4" t="n">
        <v>3</v>
      </c>
      <c r="H373" s="4" t="s">
        <v>213</v>
      </c>
      <c r="I373" s="4" t="s">
        <v>52</v>
      </c>
      <c r="J373" s="4" t="n">
        <f aca="false">INDEX('Master List'!$G$2:$G$2594,K373)</f>
        <v>0</v>
      </c>
      <c r="K373" s="4" t="n">
        <v>401</v>
      </c>
    </row>
    <row r="374" customFormat="false" ht="15" hidden="false" customHeight="false" outlineLevel="0" collapsed="false">
      <c r="A374" s="4" t="n">
        <v>373</v>
      </c>
      <c r="B374" s="4" t="s">
        <v>719</v>
      </c>
      <c r="C374" s="4" t="n">
        <v>1902</v>
      </c>
      <c r="D374" s="4" t="s">
        <v>720</v>
      </c>
      <c r="E374" s="25" t="str">
        <f aca="false">IF(J374=1,"✓","")</f>
        <v>✓</v>
      </c>
      <c r="F374" s="4" t="n">
        <v>5</v>
      </c>
      <c r="G374" s="4" t="n">
        <v>2</v>
      </c>
      <c r="H374" s="4" t="s">
        <v>144</v>
      </c>
      <c r="I374" s="4" t="s">
        <v>50</v>
      </c>
      <c r="J374" s="4" t="n">
        <f aca="false">INDEX('Master List'!$G$2:$G$2594,K374)</f>
        <v>1</v>
      </c>
      <c r="K374" s="4" t="n">
        <v>2368</v>
      </c>
    </row>
    <row r="375" customFormat="false" ht="15" hidden="false" customHeight="false" outlineLevel="0" collapsed="false">
      <c r="A375" s="4" t="n">
        <v>374</v>
      </c>
      <c r="B375" s="4" t="s">
        <v>721</v>
      </c>
      <c r="C375" s="4" t="n">
        <v>1920</v>
      </c>
      <c r="D375" s="4" t="s">
        <v>722</v>
      </c>
      <c r="E375" s="25" t="str">
        <f aca="false">IF(J375=1,"✓","")</f>
        <v/>
      </c>
      <c r="F375" s="4" t="n">
        <v>5</v>
      </c>
      <c r="G375" s="4" t="n">
        <v>2</v>
      </c>
      <c r="H375" s="4" t="s">
        <v>144</v>
      </c>
      <c r="I375" s="4" t="s">
        <v>50</v>
      </c>
      <c r="J375" s="4" t="n">
        <f aca="false">INDEX('Master List'!$G$2:$G$2594,K375)</f>
        <v>0</v>
      </c>
      <c r="K375" s="4" t="n">
        <v>2535</v>
      </c>
    </row>
    <row r="376" customFormat="false" ht="15" hidden="false" customHeight="false" outlineLevel="0" collapsed="false">
      <c r="A376" s="4" t="n">
        <v>375</v>
      </c>
      <c r="B376" s="4" t="s">
        <v>723</v>
      </c>
      <c r="C376" s="4" t="n">
        <v>1922</v>
      </c>
      <c r="D376" s="4" t="s">
        <v>724</v>
      </c>
      <c r="E376" s="25" t="str">
        <f aca="false">IF(J376=1,"✓","")</f>
        <v/>
      </c>
      <c r="F376" s="4" t="n">
        <v>5</v>
      </c>
      <c r="G376" s="4" t="n">
        <v>2</v>
      </c>
      <c r="H376" s="4" t="s">
        <v>144</v>
      </c>
      <c r="I376" s="4" t="s">
        <v>52</v>
      </c>
      <c r="J376" s="4" t="n">
        <f aca="false">INDEX('Master List'!$G$2:$G$2594,K376)</f>
        <v>0</v>
      </c>
      <c r="K376" s="4" t="n">
        <v>1584</v>
      </c>
    </row>
    <row r="377" customFormat="false" ht="15" hidden="false" customHeight="false" outlineLevel="0" collapsed="false">
      <c r="A377" s="4" t="n">
        <v>376</v>
      </c>
      <c r="B377" s="4" t="s">
        <v>725</v>
      </c>
      <c r="C377" s="4" t="n">
        <v>1924</v>
      </c>
      <c r="D377" s="4" t="s">
        <v>726</v>
      </c>
      <c r="E377" s="25" t="str">
        <f aca="false">IF(J377=1,"✓","")</f>
        <v/>
      </c>
      <c r="F377" s="4" t="n">
        <v>5</v>
      </c>
      <c r="G377" s="4" t="n">
        <v>3</v>
      </c>
      <c r="H377" s="4" t="s">
        <v>213</v>
      </c>
      <c r="I377" s="4" t="s">
        <v>50</v>
      </c>
      <c r="J377" s="4" t="n">
        <f aca="false">INDEX('Master List'!$G$2:$G$2594,K377)</f>
        <v>0</v>
      </c>
      <c r="K377" s="4" t="n">
        <v>959</v>
      </c>
    </row>
    <row r="378" customFormat="false" ht="15" hidden="false" customHeight="false" outlineLevel="0" collapsed="false">
      <c r="A378" s="4" t="n">
        <v>377</v>
      </c>
      <c r="B378" s="4" t="s">
        <v>727</v>
      </c>
      <c r="C378" s="4" t="n">
        <v>1927</v>
      </c>
      <c r="D378" s="4" t="s">
        <v>728</v>
      </c>
      <c r="E378" s="25" t="str">
        <f aca="false">IF(J378=1,"✓","")</f>
        <v/>
      </c>
      <c r="F378" s="4" t="n">
        <v>5</v>
      </c>
      <c r="G378" s="4" t="n">
        <v>2</v>
      </c>
      <c r="H378" s="4" t="s">
        <v>144</v>
      </c>
      <c r="I378" s="4" t="s">
        <v>50</v>
      </c>
      <c r="J378" s="4" t="n">
        <f aca="false">INDEX('Master List'!$G$2:$G$2594,K378)</f>
        <v>0</v>
      </c>
      <c r="K378" s="4" t="n">
        <v>1198</v>
      </c>
    </row>
    <row r="379" customFormat="false" ht="15" hidden="false" customHeight="false" outlineLevel="0" collapsed="false">
      <c r="A379" s="4" t="n">
        <v>378</v>
      </c>
      <c r="B379" s="4" t="s">
        <v>729</v>
      </c>
      <c r="C379" s="4" t="n">
        <v>1930</v>
      </c>
      <c r="D379" s="4" t="s">
        <v>730</v>
      </c>
      <c r="E379" s="25" t="str">
        <f aca="false">IF(J379=1,"✓","")</f>
        <v/>
      </c>
      <c r="F379" s="4" t="n">
        <v>5</v>
      </c>
      <c r="G379" s="4" t="n">
        <v>2</v>
      </c>
      <c r="H379" s="4" t="s">
        <v>144</v>
      </c>
      <c r="I379" s="4" t="s">
        <v>50</v>
      </c>
      <c r="J379" s="4" t="n">
        <f aca="false">INDEX('Master List'!$G$2:$G$2594,K379)</f>
        <v>0</v>
      </c>
      <c r="K379" s="4" t="n">
        <v>72</v>
      </c>
    </row>
    <row r="380" customFormat="false" ht="15" hidden="false" customHeight="false" outlineLevel="0" collapsed="false">
      <c r="A380" s="4" t="n">
        <v>379</v>
      </c>
      <c r="B380" s="4" t="s">
        <v>731</v>
      </c>
      <c r="C380" s="4" t="n">
        <v>1934</v>
      </c>
      <c r="D380" s="4" t="s">
        <v>732</v>
      </c>
      <c r="E380" s="25" t="str">
        <f aca="false">IF(J380=1,"✓","")</f>
        <v/>
      </c>
      <c r="F380" s="4" t="n">
        <v>5</v>
      </c>
      <c r="G380" s="4" t="n">
        <v>2</v>
      </c>
      <c r="H380" s="4" t="s">
        <v>144</v>
      </c>
      <c r="I380" s="4" t="s">
        <v>51</v>
      </c>
      <c r="J380" s="4" t="n">
        <f aca="false">INDEX('Master List'!$G$2:$G$2594,K380)</f>
        <v>0</v>
      </c>
      <c r="K380" s="4" t="n">
        <v>144</v>
      </c>
    </row>
    <row r="381" customFormat="false" ht="15" hidden="false" customHeight="false" outlineLevel="0" collapsed="false">
      <c r="A381" s="4" t="n">
        <v>380</v>
      </c>
      <c r="B381" s="4" t="s">
        <v>733</v>
      </c>
      <c r="C381" s="4" t="n">
        <v>1935</v>
      </c>
      <c r="D381" s="4" t="s">
        <v>734</v>
      </c>
      <c r="E381" s="25" t="str">
        <f aca="false">IF(J381=1,"✓","")</f>
        <v/>
      </c>
      <c r="F381" s="4" t="n">
        <v>5</v>
      </c>
      <c r="G381" s="4" t="n">
        <v>2</v>
      </c>
      <c r="H381" s="4" t="s">
        <v>144</v>
      </c>
      <c r="I381" s="4" t="s">
        <v>52</v>
      </c>
      <c r="J381" s="4" t="n">
        <f aca="false">INDEX('Master List'!$G$2:$G$2594,K381)</f>
        <v>0</v>
      </c>
      <c r="K381" s="4" t="n">
        <v>1602</v>
      </c>
    </row>
    <row r="382" customFormat="false" ht="15" hidden="false" customHeight="false" outlineLevel="0" collapsed="false">
      <c r="A382" s="4" t="n">
        <v>381</v>
      </c>
      <c r="B382" s="4" t="s">
        <v>735</v>
      </c>
      <c r="C382" s="4" t="n">
        <v>1937</v>
      </c>
      <c r="D382" s="4" t="s">
        <v>736</v>
      </c>
      <c r="E382" s="25" t="str">
        <f aca="false">IF(J382=1,"✓","")</f>
        <v/>
      </c>
      <c r="F382" s="4" t="n">
        <v>5</v>
      </c>
      <c r="G382" s="4" t="n">
        <v>2</v>
      </c>
      <c r="H382" s="4" t="s">
        <v>144</v>
      </c>
      <c r="I382" s="4" t="s">
        <v>52</v>
      </c>
      <c r="J382" s="4" t="n">
        <f aca="false">INDEX('Master List'!$G$2:$G$2594,K382)</f>
        <v>0</v>
      </c>
      <c r="K382" s="4" t="n">
        <v>2100</v>
      </c>
    </row>
    <row r="383" customFormat="false" ht="15" hidden="false" customHeight="false" outlineLevel="0" collapsed="false">
      <c r="A383" s="4" t="n">
        <v>382</v>
      </c>
      <c r="B383" s="4" t="s">
        <v>737</v>
      </c>
      <c r="C383" s="4" t="n">
        <v>1938</v>
      </c>
      <c r="D383" s="4" t="s">
        <v>738</v>
      </c>
      <c r="E383" s="25" t="str">
        <f aca="false">IF(J383=1,"✓","")</f>
        <v/>
      </c>
      <c r="F383" s="4" t="n">
        <v>5</v>
      </c>
      <c r="G383" s="4" t="n">
        <v>2</v>
      </c>
      <c r="H383" s="4" t="s">
        <v>144</v>
      </c>
      <c r="I383" s="4" t="s">
        <v>50</v>
      </c>
      <c r="J383" s="4" t="n">
        <f aca="false">INDEX('Master List'!$G$2:$G$2594,K383)</f>
        <v>0</v>
      </c>
      <c r="K383" s="4" t="n">
        <v>45</v>
      </c>
    </row>
    <row r="384" customFormat="false" ht="15" hidden="false" customHeight="false" outlineLevel="0" collapsed="false">
      <c r="A384" s="4" t="n">
        <v>383</v>
      </c>
      <c r="B384" s="4" t="s">
        <v>739</v>
      </c>
      <c r="C384" s="4" t="n">
        <v>1940</v>
      </c>
      <c r="D384" s="4" t="s">
        <v>162</v>
      </c>
      <c r="E384" s="25" t="str">
        <f aca="false">IF(J384=1,"✓","")</f>
        <v/>
      </c>
      <c r="F384" s="4" t="n">
        <v>5</v>
      </c>
      <c r="G384" s="4" t="n">
        <v>2</v>
      </c>
      <c r="H384" s="4" t="s">
        <v>144</v>
      </c>
      <c r="I384" s="4" t="s">
        <v>53</v>
      </c>
      <c r="J384" s="4" t="n">
        <f aca="false">INDEX('Master List'!$G$2:$G$2594,K384)</f>
        <v>0</v>
      </c>
      <c r="K384" s="4" t="n">
        <v>1867</v>
      </c>
    </row>
    <row r="385" customFormat="false" ht="15" hidden="false" customHeight="false" outlineLevel="0" collapsed="false">
      <c r="A385" s="4" t="n">
        <v>384</v>
      </c>
      <c r="B385" s="4" t="s">
        <v>740</v>
      </c>
      <c r="C385" s="4" t="n">
        <v>1946</v>
      </c>
      <c r="D385" s="4" t="s">
        <v>453</v>
      </c>
      <c r="E385" s="25" t="str">
        <f aca="false">IF(J385=1,"✓","")</f>
        <v/>
      </c>
      <c r="F385" s="4" t="n">
        <v>5</v>
      </c>
      <c r="G385" s="4" t="n">
        <v>2</v>
      </c>
      <c r="H385" s="4" t="s">
        <v>144</v>
      </c>
      <c r="I385" s="4" t="s">
        <v>51</v>
      </c>
      <c r="J385" s="4" t="n">
        <f aca="false">INDEX('Master List'!$G$2:$G$2594,K385)</f>
        <v>0</v>
      </c>
      <c r="K385" s="4" t="n">
        <v>1465</v>
      </c>
    </row>
    <row r="386" customFormat="false" ht="15" hidden="false" customHeight="false" outlineLevel="0" collapsed="false">
      <c r="A386" s="4" t="n">
        <v>385</v>
      </c>
      <c r="B386" s="4" t="s">
        <v>741</v>
      </c>
      <c r="C386" s="4" t="n">
        <v>1950</v>
      </c>
      <c r="D386" s="4" t="s">
        <v>402</v>
      </c>
      <c r="E386" s="25" t="str">
        <f aca="false">IF(J386=1,"✓","")</f>
        <v/>
      </c>
      <c r="F386" s="4" t="n">
        <v>5</v>
      </c>
      <c r="G386" s="4" t="n">
        <v>2</v>
      </c>
      <c r="H386" s="4" t="s">
        <v>144</v>
      </c>
      <c r="I386" s="4" t="s">
        <v>51</v>
      </c>
      <c r="J386" s="4" t="n">
        <f aca="false">INDEX('Master List'!$G$2:$G$2594,K386)</f>
        <v>0</v>
      </c>
      <c r="K386" s="4" t="n">
        <v>1383</v>
      </c>
    </row>
    <row r="387" customFormat="false" ht="15" hidden="false" customHeight="false" outlineLevel="0" collapsed="false">
      <c r="A387" s="4" t="n">
        <v>386</v>
      </c>
      <c r="B387" s="4" t="s">
        <v>742</v>
      </c>
      <c r="C387" s="4" t="n">
        <v>1950</v>
      </c>
      <c r="D387" s="4" t="s">
        <v>270</v>
      </c>
      <c r="E387" s="25" t="str">
        <f aca="false">IF(J387=1,"✓","")</f>
        <v/>
      </c>
      <c r="F387" s="4" t="n">
        <v>5</v>
      </c>
      <c r="G387" s="4" t="n">
        <v>2</v>
      </c>
      <c r="H387" s="4" t="s">
        <v>144</v>
      </c>
      <c r="I387" s="4" t="s">
        <v>52</v>
      </c>
      <c r="J387" s="4" t="n">
        <f aca="false">INDEX('Master List'!$G$2:$G$2594,K387)</f>
        <v>0</v>
      </c>
      <c r="K387" s="4" t="n">
        <v>1124</v>
      </c>
    </row>
    <row r="388" customFormat="false" ht="15" hidden="false" customHeight="false" outlineLevel="0" collapsed="false">
      <c r="A388" s="4" t="n">
        <v>387</v>
      </c>
      <c r="B388" s="4" t="s">
        <v>743</v>
      </c>
      <c r="C388" s="4" t="n">
        <v>1951</v>
      </c>
      <c r="D388" s="4" t="s">
        <v>744</v>
      </c>
      <c r="E388" s="25" t="str">
        <f aca="false">IF(J388=1,"✓","")</f>
        <v/>
      </c>
      <c r="F388" s="4" t="n">
        <v>5</v>
      </c>
      <c r="G388" s="4" t="n">
        <v>2</v>
      </c>
      <c r="H388" s="4" t="s">
        <v>144</v>
      </c>
      <c r="I388" s="4" t="s">
        <v>52</v>
      </c>
      <c r="J388" s="4" t="n">
        <f aca="false">INDEX('Master List'!$G$2:$G$2594,K388)</f>
        <v>0</v>
      </c>
      <c r="K388" s="4" t="n">
        <v>2279</v>
      </c>
    </row>
    <row r="389" customFormat="false" ht="15" hidden="false" customHeight="false" outlineLevel="0" collapsed="false">
      <c r="A389" s="4" t="n">
        <v>388</v>
      </c>
      <c r="B389" s="4" t="s">
        <v>745</v>
      </c>
      <c r="C389" s="4" t="n">
        <v>1953</v>
      </c>
      <c r="D389" s="4" t="s">
        <v>179</v>
      </c>
      <c r="E389" s="25" t="str">
        <f aca="false">IF(J389=1,"✓","")</f>
        <v/>
      </c>
      <c r="F389" s="4" t="n">
        <v>5</v>
      </c>
      <c r="G389" s="4" t="n">
        <v>2</v>
      </c>
      <c r="H389" s="4" t="s">
        <v>144</v>
      </c>
      <c r="I389" s="4" t="s">
        <v>53</v>
      </c>
      <c r="J389" s="4" t="n">
        <f aca="false">INDEX('Master List'!$G$2:$G$2594,K389)</f>
        <v>0</v>
      </c>
      <c r="K389" s="4" t="n">
        <v>1109</v>
      </c>
    </row>
    <row r="390" customFormat="false" ht="15" hidden="false" customHeight="false" outlineLevel="0" collapsed="false">
      <c r="A390" s="4" t="n">
        <v>389</v>
      </c>
      <c r="B390" s="4" t="s">
        <v>746</v>
      </c>
      <c r="C390" s="4" t="n">
        <v>1955</v>
      </c>
      <c r="D390" s="4" t="s">
        <v>411</v>
      </c>
      <c r="E390" s="25" t="str">
        <f aca="false">IF(J390=1,"✓","")</f>
        <v/>
      </c>
      <c r="F390" s="4" t="n">
        <v>5</v>
      </c>
      <c r="G390" s="4" t="n">
        <v>2</v>
      </c>
      <c r="H390" s="4" t="s">
        <v>144</v>
      </c>
      <c r="I390" s="4" t="s">
        <v>51</v>
      </c>
      <c r="J390" s="4" t="n">
        <f aca="false">INDEX('Master List'!$G$2:$G$2594,K390)</f>
        <v>0</v>
      </c>
      <c r="K390" s="4" t="n">
        <v>1285</v>
      </c>
    </row>
    <row r="391" customFormat="false" ht="15" hidden="false" customHeight="false" outlineLevel="0" collapsed="false">
      <c r="A391" s="4" t="n">
        <v>390</v>
      </c>
      <c r="B391" s="4" t="s">
        <v>747</v>
      </c>
      <c r="C391" s="4" t="n">
        <v>1955</v>
      </c>
      <c r="D391" s="4" t="s">
        <v>748</v>
      </c>
      <c r="E391" s="25" t="str">
        <f aca="false">IF(J391=1,"✓","")</f>
        <v/>
      </c>
      <c r="F391" s="4" t="n">
        <v>5</v>
      </c>
      <c r="G391" s="4" t="n">
        <v>3</v>
      </c>
      <c r="H391" s="4" t="s">
        <v>213</v>
      </c>
      <c r="I391" s="4" t="s">
        <v>52</v>
      </c>
      <c r="J391" s="4" t="n">
        <f aca="false">INDEX('Master List'!$G$2:$G$2594,K391)</f>
        <v>0</v>
      </c>
      <c r="K391" s="4" t="n">
        <v>1263</v>
      </c>
    </row>
    <row r="392" customFormat="false" ht="15" hidden="false" customHeight="false" outlineLevel="0" collapsed="false">
      <c r="A392" s="4" t="n">
        <v>391</v>
      </c>
      <c r="B392" s="4" t="s">
        <v>749</v>
      </c>
      <c r="C392" s="4" t="n">
        <v>1956</v>
      </c>
      <c r="D392" s="4" t="s">
        <v>253</v>
      </c>
      <c r="E392" s="25" t="str">
        <f aca="false">IF(J392=1,"✓","")</f>
        <v/>
      </c>
      <c r="F392" s="4" t="n">
        <v>5</v>
      </c>
      <c r="G392" s="4" t="n">
        <v>2</v>
      </c>
      <c r="H392" s="4" t="s">
        <v>144</v>
      </c>
      <c r="I392" s="4" t="s">
        <v>51</v>
      </c>
      <c r="J392" s="4" t="n">
        <f aca="false">INDEX('Master List'!$G$2:$G$2594,K392)</f>
        <v>0</v>
      </c>
      <c r="K392" s="4" t="n">
        <v>119</v>
      </c>
    </row>
    <row r="393" customFormat="false" ht="15" hidden="false" customHeight="false" outlineLevel="0" collapsed="false">
      <c r="A393" s="4" t="n">
        <v>392</v>
      </c>
      <c r="B393" s="4" t="s">
        <v>750</v>
      </c>
      <c r="C393" s="4" t="n">
        <v>1957</v>
      </c>
      <c r="D393" s="4" t="s">
        <v>751</v>
      </c>
      <c r="E393" s="25" t="str">
        <f aca="false">IF(J393=1,"✓","")</f>
        <v/>
      </c>
      <c r="F393" s="4" t="n">
        <v>5</v>
      </c>
      <c r="G393" s="4" t="n">
        <v>2</v>
      </c>
      <c r="H393" s="4" t="s">
        <v>144</v>
      </c>
      <c r="I393" s="4" t="s">
        <v>50</v>
      </c>
      <c r="J393" s="4" t="n">
        <f aca="false">INDEX('Master List'!$G$2:$G$2594,K393)</f>
        <v>0</v>
      </c>
      <c r="K393" s="4" t="n">
        <v>525</v>
      </c>
    </row>
    <row r="394" customFormat="false" ht="15" hidden="false" customHeight="false" outlineLevel="0" collapsed="false">
      <c r="A394" s="4" t="n">
        <v>393</v>
      </c>
      <c r="B394" s="4" t="s">
        <v>752</v>
      </c>
      <c r="C394" s="4" t="n">
        <v>1958</v>
      </c>
      <c r="D394" s="4" t="s">
        <v>753</v>
      </c>
      <c r="E394" s="25" t="str">
        <f aca="false">IF(J394=1,"✓","")</f>
        <v/>
      </c>
      <c r="F394" s="4" t="n">
        <v>5</v>
      </c>
      <c r="G394" s="4" t="n">
        <v>2</v>
      </c>
      <c r="H394" s="4" t="s">
        <v>144</v>
      </c>
      <c r="I394" s="4" t="s">
        <v>50</v>
      </c>
      <c r="J394" s="4" t="n">
        <f aca="false">INDEX('Master List'!$G$2:$G$2594,K394)</f>
        <v>0</v>
      </c>
      <c r="K394" s="4" t="n">
        <v>136</v>
      </c>
    </row>
    <row r="395" customFormat="false" ht="15" hidden="false" customHeight="false" outlineLevel="0" collapsed="false">
      <c r="A395" s="4" t="n">
        <v>394</v>
      </c>
      <c r="B395" s="4" t="s">
        <v>754</v>
      </c>
      <c r="C395" s="4" t="n">
        <v>1958</v>
      </c>
      <c r="D395" s="4" t="s">
        <v>755</v>
      </c>
      <c r="E395" s="25" t="str">
        <f aca="false">IF(J395=1,"✓","")</f>
        <v/>
      </c>
      <c r="F395" s="4" t="n">
        <v>5</v>
      </c>
      <c r="G395" s="4" t="n">
        <v>2</v>
      </c>
      <c r="H395" s="4" t="s">
        <v>144</v>
      </c>
      <c r="I395" s="4" t="s">
        <v>51</v>
      </c>
      <c r="J395" s="4" t="n">
        <f aca="false">INDEX('Master List'!$G$2:$G$2594,K395)</f>
        <v>0</v>
      </c>
      <c r="K395" s="4" t="n">
        <v>240</v>
      </c>
    </row>
    <row r="396" customFormat="false" ht="15" hidden="false" customHeight="false" outlineLevel="0" collapsed="false">
      <c r="A396" s="4" t="n">
        <v>395</v>
      </c>
      <c r="B396" s="4" t="s">
        <v>756</v>
      </c>
      <c r="C396" s="4" t="n">
        <v>1959</v>
      </c>
      <c r="D396" s="4" t="s">
        <v>253</v>
      </c>
      <c r="E396" s="25" t="str">
        <f aca="false">IF(J396=1,"✓","")</f>
        <v/>
      </c>
      <c r="F396" s="4" t="n">
        <v>5</v>
      </c>
      <c r="G396" s="4" t="n">
        <v>2</v>
      </c>
      <c r="H396" s="4" t="s">
        <v>144</v>
      </c>
      <c r="I396" s="4" t="s">
        <v>51</v>
      </c>
      <c r="J396" s="4" t="n">
        <f aca="false">INDEX('Master List'!$G$2:$G$2594,K396)</f>
        <v>0</v>
      </c>
      <c r="K396" s="4" t="n">
        <v>2554</v>
      </c>
    </row>
    <row r="397" customFormat="false" ht="15" hidden="false" customHeight="false" outlineLevel="0" collapsed="false">
      <c r="A397" s="4" t="n">
        <v>396</v>
      </c>
      <c r="B397" s="4" t="s">
        <v>757</v>
      </c>
      <c r="C397" s="4" t="n">
        <v>1959</v>
      </c>
      <c r="D397" s="4" t="s">
        <v>146</v>
      </c>
      <c r="E397" s="25" t="str">
        <f aca="false">IF(J397=1,"✓","")</f>
        <v/>
      </c>
      <c r="F397" s="4" t="n">
        <v>5</v>
      </c>
      <c r="G397" s="4" t="n">
        <v>2</v>
      </c>
      <c r="H397" s="4" t="s">
        <v>144</v>
      </c>
      <c r="I397" s="4" t="s">
        <v>53</v>
      </c>
      <c r="J397" s="4" t="n">
        <f aca="false">INDEX('Master List'!$G$2:$G$2594,K397)</f>
        <v>0</v>
      </c>
      <c r="K397" s="4" t="n">
        <v>822</v>
      </c>
    </row>
    <row r="398" customFormat="false" ht="15" hidden="false" customHeight="false" outlineLevel="0" collapsed="false">
      <c r="A398" s="4" t="n">
        <v>397</v>
      </c>
      <c r="B398" s="4" t="s">
        <v>758</v>
      </c>
      <c r="C398" s="4" t="n">
        <v>1960</v>
      </c>
      <c r="D398" s="4" t="s">
        <v>759</v>
      </c>
      <c r="E398" s="25" t="str">
        <f aca="false">IF(J398=1,"✓","")</f>
        <v/>
      </c>
      <c r="F398" s="4" t="n">
        <v>5</v>
      </c>
      <c r="G398" s="4" t="n">
        <v>2</v>
      </c>
      <c r="H398" s="4" t="s">
        <v>144</v>
      </c>
      <c r="I398" s="4" t="s">
        <v>51</v>
      </c>
      <c r="J398" s="4" t="n">
        <f aca="false">INDEX('Master List'!$G$2:$G$2594,K398)</f>
        <v>0</v>
      </c>
      <c r="K398" s="4" t="n">
        <v>2492</v>
      </c>
    </row>
    <row r="399" customFormat="false" ht="15" hidden="false" customHeight="false" outlineLevel="0" collapsed="false">
      <c r="A399" s="4" t="n">
        <v>398</v>
      </c>
      <c r="B399" s="4" t="s">
        <v>760</v>
      </c>
      <c r="C399" s="4" t="n">
        <v>1960</v>
      </c>
      <c r="D399" s="4" t="s">
        <v>761</v>
      </c>
      <c r="E399" s="25" t="str">
        <f aca="false">IF(J399=1,"✓","")</f>
        <v/>
      </c>
      <c r="F399" s="4" t="n">
        <v>5</v>
      </c>
      <c r="G399" s="4" t="n">
        <v>2</v>
      </c>
      <c r="H399" s="4" t="s">
        <v>144</v>
      </c>
      <c r="I399" s="4" t="s">
        <v>51</v>
      </c>
      <c r="J399" s="4" t="n">
        <f aca="false">INDEX('Master List'!$G$2:$G$2594,K399)</f>
        <v>0</v>
      </c>
      <c r="K399" s="4" t="n">
        <v>273</v>
      </c>
    </row>
    <row r="400" customFormat="false" ht="15" hidden="false" customHeight="false" outlineLevel="0" collapsed="false">
      <c r="A400" s="4" t="n">
        <v>399</v>
      </c>
      <c r="B400" s="4" t="s">
        <v>762</v>
      </c>
      <c r="C400" s="4" t="n">
        <v>1960</v>
      </c>
      <c r="D400" s="4" t="s">
        <v>763</v>
      </c>
      <c r="E400" s="25" t="str">
        <f aca="false">IF(J400=1,"✓","")</f>
        <v/>
      </c>
      <c r="F400" s="4" t="n">
        <v>5</v>
      </c>
      <c r="G400" s="4" t="n">
        <v>2</v>
      </c>
      <c r="H400" s="4" t="s">
        <v>144</v>
      </c>
      <c r="I400" s="4" t="s">
        <v>51</v>
      </c>
      <c r="J400" s="4" t="n">
        <f aca="false">INDEX('Master List'!$G$2:$G$2594,K400)</f>
        <v>0</v>
      </c>
      <c r="K400" s="4" t="n">
        <v>1974</v>
      </c>
    </row>
    <row r="401" customFormat="false" ht="15" hidden="false" customHeight="false" outlineLevel="0" collapsed="false">
      <c r="A401" s="4" t="n">
        <v>400</v>
      </c>
      <c r="B401" s="4" t="s">
        <v>764</v>
      </c>
      <c r="C401" s="4" t="n">
        <v>1961</v>
      </c>
      <c r="D401" s="4" t="s">
        <v>765</v>
      </c>
      <c r="E401" s="25" t="str">
        <f aca="false">IF(J401=1,"✓","")</f>
        <v/>
      </c>
      <c r="F401" s="4" t="n">
        <v>5</v>
      </c>
      <c r="G401" s="4" t="n">
        <v>3</v>
      </c>
      <c r="H401" s="4" t="s">
        <v>213</v>
      </c>
      <c r="I401" s="4" t="s">
        <v>52</v>
      </c>
      <c r="J401" s="4" t="n">
        <f aca="false">INDEX('Master List'!$G$2:$G$2594,K401)</f>
        <v>0</v>
      </c>
      <c r="K401" s="4" t="n">
        <v>1144</v>
      </c>
    </row>
    <row r="402" customFormat="false" ht="15" hidden="false" customHeight="false" outlineLevel="0" collapsed="false">
      <c r="A402" s="4" t="n">
        <v>401</v>
      </c>
      <c r="B402" s="4" t="s">
        <v>766</v>
      </c>
      <c r="C402" s="4" t="n">
        <v>1961</v>
      </c>
      <c r="D402" s="4" t="s">
        <v>767</v>
      </c>
      <c r="E402" s="25" t="str">
        <f aca="false">IF(J402=1,"✓","")</f>
        <v/>
      </c>
      <c r="F402" s="4" t="n">
        <v>5</v>
      </c>
      <c r="G402" s="4" t="n">
        <v>2</v>
      </c>
      <c r="H402" s="4" t="s">
        <v>144</v>
      </c>
      <c r="I402" s="4" t="s">
        <v>52</v>
      </c>
      <c r="J402" s="4" t="n">
        <f aca="false">INDEX('Master List'!$G$2:$G$2594,K402)</f>
        <v>0</v>
      </c>
      <c r="K402" s="4" t="n">
        <v>2485</v>
      </c>
    </row>
    <row r="403" customFormat="false" ht="15" hidden="false" customHeight="false" outlineLevel="0" collapsed="false">
      <c r="A403" s="4" t="n">
        <v>402</v>
      </c>
      <c r="B403" s="4" t="s">
        <v>768</v>
      </c>
      <c r="C403" s="4" t="n">
        <v>1962</v>
      </c>
      <c r="D403" s="4" t="s">
        <v>210</v>
      </c>
      <c r="E403" s="25" t="str">
        <f aca="false">IF(J403=1,"✓","")</f>
        <v/>
      </c>
      <c r="F403" s="4" t="n">
        <v>5</v>
      </c>
      <c r="G403" s="4" t="n">
        <v>2</v>
      </c>
      <c r="H403" s="4" t="s">
        <v>144</v>
      </c>
      <c r="I403" s="4" t="s">
        <v>51</v>
      </c>
      <c r="J403" s="4" t="n">
        <f aca="false">INDEX('Master List'!$G$2:$G$2594,K403)</f>
        <v>0</v>
      </c>
      <c r="K403" s="4" t="n">
        <v>1185</v>
      </c>
    </row>
    <row r="404" customFormat="false" ht="15" hidden="false" customHeight="false" outlineLevel="0" collapsed="false">
      <c r="A404" s="4" t="n">
        <v>403</v>
      </c>
      <c r="B404" s="4" t="s">
        <v>769</v>
      </c>
      <c r="C404" s="4" t="n">
        <v>1964</v>
      </c>
      <c r="D404" s="4" t="s">
        <v>253</v>
      </c>
      <c r="E404" s="25" t="str">
        <f aca="false">IF(J404=1,"✓","")</f>
        <v/>
      </c>
      <c r="F404" s="4" t="n">
        <v>5</v>
      </c>
      <c r="G404" s="4" t="n">
        <v>2</v>
      </c>
      <c r="H404" s="4" t="s">
        <v>144</v>
      </c>
      <c r="I404" s="4" t="s">
        <v>51</v>
      </c>
      <c r="J404" s="4" t="n">
        <f aca="false">INDEX('Master List'!$G$2:$G$2594,K404)</f>
        <v>0</v>
      </c>
      <c r="K404" s="4" t="n">
        <v>432</v>
      </c>
    </row>
    <row r="405" customFormat="false" ht="15" hidden="false" customHeight="false" outlineLevel="0" collapsed="false">
      <c r="A405" s="4" t="n">
        <v>404</v>
      </c>
      <c r="B405" s="4" t="s">
        <v>770</v>
      </c>
      <c r="C405" s="4" t="n">
        <v>1966</v>
      </c>
      <c r="D405" s="4" t="s">
        <v>771</v>
      </c>
      <c r="E405" s="25" t="str">
        <f aca="false">IF(J405=1,"✓","")</f>
        <v/>
      </c>
      <c r="F405" s="4" t="n">
        <v>5</v>
      </c>
      <c r="G405" s="4" t="n">
        <v>2</v>
      </c>
      <c r="H405" s="4" t="s">
        <v>144</v>
      </c>
      <c r="I405" s="4" t="s">
        <v>51</v>
      </c>
      <c r="J405" s="4" t="n">
        <f aca="false">INDEX('Master List'!$G$2:$G$2594,K405)</f>
        <v>0</v>
      </c>
      <c r="K405" s="4" t="n">
        <v>1939</v>
      </c>
    </row>
    <row r="406" customFormat="false" ht="15" hidden="false" customHeight="false" outlineLevel="0" collapsed="false">
      <c r="A406" s="4" t="n">
        <v>405</v>
      </c>
      <c r="B406" s="4" t="s">
        <v>772</v>
      </c>
      <c r="C406" s="4" t="n">
        <v>1966</v>
      </c>
      <c r="D406" s="4" t="s">
        <v>773</v>
      </c>
      <c r="E406" s="25" t="str">
        <f aca="false">IF(J406=1,"✓","")</f>
        <v/>
      </c>
      <c r="F406" s="4" t="n">
        <v>5</v>
      </c>
      <c r="G406" s="4" t="n">
        <v>2</v>
      </c>
      <c r="H406" s="4" t="s">
        <v>144</v>
      </c>
      <c r="I406" s="4" t="s">
        <v>51</v>
      </c>
      <c r="J406" s="4" t="n">
        <f aca="false">INDEX('Master List'!$G$2:$G$2594,K406)</f>
        <v>0</v>
      </c>
      <c r="K406" s="4" t="n">
        <v>195</v>
      </c>
    </row>
    <row r="407" customFormat="false" ht="15" hidden="false" customHeight="false" outlineLevel="0" collapsed="false">
      <c r="A407" s="4" t="n">
        <v>406</v>
      </c>
      <c r="B407" s="4" t="s">
        <v>774</v>
      </c>
      <c r="C407" s="4" t="n">
        <v>1967</v>
      </c>
      <c r="D407" s="4" t="s">
        <v>775</v>
      </c>
      <c r="E407" s="25" t="str">
        <f aca="false">IF(J407=1,"✓","")</f>
        <v/>
      </c>
      <c r="F407" s="4" t="n">
        <v>5</v>
      </c>
      <c r="G407" s="4" t="n">
        <v>3</v>
      </c>
      <c r="H407" s="4" t="s">
        <v>213</v>
      </c>
      <c r="I407" s="4" t="s">
        <v>52</v>
      </c>
      <c r="J407" s="4" t="n">
        <f aca="false">INDEX('Master List'!$G$2:$G$2594,K407)</f>
        <v>0</v>
      </c>
      <c r="K407" s="4" t="n">
        <v>1783</v>
      </c>
    </row>
    <row r="408" customFormat="false" ht="15" hidden="false" customHeight="false" outlineLevel="0" collapsed="false">
      <c r="A408" s="4" t="n">
        <v>407</v>
      </c>
      <c r="B408" s="4" t="s">
        <v>776</v>
      </c>
      <c r="C408" s="4" t="n">
        <v>1967</v>
      </c>
      <c r="D408" s="4" t="s">
        <v>777</v>
      </c>
      <c r="E408" s="25" t="str">
        <f aca="false">IF(J408=1,"✓","")</f>
        <v/>
      </c>
      <c r="F408" s="4" t="n">
        <v>5</v>
      </c>
      <c r="G408" s="4" t="n">
        <v>2</v>
      </c>
      <c r="H408" s="4" t="s">
        <v>144</v>
      </c>
      <c r="I408" s="4" t="s">
        <v>52</v>
      </c>
      <c r="J408" s="4" t="n">
        <f aca="false">INDEX('Master List'!$G$2:$G$2594,K408)</f>
        <v>0</v>
      </c>
      <c r="K408" s="4" t="n">
        <v>2575</v>
      </c>
    </row>
    <row r="409" customFormat="false" ht="15" hidden="false" customHeight="false" outlineLevel="0" collapsed="false">
      <c r="A409" s="4" t="n">
        <v>408</v>
      </c>
      <c r="B409" s="4" t="s">
        <v>778</v>
      </c>
      <c r="C409" s="4" t="n">
        <v>1968</v>
      </c>
      <c r="D409" s="4" t="s">
        <v>779</v>
      </c>
      <c r="E409" s="25" t="str">
        <f aca="false">IF(J409=1,"✓","")</f>
        <v/>
      </c>
      <c r="F409" s="4" t="n">
        <v>5</v>
      </c>
      <c r="G409" s="4" t="n">
        <v>2</v>
      </c>
      <c r="H409" s="4" t="s">
        <v>144</v>
      </c>
      <c r="I409" s="4" t="s">
        <v>50</v>
      </c>
      <c r="J409" s="4" t="n">
        <f aca="false">INDEX('Master List'!$G$2:$G$2594,K409)</f>
        <v>0</v>
      </c>
      <c r="K409" s="4" t="n">
        <v>1479</v>
      </c>
    </row>
    <row r="410" customFormat="false" ht="15" hidden="false" customHeight="false" outlineLevel="0" collapsed="false">
      <c r="A410" s="4" t="n">
        <v>409</v>
      </c>
      <c r="B410" s="4" t="s">
        <v>780</v>
      </c>
      <c r="C410" s="4" t="n">
        <v>1969</v>
      </c>
      <c r="D410" s="4" t="s">
        <v>781</v>
      </c>
      <c r="E410" s="25" t="str">
        <f aca="false">IF(J410=1,"✓","")</f>
        <v/>
      </c>
      <c r="F410" s="4" t="n">
        <v>5</v>
      </c>
      <c r="G410" s="4" t="n">
        <v>2</v>
      </c>
      <c r="H410" s="4" t="s">
        <v>144</v>
      </c>
      <c r="I410" s="4" t="s">
        <v>51</v>
      </c>
      <c r="J410" s="4" t="n">
        <f aca="false">INDEX('Master List'!$G$2:$G$2594,K410)</f>
        <v>0</v>
      </c>
      <c r="K410" s="4" t="n">
        <v>533</v>
      </c>
    </row>
    <row r="411" customFormat="false" ht="15" hidden="false" customHeight="false" outlineLevel="0" collapsed="false">
      <c r="A411" s="4" t="n">
        <v>410</v>
      </c>
      <c r="B411" s="4" t="s">
        <v>782</v>
      </c>
      <c r="C411" s="4" t="n">
        <v>1969</v>
      </c>
      <c r="D411" s="4" t="s">
        <v>783</v>
      </c>
      <c r="E411" s="25" t="str">
        <f aca="false">IF(J411=1,"✓","")</f>
        <v/>
      </c>
      <c r="F411" s="4" t="n">
        <v>5</v>
      </c>
      <c r="G411" s="4" t="n">
        <v>2</v>
      </c>
      <c r="H411" s="4" t="s">
        <v>144</v>
      </c>
      <c r="I411" s="4" t="s">
        <v>52</v>
      </c>
      <c r="J411" s="4" t="n">
        <f aca="false">INDEX('Master List'!$G$2:$G$2594,K411)</f>
        <v>0</v>
      </c>
      <c r="K411" s="4" t="n">
        <v>2514</v>
      </c>
    </row>
    <row r="412" customFormat="false" ht="15" hidden="false" customHeight="false" outlineLevel="0" collapsed="false">
      <c r="A412" s="4" t="n">
        <v>411</v>
      </c>
      <c r="B412" s="4" t="s">
        <v>784</v>
      </c>
      <c r="C412" s="4" t="n">
        <v>1970</v>
      </c>
      <c r="D412" s="4" t="s">
        <v>677</v>
      </c>
      <c r="E412" s="25" t="str">
        <f aca="false">IF(J412=1,"✓","")</f>
        <v/>
      </c>
      <c r="F412" s="4" t="n">
        <v>5</v>
      </c>
      <c r="G412" s="4" t="n">
        <v>2</v>
      </c>
      <c r="H412" s="4" t="s">
        <v>144</v>
      </c>
      <c r="I412" s="4" t="s">
        <v>51</v>
      </c>
      <c r="J412" s="4" t="n">
        <f aca="false">INDEX('Master List'!$G$2:$G$2594,K412)</f>
        <v>0</v>
      </c>
      <c r="K412" s="4" t="n">
        <v>254</v>
      </c>
    </row>
    <row r="413" customFormat="false" ht="15" hidden="false" customHeight="false" outlineLevel="0" collapsed="false">
      <c r="A413" s="4" t="n">
        <v>412</v>
      </c>
      <c r="B413" s="4" t="s">
        <v>785</v>
      </c>
      <c r="C413" s="4" t="n">
        <v>1970</v>
      </c>
      <c r="D413" s="4" t="s">
        <v>786</v>
      </c>
      <c r="E413" s="25" t="str">
        <f aca="false">IF(J413=1,"✓","")</f>
        <v/>
      </c>
      <c r="F413" s="4" t="n">
        <v>5</v>
      </c>
      <c r="G413" s="4" t="n">
        <v>2</v>
      </c>
      <c r="H413" s="4" t="s">
        <v>144</v>
      </c>
      <c r="I413" s="4" t="s">
        <v>51</v>
      </c>
      <c r="J413" s="4" t="n">
        <f aca="false">INDEX('Master List'!$G$2:$G$2594,K413)</f>
        <v>0</v>
      </c>
      <c r="K413" s="4" t="n">
        <v>603</v>
      </c>
    </row>
    <row r="414" customFormat="false" ht="15" hidden="false" customHeight="false" outlineLevel="0" collapsed="false">
      <c r="A414" s="4" t="n">
        <v>413</v>
      </c>
      <c r="B414" s="4" t="s">
        <v>787</v>
      </c>
      <c r="C414" s="4" t="n">
        <v>1971</v>
      </c>
      <c r="D414" s="4" t="s">
        <v>391</v>
      </c>
      <c r="E414" s="25" t="str">
        <f aca="false">IF(J414=1,"✓","")</f>
        <v/>
      </c>
      <c r="F414" s="4" t="n">
        <v>5</v>
      </c>
      <c r="G414" s="4" t="n">
        <v>3</v>
      </c>
      <c r="H414" s="4" t="s">
        <v>213</v>
      </c>
      <c r="I414" s="4" t="s">
        <v>51</v>
      </c>
      <c r="J414" s="4" t="n">
        <f aca="false">INDEX('Master List'!$G$2:$G$2594,K414)</f>
        <v>0</v>
      </c>
      <c r="K414" s="4" t="n">
        <v>2455</v>
      </c>
    </row>
    <row r="415" customFormat="false" ht="15" hidden="false" customHeight="false" outlineLevel="0" collapsed="false">
      <c r="A415" s="4" t="n">
        <v>414</v>
      </c>
      <c r="B415" s="4" t="s">
        <v>788</v>
      </c>
      <c r="C415" s="4" t="n">
        <v>1971</v>
      </c>
      <c r="D415" s="4" t="s">
        <v>789</v>
      </c>
      <c r="E415" s="25" t="str">
        <f aca="false">IF(J415=1,"✓","")</f>
        <v/>
      </c>
      <c r="F415" s="4" t="n">
        <v>5</v>
      </c>
      <c r="G415" s="4" t="n">
        <v>2</v>
      </c>
      <c r="H415" s="4" t="s">
        <v>144</v>
      </c>
      <c r="I415" s="4" t="s">
        <v>55</v>
      </c>
      <c r="J415" s="4" t="n">
        <f aca="false">INDEX('Master List'!$G$2:$G$2594,K415)</f>
        <v>0</v>
      </c>
      <c r="K415" s="4" t="n">
        <v>103</v>
      </c>
    </row>
    <row r="416" customFormat="false" ht="15" hidden="false" customHeight="false" outlineLevel="0" collapsed="false">
      <c r="A416" s="4" t="n">
        <v>415</v>
      </c>
      <c r="B416" s="4" t="s">
        <v>790</v>
      </c>
      <c r="C416" s="4" t="n">
        <v>1972</v>
      </c>
      <c r="D416" s="4" t="s">
        <v>791</v>
      </c>
      <c r="E416" s="25" t="str">
        <f aca="false">IF(J416=1,"✓","")</f>
        <v/>
      </c>
      <c r="F416" s="4" t="n">
        <v>5</v>
      </c>
      <c r="G416" s="4" t="n">
        <v>2</v>
      </c>
      <c r="H416" s="4" t="s">
        <v>144</v>
      </c>
      <c r="I416" s="4" t="s">
        <v>52</v>
      </c>
      <c r="J416" s="4" t="n">
        <f aca="false">INDEX('Master List'!$G$2:$G$2594,K416)</f>
        <v>0</v>
      </c>
      <c r="K416" s="4" t="n">
        <v>374</v>
      </c>
    </row>
    <row r="417" customFormat="false" ht="15" hidden="false" customHeight="false" outlineLevel="0" collapsed="false">
      <c r="A417" s="4" t="n">
        <v>416</v>
      </c>
      <c r="B417" s="4" t="s">
        <v>792</v>
      </c>
      <c r="C417" s="4" t="n">
        <v>1973</v>
      </c>
      <c r="D417" s="4" t="s">
        <v>793</v>
      </c>
      <c r="E417" s="25" t="str">
        <f aca="false">IF(J417=1,"✓","")</f>
        <v/>
      </c>
      <c r="F417" s="4" t="n">
        <v>5</v>
      </c>
      <c r="G417" s="4" t="n">
        <v>2</v>
      </c>
      <c r="H417" s="4" t="s">
        <v>144</v>
      </c>
      <c r="I417" s="4" t="s">
        <v>51</v>
      </c>
      <c r="J417" s="4" t="n">
        <f aca="false">INDEX('Master List'!$G$2:$G$2594,K417)</f>
        <v>0</v>
      </c>
      <c r="K417" s="4" t="n">
        <v>2134</v>
      </c>
    </row>
    <row r="418" customFormat="false" ht="15" hidden="false" customHeight="false" outlineLevel="0" collapsed="false">
      <c r="A418" s="4" t="n">
        <v>417</v>
      </c>
      <c r="B418" s="4" t="s">
        <v>794</v>
      </c>
      <c r="C418" s="4" t="n">
        <v>1973</v>
      </c>
      <c r="D418" s="4" t="s">
        <v>479</v>
      </c>
      <c r="E418" s="25" t="str">
        <f aca="false">IF(J418=1,"✓","")</f>
        <v>✓</v>
      </c>
      <c r="F418" s="4" t="n">
        <v>5</v>
      </c>
      <c r="G418" s="4" t="n">
        <v>2</v>
      </c>
      <c r="H418" s="4" t="s">
        <v>144</v>
      </c>
      <c r="I418" s="4" t="s">
        <v>52</v>
      </c>
      <c r="J418" s="4" t="n">
        <f aca="false">INDEX('Master List'!$G$2:$G$2594,K418)</f>
        <v>1</v>
      </c>
      <c r="K418" s="4" t="n">
        <v>763</v>
      </c>
    </row>
    <row r="419" customFormat="false" ht="15" hidden="false" customHeight="false" outlineLevel="0" collapsed="false">
      <c r="A419" s="4" t="n">
        <v>418</v>
      </c>
      <c r="B419" s="4" t="s">
        <v>795</v>
      </c>
      <c r="C419" s="4" t="n">
        <v>1973</v>
      </c>
      <c r="D419" s="4" t="s">
        <v>189</v>
      </c>
      <c r="E419" s="25" t="str">
        <f aca="false">IF(J419=1,"✓","")</f>
        <v/>
      </c>
      <c r="F419" s="4" t="n">
        <v>5</v>
      </c>
      <c r="G419" s="4" t="n">
        <v>2</v>
      </c>
      <c r="H419" s="4" t="s">
        <v>144</v>
      </c>
      <c r="I419" s="4" t="s">
        <v>52</v>
      </c>
      <c r="J419" s="4" t="n">
        <f aca="false">INDEX('Master List'!$G$2:$G$2594,K419)</f>
        <v>0</v>
      </c>
      <c r="K419" s="4" t="n">
        <v>2013</v>
      </c>
    </row>
    <row r="420" customFormat="false" ht="15" hidden="false" customHeight="false" outlineLevel="0" collapsed="false">
      <c r="A420" s="4" t="n">
        <v>419</v>
      </c>
      <c r="B420" s="4" t="s">
        <v>796</v>
      </c>
      <c r="C420" s="4" t="n">
        <v>1973</v>
      </c>
      <c r="D420" s="4" t="s">
        <v>797</v>
      </c>
      <c r="E420" s="25" t="str">
        <f aca="false">IF(J420=1,"✓","")</f>
        <v/>
      </c>
      <c r="F420" s="4" t="n">
        <v>5</v>
      </c>
      <c r="G420" s="4" t="n">
        <v>2</v>
      </c>
      <c r="H420" s="4" t="s">
        <v>144</v>
      </c>
      <c r="I420" s="4" t="s">
        <v>52</v>
      </c>
      <c r="J420" s="4" t="n">
        <f aca="false">INDEX('Master List'!$G$2:$G$2594,K420)</f>
        <v>0</v>
      </c>
      <c r="K420" s="4" t="n">
        <v>2159</v>
      </c>
    </row>
    <row r="421" customFormat="false" ht="15" hidden="false" customHeight="false" outlineLevel="0" collapsed="false">
      <c r="A421" s="4" t="n">
        <v>420</v>
      </c>
      <c r="B421" s="4" t="s">
        <v>798</v>
      </c>
      <c r="C421" s="4" t="n">
        <v>1973</v>
      </c>
      <c r="D421" s="4" t="s">
        <v>421</v>
      </c>
      <c r="E421" s="25" t="str">
        <f aca="false">IF(J421=1,"✓","")</f>
        <v/>
      </c>
      <c r="F421" s="4" t="n">
        <v>5</v>
      </c>
      <c r="G421" s="4" t="n">
        <v>2</v>
      </c>
      <c r="H421" s="4" t="s">
        <v>144</v>
      </c>
      <c r="I421" s="4" t="s">
        <v>56</v>
      </c>
      <c r="J421" s="4" t="n">
        <f aca="false">INDEX('Master List'!$G$2:$G$2594,K421)</f>
        <v>0</v>
      </c>
      <c r="K421" s="4" t="n">
        <v>1056</v>
      </c>
    </row>
    <row r="422" customFormat="false" ht="15" hidden="false" customHeight="false" outlineLevel="0" collapsed="false">
      <c r="A422" s="4" t="n">
        <v>421</v>
      </c>
      <c r="B422" s="4" t="s">
        <v>799</v>
      </c>
      <c r="C422" s="4" t="n">
        <v>1974</v>
      </c>
      <c r="D422" s="4" t="s">
        <v>170</v>
      </c>
      <c r="E422" s="25" t="str">
        <f aca="false">IF(J422=1,"✓","")</f>
        <v/>
      </c>
      <c r="F422" s="4" t="n">
        <v>5</v>
      </c>
      <c r="G422" s="4" t="n">
        <v>2</v>
      </c>
      <c r="H422" s="4" t="s">
        <v>144</v>
      </c>
      <c r="I422" s="4" t="s">
        <v>53</v>
      </c>
      <c r="J422" s="4" t="n">
        <f aca="false">INDEX('Master List'!$G$2:$G$2594,K422)</f>
        <v>0</v>
      </c>
      <c r="K422" s="4" t="n">
        <v>1988</v>
      </c>
    </row>
    <row r="423" customFormat="false" ht="15" hidden="false" customHeight="false" outlineLevel="0" collapsed="false">
      <c r="A423" s="4" t="n">
        <v>422</v>
      </c>
      <c r="B423" s="4" t="s">
        <v>800</v>
      </c>
      <c r="C423" s="4" t="n">
        <v>1974</v>
      </c>
      <c r="D423" s="4" t="s">
        <v>801</v>
      </c>
      <c r="E423" s="25" t="str">
        <f aca="false">IF(J423=1,"✓","")</f>
        <v/>
      </c>
      <c r="F423" s="4" t="n">
        <v>5</v>
      </c>
      <c r="G423" s="4" t="n">
        <v>2</v>
      </c>
      <c r="H423" s="4" t="s">
        <v>144</v>
      </c>
      <c r="I423" s="4" t="s">
        <v>53</v>
      </c>
      <c r="J423" s="4" t="n">
        <f aca="false">INDEX('Master List'!$G$2:$G$2594,K423)</f>
        <v>0</v>
      </c>
      <c r="K423" s="4" t="n">
        <v>2546</v>
      </c>
    </row>
    <row r="424" customFormat="false" ht="15" hidden="false" customHeight="false" outlineLevel="0" collapsed="false">
      <c r="A424" s="4" t="n">
        <v>423</v>
      </c>
      <c r="B424" s="4" t="s">
        <v>802</v>
      </c>
      <c r="C424" s="4" t="n">
        <v>1975</v>
      </c>
      <c r="D424" s="4" t="s">
        <v>803</v>
      </c>
      <c r="E424" s="25" t="str">
        <f aca="false">IF(J424=1,"✓","")</f>
        <v/>
      </c>
      <c r="F424" s="4" t="n">
        <v>5</v>
      </c>
      <c r="G424" s="4" t="n">
        <v>2</v>
      </c>
      <c r="H424" s="4" t="s">
        <v>144</v>
      </c>
      <c r="I424" s="4" t="s">
        <v>51</v>
      </c>
      <c r="J424" s="4" t="n">
        <f aca="false">INDEX('Master List'!$G$2:$G$2594,K424)</f>
        <v>0</v>
      </c>
      <c r="K424" s="4" t="n">
        <v>1440</v>
      </c>
    </row>
    <row r="425" customFormat="false" ht="15" hidden="false" customHeight="false" outlineLevel="0" collapsed="false">
      <c r="A425" s="4" t="n">
        <v>424</v>
      </c>
      <c r="B425" s="4" t="s">
        <v>804</v>
      </c>
      <c r="C425" s="4" t="n">
        <v>1976</v>
      </c>
      <c r="D425" s="4" t="s">
        <v>805</v>
      </c>
      <c r="E425" s="25" t="str">
        <f aca="false">IF(J425=1,"✓","")</f>
        <v/>
      </c>
      <c r="F425" s="4" t="n">
        <v>5</v>
      </c>
      <c r="G425" s="4" t="n">
        <v>2</v>
      </c>
      <c r="H425" s="4" t="s">
        <v>144</v>
      </c>
      <c r="I425" s="4" t="s">
        <v>52</v>
      </c>
      <c r="J425" s="4" t="n">
        <f aca="false">INDEX('Master List'!$G$2:$G$2594,K425)</f>
        <v>0</v>
      </c>
      <c r="K425" s="4" t="n">
        <v>998</v>
      </c>
    </row>
    <row r="426" customFormat="false" ht="15" hidden="false" customHeight="false" outlineLevel="0" collapsed="false">
      <c r="A426" s="4" t="n">
        <v>425</v>
      </c>
      <c r="B426" s="4" t="s">
        <v>806</v>
      </c>
      <c r="C426" s="4" t="n">
        <v>1977</v>
      </c>
      <c r="D426" s="4" t="s">
        <v>183</v>
      </c>
      <c r="E426" s="25" t="str">
        <f aca="false">IF(J426=1,"✓","")</f>
        <v>✓</v>
      </c>
      <c r="F426" s="4" t="n">
        <v>5</v>
      </c>
      <c r="G426" s="4" t="n">
        <v>2</v>
      </c>
      <c r="H426" s="4" t="s">
        <v>144</v>
      </c>
      <c r="I426" s="4" t="s">
        <v>50</v>
      </c>
      <c r="J426" s="4" t="n">
        <f aca="false">INDEX('Master List'!$G$2:$G$2594,K426)</f>
        <v>1</v>
      </c>
      <c r="K426" s="4" t="n">
        <v>479</v>
      </c>
    </row>
    <row r="427" customFormat="false" ht="15" hidden="false" customHeight="false" outlineLevel="0" collapsed="false">
      <c r="A427" s="4" t="n">
        <v>426</v>
      </c>
      <c r="B427" s="4" t="s">
        <v>807</v>
      </c>
      <c r="C427" s="4" t="n">
        <v>1979</v>
      </c>
      <c r="D427" s="4" t="s">
        <v>312</v>
      </c>
      <c r="E427" s="25" t="str">
        <f aca="false">IF(J427=1,"✓","")</f>
        <v/>
      </c>
      <c r="F427" s="4" t="n">
        <v>5</v>
      </c>
      <c r="G427" s="4" t="n">
        <v>2</v>
      </c>
      <c r="H427" s="4" t="s">
        <v>144</v>
      </c>
      <c r="I427" s="4" t="s">
        <v>51</v>
      </c>
      <c r="J427" s="4" t="n">
        <f aca="false">INDEX('Master List'!$G$2:$G$2594,K427)</f>
        <v>0</v>
      </c>
      <c r="K427" s="4" t="n">
        <v>1451</v>
      </c>
    </row>
    <row r="428" customFormat="false" ht="15" hidden="false" customHeight="false" outlineLevel="0" collapsed="false">
      <c r="A428" s="4" t="n">
        <v>427</v>
      </c>
      <c r="B428" s="4" t="s">
        <v>808</v>
      </c>
      <c r="C428" s="4" t="n">
        <v>1980</v>
      </c>
      <c r="D428" s="4" t="s">
        <v>272</v>
      </c>
      <c r="E428" s="25" t="str">
        <f aca="false">IF(J428=1,"✓","")</f>
        <v/>
      </c>
      <c r="F428" s="4" t="n">
        <v>5</v>
      </c>
      <c r="G428" s="4" t="n">
        <v>2</v>
      </c>
      <c r="H428" s="4" t="s">
        <v>144</v>
      </c>
      <c r="I428" s="4" t="s">
        <v>55</v>
      </c>
      <c r="J428" s="4" t="n">
        <f aca="false">INDEX('Master List'!$G$2:$G$2594,K428)</f>
        <v>0</v>
      </c>
      <c r="K428" s="4" t="n">
        <v>1524</v>
      </c>
    </row>
    <row r="429" customFormat="false" ht="15" hidden="false" customHeight="false" outlineLevel="0" collapsed="false">
      <c r="A429" s="4" t="n">
        <v>428</v>
      </c>
      <c r="B429" s="4" t="s">
        <v>809</v>
      </c>
      <c r="C429" s="4" t="n">
        <v>1981</v>
      </c>
      <c r="D429" s="4" t="s">
        <v>810</v>
      </c>
      <c r="E429" s="25" t="str">
        <f aca="false">IF(J429=1,"✓","")</f>
        <v/>
      </c>
      <c r="F429" s="4" t="n">
        <v>5</v>
      </c>
      <c r="G429" s="4" t="n">
        <v>2</v>
      </c>
      <c r="H429" s="4" t="s">
        <v>144</v>
      </c>
      <c r="I429" s="4" t="s">
        <v>52</v>
      </c>
      <c r="J429" s="4" t="n">
        <f aca="false">INDEX('Master List'!$G$2:$G$2594,K429)</f>
        <v>0</v>
      </c>
      <c r="K429" s="4" t="n">
        <v>316</v>
      </c>
    </row>
    <row r="430" customFormat="false" ht="15" hidden="false" customHeight="false" outlineLevel="0" collapsed="false">
      <c r="A430" s="4" t="n">
        <v>429</v>
      </c>
      <c r="B430" s="4" t="s">
        <v>811</v>
      </c>
      <c r="C430" s="4" t="n">
        <v>1981</v>
      </c>
      <c r="D430" s="4" t="s">
        <v>316</v>
      </c>
      <c r="E430" s="25" t="str">
        <f aca="false">IF(J430=1,"✓","")</f>
        <v>✓</v>
      </c>
      <c r="F430" s="4" t="n">
        <v>5</v>
      </c>
      <c r="G430" s="4" t="n">
        <v>2</v>
      </c>
      <c r="H430" s="4" t="s">
        <v>144</v>
      </c>
      <c r="I430" s="4" t="s">
        <v>53</v>
      </c>
      <c r="J430" s="4" t="n">
        <f aca="false">INDEX('Master List'!$G$2:$G$2594,K430)</f>
        <v>1</v>
      </c>
      <c r="K430" s="4" t="n">
        <v>1980</v>
      </c>
    </row>
    <row r="431" customFormat="false" ht="15" hidden="false" customHeight="false" outlineLevel="0" collapsed="false">
      <c r="A431" s="4" t="n">
        <v>430</v>
      </c>
      <c r="B431" s="4" t="s">
        <v>812</v>
      </c>
      <c r="C431" s="4" t="n">
        <v>1981</v>
      </c>
      <c r="D431" s="4" t="s">
        <v>813</v>
      </c>
      <c r="E431" s="25" t="str">
        <f aca="false">IF(J431=1,"✓","")</f>
        <v>✓</v>
      </c>
      <c r="F431" s="4" t="n">
        <v>5</v>
      </c>
      <c r="G431" s="4" t="n">
        <v>2</v>
      </c>
      <c r="H431" s="4" t="s">
        <v>144</v>
      </c>
      <c r="I431" s="4" t="s">
        <v>55</v>
      </c>
      <c r="J431" s="4" t="n">
        <f aca="false">INDEX('Master List'!$G$2:$G$2594,K431)</f>
        <v>1</v>
      </c>
      <c r="K431" s="4" t="n">
        <v>1571</v>
      </c>
    </row>
    <row r="432" customFormat="false" ht="15" hidden="false" customHeight="false" outlineLevel="0" collapsed="false">
      <c r="A432" s="4" t="n">
        <v>431</v>
      </c>
      <c r="B432" s="4" t="s">
        <v>814</v>
      </c>
      <c r="C432" s="4" t="n">
        <v>1984</v>
      </c>
      <c r="D432" s="4" t="s">
        <v>488</v>
      </c>
      <c r="E432" s="25" t="str">
        <f aca="false">IF(J432=1,"✓","")</f>
        <v/>
      </c>
      <c r="F432" s="4" t="n">
        <v>5</v>
      </c>
      <c r="G432" s="4" t="n">
        <v>3</v>
      </c>
      <c r="H432" s="4" t="s">
        <v>213</v>
      </c>
      <c r="I432" s="4" t="s">
        <v>52</v>
      </c>
      <c r="J432" s="4" t="n">
        <f aca="false">INDEX('Master List'!$G$2:$G$2594,K432)</f>
        <v>0</v>
      </c>
      <c r="K432" s="4" t="n">
        <v>308</v>
      </c>
    </row>
    <row r="433" customFormat="false" ht="15" hidden="false" customHeight="false" outlineLevel="0" collapsed="false">
      <c r="A433" s="4" t="n">
        <v>432</v>
      </c>
      <c r="B433" s="4" t="s">
        <v>815</v>
      </c>
      <c r="C433" s="4" t="n">
        <v>1986</v>
      </c>
      <c r="D433" s="4" t="s">
        <v>816</v>
      </c>
      <c r="E433" s="25" t="str">
        <f aca="false">IF(J433=1,"✓","")</f>
        <v>✓</v>
      </c>
      <c r="F433" s="4" t="n">
        <v>5</v>
      </c>
      <c r="G433" s="4" t="n">
        <v>2</v>
      </c>
      <c r="H433" s="4" t="s">
        <v>144</v>
      </c>
      <c r="I433" s="4" t="s">
        <v>52</v>
      </c>
      <c r="J433" s="4" t="n">
        <f aca="false">INDEX('Master List'!$G$2:$G$2594,K433)</f>
        <v>1</v>
      </c>
      <c r="K433" s="4" t="n">
        <v>1778</v>
      </c>
    </row>
    <row r="434" customFormat="false" ht="15" hidden="false" customHeight="false" outlineLevel="0" collapsed="false">
      <c r="A434" s="4" t="n">
        <v>433</v>
      </c>
      <c r="B434" s="4" t="s">
        <v>817</v>
      </c>
      <c r="C434" s="4" t="n">
        <v>1987</v>
      </c>
      <c r="D434" s="4" t="s">
        <v>818</v>
      </c>
      <c r="E434" s="25" t="str">
        <f aca="false">IF(J434=1,"✓","")</f>
        <v/>
      </c>
      <c r="F434" s="4" t="n">
        <v>5</v>
      </c>
      <c r="G434" s="4" t="n">
        <v>3</v>
      </c>
      <c r="H434" s="4" t="s">
        <v>213</v>
      </c>
      <c r="I434" s="4" t="s">
        <v>52</v>
      </c>
      <c r="J434" s="4" t="n">
        <f aca="false">INDEX('Master List'!$G$2:$G$2594,K434)</f>
        <v>0</v>
      </c>
      <c r="K434" s="4" t="n">
        <v>354</v>
      </c>
    </row>
    <row r="435" customFormat="false" ht="15" hidden="false" customHeight="false" outlineLevel="0" collapsed="false">
      <c r="A435" s="4" t="n">
        <v>434</v>
      </c>
      <c r="B435" s="4" t="s">
        <v>819</v>
      </c>
      <c r="C435" s="4" t="n">
        <v>1988</v>
      </c>
      <c r="D435" s="4" t="s">
        <v>820</v>
      </c>
      <c r="E435" s="25" t="str">
        <f aca="false">IF(J435=1,"✓","")</f>
        <v/>
      </c>
      <c r="F435" s="4" t="n">
        <v>5</v>
      </c>
      <c r="G435" s="4" t="n">
        <v>2</v>
      </c>
      <c r="H435" s="4" t="s">
        <v>144</v>
      </c>
      <c r="I435" s="4" t="s">
        <v>51</v>
      </c>
      <c r="J435" s="4" t="n">
        <f aca="false">INDEX('Master List'!$G$2:$G$2594,K435)</f>
        <v>0</v>
      </c>
      <c r="K435" s="4" t="n">
        <v>60</v>
      </c>
    </row>
    <row r="436" customFormat="false" ht="15" hidden="false" customHeight="false" outlineLevel="0" collapsed="false">
      <c r="A436" s="4" t="n">
        <v>435</v>
      </c>
      <c r="B436" s="4" t="s">
        <v>821</v>
      </c>
      <c r="C436" s="4" t="n">
        <v>1989</v>
      </c>
      <c r="D436" s="4" t="s">
        <v>822</v>
      </c>
      <c r="E436" s="25" t="str">
        <f aca="false">IF(J436=1,"✓","")</f>
        <v/>
      </c>
      <c r="F436" s="4" t="n">
        <v>5</v>
      </c>
      <c r="G436" s="4" t="n">
        <v>2</v>
      </c>
      <c r="H436" s="4" t="s">
        <v>144</v>
      </c>
      <c r="I436" s="4" t="s">
        <v>52</v>
      </c>
      <c r="J436" s="4" t="n">
        <f aca="false">INDEX('Master List'!$G$2:$G$2594,K436)</f>
        <v>0</v>
      </c>
      <c r="K436" s="4" t="n">
        <v>2493</v>
      </c>
    </row>
    <row r="437" customFormat="false" ht="15" hidden="false" customHeight="false" outlineLevel="0" collapsed="false">
      <c r="A437" s="4" t="n">
        <v>436</v>
      </c>
      <c r="B437" s="4" t="s">
        <v>823</v>
      </c>
      <c r="C437" s="4" t="n">
        <v>1989</v>
      </c>
      <c r="D437" s="4" t="s">
        <v>615</v>
      </c>
      <c r="E437" s="25" t="str">
        <f aca="false">IF(J437=1,"✓","")</f>
        <v/>
      </c>
      <c r="F437" s="4" t="n">
        <v>5</v>
      </c>
      <c r="G437" s="4" t="n">
        <v>3</v>
      </c>
      <c r="H437" s="4" t="s">
        <v>213</v>
      </c>
      <c r="I437" s="4" t="s">
        <v>53</v>
      </c>
      <c r="J437" s="4" t="n">
        <f aca="false">INDEX('Master List'!$G$2:$G$2594,K437)</f>
        <v>0</v>
      </c>
      <c r="K437" s="4" t="n">
        <v>1577</v>
      </c>
    </row>
    <row r="438" customFormat="false" ht="15" hidden="false" customHeight="false" outlineLevel="0" collapsed="false">
      <c r="A438" s="4" t="n">
        <v>437</v>
      </c>
      <c r="B438" s="4" t="s">
        <v>824</v>
      </c>
      <c r="C438" s="4" t="n">
        <v>1990</v>
      </c>
      <c r="D438" s="4" t="s">
        <v>825</v>
      </c>
      <c r="E438" s="25" t="str">
        <f aca="false">IF(J438=1,"✓","")</f>
        <v/>
      </c>
      <c r="F438" s="4" t="n">
        <v>5</v>
      </c>
      <c r="G438" s="4" t="n">
        <v>2</v>
      </c>
      <c r="H438" s="4" t="s">
        <v>144</v>
      </c>
      <c r="I438" s="4" t="s">
        <v>52</v>
      </c>
      <c r="J438" s="4" t="n">
        <f aca="false">INDEX('Master List'!$G$2:$G$2594,K438)</f>
        <v>0</v>
      </c>
      <c r="K438" s="4" t="n">
        <v>1722</v>
      </c>
    </row>
    <row r="439" customFormat="false" ht="15" hidden="false" customHeight="false" outlineLevel="0" collapsed="false">
      <c r="A439" s="4" t="n">
        <v>438</v>
      </c>
      <c r="B439" s="4" t="s">
        <v>826</v>
      </c>
      <c r="C439" s="4" t="n">
        <v>1991</v>
      </c>
      <c r="D439" s="4" t="s">
        <v>827</v>
      </c>
      <c r="E439" s="25" t="str">
        <f aca="false">IF(J439=1,"✓","")</f>
        <v>✓</v>
      </c>
      <c r="F439" s="4" t="n">
        <v>5</v>
      </c>
      <c r="G439" s="4" t="n">
        <v>2</v>
      </c>
      <c r="H439" s="4" t="s">
        <v>144</v>
      </c>
      <c r="I439" s="4" t="s">
        <v>54</v>
      </c>
      <c r="J439" s="4" t="n">
        <f aca="false">INDEX('Master List'!$G$2:$G$2594,K439)</f>
        <v>1</v>
      </c>
      <c r="K439" s="4" t="n">
        <v>1576</v>
      </c>
    </row>
    <row r="440" customFormat="false" ht="15" hidden="false" customHeight="false" outlineLevel="0" collapsed="false">
      <c r="A440" s="4" t="n">
        <v>439</v>
      </c>
      <c r="B440" s="4" t="s">
        <v>828</v>
      </c>
      <c r="C440" s="4" t="n">
        <v>1992</v>
      </c>
      <c r="D440" s="4" t="s">
        <v>829</v>
      </c>
      <c r="E440" s="25" t="str">
        <f aca="false">IF(J440=1,"✓","")</f>
        <v>✓</v>
      </c>
      <c r="F440" s="4" t="n">
        <v>5</v>
      </c>
      <c r="G440" s="4" t="n">
        <v>2</v>
      </c>
      <c r="H440" s="4" t="s">
        <v>144</v>
      </c>
      <c r="I440" s="4" t="s">
        <v>52</v>
      </c>
      <c r="J440" s="4" t="n">
        <f aca="false">INDEX('Master List'!$G$2:$G$2594,K440)</f>
        <v>1</v>
      </c>
      <c r="K440" s="4" t="n">
        <v>2408</v>
      </c>
    </row>
    <row r="441" customFormat="false" ht="15" hidden="false" customHeight="false" outlineLevel="0" collapsed="false">
      <c r="A441" s="4" t="n">
        <v>440</v>
      </c>
      <c r="B441" s="4" t="s">
        <v>830</v>
      </c>
      <c r="C441" s="4" t="n">
        <v>1993</v>
      </c>
      <c r="D441" s="4" t="s">
        <v>831</v>
      </c>
      <c r="E441" s="25" t="str">
        <f aca="false">IF(J441=1,"✓","")</f>
        <v/>
      </c>
      <c r="F441" s="4" t="n">
        <v>5</v>
      </c>
      <c r="G441" s="4" t="n">
        <v>2</v>
      </c>
      <c r="H441" s="4" t="s">
        <v>144</v>
      </c>
      <c r="I441" s="4" t="s">
        <v>51</v>
      </c>
      <c r="J441" s="4" t="n">
        <f aca="false">INDEX('Master List'!$G$2:$G$2594,K441)</f>
        <v>0</v>
      </c>
      <c r="K441" s="4" t="n">
        <v>2112</v>
      </c>
    </row>
    <row r="442" customFormat="false" ht="15" hidden="false" customHeight="false" outlineLevel="0" collapsed="false">
      <c r="A442" s="4" t="n">
        <v>441</v>
      </c>
      <c r="B442" s="4" t="s">
        <v>832</v>
      </c>
      <c r="C442" s="4" t="n">
        <v>1993</v>
      </c>
      <c r="D442" s="4" t="s">
        <v>833</v>
      </c>
      <c r="E442" s="25" t="str">
        <f aca="false">IF(J442=1,"✓","")</f>
        <v/>
      </c>
      <c r="F442" s="4" t="n">
        <v>5</v>
      </c>
      <c r="G442" s="4" t="n">
        <v>2</v>
      </c>
      <c r="H442" s="4" t="s">
        <v>144</v>
      </c>
      <c r="I442" s="4" t="s">
        <v>51</v>
      </c>
      <c r="J442" s="4" t="n">
        <f aca="false">INDEX('Master List'!$G$2:$G$2594,K442)</f>
        <v>0</v>
      </c>
      <c r="K442" s="4" t="n">
        <v>1760</v>
      </c>
    </row>
    <row r="443" customFormat="false" ht="15" hidden="false" customHeight="false" outlineLevel="0" collapsed="false">
      <c r="A443" s="4" t="n">
        <v>442</v>
      </c>
      <c r="B443" s="4" t="s">
        <v>834</v>
      </c>
      <c r="C443" s="4" t="n">
        <v>1994</v>
      </c>
      <c r="D443" s="4" t="s">
        <v>266</v>
      </c>
      <c r="E443" s="25" t="str">
        <f aca="false">IF(J443=1,"✓","")</f>
        <v>✓</v>
      </c>
      <c r="F443" s="4" t="n">
        <v>5</v>
      </c>
      <c r="G443" s="4" t="n">
        <v>2</v>
      </c>
      <c r="H443" s="4" t="s">
        <v>144</v>
      </c>
      <c r="I443" s="4" t="s">
        <v>52</v>
      </c>
      <c r="J443" s="4" t="n">
        <f aca="false">INDEX('Master List'!$G$2:$G$2594,K443)</f>
        <v>1</v>
      </c>
      <c r="K443" s="4" t="n">
        <v>1130</v>
      </c>
    </row>
    <row r="444" customFormat="false" ht="15" hidden="false" customHeight="false" outlineLevel="0" collapsed="false">
      <c r="A444" s="4" t="n">
        <v>443</v>
      </c>
      <c r="B444" s="4" t="s">
        <v>835</v>
      </c>
      <c r="C444" s="4" t="n">
        <v>1994</v>
      </c>
      <c r="D444" s="4" t="s">
        <v>813</v>
      </c>
      <c r="E444" s="25" t="str">
        <f aca="false">IF(J444=1,"✓","")</f>
        <v/>
      </c>
      <c r="F444" s="4" t="n">
        <v>5</v>
      </c>
      <c r="G444" s="4" t="n">
        <v>3</v>
      </c>
      <c r="H444" s="4" t="s">
        <v>213</v>
      </c>
      <c r="I444" s="4" t="s">
        <v>55</v>
      </c>
      <c r="J444" s="4" t="n">
        <f aca="false">INDEX('Master List'!$G$2:$G$2594,K444)</f>
        <v>0</v>
      </c>
      <c r="K444" s="4" t="n">
        <v>2423</v>
      </c>
    </row>
    <row r="445" customFormat="false" ht="15" hidden="false" customHeight="false" outlineLevel="0" collapsed="false">
      <c r="A445" s="4" t="n">
        <v>444</v>
      </c>
      <c r="B445" s="4" t="s">
        <v>836</v>
      </c>
      <c r="C445" s="4" t="n">
        <v>1995</v>
      </c>
      <c r="D445" s="4" t="s">
        <v>837</v>
      </c>
      <c r="E445" s="25" t="str">
        <f aca="false">IF(J445=1,"✓","")</f>
        <v>✓</v>
      </c>
      <c r="F445" s="4" t="n">
        <v>5</v>
      </c>
      <c r="G445" s="4" t="n">
        <v>2</v>
      </c>
      <c r="H445" s="4" t="s">
        <v>144</v>
      </c>
      <c r="I445" s="4" t="s">
        <v>51</v>
      </c>
      <c r="J445" s="4" t="n">
        <f aca="false">INDEX('Master List'!$G$2:$G$2594,K445)</f>
        <v>1</v>
      </c>
      <c r="K445" s="4" t="n">
        <v>891</v>
      </c>
    </row>
    <row r="446" customFormat="false" ht="15" hidden="false" customHeight="false" outlineLevel="0" collapsed="false">
      <c r="A446" s="4" t="n">
        <v>445</v>
      </c>
      <c r="B446" s="4" t="s">
        <v>838</v>
      </c>
      <c r="C446" s="4" t="n">
        <v>1995</v>
      </c>
      <c r="D446" s="4" t="s">
        <v>615</v>
      </c>
      <c r="E446" s="25" t="str">
        <f aca="false">IF(J446=1,"✓","")</f>
        <v/>
      </c>
      <c r="F446" s="4" t="n">
        <v>5</v>
      </c>
      <c r="G446" s="4" t="n">
        <v>2</v>
      </c>
      <c r="H446" s="4" t="s">
        <v>144</v>
      </c>
      <c r="I446" s="4" t="s">
        <v>52</v>
      </c>
      <c r="J446" s="4" t="n">
        <f aca="false">INDEX('Master List'!$G$2:$G$2594,K446)</f>
        <v>0</v>
      </c>
      <c r="K446" s="4" t="n">
        <v>583</v>
      </c>
    </row>
    <row r="447" customFormat="false" ht="15" hidden="false" customHeight="false" outlineLevel="0" collapsed="false">
      <c r="A447" s="4" t="n">
        <v>446</v>
      </c>
      <c r="B447" s="4" t="s">
        <v>839</v>
      </c>
      <c r="C447" s="4" t="n">
        <v>1995</v>
      </c>
      <c r="D447" s="4" t="s">
        <v>325</v>
      </c>
      <c r="E447" s="25" t="str">
        <f aca="false">IF(J447=1,"✓","")</f>
        <v>✓</v>
      </c>
      <c r="F447" s="4" t="n">
        <v>5</v>
      </c>
      <c r="G447" s="4" t="n">
        <v>2</v>
      </c>
      <c r="H447" s="4" t="s">
        <v>144</v>
      </c>
      <c r="I447" s="4" t="s">
        <v>52</v>
      </c>
      <c r="J447" s="4" t="n">
        <f aca="false">INDEX('Master List'!$G$2:$G$2594,K447)</f>
        <v>1</v>
      </c>
      <c r="K447" s="4" t="n">
        <v>1996</v>
      </c>
    </row>
    <row r="448" customFormat="false" ht="15" hidden="false" customHeight="false" outlineLevel="0" collapsed="false">
      <c r="A448" s="4" t="n">
        <v>447</v>
      </c>
      <c r="B448" s="4" t="s">
        <v>840</v>
      </c>
      <c r="C448" s="4" t="n">
        <v>1997</v>
      </c>
      <c r="D448" s="4" t="s">
        <v>841</v>
      </c>
      <c r="E448" s="25" t="str">
        <f aca="false">IF(J448=1,"✓","")</f>
        <v/>
      </c>
      <c r="F448" s="4" t="n">
        <v>5</v>
      </c>
      <c r="G448" s="4" t="n">
        <v>2</v>
      </c>
      <c r="H448" s="4" t="s">
        <v>144</v>
      </c>
      <c r="I448" s="4" t="s">
        <v>54</v>
      </c>
      <c r="J448" s="4" t="n">
        <f aca="false">INDEX('Master List'!$G$2:$G$2594,K448)</f>
        <v>0</v>
      </c>
      <c r="K448" s="4" t="n">
        <v>749</v>
      </c>
    </row>
    <row r="449" customFormat="false" ht="15" hidden="false" customHeight="false" outlineLevel="0" collapsed="false">
      <c r="A449" s="4" t="n">
        <v>448</v>
      </c>
      <c r="B449" s="4" t="s">
        <v>842</v>
      </c>
      <c r="C449" s="4" t="n">
        <v>1998</v>
      </c>
      <c r="D449" s="4" t="s">
        <v>843</v>
      </c>
      <c r="E449" s="25" t="str">
        <f aca="false">IF(J449=1,"✓","")</f>
        <v/>
      </c>
      <c r="F449" s="4" t="n">
        <v>5</v>
      </c>
      <c r="G449" s="4" t="n">
        <v>2</v>
      </c>
      <c r="H449" s="4" t="s">
        <v>144</v>
      </c>
      <c r="I449" s="4" t="s">
        <v>51</v>
      </c>
      <c r="J449" s="4" t="n">
        <f aca="false">INDEX('Master List'!$G$2:$G$2594,K449)</f>
        <v>0</v>
      </c>
      <c r="K449" s="4" t="n">
        <v>416</v>
      </c>
    </row>
    <row r="450" customFormat="false" ht="15" hidden="false" customHeight="false" outlineLevel="0" collapsed="false">
      <c r="A450" s="4" t="n">
        <v>449</v>
      </c>
      <c r="B450" s="4" t="s">
        <v>844</v>
      </c>
      <c r="C450" s="4" t="n">
        <v>1998</v>
      </c>
      <c r="D450" s="4" t="s">
        <v>845</v>
      </c>
      <c r="E450" s="25" t="str">
        <f aca="false">IF(J450=1,"✓","")</f>
        <v/>
      </c>
      <c r="F450" s="4" t="n">
        <v>5</v>
      </c>
      <c r="G450" s="4" t="n">
        <v>2</v>
      </c>
      <c r="H450" s="4" t="s">
        <v>144</v>
      </c>
      <c r="I450" s="4" t="s">
        <v>52</v>
      </c>
      <c r="J450" s="4" t="n">
        <f aca="false">INDEX('Master List'!$G$2:$G$2594,K450)</f>
        <v>0</v>
      </c>
      <c r="K450" s="4" t="n">
        <v>1907</v>
      </c>
    </row>
    <row r="451" customFormat="false" ht="15" hidden="false" customHeight="false" outlineLevel="0" collapsed="false">
      <c r="A451" s="4" t="n">
        <v>450</v>
      </c>
      <c r="B451" s="4" t="s">
        <v>846</v>
      </c>
      <c r="C451" s="4" t="n">
        <v>1998</v>
      </c>
      <c r="D451" s="4" t="s">
        <v>183</v>
      </c>
      <c r="E451" s="25" t="str">
        <f aca="false">IF(J451=1,"✓","")</f>
        <v>✓</v>
      </c>
      <c r="F451" s="4" t="n">
        <v>5</v>
      </c>
      <c r="G451" s="4" t="n">
        <v>2</v>
      </c>
      <c r="H451" s="4" t="s">
        <v>144</v>
      </c>
      <c r="I451" s="4" t="s">
        <v>52</v>
      </c>
      <c r="J451" s="4" t="n">
        <f aca="false">INDEX('Master List'!$G$2:$G$2594,K451)</f>
        <v>1</v>
      </c>
      <c r="K451" s="4" t="n">
        <v>1976</v>
      </c>
    </row>
    <row r="452" customFormat="false" ht="15" hidden="false" customHeight="false" outlineLevel="0" collapsed="false">
      <c r="A452" s="4" t="n">
        <v>451</v>
      </c>
      <c r="B452" s="4" t="s">
        <v>847</v>
      </c>
      <c r="C452" s="4" t="n">
        <v>1999</v>
      </c>
      <c r="D452" s="4" t="s">
        <v>848</v>
      </c>
      <c r="E452" s="25" t="str">
        <f aca="false">IF(J452=1,"✓","")</f>
        <v>✓</v>
      </c>
      <c r="F452" s="4" t="n">
        <v>5</v>
      </c>
      <c r="G452" s="4" t="n">
        <v>2</v>
      </c>
      <c r="H452" s="4" t="s">
        <v>144</v>
      </c>
      <c r="I452" s="4" t="s">
        <v>52</v>
      </c>
      <c r="J452" s="4" t="n">
        <f aca="false">INDEX('Master List'!$G$2:$G$2594,K452)</f>
        <v>1</v>
      </c>
      <c r="K452" s="4" t="n">
        <v>1464</v>
      </c>
    </row>
    <row r="453" customFormat="false" ht="15" hidden="false" customHeight="false" outlineLevel="0" collapsed="false">
      <c r="A453" s="4" t="n">
        <v>452</v>
      </c>
      <c r="B453" s="4" t="s">
        <v>849</v>
      </c>
      <c r="C453" s="4" t="n">
        <v>1999</v>
      </c>
      <c r="D453" s="4" t="s">
        <v>325</v>
      </c>
      <c r="E453" s="25" t="str">
        <f aca="false">IF(J453=1,"✓","")</f>
        <v>✓</v>
      </c>
      <c r="F453" s="4" t="n">
        <v>5</v>
      </c>
      <c r="G453" s="4" t="n">
        <v>2</v>
      </c>
      <c r="H453" s="4" t="s">
        <v>144</v>
      </c>
      <c r="I453" s="4" t="s">
        <v>53</v>
      </c>
      <c r="J453" s="4" t="n">
        <f aca="false">INDEX('Master List'!$G$2:$G$2594,K453)</f>
        <v>1</v>
      </c>
      <c r="K453" s="4" t="n">
        <v>804</v>
      </c>
    </row>
    <row r="454" customFormat="false" ht="15" hidden="false" customHeight="false" outlineLevel="0" collapsed="false">
      <c r="A454" s="4" t="n">
        <v>453</v>
      </c>
      <c r="B454" s="4" t="s">
        <v>850</v>
      </c>
      <c r="C454" s="4" t="n">
        <v>2000</v>
      </c>
      <c r="D454" s="4" t="s">
        <v>490</v>
      </c>
      <c r="E454" s="25" t="str">
        <f aca="false">IF(J454=1,"✓","")</f>
        <v/>
      </c>
      <c r="F454" s="4" t="n">
        <v>5</v>
      </c>
      <c r="G454" s="4" t="n">
        <v>2</v>
      </c>
      <c r="H454" s="4" t="s">
        <v>144</v>
      </c>
      <c r="I454" s="4" t="s">
        <v>53</v>
      </c>
      <c r="J454" s="4" t="n">
        <f aca="false">INDEX('Master List'!$G$2:$G$2594,K454)</f>
        <v>0</v>
      </c>
      <c r="K454" s="4" t="n">
        <v>2356</v>
      </c>
    </row>
    <row r="455" customFormat="false" ht="15" hidden="false" customHeight="false" outlineLevel="0" collapsed="false">
      <c r="A455" s="4" t="n">
        <v>454</v>
      </c>
      <c r="B455" s="4" t="s">
        <v>851</v>
      </c>
      <c r="C455" s="4" t="n">
        <v>2001</v>
      </c>
      <c r="D455" s="4" t="s">
        <v>384</v>
      </c>
      <c r="E455" s="25" t="str">
        <f aca="false">IF(J455=1,"✓","")</f>
        <v/>
      </c>
      <c r="F455" s="4" t="n">
        <v>5</v>
      </c>
      <c r="G455" s="4" t="n">
        <v>2</v>
      </c>
      <c r="H455" s="4" t="s">
        <v>144</v>
      </c>
      <c r="I455" s="4" t="s">
        <v>51</v>
      </c>
      <c r="J455" s="4" t="n">
        <f aca="false">INDEX('Master List'!$G$2:$G$2594,K455)</f>
        <v>0</v>
      </c>
      <c r="K455" s="4" t="n">
        <v>2563</v>
      </c>
    </row>
    <row r="456" customFormat="false" ht="15" hidden="false" customHeight="false" outlineLevel="0" collapsed="false">
      <c r="A456" s="4" t="n">
        <v>455</v>
      </c>
      <c r="B456" s="4" t="s">
        <v>852</v>
      </c>
      <c r="C456" s="4" t="n">
        <v>2002</v>
      </c>
      <c r="D456" s="4" t="s">
        <v>278</v>
      </c>
      <c r="E456" s="25" t="str">
        <f aca="false">IF(J456=1,"✓","")</f>
        <v>✓</v>
      </c>
      <c r="F456" s="4" t="n">
        <v>5</v>
      </c>
      <c r="G456" s="4" t="n">
        <v>2</v>
      </c>
      <c r="H456" s="4" t="s">
        <v>144</v>
      </c>
      <c r="I456" s="4" t="s">
        <v>52</v>
      </c>
      <c r="J456" s="4" t="n">
        <f aca="false">INDEX('Master List'!$G$2:$G$2594,K456)</f>
        <v>1</v>
      </c>
      <c r="K456" s="4" t="n">
        <v>1832</v>
      </c>
    </row>
    <row r="457" customFormat="false" ht="15" hidden="false" customHeight="false" outlineLevel="0" collapsed="false">
      <c r="A457" s="4" t="n">
        <v>456</v>
      </c>
      <c r="B457" s="4" t="s">
        <v>853</v>
      </c>
      <c r="C457" s="4" t="n">
        <v>2003</v>
      </c>
      <c r="D457" s="4" t="s">
        <v>854</v>
      </c>
      <c r="E457" s="25" t="str">
        <f aca="false">IF(J457=1,"✓","")</f>
        <v/>
      </c>
      <c r="F457" s="4" t="n">
        <v>5</v>
      </c>
      <c r="G457" s="4" t="n">
        <v>2</v>
      </c>
      <c r="H457" s="4" t="s">
        <v>144</v>
      </c>
      <c r="I457" s="4" t="s">
        <v>52</v>
      </c>
      <c r="J457" s="4" t="n">
        <f aca="false">INDEX('Master List'!$G$2:$G$2594,K457)</f>
        <v>0</v>
      </c>
      <c r="K457" s="4" t="n">
        <v>2348</v>
      </c>
    </row>
    <row r="458" customFormat="false" ht="15" hidden="false" customHeight="false" outlineLevel="0" collapsed="false">
      <c r="A458" s="4" t="n">
        <v>457</v>
      </c>
      <c r="B458" s="4" t="s">
        <v>855</v>
      </c>
      <c r="C458" s="4" t="n">
        <v>2004</v>
      </c>
      <c r="D458" s="4" t="s">
        <v>856</v>
      </c>
      <c r="E458" s="25" t="str">
        <f aca="false">IF(J458=1,"✓","")</f>
        <v>✓</v>
      </c>
      <c r="F458" s="4" t="n">
        <v>5</v>
      </c>
      <c r="G458" s="4" t="n">
        <v>2</v>
      </c>
      <c r="H458" s="4" t="s">
        <v>144</v>
      </c>
      <c r="I458" s="4" t="s">
        <v>52</v>
      </c>
      <c r="J458" s="4" t="n">
        <f aca="false">INDEX('Master List'!$G$2:$G$2594,K458)</f>
        <v>1</v>
      </c>
      <c r="K458" s="4" t="n">
        <v>100</v>
      </c>
    </row>
    <row r="459" customFormat="false" ht="15" hidden="false" customHeight="false" outlineLevel="0" collapsed="false">
      <c r="A459" s="4" t="n">
        <v>458</v>
      </c>
      <c r="B459" s="4" t="s">
        <v>857</v>
      </c>
      <c r="C459" s="4" t="n">
        <v>2005</v>
      </c>
      <c r="D459" s="4" t="s">
        <v>292</v>
      </c>
      <c r="E459" s="25" t="str">
        <f aca="false">IF(J459=1,"✓","")</f>
        <v/>
      </c>
      <c r="F459" s="4" t="n">
        <v>5</v>
      </c>
      <c r="G459" s="4" t="n">
        <v>2</v>
      </c>
      <c r="H459" s="4" t="s">
        <v>144</v>
      </c>
      <c r="I459" s="4" t="s">
        <v>52</v>
      </c>
      <c r="J459" s="4" t="n">
        <f aca="false">INDEX('Master List'!$G$2:$G$2594,K459)</f>
        <v>0</v>
      </c>
      <c r="K459" s="4" t="n">
        <v>969</v>
      </c>
    </row>
    <row r="460" customFormat="false" ht="15" hidden="false" customHeight="false" outlineLevel="0" collapsed="false">
      <c r="A460" s="4" t="n">
        <v>459</v>
      </c>
      <c r="B460" s="4" t="s">
        <v>858</v>
      </c>
      <c r="C460" s="4" t="n">
        <v>2006</v>
      </c>
      <c r="D460" s="4" t="s">
        <v>859</v>
      </c>
      <c r="E460" s="25" t="str">
        <f aca="false">IF(J460=1,"✓","")</f>
        <v/>
      </c>
      <c r="F460" s="4" t="n">
        <v>5</v>
      </c>
      <c r="G460" s="4" t="n">
        <v>2</v>
      </c>
      <c r="H460" s="4" t="s">
        <v>144</v>
      </c>
      <c r="I460" s="4" t="s">
        <v>51</v>
      </c>
      <c r="J460" s="4" t="n">
        <f aca="false">INDEX('Master List'!$G$2:$G$2594,K460)</f>
        <v>0</v>
      </c>
      <c r="K460" s="4" t="n">
        <v>2157</v>
      </c>
    </row>
    <row r="461" customFormat="false" ht="15" hidden="false" customHeight="false" outlineLevel="0" collapsed="false">
      <c r="A461" s="4" t="n">
        <v>460</v>
      </c>
      <c r="B461" s="4" t="s">
        <v>860</v>
      </c>
      <c r="C461" s="4" t="n">
        <v>2008</v>
      </c>
      <c r="D461" s="4" t="s">
        <v>861</v>
      </c>
      <c r="E461" s="25" t="str">
        <f aca="false">IF(J461=1,"✓","")</f>
        <v/>
      </c>
      <c r="F461" s="4" t="n">
        <v>5</v>
      </c>
      <c r="G461" s="4" t="n">
        <v>2</v>
      </c>
      <c r="H461" s="4" t="s">
        <v>144</v>
      </c>
      <c r="I461" s="4" t="s">
        <v>51</v>
      </c>
      <c r="J461" s="4" t="n">
        <f aca="false">INDEX('Master List'!$G$2:$G$2594,K461)</f>
        <v>0</v>
      </c>
      <c r="K461" s="4" t="n">
        <v>433</v>
      </c>
    </row>
    <row r="462" customFormat="false" ht="15" hidden="false" customHeight="false" outlineLevel="0" collapsed="false">
      <c r="A462" s="4" t="n">
        <v>461</v>
      </c>
      <c r="B462" s="4" t="s">
        <v>862</v>
      </c>
      <c r="C462" s="4" t="n">
        <v>2008</v>
      </c>
      <c r="D462" s="4" t="s">
        <v>863</v>
      </c>
      <c r="E462" s="25" t="str">
        <f aca="false">IF(J462=1,"✓","")</f>
        <v/>
      </c>
      <c r="F462" s="4" t="n">
        <v>5</v>
      </c>
      <c r="G462" s="4" t="n">
        <v>2</v>
      </c>
      <c r="H462" s="4" t="s">
        <v>144</v>
      </c>
      <c r="I462" s="4" t="s">
        <v>51</v>
      </c>
      <c r="J462" s="4" t="n">
        <f aca="false">INDEX('Master List'!$G$2:$G$2594,K462)</f>
        <v>0</v>
      </c>
      <c r="K462" s="4" t="n">
        <v>2460</v>
      </c>
    </row>
    <row r="463" customFormat="false" ht="15" hidden="false" customHeight="false" outlineLevel="0" collapsed="false">
      <c r="A463" s="4" t="n">
        <v>462</v>
      </c>
      <c r="B463" s="4" t="s">
        <v>864</v>
      </c>
      <c r="C463" s="4" t="n">
        <v>2008</v>
      </c>
      <c r="D463" s="4" t="s">
        <v>865</v>
      </c>
      <c r="E463" s="25" t="str">
        <f aca="false">IF(J463=1,"✓","")</f>
        <v/>
      </c>
      <c r="F463" s="4" t="n">
        <v>5</v>
      </c>
      <c r="G463" s="4" t="n">
        <v>2</v>
      </c>
      <c r="H463" s="4" t="s">
        <v>144</v>
      </c>
      <c r="I463" s="4" t="s">
        <v>52</v>
      </c>
      <c r="J463" s="4" t="n">
        <f aca="false">INDEX('Master List'!$G$2:$G$2594,K463)</f>
        <v>0</v>
      </c>
      <c r="K463" s="4" t="n">
        <v>1091</v>
      </c>
    </row>
    <row r="464" customFormat="false" ht="15" hidden="false" customHeight="false" outlineLevel="0" collapsed="false">
      <c r="A464" s="4" t="n">
        <v>463</v>
      </c>
      <c r="B464" s="4" t="s">
        <v>866</v>
      </c>
      <c r="C464" s="4" t="n">
        <v>2008</v>
      </c>
      <c r="D464" s="4" t="s">
        <v>867</v>
      </c>
      <c r="E464" s="25" t="str">
        <f aca="false">IF(J464=1,"✓","")</f>
        <v/>
      </c>
      <c r="F464" s="4" t="n">
        <v>5</v>
      </c>
      <c r="G464" s="4" t="n">
        <v>2</v>
      </c>
      <c r="H464" s="4" t="s">
        <v>144</v>
      </c>
      <c r="I464" s="4" t="s">
        <v>53</v>
      </c>
      <c r="J464" s="4" t="n">
        <f aca="false">INDEX('Master List'!$G$2:$G$2594,K464)</f>
        <v>0</v>
      </c>
      <c r="K464" s="4" t="n">
        <v>2482</v>
      </c>
    </row>
    <row r="465" customFormat="false" ht="15" hidden="false" customHeight="false" outlineLevel="0" collapsed="false">
      <c r="A465" s="4" t="n">
        <v>464</v>
      </c>
      <c r="B465" s="4" t="s">
        <v>868</v>
      </c>
      <c r="C465" s="4" t="n">
        <v>2009</v>
      </c>
      <c r="D465" s="4" t="s">
        <v>516</v>
      </c>
      <c r="E465" s="25" t="str">
        <f aca="false">IF(J465=1,"✓","")</f>
        <v/>
      </c>
      <c r="F465" s="4" t="n">
        <v>5</v>
      </c>
      <c r="G465" s="4" t="n">
        <v>2</v>
      </c>
      <c r="H465" s="4" t="s">
        <v>144</v>
      </c>
      <c r="I465" s="4" t="s">
        <v>51</v>
      </c>
      <c r="J465" s="4" t="n">
        <f aca="false">INDEX('Master List'!$G$2:$G$2594,K465)</f>
        <v>0</v>
      </c>
      <c r="K465" s="4" t="n">
        <v>2506</v>
      </c>
    </row>
    <row r="466" customFormat="false" ht="15" hidden="false" customHeight="false" outlineLevel="0" collapsed="false">
      <c r="A466" s="4" t="n">
        <v>465</v>
      </c>
      <c r="B466" s="4" t="s">
        <v>869</v>
      </c>
      <c r="C466" s="4" t="n">
        <v>2012</v>
      </c>
      <c r="D466" s="4" t="s">
        <v>870</v>
      </c>
      <c r="E466" s="25" t="str">
        <f aca="false">IF(J466=1,"✓","")</f>
        <v>✓</v>
      </c>
      <c r="F466" s="4" t="n">
        <v>5</v>
      </c>
      <c r="G466" s="4" t="n">
        <v>2</v>
      </c>
      <c r="H466" s="4" t="s">
        <v>144</v>
      </c>
      <c r="I466" s="4" t="s">
        <v>54</v>
      </c>
      <c r="J466" s="4" t="n">
        <f aca="false">INDEX('Master List'!$G$2:$G$2594,K466)</f>
        <v>1</v>
      </c>
      <c r="K466" s="4" t="n">
        <v>845</v>
      </c>
    </row>
    <row r="467" customFormat="false" ht="15" hidden="false" customHeight="false" outlineLevel="0" collapsed="false">
      <c r="A467" s="4" t="n">
        <v>466</v>
      </c>
      <c r="B467" s="4" t="s">
        <v>871</v>
      </c>
      <c r="C467" s="4" t="n">
        <v>2015</v>
      </c>
      <c r="D467" s="4" t="s">
        <v>872</v>
      </c>
      <c r="E467" s="25" t="str">
        <f aca="false">IF(J467=1,"✓","")</f>
        <v/>
      </c>
      <c r="F467" s="4" t="n">
        <v>5</v>
      </c>
      <c r="G467" s="4" t="n">
        <v>2</v>
      </c>
      <c r="H467" s="4" t="s">
        <v>144</v>
      </c>
      <c r="I467" s="4" t="s">
        <v>49</v>
      </c>
      <c r="J467" s="4" t="n">
        <f aca="false">INDEX('Master List'!$G$2:$G$2594,K467)</f>
        <v>0</v>
      </c>
      <c r="K467" s="4" t="n">
        <v>1407</v>
      </c>
    </row>
    <row r="468" customFormat="false" ht="15" hidden="false" customHeight="false" outlineLevel="0" collapsed="false">
      <c r="A468" s="4" t="n">
        <v>467</v>
      </c>
      <c r="B468" s="4" t="s">
        <v>873</v>
      </c>
      <c r="C468" s="4" t="n">
        <v>2015</v>
      </c>
      <c r="D468" s="4" t="s">
        <v>874</v>
      </c>
      <c r="E468" s="25" t="str">
        <f aca="false">IF(J468=1,"✓","")</f>
        <v>✓</v>
      </c>
      <c r="F468" s="4" t="n">
        <v>5</v>
      </c>
      <c r="G468" s="4" t="n">
        <v>2</v>
      </c>
      <c r="H468" s="4" t="s">
        <v>144</v>
      </c>
      <c r="I468" s="4" t="s">
        <v>52</v>
      </c>
      <c r="J468" s="4" t="n">
        <f aca="false">INDEX('Master List'!$G$2:$G$2594,K468)</f>
        <v>1</v>
      </c>
      <c r="K468" s="4" t="n">
        <v>1362</v>
      </c>
    </row>
    <row r="469" customFormat="false" ht="15" hidden="false" customHeight="false" outlineLevel="0" collapsed="false">
      <c r="A469" s="4" t="n">
        <v>468</v>
      </c>
      <c r="B469" s="4" t="s">
        <v>875</v>
      </c>
      <c r="C469" s="4" t="n">
        <v>2016</v>
      </c>
      <c r="D469" s="4" t="s">
        <v>876</v>
      </c>
      <c r="E469" s="25" t="str">
        <f aca="false">IF(J469=1,"✓","")</f>
        <v/>
      </c>
      <c r="F469" s="4" t="n">
        <v>5</v>
      </c>
      <c r="G469" s="4" t="n">
        <v>2</v>
      </c>
      <c r="H469" s="4" t="s">
        <v>144</v>
      </c>
      <c r="I469" s="4" t="s">
        <v>51</v>
      </c>
      <c r="J469" s="4" t="n">
        <f aca="false">INDEX('Master List'!$G$2:$G$2594,K469)</f>
        <v>0</v>
      </c>
      <c r="K469" s="4" t="n">
        <v>1863</v>
      </c>
    </row>
    <row r="470" customFormat="false" ht="15" hidden="false" customHeight="false" outlineLevel="0" collapsed="false">
      <c r="A470" s="4" t="n">
        <v>469</v>
      </c>
      <c r="B470" s="4" t="s">
        <v>877</v>
      </c>
      <c r="C470" s="4" t="n">
        <v>2016</v>
      </c>
      <c r="D470" s="4" t="s">
        <v>878</v>
      </c>
      <c r="E470" s="25" t="str">
        <f aca="false">IF(J470=1,"✓","")</f>
        <v/>
      </c>
      <c r="F470" s="4" t="n">
        <v>5</v>
      </c>
      <c r="G470" s="4" t="n">
        <v>2</v>
      </c>
      <c r="H470" s="4" t="s">
        <v>144</v>
      </c>
      <c r="I470" s="4" t="s">
        <v>51</v>
      </c>
      <c r="J470" s="4" t="n">
        <f aca="false">INDEX('Master List'!$G$2:$G$2594,K470)</f>
        <v>0</v>
      </c>
      <c r="K470" s="4" t="n">
        <v>2358</v>
      </c>
    </row>
    <row r="471" customFormat="false" ht="15" hidden="false" customHeight="false" outlineLevel="0" collapsed="false">
      <c r="A471" s="4" t="n">
        <v>470</v>
      </c>
      <c r="B471" s="4" t="s">
        <v>879</v>
      </c>
      <c r="C471" s="4" t="n">
        <v>2019</v>
      </c>
      <c r="D471" s="4" t="s">
        <v>867</v>
      </c>
      <c r="E471" s="25" t="str">
        <f aca="false">IF(J471=1,"✓","")</f>
        <v/>
      </c>
      <c r="F471" s="4" t="n">
        <v>5</v>
      </c>
      <c r="G471" s="4" t="n">
        <v>2</v>
      </c>
      <c r="H471" s="4" t="s">
        <v>144</v>
      </c>
      <c r="I471" s="4" t="s">
        <v>52</v>
      </c>
      <c r="J471" s="4" t="n">
        <f aca="false">INDEX('Master List'!$G$2:$G$2594,K471)</f>
        <v>0</v>
      </c>
      <c r="K471" s="4" t="n">
        <v>809</v>
      </c>
    </row>
    <row r="472" customFormat="false" ht="15" hidden="false" customHeight="false" outlineLevel="0" collapsed="false">
      <c r="A472" s="4" t="n">
        <v>471</v>
      </c>
      <c r="B472" s="4" t="s">
        <v>880</v>
      </c>
      <c r="C472" s="4" t="n">
        <v>2021</v>
      </c>
      <c r="D472" s="4" t="s">
        <v>881</v>
      </c>
      <c r="E472" s="25" t="str">
        <f aca="false">IF(J472=1,"✓","")</f>
        <v/>
      </c>
      <c r="F472" s="4" t="n">
        <v>5</v>
      </c>
      <c r="G472" s="4" t="n">
        <v>2</v>
      </c>
      <c r="H472" s="4" t="s">
        <v>144</v>
      </c>
      <c r="I472" s="4" t="s">
        <v>50</v>
      </c>
      <c r="J472" s="4" t="n">
        <f aca="false">INDEX('Master List'!$G$2:$G$2594,K472)</f>
        <v>0</v>
      </c>
      <c r="K472" s="4" t="n">
        <v>681</v>
      </c>
    </row>
    <row r="473" customFormat="false" ht="15" hidden="false" customHeight="false" outlineLevel="0" collapsed="false">
      <c r="A473" s="4" t="n">
        <v>472</v>
      </c>
      <c r="B473" s="4" t="s">
        <v>882</v>
      </c>
      <c r="C473" s="4" t="n">
        <v>2023</v>
      </c>
      <c r="D473" s="4" t="s">
        <v>429</v>
      </c>
      <c r="E473" s="25" t="str">
        <f aca="false">IF(J473=1,"✓","")</f>
        <v>✓</v>
      </c>
      <c r="F473" s="4" t="n">
        <v>5</v>
      </c>
      <c r="G473" s="4" t="n">
        <v>2</v>
      </c>
      <c r="H473" s="4" t="s">
        <v>144</v>
      </c>
      <c r="I473" s="4" t="s">
        <v>55</v>
      </c>
      <c r="J473" s="4" t="n">
        <f aca="false">INDEX('Master List'!$G$2:$G$2594,K473)</f>
        <v>1</v>
      </c>
      <c r="K473" s="4" t="n">
        <v>1048</v>
      </c>
    </row>
    <row r="474" customFormat="false" ht="15" hidden="false" customHeight="false" outlineLevel="0" collapsed="false">
      <c r="A474" s="4" t="n">
        <v>473</v>
      </c>
      <c r="B474" s="4" t="s">
        <v>883</v>
      </c>
      <c r="C474" s="4" t="n">
        <v>1943</v>
      </c>
      <c r="D474" s="4" t="s">
        <v>884</v>
      </c>
      <c r="E474" s="25" t="str">
        <f aca="false">IF(J474=1,"✓","")</f>
        <v/>
      </c>
      <c r="F474" s="4" t="n">
        <v>5</v>
      </c>
      <c r="G474" s="4" t="n">
        <v>2</v>
      </c>
      <c r="H474" s="4" t="s">
        <v>144</v>
      </c>
      <c r="I474" s="4" t="s">
        <v>52</v>
      </c>
      <c r="J474" s="4" t="n">
        <f aca="false">INDEX('Master List'!$G$2:$G$2594,K474)</f>
        <v>0</v>
      </c>
      <c r="K474" s="4" t="n">
        <v>1110</v>
      </c>
    </row>
    <row r="475" customFormat="false" ht="15" hidden="false" customHeight="false" outlineLevel="0" collapsed="false">
      <c r="A475" s="4" t="n">
        <v>474</v>
      </c>
      <c r="B475" s="4" t="s">
        <v>885</v>
      </c>
      <c r="C475" s="4" t="n">
        <v>1963</v>
      </c>
      <c r="D475" s="4" t="s">
        <v>789</v>
      </c>
      <c r="E475" s="25" t="str">
        <f aca="false">IF(J475=1,"✓","")</f>
        <v/>
      </c>
      <c r="F475" s="4" t="n">
        <v>5</v>
      </c>
      <c r="G475" s="4" t="n">
        <v>2</v>
      </c>
      <c r="H475" s="4" t="s">
        <v>144</v>
      </c>
      <c r="I475" s="4" t="s">
        <v>52</v>
      </c>
      <c r="J475" s="4" t="n">
        <f aca="false">INDEX('Master List'!$G$2:$G$2594,K475)</f>
        <v>0</v>
      </c>
      <c r="K475" s="4" t="n">
        <v>1002</v>
      </c>
    </row>
    <row r="476" customFormat="false" ht="15" hidden="false" customHeight="false" outlineLevel="0" collapsed="false">
      <c r="A476" s="4" t="n">
        <v>475</v>
      </c>
      <c r="B476" s="4" t="s">
        <v>886</v>
      </c>
      <c r="C476" s="4" t="n">
        <v>1968</v>
      </c>
      <c r="D476" s="4" t="s">
        <v>887</v>
      </c>
      <c r="E476" s="25" t="str">
        <f aca="false">IF(J476=1,"✓","")</f>
        <v/>
      </c>
      <c r="F476" s="4" t="n">
        <v>5</v>
      </c>
      <c r="G476" s="4" t="n">
        <v>2</v>
      </c>
      <c r="H476" s="4" t="s">
        <v>144</v>
      </c>
      <c r="I476" s="4" t="s">
        <v>52</v>
      </c>
      <c r="J476" s="4" t="n">
        <f aca="false">INDEX('Master List'!$G$2:$G$2594,K476)</f>
        <v>0</v>
      </c>
      <c r="K476" s="4" t="n">
        <v>2534</v>
      </c>
    </row>
    <row r="477" customFormat="false" ht="15" hidden="false" customHeight="false" outlineLevel="0" collapsed="false">
      <c r="A477" s="4" t="n">
        <v>476</v>
      </c>
      <c r="B477" s="4" t="s">
        <v>888</v>
      </c>
      <c r="C477" s="4" t="n">
        <v>1979</v>
      </c>
      <c r="D477" s="4" t="s">
        <v>409</v>
      </c>
      <c r="E477" s="25" t="str">
        <f aca="false">IF(J477=1,"✓","")</f>
        <v/>
      </c>
      <c r="F477" s="4" t="n">
        <v>5</v>
      </c>
      <c r="G477" s="4" t="n">
        <v>2</v>
      </c>
      <c r="H477" s="4" t="s">
        <v>144</v>
      </c>
      <c r="I477" s="4" t="s">
        <v>55</v>
      </c>
      <c r="J477" s="4" t="n">
        <f aca="false">INDEX('Master List'!$G$2:$G$2594,K477)</f>
        <v>0</v>
      </c>
      <c r="K477" s="4" t="n">
        <v>743</v>
      </c>
    </row>
    <row r="478" customFormat="false" ht="15" hidden="false" customHeight="false" outlineLevel="0" collapsed="false">
      <c r="A478" s="4" t="n">
        <v>477</v>
      </c>
      <c r="B478" s="4" t="s">
        <v>889</v>
      </c>
      <c r="C478" s="4" t="n">
        <v>1984</v>
      </c>
      <c r="D478" s="4" t="s">
        <v>822</v>
      </c>
      <c r="E478" s="25" t="str">
        <f aca="false">IF(J478=1,"✓","")</f>
        <v/>
      </c>
      <c r="F478" s="4" t="n">
        <v>5</v>
      </c>
      <c r="G478" s="4" t="n">
        <v>2</v>
      </c>
      <c r="H478" s="4" t="s">
        <v>144</v>
      </c>
      <c r="I478" s="4" t="s">
        <v>52</v>
      </c>
      <c r="J478" s="4" t="n">
        <f aca="false">INDEX('Master List'!$G$2:$G$2594,K478)</f>
        <v>0</v>
      </c>
      <c r="K478" s="4" t="n">
        <v>2285</v>
      </c>
    </row>
    <row r="479" customFormat="false" ht="15" hidden="false" customHeight="false" outlineLevel="0" collapsed="false">
      <c r="A479" s="4" t="n">
        <v>478</v>
      </c>
      <c r="B479" s="4" t="s">
        <v>890</v>
      </c>
      <c r="C479" s="4" t="n">
        <v>1990</v>
      </c>
      <c r="D479" s="4" t="s">
        <v>369</v>
      </c>
      <c r="E479" s="25" t="str">
        <f aca="false">IF(J479=1,"✓","")</f>
        <v/>
      </c>
      <c r="F479" s="4" t="n">
        <v>5</v>
      </c>
      <c r="G479" s="4" t="n">
        <v>2</v>
      </c>
      <c r="H479" s="4" t="s">
        <v>144</v>
      </c>
      <c r="I479" s="4" t="s">
        <v>56</v>
      </c>
      <c r="J479" s="4" t="n">
        <f aca="false">INDEX('Master List'!$G$2:$G$2594,K479)</f>
        <v>0</v>
      </c>
      <c r="K479" s="4" t="n">
        <v>1089</v>
      </c>
    </row>
    <row r="480" customFormat="false" ht="15" hidden="false" customHeight="false" outlineLevel="0" collapsed="false">
      <c r="A480" s="4" t="n">
        <v>479</v>
      </c>
      <c r="B480" s="4" t="s">
        <v>891</v>
      </c>
      <c r="C480" s="4" t="n">
        <v>1991</v>
      </c>
      <c r="D480" s="4" t="s">
        <v>892</v>
      </c>
      <c r="E480" s="25" t="str">
        <f aca="false">IF(J480=1,"✓","")</f>
        <v/>
      </c>
      <c r="F480" s="4" t="n">
        <v>5</v>
      </c>
      <c r="G480" s="4" t="n">
        <v>2</v>
      </c>
      <c r="H480" s="4" t="s">
        <v>144</v>
      </c>
      <c r="I480" s="4" t="s">
        <v>52</v>
      </c>
      <c r="J480" s="4" t="n">
        <f aca="false">INDEX('Master List'!$G$2:$G$2594,K480)</f>
        <v>0</v>
      </c>
      <c r="K480" s="4" t="n">
        <v>2255</v>
      </c>
    </row>
    <row r="481" customFormat="false" ht="15" hidden="false" customHeight="false" outlineLevel="0" collapsed="false">
      <c r="A481" s="4" t="n">
        <v>480</v>
      </c>
      <c r="B481" s="4" t="s">
        <v>893</v>
      </c>
      <c r="C481" s="4" t="n">
        <v>1997</v>
      </c>
      <c r="D481" s="4" t="s">
        <v>894</v>
      </c>
      <c r="E481" s="25" t="str">
        <f aca="false">IF(J481=1,"✓","")</f>
        <v/>
      </c>
      <c r="F481" s="4" t="n">
        <v>5</v>
      </c>
      <c r="G481" s="4" t="n">
        <v>3</v>
      </c>
      <c r="H481" s="4" t="s">
        <v>213</v>
      </c>
      <c r="I481" s="4" t="s">
        <v>52</v>
      </c>
      <c r="J481" s="4" t="n">
        <f aca="false">INDEX('Master List'!$G$2:$G$2594,K481)</f>
        <v>0</v>
      </c>
      <c r="K481" s="4" t="n">
        <v>882</v>
      </c>
    </row>
    <row r="482" customFormat="false" ht="15" hidden="false" customHeight="false" outlineLevel="0" collapsed="false">
      <c r="A482" s="4" t="n">
        <v>481</v>
      </c>
      <c r="B482" s="4" t="s">
        <v>895</v>
      </c>
      <c r="C482" s="4" t="n">
        <v>1958</v>
      </c>
      <c r="D482" s="4" t="s">
        <v>801</v>
      </c>
      <c r="E482" s="25" t="str">
        <f aca="false">IF(J482=1,"✓","")</f>
        <v/>
      </c>
      <c r="F482" s="4" t="n">
        <v>4</v>
      </c>
      <c r="G482" s="4" t="n">
        <v>3</v>
      </c>
      <c r="H482" s="4" t="s">
        <v>213</v>
      </c>
      <c r="I482" s="4" t="s">
        <v>53</v>
      </c>
      <c r="J482" s="4" t="n">
        <f aca="false">INDEX('Master List'!$G$2:$G$2594,K482)</f>
        <v>0</v>
      </c>
      <c r="K482" s="4" t="n">
        <v>2029</v>
      </c>
    </row>
    <row r="483" customFormat="false" ht="15" hidden="false" customHeight="false" outlineLevel="0" collapsed="false">
      <c r="A483" s="4" t="n">
        <v>482</v>
      </c>
      <c r="B483" s="4" t="s">
        <v>896</v>
      </c>
      <c r="C483" s="4" t="n">
        <v>1998</v>
      </c>
      <c r="D483" s="4" t="s">
        <v>152</v>
      </c>
      <c r="E483" s="25" t="str">
        <f aca="false">IF(J483=1,"✓","")</f>
        <v/>
      </c>
      <c r="F483" s="4" t="n">
        <v>4</v>
      </c>
      <c r="G483" s="4" t="n">
        <v>3</v>
      </c>
      <c r="H483" s="4" t="s">
        <v>213</v>
      </c>
      <c r="I483" s="4" t="s">
        <v>52</v>
      </c>
      <c r="J483" s="4" t="n">
        <f aca="false">INDEX('Master List'!$G$2:$G$2594,K483)</f>
        <v>0</v>
      </c>
      <c r="K483" s="4" t="n">
        <v>1043</v>
      </c>
    </row>
    <row r="484" customFormat="false" ht="15" hidden="false" customHeight="false" outlineLevel="0" collapsed="false">
      <c r="A484" s="4" t="n">
        <v>483</v>
      </c>
      <c r="B484" s="4" t="s">
        <v>897</v>
      </c>
      <c r="C484" s="4" t="n">
        <v>1921</v>
      </c>
      <c r="D484" s="4" t="s">
        <v>344</v>
      </c>
      <c r="E484" s="25" t="str">
        <f aca="false">IF(J484=1,"✓","")</f>
        <v/>
      </c>
      <c r="F484" s="4" t="n">
        <v>4</v>
      </c>
      <c r="G484" s="4" t="n">
        <v>2</v>
      </c>
      <c r="H484" s="4" t="s">
        <v>213</v>
      </c>
      <c r="I484" s="4" t="s">
        <v>50</v>
      </c>
      <c r="J484" s="4" t="n">
        <f aca="false">INDEX('Master List'!$G$2:$G$2594,K484)</f>
        <v>0</v>
      </c>
      <c r="K484" s="4" t="n">
        <v>1237</v>
      </c>
    </row>
    <row r="485" customFormat="false" ht="15" hidden="false" customHeight="false" outlineLevel="0" collapsed="false">
      <c r="A485" s="4" t="n">
        <v>484</v>
      </c>
      <c r="B485" s="4" t="s">
        <v>898</v>
      </c>
      <c r="C485" s="4" t="n">
        <v>1922</v>
      </c>
      <c r="D485" s="4" t="s">
        <v>248</v>
      </c>
      <c r="E485" s="25" t="str">
        <f aca="false">IF(J485=1,"✓","")</f>
        <v/>
      </c>
      <c r="F485" s="4" t="n">
        <v>4</v>
      </c>
      <c r="G485" s="4" t="n">
        <v>2</v>
      </c>
      <c r="H485" s="4" t="s">
        <v>213</v>
      </c>
      <c r="I485" s="4" t="s">
        <v>50</v>
      </c>
      <c r="J485" s="4" t="n">
        <f aca="false">INDEX('Master List'!$G$2:$G$2594,K485)</f>
        <v>0</v>
      </c>
      <c r="K485" s="4" t="n">
        <v>669</v>
      </c>
    </row>
    <row r="486" customFormat="false" ht="15" hidden="false" customHeight="false" outlineLevel="0" collapsed="false">
      <c r="A486" s="4" t="n">
        <v>485</v>
      </c>
      <c r="B486" s="4" t="s">
        <v>899</v>
      </c>
      <c r="C486" s="4" t="n">
        <v>1925</v>
      </c>
      <c r="D486" s="4" t="s">
        <v>535</v>
      </c>
      <c r="E486" s="25" t="str">
        <f aca="false">IF(J486=1,"✓","")</f>
        <v/>
      </c>
      <c r="F486" s="4" t="n">
        <v>4</v>
      </c>
      <c r="G486" s="4" t="n">
        <v>2</v>
      </c>
      <c r="H486" s="4" t="s">
        <v>213</v>
      </c>
      <c r="I486" s="4" t="s">
        <v>50</v>
      </c>
      <c r="J486" s="4" t="n">
        <f aca="false">INDEX('Master List'!$G$2:$G$2594,K486)</f>
        <v>0</v>
      </c>
      <c r="K486" s="4" t="n">
        <v>246</v>
      </c>
    </row>
    <row r="487" customFormat="false" ht="15" hidden="false" customHeight="false" outlineLevel="0" collapsed="false">
      <c r="A487" s="4" t="n">
        <v>486</v>
      </c>
      <c r="B487" s="4" t="s">
        <v>900</v>
      </c>
      <c r="C487" s="4" t="n">
        <v>1925</v>
      </c>
      <c r="D487" s="4" t="s">
        <v>232</v>
      </c>
      <c r="E487" s="25" t="str">
        <f aca="false">IF(J487=1,"✓","")</f>
        <v/>
      </c>
      <c r="F487" s="4" t="n">
        <v>4</v>
      </c>
      <c r="G487" s="4" t="n">
        <v>2</v>
      </c>
      <c r="H487" s="4" t="s">
        <v>213</v>
      </c>
      <c r="I487" s="4" t="s">
        <v>50</v>
      </c>
      <c r="J487" s="4" t="n">
        <f aca="false">INDEX('Master List'!$G$2:$G$2594,K487)</f>
        <v>0</v>
      </c>
      <c r="K487" s="4" t="n">
        <v>2185</v>
      </c>
    </row>
    <row r="488" customFormat="false" ht="15" hidden="false" customHeight="false" outlineLevel="0" collapsed="false">
      <c r="A488" s="4" t="n">
        <v>487</v>
      </c>
      <c r="B488" s="4" t="s">
        <v>901</v>
      </c>
      <c r="C488" s="4" t="n">
        <v>1926</v>
      </c>
      <c r="D488" s="4" t="s">
        <v>299</v>
      </c>
      <c r="E488" s="25" t="str">
        <f aca="false">IF(J488=1,"✓","")</f>
        <v/>
      </c>
      <c r="F488" s="4" t="n">
        <v>4</v>
      </c>
      <c r="G488" s="4" t="n">
        <v>2</v>
      </c>
      <c r="H488" s="4" t="s">
        <v>213</v>
      </c>
      <c r="I488" s="4" t="s">
        <v>50</v>
      </c>
      <c r="J488" s="4" t="n">
        <f aca="false">INDEX('Master List'!$G$2:$G$2594,K488)</f>
        <v>0</v>
      </c>
      <c r="K488" s="4" t="n">
        <v>794</v>
      </c>
    </row>
    <row r="489" customFormat="false" ht="15" hidden="false" customHeight="false" outlineLevel="0" collapsed="false">
      <c r="A489" s="4" t="n">
        <v>488</v>
      </c>
      <c r="B489" s="4" t="s">
        <v>902</v>
      </c>
      <c r="C489" s="4" t="n">
        <v>1928</v>
      </c>
      <c r="D489" s="4" t="s">
        <v>248</v>
      </c>
      <c r="E489" s="25" t="str">
        <f aca="false">IF(J489=1,"✓","")</f>
        <v/>
      </c>
      <c r="F489" s="4" t="n">
        <v>4</v>
      </c>
      <c r="G489" s="4" t="n">
        <v>2</v>
      </c>
      <c r="H489" s="4" t="s">
        <v>213</v>
      </c>
      <c r="I489" s="4" t="s">
        <v>50</v>
      </c>
      <c r="J489" s="4" t="n">
        <f aca="false">INDEX('Master List'!$G$2:$G$2594,K489)</f>
        <v>0</v>
      </c>
      <c r="K489" s="4" t="n">
        <v>2133</v>
      </c>
    </row>
    <row r="490" customFormat="false" ht="15" hidden="false" customHeight="false" outlineLevel="0" collapsed="false">
      <c r="A490" s="4" t="n">
        <v>489</v>
      </c>
      <c r="B490" s="4" t="s">
        <v>903</v>
      </c>
      <c r="C490" s="4" t="n">
        <v>1928</v>
      </c>
      <c r="D490" s="4" t="s">
        <v>904</v>
      </c>
      <c r="E490" s="25" t="str">
        <f aca="false">IF(J490=1,"✓","")</f>
        <v/>
      </c>
      <c r="F490" s="4" t="n">
        <v>4</v>
      </c>
      <c r="G490" s="4" t="n">
        <v>2</v>
      </c>
      <c r="H490" s="4" t="s">
        <v>213</v>
      </c>
      <c r="I490" s="4" t="s">
        <v>50</v>
      </c>
      <c r="J490" s="4" t="n">
        <f aca="false">INDEX('Master List'!$G$2:$G$2594,K490)</f>
        <v>0</v>
      </c>
      <c r="K490" s="4" t="n">
        <v>1648</v>
      </c>
    </row>
    <row r="491" customFormat="false" ht="15" hidden="false" customHeight="false" outlineLevel="0" collapsed="false">
      <c r="A491" s="4" t="n">
        <v>490</v>
      </c>
      <c r="B491" s="4" t="s">
        <v>905</v>
      </c>
      <c r="C491" s="4" t="n">
        <v>1930</v>
      </c>
      <c r="D491" s="4" t="s">
        <v>402</v>
      </c>
      <c r="E491" s="25" t="str">
        <f aca="false">IF(J491=1,"✓","")</f>
        <v/>
      </c>
      <c r="F491" s="4" t="n">
        <v>4</v>
      </c>
      <c r="G491" s="4" t="n">
        <v>2</v>
      </c>
      <c r="H491" s="4" t="s">
        <v>213</v>
      </c>
      <c r="I491" s="4" t="s">
        <v>52</v>
      </c>
      <c r="J491" s="4" t="n">
        <f aca="false">INDEX('Master List'!$G$2:$G$2594,K491)</f>
        <v>0</v>
      </c>
      <c r="K491" s="4" t="n">
        <v>54</v>
      </c>
    </row>
    <row r="492" customFormat="false" ht="15" hidden="false" customHeight="false" outlineLevel="0" collapsed="false">
      <c r="A492" s="4" t="n">
        <v>491</v>
      </c>
      <c r="B492" s="4" t="s">
        <v>906</v>
      </c>
      <c r="C492" s="4" t="n">
        <v>1932</v>
      </c>
      <c r="D492" s="4" t="s">
        <v>907</v>
      </c>
      <c r="E492" s="25" t="str">
        <f aca="false">IF(J492=1,"✓","")</f>
        <v/>
      </c>
      <c r="F492" s="4" t="n">
        <v>4</v>
      </c>
      <c r="G492" s="4" t="n">
        <v>2</v>
      </c>
      <c r="H492" s="4" t="s">
        <v>213</v>
      </c>
      <c r="I492" s="4" t="s">
        <v>50</v>
      </c>
      <c r="J492" s="4" t="n">
        <f aca="false">INDEX('Master List'!$G$2:$G$2594,K492)</f>
        <v>0</v>
      </c>
      <c r="K492" s="4" t="n">
        <v>848</v>
      </c>
    </row>
    <row r="493" customFormat="false" ht="15" hidden="false" customHeight="false" outlineLevel="0" collapsed="false">
      <c r="A493" s="4" t="n">
        <v>492</v>
      </c>
      <c r="B493" s="4" t="s">
        <v>908</v>
      </c>
      <c r="C493" s="4" t="n">
        <v>1932</v>
      </c>
      <c r="D493" s="4" t="s">
        <v>909</v>
      </c>
      <c r="E493" s="25" t="str">
        <f aca="false">IF(J493=1,"✓","")</f>
        <v/>
      </c>
      <c r="F493" s="4" t="n">
        <v>4</v>
      </c>
      <c r="G493" s="4" t="n">
        <v>2</v>
      </c>
      <c r="H493" s="4" t="s">
        <v>213</v>
      </c>
      <c r="I493" s="4" t="s">
        <v>50</v>
      </c>
      <c r="J493" s="4" t="n">
        <f aca="false">INDEX('Master List'!$G$2:$G$2594,K493)</f>
        <v>0</v>
      </c>
      <c r="K493" s="4" t="n">
        <v>1097</v>
      </c>
    </row>
    <row r="494" customFormat="false" ht="15" hidden="false" customHeight="false" outlineLevel="0" collapsed="false">
      <c r="A494" s="4" t="n">
        <v>493</v>
      </c>
      <c r="B494" s="4" t="s">
        <v>910</v>
      </c>
      <c r="C494" s="4" t="n">
        <v>1934</v>
      </c>
      <c r="D494" s="4" t="s">
        <v>168</v>
      </c>
      <c r="E494" s="25" t="str">
        <f aca="false">IF(J494=1,"✓","")</f>
        <v/>
      </c>
      <c r="F494" s="4" t="n">
        <v>4</v>
      </c>
      <c r="G494" s="4" t="n">
        <v>2</v>
      </c>
      <c r="H494" s="4" t="s">
        <v>213</v>
      </c>
      <c r="I494" s="4" t="s">
        <v>52</v>
      </c>
      <c r="J494" s="4" t="n">
        <f aca="false">INDEX('Master List'!$G$2:$G$2594,K494)</f>
        <v>0</v>
      </c>
      <c r="K494" s="4" t="n">
        <v>2383</v>
      </c>
    </row>
    <row r="495" customFormat="false" ht="15" hidden="false" customHeight="false" outlineLevel="0" collapsed="false">
      <c r="A495" s="4" t="n">
        <v>494</v>
      </c>
      <c r="B495" s="4" t="s">
        <v>911</v>
      </c>
      <c r="C495" s="4" t="n">
        <v>1936</v>
      </c>
      <c r="D495" s="4" t="s">
        <v>912</v>
      </c>
      <c r="E495" s="25" t="str">
        <f aca="false">IF(J495=1,"✓","")</f>
        <v/>
      </c>
      <c r="F495" s="4" t="n">
        <v>4</v>
      </c>
      <c r="G495" s="4" t="n">
        <v>2</v>
      </c>
      <c r="H495" s="4" t="s">
        <v>213</v>
      </c>
      <c r="I495" s="4" t="s">
        <v>52</v>
      </c>
      <c r="J495" s="4" t="n">
        <f aca="false">INDEX('Master List'!$G$2:$G$2594,K495)</f>
        <v>0</v>
      </c>
      <c r="K495" s="4" t="n">
        <v>2217</v>
      </c>
    </row>
    <row r="496" customFormat="false" ht="15" hidden="false" customHeight="false" outlineLevel="0" collapsed="false">
      <c r="A496" s="4" t="n">
        <v>495</v>
      </c>
      <c r="B496" s="4" t="s">
        <v>913</v>
      </c>
      <c r="C496" s="4" t="n">
        <v>1936</v>
      </c>
      <c r="D496" s="4" t="s">
        <v>344</v>
      </c>
      <c r="E496" s="25" t="str">
        <f aca="false">IF(J496=1,"✓","")</f>
        <v>✓</v>
      </c>
      <c r="F496" s="4" t="n">
        <v>4</v>
      </c>
      <c r="G496" s="4" t="n">
        <v>2</v>
      </c>
      <c r="H496" s="4" t="s">
        <v>213</v>
      </c>
      <c r="I496" s="4" t="s">
        <v>55</v>
      </c>
      <c r="J496" s="4" t="n">
        <f aca="false">INDEX('Master List'!$G$2:$G$2594,K496)</f>
        <v>1</v>
      </c>
      <c r="K496" s="4" t="n">
        <v>1519</v>
      </c>
    </row>
    <row r="497" customFormat="false" ht="15" hidden="false" customHeight="false" outlineLevel="0" collapsed="false">
      <c r="A497" s="4" t="n">
        <v>496</v>
      </c>
      <c r="B497" s="4" t="s">
        <v>914</v>
      </c>
      <c r="C497" s="4" t="n">
        <v>1939</v>
      </c>
      <c r="D497" s="4" t="s">
        <v>346</v>
      </c>
      <c r="E497" s="25" t="str">
        <f aca="false">IF(J497=1,"✓","")</f>
        <v/>
      </c>
      <c r="F497" s="4" t="n">
        <v>4</v>
      </c>
      <c r="G497" s="4" t="n">
        <v>2</v>
      </c>
      <c r="H497" s="4" t="s">
        <v>213</v>
      </c>
      <c r="I497" s="4" t="s">
        <v>50</v>
      </c>
      <c r="J497" s="4" t="n">
        <f aca="false">INDEX('Master List'!$G$2:$G$2594,K497)</f>
        <v>0</v>
      </c>
      <c r="K497" s="4" t="n">
        <v>923</v>
      </c>
    </row>
    <row r="498" customFormat="false" ht="15" hidden="false" customHeight="false" outlineLevel="0" collapsed="false">
      <c r="A498" s="4" t="n">
        <v>497</v>
      </c>
      <c r="B498" s="4" t="s">
        <v>915</v>
      </c>
      <c r="C498" s="4" t="n">
        <v>1940</v>
      </c>
      <c r="D498" s="4" t="s">
        <v>916</v>
      </c>
      <c r="E498" s="25" t="str">
        <f aca="false">IF(J498=1,"✓","")</f>
        <v/>
      </c>
      <c r="F498" s="4" t="n">
        <v>4</v>
      </c>
      <c r="G498" s="4" t="n">
        <v>2</v>
      </c>
      <c r="H498" s="4" t="s">
        <v>213</v>
      </c>
      <c r="I498" s="4" t="s">
        <v>52</v>
      </c>
      <c r="J498" s="4" t="n">
        <f aca="false">INDEX('Master List'!$G$2:$G$2594,K498)</f>
        <v>0</v>
      </c>
      <c r="K498" s="4" t="n">
        <v>184</v>
      </c>
    </row>
    <row r="499" customFormat="false" ht="15" hidden="false" customHeight="false" outlineLevel="0" collapsed="false">
      <c r="A499" s="4" t="n">
        <v>498</v>
      </c>
      <c r="B499" s="4" t="s">
        <v>917</v>
      </c>
      <c r="C499" s="4" t="n">
        <v>1941</v>
      </c>
      <c r="D499" s="4" t="s">
        <v>176</v>
      </c>
      <c r="E499" s="25" t="str">
        <f aca="false">IF(J499=1,"✓","")</f>
        <v/>
      </c>
      <c r="F499" s="4" t="n">
        <v>4</v>
      </c>
      <c r="G499" s="4" t="n">
        <v>2</v>
      </c>
      <c r="H499" s="4" t="s">
        <v>213</v>
      </c>
      <c r="I499" s="4" t="s">
        <v>53</v>
      </c>
      <c r="J499" s="4" t="n">
        <f aca="false">INDEX('Master List'!$G$2:$G$2594,K499)</f>
        <v>0</v>
      </c>
      <c r="K499" s="4" t="n">
        <v>1472</v>
      </c>
    </row>
    <row r="500" customFormat="false" ht="15" hidden="false" customHeight="false" outlineLevel="0" collapsed="false">
      <c r="A500" s="4" t="n">
        <v>499</v>
      </c>
      <c r="B500" s="4" t="s">
        <v>918</v>
      </c>
      <c r="C500" s="4" t="n">
        <v>1942</v>
      </c>
      <c r="D500" s="4" t="s">
        <v>143</v>
      </c>
      <c r="E500" s="25" t="str">
        <f aca="false">IF(J500=1,"✓","")</f>
        <v/>
      </c>
      <c r="F500" s="4" t="n">
        <v>4</v>
      </c>
      <c r="G500" s="4" t="n">
        <v>2</v>
      </c>
      <c r="H500" s="4" t="s">
        <v>213</v>
      </c>
      <c r="I500" s="4" t="s">
        <v>49</v>
      </c>
      <c r="J500" s="4" t="n">
        <f aca="false">INDEX('Master List'!$G$2:$G$2594,K500)</f>
        <v>0</v>
      </c>
      <c r="K500" s="4" t="n">
        <v>1412</v>
      </c>
    </row>
    <row r="501" customFormat="false" ht="15" hidden="false" customHeight="false" outlineLevel="0" collapsed="false">
      <c r="A501" s="4" t="n">
        <v>500</v>
      </c>
      <c r="B501" s="4" t="s">
        <v>919</v>
      </c>
      <c r="C501" s="4" t="n">
        <v>1942</v>
      </c>
      <c r="D501" s="4" t="s">
        <v>250</v>
      </c>
      <c r="E501" s="25" t="str">
        <f aca="false">IF(J501=1,"✓","")</f>
        <v/>
      </c>
      <c r="F501" s="4" t="n">
        <v>4</v>
      </c>
      <c r="G501" s="4" t="n">
        <v>2</v>
      </c>
      <c r="H501" s="4" t="s">
        <v>213</v>
      </c>
      <c r="I501" s="4" t="s">
        <v>52</v>
      </c>
      <c r="J501" s="4" t="n">
        <f aca="false">INDEX('Master List'!$G$2:$G$2594,K501)</f>
        <v>0</v>
      </c>
      <c r="K501" s="4" t="n">
        <v>1709</v>
      </c>
    </row>
    <row r="502" customFormat="false" ht="15" hidden="false" customHeight="false" outlineLevel="0" collapsed="false">
      <c r="A502" s="4" t="n">
        <v>501</v>
      </c>
      <c r="B502" s="4" t="s">
        <v>920</v>
      </c>
      <c r="C502" s="4" t="n">
        <v>1942</v>
      </c>
      <c r="D502" s="4" t="s">
        <v>348</v>
      </c>
      <c r="E502" s="25" t="str">
        <f aca="false">IF(J502=1,"✓","")</f>
        <v/>
      </c>
      <c r="F502" s="4" t="n">
        <v>4</v>
      </c>
      <c r="G502" s="4" t="n">
        <v>2</v>
      </c>
      <c r="H502" s="4" t="s">
        <v>213</v>
      </c>
      <c r="I502" s="4" t="s">
        <v>52</v>
      </c>
      <c r="J502" s="4" t="n">
        <f aca="false">INDEX('Master List'!$G$2:$G$2594,K502)</f>
        <v>0</v>
      </c>
      <c r="K502" s="4" t="n">
        <v>2315</v>
      </c>
    </row>
    <row r="503" customFormat="false" ht="15" hidden="false" customHeight="false" outlineLevel="0" collapsed="false">
      <c r="A503" s="4" t="n">
        <v>502</v>
      </c>
      <c r="B503" s="4" t="s">
        <v>921</v>
      </c>
      <c r="C503" s="4" t="n">
        <v>1943</v>
      </c>
      <c r="D503" s="4" t="s">
        <v>250</v>
      </c>
      <c r="E503" s="25" t="str">
        <f aca="false">IF(J503=1,"✓","")</f>
        <v/>
      </c>
      <c r="F503" s="4" t="n">
        <v>4</v>
      </c>
      <c r="G503" s="4" t="n">
        <v>2</v>
      </c>
      <c r="H503" s="4" t="s">
        <v>213</v>
      </c>
      <c r="I503" s="4" t="s">
        <v>53</v>
      </c>
      <c r="J503" s="4" t="n">
        <f aca="false">INDEX('Master List'!$G$2:$G$2594,K503)</f>
        <v>0</v>
      </c>
      <c r="K503" s="4" t="n">
        <v>1510</v>
      </c>
    </row>
    <row r="504" customFormat="false" ht="15" hidden="false" customHeight="false" outlineLevel="0" collapsed="false">
      <c r="A504" s="4" t="n">
        <v>503</v>
      </c>
      <c r="B504" s="4" t="s">
        <v>922</v>
      </c>
      <c r="C504" s="4" t="n">
        <v>1945</v>
      </c>
      <c r="D504" s="4" t="s">
        <v>923</v>
      </c>
      <c r="E504" s="25" t="str">
        <f aca="false">IF(J504=1,"✓","")</f>
        <v/>
      </c>
      <c r="F504" s="4" t="n">
        <v>4</v>
      </c>
      <c r="G504" s="4" t="n">
        <v>2</v>
      </c>
      <c r="H504" s="4" t="s">
        <v>213</v>
      </c>
      <c r="I504" s="4" t="s">
        <v>52</v>
      </c>
      <c r="J504" s="4" t="n">
        <f aca="false">INDEX('Master List'!$G$2:$G$2594,K504)</f>
        <v>0</v>
      </c>
      <c r="K504" s="4" t="n">
        <v>584</v>
      </c>
    </row>
    <row r="505" customFormat="false" ht="15" hidden="false" customHeight="false" outlineLevel="0" collapsed="false">
      <c r="A505" s="4" t="n">
        <v>504</v>
      </c>
      <c r="B505" s="4" t="s">
        <v>924</v>
      </c>
      <c r="C505" s="4" t="n">
        <v>1946</v>
      </c>
      <c r="D505" s="4" t="s">
        <v>205</v>
      </c>
      <c r="E505" s="25" t="str">
        <f aca="false">IF(J505=1,"✓","")</f>
        <v/>
      </c>
      <c r="F505" s="4" t="n">
        <v>4</v>
      </c>
      <c r="G505" s="4" t="n">
        <v>2</v>
      </c>
      <c r="H505" s="4" t="s">
        <v>213</v>
      </c>
      <c r="I505" s="4" t="s">
        <v>52</v>
      </c>
      <c r="J505" s="4" t="n">
        <f aca="false">INDEX('Master List'!$G$2:$G$2594,K505)</f>
        <v>0</v>
      </c>
      <c r="K505" s="4" t="n">
        <v>1570</v>
      </c>
    </row>
    <row r="506" customFormat="false" ht="15" hidden="false" customHeight="false" outlineLevel="0" collapsed="false">
      <c r="A506" s="4" t="n">
        <v>505</v>
      </c>
      <c r="B506" s="4" t="s">
        <v>925</v>
      </c>
      <c r="C506" s="4" t="n">
        <v>1946</v>
      </c>
      <c r="D506" s="4" t="s">
        <v>162</v>
      </c>
      <c r="E506" s="25" t="str">
        <f aca="false">IF(J506=1,"✓","")</f>
        <v/>
      </c>
      <c r="F506" s="4" t="n">
        <v>4</v>
      </c>
      <c r="G506" s="4" t="n">
        <v>2</v>
      </c>
      <c r="H506" s="4" t="s">
        <v>213</v>
      </c>
      <c r="I506" s="4" t="s">
        <v>52</v>
      </c>
      <c r="J506" s="4" t="n">
        <f aca="false">INDEX('Master List'!$G$2:$G$2594,K506)</f>
        <v>0</v>
      </c>
      <c r="K506" s="4" t="n">
        <v>1638</v>
      </c>
    </row>
    <row r="507" customFormat="false" ht="15" hidden="false" customHeight="false" outlineLevel="0" collapsed="false">
      <c r="A507" s="4" t="n">
        <v>506</v>
      </c>
      <c r="B507" s="4" t="s">
        <v>926</v>
      </c>
      <c r="C507" s="4" t="n">
        <v>1946</v>
      </c>
      <c r="D507" s="4" t="s">
        <v>255</v>
      </c>
      <c r="E507" s="25" t="str">
        <f aca="false">IF(J507=1,"✓","")</f>
        <v/>
      </c>
      <c r="F507" s="4" t="n">
        <v>4</v>
      </c>
      <c r="G507" s="4" t="n">
        <v>2</v>
      </c>
      <c r="H507" s="4" t="s">
        <v>213</v>
      </c>
      <c r="I507" s="4" t="s">
        <v>53</v>
      </c>
      <c r="J507" s="4" t="n">
        <f aca="false">INDEX('Master List'!$G$2:$G$2594,K507)</f>
        <v>0</v>
      </c>
      <c r="K507" s="4" t="n">
        <v>953</v>
      </c>
    </row>
    <row r="508" customFormat="false" ht="15" hidden="false" customHeight="false" outlineLevel="0" collapsed="false">
      <c r="A508" s="4" t="n">
        <v>507</v>
      </c>
      <c r="B508" s="4" t="s">
        <v>927</v>
      </c>
      <c r="C508" s="4" t="n">
        <v>1948</v>
      </c>
      <c r="D508" s="4" t="s">
        <v>268</v>
      </c>
      <c r="E508" s="25" t="str">
        <f aca="false">IF(J508=1,"✓","")</f>
        <v/>
      </c>
      <c r="F508" s="4" t="n">
        <v>4</v>
      </c>
      <c r="G508" s="4" t="n">
        <v>2</v>
      </c>
      <c r="H508" s="4" t="s">
        <v>213</v>
      </c>
      <c r="I508" s="4" t="s">
        <v>51</v>
      </c>
      <c r="J508" s="4" t="n">
        <f aca="false">INDEX('Master List'!$G$2:$G$2594,K508)</f>
        <v>0</v>
      </c>
      <c r="K508" s="4" t="n">
        <v>886</v>
      </c>
    </row>
    <row r="509" customFormat="false" ht="15" hidden="false" customHeight="false" outlineLevel="0" collapsed="false">
      <c r="A509" s="4" t="n">
        <v>508</v>
      </c>
      <c r="B509" s="4" t="s">
        <v>928</v>
      </c>
      <c r="C509" s="4" t="n">
        <v>1948</v>
      </c>
      <c r="D509" s="4" t="s">
        <v>461</v>
      </c>
      <c r="E509" s="25" t="str">
        <f aca="false">IF(J509=1,"✓","")</f>
        <v/>
      </c>
      <c r="F509" s="4" t="n">
        <v>4</v>
      </c>
      <c r="G509" s="4" t="n">
        <v>2</v>
      </c>
      <c r="H509" s="4" t="s">
        <v>213</v>
      </c>
      <c r="I509" s="4" t="s">
        <v>51</v>
      </c>
      <c r="J509" s="4" t="n">
        <f aca="false">INDEX('Master List'!$G$2:$G$2594,K509)</f>
        <v>0</v>
      </c>
      <c r="K509" s="4" t="n">
        <v>2256</v>
      </c>
    </row>
    <row r="510" customFormat="false" ht="15" hidden="false" customHeight="false" outlineLevel="0" collapsed="false">
      <c r="A510" s="4" t="n">
        <v>509</v>
      </c>
      <c r="B510" s="4" t="s">
        <v>929</v>
      </c>
      <c r="C510" s="4" t="n">
        <v>1948</v>
      </c>
      <c r="D510" s="4" t="s">
        <v>168</v>
      </c>
      <c r="E510" s="25" t="str">
        <f aca="false">IF(J510=1,"✓","")</f>
        <v/>
      </c>
      <c r="F510" s="4" t="n">
        <v>4</v>
      </c>
      <c r="G510" s="4" t="n">
        <v>2</v>
      </c>
      <c r="H510" s="4" t="s">
        <v>213</v>
      </c>
      <c r="I510" s="4" t="s">
        <v>52</v>
      </c>
      <c r="J510" s="4" t="n">
        <f aca="false">INDEX('Master List'!$G$2:$G$2594,K510)</f>
        <v>0</v>
      </c>
      <c r="K510" s="4" t="n">
        <v>1875</v>
      </c>
    </row>
    <row r="511" customFormat="false" ht="15" hidden="false" customHeight="false" outlineLevel="0" collapsed="false">
      <c r="A511" s="4" t="n">
        <v>510</v>
      </c>
      <c r="B511" s="4" t="s">
        <v>930</v>
      </c>
      <c r="C511" s="4" t="n">
        <v>1948</v>
      </c>
      <c r="D511" s="4" t="s">
        <v>205</v>
      </c>
      <c r="E511" s="25" t="str">
        <f aca="false">IF(J511=1,"✓","")</f>
        <v/>
      </c>
      <c r="F511" s="4" t="n">
        <v>4</v>
      </c>
      <c r="G511" s="4" t="n">
        <v>2</v>
      </c>
      <c r="H511" s="4" t="s">
        <v>213</v>
      </c>
      <c r="I511" s="4" t="s">
        <v>52</v>
      </c>
      <c r="J511" s="4" t="n">
        <f aca="false">INDEX('Master List'!$G$2:$G$2594,K511)</f>
        <v>0</v>
      </c>
      <c r="K511" s="4" t="n">
        <v>838</v>
      </c>
    </row>
    <row r="512" customFormat="false" ht="15" hidden="false" customHeight="false" outlineLevel="0" collapsed="false">
      <c r="A512" s="4" t="n">
        <v>511</v>
      </c>
      <c r="B512" s="4" t="s">
        <v>931</v>
      </c>
      <c r="C512" s="4" t="n">
        <v>1949</v>
      </c>
      <c r="D512" s="4" t="s">
        <v>225</v>
      </c>
      <c r="E512" s="25" t="str">
        <f aca="false">IF(J512=1,"✓","")</f>
        <v/>
      </c>
      <c r="F512" s="4" t="n">
        <v>4</v>
      </c>
      <c r="G512" s="4" t="n">
        <v>2</v>
      </c>
      <c r="H512" s="4" t="s">
        <v>213</v>
      </c>
      <c r="I512" s="4" t="s">
        <v>52</v>
      </c>
      <c r="J512" s="4" t="n">
        <f aca="false">INDEX('Master List'!$G$2:$G$2594,K512)</f>
        <v>0</v>
      </c>
      <c r="K512" s="4" t="n">
        <v>1666</v>
      </c>
    </row>
    <row r="513" customFormat="false" ht="15" hidden="false" customHeight="false" outlineLevel="0" collapsed="false">
      <c r="A513" s="4" t="n">
        <v>512</v>
      </c>
      <c r="B513" s="4" t="s">
        <v>932</v>
      </c>
      <c r="C513" s="4" t="n">
        <v>1950</v>
      </c>
      <c r="D513" s="4" t="s">
        <v>933</v>
      </c>
      <c r="E513" s="25" t="str">
        <f aca="false">IF(J513=1,"✓","")</f>
        <v/>
      </c>
      <c r="F513" s="4" t="n">
        <v>4</v>
      </c>
      <c r="G513" s="4" t="n">
        <v>2</v>
      </c>
      <c r="H513" s="4" t="s">
        <v>213</v>
      </c>
      <c r="I513" s="4" t="s">
        <v>50</v>
      </c>
      <c r="J513" s="4" t="n">
        <f aca="false">INDEX('Master List'!$G$2:$G$2594,K513)</f>
        <v>0</v>
      </c>
      <c r="K513" s="4" t="n">
        <v>68</v>
      </c>
    </row>
    <row r="514" customFormat="false" ht="15" hidden="false" customHeight="false" outlineLevel="0" collapsed="false">
      <c r="A514" s="4" t="n">
        <v>513</v>
      </c>
      <c r="B514" s="4" t="s">
        <v>934</v>
      </c>
      <c r="C514" s="4" t="n">
        <v>1951</v>
      </c>
      <c r="D514" s="4" t="s">
        <v>146</v>
      </c>
      <c r="E514" s="25" t="str">
        <f aca="false">IF(J514=1,"✓","")</f>
        <v/>
      </c>
      <c r="F514" s="4" t="n">
        <v>4</v>
      </c>
      <c r="G514" s="4" t="n">
        <v>2</v>
      </c>
      <c r="H514" s="4" t="s">
        <v>213</v>
      </c>
      <c r="I514" s="4" t="s">
        <v>51</v>
      </c>
      <c r="J514" s="4" t="n">
        <f aca="false">INDEX('Master List'!$G$2:$G$2594,K514)</f>
        <v>0</v>
      </c>
      <c r="K514" s="4" t="n">
        <v>698</v>
      </c>
    </row>
    <row r="515" customFormat="false" ht="15" hidden="false" customHeight="false" outlineLevel="0" collapsed="false">
      <c r="A515" s="4" t="n">
        <v>514</v>
      </c>
      <c r="B515" s="4" t="s">
        <v>935</v>
      </c>
      <c r="C515" s="4" t="n">
        <v>1951</v>
      </c>
      <c r="D515" s="4" t="s">
        <v>936</v>
      </c>
      <c r="E515" s="25" t="str">
        <f aca="false">IF(J515=1,"✓","")</f>
        <v/>
      </c>
      <c r="F515" s="4" t="n">
        <v>4</v>
      </c>
      <c r="G515" s="4" t="n">
        <v>2</v>
      </c>
      <c r="H515" s="4" t="s">
        <v>213</v>
      </c>
      <c r="I515" s="4" t="s">
        <v>51</v>
      </c>
      <c r="J515" s="4" t="n">
        <f aca="false">INDEX('Master List'!$G$2:$G$2594,K515)</f>
        <v>0</v>
      </c>
      <c r="K515" s="4" t="n">
        <v>1310</v>
      </c>
    </row>
    <row r="516" customFormat="false" ht="15" hidden="false" customHeight="false" outlineLevel="0" collapsed="false">
      <c r="A516" s="4" t="n">
        <v>515</v>
      </c>
      <c r="B516" s="4" t="s">
        <v>937</v>
      </c>
      <c r="C516" s="4" t="n">
        <v>1951</v>
      </c>
      <c r="D516" s="4" t="s">
        <v>411</v>
      </c>
      <c r="E516" s="25" t="str">
        <f aca="false">IF(J516=1,"✓","")</f>
        <v/>
      </c>
      <c r="F516" s="4" t="n">
        <v>4</v>
      </c>
      <c r="G516" s="4" t="n">
        <v>2</v>
      </c>
      <c r="H516" s="4" t="s">
        <v>213</v>
      </c>
      <c r="I516" s="4" t="s">
        <v>51</v>
      </c>
      <c r="J516" s="4" t="n">
        <f aca="false">INDEX('Master List'!$G$2:$G$2594,K516)</f>
        <v>0</v>
      </c>
      <c r="K516" s="4" t="n">
        <v>1425</v>
      </c>
    </row>
    <row r="517" customFormat="false" ht="15" hidden="false" customHeight="false" outlineLevel="0" collapsed="false">
      <c r="A517" s="4" t="n">
        <v>516</v>
      </c>
      <c r="B517" s="4" t="s">
        <v>938</v>
      </c>
      <c r="C517" s="4" t="n">
        <v>1951</v>
      </c>
      <c r="D517" s="4" t="s">
        <v>283</v>
      </c>
      <c r="E517" s="25" t="str">
        <f aca="false">IF(J517=1,"✓","")</f>
        <v/>
      </c>
      <c r="F517" s="4" t="n">
        <v>4</v>
      </c>
      <c r="G517" s="4" t="n">
        <v>2</v>
      </c>
      <c r="H517" s="4" t="s">
        <v>213</v>
      </c>
      <c r="I517" s="4" t="s">
        <v>52</v>
      </c>
      <c r="J517" s="4" t="n">
        <f aca="false">INDEX('Master List'!$G$2:$G$2594,K517)</f>
        <v>0</v>
      </c>
      <c r="K517" s="4" t="n">
        <v>48</v>
      </c>
    </row>
    <row r="518" customFormat="false" ht="15" hidden="false" customHeight="false" outlineLevel="0" collapsed="false">
      <c r="A518" s="4" t="n">
        <v>517</v>
      </c>
      <c r="B518" s="4" t="s">
        <v>939</v>
      </c>
      <c r="C518" s="4" t="n">
        <v>1953</v>
      </c>
      <c r="D518" s="4" t="s">
        <v>940</v>
      </c>
      <c r="E518" s="25" t="str">
        <f aca="false">IF(J518=1,"✓","")</f>
        <v/>
      </c>
      <c r="F518" s="4" t="n">
        <v>4</v>
      </c>
      <c r="G518" s="4" t="n">
        <v>2</v>
      </c>
      <c r="H518" s="4" t="s">
        <v>213</v>
      </c>
      <c r="I518" s="4" t="s">
        <v>52</v>
      </c>
      <c r="J518" s="4" t="n">
        <f aca="false">INDEX('Master List'!$G$2:$G$2594,K518)</f>
        <v>0</v>
      </c>
      <c r="K518" s="4" t="n">
        <v>1763</v>
      </c>
    </row>
    <row r="519" customFormat="false" ht="15" hidden="false" customHeight="false" outlineLevel="0" collapsed="false">
      <c r="A519" s="4" t="n">
        <v>518</v>
      </c>
      <c r="B519" s="4" t="s">
        <v>941</v>
      </c>
      <c r="C519" s="4" t="n">
        <v>1953</v>
      </c>
      <c r="D519" s="4" t="s">
        <v>912</v>
      </c>
      <c r="E519" s="25" t="str">
        <f aca="false">IF(J519=1,"✓","")</f>
        <v/>
      </c>
      <c r="F519" s="4" t="n">
        <v>4</v>
      </c>
      <c r="G519" s="4" t="n">
        <v>2</v>
      </c>
      <c r="H519" s="4" t="s">
        <v>213</v>
      </c>
      <c r="I519" s="4" t="s">
        <v>52</v>
      </c>
      <c r="J519" s="4" t="n">
        <f aca="false">INDEX('Master List'!$G$2:$G$2594,K519)</f>
        <v>0</v>
      </c>
      <c r="K519" s="4" t="n">
        <v>2035</v>
      </c>
    </row>
    <row r="520" customFormat="false" ht="15" hidden="false" customHeight="false" outlineLevel="0" collapsed="false">
      <c r="A520" s="4" t="n">
        <v>519</v>
      </c>
      <c r="B520" s="4" t="s">
        <v>942</v>
      </c>
      <c r="C520" s="4" t="n">
        <v>1953</v>
      </c>
      <c r="D520" s="4" t="s">
        <v>305</v>
      </c>
      <c r="E520" s="25" t="str">
        <f aca="false">IF(J520=1,"✓","")</f>
        <v/>
      </c>
      <c r="F520" s="4" t="n">
        <v>4</v>
      </c>
      <c r="G520" s="4" t="n">
        <v>2</v>
      </c>
      <c r="H520" s="4" t="s">
        <v>213</v>
      </c>
      <c r="I520" s="4" t="s">
        <v>52</v>
      </c>
      <c r="J520" s="4" t="n">
        <f aca="false">INDEX('Master List'!$G$2:$G$2594,K520)</f>
        <v>0</v>
      </c>
      <c r="K520" s="4" t="n">
        <v>1927</v>
      </c>
    </row>
    <row r="521" customFormat="false" ht="15" hidden="false" customHeight="false" outlineLevel="0" collapsed="false">
      <c r="A521" s="4" t="n">
        <v>520</v>
      </c>
      <c r="B521" s="4" t="s">
        <v>943</v>
      </c>
      <c r="C521" s="4" t="n">
        <v>1954</v>
      </c>
      <c r="D521" s="4" t="s">
        <v>270</v>
      </c>
      <c r="E521" s="25" t="str">
        <f aca="false">IF(J521=1,"✓","")</f>
        <v/>
      </c>
      <c r="F521" s="4" t="n">
        <v>4</v>
      </c>
      <c r="G521" s="4" t="n">
        <v>2</v>
      </c>
      <c r="H521" s="4" t="s">
        <v>213</v>
      </c>
      <c r="I521" s="4" t="s">
        <v>52</v>
      </c>
      <c r="J521" s="4" t="n">
        <f aca="false">INDEX('Master List'!$G$2:$G$2594,K521)</f>
        <v>0</v>
      </c>
      <c r="K521" s="4" t="n">
        <v>1213</v>
      </c>
    </row>
    <row r="522" customFormat="false" ht="15" hidden="false" customHeight="false" outlineLevel="0" collapsed="false">
      <c r="A522" s="4" t="n">
        <v>521</v>
      </c>
      <c r="B522" s="4" t="s">
        <v>944</v>
      </c>
      <c r="C522" s="4" t="n">
        <v>1954</v>
      </c>
      <c r="D522" s="4" t="s">
        <v>789</v>
      </c>
      <c r="E522" s="25" t="str">
        <f aca="false">IF(J522=1,"✓","")</f>
        <v/>
      </c>
      <c r="F522" s="4" t="n">
        <v>4</v>
      </c>
      <c r="G522" s="4" t="n">
        <v>2</v>
      </c>
      <c r="H522" s="4" t="s">
        <v>213</v>
      </c>
      <c r="I522" s="4" t="s">
        <v>55</v>
      </c>
      <c r="J522" s="4" t="n">
        <f aca="false">INDEX('Master List'!$G$2:$G$2594,K522)</f>
        <v>0</v>
      </c>
      <c r="K522" s="4" t="n">
        <v>759</v>
      </c>
    </row>
    <row r="523" customFormat="false" ht="15" hidden="false" customHeight="false" outlineLevel="0" collapsed="false">
      <c r="A523" s="4" t="n">
        <v>522</v>
      </c>
      <c r="B523" s="4" t="s">
        <v>945</v>
      </c>
      <c r="C523" s="4" t="n">
        <v>1955</v>
      </c>
      <c r="D523" s="4" t="s">
        <v>759</v>
      </c>
      <c r="E523" s="25" t="str">
        <f aca="false">IF(J523=1,"✓","")</f>
        <v/>
      </c>
      <c r="F523" s="4" t="n">
        <v>4</v>
      </c>
      <c r="G523" s="4" t="n">
        <v>2</v>
      </c>
      <c r="H523" s="4" t="s">
        <v>213</v>
      </c>
      <c r="I523" s="4" t="s">
        <v>51</v>
      </c>
      <c r="J523" s="4" t="n">
        <f aca="false">INDEX('Master List'!$G$2:$G$2594,K523)</f>
        <v>0</v>
      </c>
      <c r="K523" s="4" t="n">
        <v>821</v>
      </c>
    </row>
    <row r="524" customFormat="false" ht="15" hidden="false" customHeight="false" outlineLevel="0" collapsed="false">
      <c r="A524" s="4" t="n">
        <v>523</v>
      </c>
      <c r="B524" s="4" t="s">
        <v>946</v>
      </c>
      <c r="C524" s="4" t="n">
        <v>1957</v>
      </c>
      <c r="D524" s="4" t="s">
        <v>179</v>
      </c>
      <c r="E524" s="25" t="str">
        <f aca="false">IF(J524=1,"✓","")</f>
        <v/>
      </c>
      <c r="F524" s="4" t="n">
        <v>4</v>
      </c>
      <c r="G524" s="4" t="n">
        <v>2</v>
      </c>
      <c r="H524" s="4" t="s">
        <v>213</v>
      </c>
      <c r="I524" s="4" t="s">
        <v>50</v>
      </c>
      <c r="J524" s="4" t="n">
        <f aca="false">INDEX('Master List'!$G$2:$G$2594,K524)</f>
        <v>0</v>
      </c>
      <c r="K524" s="4" t="n">
        <v>1614</v>
      </c>
    </row>
    <row r="525" customFormat="false" ht="15" hidden="false" customHeight="false" outlineLevel="0" collapsed="false">
      <c r="A525" s="4" t="n">
        <v>524</v>
      </c>
      <c r="B525" s="4" t="s">
        <v>947</v>
      </c>
      <c r="C525" s="4" t="n">
        <v>1957</v>
      </c>
      <c r="D525" s="4" t="s">
        <v>200</v>
      </c>
      <c r="E525" s="25" t="str">
        <f aca="false">IF(J525=1,"✓","")</f>
        <v/>
      </c>
      <c r="F525" s="4" t="n">
        <v>4</v>
      </c>
      <c r="G525" s="4" t="n">
        <v>2</v>
      </c>
      <c r="H525" s="4" t="s">
        <v>213</v>
      </c>
      <c r="I525" s="4" t="s">
        <v>53</v>
      </c>
      <c r="J525" s="4" t="n">
        <f aca="false">INDEX('Master List'!$G$2:$G$2594,K525)</f>
        <v>0</v>
      </c>
      <c r="K525" s="4" t="n">
        <v>2538</v>
      </c>
    </row>
    <row r="526" customFormat="false" ht="15" hidden="false" customHeight="false" outlineLevel="0" collapsed="false">
      <c r="A526" s="4" t="n">
        <v>525</v>
      </c>
      <c r="B526" s="4" t="s">
        <v>948</v>
      </c>
      <c r="C526" s="4" t="n">
        <v>1958</v>
      </c>
      <c r="D526" s="4" t="s">
        <v>253</v>
      </c>
      <c r="E526" s="25" t="str">
        <f aca="false">IF(J526=1,"✓","")</f>
        <v/>
      </c>
      <c r="F526" s="4" t="n">
        <v>4</v>
      </c>
      <c r="G526" s="4" t="n">
        <v>2</v>
      </c>
      <c r="H526" s="4" t="s">
        <v>213</v>
      </c>
      <c r="I526" s="4" t="s">
        <v>51</v>
      </c>
      <c r="J526" s="4" t="n">
        <f aca="false">INDEX('Master List'!$G$2:$G$2594,K526)</f>
        <v>0</v>
      </c>
      <c r="K526" s="4" t="n">
        <v>1562</v>
      </c>
    </row>
    <row r="527" customFormat="false" ht="15" hidden="false" customHeight="false" outlineLevel="0" collapsed="false">
      <c r="A527" s="4" t="n">
        <v>526</v>
      </c>
      <c r="B527" s="4" t="s">
        <v>949</v>
      </c>
      <c r="C527" s="4" t="n">
        <v>1958</v>
      </c>
      <c r="D527" s="4" t="s">
        <v>156</v>
      </c>
      <c r="E527" s="25" t="str">
        <f aca="false">IF(J527=1,"✓","")</f>
        <v/>
      </c>
      <c r="F527" s="4" t="n">
        <v>4</v>
      </c>
      <c r="G527" s="4" t="n">
        <v>2</v>
      </c>
      <c r="H527" s="4" t="s">
        <v>213</v>
      </c>
      <c r="I527" s="4" t="s">
        <v>53</v>
      </c>
      <c r="J527" s="4" t="n">
        <f aca="false">INDEX('Master List'!$G$2:$G$2594,K527)</f>
        <v>0</v>
      </c>
      <c r="K527" s="4" t="n">
        <v>1030</v>
      </c>
    </row>
    <row r="528" customFormat="false" ht="15" hidden="false" customHeight="false" outlineLevel="0" collapsed="false">
      <c r="A528" s="4" t="n">
        <v>527</v>
      </c>
      <c r="B528" s="4" t="s">
        <v>950</v>
      </c>
      <c r="C528" s="4" t="n">
        <v>1959</v>
      </c>
      <c r="D528" s="4" t="s">
        <v>951</v>
      </c>
      <c r="E528" s="25" t="str">
        <f aca="false">IF(J528=1,"✓","")</f>
        <v/>
      </c>
      <c r="F528" s="4" t="n">
        <v>4</v>
      </c>
      <c r="G528" s="4" t="n">
        <v>2</v>
      </c>
      <c r="H528" s="4" t="s">
        <v>213</v>
      </c>
      <c r="I528" s="4" t="s">
        <v>50</v>
      </c>
      <c r="J528" s="4" t="n">
        <f aca="false">INDEX('Master List'!$G$2:$G$2594,K528)</f>
        <v>0</v>
      </c>
      <c r="K528" s="4" t="n">
        <v>99</v>
      </c>
    </row>
    <row r="529" customFormat="false" ht="15" hidden="false" customHeight="false" outlineLevel="0" collapsed="false">
      <c r="A529" s="4" t="n">
        <v>528</v>
      </c>
      <c r="B529" s="4" t="s">
        <v>952</v>
      </c>
      <c r="C529" s="4" t="n">
        <v>1960</v>
      </c>
      <c r="D529" s="4" t="s">
        <v>953</v>
      </c>
      <c r="E529" s="25" t="str">
        <f aca="false">IF(J529=1,"✓","")</f>
        <v/>
      </c>
      <c r="F529" s="4" t="n">
        <v>4</v>
      </c>
      <c r="G529" s="4" t="n">
        <v>2</v>
      </c>
      <c r="H529" s="4" t="s">
        <v>213</v>
      </c>
      <c r="I529" s="4" t="s">
        <v>51</v>
      </c>
      <c r="J529" s="4" t="n">
        <f aca="false">INDEX('Master List'!$G$2:$G$2594,K529)</f>
        <v>0</v>
      </c>
      <c r="K529" s="4" t="n">
        <v>2375</v>
      </c>
    </row>
    <row r="530" customFormat="false" ht="15" hidden="false" customHeight="false" outlineLevel="0" collapsed="false">
      <c r="A530" s="4" t="n">
        <v>529</v>
      </c>
      <c r="B530" s="4" t="s">
        <v>954</v>
      </c>
      <c r="C530" s="4" t="n">
        <v>1960</v>
      </c>
      <c r="D530" s="4" t="s">
        <v>187</v>
      </c>
      <c r="E530" s="25" t="str">
        <f aca="false">IF(J530=1,"✓","")</f>
        <v/>
      </c>
      <c r="F530" s="4" t="n">
        <v>4</v>
      </c>
      <c r="G530" s="4" t="n">
        <v>2</v>
      </c>
      <c r="H530" s="4" t="s">
        <v>213</v>
      </c>
      <c r="I530" s="4" t="s">
        <v>53</v>
      </c>
      <c r="J530" s="4" t="n">
        <f aca="false">INDEX('Master List'!$G$2:$G$2594,K530)</f>
        <v>0</v>
      </c>
      <c r="K530" s="4" t="n">
        <v>2127</v>
      </c>
    </row>
    <row r="531" customFormat="false" ht="15" hidden="false" customHeight="false" outlineLevel="0" collapsed="false">
      <c r="A531" s="4" t="n">
        <v>530</v>
      </c>
      <c r="B531" s="4" t="s">
        <v>955</v>
      </c>
      <c r="C531" s="4" t="n">
        <v>1960</v>
      </c>
      <c r="D531" s="4" t="s">
        <v>156</v>
      </c>
      <c r="E531" s="25" t="str">
        <f aca="false">IF(J531=1,"✓","")</f>
        <v/>
      </c>
      <c r="F531" s="4" t="n">
        <v>4</v>
      </c>
      <c r="G531" s="4" t="n">
        <v>2</v>
      </c>
      <c r="H531" s="4" t="s">
        <v>213</v>
      </c>
      <c r="I531" s="4" t="s">
        <v>53</v>
      </c>
      <c r="J531" s="4" t="n">
        <f aca="false">INDEX('Master List'!$G$2:$G$2594,K531)</f>
        <v>0</v>
      </c>
      <c r="K531" s="4" t="n">
        <v>171</v>
      </c>
    </row>
    <row r="532" customFormat="false" ht="15" hidden="false" customHeight="false" outlineLevel="0" collapsed="false">
      <c r="A532" s="4" t="n">
        <v>531</v>
      </c>
      <c r="B532" s="4" t="s">
        <v>956</v>
      </c>
      <c r="C532" s="4" t="n">
        <v>1961</v>
      </c>
      <c r="D532" s="4" t="s">
        <v>957</v>
      </c>
      <c r="E532" s="25" t="str">
        <f aca="false">IF(J532=1,"✓","")</f>
        <v/>
      </c>
      <c r="F532" s="4" t="n">
        <v>4</v>
      </c>
      <c r="G532" s="4" t="n">
        <v>2</v>
      </c>
      <c r="H532" s="4" t="s">
        <v>213</v>
      </c>
      <c r="I532" s="4" t="s">
        <v>51</v>
      </c>
      <c r="J532" s="4" t="n">
        <f aca="false">INDEX('Master List'!$G$2:$G$2594,K532)</f>
        <v>0</v>
      </c>
      <c r="K532" s="4" t="n">
        <v>1721</v>
      </c>
    </row>
    <row r="533" customFormat="false" ht="15" hidden="false" customHeight="false" outlineLevel="0" collapsed="false">
      <c r="A533" s="4" t="n">
        <v>532</v>
      </c>
      <c r="B533" s="4" t="s">
        <v>958</v>
      </c>
      <c r="C533" s="4" t="n">
        <v>1962</v>
      </c>
      <c r="D533" s="4" t="s">
        <v>217</v>
      </c>
      <c r="E533" s="25" t="str">
        <f aca="false">IF(J533=1,"✓","")</f>
        <v/>
      </c>
      <c r="F533" s="4" t="n">
        <v>4</v>
      </c>
      <c r="G533" s="4" t="n">
        <v>2</v>
      </c>
      <c r="H533" s="4" t="s">
        <v>213</v>
      </c>
      <c r="I533" s="4" t="s">
        <v>51</v>
      </c>
      <c r="J533" s="4" t="n">
        <f aca="false">INDEX('Master List'!$G$2:$G$2594,K533)</f>
        <v>0</v>
      </c>
      <c r="K533" s="4" t="n">
        <v>708</v>
      </c>
    </row>
    <row r="534" customFormat="false" ht="15" hidden="false" customHeight="false" outlineLevel="0" collapsed="false">
      <c r="A534" s="4" t="n">
        <v>533</v>
      </c>
      <c r="B534" s="4" t="s">
        <v>959</v>
      </c>
      <c r="C534" s="4" t="n">
        <v>1962</v>
      </c>
      <c r="D534" s="4" t="s">
        <v>960</v>
      </c>
      <c r="E534" s="25" t="str">
        <f aca="false">IF(J534=1,"✓","")</f>
        <v/>
      </c>
      <c r="F534" s="4" t="n">
        <v>4</v>
      </c>
      <c r="G534" s="4" t="n">
        <v>2</v>
      </c>
      <c r="H534" s="4" t="s">
        <v>213</v>
      </c>
      <c r="I534" s="4" t="s">
        <v>51</v>
      </c>
      <c r="J534" s="4" t="n">
        <f aca="false">INDEX('Master List'!$G$2:$G$2594,K534)</f>
        <v>0</v>
      </c>
      <c r="K534" s="4" t="n">
        <v>2118</v>
      </c>
    </row>
    <row r="535" customFormat="false" ht="15" hidden="false" customHeight="false" outlineLevel="0" collapsed="false">
      <c r="A535" s="4" t="n">
        <v>534</v>
      </c>
      <c r="B535" s="4" t="s">
        <v>961</v>
      </c>
      <c r="C535" s="4" t="n">
        <v>1962</v>
      </c>
      <c r="D535" s="4" t="s">
        <v>150</v>
      </c>
      <c r="E535" s="25" t="str">
        <f aca="false">IF(J535=1,"✓","")</f>
        <v/>
      </c>
      <c r="F535" s="4" t="n">
        <v>4</v>
      </c>
      <c r="G535" s="4" t="n">
        <v>2</v>
      </c>
      <c r="H535" s="4" t="s">
        <v>213</v>
      </c>
      <c r="I535" s="4" t="s">
        <v>51</v>
      </c>
      <c r="J535" s="4" t="n">
        <f aca="false">INDEX('Master List'!$G$2:$G$2594,K535)</f>
        <v>0</v>
      </c>
      <c r="K535" s="4" t="n">
        <v>1223</v>
      </c>
    </row>
    <row r="536" customFormat="false" ht="15" hidden="false" customHeight="false" outlineLevel="0" collapsed="false">
      <c r="A536" s="4" t="n">
        <v>535</v>
      </c>
      <c r="B536" s="4" t="s">
        <v>962</v>
      </c>
      <c r="C536" s="4" t="n">
        <v>1962</v>
      </c>
      <c r="D536" s="4" t="s">
        <v>152</v>
      </c>
      <c r="E536" s="25" t="str">
        <f aca="false">IF(J536=1,"✓","")</f>
        <v/>
      </c>
      <c r="F536" s="4" t="n">
        <v>4</v>
      </c>
      <c r="G536" s="4" t="n">
        <v>2</v>
      </c>
      <c r="H536" s="4" t="s">
        <v>213</v>
      </c>
      <c r="I536" s="4" t="s">
        <v>51</v>
      </c>
      <c r="J536" s="4" t="n">
        <f aca="false">INDEX('Master List'!$G$2:$G$2594,K536)</f>
        <v>0</v>
      </c>
      <c r="K536" s="4" t="n">
        <v>2440</v>
      </c>
    </row>
    <row r="537" customFormat="false" ht="15" hidden="false" customHeight="false" outlineLevel="0" collapsed="false">
      <c r="A537" s="4" t="n">
        <v>536</v>
      </c>
      <c r="B537" s="4" t="s">
        <v>963</v>
      </c>
      <c r="C537" s="4" t="n">
        <v>1962</v>
      </c>
      <c r="D537" s="4" t="s">
        <v>205</v>
      </c>
      <c r="E537" s="25" t="str">
        <f aca="false">IF(J537=1,"✓","")</f>
        <v/>
      </c>
      <c r="F537" s="4" t="n">
        <v>4</v>
      </c>
      <c r="G537" s="4" t="n">
        <v>2</v>
      </c>
      <c r="H537" s="4" t="s">
        <v>213</v>
      </c>
      <c r="I537" s="4" t="s">
        <v>52</v>
      </c>
      <c r="J537" s="4" t="n">
        <f aca="false">INDEX('Master List'!$G$2:$G$2594,K537)</f>
        <v>0</v>
      </c>
      <c r="K537" s="4" t="n">
        <v>1431</v>
      </c>
    </row>
    <row r="538" customFormat="false" ht="15" hidden="false" customHeight="false" outlineLevel="0" collapsed="false">
      <c r="A538" s="4" t="n">
        <v>537</v>
      </c>
      <c r="B538" s="4" t="s">
        <v>964</v>
      </c>
      <c r="C538" s="4" t="n">
        <v>1962</v>
      </c>
      <c r="D538" s="4" t="s">
        <v>965</v>
      </c>
      <c r="E538" s="25" t="str">
        <f aca="false">IF(J538=1,"✓","")</f>
        <v/>
      </c>
      <c r="F538" s="4" t="n">
        <v>4</v>
      </c>
      <c r="G538" s="4" t="n">
        <v>2</v>
      </c>
      <c r="H538" s="4" t="s">
        <v>213</v>
      </c>
      <c r="I538" s="4" t="s">
        <v>52</v>
      </c>
      <c r="J538" s="4" t="n">
        <f aca="false">INDEX('Master List'!$G$2:$G$2594,K538)</f>
        <v>0</v>
      </c>
      <c r="K538" s="4" t="n">
        <v>1437</v>
      </c>
    </row>
    <row r="539" customFormat="false" ht="15" hidden="false" customHeight="false" outlineLevel="0" collapsed="false">
      <c r="A539" s="4" t="n">
        <v>538</v>
      </c>
      <c r="B539" s="4" t="s">
        <v>966</v>
      </c>
      <c r="C539" s="4" t="n">
        <v>1963</v>
      </c>
      <c r="D539" s="4" t="s">
        <v>156</v>
      </c>
      <c r="E539" s="25" t="str">
        <f aca="false">IF(J539=1,"✓","")</f>
        <v>✓</v>
      </c>
      <c r="F539" s="4" t="n">
        <v>4</v>
      </c>
      <c r="G539" s="4" t="n">
        <v>2</v>
      </c>
      <c r="H539" s="4" t="s">
        <v>213</v>
      </c>
      <c r="I539" s="4" t="s">
        <v>51</v>
      </c>
      <c r="J539" s="4" t="n">
        <f aca="false">INDEX('Master List'!$G$2:$G$2594,K539)</f>
        <v>1</v>
      </c>
      <c r="K539" s="4" t="n">
        <v>1032</v>
      </c>
    </row>
    <row r="540" customFormat="false" ht="15" hidden="false" customHeight="false" outlineLevel="0" collapsed="false">
      <c r="A540" s="4" t="n">
        <v>539</v>
      </c>
      <c r="B540" s="4" t="s">
        <v>967</v>
      </c>
      <c r="C540" s="4" t="n">
        <v>1963</v>
      </c>
      <c r="D540" s="4" t="s">
        <v>761</v>
      </c>
      <c r="E540" s="25" t="str">
        <f aca="false">IF(J540=1,"✓","")</f>
        <v/>
      </c>
      <c r="F540" s="4" t="n">
        <v>4</v>
      </c>
      <c r="G540" s="4" t="n">
        <v>2</v>
      </c>
      <c r="H540" s="4" t="s">
        <v>213</v>
      </c>
      <c r="I540" s="4" t="s">
        <v>51</v>
      </c>
      <c r="J540" s="4" t="n">
        <f aca="false">INDEX('Master List'!$G$2:$G$2594,K540)</f>
        <v>0</v>
      </c>
      <c r="K540" s="4" t="n">
        <v>271</v>
      </c>
    </row>
    <row r="541" customFormat="false" ht="15" hidden="false" customHeight="false" outlineLevel="0" collapsed="false">
      <c r="A541" s="4" t="n">
        <v>540</v>
      </c>
      <c r="B541" s="4" t="s">
        <v>968</v>
      </c>
      <c r="C541" s="4" t="n">
        <v>1963</v>
      </c>
      <c r="D541" s="4" t="s">
        <v>969</v>
      </c>
      <c r="E541" s="25" t="str">
        <f aca="false">IF(J541=1,"✓","")</f>
        <v/>
      </c>
      <c r="F541" s="4" t="n">
        <v>4</v>
      </c>
      <c r="G541" s="4" t="n">
        <v>2</v>
      </c>
      <c r="H541" s="4" t="s">
        <v>213</v>
      </c>
      <c r="I541" s="4" t="s">
        <v>52</v>
      </c>
      <c r="J541" s="4" t="n">
        <f aca="false">INDEX('Master List'!$G$2:$G$2594,K541)</f>
        <v>0</v>
      </c>
      <c r="K541" s="4" t="n">
        <v>430</v>
      </c>
    </row>
    <row r="542" customFormat="false" ht="15" hidden="false" customHeight="false" outlineLevel="0" collapsed="false">
      <c r="A542" s="4" t="n">
        <v>541</v>
      </c>
      <c r="B542" s="4" t="s">
        <v>970</v>
      </c>
      <c r="C542" s="4" t="n">
        <v>1963</v>
      </c>
      <c r="D542" s="4" t="s">
        <v>971</v>
      </c>
      <c r="E542" s="25" t="str">
        <f aca="false">IF(J542=1,"✓","")</f>
        <v/>
      </c>
      <c r="F542" s="4" t="n">
        <v>4</v>
      </c>
      <c r="G542" s="4" t="n">
        <v>2</v>
      </c>
      <c r="H542" s="4" t="s">
        <v>213</v>
      </c>
      <c r="I542" s="4" t="s">
        <v>52</v>
      </c>
      <c r="J542" s="4" t="n">
        <f aca="false">INDEX('Master List'!$G$2:$G$2594,K542)</f>
        <v>0</v>
      </c>
      <c r="K542" s="4" t="n">
        <v>952</v>
      </c>
    </row>
    <row r="543" customFormat="false" ht="15" hidden="false" customHeight="false" outlineLevel="0" collapsed="false">
      <c r="A543" s="4" t="n">
        <v>542</v>
      </c>
      <c r="B543" s="4" t="s">
        <v>972</v>
      </c>
      <c r="C543" s="4" t="n">
        <v>1964</v>
      </c>
      <c r="D543" s="4" t="s">
        <v>751</v>
      </c>
      <c r="E543" s="25" t="str">
        <f aca="false">IF(J543=1,"✓","")</f>
        <v/>
      </c>
      <c r="F543" s="4" t="n">
        <v>4</v>
      </c>
      <c r="G543" s="4" t="n">
        <v>2</v>
      </c>
      <c r="H543" s="4" t="s">
        <v>213</v>
      </c>
      <c r="I543" s="4" t="s">
        <v>49</v>
      </c>
      <c r="J543" s="4" t="n">
        <f aca="false">INDEX('Master List'!$G$2:$G$2594,K543)</f>
        <v>0</v>
      </c>
      <c r="K543" s="4" t="n">
        <v>1098</v>
      </c>
    </row>
    <row r="544" customFormat="false" ht="15" hidden="false" customHeight="false" outlineLevel="0" collapsed="false">
      <c r="A544" s="4" t="n">
        <v>543</v>
      </c>
      <c r="B544" s="4" t="s">
        <v>973</v>
      </c>
      <c r="C544" s="4" t="n">
        <v>1964</v>
      </c>
      <c r="D544" s="4" t="s">
        <v>974</v>
      </c>
      <c r="E544" s="25" t="str">
        <f aca="false">IF(J544=1,"✓","")</f>
        <v/>
      </c>
      <c r="F544" s="4" t="n">
        <v>4</v>
      </c>
      <c r="G544" s="4" t="n">
        <v>2</v>
      </c>
      <c r="H544" s="4" t="s">
        <v>213</v>
      </c>
      <c r="I544" s="4" t="s">
        <v>51</v>
      </c>
      <c r="J544" s="4" t="n">
        <f aca="false">INDEX('Master List'!$G$2:$G$2594,K544)</f>
        <v>0</v>
      </c>
      <c r="K544" s="4" t="n">
        <v>938</v>
      </c>
    </row>
    <row r="545" customFormat="false" ht="15" hidden="false" customHeight="false" outlineLevel="0" collapsed="false">
      <c r="A545" s="4" t="n">
        <v>544</v>
      </c>
      <c r="B545" s="4" t="s">
        <v>975</v>
      </c>
      <c r="C545" s="4" t="n">
        <v>1964</v>
      </c>
      <c r="D545" s="4" t="s">
        <v>217</v>
      </c>
      <c r="E545" s="25" t="str">
        <f aca="false">IF(J545=1,"✓","")</f>
        <v/>
      </c>
      <c r="F545" s="4" t="n">
        <v>4</v>
      </c>
      <c r="G545" s="4" t="n">
        <v>2</v>
      </c>
      <c r="H545" s="4" t="s">
        <v>213</v>
      </c>
      <c r="I545" s="4" t="s">
        <v>51</v>
      </c>
      <c r="J545" s="4" t="n">
        <f aca="false">INDEX('Master List'!$G$2:$G$2594,K545)</f>
        <v>0</v>
      </c>
      <c r="K545" s="4" t="n">
        <v>1873</v>
      </c>
    </row>
    <row r="546" customFormat="false" ht="15" hidden="false" customHeight="false" outlineLevel="0" collapsed="false">
      <c r="A546" s="4" t="n">
        <v>545</v>
      </c>
      <c r="B546" s="4" t="s">
        <v>976</v>
      </c>
      <c r="C546" s="4" t="n">
        <v>1964</v>
      </c>
      <c r="D546" s="4" t="s">
        <v>761</v>
      </c>
      <c r="E546" s="25" t="str">
        <f aca="false">IF(J546=1,"✓","")</f>
        <v/>
      </c>
      <c r="F546" s="4" t="n">
        <v>4</v>
      </c>
      <c r="G546" s="4" t="n">
        <v>2</v>
      </c>
      <c r="H546" s="4" t="s">
        <v>213</v>
      </c>
      <c r="I546" s="4" t="s">
        <v>51</v>
      </c>
      <c r="J546" s="4" t="n">
        <f aca="false">INDEX('Master List'!$G$2:$G$2594,K546)</f>
        <v>0</v>
      </c>
      <c r="K546" s="4" t="n">
        <v>289</v>
      </c>
    </row>
    <row r="547" customFormat="false" ht="15" hidden="false" customHeight="false" outlineLevel="0" collapsed="false">
      <c r="A547" s="4" t="n">
        <v>546</v>
      </c>
      <c r="B547" s="4" t="s">
        <v>977</v>
      </c>
      <c r="C547" s="4" t="n">
        <v>1964</v>
      </c>
      <c r="D547" s="4" t="s">
        <v>978</v>
      </c>
      <c r="E547" s="25" t="str">
        <f aca="false">IF(J547=1,"✓","")</f>
        <v/>
      </c>
      <c r="F547" s="4" t="n">
        <v>4</v>
      </c>
      <c r="G547" s="4" t="n">
        <v>2</v>
      </c>
      <c r="H547" s="4" t="s">
        <v>213</v>
      </c>
      <c r="I547" s="4" t="s">
        <v>51</v>
      </c>
      <c r="J547" s="4" t="n">
        <f aca="false">INDEX('Master List'!$G$2:$G$2594,K547)</f>
        <v>0</v>
      </c>
      <c r="K547" s="4" t="n">
        <v>994</v>
      </c>
    </row>
    <row r="548" customFormat="false" ht="15" hidden="false" customHeight="false" outlineLevel="0" collapsed="false">
      <c r="A548" s="4" t="n">
        <v>547</v>
      </c>
      <c r="B548" s="4" t="s">
        <v>979</v>
      </c>
      <c r="C548" s="4" t="n">
        <v>1964</v>
      </c>
      <c r="D548" s="4" t="s">
        <v>980</v>
      </c>
      <c r="E548" s="25" t="str">
        <f aca="false">IF(J548=1,"✓","")</f>
        <v/>
      </c>
      <c r="F548" s="4" t="n">
        <v>4</v>
      </c>
      <c r="G548" s="4" t="n">
        <v>2</v>
      </c>
      <c r="H548" s="4" t="s">
        <v>144</v>
      </c>
      <c r="I548" s="4" t="s">
        <v>51</v>
      </c>
      <c r="J548" s="4" t="n">
        <f aca="false">INDEX('Master List'!$G$2:$G$2594,K548)</f>
        <v>0</v>
      </c>
      <c r="K548" s="4" t="n">
        <v>626</v>
      </c>
    </row>
    <row r="549" customFormat="false" ht="15" hidden="false" customHeight="false" outlineLevel="0" collapsed="false">
      <c r="A549" s="4" t="n">
        <v>548</v>
      </c>
      <c r="B549" s="4" t="s">
        <v>981</v>
      </c>
      <c r="C549" s="4" t="n">
        <v>1964</v>
      </c>
      <c r="D549" s="4" t="s">
        <v>777</v>
      </c>
      <c r="E549" s="25" t="str">
        <f aca="false">IF(J549=1,"✓","")</f>
        <v/>
      </c>
      <c r="F549" s="4" t="n">
        <v>4</v>
      </c>
      <c r="G549" s="4" t="n">
        <v>2</v>
      </c>
      <c r="H549" s="4" t="s">
        <v>144</v>
      </c>
      <c r="I549" s="4" t="s">
        <v>52</v>
      </c>
      <c r="J549" s="4" t="n">
        <f aca="false">INDEX('Master List'!$G$2:$G$2594,K549)</f>
        <v>0</v>
      </c>
      <c r="K549" s="4" t="n">
        <v>2396</v>
      </c>
    </row>
    <row r="550" customFormat="false" ht="15" hidden="false" customHeight="false" outlineLevel="0" collapsed="false">
      <c r="A550" s="4" t="n">
        <v>549</v>
      </c>
      <c r="B550" s="4" t="s">
        <v>982</v>
      </c>
      <c r="C550" s="4" t="n">
        <v>1964</v>
      </c>
      <c r="D550" s="4" t="s">
        <v>189</v>
      </c>
      <c r="E550" s="25" t="str">
        <f aca="false">IF(J550=1,"✓","")</f>
        <v>✓</v>
      </c>
      <c r="F550" s="4" t="n">
        <v>4</v>
      </c>
      <c r="G550" s="4" t="n">
        <v>2</v>
      </c>
      <c r="H550" s="4" t="s">
        <v>213</v>
      </c>
      <c r="I550" s="4" t="s">
        <v>53</v>
      </c>
      <c r="J550" s="4" t="n">
        <f aca="false">INDEX('Master List'!$G$2:$G$2594,K550)</f>
        <v>1</v>
      </c>
      <c r="K550" s="4" t="n">
        <v>776</v>
      </c>
    </row>
    <row r="551" customFormat="false" ht="15" hidden="false" customHeight="false" outlineLevel="0" collapsed="false">
      <c r="A551" s="4" t="n">
        <v>550</v>
      </c>
      <c r="B551" s="4" t="s">
        <v>983</v>
      </c>
      <c r="C551" s="4" t="n">
        <v>1965</v>
      </c>
      <c r="D551" s="4" t="s">
        <v>395</v>
      </c>
      <c r="E551" s="25" t="str">
        <f aca="false">IF(J551=1,"✓","")</f>
        <v>✓</v>
      </c>
      <c r="F551" s="4" t="n">
        <v>4</v>
      </c>
      <c r="G551" s="4" t="n">
        <v>2</v>
      </c>
      <c r="H551" s="4" t="s">
        <v>213</v>
      </c>
      <c r="I551" s="4" t="s">
        <v>51</v>
      </c>
      <c r="J551" s="4" t="n">
        <f aca="false">INDEX('Master List'!$G$2:$G$2594,K551)</f>
        <v>1</v>
      </c>
      <c r="K551" s="4" t="n">
        <v>831</v>
      </c>
    </row>
    <row r="552" customFormat="false" ht="15" hidden="false" customHeight="false" outlineLevel="0" collapsed="false">
      <c r="A552" s="4" t="n">
        <v>551</v>
      </c>
      <c r="B552" s="4" t="s">
        <v>984</v>
      </c>
      <c r="C552" s="4" t="n">
        <v>1965</v>
      </c>
      <c r="D552" s="4" t="s">
        <v>152</v>
      </c>
      <c r="E552" s="25" t="str">
        <f aca="false">IF(J552=1,"✓","")</f>
        <v/>
      </c>
      <c r="F552" s="4" t="n">
        <v>4</v>
      </c>
      <c r="G552" s="4" t="n">
        <v>2</v>
      </c>
      <c r="H552" s="4" t="s">
        <v>213</v>
      </c>
      <c r="I552" s="4" t="s">
        <v>51</v>
      </c>
      <c r="J552" s="4" t="n">
        <f aca="false">INDEX('Master List'!$G$2:$G$2594,K552)</f>
        <v>0</v>
      </c>
      <c r="K552" s="4" t="n">
        <v>1765</v>
      </c>
    </row>
    <row r="553" customFormat="false" ht="15" hidden="false" customHeight="false" outlineLevel="0" collapsed="false">
      <c r="A553" s="4" t="n">
        <v>552</v>
      </c>
      <c r="B553" s="4" t="s">
        <v>985</v>
      </c>
      <c r="C553" s="4" t="n">
        <v>1965</v>
      </c>
      <c r="D553" s="4" t="s">
        <v>158</v>
      </c>
      <c r="E553" s="25" t="str">
        <f aca="false">IF(J553=1,"✓","")</f>
        <v/>
      </c>
      <c r="F553" s="4" t="n">
        <v>4</v>
      </c>
      <c r="G553" s="4" t="n">
        <v>2</v>
      </c>
      <c r="H553" s="4" t="s">
        <v>213</v>
      </c>
      <c r="I553" s="4" t="s">
        <v>51</v>
      </c>
      <c r="J553" s="4" t="n">
        <f aca="false">INDEX('Master List'!$G$2:$G$2594,K553)</f>
        <v>0</v>
      </c>
      <c r="K553" s="4" t="n">
        <v>313</v>
      </c>
    </row>
    <row r="554" customFormat="false" ht="15" hidden="false" customHeight="false" outlineLevel="0" collapsed="false">
      <c r="A554" s="4" t="n">
        <v>553</v>
      </c>
      <c r="B554" s="4" t="s">
        <v>986</v>
      </c>
      <c r="C554" s="4" t="n">
        <v>1965</v>
      </c>
      <c r="D554" s="4" t="s">
        <v>195</v>
      </c>
      <c r="E554" s="25" t="str">
        <f aca="false">IF(J554=1,"✓","")</f>
        <v/>
      </c>
      <c r="F554" s="4" t="n">
        <v>4</v>
      </c>
      <c r="G554" s="4" t="n">
        <v>2</v>
      </c>
      <c r="H554" s="4" t="s">
        <v>213</v>
      </c>
      <c r="I554" s="4" t="s">
        <v>51</v>
      </c>
      <c r="J554" s="4" t="n">
        <f aca="false">INDEX('Master List'!$G$2:$G$2594,K554)</f>
        <v>0</v>
      </c>
      <c r="K554" s="4" t="n">
        <v>1889</v>
      </c>
    </row>
    <row r="555" customFormat="false" ht="15" hidden="false" customHeight="false" outlineLevel="0" collapsed="false">
      <c r="A555" s="4" t="n">
        <v>554</v>
      </c>
      <c r="B555" s="4" t="s">
        <v>987</v>
      </c>
      <c r="C555" s="4" t="n">
        <v>1965</v>
      </c>
      <c r="D555" s="4" t="s">
        <v>789</v>
      </c>
      <c r="E555" s="25" t="str">
        <f aca="false">IF(J555=1,"✓","")</f>
        <v/>
      </c>
      <c r="F555" s="4" t="n">
        <v>4</v>
      </c>
      <c r="G555" s="4" t="n">
        <v>2</v>
      </c>
      <c r="H555" s="4" t="s">
        <v>213</v>
      </c>
      <c r="I555" s="4" t="s">
        <v>52</v>
      </c>
      <c r="J555" s="4" t="n">
        <f aca="false">INDEX('Master List'!$G$2:$G$2594,K555)</f>
        <v>0</v>
      </c>
      <c r="K555" s="4" t="n">
        <v>2122</v>
      </c>
    </row>
    <row r="556" customFormat="false" ht="15" hidden="false" customHeight="false" outlineLevel="0" collapsed="false">
      <c r="A556" s="4" t="n">
        <v>555</v>
      </c>
      <c r="B556" s="4" t="s">
        <v>988</v>
      </c>
      <c r="C556" s="4" t="n">
        <v>1966</v>
      </c>
      <c r="D556" s="4" t="s">
        <v>668</v>
      </c>
      <c r="E556" s="25" t="str">
        <f aca="false">IF(J556=1,"✓","")</f>
        <v/>
      </c>
      <c r="F556" s="4" t="n">
        <v>4</v>
      </c>
      <c r="G556" s="4" t="n">
        <v>2</v>
      </c>
      <c r="H556" s="4" t="s">
        <v>213</v>
      </c>
      <c r="I556" s="4" t="s">
        <v>51</v>
      </c>
      <c r="J556" s="4" t="n">
        <f aca="false">INDEX('Master List'!$G$2:$G$2594,K556)</f>
        <v>0</v>
      </c>
      <c r="K556" s="4" t="n">
        <v>643</v>
      </c>
    </row>
    <row r="557" customFormat="false" ht="15" hidden="false" customHeight="false" outlineLevel="0" collapsed="false">
      <c r="A557" s="4" t="n">
        <v>556</v>
      </c>
      <c r="B557" s="4" t="s">
        <v>989</v>
      </c>
      <c r="C557" s="4" t="n">
        <v>1967</v>
      </c>
      <c r="D557" s="4" t="s">
        <v>990</v>
      </c>
      <c r="E557" s="25" t="str">
        <f aca="false">IF(J557=1,"✓","")</f>
        <v/>
      </c>
      <c r="F557" s="4" t="n">
        <v>4</v>
      </c>
      <c r="G557" s="4" t="n">
        <v>2</v>
      </c>
      <c r="H557" s="4" t="s">
        <v>213</v>
      </c>
      <c r="I557" s="4" t="s">
        <v>51</v>
      </c>
      <c r="J557" s="4" t="n">
        <f aca="false">INDEX('Master List'!$G$2:$G$2594,K557)</f>
        <v>0</v>
      </c>
      <c r="K557" s="4" t="n">
        <v>1448</v>
      </c>
    </row>
    <row r="558" customFormat="false" ht="15" hidden="false" customHeight="false" outlineLevel="0" collapsed="false">
      <c r="A558" s="4" t="n">
        <v>557</v>
      </c>
      <c r="B558" s="4" t="s">
        <v>991</v>
      </c>
      <c r="C558" s="4" t="n">
        <v>1967</v>
      </c>
      <c r="D558" s="4" t="s">
        <v>992</v>
      </c>
      <c r="E558" s="25" t="str">
        <f aca="false">IF(J558=1,"✓","")</f>
        <v/>
      </c>
      <c r="F558" s="4" t="n">
        <v>4</v>
      </c>
      <c r="G558" s="4" t="n">
        <v>2</v>
      </c>
      <c r="H558" s="4" t="s">
        <v>213</v>
      </c>
      <c r="I558" s="4" t="s">
        <v>52</v>
      </c>
      <c r="J558" s="4" t="n">
        <f aca="false">INDEX('Master List'!$G$2:$G$2594,K558)</f>
        <v>0</v>
      </c>
      <c r="K558" s="4" t="n">
        <v>2314</v>
      </c>
    </row>
    <row r="559" customFormat="false" ht="15" hidden="false" customHeight="false" outlineLevel="0" collapsed="false">
      <c r="A559" s="4" t="n">
        <v>558</v>
      </c>
      <c r="B559" s="4" t="s">
        <v>993</v>
      </c>
      <c r="C559" s="4" t="n">
        <v>1967</v>
      </c>
      <c r="D559" s="4" t="s">
        <v>215</v>
      </c>
      <c r="E559" s="25" t="str">
        <f aca="false">IF(J559=1,"✓","")</f>
        <v/>
      </c>
      <c r="F559" s="4" t="n">
        <v>4</v>
      </c>
      <c r="G559" s="4" t="n">
        <v>2</v>
      </c>
      <c r="H559" s="4" t="s">
        <v>213</v>
      </c>
      <c r="I559" s="4" t="s">
        <v>53</v>
      </c>
      <c r="J559" s="4" t="n">
        <f aca="false">INDEX('Master List'!$G$2:$G$2594,K559)</f>
        <v>0</v>
      </c>
      <c r="K559" s="4" t="n">
        <v>1543</v>
      </c>
    </row>
    <row r="560" customFormat="false" ht="15" hidden="false" customHeight="false" outlineLevel="0" collapsed="false">
      <c r="A560" s="4" t="n">
        <v>559</v>
      </c>
      <c r="B560" s="4" t="s">
        <v>994</v>
      </c>
      <c r="C560" s="4" t="n">
        <v>1968</v>
      </c>
      <c r="D560" s="4" t="s">
        <v>995</v>
      </c>
      <c r="E560" s="25" t="str">
        <f aca="false">IF(J560=1,"✓","")</f>
        <v/>
      </c>
      <c r="F560" s="4" t="n">
        <v>4</v>
      </c>
      <c r="G560" s="4" t="n">
        <v>2</v>
      </c>
      <c r="H560" s="4" t="s">
        <v>213</v>
      </c>
      <c r="I560" s="4" t="s">
        <v>50</v>
      </c>
      <c r="J560" s="4" t="n">
        <f aca="false">INDEX('Master List'!$G$2:$G$2594,K560)</f>
        <v>0</v>
      </c>
      <c r="K560" s="4" t="n">
        <v>590</v>
      </c>
    </row>
    <row r="561" customFormat="false" ht="15" hidden="false" customHeight="false" outlineLevel="0" collapsed="false">
      <c r="A561" s="4" t="n">
        <v>560</v>
      </c>
      <c r="B561" s="4" t="s">
        <v>996</v>
      </c>
      <c r="C561" s="4" t="n">
        <v>1968</v>
      </c>
      <c r="D561" s="4" t="s">
        <v>997</v>
      </c>
      <c r="E561" s="25" t="str">
        <f aca="false">IF(J561=1,"✓","")</f>
        <v/>
      </c>
      <c r="F561" s="4" t="n">
        <v>4</v>
      </c>
      <c r="G561" s="4" t="n">
        <v>2</v>
      </c>
      <c r="H561" s="4" t="s">
        <v>213</v>
      </c>
      <c r="I561" s="4" t="s">
        <v>51</v>
      </c>
      <c r="J561" s="4" t="n">
        <f aca="false">INDEX('Master List'!$G$2:$G$2594,K561)</f>
        <v>0</v>
      </c>
      <c r="K561" s="4" t="n">
        <v>1116</v>
      </c>
    </row>
    <row r="562" customFormat="false" ht="15" hidden="false" customHeight="false" outlineLevel="0" collapsed="false">
      <c r="A562" s="4" t="n">
        <v>561</v>
      </c>
      <c r="B562" s="4" t="s">
        <v>998</v>
      </c>
      <c r="C562" s="4" t="n">
        <v>1968</v>
      </c>
      <c r="D562" s="4" t="s">
        <v>999</v>
      </c>
      <c r="E562" s="25" t="str">
        <f aca="false">IF(J562=1,"✓","")</f>
        <v/>
      </c>
      <c r="F562" s="4" t="n">
        <v>4</v>
      </c>
      <c r="G562" s="4" t="n">
        <v>2</v>
      </c>
      <c r="H562" s="4" t="s">
        <v>213</v>
      </c>
      <c r="I562" s="4" t="s">
        <v>51</v>
      </c>
      <c r="J562" s="4" t="n">
        <f aca="false">INDEX('Master List'!$G$2:$G$2594,K562)</f>
        <v>0</v>
      </c>
      <c r="K562" s="4" t="n">
        <v>1395</v>
      </c>
    </row>
    <row r="563" customFormat="false" ht="15" hidden="false" customHeight="false" outlineLevel="0" collapsed="false">
      <c r="A563" s="4" t="n">
        <v>562</v>
      </c>
      <c r="B563" s="4" t="s">
        <v>1000</v>
      </c>
      <c r="C563" s="4" t="n">
        <v>1968</v>
      </c>
      <c r="D563" s="4" t="s">
        <v>377</v>
      </c>
      <c r="E563" s="25" t="str">
        <f aca="false">IF(J563=1,"✓","")</f>
        <v/>
      </c>
      <c r="F563" s="4" t="n">
        <v>4</v>
      </c>
      <c r="G563" s="4" t="n">
        <v>2</v>
      </c>
      <c r="H563" s="4" t="s">
        <v>213</v>
      </c>
      <c r="I563" s="4" t="s">
        <v>52</v>
      </c>
      <c r="J563" s="4" t="n">
        <f aca="false">INDEX('Master List'!$G$2:$G$2594,K563)</f>
        <v>0</v>
      </c>
      <c r="K563" s="4" t="n">
        <v>1274</v>
      </c>
    </row>
    <row r="564" customFormat="false" ht="15" hidden="false" customHeight="false" outlineLevel="0" collapsed="false">
      <c r="A564" s="4" t="n">
        <v>563</v>
      </c>
      <c r="B564" s="4" t="s">
        <v>1001</v>
      </c>
      <c r="C564" s="4" t="n">
        <v>1968</v>
      </c>
      <c r="D564" s="4" t="s">
        <v>150</v>
      </c>
      <c r="E564" s="25" t="str">
        <f aca="false">IF(J564=1,"✓","")</f>
        <v/>
      </c>
      <c r="F564" s="4" t="n">
        <v>4</v>
      </c>
      <c r="G564" s="4" t="n">
        <v>2</v>
      </c>
      <c r="H564" s="4" t="s">
        <v>213</v>
      </c>
      <c r="I564" s="4" t="s">
        <v>53</v>
      </c>
      <c r="J564" s="4" t="n">
        <f aca="false">INDEX('Master List'!$G$2:$G$2594,K564)</f>
        <v>0</v>
      </c>
      <c r="K564" s="4" t="n">
        <v>2160</v>
      </c>
    </row>
    <row r="565" customFormat="false" ht="15" hidden="false" customHeight="false" outlineLevel="0" collapsed="false">
      <c r="A565" s="4" t="n">
        <v>564</v>
      </c>
      <c r="B565" s="4" t="s">
        <v>1002</v>
      </c>
      <c r="C565" s="4" t="n">
        <v>1968</v>
      </c>
      <c r="D565" s="4" t="s">
        <v>801</v>
      </c>
      <c r="E565" s="25" t="str">
        <f aca="false">IF(J565=1,"✓","")</f>
        <v/>
      </c>
      <c r="F565" s="4" t="n">
        <v>4</v>
      </c>
      <c r="G565" s="4" t="n">
        <v>2</v>
      </c>
      <c r="H565" s="4" t="s">
        <v>144</v>
      </c>
      <c r="I565" s="4" t="s">
        <v>53</v>
      </c>
      <c r="J565" s="4" t="n">
        <f aca="false">INDEX('Master List'!$G$2:$G$2594,K565)</f>
        <v>0</v>
      </c>
      <c r="K565" s="4" t="n">
        <v>773</v>
      </c>
    </row>
    <row r="566" customFormat="false" ht="15" hidden="false" customHeight="false" outlineLevel="0" collapsed="false">
      <c r="A566" s="4" t="n">
        <v>565</v>
      </c>
      <c r="B566" s="4" t="s">
        <v>1003</v>
      </c>
      <c r="C566" s="4" t="n">
        <v>1969</v>
      </c>
      <c r="D566" s="4" t="s">
        <v>1004</v>
      </c>
      <c r="E566" s="25" t="str">
        <f aca="false">IF(J566=1,"✓","")</f>
        <v/>
      </c>
      <c r="F566" s="4" t="n">
        <v>4</v>
      </c>
      <c r="G566" s="4" t="n">
        <v>2</v>
      </c>
      <c r="H566" s="4" t="s">
        <v>213</v>
      </c>
      <c r="I566" s="4" t="s">
        <v>51</v>
      </c>
      <c r="J566" s="4" t="n">
        <f aca="false">INDEX('Master List'!$G$2:$G$2594,K566)</f>
        <v>0</v>
      </c>
      <c r="K566" s="4" t="n">
        <v>870</v>
      </c>
    </row>
    <row r="567" customFormat="false" ht="15" hidden="false" customHeight="false" outlineLevel="0" collapsed="false">
      <c r="A567" s="4" t="n">
        <v>566</v>
      </c>
      <c r="B567" s="4" t="s">
        <v>1005</v>
      </c>
      <c r="C567" s="4" t="n">
        <v>1969</v>
      </c>
      <c r="D567" s="4" t="s">
        <v>797</v>
      </c>
      <c r="E567" s="25" t="str">
        <f aca="false">IF(J567=1,"✓","")</f>
        <v/>
      </c>
      <c r="F567" s="4" t="n">
        <v>4</v>
      </c>
      <c r="G567" s="4" t="n">
        <v>2</v>
      </c>
      <c r="H567" s="4" t="s">
        <v>213</v>
      </c>
      <c r="I567" s="4" t="s">
        <v>52</v>
      </c>
      <c r="J567" s="4" t="n">
        <f aca="false">INDEX('Master List'!$G$2:$G$2594,K567)</f>
        <v>0</v>
      </c>
      <c r="K567" s="4" t="n">
        <v>373</v>
      </c>
    </row>
    <row r="568" customFormat="false" ht="15" hidden="false" customHeight="false" outlineLevel="0" collapsed="false">
      <c r="A568" s="4" t="n">
        <v>567</v>
      </c>
      <c r="B568" s="4" t="s">
        <v>1006</v>
      </c>
      <c r="C568" s="4" t="n">
        <v>1970</v>
      </c>
      <c r="D568" s="4" t="s">
        <v>1007</v>
      </c>
      <c r="E568" s="25" t="str">
        <f aca="false">IF(J568=1,"✓","")</f>
        <v/>
      </c>
      <c r="F568" s="4" t="n">
        <v>4</v>
      </c>
      <c r="G568" s="4" t="n">
        <v>2</v>
      </c>
      <c r="H568" s="4" t="s">
        <v>144</v>
      </c>
      <c r="I568" s="4" t="s">
        <v>51</v>
      </c>
      <c r="J568" s="4" t="n">
        <f aca="false">INDEX('Master List'!$G$2:$G$2594,K568)</f>
        <v>0</v>
      </c>
      <c r="K568" s="4" t="n">
        <v>358</v>
      </c>
    </row>
    <row r="569" customFormat="false" ht="15" hidden="false" customHeight="false" outlineLevel="0" collapsed="false">
      <c r="A569" s="4" t="n">
        <v>568</v>
      </c>
      <c r="B569" s="4" t="s">
        <v>1008</v>
      </c>
      <c r="C569" s="4" t="n">
        <v>1970</v>
      </c>
      <c r="D569" s="4" t="s">
        <v>253</v>
      </c>
      <c r="E569" s="25" t="str">
        <f aca="false">IF(J569=1,"✓","")</f>
        <v/>
      </c>
      <c r="F569" s="4" t="n">
        <v>4</v>
      </c>
      <c r="G569" s="4" t="n">
        <v>2</v>
      </c>
      <c r="H569" s="4" t="s">
        <v>213</v>
      </c>
      <c r="I569" s="4" t="s">
        <v>51</v>
      </c>
      <c r="J569" s="4" t="n">
        <f aca="false">INDEX('Master List'!$G$2:$G$2594,K569)</f>
        <v>0</v>
      </c>
      <c r="K569" s="4" t="n">
        <v>578</v>
      </c>
    </row>
    <row r="570" customFormat="false" ht="15" hidden="false" customHeight="false" outlineLevel="0" collapsed="false">
      <c r="A570" s="4" t="n">
        <v>569</v>
      </c>
      <c r="B570" s="4" t="s">
        <v>1009</v>
      </c>
      <c r="C570" s="4" t="n">
        <v>1970</v>
      </c>
      <c r="D570" s="4" t="s">
        <v>357</v>
      </c>
      <c r="E570" s="25" t="str">
        <f aca="false">IF(J570=1,"✓","")</f>
        <v/>
      </c>
      <c r="F570" s="4" t="n">
        <v>4</v>
      </c>
      <c r="G570" s="4" t="n">
        <v>2</v>
      </c>
      <c r="H570" s="4" t="s">
        <v>213</v>
      </c>
      <c r="I570" s="4" t="s">
        <v>52</v>
      </c>
      <c r="J570" s="4" t="n">
        <f aca="false">INDEX('Master List'!$G$2:$G$2594,K570)</f>
        <v>0</v>
      </c>
      <c r="K570" s="4" t="n">
        <v>412</v>
      </c>
    </row>
    <row r="571" customFormat="false" ht="15" hidden="false" customHeight="false" outlineLevel="0" collapsed="false">
      <c r="A571" s="4" t="n">
        <v>570</v>
      </c>
      <c r="B571" s="4" t="s">
        <v>1010</v>
      </c>
      <c r="C571" s="4" t="n">
        <v>1970</v>
      </c>
      <c r="D571" s="4" t="s">
        <v>419</v>
      </c>
      <c r="E571" s="25" t="str">
        <f aca="false">IF(J571=1,"✓","")</f>
        <v/>
      </c>
      <c r="F571" s="4" t="n">
        <v>4</v>
      </c>
      <c r="G571" s="4" t="n">
        <v>2</v>
      </c>
      <c r="H571" s="4" t="s">
        <v>213</v>
      </c>
      <c r="I571" s="4" t="s">
        <v>52</v>
      </c>
      <c r="J571" s="4" t="n">
        <f aca="false">INDEX('Master List'!$G$2:$G$2594,K571)</f>
        <v>0</v>
      </c>
      <c r="K571" s="4" t="n">
        <v>471</v>
      </c>
    </row>
    <row r="572" customFormat="false" ht="15" hidden="false" customHeight="false" outlineLevel="0" collapsed="false">
      <c r="A572" s="4" t="n">
        <v>571</v>
      </c>
      <c r="B572" s="4" t="s">
        <v>1011</v>
      </c>
      <c r="C572" s="4" t="n">
        <v>1971</v>
      </c>
      <c r="D572" s="4" t="s">
        <v>395</v>
      </c>
      <c r="E572" s="25" t="str">
        <f aca="false">IF(J572=1,"✓","")</f>
        <v/>
      </c>
      <c r="F572" s="4" t="n">
        <v>4</v>
      </c>
      <c r="G572" s="4" t="n">
        <v>2</v>
      </c>
      <c r="H572" s="4" t="s">
        <v>213</v>
      </c>
      <c r="I572" s="4" t="s">
        <v>51</v>
      </c>
      <c r="J572" s="4" t="n">
        <f aca="false">INDEX('Master List'!$G$2:$G$2594,K572)</f>
        <v>0</v>
      </c>
      <c r="K572" s="4" t="n">
        <v>687</v>
      </c>
    </row>
    <row r="573" customFormat="false" ht="15" hidden="false" customHeight="false" outlineLevel="0" collapsed="false">
      <c r="A573" s="4" t="n">
        <v>572</v>
      </c>
      <c r="B573" s="4" t="s">
        <v>1012</v>
      </c>
      <c r="C573" s="4" t="n">
        <v>1971</v>
      </c>
      <c r="D573" s="4" t="s">
        <v>312</v>
      </c>
      <c r="E573" s="25" t="str">
        <f aca="false">IF(J573=1,"✓","")</f>
        <v/>
      </c>
      <c r="F573" s="4" t="n">
        <v>4</v>
      </c>
      <c r="G573" s="4" t="n">
        <v>2</v>
      </c>
      <c r="H573" s="4" t="s">
        <v>213</v>
      </c>
      <c r="I573" s="4" t="s">
        <v>51</v>
      </c>
      <c r="J573" s="4" t="n">
        <f aca="false">INDEX('Master List'!$G$2:$G$2594,K573)</f>
        <v>0</v>
      </c>
      <c r="K573" s="4" t="n">
        <v>1483</v>
      </c>
    </row>
    <row r="574" customFormat="false" ht="15" hidden="false" customHeight="false" outlineLevel="0" collapsed="false">
      <c r="A574" s="4" t="n">
        <v>573</v>
      </c>
      <c r="B574" s="4" t="s">
        <v>1013</v>
      </c>
      <c r="C574" s="4" t="n">
        <v>1971</v>
      </c>
      <c r="D574" s="4" t="s">
        <v>409</v>
      </c>
      <c r="E574" s="25" t="str">
        <f aca="false">IF(J574=1,"✓","")</f>
        <v>✓</v>
      </c>
      <c r="F574" s="4" t="n">
        <v>4</v>
      </c>
      <c r="G574" s="4" t="n">
        <v>2</v>
      </c>
      <c r="H574" s="4" t="s">
        <v>213</v>
      </c>
      <c r="I574" s="4" t="s">
        <v>52</v>
      </c>
      <c r="J574" s="4" t="n">
        <f aca="false">INDEX('Master List'!$G$2:$G$2594,K574)</f>
        <v>1</v>
      </c>
      <c r="K574" s="4" t="n">
        <v>633</v>
      </c>
    </row>
    <row r="575" customFormat="false" ht="15" hidden="false" customHeight="false" outlineLevel="0" collapsed="false">
      <c r="A575" s="4" t="n">
        <v>574</v>
      </c>
      <c r="B575" s="4" t="s">
        <v>1014</v>
      </c>
      <c r="C575" s="4" t="n">
        <v>1971</v>
      </c>
      <c r="D575" s="4" t="s">
        <v>183</v>
      </c>
      <c r="E575" s="25" t="str">
        <f aca="false">IF(J575=1,"✓","")</f>
        <v/>
      </c>
      <c r="F575" s="4" t="n">
        <v>4</v>
      </c>
      <c r="G575" s="4" t="n">
        <v>2</v>
      </c>
      <c r="H575" s="4" t="s">
        <v>213</v>
      </c>
      <c r="I575" s="4" t="s">
        <v>53</v>
      </c>
      <c r="J575" s="4" t="n">
        <f aca="false">INDEX('Master List'!$G$2:$G$2594,K575)</f>
        <v>0</v>
      </c>
      <c r="K575" s="4" t="n">
        <v>688</v>
      </c>
    </row>
    <row r="576" customFormat="false" ht="15" hidden="false" customHeight="false" outlineLevel="0" collapsed="false">
      <c r="A576" s="4" t="n">
        <v>575</v>
      </c>
      <c r="B576" s="4" t="s">
        <v>1015</v>
      </c>
      <c r="C576" s="4" t="n">
        <v>1972</v>
      </c>
      <c r="D576" s="4" t="s">
        <v>312</v>
      </c>
      <c r="E576" s="25" t="str">
        <f aca="false">IF(J576=1,"✓","")</f>
        <v/>
      </c>
      <c r="F576" s="4" t="n">
        <v>4</v>
      </c>
      <c r="G576" s="4" t="n">
        <v>2</v>
      </c>
      <c r="H576" s="4" t="s">
        <v>213</v>
      </c>
      <c r="I576" s="4" t="s">
        <v>51</v>
      </c>
      <c r="J576" s="4" t="n">
        <f aca="false">INDEX('Master List'!$G$2:$G$2594,K576)</f>
        <v>0</v>
      </c>
      <c r="K576" s="4" t="n">
        <v>262</v>
      </c>
    </row>
    <row r="577" customFormat="false" ht="15" hidden="false" customHeight="false" outlineLevel="0" collapsed="false">
      <c r="A577" s="4" t="n">
        <v>576</v>
      </c>
      <c r="B577" s="4" t="s">
        <v>1016</v>
      </c>
      <c r="C577" s="4" t="n">
        <v>1972</v>
      </c>
      <c r="D577" s="4" t="s">
        <v>170</v>
      </c>
      <c r="E577" s="25" t="str">
        <f aca="false">IF(J577=1,"✓","")</f>
        <v/>
      </c>
      <c r="F577" s="4" t="n">
        <v>4</v>
      </c>
      <c r="G577" s="4" t="n">
        <v>2</v>
      </c>
      <c r="H577" s="4" t="s">
        <v>213</v>
      </c>
      <c r="I577" s="4" t="s">
        <v>53</v>
      </c>
      <c r="J577" s="4" t="n">
        <f aca="false">INDEX('Master List'!$G$2:$G$2594,K577)</f>
        <v>0</v>
      </c>
      <c r="K577" s="4" t="n">
        <v>535</v>
      </c>
    </row>
    <row r="578" customFormat="false" ht="15" hidden="false" customHeight="false" outlineLevel="0" collapsed="false">
      <c r="A578" s="4" t="n">
        <v>577</v>
      </c>
      <c r="B578" s="4" t="s">
        <v>1017</v>
      </c>
      <c r="C578" s="4" t="n">
        <v>1972</v>
      </c>
      <c r="D578" s="4" t="s">
        <v>1018</v>
      </c>
      <c r="E578" s="25" t="str">
        <f aca="false">IF(J578=1,"✓","")</f>
        <v/>
      </c>
      <c r="F578" s="4" t="n">
        <v>4</v>
      </c>
      <c r="G578" s="4" t="n">
        <v>2</v>
      </c>
      <c r="H578" s="4" t="s">
        <v>213</v>
      </c>
      <c r="I578" s="4" t="s">
        <v>54</v>
      </c>
      <c r="J578" s="4" t="n">
        <f aca="false">INDEX('Master List'!$G$2:$G$2594,K578)</f>
        <v>0</v>
      </c>
      <c r="K578" s="4" t="n">
        <v>997</v>
      </c>
    </row>
    <row r="579" customFormat="false" ht="15" hidden="false" customHeight="false" outlineLevel="0" collapsed="false">
      <c r="A579" s="4" t="n">
        <v>578</v>
      </c>
      <c r="B579" s="4" t="s">
        <v>1019</v>
      </c>
      <c r="C579" s="4" t="n">
        <v>1973</v>
      </c>
      <c r="D579" s="4" t="s">
        <v>179</v>
      </c>
      <c r="E579" s="25" t="str">
        <f aca="false">IF(J579=1,"✓","")</f>
        <v/>
      </c>
      <c r="F579" s="4" t="n">
        <v>4</v>
      </c>
      <c r="G579" s="4" t="n">
        <v>2</v>
      </c>
      <c r="H579" s="4" t="s">
        <v>213</v>
      </c>
      <c r="I579" s="4" t="s">
        <v>51</v>
      </c>
      <c r="J579" s="4" t="n">
        <f aca="false">INDEX('Master List'!$G$2:$G$2594,K579)</f>
        <v>0</v>
      </c>
      <c r="K579" s="4" t="n">
        <v>84</v>
      </c>
    </row>
    <row r="580" customFormat="false" ht="15" hidden="false" customHeight="false" outlineLevel="0" collapsed="false">
      <c r="A580" s="4" t="n">
        <v>579</v>
      </c>
      <c r="B580" s="4" t="s">
        <v>1020</v>
      </c>
      <c r="C580" s="4" t="n">
        <v>1973</v>
      </c>
      <c r="D580" s="4" t="s">
        <v>150</v>
      </c>
      <c r="E580" s="25" t="str">
        <f aca="false">IF(J580=1,"✓","")</f>
        <v/>
      </c>
      <c r="F580" s="4" t="n">
        <v>4</v>
      </c>
      <c r="G580" s="4" t="n">
        <v>2</v>
      </c>
      <c r="H580" s="4" t="s">
        <v>213</v>
      </c>
      <c r="I580" s="4" t="s">
        <v>53</v>
      </c>
      <c r="J580" s="4" t="n">
        <f aca="false">INDEX('Master List'!$G$2:$G$2594,K580)</f>
        <v>0</v>
      </c>
      <c r="K580" s="4" t="n">
        <v>572</v>
      </c>
    </row>
    <row r="581" customFormat="false" ht="15" hidden="false" customHeight="false" outlineLevel="0" collapsed="false">
      <c r="A581" s="4" t="n">
        <v>580</v>
      </c>
      <c r="B581" s="4" t="s">
        <v>1021</v>
      </c>
      <c r="C581" s="4" t="n">
        <v>1973</v>
      </c>
      <c r="D581" s="4" t="s">
        <v>1022</v>
      </c>
      <c r="E581" s="25" t="str">
        <f aca="false">IF(J581=1,"✓","")</f>
        <v/>
      </c>
      <c r="F581" s="4" t="n">
        <v>4</v>
      </c>
      <c r="G581" s="4" t="n">
        <v>2</v>
      </c>
      <c r="H581" s="4" t="s">
        <v>213</v>
      </c>
      <c r="I581" s="4" t="s">
        <v>54</v>
      </c>
      <c r="J581" s="4" t="n">
        <f aca="false">INDEX('Master List'!$G$2:$G$2594,K581)</f>
        <v>0</v>
      </c>
      <c r="K581" s="4" t="n">
        <v>492</v>
      </c>
    </row>
    <row r="582" customFormat="false" ht="15" hidden="false" customHeight="false" outlineLevel="0" collapsed="false">
      <c r="A582" s="4" t="n">
        <v>581</v>
      </c>
      <c r="B582" s="4" t="s">
        <v>1023</v>
      </c>
      <c r="C582" s="4" t="n">
        <v>1974</v>
      </c>
      <c r="D582" s="4" t="s">
        <v>365</v>
      </c>
      <c r="E582" s="25" t="str">
        <f aca="false">IF(J582=1,"✓","")</f>
        <v/>
      </c>
      <c r="F582" s="4" t="n">
        <v>4</v>
      </c>
      <c r="G582" s="4" t="n">
        <v>2</v>
      </c>
      <c r="H582" s="4" t="s">
        <v>213</v>
      </c>
      <c r="I582" s="4" t="s">
        <v>51</v>
      </c>
      <c r="J582" s="4" t="n">
        <f aca="false">INDEX('Master List'!$G$2:$G$2594,K582)</f>
        <v>0</v>
      </c>
      <c r="K582" s="4" t="n">
        <v>65</v>
      </c>
    </row>
    <row r="583" customFormat="false" ht="15" hidden="false" customHeight="false" outlineLevel="0" collapsed="false">
      <c r="A583" s="4" t="n">
        <v>582</v>
      </c>
      <c r="B583" s="4" t="s">
        <v>1024</v>
      </c>
      <c r="C583" s="4" t="n">
        <v>1974</v>
      </c>
      <c r="D583" s="4" t="s">
        <v>292</v>
      </c>
      <c r="E583" s="25" t="str">
        <f aca="false">IF(J583=1,"✓","")</f>
        <v/>
      </c>
      <c r="F583" s="4" t="n">
        <v>4</v>
      </c>
      <c r="G583" s="4" t="n">
        <v>2</v>
      </c>
      <c r="H583" s="4" t="s">
        <v>213</v>
      </c>
      <c r="I583" s="4" t="s">
        <v>51</v>
      </c>
      <c r="J583" s="4" t="n">
        <f aca="false">INDEX('Master List'!$G$2:$G$2594,K583)</f>
        <v>0</v>
      </c>
      <c r="K583" s="4" t="n">
        <v>733</v>
      </c>
    </row>
    <row r="584" customFormat="false" ht="15" hidden="false" customHeight="false" outlineLevel="0" collapsed="false">
      <c r="A584" s="4" t="n">
        <v>583</v>
      </c>
      <c r="B584" s="4" t="s">
        <v>1025</v>
      </c>
      <c r="C584" s="4" t="n">
        <v>1974</v>
      </c>
      <c r="D584" s="4" t="s">
        <v>1026</v>
      </c>
      <c r="E584" s="25" t="str">
        <f aca="false">IF(J584=1,"✓","")</f>
        <v/>
      </c>
      <c r="F584" s="4" t="n">
        <v>4</v>
      </c>
      <c r="G584" s="4" t="n">
        <v>2</v>
      </c>
      <c r="H584" s="4" t="s">
        <v>213</v>
      </c>
      <c r="I584" s="4" t="s">
        <v>52</v>
      </c>
      <c r="J584" s="4" t="n">
        <f aca="false">INDEX('Master List'!$G$2:$G$2594,K584)</f>
        <v>0</v>
      </c>
      <c r="K584" s="4" t="n">
        <v>2232</v>
      </c>
    </row>
    <row r="585" customFormat="false" ht="15" hidden="false" customHeight="false" outlineLevel="0" collapsed="false">
      <c r="A585" s="4" t="n">
        <v>584</v>
      </c>
      <c r="B585" s="4" t="s">
        <v>1027</v>
      </c>
      <c r="C585" s="4" t="n">
        <v>1974</v>
      </c>
      <c r="D585" s="4" t="s">
        <v>183</v>
      </c>
      <c r="E585" s="25" t="str">
        <f aca="false">IF(J585=1,"✓","")</f>
        <v>✓</v>
      </c>
      <c r="F585" s="4" t="n">
        <v>4</v>
      </c>
      <c r="G585" s="4" t="n">
        <v>2</v>
      </c>
      <c r="H585" s="4" t="s">
        <v>213</v>
      </c>
      <c r="I585" s="4" t="s">
        <v>53</v>
      </c>
      <c r="J585" s="4" t="n">
        <f aca="false">INDEX('Master List'!$G$2:$G$2594,K585)</f>
        <v>1</v>
      </c>
      <c r="K585" s="4" t="n">
        <v>2194</v>
      </c>
    </row>
    <row r="586" customFormat="false" ht="15" hidden="false" customHeight="false" outlineLevel="0" collapsed="false">
      <c r="A586" s="4" t="n">
        <v>585</v>
      </c>
      <c r="B586" s="4" t="s">
        <v>1028</v>
      </c>
      <c r="C586" s="4" t="n">
        <v>1975</v>
      </c>
      <c r="D586" s="4" t="s">
        <v>673</v>
      </c>
      <c r="E586" s="25" t="str">
        <f aca="false">IF(J586=1,"✓","")</f>
        <v/>
      </c>
      <c r="F586" s="4" t="n">
        <v>4</v>
      </c>
      <c r="G586" s="4" t="n">
        <v>2</v>
      </c>
      <c r="H586" s="4" t="s">
        <v>213</v>
      </c>
      <c r="I586" s="4" t="s">
        <v>51</v>
      </c>
      <c r="J586" s="4" t="n">
        <f aca="false">INDEX('Master List'!$G$2:$G$2594,K586)</f>
        <v>0</v>
      </c>
      <c r="K586" s="4" t="n">
        <v>948</v>
      </c>
    </row>
    <row r="587" customFormat="false" ht="15" hidden="false" customHeight="false" outlineLevel="0" collapsed="false">
      <c r="A587" s="4" t="n">
        <v>586</v>
      </c>
      <c r="B587" s="4" t="s">
        <v>1029</v>
      </c>
      <c r="C587" s="4" t="n">
        <v>1975</v>
      </c>
      <c r="D587" s="4" t="s">
        <v>1022</v>
      </c>
      <c r="E587" s="25" t="str">
        <f aca="false">IF(J587=1,"✓","")</f>
        <v/>
      </c>
      <c r="F587" s="4" t="n">
        <v>4</v>
      </c>
      <c r="G587" s="4" t="n">
        <v>2</v>
      </c>
      <c r="H587" s="4" t="s">
        <v>213</v>
      </c>
      <c r="I587" s="4" t="s">
        <v>54</v>
      </c>
      <c r="J587" s="4" t="n">
        <f aca="false">INDEX('Master List'!$G$2:$G$2594,K587)</f>
        <v>0</v>
      </c>
      <c r="K587" s="4" t="n">
        <v>2219</v>
      </c>
    </row>
    <row r="588" customFormat="false" ht="15" hidden="false" customHeight="false" outlineLevel="0" collapsed="false">
      <c r="A588" s="4" t="n">
        <v>587</v>
      </c>
      <c r="B588" s="4" t="s">
        <v>1030</v>
      </c>
      <c r="C588" s="4" t="n">
        <v>1976</v>
      </c>
      <c r="D588" s="4" t="s">
        <v>803</v>
      </c>
      <c r="E588" s="25" t="str">
        <f aca="false">IF(J588=1,"✓","")</f>
        <v/>
      </c>
      <c r="F588" s="4" t="n">
        <v>4</v>
      </c>
      <c r="G588" s="4" t="n">
        <v>2</v>
      </c>
      <c r="H588" s="4" t="s">
        <v>213</v>
      </c>
      <c r="I588" s="4" t="s">
        <v>51</v>
      </c>
      <c r="J588" s="4" t="n">
        <f aca="false">INDEX('Master List'!$G$2:$G$2594,K588)</f>
        <v>0</v>
      </c>
      <c r="K588" s="4" t="n">
        <v>1146</v>
      </c>
    </row>
    <row r="589" customFormat="false" ht="15" hidden="false" customHeight="false" outlineLevel="0" collapsed="false">
      <c r="A589" s="4" t="n">
        <v>588</v>
      </c>
      <c r="B589" s="4" t="s">
        <v>1031</v>
      </c>
      <c r="C589" s="4" t="n">
        <v>1976</v>
      </c>
      <c r="D589" s="4" t="s">
        <v>185</v>
      </c>
      <c r="E589" s="25" t="str">
        <f aca="false">IF(J589=1,"✓","")</f>
        <v/>
      </c>
      <c r="F589" s="4" t="n">
        <v>4</v>
      </c>
      <c r="G589" s="4" t="n">
        <v>2</v>
      </c>
      <c r="H589" s="4" t="s">
        <v>144</v>
      </c>
      <c r="I589" s="4" t="s">
        <v>52</v>
      </c>
      <c r="J589" s="4" t="n">
        <f aca="false">INDEX('Master List'!$G$2:$G$2594,K589)</f>
        <v>0</v>
      </c>
      <c r="K589" s="4" t="n">
        <v>1598</v>
      </c>
    </row>
    <row r="590" customFormat="false" ht="15" hidden="false" customHeight="false" outlineLevel="0" collapsed="false">
      <c r="A590" s="4" t="n">
        <v>589</v>
      </c>
      <c r="B590" s="4" t="s">
        <v>1032</v>
      </c>
      <c r="C590" s="4" t="n">
        <v>1976</v>
      </c>
      <c r="D590" s="4" t="s">
        <v>1033</v>
      </c>
      <c r="E590" s="25" t="str">
        <f aca="false">IF(J590=1,"✓","")</f>
        <v>✓</v>
      </c>
      <c r="F590" s="4" t="n">
        <v>4</v>
      </c>
      <c r="G590" s="4" t="n">
        <v>2</v>
      </c>
      <c r="H590" s="4" t="s">
        <v>213</v>
      </c>
      <c r="I590" s="4" t="s">
        <v>55</v>
      </c>
      <c r="J590" s="4" t="n">
        <f aca="false">INDEX('Master List'!$G$2:$G$2594,K590)</f>
        <v>1</v>
      </c>
      <c r="K590" s="4" t="n">
        <v>1921</v>
      </c>
    </row>
    <row r="591" customFormat="false" ht="15" hidden="false" customHeight="false" outlineLevel="0" collapsed="false">
      <c r="A591" s="4" t="n">
        <v>590</v>
      </c>
      <c r="B591" s="4" t="s">
        <v>1034</v>
      </c>
      <c r="C591" s="4" t="n">
        <v>1977</v>
      </c>
      <c r="D591" s="4" t="s">
        <v>1035</v>
      </c>
      <c r="E591" s="25" t="str">
        <f aca="false">IF(J591=1,"✓","")</f>
        <v/>
      </c>
      <c r="F591" s="4" t="n">
        <v>4</v>
      </c>
      <c r="G591" s="4" t="n">
        <v>2</v>
      </c>
      <c r="H591" s="4" t="s">
        <v>213</v>
      </c>
      <c r="I591" s="4" t="s">
        <v>51</v>
      </c>
      <c r="J591" s="4" t="n">
        <f aca="false">INDEX('Master List'!$G$2:$G$2594,K591)</f>
        <v>0</v>
      </c>
      <c r="K591" s="4" t="n">
        <v>134</v>
      </c>
    </row>
    <row r="592" customFormat="false" ht="15" hidden="false" customHeight="false" outlineLevel="0" collapsed="false">
      <c r="A592" s="4" t="n">
        <v>591</v>
      </c>
      <c r="B592" s="4" t="s">
        <v>1036</v>
      </c>
      <c r="C592" s="4" t="n">
        <v>1977</v>
      </c>
      <c r="D592" s="4" t="s">
        <v>316</v>
      </c>
      <c r="E592" s="25" t="str">
        <f aca="false">IF(J592=1,"✓","")</f>
        <v/>
      </c>
      <c r="F592" s="4" t="n">
        <v>4</v>
      </c>
      <c r="G592" s="4" t="n">
        <v>2</v>
      </c>
      <c r="H592" s="4" t="s">
        <v>213</v>
      </c>
      <c r="I592" s="4" t="s">
        <v>52</v>
      </c>
      <c r="J592" s="4" t="n">
        <f aca="false">INDEX('Master List'!$G$2:$G$2594,K592)</f>
        <v>0</v>
      </c>
      <c r="K592" s="4" t="n">
        <v>1848</v>
      </c>
    </row>
    <row r="593" customFormat="false" ht="15" hidden="false" customHeight="false" outlineLevel="0" collapsed="false">
      <c r="A593" s="4" t="n">
        <v>592</v>
      </c>
      <c r="B593" s="4" t="s">
        <v>1037</v>
      </c>
      <c r="C593" s="4" t="n">
        <v>1977</v>
      </c>
      <c r="D593" s="4" t="s">
        <v>801</v>
      </c>
      <c r="E593" s="25" t="str">
        <f aca="false">IF(J593=1,"✓","")</f>
        <v/>
      </c>
      <c r="F593" s="4" t="n">
        <v>4</v>
      </c>
      <c r="G593" s="4" t="n">
        <v>2</v>
      </c>
      <c r="H593" s="4" t="s">
        <v>213</v>
      </c>
      <c r="I593" s="4" t="s">
        <v>53</v>
      </c>
      <c r="J593" s="4" t="n">
        <f aca="false">INDEX('Master List'!$G$2:$G$2594,K593)</f>
        <v>0</v>
      </c>
      <c r="K593" s="4" t="n">
        <v>1688</v>
      </c>
    </row>
    <row r="594" customFormat="false" ht="15" hidden="false" customHeight="false" outlineLevel="0" collapsed="false">
      <c r="A594" s="4" t="n">
        <v>593</v>
      </c>
      <c r="B594" s="4" t="s">
        <v>1038</v>
      </c>
      <c r="C594" s="4" t="n">
        <v>1978</v>
      </c>
      <c r="D594" s="4" t="s">
        <v>1039</v>
      </c>
      <c r="E594" s="25" t="str">
        <f aca="false">IF(J594=1,"✓","")</f>
        <v/>
      </c>
      <c r="F594" s="4" t="n">
        <v>4</v>
      </c>
      <c r="G594" s="4" t="n">
        <v>2</v>
      </c>
      <c r="H594" s="4" t="s">
        <v>213</v>
      </c>
      <c r="I594" s="4" t="s">
        <v>51</v>
      </c>
      <c r="J594" s="4" t="n">
        <f aca="false">INDEX('Master List'!$G$2:$G$2594,K594)</f>
        <v>0</v>
      </c>
      <c r="K594" s="4" t="n">
        <v>815</v>
      </c>
    </row>
    <row r="595" customFormat="false" ht="15" hidden="false" customHeight="false" outlineLevel="0" collapsed="false">
      <c r="A595" s="4" t="n">
        <v>594</v>
      </c>
      <c r="B595" s="4" t="s">
        <v>1040</v>
      </c>
      <c r="C595" s="4" t="n">
        <v>1978</v>
      </c>
      <c r="D595" s="4" t="s">
        <v>310</v>
      </c>
      <c r="E595" s="25" t="str">
        <f aca="false">IF(J595=1,"✓","")</f>
        <v/>
      </c>
      <c r="F595" s="4" t="n">
        <v>4</v>
      </c>
      <c r="G595" s="4" t="n">
        <v>2</v>
      </c>
      <c r="H595" s="4" t="s">
        <v>213</v>
      </c>
      <c r="I595" s="4" t="s">
        <v>52</v>
      </c>
      <c r="J595" s="4" t="n">
        <f aca="false">INDEX('Master List'!$G$2:$G$2594,K595)</f>
        <v>0</v>
      </c>
      <c r="K595" s="4" t="n">
        <v>505</v>
      </c>
    </row>
    <row r="596" customFormat="false" ht="15" hidden="false" customHeight="false" outlineLevel="0" collapsed="false">
      <c r="A596" s="4" t="n">
        <v>595</v>
      </c>
      <c r="B596" s="4" t="s">
        <v>1041</v>
      </c>
      <c r="C596" s="4" t="n">
        <v>1979</v>
      </c>
      <c r="D596" s="4" t="s">
        <v>1042</v>
      </c>
      <c r="E596" s="25" t="str">
        <f aca="false">IF(J596=1,"✓","")</f>
        <v/>
      </c>
      <c r="F596" s="4" t="n">
        <v>4</v>
      </c>
      <c r="G596" s="4" t="n">
        <v>2</v>
      </c>
      <c r="H596" s="4" t="s">
        <v>213</v>
      </c>
      <c r="I596" s="4" t="s">
        <v>51</v>
      </c>
      <c r="J596" s="4" t="n">
        <f aca="false">INDEX('Master List'!$G$2:$G$2594,K596)</f>
        <v>0</v>
      </c>
      <c r="K596" s="4" t="n">
        <v>384</v>
      </c>
    </row>
    <row r="597" customFormat="false" ht="15" hidden="false" customHeight="false" outlineLevel="0" collapsed="false">
      <c r="A597" s="4" t="n">
        <v>596</v>
      </c>
      <c r="B597" s="4" t="s">
        <v>1043</v>
      </c>
      <c r="C597" s="4" t="n">
        <v>1979</v>
      </c>
      <c r="D597" s="4" t="s">
        <v>1044</v>
      </c>
      <c r="E597" s="25" t="str">
        <f aca="false">IF(J597=1,"✓","")</f>
        <v>✓</v>
      </c>
      <c r="F597" s="4" t="n">
        <v>4</v>
      </c>
      <c r="G597" s="4" t="n">
        <v>2</v>
      </c>
      <c r="H597" s="4" t="s">
        <v>213</v>
      </c>
      <c r="I597" s="4" t="s">
        <v>52</v>
      </c>
      <c r="J597" s="4" t="n">
        <f aca="false">INDEX('Master List'!$G$2:$G$2594,K597)</f>
        <v>1</v>
      </c>
      <c r="K597" s="4" t="n">
        <v>1333</v>
      </c>
    </row>
    <row r="598" customFormat="false" ht="15" hidden="false" customHeight="false" outlineLevel="0" collapsed="false">
      <c r="A598" s="4" t="n">
        <v>597</v>
      </c>
      <c r="B598" s="4" t="s">
        <v>1045</v>
      </c>
      <c r="C598" s="4" t="n">
        <v>1979</v>
      </c>
      <c r="D598" s="4" t="s">
        <v>587</v>
      </c>
      <c r="E598" s="25" t="str">
        <f aca="false">IF(J598=1,"✓","")</f>
        <v/>
      </c>
      <c r="F598" s="4" t="n">
        <v>4</v>
      </c>
      <c r="G598" s="4" t="n">
        <v>2</v>
      </c>
      <c r="H598" s="4" t="s">
        <v>213</v>
      </c>
      <c r="I598" s="4" t="s">
        <v>55</v>
      </c>
      <c r="J598" s="4" t="n">
        <f aca="false">INDEX('Master List'!$G$2:$G$2594,K598)</f>
        <v>0</v>
      </c>
      <c r="K598" s="4" t="n">
        <v>340</v>
      </c>
    </row>
    <row r="599" customFormat="false" ht="15" hidden="false" customHeight="false" outlineLevel="0" collapsed="false">
      <c r="A599" s="4" t="n">
        <v>598</v>
      </c>
      <c r="B599" s="4" t="s">
        <v>1046</v>
      </c>
      <c r="C599" s="4" t="n">
        <v>1979</v>
      </c>
      <c r="D599" s="4" t="s">
        <v>709</v>
      </c>
      <c r="E599" s="25" t="str">
        <f aca="false">IF(J599=1,"✓","")</f>
        <v/>
      </c>
      <c r="F599" s="4" t="n">
        <v>4</v>
      </c>
      <c r="G599" s="4" t="n">
        <v>2</v>
      </c>
      <c r="H599" s="4" t="s">
        <v>213</v>
      </c>
      <c r="I599" s="4" t="s">
        <v>56</v>
      </c>
      <c r="J599" s="4" t="n">
        <f aca="false">INDEX('Master List'!$G$2:$G$2594,K599)</f>
        <v>0</v>
      </c>
      <c r="K599" s="4" t="n">
        <v>2590</v>
      </c>
    </row>
    <row r="600" customFormat="false" ht="15" hidden="false" customHeight="false" outlineLevel="0" collapsed="false">
      <c r="A600" s="4" t="n">
        <v>599</v>
      </c>
      <c r="B600" s="4" t="s">
        <v>1047</v>
      </c>
      <c r="C600" s="4" t="n">
        <v>1980</v>
      </c>
      <c r="D600" s="4" t="s">
        <v>606</v>
      </c>
      <c r="E600" s="25" t="str">
        <f aca="false">IF(J600=1,"✓","")</f>
        <v/>
      </c>
      <c r="F600" s="4" t="n">
        <v>4</v>
      </c>
      <c r="G600" s="4" t="n">
        <v>2</v>
      </c>
      <c r="H600" s="4" t="s">
        <v>213</v>
      </c>
      <c r="I600" s="4" t="s">
        <v>50</v>
      </c>
      <c r="J600" s="4" t="n">
        <f aca="false">INDEX('Master List'!$G$2:$G$2594,K600)</f>
        <v>0</v>
      </c>
      <c r="K600" s="4" t="n">
        <v>1014</v>
      </c>
    </row>
    <row r="601" customFormat="false" ht="15" hidden="false" customHeight="false" outlineLevel="0" collapsed="false">
      <c r="A601" s="4" t="n">
        <v>600</v>
      </c>
      <c r="B601" s="4" t="s">
        <v>1048</v>
      </c>
      <c r="C601" s="4" t="n">
        <v>1980</v>
      </c>
      <c r="D601" s="4" t="s">
        <v>677</v>
      </c>
      <c r="E601" s="25" t="str">
        <f aca="false">IF(J601=1,"✓","")</f>
        <v/>
      </c>
      <c r="F601" s="4" t="n">
        <v>4</v>
      </c>
      <c r="G601" s="4" t="n">
        <v>2</v>
      </c>
      <c r="H601" s="4" t="s">
        <v>213</v>
      </c>
      <c r="I601" s="4" t="s">
        <v>51</v>
      </c>
      <c r="J601" s="4" t="n">
        <f aca="false">INDEX('Master List'!$G$2:$G$2594,K601)</f>
        <v>0</v>
      </c>
      <c r="K601" s="4" t="n">
        <v>1137</v>
      </c>
    </row>
    <row r="602" customFormat="false" ht="15" hidden="false" customHeight="false" outlineLevel="0" collapsed="false">
      <c r="A602" s="4" t="n">
        <v>601</v>
      </c>
      <c r="B602" s="4" t="s">
        <v>1049</v>
      </c>
      <c r="C602" s="4" t="n">
        <v>1980</v>
      </c>
      <c r="D602" s="4" t="s">
        <v>1050</v>
      </c>
      <c r="E602" s="25" t="str">
        <f aca="false">IF(J602=1,"✓","")</f>
        <v/>
      </c>
      <c r="F602" s="4" t="n">
        <v>4</v>
      </c>
      <c r="G602" s="4" t="n">
        <v>2</v>
      </c>
      <c r="H602" s="4" t="s">
        <v>213</v>
      </c>
      <c r="I602" s="4" t="s">
        <v>51</v>
      </c>
      <c r="J602" s="4" t="n">
        <f aca="false">INDEX('Master List'!$G$2:$G$2594,K602)</f>
        <v>0</v>
      </c>
      <c r="K602" s="4" t="n">
        <v>338</v>
      </c>
    </row>
    <row r="603" customFormat="false" ht="15" hidden="false" customHeight="false" outlineLevel="0" collapsed="false">
      <c r="A603" s="4" t="n">
        <v>602</v>
      </c>
      <c r="B603" s="4" t="s">
        <v>1051</v>
      </c>
      <c r="C603" s="4" t="n">
        <v>1980</v>
      </c>
      <c r="D603" s="4" t="s">
        <v>1052</v>
      </c>
      <c r="E603" s="25" t="str">
        <f aca="false">IF(J603=1,"✓","")</f>
        <v/>
      </c>
      <c r="F603" s="4" t="n">
        <v>4</v>
      </c>
      <c r="G603" s="4" t="n">
        <v>2</v>
      </c>
      <c r="H603" s="4" t="s">
        <v>213</v>
      </c>
      <c r="I603" s="4" t="s">
        <v>52</v>
      </c>
      <c r="J603" s="4" t="n">
        <f aca="false">INDEX('Master List'!$G$2:$G$2594,K603)</f>
        <v>0</v>
      </c>
      <c r="K603" s="4" t="n">
        <v>387</v>
      </c>
    </row>
    <row r="604" customFormat="false" ht="15" hidden="false" customHeight="false" outlineLevel="0" collapsed="false">
      <c r="A604" s="4" t="n">
        <v>603</v>
      </c>
      <c r="B604" s="4" t="s">
        <v>1053</v>
      </c>
      <c r="C604" s="4" t="n">
        <v>1980</v>
      </c>
      <c r="D604" s="4" t="s">
        <v>1054</v>
      </c>
      <c r="E604" s="25" t="str">
        <f aca="false">IF(J604=1,"✓","")</f>
        <v/>
      </c>
      <c r="F604" s="4" t="n">
        <v>4</v>
      </c>
      <c r="G604" s="4" t="n">
        <v>2</v>
      </c>
      <c r="H604" s="4" t="s">
        <v>213</v>
      </c>
      <c r="I604" s="4" t="s">
        <v>52</v>
      </c>
      <c r="J604" s="4" t="n">
        <f aca="false">INDEX('Master List'!$G$2:$G$2594,K604)</f>
        <v>0</v>
      </c>
      <c r="K604" s="4" t="n">
        <v>428</v>
      </c>
    </row>
    <row r="605" customFormat="false" ht="15" hidden="false" customHeight="false" outlineLevel="0" collapsed="false">
      <c r="A605" s="4" t="n">
        <v>604</v>
      </c>
      <c r="B605" s="4" t="s">
        <v>1055</v>
      </c>
      <c r="C605" s="4" t="n">
        <v>1981</v>
      </c>
      <c r="D605" s="4" t="s">
        <v>439</v>
      </c>
      <c r="E605" s="25" t="str">
        <f aca="false">IF(J605=1,"✓","")</f>
        <v>✓</v>
      </c>
      <c r="F605" s="4" t="n">
        <v>4</v>
      </c>
      <c r="G605" s="4" t="n">
        <v>2</v>
      </c>
      <c r="H605" s="4" t="s">
        <v>213</v>
      </c>
      <c r="I605" s="4" t="s">
        <v>51</v>
      </c>
      <c r="J605" s="4" t="n">
        <f aca="false">INDEX('Master List'!$G$2:$G$2594,K605)</f>
        <v>1</v>
      </c>
      <c r="K605" s="4" t="n">
        <v>873</v>
      </c>
    </row>
    <row r="606" customFormat="false" ht="15" hidden="false" customHeight="false" outlineLevel="0" collapsed="false">
      <c r="A606" s="4" t="n">
        <v>605</v>
      </c>
      <c r="B606" s="4" t="s">
        <v>1056</v>
      </c>
      <c r="C606" s="4" t="n">
        <v>1981</v>
      </c>
      <c r="D606" s="4" t="s">
        <v>189</v>
      </c>
      <c r="E606" s="25" t="str">
        <f aca="false">IF(J606=1,"✓","")</f>
        <v/>
      </c>
      <c r="F606" s="4" t="n">
        <v>4</v>
      </c>
      <c r="G606" s="4" t="n">
        <v>2</v>
      </c>
      <c r="H606" s="4" t="s">
        <v>213</v>
      </c>
      <c r="I606" s="4" t="s">
        <v>52</v>
      </c>
      <c r="J606" s="4" t="n">
        <f aca="false">INDEX('Master List'!$G$2:$G$2594,K606)</f>
        <v>0</v>
      </c>
      <c r="K606" s="4" t="n">
        <v>1816</v>
      </c>
    </row>
    <row r="607" customFormat="false" ht="15" hidden="false" customHeight="false" outlineLevel="0" collapsed="false">
      <c r="A607" s="4" t="n">
        <v>606</v>
      </c>
      <c r="B607" s="4" t="s">
        <v>1057</v>
      </c>
      <c r="C607" s="4" t="n">
        <v>1982</v>
      </c>
      <c r="D607" s="4" t="s">
        <v>1058</v>
      </c>
      <c r="E607" s="25" t="str">
        <f aca="false">IF(J607=1,"✓","")</f>
        <v/>
      </c>
      <c r="F607" s="4" t="n">
        <v>4</v>
      </c>
      <c r="G607" s="4" t="n">
        <v>2</v>
      </c>
      <c r="H607" s="4" t="s">
        <v>213</v>
      </c>
      <c r="I607" s="4" t="s">
        <v>49</v>
      </c>
      <c r="J607" s="4" t="n">
        <f aca="false">INDEX('Master List'!$G$2:$G$2594,K607)</f>
        <v>0</v>
      </c>
      <c r="K607" s="4" t="n">
        <v>2335</v>
      </c>
    </row>
    <row r="608" customFormat="false" ht="15" hidden="false" customHeight="false" outlineLevel="0" collapsed="false">
      <c r="A608" s="4" t="n">
        <v>607</v>
      </c>
      <c r="B608" s="4" t="s">
        <v>1059</v>
      </c>
      <c r="C608" s="4" t="n">
        <v>1982</v>
      </c>
      <c r="D608" s="4" t="s">
        <v>677</v>
      </c>
      <c r="E608" s="25" t="str">
        <f aca="false">IF(J608=1,"✓","")</f>
        <v/>
      </c>
      <c r="F608" s="4" t="n">
        <v>4</v>
      </c>
      <c r="G608" s="4" t="n">
        <v>2</v>
      </c>
      <c r="H608" s="4" t="s">
        <v>213</v>
      </c>
      <c r="I608" s="4" t="s">
        <v>51</v>
      </c>
      <c r="J608" s="4" t="n">
        <f aca="false">INDEX('Master List'!$G$2:$G$2594,K608)</f>
        <v>0</v>
      </c>
      <c r="K608" s="4" t="n">
        <v>2251</v>
      </c>
    </row>
    <row r="609" customFormat="false" ht="15" hidden="false" customHeight="false" outlineLevel="0" collapsed="false">
      <c r="A609" s="4" t="n">
        <v>608</v>
      </c>
      <c r="B609" s="4" t="s">
        <v>1060</v>
      </c>
      <c r="C609" s="4" t="n">
        <v>1982</v>
      </c>
      <c r="D609" s="4" t="s">
        <v>189</v>
      </c>
      <c r="E609" s="25" t="str">
        <f aca="false">IF(J609=1,"✓","")</f>
        <v>✓</v>
      </c>
      <c r="F609" s="4" t="n">
        <v>4</v>
      </c>
      <c r="G609" s="4" t="n">
        <v>2</v>
      </c>
      <c r="H609" s="4" t="s">
        <v>213</v>
      </c>
      <c r="I609" s="4" t="s">
        <v>53</v>
      </c>
      <c r="J609" s="4" t="n">
        <f aca="false">INDEX('Master List'!$G$2:$G$2594,K609)</f>
        <v>1</v>
      </c>
      <c r="K609" s="4" t="n">
        <v>2427</v>
      </c>
    </row>
    <row r="610" customFormat="false" ht="15" hidden="false" customHeight="false" outlineLevel="0" collapsed="false">
      <c r="A610" s="4" t="n">
        <v>609</v>
      </c>
      <c r="B610" s="4" t="s">
        <v>1061</v>
      </c>
      <c r="C610" s="4" t="n">
        <v>1983</v>
      </c>
      <c r="D610" s="4" t="s">
        <v>1062</v>
      </c>
      <c r="E610" s="25" t="str">
        <f aca="false">IF(J610=1,"✓","")</f>
        <v/>
      </c>
      <c r="F610" s="4" t="n">
        <v>4</v>
      </c>
      <c r="G610" s="4" t="n">
        <v>2</v>
      </c>
      <c r="H610" s="4" t="s">
        <v>213</v>
      </c>
      <c r="I610" s="4" t="s">
        <v>52</v>
      </c>
      <c r="J610" s="4" t="n">
        <f aca="false">INDEX('Master List'!$G$2:$G$2594,K610)</f>
        <v>0</v>
      </c>
      <c r="K610" s="4" t="n">
        <v>2355</v>
      </c>
    </row>
    <row r="611" customFormat="false" ht="15" hidden="false" customHeight="false" outlineLevel="0" collapsed="false">
      <c r="A611" s="4" t="n">
        <v>610</v>
      </c>
      <c r="B611" s="4" t="s">
        <v>565</v>
      </c>
      <c r="C611" s="4" t="n">
        <v>1983</v>
      </c>
      <c r="D611" s="4" t="s">
        <v>488</v>
      </c>
      <c r="E611" s="25" t="str">
        <f aca="false">IF(J611=1,"✓","")</f>
        <v/>
      </c>
      <c r="F611" s="4" t="n">
        <v>4</v>
      </c>
      <c r="G611" s="4" t="n">
        <v>2</v>
      </c>
      <c r="H611" s="4" t="s">
        <v>213</v>
      </c>
      <c r="I611" s="4" t="s">
        <v>52</v>
      </c>
      <c r="J611" s="4" t="n">
        <f aca="false">INDEX('Master List'!$G$2:$G$2594,K611)</f>
        <v>0</v>
      </c>
      <c r="K611" s="4" t="n">
        <v>1984</v>
      </c>
    </row>
    <row r="612" customFormat="false" ht="15" hidden="false" customHeight="false" outlineLevel="0" collapsed="false">
      <c r="A612" s="4" t="n">
        <v>611</v>
      </c>
      <c r="B612" s="4" t="s">
        <v>1063</v>
      </c>
      <c r="C612" s="4" t="n">
        <v>1983</v>
      </c>
      <c r="D612" s="4" t="s">
        <v>1064</v>
      </c>
      <c r="E612" s="25" t="str">
        <f aca="false">IF(J612=1,"✓","")</f>
        <v/>
      </c>
      <c r="F612" s="4" t="n">
        <v>4</v>
      </c>
      <c r="G612" s="4" t="n">
        <v>2</v>
      </c>
      <c r="H612" s="4" t="s">
        <v>213</v>
      </c>
      <c r="I612" s="4" t="s">
        <v>56</v>
      </c>
      <c r="J612" s="4" t="n">
        <f aca="false">INDEX('Master List'!$G$2:$G$2594,K612)</f>
        <v>0</v>
      </c>
      <c r="K612" s="4" t="n">
        <v>1363</v>
      </c>
    </row>
    <row r="613" customFormat="false" ht="15" hidden="false" customHeight="false" outlineLevel="0" collapsed="false">
      <c r="A613" s="4" t="n">
        <v>612</v>
      </c>
      <c r="B613" s="4" t="s">
        <v>1065</v>
      </c>
      <c r="C613" s="4" t="n">
        <v>1984</v>
      </c>
      <c r="D613" s="4" t="s">
        <v>1066</v>
      </c>
      <c r="E613" s="25" t="str">
        <f aca="false">IF(J613=1,"✓","")</f>
        <v>✓</v>
      </c>
      <c r="F613" s="4" t="n">
        <v>4</v>
      </c>
      <c r="G613" s="4" t="n">
        <v>2</v>
      </c>
      <c r="H613" s="4" t="s">
        <v>213</v>
      </c>
      <c r="I613" s="4" t="s">
        <v>55</v>
      </c>
      <c r="J613" s="4" t="n">
        <f aca="false">INDEX('Master List'!$G$2:$G$2594,K613)</f>
        <v>1</v>
      </c>
      <c r="K613" s="4" t="n">
        <v>2288</v>
      </c>
    </row>
    <row r="614" customFormat="false" ht="15" hidden="false" customHeight="false" outlineLevel="0" collapsed="false">
      <c r="A614" s="4" t="n">
        <v>613</v>
      </c>
      <c r="B614" s="4" t="s">
        <v>1067</v>
      </c>
      <c r="C614" s="4" t="n">
        <v>1984</v>
      </c>
      <c r="D614" s="4" t="s">
        <v>1068</v>
      </c>
      <c r="E614" s="25" t="str">
        <f aca="false">IF(J614=1,"✓","")</f>
        <v/>
      </c>
      <c r="F614" s="4" t="n">
        <v>4</v>
      </c>
      <c r="G614" s="4" t="n">
        <v>2</v>
      </c>
      <c r="H614" s="4" t="s">
        <v>213</v>
      </c>
      <c r="I614" s="4" t="s">
        <v>55</v>
      </c>
      <c r="J614" s="4" t="n">
        <f aca="false">INDEX('Master List'!$G$2:$G$2594,K614)</f>
        <v>0</v>
      </c>
      <c r="K614" s="4" t="n">
        <v>1887</v>
      </c>
    </row>
    <row r="615" customFormat="false" ht="15" hidden="false" customHeight="false" outlineLevel="0" collapsed="false">
      <c r="A615" s="4" t="n">
        <v>614</v>
      </c>
      <c r="B615" s="4" t="s">
        <v>1069</v>
      </c>
      <c r="C615" s="4" t="n">
        <v>1985</v>
      </c>
      <c r="D615" s="4" t="s">
        <v>1070</v>
      </c>
      <c r="E615" s="25" t="str">
        <f aca="false">IF(J615=1,"✓","")</f>
        <v>✓</v>
      </c>
      <c r="F615" s="4" t="n">
        <v>4</v>
      </c>
      <c r="G615" s="4" t="n">
        <v>2</v>
      </c>
      <c r="H615" s="4" t="s">
        <v>213</v>
      </c>
      <c r="I615" s="4" t="s">
        <v>49</v>
      </c>
      <c r="J615" s="4" t="n">
        <f aca="false">INDEX('Master List'!$G$2:$G$2594,K615)</f>
        <v>1</v>
      </c>
      <c r="K615" s="4" t="n">
        <v>164</v>
      </c>
    </row>
    <row r="616" customFormat="false" ht="15" hidden="false" customHeight="false" outlineLevel="0" collapsed="false">
      <c r="A616" s="4" t="n">
        <v>615</v>
      </c>
      <c r="B616" s="4" t="s">
        <v>1071</v>
      </c>
      <c r="C616" s="4" t="n">
        <v>1985</v>
      </c>
      <c r="D616" s="4" t="s">
        <v>156</v>
      </c>
      <c r="E616" s="25" t="str">
        <f aca="false">IF(J616=1,"✓","")</f>
        <v/>
      </c>
      <c r="F616" s="4" t="n">
        <v>4</v>
      </c>
      <c r="G616" s="4" t="n">
        <v>2</v>
      </c>
      <c r="H616" s="4" t="s">
        <v>213</v>
      </c>
      <c r="I616" s="4" t="s">
        <v>51</v>
      </c>
      <c r="J616" s="4" t="n">
        <f aca="false">INDEX('Master List'!$G$2:$G$2594,K616)</f>
        <v>0</v>
      </c>
      <c r="K616" s="4" t="n">
        <v>1859</v>
      </c>
    </row>
    <row r="617" customFormat="false" ht="15" hidden="false" customHeight="false" outlineLevel="0" collapsed="false">
      <c r="A617" s="4" t="n">
        <v>616</v>
      </c>
      <c r="B617" s="4" t="s">
        <v>1072</v>
      </c>
      <c r="C617" s="4" t="n">
        <v>1985</v>
      </c>
      <c r="D617" s="4" t="s">
        <v>223</v>
      </c>
      <c r="E617" s="25" t="str">
        <f aca="false">IF(J617=1,"✓","")</f>
        <v/>
      </c>
      <c r="F617" s="4" t="n">
        <v>4</v>
      </c>
      <c r="G617" s="4" t="n">
        <v>2</v>
      </c>
      <c r="H617" s="4" t="s">
        <v>213</v>
      </c>
      <c r="I617" s="4" t="s">
        <v>51</v>
      </c>
      <c r="J617" s="4" t="n">
        <f aca="false">INDEX('Master List'!$G$2:$G$2594,K617)</f>
        <v>0</v>
      </c>
      <c r="K617" s="4" t="n">
        <v>2229</v>
      </c>
    </row>
    <row r="618" customFormat="false" ht="15" hidden="false" customHeight="false" outlineLevel="0" collapsed="false">
      <c r="A618" s="4" t="n">
        <v>617</v>
      </c>
      <c r="B618" s="4" t="s">
        <v>1073</v>
      </c>
      <c r="C618" s="4" t="n">
        <v>1985</v>
      </c>
      <c r="D618" s="4" t="s">
        <v>1074</v>
      </c>
      <c r="E618" s="25" t="str">
        <f aca="false">IF(J618=1,"✓","")</f>
        <v/>
      </c>
      <c r="F618" s="4" t="n">
        <v>4</v>
      </c>
      <c r="G618" s="4" t="n">
        <v>2</v>
      </c>
      <c r="H618" s="4" t="s">
        <v>213</v>
      </c>
      <c r="I618" s="4" t="s">
        <v>52</v>
      </c>
      <c r="J618" s="4" t="n">
        <f aca="false">INDEX('Master List'!$G$2:$G$2594,K618)</f>
        <v>0</v>
      </c>
      <c r="K618" s="4" t="n">
        <v>1865</v>
      </c>
    </row>
    <row r="619" customFormat="false" ht="15" hidden="false" customHeight="false" outlineLevel="0" collapsed="false">
      <c r="A619" s="4" t="n">
        <v>618</v>
      </c>
      <c r="B619" s="4" t="s">
        <v>1075</v>
      </c>
      <c r="C619" s="4" t="n">
        <v>1986</v>
      </c>
      <c r="D619" s="4" t="s">
        <v>148</v>
      </c>
      <c r="E619" s="25" t="str">
        <f aca="false">IF(J619=1,"✓","")</f>
        <v/>
      </c>
      <c r="F619" s="4" t="n">
        <v>4</v>
      </c>
      <c r="G619" s="4" t="n">
        <v>2</v>
      </c>
      <c r="H619" s="4" t="s">
        <v>213</v>
      </c>
      <c r="I619" s="4" t="s">
        <v>50</v>
      </c>
      <c r="J619" s="4" t="n">
        <f aca="false">INDEX('Master List'!$G$2:$G$2594,K619)</f>
        <v>0</v>
      </c>
      <c r="K619" s="4" t="n">
        <v>2040</v>
      </c>
    </row>
    <row r="620" customFormat="false" ht="15" hidden="false" customHeight="false" outlineLevel="0" collapsed="false">
      <c r="A620" s="4" t="n">
        <v>619</v>
      </c>
      <c r="B620" s="4" t="s">
        <v>1076</v>
      </c>
      <c r="C620" s="4" t="n">
        <v>1986</v>
      </c>
      <c r="D620" s="4" t="s">
        <v>296</v>
      </c>
      <c r="E620" s="25" t="str">
        <f aca="false">IF(J620=1,"✓","")</f>
        <v/>
      </c>
      <c r="F620" s="4" t="n">
        <v>4</v>
      </c>
      <c r="G620" s="4" t="n">
        <v>2</v>
      </c>
      <c r="H620" s="4" t="s">
        <v>213</v>
      </c>
      <c r="I620" s="4" t="s">
        <v>52</v>
      </c>
      <c r="J620" s="4" t="n">
        <f aca="false">INDEX('Master List'!$G$2:$G$2594,K620)</f>
        <v>0</v>
      </c>
      <c r="K620" s="4" t="n">
        <v>1439</v>
      </c>
    </row>
    <row r="621" customFormat="false" ht="15" hidden="false" customHeight="false" outlineLevel="0" collapsed="false">
      <c r="A621" s="4" t="n">
        <v>620</v>
      </c>
      <c r="B621" s="4" t="s">
        <v>1077</v>
      </c>
      <c r="C621" s="4" t="n">
        <v>1986</v>
      </c>
      <c r="D621" s="4" t="s">
        <v>419</v>
      </c>
      <c r="E621" s="25" t="str">
        <f aca="false">IF(J621=1,"✓","")</f>
        <v/>
      </c>
      <c r="F621" s="4" t="n">
        <v>4</v>
      </c>
      <c r="G621" s="4" t="n">
        <v>2</v>
      </c>
      <c r="H621" s="4" t="s">
        <v>213</v>
      </c>
      <c r="I621" s="4" t="s">
        <v>52</v>
      </c>
      <c r="J621" s="4" t="n">
        <f aca="false">INDEX('Master List'!$G$2:$G$2594,K621)</f>
        <v>0</v>
      </c>
      <c r="K621" s="4" t="n">
        <v>960</v>
      </c>
    </row>
    <row r="622" customFormat="false" ht="15" hidden="false" customHeight="false" outlineLevel="0" collapsed="false">
      <c r="A622" s="4" t="n">
        <v>621</v>
      </c>
      <c r="B622" s="4" t="s">
        <v>1078</v>
      </c>
      <c r="C622" s="4" t="n">
        <v>1986</v>
      </c>
      <c r="D622" s="4" t="s">
        <v>1079</v>
      </c>
      <c r="E622" s="25" t="str">
        <f aca="false">IF(J622=1,"✓","")</f>
        <v/>
      </c>
      <c r="F622" s="4" t="n">
        <v>4</v>
      </c>
      <c r="G622" s="4" t="n">
        <v>2</v>
      </c>
      <c r="H622" s="4" t="s">
        <v>213</v>
      </c>
      <c r="I622" s="4" t="s">
        <v>52</v>
      </c>
      <c r="J622" s="4" t="n">
        <f aca="false">INDEX('Master List'!$G$2:$G$2594,K622)</f>
        <v>0</v>
      </c>
      <c r="K622" s="4" t="n">
        <v>2495</v>
      </c>
    </row>
    <row r="623" customFormat="false" ht="15" hidden="false" customHeight="false" outlineLevel="0" collapsed="false">
      <c r="A623" s="4" t="n">
        <v>622</v>
      </c>
      <c r="B623" s="4" t="s">
        <v>1080</v>
      </c>
      <c r="C623" s="4" t="n">
        <v>1986</v>
      </c>
      <c r="D623" s="4" t="s">
        <v>210</v>
      </c>
      <c r="E623" s="25" t="str">
        <f aca="false">IF(J623=1,"✓","")</f>
        <v/>
      </c>
      <c r="F623" s="4" t="n">
        <v>4</v>
      </c>
      <c r="G623" s="4" t="n">
        <v>2</v>
      </c>
      <c r="H623" s="4" t="s">
        <v>213</v>
      </c>
      <c r="I623" s="4" t="s">
        <v>53</v>
      </c>
      <c r="J623" s="4" t="n">
        <f aca="false">INDEX('Master List'!$G$2:$G$2594,K623)</f>
        <v>0</v>
      </c>
      <c r="K623" s="4" t="n">
        <v>1953</v>
      </c>
    </row>
    <row r="624" customFormat="false" ht="15" hidden="false" customHeight="false" outlineLevel="0" collapsed="false">
      <c r="A624" s="4" t="n">
        <v>623</v>
      </c>
      <c r="B624" s="4" t="s">
        <v>1081</v>
      </c>
      <c r="C624" s="4" t="n">
        <v>1987</v>
      </c>
      <c r="D624" s="4" t="s">
        <v>365</v>
      </c>
      <c r="E624" s="25" t="str">
        <f aca="false">IF(J624=1,"✓","")</f>
        <v/>
      </c>
      <c r="F624" s="4" t="n">
        <v>4</v>
      </c>
      <c r="G624" s="4" t="n">
        <v>2</v>
      </c>
      <c r="H624" s="4" t="s">
        <v>213</v>
      </c>
      <c r="I624" s="4" t="s">
        <v>51</v>
      </c>
      <c r="J624" s="4" t="n">
        <f aca="false">INDEX('Master List'!$G$2:$G$2594,K624)</f>
        <v>0</v>
      </c>
      <c r="K624" s="4" t="n">
        <v>2527</v>
      </c>
    </row>
    <row r="625" customFormat="false" ht="15" hidden="false" customHeight="false" outlineLevel="0" collapsed="false">
      <c r="A625" s="4" t="n">
        <v>624</v>
      </c>
      <c r="B625" s="4" t="s">
        <v>1082</v>
      </c>
      <c r="C625" s="4" t="n">
        <v>1987</v>
      </c>
      <c r="D625" s="4" t="s">
        <v>203</v>
      </c>
      <c r="E625" s="25" t="str">
        <f aca="false">IF(J625=1,"✓","")</f>
        <v/>
      </c>
      <c r="F625" s="4" t="n">
        <v>4</v>
      </c>
      <c r="G625" s="4" t="n">
        <v>2</v>
      </c>
      <c r="H625" s="4" t="s">
        <v>213</v>
      </c>
      <c r="I625" s="4" t="s">
        <v>51</v>
      </c>
      <c r="J625" s="4" t="n">
        <f aca="false">INDEX('Master List'!$G$2:$G$2594,K625)</f>
        <v>0</v>
      </c>
      <c r="K625" s="4" t="n">
        <v>2496</v>
      </c>
    </row>
    <row r="626" customFormat="false" ht="15" hidden="false" customHeight="false" outlineLevel="0" collapsed="false">
      <c r="A626" s="4" t="n">
        <v>625</v>
      </c>
      <c r="B626" s="4" t="s">
        <v>1083</v>
      </c>
      <c r="C626" s="4" t="n">
        <v>1987</v>
      </c>
      <c r="D626" s="4" t="s">
        <v>266</v>
      </c>
      <c r="E626" s="25" t="str">
        <f aca="false">IF(J626=1,"✓","")</f>
        <v>✓</v>
      </c>
      <c r="F626" s="4" t="n">
        <v>4</v>
      </c>
      <c r="G626" s="4" t="n">
        <v>2</v>
      </c>
      <c r="H626" s="4" t="s">
        <v>213</v>
      </c>
      <c r="I626" s="4" t="s">
        <v>52</v>
      </c>
      <c r="J626" s="4" t="n">
        <f aca="false">INDEX('Master List'!$G$2:$G$2594,K626)</f>
        <v>1</v>
      </c>
      <c r="K626" s="4" t="n">
        <v>1815</v>
      </c>
    </row>
    <row r="627" customFormat="false" ht="15" hidden="false" customHeight="false" outlineLevel="0" collapsed="false">
      <c r="A627" s="4" t="n">
        <v>626</v>
      </c>
      <c r="B627" s="4" t="s">
        <v>1084</v>
      </c>
      <c r="C627" s="4" t="n">
        <v>1987</v>
      </c>
      <c r="D627" s="4" t="s">
        <v>187</v>
      </c>
      <c r="E627" s="25" t="str">
        <f aca="false">IF(J627=1,"✓","")</f>
        <v>✓</v>
      </c>
      <c r="F627" s="4" t="n">
        <v>4</v>
      </c>
      <c r="G627" s="4" t="n">
        <v>2</v>
      </c>
      <c r="H627" s="4" t="s">
        <v>213</v>
      </c>
      <c r="I627" s="4" t="s">
        <v>52</v>
      </c>
      <c r="J627" s="4" t="n">
        <f aca="false">INDEX('Master List'!$G$2:$G$2594,K627)</f>
        <v>1</v>
      </c>
      <c r="K627" s="4" t="n">
        <v>868</v>
      </c>
    </row>
    <row r="628" customFormat="false" ht="15" hidden="false" customHeight="false" outlineLevel="0" collapsed="false">
      <c r="A628" s="4" t="n">
        <v>627</v>
      </c>
      <c r="B628" s="4" t="s">
        <v>1085</v>
      </c>
      <c r="C628" s="4" t="n">
        <v>1987</v>
      </c>
      <c r="D628" s="4" t="s">
        <v>822</v>
      </c>
      <c r="E628" s="25" t="str">
        <f aca="false">IF(J628=1,"✓","")</f>
        <v/>
      </c>
      <c r="F628" s="4" t="n">
        <v>4</v>
      </c>
      <c r="G628" s="4" t="n">
        <v>2</v>
      </c>
      <c r="H628" s="4" t="s">
        <v>213</v>
      </c>
      <c r="I628" s="4" t="s">
        <v>52</v>
      </c>
      <c r="J628" s="4" t="n">
        <f aca="false">INDEX('Master List'!$G$2:$G$2594,K628)</f>
        <v>0</v>
      </c>
      <c r="K628" s="4" t="n">
        <v>1817</v>
      </c>
    </row>
    <row r="629" customFormat="false" ht="15" hidden="false" customHeight="false" outlineLevel="0" collapsed="false">
      <c r="A629" s="4" t="n">
        <v>628</v>
      </c>
      <c r="B629" s="4" t="s">
        <v>1086</v>
      </c>
      <c r="C629" s="4" t="n">
        <v>1988</v>
      </c>
      <c r="D629" s="4" t="s">
        <v>1087</v>
      </c>
      <c r="E629" s="25" t="str">
        <f aca="false">IF(J629=1,"✓","")</f>
        <v/>
      </c>
      <c r="F629" s="4" t="n">
        <v>4</v>
      </c>
      <c r="G629" s="4" t="n">
        <v>2</v>
      </c>
      <c r="H629" s="4" t="s">
        <v>213</v>
      </c>
      <c r="I629" s="4" t="s">
        <v>51</v>
      </c>
      <c r="J629" s="4" t="n">
        <f aca="false">INDEX('Master List'!$G$2:$G$2594,K629)</f>
        <v>0</v>
      </c>
      <c r="K629" s="4" t="n">
        <v>2548</v>
      </c>
    </row>
    <row r="630" customFormat="false" ht="15" hidden="false" customHeight="false" outlineLevel="0" collapsed="false">
      <c r="A630" s="4" t="n">
        <v>629</v>
      </c>
      <c r="B630" s="4" t="s">
        <v>1088</v>
      </c>
      <c r="C630" s="4" t="n">
        <v>1988</v>
      </c>
      <c r="D630" s="4" t="s">
        <v>266</v>
      </c>
      <c r="E630" s="25" t="str">
        <f aca="false">IF(J630=1,"✓","")</f>
        <v>✓</v>
      </c>
      <c r="F630" s="4" t="n">
        <v>4</v>
      </c>
      <c r="G630" s="4" t="n">
        <v>2</v>
      </c>
      <c r="H630" s="4" t="s">
        <v>213</v>
      </c>
      <c r="I630" s="4" t="s">
        <v>52</v>
      </c>
      <c r="J630" s="4" t="n">
        <f aca="false">INDEX('Master List'!$G$2:$G$2594,K630)</f>
        <v>1</v>
      </c>
      <c r="K630" s="4" t="n">
        <v>2270</v>
      </c>
    </row>
    <row r="631" customFormat="false" ht="15" hidden="false" customHeight="false" outlineLevel="0" collapsed="false">
      <c r="A631" s="4" t="n">
        <v>630</v>
      </c>
      <c r="B631" s="4" t="s">
        <v>1089</v>
      </c>
      <c r="C631" s="4" t="n">
        <v>1988</v>
      </c>
      <c r="D631" s="4" t="s">
        <v>1090</v>
      </c>
      <c r="E631" s="25" t="str">
        <f aca="false">IF(J631=1,"✓","")</f>
        <v/>
      </c>
      <c r="F631" s="4" t="n">
        <v>4</v>
      </c>
      <c r="G631" s="4" t="n">
        <v>2</v>
      </c>
      <c r="H631" s="4" t="s">
        <v>144</v>
      </c>
      <c r="I631" s="4" t="s">
        <v>52</v>
      </c>
      <c r="J631" s="4" t="n">
        <f aca="false">INDEX('Master List'!$G$2:$G$2594,K631)</f>
        <v>0</v>
      </c>
      <c r="K631" s="4" t="n">
        <v>2276</v>
      </c>
    </row>
    <row r="632" customFormat="false" ht="15" hidden="false" customHeight="false" outlineLevel="0" collapsed="false">
      <c r="A632" s="4" t="n">
        <v>631</v>
      </c>
      <c r="B632" s="4" t="s">
        <v>1091</v>
      </c>
      <c r="C632" s="4" t="n">
        <v>1988</v>
      </c>
      <c r="D632" s="4" t="s">
        <v>164</v>
      </c>
      <c r="E632" s="25" t="str">
        <f aca="false">IF(J632=1,"✓","")</f>
        <v/>
      </c>
      <c r="F632" s="4" t="n">
        <v>4</v>
      </c>
      <c r="G632" s="4" t="n">
        <v>2</v>
      </c>
      <c r="H632" s="4" t="s">
        <v>213</v>
      </c>
      <c r="I632" s="4" t="s">
        <v>53</v>
      </c>
      <c r="J632" s="4" t="n">
        <f aca="false">INDEX('Master List'!$G$2:$G$2594,K632)</f>
        <v>0</v>
      </c>
      <c r="K632" s="4" t="n">
        <v>1302</v>
      </c>
    </row>
    <row r="633" customFormat="false" ht="15" hidden="false" customHeight="false" outlineLevel="0" collapsed="false">
      <c r="A633" s="4" t="n">
        <v>632</v>
      </c>
      <c r="B633" s="4" t="s">
        <v>1092</v>
      </c>
      <c r="C633" s="4" t="n">
        <v>1989</v>
      </c>
      <c r="D633" s="4" t="s">
        <v>516</v>
      </c>
      <c r="E633" s="25" t="str">
        <f aca="false">IF(J633=1,"✓","")</f>
        <v/>
      </c>
      <c r="F633" s="4" t="n">
        <v>4</v>
      </c>
      <c r="G633" s="4" t="n">
        <v>2</v>
      </c>
      <c r="H633" s="4" t="s">
        <v>213</v>
      </c>
      <c r="I633" s="4" t="s">
        <v>51</v>
      </c>
      <c r="J633" s="4" t="n">
        <f aca="false">INDEX('Master List'!$G$2:$G$2594,K633)</f>
        <v>0</v>
      </c>
      <c r="K633" s="4" t="n">
        <v>2024</v>
      </c>
    </row>
    <row r="634" customFormat="false" ht="15" hidden="false" customHeight="false" outlineLevel="0" collapsed="false">
      <c r="A634" s="4" t="n">
        <v>633</v>
      </c>
      <c r="B634" s="4" t="s">
        <v>1093</v>
      </c>
      <c r="C634" s="4" t="n">
        <v>1989</v>
      </c>
      <c r="D634" s="4" t="s">
        <v>1094</v>
      </c>
      <c r="E634" s="25" t="str">
        <f aca="false">IF(J634=1,"✓","")</f>
        <v/>
      </c>
      <c r="F634" s="4" t="n">
        <v>4</v>
      </c>
      <c r="G634" s="4" t="n">
        <v>2</v>
      </c>
      <c r="H634" s="4" t="s">
        <v>213</v>
      </c>
      <c r="I634" s="4" t="s">
        <v>52</v>
      </c>
      <c r="J634" s="4" t="n">
        <f aca="false">INDEX('Master List'!$G$2:$G$2594,K634)</f>
        <v>0</v>
      </c>
      <c r="K634" s="4" t="n">
        <v>2103</v>
      </c>
    </row>
    <row r="635" customFormat="false" ht="15" hidden="false" customHeight="false" outlineLevel="0" collapsed="false">
      <c r="A635" s="4" t="n">
        <v>634</v>
      </c>
      <c r="B635" s="4" t="s">
        <v>1095</v>
      </c>
      <c r="C635" s="4" t="n">
        <v>1989</v>
      </c>
      <c r="D635" s="4" t="s">
        <v>488</v>
      </c>
      <c r="E635" s="25" t="str">
        <f aca="false">IF(J635=1,"✓","")</f>
        <v/>
      </c>
      <c r="F635" s="4" t="n">
        <v>4</v>
      </c>
      <c r="G635" s="4" t="n">
        <v>2</v>
      </c>
      <c r="H635" s="4" t="s">
        <v>213</v>
      </c>
      <c r="I635" s="4" t="s">
        <v>52</v>
      </c>
      <c r="J635" s="4" t="n">
        <f aca="false">INDEX('Master List'!$G$2:$G$2594,K635)</f>
        <v>0</v>
      </c>
      <c r="K635" s="4" t="n">
        <v>410</v>
      </c>
    </row>
    <row r="636" customFormat="false" ht="15" hidden="false" customHeight="false" outlineLevel="0" collapsed="false">
      <c r="A636" s="4" t="n">
        <v>635</v>
      </c>
      <c r="B636" s="4" t="s">
        <v>1096</v>
      </c>
      <c r="C636" s="4" t="n">
        <v>1989</v>
      </c>
      <c r="D636" s="4" t="s">
        <v>1097</v>
      </c>
      <c r="E636" s="25" t="str">
        <f aca="false">IF(J636=1,"✓","")</f>
        <v/>
      </c>
      <c r="F636" s="4" t="n">
        <v>4</v>
      </c>
      <c r="G636" s="4" t="n">
        <v>2</v>
      </c>
      <c r="H636" s="4" t="s">
        <v>213</v>
      </c>
      <c r="I636" s="4" t="s">
        <v>52</v>
      </c>
      <c r="J636" s="4" t="n">
        <f aca="false">INDEX('Master List'!$G$2:$G$2594,K636)</f>
        <v>0</v>
      </c>
      <c r="K636" s="4" t="n">
        <v>1924</v>
      </c>
    </row>
    <row r="637" customFormat="false" ht="15" hidden="false" customHeight="false" outlineLevel="0" collapsed="false">
      <c r="A637" s="4" t="n">
        <v>636</v>
      </c>
      <c r="B637" s="4" t="s">
        <v>1098</v>
      </c>
      <c r="C637" s="4" t="n">
        <v>1989</v>
      </c>
      <c r="D637" s="4" t="s">
        <v>382</v>
      </c>
      <c r="E637" s="25" t="str">
        <f aca="false">IF(J637=1,"✓","")</f>
        <v/>
      </c>
      <c r="F637" s="4" t="n">
        <v>4</v>
      </c>
      <c r="G637" s="4" t="n">
        <v>2</v>
      </c>
      <c r="H637" s="4" t="s">
        <v>213</v>
      </c>
      <c r="I637" s="4" t="s">
        <v>53</v>
      </c>
      <c r="J637" s="4" t="n">
        <f aca="false">INDEX('Master List'!$G$2:$G$2594,K637)</f>
        <v>0</v>
      </c>
      <c r="K637" s="4" t="n">
        <v>1239</v>
      </c>
    </row>
    <row r="638" customFormat="false" ht="15" hidden="false" customHeight="false" outlineLevel="0" collapsed="false">
      <c r="A638" s="4" t="n">
        <v>637</v>
      </c>
      <c r="B638" s="4" t="s">
        <v>1099</v>
      </c>
      <c r="C638" s="4" t="n">
        <v>1990</v>
      </c>
      <c r="D638" s="4" t="s">
        <v>193</v>
      </c>
      <c r="E638" s="25" t="str">
        <f aca="false">IF(J638=1,"✓","")</f>
        <v/>
      </c>
      <c r="F638" s="4" t="n">
        <v>4</v>
      </c>
      <c r="G638" s="4" t="n">
        <v>2</v>
      </c>
      <c r="H638" s="4" t="s">
        <v>213</v>
      </c>
      <c r="I638" s="4" t="s">
        <v>51</v>
      </c>
      <c r="J638" s="4" t="n">
        <f aca="false">INDEX('Master List'!$G$2:$G$2594,K638)</f>
        <v>0</v>
      </c>
      <c r="K638" s="4" t="n">
        <v>579</v>
      </c>
    </row>
    <row r="639" customFormat="false" ht="15" hidden="false" customHeight="false" outlineLevel="0" collapsed="false">
      <c r="A639" s="4" t="n">
        <v>638</v>
      </c>
      <c r="B639" s="4" t="s">
        <v>1100</v>
      </c>
      <c r="C639" s="4" t="n">
        <v>1990</v>
      </c>
      <c r="D639" s="4" t="s">
        <v>154</v>
      </c>
      <c r="E639" s="25" t="str">
        <f aca="false">IF(J639=1,"✓","")</f>
        <v/>
      </c>
      <c r="F639" s="4" t="n">
        <v>4</v>
      </c>
      <c r="G639" s="4" t="n">
        <v>2</v>
      </c>
      <c r="H639" s="4" t="s">
        <v>213</v>
      </c>
      <c r="I639" s="4" t="s">
        <v>53</v>
      </c>
      <c r="J639" s="4" t="n">
        <f aca="false">INDEX('Master List'!$G$2:$G$2594,K639)</f>
        <v>0</v>
      </c>
      <c r="K639" s="4" t="n">
        <v>2513</v>
      </c>
    </row>
    <row r="640" customFormat="false" ht="15" hidden="false" customHeight="false" outlineLevel="0" collapsed="false">
      <c r="A640" s="4" t="n">
        <v>639</v>
      </c>
      <c r="B640" s="4" t="s">
        <v>1101</v>
      </c>
      <c r="C640" s="4" t="n">
        <v>1991</v>
      </c>
      <c r="D640" s="4" t="s">
        <v>816</v>
      </c>
      <c r="E640" s="25" t="str">
        <f aca="false">IF(J640=1,"✓","")</f>
        <v/>
      </c>
      <c r="F640" s="4" t="n">
        <v>4</v>
      </c>
      <c r="G640" s="4" t="n">
        <v>2</v>
      </c>
      <c r="H640" s="4" t="s">
        <v>213</v>
      </c>
      <c r="I640" s="4" t="s">
        <v>49</v>
      </c>
      <c r="J640" s="4" t="n">
        <f aca="false">INDEX('Master List'!$G$2:$G$2594,K640)</f>
        <v>0</v>
      </c>
      <c r="K640" s="4" t="n">
        <v>1206</v>
      </c>
    </row>
    <row r="641" customFormat="false" ht="15" hidden="false" customHeight="false" outlineLevel="0" collapsed="false">
      <c r="A641" s="4" t="n">
        <v>640</v>
      </c>
      <c r="B641" s="4" t="s">
        <v>1102</v>
      </c>
      <c r="C641" s="4" t="n">
        <v>1992</v>
      </c>
      <c r="D641" s="4" t="s">
        <v>203</v>
      </c>
      <c r="E641" s="25" t="str">
        <f aca="false">IF(J641=1,"✓","")</f>
        <v/>
      </c>
      <c r="F641" s="4" t="n">
        <v>4</v>
      </c>
      <c r="G641" s="4" t="n">
        <v>2</v>
      </c>
      <c r="H641" s="4" t="s">
        <v>213</v>
      </c>
      <c r="I641" s="4" t="s">
        <v>51</v>
      </c>
      <c r="J641" s="4" t="n">
        <f aca="false">INDEX('Master List'!$G$2:$G$2594,K641)</f>
        <v>0</v>
      </c>
      <c r="K641" s="4" t="n">
        <v>1331</v>
      </c>
    </row>
    <row r="642" customFormat="false" ht="15" hidden="false" customHeight="false" outlineLevel="0" collapsed="false">
      <c r="A642" s="4" t="n">
        <v>641</v>
      </c>
      <c r="B642" s="4" t="s">
        <v>1103</v>
      </c>
      <c r="C642" s="4" t="n">
        <v>1993</v>
      </c>
      <c r="D642" s="4" t="s">
        <v>164</v>
      </c>
      <c r="E642" s="25" t="str">
        <f aca="false">IF(J642=1,"✓","")</f>
        <v/>
      </c>
      <c r="F642" s="4" t="n">
        <v>4</v>
      </c>
      <c r="G642" s="4" t="n">
        <v>2</v>
      </c>
      <c r="H642" s="4" t="s">
        <v>213</v>
      </c>
      <c r="I642" s="4" t="s">
        <v>53</v>
      </c>
      <c r="J642" s="4" t="n">
        <f aca="false">INDEX('Master List'!$G$2:$G$2594,K642)</f>
        <v>0</v>
      </c>
      <c r="K642" s="4" t="n">
        <v>55</v>
      </c>
    </row>
    <row r="643" customFormat="false" ht="15" hidden="false" customHeight="false" outlineLevel="0" collapsed="false">
      <c r="A643" s="4" t="n">
        <v>642</v>
      </c>
      <c r="B643" s="4" t="s">
        <v>1104</v>
      </c>
      <c r="C643" s="4" t="n">
        <v>1994</v>
      </c>
      <c r="D643" s="4" t="s">
        <v>1105</v>
      </c>
      <c r="E643" s="25" t="str">
        <f aca="false">IF(J643=1,"✓","")</f>
        <v/>
      </c>
      <c r="F643" s="4" t="n">
        <v>4</v>
      </c>
      <c r="G643" s="4" t="n">
        <v>2</v>
      </c>
      <c r="H643" s="4" t="s">
        <v>213</v>
      </c>
      <c r="I643" s="4" t="s">
        <v>50</v>
      </c>
      <c r="J643" s="4" t="n">
        <f aca="false">INDEX('Master List'!$G$2:$G$2594,K643)</f>
        <v>0</v>
      </c>
      <c r="K643" s="4" t="n">
        <v>476</v>
      </c>
    </row>
    <row r="644" customFormat="false" ht="15" hidden="false" customHeight="false" outlineLevel="0" collapsed="false">
      <c r="A644" s="4" t="n">
        <v>643</v>
      </c>
      <c r="B644" s="4" t="s">
        <v>1106</v>
      </c>
      <c r="C644" s="4" t="n">
        <v>1994</v>
      </c>
      <c r="D644" s="4" t="s">
        <v>193</v>
      </c>
      <c r="E644" s="25" t="str">
        <f aca="false">IF(J644=1,"✓","")</f>
        <v/>
      </c>
      <c r="F644" s="4" t="n">
        <v>4</v>
      </c>
      <c r="G644" s="4" t="n">
        <v>2</v>
      </c>
      <c r="H644" s="4" t="s">
        <v>213</v>
      </c>
      <c r="I644" s="4" t="s">
        <v>51</v>
      </c>
      <c r="J644" s="4" t="n">
        <f aca="false">INDEX('Master List'!$G$2:$G$2594,K644)</f>
        <v>0</v>
      </c>
      <c r="K644" s="4" t="n">
        <v>138</v>
      </c>
    </row>
    <row r="645" customFormat="false" ht="15" hidden="false" customHeight="false" outlineLevel="0" collapsed="false">
      <c r="A645" s="4" t="n">
        <v>644</v>
      </c>
      <c r="B645" s="4" t="s">
        <v>1107</v>
      </c>
      <c r="C645" s="4" t="n">
        <v>1994</v>
      </c>
      <c r="D645" s="4" t="s">
        <v>203</v>
      </c>
      <c r="E645" s="25" t="str">
        <f aca="false">IF(J645=1,"✓","")</f>
        <v/>
      </c>
      <c r="F645" s="4" t="n">
        <v>4</v>
      </c>
      <c r="G645" s="4" t="n">
        <v>2</v>
      </c>
      <c r="H645" s="4" t="s">
        <v>213</v>
      </c>
      <c r="I645" s="4" t="s">
        <v>51</v>
      </c>
      <c r="J645" s="4" t="n">
        <f aca="false">INDEX('Master List'!$G$2:$G$2594,K645)</f>
        <v>0</v>
      </c>
      <c r="K645" s="4" t="n">
        <v>2300</v>
      </c>
    </row>
    <row r="646" customFormat="false" ht="15" hidden="false" customHeight="false" outlineLevel="0" collapsed="false">
      <c r="A646" s="4" t="n">
        <v>645</v>
      </c>
      <c r="B646" s="4" t="s">
        <v>1108</v>
      </c>
      <c r="C646" s="4" t="n">
        <v>1994</v>
      </c>
      <c r="D646" s="4" t="s">
        <v>1109</v>
      </c>
      <c r="E646" s="25" t="str">
        <f aca="false">IF(J646=1,"✓","")</f>
        <v/>
      </c>
      <c r="F646" s="4" t="n">
        <v>4</v>
      </c>
      <c r="G646" s="4" t="n">
        <v>2</v>
      </c>
      <c r="H646" s="4" t="s">
        <v>213</v>
      </c>
      <c r="I646" s="4" t="s">
        <v>51</v>
      </c>
      <c r="J646" s="4" t="n">
        <f aca="false">INDEX('Master List'!$G$2:$G$2594,K646)</f>
        <v>0</v>
      </c>
      <c r="K646" s="4" t="n">
        <v>1674</v>
      </c>
    </row>
    <row r="647" customFormat="false" ht="15" hidden="false" customHeight="false" outlineLevel="0" collapsed="false">
      <c r="A647" s="4" t="n">
        <v>646</v>
      </c>
      <c r="B647" s="4" t="s">
        <v>1110</v>
      </c>
      <c r="C647" s="4" t="n">
        <v>1994</v>
      </c>
      <c r="D647" s="4" t="s">
        <v>1111</v>
      </c>
      <c r="E647" s="25" t="str">
        <f aca="false">IF(J647=1,"✓","")</f>
        <v/>
      </c>
      <c r="F647" s="4" t="n">
        <v>4</v>
      </c>
      <c r="G647" s="4" t="n">
        <v>2</v>
      </c>
      <c r="H647" s="4" t="s">
        <v>213</v>
      </c>
      <c r="I647" s="4" t="s">
        <v>54</v>
      </c>
      <c r="J647" s="4" t="n">
        <f aca="false">INDEX('Master List'!$G$2:$G$2594,K647)</f>
        <v>0</v>
      </c>
      <c r="K647" s="4" t="n">
        <v>709</v>
      </c>
    </row>
    <row r="648" customFormat="false" ht="15" hidden="false" customHeight="false" outlineLevel="0" collapsed="false">
      <c r="A648" s="4" t="n">
        <v>647</v>
      </c>
      <c r="B648" s="4" t="s">
        <v>1112</v>
      </c>
      <c r="C648" s="4" t="n">
        <v>1995</v>
      </c>
      <c r="D648" s="4" t="s">
        <v>164</v>
      </c>
      <c r="E648" s="25" t="str">
        <f aca="false">IF(J648=1,"✓","")</f>
        <v/>
      </c>
      <c r="F648" s="4" t="n">
        <v>4</v>
      </c>
      <c r="G648" s="4" t="n">
        <v>2</v>
      </c>
      <c r="H648" s="4" t="s">
        <v>213</v>
      </c>
      <c r="I648" s="4" t="s">
        <v>52</v>
      </c>
      <c r="J648" s="4" t="n">
        <f aca="false">INDEX('Master List'!$G$2:$G$2594,K648)</f>
        <v>0</v>
      </c>
      <c r="K648" s="4" t="n">
        <v>404</v>
      </c>
    </row>
    <row r="649" customFormat="false" ht="15" hidden="false" customHeight="false" outlineLevel="0" collapsed="false">
      <c r="A649" s="4" t="n">
        <v>648</v>
      </c>
      <c r="B649" s="4" t="s">
        <v>1113</v>
      </c>
      <c r="C649" s="4" t="n">
        <v>1995</v>
      </c>
      <c r="D649" s="4" t="s">
        <v>148</v>
      </c>
      <c r="E649" s="25" t="str">
        <f aca="false">IF(J649=1,"✓","")</f>
        <v>✓</v>
      </c>
      <c r="F649" s="4" t="n">
        <v>4</v>
      </c>
      <c r="G649" s="4" t="n">
        <v>2</v>
      </c>
      <c r="H649" s="4" t="s">
        <v>213</v>
      </c>
      <c r="I649" s="4" t="s">
        <v>53</v>
      </c>
      <c r="J649" s="4" t="n">
        <f aca="false">INDEX('Master List'!$G$2:$G$2594,K649)</f>
        <v>1</v>
      </c>
      <c r="K649" s="4" t="n">
        <v>477</v>
      </c>
    </row>
    <row r="650" customFormat="false" ht="15" hidden="false" customHeight="false" outlineLevel="0" collapsed="false">
      <c r="A650" s="4" t="n">
        <v>649</v>
      </c>
      <c r="B650" s="4" t="s">
        <v>1114</v>
      </c>
      <c r="C650" s="4" t="n">
        <v>1995</v>
      </c>
      <c r="D650" s="4" t="s">
        <v>1115</v>
      </c>
      <c r="E650" s="25" t="str">
        <f aca="false">IF(J650=1,"✓","")</f>
        <v/>
      </c>
      <c r="F650" s="4" t="n">
        <v>4</v>
      </c>
      <c r="G650" s="4" t="n">
        <v>2</v>
      </c>
      <c r="H650" s="4" t="s">
        <v>213</v>
      </c>
      <c r="I650" s="4" t="s">
        <v>55</v>
      </c>
      <c r="J650" s="4" t="n">
        <f aca="false">INDEX('Master List'!$G$2:$G$2594,K650)</f>
        <v>0</v>
      </c>
      <c r="K650" s="4" t="n">
        <v>122</v>
      </c>
    </row>
    <row r="651" customFormat="false" ht="15" hidden="false" customHeight="false" outlineLevel="0" collapsed="false">
      <c r="A651" s="4" t="n">
        <v>650</v>
      </c>
      <c r="B651" s="4" t="s">
        <v>1116</v>
      </c>
      <c r="C651" s="4" t="n">
        <v>1997</v>
      </c>
      <c r="D651" s="4" t="s">
        <v>831</v>
      </c>
      <c r="E651" s="25" t="str">
        <f aca="false">IF(J651=1,"✓","")</f>
        <v/>
      </c>
      <c r="F651" s="4" t="n">
        <v>4</v>
      </c>
      <c r="G651" s="4" t="n">
        <v>2</v>
      </c>
      <c r="H651" s="4" t="s">
        <v>213</v>
      </c>
      <c r="I651" s="4" t="s">
        <v>51</v>
      </c>
      <c r="J651" s="4" t="n">
        <f aca="false">INDEX('Master List'!$G$2:$G$2594,K651)</f>
        <v>0</v>
      </c>
      <c r="K651" s="4" t="n">
        <v>982</v>
      </c>
    </row>
    <row r="652" customFormat="false" ht="15" hidden="false" customHeight="false" outlineLevel="0" collapsed="false">
      <c r="A652" s="4" t="n">
        <v>651</v>
      </c>
      <c r="B652" s="4" t="s">
        <v>1117</v>
      </c>
      <c r="C652" s="4" t="n">
        <v>1997</v>
      </c>
      <c r="D652" s="4" t="s">
        <v>516</v>
      </c>
      <c r="E652" s="25" t="str">
        <f aca="false">IF(J652=1,"✓","")</f>
        <v>✓</v>
      </c>
      <c r="F652" s="4" t="n">
        <v>4</v>
      </c>
      <c r="G652" s="4" t="n">
        <v>2</v>
      </c>
      <c r="H652" s="4" t="s">
        <v>213</v>
      </c>
      <c r="I652" s="4" t="s">
        <v>51</v>
      </c>
      <c r="J652" s="4" t="n">
        <f aca="false">INDEX('Master List'!$G$2:$G$2594,K652)</f>
        <v>1</v>
      </c>
      <c r="K652" s="4" t="n">
        <v>871</v>
      </c>
    </row>
    <row r="653" customFormat="false" ht="15" hidden="false" customHeight="false" outlineLevel="0" collapsed="false">
      <c r="A653" s="4" t="n">
        <v>652</v>
      </c>
      <c r="B653" s="4" t="s">
        <v>1118</v>
      </c>
      <c r="C653" s="4" t="n">
        <v>1997</v>
      </c>
      <c r="D653" s="4" t="s">
        <v>1119</v>
      </c>
      <c r="E653" s="25" t="str">
        <f aca="false">IF(J653=1,"✓","")</f>
        <v/>
      </c>
      <c r="F653" s="4" t="n">
        <v>4</v>
      </c>
      <c r="G653" s="4" t="n">
        <v>2</v>
      </c>
      <c r="H653" s="4" t="s">
        <v>213</v>
      </c>
      <c r="I653" s="4" t="s">
        <v>52</v>
      </c>
      <c r="J653" s="4" t="n">
        <f aca="false">INDEX('Master List'!$G$2:$G$2594,K653)</f>
        <v>0</v>
      </c>
      <c r="K653" s="4" t="n">
        <v>751</v>
      </c>
    </row>
    <row r="654" customFormat="false" ht="15" hidden="false" customHeight="false" outlineLevel="0" collapsed="false">
      <c r="A654" s="4" t="n">
        <v>653</v>
      </c>
      <c r="B654" s="4" t="s">
        <v>1120</v>
      </c>
      <c r="C654" s="4" t="n">
        <v>1997</v>
      </c>
      <c r="D654" s="4" t="s">
        <v>1070</v>
      </c>
      <c r="E654" s="25" t="str">
        <f aca="false">IF(J654=1,"✓","")</f>
        <v/>
      </c>
      <c r="F654" s="4" t="n">
        <v>4</v>
      </c>
      <c r="G654" s="4" t="n">
        <v>2</v>
      </c>
      <c r="H654" s="4" t="s">
        <v>213</v>
      </c>
      <c r="I654" s="4" t="s">
        <v>52</v>
      </c>
      <c r="J654" s="4" t="n">
        <f aca="false">INDEX('Master List'!$G$2:$G$2594,K654)</f>
        <v>0</v>
      </c>
      <c r="K654" s="4" t="n">
        <v>516</v>
      </c>
    </row>
    <row r="655" customFormat="false" ht="15" hidden="false" customHeight="false" outlineLevel="0" collapsed="false">
      <c r="A655" s="4" t="n">
        <v>654</v>
      </c>
      <c r="B655" s="4" t="s">
        <v>1121</v>
      </c>
      <c r="C655" s="4" t="n">
        <v>1997</v>
      </c>
      <c r="D655" s="4" t="s">
        <v>208</v>
      </c>
      <c r="E655" s="25" t="str">
        <f aca="false">IF(J655=1,"✓","")</f>
        <v>✓</v>
      </c>
      <c r="F655" s="4" t="n">
        <v>4</v>
      </c>
      <c r="G655" s="4" t="n">
        <v>2</v>
      </c>
      <c r="H655" s="4" t="s">
        <v>213</v>
      </c>
      <c r="I655" s="4" t="s">
        <v>53</v>
      </c>
      <c r="J655" s="4" t="n">
        <f aca="false">INDEX('Master List'!$G$2:$G$2594,K655)</f>
        <v>1</v>
      </c>
      <c r="K655" s="4" t="n">
        <v>1190</v>
      </c>
    </row>
    <row r="656" customFormat="false" ht="15" hidden="false" customHeight="false" outlineLevel="0" collapsed="false">
      <c r="A656" s="4" t="n">
        <v>655</v>
      </c>
      <c r="B656" s="4" t="s">
        <v>1122</v>
      </c>
      <c r="C656" s="4" t="n">
        <v>1997</v>
      </c>
      <c r="D656" s="4" t="s">
        <v>827</v>
      </c>
      <c r="E656" s="25" t="str">
        <f aca="false">IF(J656=1,"✓","")</f>
        <v>✓</v>
      </c>
      <c r="F656" s="4" t="n">
        <v>4</v>
      </c>
      <c r="G656" s="4" t="n">
        <v>2</v>
      </c>
      <c r="H656" s="4" t="s">
        <v>213</v>
      </c>
      <c r="I656" s="4" t="s">
        <v>55</v>
      </c>
      <c r="J656" s="4" t="n">
        <f aca="false">INDEX('Master List'!$G$2:$G$2594,K656)</f>
        <v>1</v>
      </c>
      <c r="K656" s="4" t="n">
        <v>931</v>
      </c>
    </row>
    <row r="657" customFormat="false" ht="15" hidden="false" customHeight="false" outlineLevel="0" collapsed="false">
      <c r="A657" s="4" t="n">
        <v>656</v>
      </c>
      <c r="B657" s="4" t="s">
        <v>1123</v>
      </c>
      <c r="C657" s="4" t="n">
        <v>1997</v>
      </c>
      <c r="D657" s="4" t="s">
        <v>892</v>
      </c>
      <c r="E657" s="25" t="str">
        <f aca="false">IF(J657=1,"✓","")</f>
        <v/>
      </c>
      <c r="F657" s="4" t="n">
        <v>4</v>
      </c>
      <c r="G657" s="4" t="n">
        <v>2</v>
      </c>
      <c r="H657" s="4" t="s">
        <v>213</v>
      </c>
      <c r="I657" s="4" t="s">
        <v>56</v>
      </c>
      <c r="J657" s="4" t="n">
        <f aca="false">INDEX('Master List'!$G$2:$G$2594,K657)</f>
        <v>0</v>
      </c>
      <c r="K657" s="4" t="n">
        <v>2312</v>
      </c>
    </row>
    <row r="658" customFormat="false" ht="15" hidden="false" customHeight="false" outlineLevel="0" collapsed="false">
      <c r="A658" s="4" t="n">
        <v>657</v>
      </c>
      <c r="B658" s="4" t="s">
        <v>1124</v>
      </c>
      <c r="C658" s="4" t="n">
        <v>1998</v>
      </c>
      <c r="D658" s="4" t="s">
        <v>342</v>
      </c>
      <c r="E658" s="25" t="str">
        <f aca="false">IF(J658=1,"✓","")</f>
        <v>✓</v>
      </c>
      <c r="F658" s="4" t="n">
        <v>4</v>
      </c>
      <c r="G658" s="4" t="n">
        <v>2</v>
      </c>
      <c r="H658" s="4" t="s">
        <v>213</v>
      </c>
      <c r="I658" s="4" t="s">
        <v>53</v>
      </c>
      <c r="J658" s="4" t="n">
        <f aca="false">INDEX('Master List'!$G$2:$G$2594,K658)</f>
        <v>1</v>
      </c>
      <c r="K658" s="4" t="n">
        <v>829</v>
      </c>
    </row>
    <row r="659" customFormat="false" ht="15" hidden="false" customHeight="false" outlineLevel="0" collapsed="false">
      <c r="A659" s="4" t="n">
        <v>658</v>
      </c>
      <c r="B659" s="4" t="s">
        <v>1125</v>
      </c>
      <c r="C659" s="4" t="n">
        <v>1999</v>
      </c>
      <c r="D659" s="4" t="s">
        <v>203</v>
      </c>
      <c r="E659" s="25" t="str">
        <f aca="false">IF(J659=1,"✓","")</f>
        <v/>
      </c>
      <c r="F659" s="4" t="n">
        <v>4</v>
      </c>
      <c r="G659" s="4" t="n">
        <v>2</v>
      </c>
      <c r="H659" s="4" t="s">
        <v>213</v>
      </c>
      <c r="I659" s="4" t="s">
        <v>51</v>
      </c>
      <c r="J659" s="4" t="n">
        <f aca="false">INDEX('Master List'!$G$2:$G$2594,K659)</f>
        <v>0</v>
      </c>
      <c r="K659" s="4" t="n">
        <v>2523</v>
      </c>
    </row>
    <row r="660" customFormat="false" ht="15" hidden="false" customHeight="false" outlineLevel="0" collapsed="false">
      <c r="A660" s="4" t="n">
        <v>659</v>
      </c>
      <c r="B660" s="4" t="s">
        <v>1126</v>
      </c>
      <c r="C660" s="4" t="n">
        <v>1999</v>
      </c>
      <c r="D660" s="4" t="s">
        <v>1127</v>
      </c>
      <c r="E660" s="25" t="str">
        <f aca="false">IF(J660=1,"✓","")</f>
        <v/>
      </c>
      <c r="F660" s="4" t="n">
        <v>4</v>
      </c>
      <c r="G660" s="4" t="n">
        <v>2</v>
      </c>
      <c r="H660" s="4" t="s">
        <v>213</v>
      </c>
      <c r="I660" s="4" t="s">
        <v>52</v>
      </c>
      <c r="J660" s="4" t="n">
        <f aca="false">INDEX('Master List'!$G$2:$G$2594,K660)</f>
        <v>0</v>
      </c>
      <c r="K660" s="4" t="n">
        <v>150</v>
      </c>
    </row>
    <row r="661" customFormat="false" ht="15" hidden="false" customHeight="false" outlineLevel="0" collapsed="false">
      <c r="A661" s="4" t="n">
        <v>660</v>
      </c>
      <c r="B661" s="4" t="s">
        <v>1128</v>
      </c>
      <c r="C661" s="4" t="n">
        <v>1999</v>
      </c>
      <c r="D661" s="4" t="s">
        <v>154</v>
      </c>
      <c r="E661" s="25" t="str">
        <f aca="false">IF(J661=1,"✓","")</f>
        <v>✓</v>
      </c>
      <c r="F661" s="4" t="n">
        <v>4</v>
      </c>
      <c r="G661" s="4" t="n">
        <v>2</v>
      </c>
      <c r="H661" s="4" t="s">
        <v>213</v>
      </c>
      <c r="I661" s="4" t="s">
        <v>53</v>
      </c>
      <c r="J661" s="4" t="n">
        <f aca="false">INDEX('Master List'!$G$2:$G$2594,K661)</f>
        <v>1</v>
      </c>
      <c r="K661" s="4" t="n">
        <v>2171</v>
      </c>
    </row>
    <row r="662" customFormat="false" ht="15" hidden="false" customHeight="false" outlineLevel="0" collapsed="false">
      <c r="A662" s="4" t="n">
        <v>661</v>
      </c>
      <c r="B662" s="4" t="s">
        <v>1129</v>
      </c>
      <c r="C662" s="4" t="n">
        <v>1999</v>
      </c>
      <c r="D662" s="4" t="s">
        <v>615</v>
      </c>
      <c r="E662" s="25" t="str">
        <f aca="false">IF(J662=1,"✓","")</f>
        <v>✓</v>
      </c>
      <c r="F662" s="4" t="n">
        <v>4</v>
      </c>
      <c r="G662" s="4" t="n">
        <v>2</v>
      </c>
      <c r="H662" s="4" t="s">
        <v>213</v>
      </c>
      <c r="I662" s="4" t="s">
        <v>53</v>
      </c>
      <c r="J662" s="4" t="n">
        <f aca="false">INDEX('Master List'!$G$2:$G$2594,K662)</f>
        <v>1</v>
      </c>
      <c r="K662" s="4" t="n">
        <v>890</v>
      </c>
    </row>
    <row r="663" customFormat="false" ht="15" hidden="false" customHeight="false" outlineLevel="0" collapsed="false">
      <c r="A663" s="4" t="n">
        <v>662</v>
      </c>
      <c r="B663" s="4" t="s">
        <v>1130</v>
      </c>
      <c r="C663" s="4" t="n">
        <v>1999</v>
      </c>
      <c r="D663" s="4" t="s">
        <v>296</v>
      </c>
      <c r="E663" s="25" t="str">
        <f aca="false">IF(J663=1,"✓","")</f>
        <v/>
      </c>
      <c r="F663" s="4" t="n">
        <v>4</v>
      </c>
      <c r="G663" s="4" t="n">
        <v>2</v>
      </c>
      <c r="H663" s="4" t="s">
        <v>213</v>
      </c>
      <c r="I663" s="4" t="s">
        <v>53</v>
      </c>
      <c r="J663" s="4" t="n">
        <f aca="false">INDEX('Master List'!$G$2:$G$2594,K663)</f>
        <v>0</v>
      </c>
      <c r="K663" s="4" t="n">
        <v>1152</v>
      </c>
    </row>
    <row r="664" customFormat="false" ht="15" hidden="false" customHeight="false" outlineLevel="0" collapsed="false">
      <c r="A664" s="4" t="n">
        <v>663</v>
      </c>
      <c r="B664" s="4" t="s">
        <v>1131</v>
      </c>
      <c r="C664" s="4" t="n">
        <v>1999</v>
      </c>
      <c r="D664" s="4" t="s">
        <v>1132</v>
      </c>
      <c r="E664" s="25" t="str">
        <f aca="false">IF(J664=1,"✓","")</f>
        <v/>
      </c>
      <c r="F664" s="4" t="n">
        <v>4</v>
      </c>
      <c r="G664" s="4" t="n">
        <v>2</v>
      </c>
      <c r="H664" s="4" t="s">
        <v>213</v>
      </c>
      <c r="I664" s="4" t="s">
        <v>54</v>
      </c>
      <c r="J664" s="4" t="n">
        <f aca="false">INDEX('Master List'!$G$2:$G$2594,K664)</f>
        <v>0</v>
      </c>
      <c r="K664" s="4" t="n">
        <v>2084</v>
      </c>
    </row>
    <row r="665" customFormat="false" ht="15" hidden="false" customHeight="false" outlineLevel="0" collapsed="false">
      <c r="A665" s="4" t="n">
        <v>664</v>
      </c>
      <c r="B665" s="4" t="s">
        <v>1133</v>
      </c>
      <c r="C665" s="4" t="n">
        <v>2000</v>
      </c>
      <c r="D665" s="4" t="s">
        <v>618</v>
      </c>
      <c r="E665" s="25" t="str">
        <f aca="false">IF(J665=1,"✓","")</f>
        <v/>
      </c>
      <c r="F665" s="4" t="n">
        <v>4</v>
      </c>
      <c r="G665" s="4" t="n">
        <v>2</v>
      </c>
      <c r="H665" s="4" t="s">
        <v>144</v>
      </c>
      <c r="I665" s="4" t="s">
        <v>49</v>
      </c>
      <c r="J665" s="4" t="n">
        <f aca="false">INDEX('Master List'!$G$2:$G$2594,K665)</f>
        <v>0</v>
      </c>
      <c r="K665" s="4" t="n">
        <v>2484</v>
      </c>
    </row>
    <row r="666" customFormat="false" ht="15" hidden="false" customHeight="false" outlineLevel="0" collapsed="false">
      <c r="A666" s="4" t="n">
        <v>665</v>
      </c>
      <c r="B666" s="4" t="s">
        <v>1134</v>
      </c>
      <c r="C666" s="4" t="n">
        <v>2000</v>
      </c>
      <c r="D666" s="4" t="s">
        <v>1135</v>
      </c>
      <c r="E666" s="25" t="str">
        <f aca="false">IF(J666=1,"✓","")</f>
        <v/>
      </c>
      <c r="F666" s="4" t="n">
        <v>4</v>
      </c>
      <c r="G666" s="4" t="n">
        <v>2</v>
      </c>
      <c r="H666" s="4" t="s">
        <v>213</v>
      </c>
      <c r="I666" s="4" t="s">
        <v>51</v>
      </c>
      <c r="J666" s="4" t="n">
        <f aca="false">INDEX('Master List'!$G$2:$G$2594,K666)</f>
        <v>0</v>
      </c>
      <c r="K666" s="4" t="n">
        <v>559</v>
      </c>
    </row>
    <row r="667" customFormat="false" ht="15" hidden="false" customHeight="false" outlineLevel="0" collapsed="false">
      <c r="A667" s="4" t="n">
        <v>666</v>
      </c>
      <c r="B667" s="4" t="s">
        <v>1136</v>
      </c>
      <c r="C667" s="4" t="n">
        <v>2000</v>
      </c>
      <c r="D667" s="4" t="s">
        <v>1137</v>
      </c>
      <c r="E667" s="25" t="str">
        <f aca="false">IF(J667=1,"✓","")</f>
        <v/>
      </c>
      <c r="F667" s="4" t="n">
        <v>4</v>
      </c>
      <c r="G667" s="4" t="n">
        <v>2</v>
      </c>
      <c r="H667" s="4" t="s">
        <v>213</v>
      </c>
      <c r="I667" s="4" t="s">
        <v>51</v>
      </c>
      <c r="J667" s="4" t="n">
        <f aca="false">INDEX('Master List'!$G$2:$G$2594,K667)</f>
        <v>0</v>
      </c>
      <c r="K667" s="4" t="n">
        <v>95</v>
      </c>
    </row>
    <row r="668" customFormat="false" ht="15" hidden="false" customHeight="false" outlineLevel="0" collapsed="false">
      <c r="A668" s="4" t="n">
        <v>667</v>
      </c>
      <c r="B668" s="4" t="s">
        <v>1138</v>
      </c>
      <c r="C668" s="4" t="n">
        <v>2000</v>
      </c>
      <c r="D668" s="4" t="s">
        <v>1139</v>
      </c>
      <c r="E668" s="25" t="str">
        <f aca="false">IF(J668=1,"✓","")</f>
        <v/>
      </c>
      <c r="F668" s="4" t="n">
        <v>4</v>
      </c>
      <c r="G668" s="4" t="n">
        <v>2</v>
      </c>
      <c r="H668" s="4" t="s">
        <v>213</v>
      </c>
      <c r="I668" s="4" t="s">
        <v>51</v>
      </c>
      <c r="J668" s="4" t="n">
        <f aca="false">INDEX('Master List'!$G$2:$G$2594,K668)</f>
        <v>0</v>
      </c>
      <c r="K668" s="4" t="n">
        <v>1617</v>
      </c>
    </row>
    <row r="669" customFormat="false" ht="15" hidden="false" customHeight="false" outlineLevel="0" collapsed="false">
      <c r="A669" s="4" t="n">
        <v>668</v>
      </c>
      <c r="B669" s="4" t="s">
        <v>1140</v>
      </c>
      <c r="C669" s="4" t="n">
        <v>2000</v>
      </c>
      <c r="D669" s="4" t="s">
        <v>859</v>
      </c>
      <c r="E669" s="25" t="str">
        <f aca="false">IF(J669=1,"✓","")</f>
        <v/>
      </c>
      <c r="F669" s="4" t="n">
        <v>4</v>
      </c>
      <c r="G669" s="4" t="n">
        <v>2</v>
      </c>
      <c r="H669" s="4" t="s">
        <v>213</v>
      </c>
      <c r="I669" s="4" t="s">
        <v>51</v>
      </c>
      <c r="J669" s="4" t="n">
        <f aca="false">INDEX('Master List'!$G$2:$G$2594,K669)</f>
        <v>0</v>
      </c>
      <c r="K669" s="4" t="n">
        <v>1777</v>
      </c>
    </row>
    <row r="670" customFormat="false" ht="15" hidden="false" customHeight="false" outlineLevel="0" collapsed="false">
      <c r="A670" s="4" t="n">
        <v>669</v>
      </c>
      <c r="B670" s="4" t="s">
        <v>1141</v>
      </c>
      <c r="C670" s="4" t="n">
        <v>2000</v>
      </c>
      <c r="D670" s="4" t="s">
        <v>685</v>
      </c>
      <c r="E670" s="25" t="str">
        <f aca="false">IF(J670=1,"✓","")</f>
        <v/>
      </c>
      <c r="F670" s="4" t="n">
        <v>4</v>
      </c>
      <c r="G670" s="4" t="n">
        <v>2</v>
      </c>
      <c r="H670" s="4" t="s">
        <v>213</v>
      </c>
      <c r="I670" s="4" t="s">
        <v>51</v>
      </c>
      <c r="J670" s="4" t="n">
        <f aca="false">INDEX('Master List'!$G$2:$G$2594,K670)</f>
        <v>0</v>
      </c>
      <c r="K670" s="4" t="n">
        <v>1215</v>
      </c>
    </row>
    <row r="671" customFormat="false" ht="15" hidden="false" customHeight="false" outlineLevel="0" collapsed="false">
      <c r="A671" s="4" t="n">
        <v>670</v>
      </c>
      <c r="B671" s="4" t="s">
        <v>1142</v>
      </c>
      <c r="C671" s="4" t="n">
        <v>2000</v>
      </c>
      <c r="D671" s="4" t="s">
        <v>516</v>
      </c>
      <c r="E671" s="25" t="str">
        <f aca="false">IF(J671=1,"✓","")</f>
        <v/>
      </c>
      <c r="F671" s="4" t="n">
        <v>4</v>
      </c>
      <c r="G671" s="4" t="n">
        <v>2</v>
      </c>
      <c r="H671" s="4" t="s">
        <v>213</v>
      </c>
      <c r="I671" s="4" t="s">
        <v>53</v>
      </c>
      <c r="J671" s="4" t="n">
        <f aca="false">INDEX('Master List'!$G$2:$G$2594,K671)</f>
        <v>0</v>
      </c>
      <c r="K671" s="4" t="n">
        <v>489</v>
      </c>
    </row>
    <row r="672" customFormat="false" ht="15" hidden="false" customHeight="false" outlineLevel="0" collapsed="false">
      <c r="A672" s="4" t="n">
        <v>671</v>
      </c>
      <c r="B672" s="4" t="s">
        <v>1143</v>
      </c>
      <c r="C672" s="4" t="n">
        <v>2001</v>
      </c>
      <c r="D672" s="4" t="s">
        <v>516</v>
      </c>
      <c r="E672" s="25" t="str">
        <f aca="false">IF(J672=1,"✓","")</f>
        <v/>
      </c>
      <c r="F672" s="4" t="n">
        <v>4</v>
      </c>
      <c r="G672" s="4" t="n">
        <v>2</v>
      </c>
      <c r="H672" s="4" t="s">
        <v>213</v>
      </c>
      <c r="I672" s="4" t="s">
        <v>51</v>
      </c>
      <c r="J672" s="4" t="n">
        <f aca="false">INDEX('Master List'!$G$2:$G$2594,K672)</f>
        <v>0</v>
      </c>
      <c r="K672" s="4" t="n">
        <v>1761</v>
      </c>
    </row>
    <row r="673" customFormat="false" ht="15" hidden="false" customHeight="false" outlineLevel="0" collapsed="false">
      <c r="A673" s="4" t="n">
        <v>672</v>
      </c>
      <c r="B673" s="4" t="s">
        <v>1144</v>
      </c>
      <c r="C673" s="4" t="n">
        <v>2001</v>
      </c>
      <c r="D673" s="4" t="s">
        <v>1145</v>
      </c>
      <c r="E673" s="25" t="str">
        <f aca="false">IF(J673=1,"✓","")</f>
        <v/>
      </c>
      <c r="F673" s="4" t="n">
        <v>4</v>
      </c>
      <c r="G673" s="4" t="n">
        <v>2</v>
      </c>
      <c r="H673" s="4" t="s">
        <v>213</v>
      </c>
      <c r="I673" s="4" t="s">
        <v>51</v>
      </c>
      <c r="J673" s="4" t="n">
        <f aca="false">INDEX('Master List'!$G$2:$G$2594,K673)</f>
        <v>0</v>
      </c>
      <c r="K673" s="4" t="n">
        <v>1697</v>
      </c>
    </row>
    <row r="674" customFormat="false" ht="15" hidden="false" customHeight="false" outlineLevel="0" collapsed="false">
      <c r="A674" s="4" t="n">
        <v>673</v>
      </c>
      <c r="B674" s="4" t="s">
        <v>1146</v>
      </c>
      <c r="C674" s="4" t="n">
        <v>2001</v>
      </c>
      <c r="D674" s="4" t="s">
        <v>1147</v>
      </c>
      <c r="E674" s="25" t="str">
        <f aca="false">IF(J674=1,"✓","")</f>
        <v/>
      </c>
      <c r="F674" s="4" t="n">
        <v>4</v>
      </c>
      <c r="G674" s="4" t="n">
        <v>2</v>
      </c>
      <c r="H674" s="4" t="s">
        <v>213</v>
      </c>
      <c r="I674" s="4" t="s">
        <v>51</v>
      </c>
      <c r="J674" s="4" t="n">
        <f aca="false">INDEX('Master List'!$G$2:$G$2594,K674)</f>
        <v>0</v>
      </c>
      <c r="K674" s="4" t="n">
        <v>622</v>
      </c>
    </row>
    <row r="675" customFormat="false" ht="15" hidden="false" customHeight="false" outlineLevel="0" collapsed="false">
      <c r="A675" s="4" t="n">
        <v>674</v>
      </c>
      <c r="B675" s="4" t="s">
        <v>1148</v>
      </c>
      <c r="C675" s="4" t="n">
        <v>2001</v>
      </c>
      <c r="D675" s="4" t="s">
        <v>397</v>
      </c>
      <c r="E675" s="25" t="str">
        <f aca="false">IF(J675=1,"✓","")</f>
        <v/>
      </c>
      <c r="F675" s="4" t="n">
        <v>4</v>
      </c>
      <c r="G675" s="4" t="n">
        <v>2</v>
      </c>
      <c r="H675" s="4" t="s">
        <v>213</v>
      </c>
      <c r="I675" s="4" t="s">
        <v>52</v>
      </c>
      <c r="J675" s="4" t="n">
        <f aca="false">INDEX('Master List'!$G$2:$G$2594,K675)</f>
        <v>0</v>
      </c>
      <c r="K675" s="4" t="n">
        <v>1432</v>
      </c>
    </row>
    <row r="676" customFormat="false" ht="15" hidden="false" customHeight="false" outlineLevel="0" collapsed="false">
      <c r="A676" s="4" t="n">
        <v>675</v>
      </c>
      <c r="B676" s="4" t="s">
        <v>1149</v>
      </c>
      <c r="C676" s="4" t="n">
        <v>2001</v>
      </c>
      <c r="D676" s="4" t="s">
        <v>320</v>
      </c>
      <c r="E676" s="25" t="str">
        <f aca="false">IF(J676=1,"✓","")</f>
        <v>✓</v>
      </c>
      <c r="F676" s="4" t="n">
        <v>4</v>
      </c>
      <c r="G676" s="4" t="n">
        <v>2</v>
      </c>
      <c r="H676" s="4" t="s">
        <v>213</v>
      </c>
      <c r="I676" s="4" t="s">
        <v>53</v>
      </c>
      <c r="J676" s="4" t="n">
        <f aca="false">INDEX('Master List'!$G$2:$G$2594,K676)</f>
        <v>1</v>
      </c>
      <c r="K676" s="4" t="n">
        <v>2241</v>
      </c>
    </row>
    <row r="677" customFormat="false" ht="15" hidden="false" customHeight="false" outlineLevel="0" collapsed="false">
      <c r="A677" s="4" t="n">
        <v>676</v>
      </c>
      <c r="B677" s="4" t="s">
        <v>1150</v>
      </c>
      <c r="C677" s="4" t="n">
        <v>2001</v>
      </c>
      <c r="D677" s="4" t="s">
        <v>1151</v>
      </c>
      <c r="E677" s="25" t="str">
        <f aca="false">IF(J677=1,"✓","")</f>
        <v>✓</v>
      </c>
      <c r="F677" s="4" t="n">
        <v>4</v>
      </c>
      <c r="G677" s="4" t="n">
        <v>2</v>
      </c>
      <c r="H677" s="4" t="s">
        <v>213</v>
      </c>
      <c r="I677" s="4" t="s">
        <v>54</v>
      </c>
      <c r="J677" s="4" t="n">
        <f aca="false">INDEX('Master List'!$G$2:$G$2594,K677)</f>
        <v>1</v>
      </c>
      <c r="K677" s="4" t="n">
        <v>662</v>
      </c>
    </row>
    <row r="678" customFormat="false" ht="15" hidden="false" customHeight="false" outlineLevel="0" collapsed="false">
      <c r="A678" s="4" t="n">
        <v>677</v>
      </c>
      <c r="B678" s="4" t="s">
        <v>1152</v>
      </c>
      <c r="C678" s="4" t="n">
        <v>2001</v>
      </c>
      <c r="D678" s="4" t="s">
        <v>1153</v>
      </c>
      <c r="E678" s="25" t="str">
        <f aca="false">IF(J678=1,"✓","")</f>
        <v/>
      </c>
      <c r="F678" s="4" t="n">
        <v>4</v>
      </c>
      <c r="G678" s="4" t="n">
        <v>2</v>
      </c>
      <c r="H678" s="4" t="s">
        <v>213</v>
      </c>
      <c r="I678" s="4" t="s">
        <v>55</v>
      </c>
      <c r="J678" s="4" t="n">
        <f aca="false">INDEX('Master List'!$G$2:$G$2594,K678)</f>
        <v>0</v>
      </c>
      <c r="K678" s="4" t="n">
        <v>86</v>
      </c>
    </row>
    <row r="679" customFormat="false" ht="15" hidden="false" customHeight="false" outlineLevel="0" collapsed="false">
      <c r="A679" s="4" t="n">
        <v>678</v>
      </c>
      <c r="B679" s="4" t="s">
        <v>1154</v>
      </c>
      <c r="C679" s="4" t="n">
        <v>2002</v>
      </c>
      <c r="D679" s="4" t="s">
        <v>1155</v>
      </c>
      <c r="E679" s="25" t="str">
        <f aca="false">IF(J679=1,"✓","")</f>
        <v/>
      </c>
      <c r="F679" s="4" t="n">
        <v>4</v>
      </c>
      <c r="G679" s="4" t="n">
        <v>2</v>
      </c>
      <c r="H679" s="4" t="s">
        <v>144</v>
      </c>
      <c r="I679" s="4" t="s">
        <v>51</v>
      </c>
      <c r="J679" s="4" t="n">
        <f aca="false">INDEX('Master List'!$G$2:$G$2594,K679)</f>
        <v>0</v>
      </c>
      <c r="K679" s="4" t="n">
        <v>1435</v>
      </c>
    </row>
    <row r="680" customFormat="false" ht="15" hidden="false" customHeight="false" outlineLevel="0" collapsed="false">
      <c r="A680" s="4" t="n">
        <v>679</v>
      </c>
      <c r="B680" s="4" t="s">
        <v>1156</v>
      </c>
      <c r="C680" s="4" t="n">
        <v>2002</v>
      </c>
      <c r="D680" s="4" t="s">
        <v>1157</v>
      </c>
      <c r="E680" s="25" t="str">
        <f aca="false">IF(J680=1,"✓","")</f>
        <v/>
      </c>
      <c r="F680" s="4" t="n">
        <v>4</v>
      </c>
      <c r="G680" s="4" t="n">
        <v>2</v>
      </c>
      <c r="H680" s="4" t="s">
        <v>213</v>
      </c>
      <c r="I680" s="4" t="s">
        <v>51</v>
      </c>
      <c r="J680" s="4" t="n">
        <f aca="false">INDEX('Master List'!$G$2:$G$2594,K680)</f>
        <v>0</v>
      </c>
      <c r="K680" s="4" t="n">
        <v>1136</v>
      </c>
    </row>
    <row r="681" customFormat="false" ht="15" hidden="false" customHeight="false" outlineLevel="0" collapsed="false">
      <c r="A681" s="4" t="n">
        <v>680</v>
      </c>
      <c r="B681" s="4" t="s">
        <v>1158</v>
      </c>
      <c r="C681" s="4" t="n">
        <v>2002</v>
      </c>
      <c r="D681" s="4" t="s">
        <v>685</v>
      </c>
      <c r="E681" s="25" t="str">
        <f aca="false">IF(J681=1,"✓","")</f>
        <v/>
      </c>
      <c r="F681" s="4" t="n">
        <v>4</v>
      </c>
      <c r="G681" s="4" t="n">
        <v>2</v>
      </c>
      <c r="H681" s="4" t="s">
        <v>213</v>
      </c>
      <c r="I681" s="4" t="s">
        <v>51</v>
      </c>
      <c r="J681" s="4" t="n">
        <f aca="false">INDEX('Master List'!$G$2:$G$2594,K681)</f>
        <v>0</v>
      </c>
      <c r="K681" s="4" t="n">
        <v>2222</v>
      </c>
    </row>
    <row r="682" customFormat="false" ht="15" hidden="false" customHeight="false" outlineLevel="0" collapsed="false">
      <c r="A682" s="4" t="n">
        <v>681</v>
      </c>
      <c r="B682" s="4" t="s">
        <v>1159</v>
      </c>
      <c r="C682" s="4" t="n">
        <v>2002</v>
      </c>
      <c r="D682" s="4" t="s">
        <v>444</v>
      </c>
      <c r="E682" s="25" t="str">
        <f aca="false">IF(J682=1,"✓","")</f>
        <v/>
      </c>
      <c r="F682" s="4" t="n">
        <v>4</v>
      </c>
      <c r="G682" s="4" t="n">
        <v>2</v>
      </c>
      <c r="H682" s="4" t="s">
        <v>213</v>
      </c>
      <c r="I682" s="4" t="s">
        <v>51</v>
      </c>
      <c r="J682" s="4" t="n">
        <f aca="false">INDEX('Master List'!$G$2:$G$2594,K682)</f>
        <v>0</v>
      </c>
      <c r="K682" s="4" t="n">
        <v>287</v>
      </c>
    </row>
    <row r="683" customFormat="false" ht="15" hidden="false" customHeight="false" outlineLevel="0" collapsed="false">
      <c r="A683" s="4" t="n">
        <v>682</v>
      </c>
      <c r="B683" s="4" t="s">
        <v>1160</v>
      </c>
      <c r="C683" s="4" t="n">
        <v>2002</v>
      </c>
      <c r="D683" s="4" t="s">
        <v>1161</v>
      </c>
      <c r="E683" s="25" t="str">
        <f aca="false">IF(J683=1,"✓","")</f>
        <v/>
      </c>
      <c r="F683" s="4" t="n">
        <v>4</v>
      </c>
      <c r="G683" s="4" t="n">
        <v>2</v>
      </c>
      <c r="H683" s="4" t="s">
        <v>213</v>
      </c>
      <c r="I683" s="4" t="s">
        <v>52</v>
      </c>
      <c r="J683" s="4" t="n">
        <f aca="false">INDEX('Master List'!$G$2:$G$2594,K683)</f>
        <v>0</v>
      </c>
      <c r="K683" s="4" t="n">
        <v>17</v>
      </c>
    </row>
    <row r="684" customFormat="false" ht="15" hidden="false" customHeight="false" outlineLevel="0" collapsed="false">
      <c r="A684" s="4" t="n">
        <v>683</v>
      </c>
      <c r="B684" s="4" t="s">
        <v>1162</v>
      </c>
      <c r="C684" s="4" t="n">
        <v>2002</v>
      </c>
      <c r="D684" s="4" t="s">
        <v>718</v>
      </c>
      <c r="E684" s="25" t="str">
        <f aca="false">IF(J684=1,"✓","")</f>
        <v/>
      </c>
      <c r="F684" s="4" t="n">
        <v>4</v>
      </c>
      <c r="G684" s="4" t="n">
        <v>2</v>
      </c>
      <c r="H684" s="4" t="s">
        <v>213</v>
      </c>
      <c r="I684" s="4" t="s">
        <v>52</v>
      </c>
      <c r="J684" s="4" t="n">
        <f aca="false">INDEX('Master List'!$G$2:$G$2594,K684)</f>
        <v>0</v>
      </c>
      <c r="K684" s="4" t="n">
        <v>785</v>
      </c>
    </row>
    <row r="685" customFormat="false" ht="15" hidden="false" customHeight="false" outlineLevel="0" collapsed="false">
      <c r="A685" s="4" t="n">
        <v>684</v>
      </c>
      <c r="B685" s="4" t="s">
        <v>1163</v>
      </c>
      <c r="C685" s="4" t="n">
        <v>2002</v>
      </c>
      <c r="D685" s="4" t="s">
        <v>508</v>
      </c>
      <c r="E685" s="25" t="str">
        <f aca="false">IF(J685=1,"✓","")</f>
        <v>✓</v>
      </c>
      <c r="F685" s="4" t="n">
        <v>4</v>
      </c>
      <c r="G685" s="4" t="n">
        <v>2</v>
      </c>
      <c r="H685" s="4" t="s">
        <v>213</v>
      </c>
      <c r="I685" s="4" t="s">
        <v>53</v>
      </c>
      <c r="J685" s="4" t="n">
        <f aca="false">INDEX('Master List'!$G$2:$G$2594,K685)</f>
        <v>1</v>
      </c>
      <c r="K685" s="4" t="n">
        <v>42</v>
      </c>
    </row>
    <row r="686" customFormat="false" ht="15" hidden="false" customHeight="false" outlineLevel="0" collapsed="false">
      <c r="A686" s="4" t="n">
        <v>685</v>
      </c>
      <c r="B686" s="4" t="s">
        <v>1164</v>
      </c>
      <c r="C686" s="4" t="n">
        <v>2003</v>
      </c>
      <c r="D686" s="4" t="s">
        <v>1165</v>
      </c>
      <c r="E686" s="25" t="str">
        <f aca="false">IF(J686=1,"✓","")</f>
        <v/>
      </c>
      <c r="F686" s="4" t="n">
        <v>4</v>
      </c>
      <c r="G686" s="4" t="n">
        <v>2</v>
      </c>
      <c r="H686" s="4" t="s">
        <v>213</v>
      </c>
      <c r="I686" s="4" t="s">
        <v>51</v>
      </c>
      <c r="J686" s="4" t="n">
        <f aca="false">INDEX('Master List'!$G$2:$G$2594,K686)</f>
        <v>0</v>
      </c>
      <c r="K686" s="4" t="n">
        <v>933</v>
      </c>
    </row>
    <row r="687" customFormat="false" ht="15" hidden="false" customHeight="false" outlineLevel="0" collapsed="false">
      <c r="A687" s="4" t="n">
        <v>686</v>
      </c>
      <c r="B687" s="4" t="s">
        <v>1166</v>
      </c>
      <c r="C687" s="4" t="n">
        <v>2003</v>
      </c>
      <c r="D687" s="4" t="s">
        <v>320</v>
      </c>
      <c r="E687" s="25" t="str">
        <f aca="false">IF(J687=1,"✓","")</f>
        <v>✓</v>
      </c>
      <c r="F687" s="4" t="n">
        <v>4</v>
      </c>
      <c r="G687" s="4" t="n">
        <v>2</v>
      </c>
      <c r="H687" s="4" t="s">
        <v>213</v>
      </c>
      <c r="I687" s="4" t="s">
        <v>53</v>
      </c>
      <c r="J687" s="4" t="n">
        <f aca="false">INDEX('Master List'!$G$2:$G$2594,K687)</f>
        <v>1</v>
      </c>
      <c r="K687" s="4" t="n">
        <v>1991</v>
      </c>
    </row>
    <row r="688" customFormat="false" ht="15" hidden="false" customHeight="false" outlineLevel="0" collapsed="false">
      <c r="A688" s="4" t="n">
        <v>687</v>
      </c>
      <c r="B688" s="4" t="s">
        <v>1167</v>
      </c>
      <c r="C688" s="4" t="n">
        <v>2005</v>
      </c>
      <c r="D688" s="4" t="s">
        <v>685</v>
      </c>
      <c r="E688" s="25" t="str">
        <f aca="false">IF(J688=1,"✓","")</f>
        <v/>
      </c>
      <c r="F688" s="4" t="n">
        <v>4</v>
      </c>
      <c r="G688" s="4" t="n">
        <v>2</v>
      </c>
      <c r="H688" s="4" t="s">
        <v>213</v>
      </c>
      <c r="I688" s="4" t="s">
        <v>51</v>
      </c>
      <c r="J688" s="4" t="n">
        <f aca="false">INDEX('Master List'!$G$2:$G$2594,K688)</f>
        <v>0</v>
      </c>
      <c r="K688" s="4" t="n">
        <v>1283</v>
      </c>
    </row>
    <row r="689" customFormat="false" ht="15" hidden="false" customHeight="false" outlineLevel="0" collapsed="false">
      <c r="A689" s="4" t="n">
        <v>688</v>
      </c>
      <c r="B689" s="4" t="s">
        <v>1168</v>
      </c>
      <c r="C689" s="4" t="n">
        <v>2005</v>
      </c>
      <c r="D689" s="4" t="s">
        <v>1169</v>
      </c>
      <c r="E689" s="25" t="str">
        <f aca="false">IF(J689=1,"✓","")</f>
        <v>✓</v>
      </c>
      <c r="F689" s="4" t="n">
        <v>4</v>
      </c>
      <c r="G689" s="4" t="n">
        <v>2</v>
      </c>
      <c r="H689" s="4" t="s">
        <v>213</v>
      </c>
      <c r="I689" s="4" t="s">
        <v>52</v>
      </c>
      <c r="J689" s="4" t="n">
        <f aca="false">INDEX('Master List'!$G$2:$G$2594,K689)</f>
        <v>1</v>
      </c>
      <c r="K689" s="4" t="n">
        <v>355</v>
      </c>
    </row>
    <row r="690" customFormat="false" ht="15" hidden="false" customHeight="false" outlineLevel="0" collapsed="false">
      <c r="A690" s="4" t="n">
        <v>689</v>
      </c>
      <c r="B690" s="4" t="s">
        <v>1170</v>
      </c>
      <c r="C690" s="4" t="n">
        <v>2005</v>
      </c>
      <c r="D690" s="4" t="s">
        <v>183</v>
      </c>
      <c r="E690" s="25" t="str">
        <f aca="false">IF(J690=1,"✓","")</f>
        <v/>
      </c>
      <c r="F690" s="4" t="n">
        <v>4</v>
      </c>
      <c r="G690" s="4" t="n">
        <v>2</v>
      </c>
      <c r="H690" s="4" t="s">
        <v>213</v>
      </c>
      <c r="I690" s="4" t="s">
        <v>52</v>
      </c>
      <c r="J690" s="4" t="n">
        <f aca="false">INDEX('Master List'!$G$2:$G$2594,K690)</f>
        <v>0</v>
      </c>
      <c r="K690" s="4" t="n">
        <v>1558</v>
      </c>
    </row>
    <row r="691" customFormat="false" ht="15" hidden="false" customHeight="false" outlineLevel="0" collapsed="false">
      <c r="A691" s="4" t="n">
        <v>690</v>
      </c>
      <c r="B691" s="4" t="s">
        <v>1171</v>
      </c>
      <c r="C691" s="4" t="n">
        <v>2006</v>
      </c>
      <c r="D691" s="4" t="s">
        <v>635</v>
      </c>
      <c r="E691" s="25" t="str">
        <f aca="false">IF(J691=1,"✓","")</f>
        <v/>
      </c>
      <c r="F691" s="4" t="n">
        <v>4</v>
      </c>
      <c r="G691" s="4" t="n">
        <v>2</v>
      </c>
      <c r="H691" s="4" t="s">
        <v>213</v>
      </c>
      <c r="I691" s="4" t="s">
        <v>51</v>
      </c>
      <c r="J691" s="4" t="n">
        <f aca="false">INDEX('Master List'!$G$2:$G$2594,K691)</f>
        <v>0</v>
      </c>
      <c r="K691" s="4" t="n">
        <v>1717</v>
      </c>
    </row>
    <row r="692" customFormat="false" ht="15" hidden="false" customHeight="false" outlineLevel="0" collapsed="false">
      <c r="A692" s="4" t="n">
        <v>691</v>
      </c>
      <c r="B692" s="4" t="s">
        <v>1172</v>
      </c>
      <c r="C692" s="4" t="n">
        <v>2006</v>
      </c>
      <c r="D692" s="4" t="s">
        <v>444</v>
      </c>
      <c r="E692" s="25" t="str">
        <f aca="false">IF(J692=1,"✓","")</f>
        <v/>
      </c>
      <c r="F692" s="4" t="n">
        <v>4</v>
      </c>
      <c r="G692" s="4" t="n">
        <v>2</v>
      </c>
      <c r="H692" s="4" t="s">
        <v>213</v>
      </c>
      <c r="I692" s="4" t="s">
        <v>51</v>
      </c>
      <c r="J692" s="4" t="n">
        <f aca="false">INDEX('Master List'!$G$2:$G$2594,K692)</f>
        <v>0</v>
      </c>
      <c r="K692" s="4" t="n">
        <v>2224</v>
      </c>
    </row>
    <row r="693" customFormat="false" ht="15" hidden="false" customHeight="false" outlineLevel="0" collapsed="false">
      <c r="A693" s="4" t="n">
        <v>692</v>
      </c>
      <c r="B693" s="4" t="s">
        <v>1173</v>
      </c>
      <c r="C693" s="4" t="n">
        <v>2006</v>
      </c>
      <c r="D693" s="4" t="s">
        <v>148</v>
      </c>
      <c r="E693" s="25" t="str">
        <f aca="false">IF(J693=1,"✓","")</f>
        <v/>
      </c>
      <c r="F693" s="4" t="n">
        <v>4</v>
      </c>
      <c r="G693" s="4" t="n">
        <v>2</v>
      </c>
      <c r="H693" s="4" t="s">
        <v>213</v>
      </c>
      <c r="I693" s="4" t="s">
        <v>52</v>
      </c>
      <c r="J693" s="4" t="n">
        <f aca="false">INDEX('Master List'!$G$2:$G$2594,K693)</f>
        <v>0</v>
      </c>
      <c r="K693" s="4" t="n">
        <v>1150</v>
      </c>
    </row>
    <row r="694" customFormat="false" ht="15" hidden="false" customHeight="false" outlineLevel="0" collapsed="false">
      <c r="A694" s="4" t="n">
        <v>693</v>
      </c>
      <c r="B694" s="4" t="s">
        <v>1174</v>
      </c>
      <c r="C694" s="4" t="n">
        <v>2006</v>
      </c>
      <c r="D694" s="4" t="s">
        <v>320</v>
      </c>
      <c r="E694" s="25" t="str">
        <f aca="false">IF(J694=1,"✓","")</f>
        <v/>
      </c>
      <c r="F694" s="4" t="n">
        <v>4</v>
      </c>
      <c r="G694" s="4" t="n">
        <v>2</v>
      </c>
      <c r="H694" s="4" t="s">
        <v>213</v>
      </c>
      <c r="I694" s="4" t="s">
        <v>52</v>
      </c>
      <c r="J694" s="4" t="n">
        <f aca="false">INDEX('Master List'!$G$2:$G$2594,K694)</f>
        <v>0</v>
      </c>
      <c r="K694" s="4" t="n">
        <v>1979</v>
      </c>
    </row>
    <row r="695" customFormat="false" ht="15" hidden="false" customHeight="false" outlineLevel="0" collapsed="false">
      <c r="A695" s="4" t="n">
        <v>694</v>
      </c>
      <c r="B695" s="4" t="s">
        <v>1175</v>
      </c>
      <c r="C695" s="4" t="n">
        <v>2006</v>
      </c>
      <c r="D695" s="4" t="s">
        <v>164</v>
      </c>
      <c r="E695" s="25" t="str">
        <f aca="false">IF(J695=1,"✓","")</f>
        <v>✓</v>
      </c>
      <c r="F695" s="4" t="n">
        <v>4</v>
      </c>
      <c r="G695" s="4" t="n">
        <v>2</v>
      </c>
      <c r="H695" s="4" t="s">
        <v>213</v>
      </c>
      <c r="I695" s="4" t="s">
        <v>53</v>
      </c>
      <c r="J695" s="4" t="n">
        <f aca="false">INDEX('Master List'!$G$2:$G$2594,K695)</f>
        <v>1</v>
      </c>
      <c r="K695" s="4" t="n">
        <v>611</v>
      </c>
    </row>
    <row r="696" customFormat="false" ht="15" hidden="false" customHeight="false" outlineLevel="0" collapsed="false">
      <c r="A696" s="4" t="n">
        <v>695</v>
      </c>
      <c r="B696" s="4" t="s">
        <v>1176</v>
      </c>
      <c r="C696" s="4" t="n">
        <v>2006</v>
      </c>
      <c r="D696" s="4" t="s">
        <v>342</v>
      </c>
      <c r="E696" s="25" t="str">
        <f aca="false">IF(J696=1,"✓","")</f>
        <v>✓</v>
      </c>
      <c r="F696" s="4" t="n">
        <v>4</v>
      </c>
      <c r="G696" s="4" t="n">
        <v>2</v>
      </c>
      <c r="H696" s="4" t="s">
        <v>213</v>
      </c>
      <c r="I696" s="4" t="s">
        <v>53</v>
      </c>
      <c r="J696" s="4" t="n">
        <f aca="false">INDEX('Master List'!$G$2:$G$2594,K696)</f>
        <v>1</v>
      </c>
      <c r="K696" s="4" t="n">
        <v>1809</v>
      </c>
    </row>
    <row r="697" customFormat="false" ht="15" hidden="false" customHeight="false" outlineLevel="0" collapsed="false">
      <c r="A697" s="4" t="n">
        <v>696</v>
      </c>
      <c r="B697" s="4" t="s">
        <v>1177</v>
      </c>
      <c r="C697" s="4" t="n">
        <v>2006</v>
      </c>
      <c r="D697" s="4" t="s">
        <v>296</v>
      </c>
      <c r="E697" s="25" t="str">
        <f aca="false">IF(J697=1,"✓","")</f>
        <v>✓</v>
      </c>
      <c r="F697" s="4" t="n">
        <v>4</v>
      </c>
      <c r="G697" s="4" t="n">
        <v>2</v>
      </c>
      <c r="H697" s="4" t="s">
        <v>144</v>
      </c>
      <c r="I697" s="4" t="s">
        <v>53</v>
      </c>
      <c r="J697" s="4" t="n">
        <f aca="false">INDEX('Master List'!$G$2:$G$2594,K697)</f>
        <v>1</v>
      </c>
      <c r="K697" s="4" t="n">
        <v>1488</v>
      </c>
    </row>
    <row r="698" customFormat="false" ht="15" hidden="false" customHeight="false" outlineLevel="0" collapsed="false">
      <c r="A698" s="4" t="n">
        <v>697</v>
      </c>
      <c r="B698" s="4" t="s">
        <v>1178</v>
      </c>
      <c r="C698" s="4" t="n">
        <v>2007</v>
      </c>
      <c r="D698" s="4" t="s">
        <v>1179</v>
      </c>
      <c r="E698" s="25" t="str">
        <f aca="false">IF(J698=1,"✓","")</f>
        <v>✓</v>
      </c>
      <c r="F698" s="4" t="n">
        <v>4</v>
      </c>
      <c r="G698" s="4" t="n">
        <v>2</v>
      </c>
      <c r="H698" s="4" t="s">
        <v>213</v>
      </c>
      <c r="I698" s="4" t="s">
        <v>52</v>
      </c>
      <c r="J698" s="4" t="n">
        <f aca="false">INDEX('Master List'!$G$2:$G$2594,K698)</f>
        <v>1</v>
      </c>
      <c r="K698" s="4" t="n">
        <v>1861</v>
      </c>
    </row>
    <row r="699" customFormat="false" ht="15" hidden="false" customHeight="false" outlineLevel="0" collapsed="false">
      <c r="A699" s="4" t="n">
        <v>698</v>
      </c>
      <c r="B699" s="4" t="s">
        <v>1180</v>
      </c>
      <c r="C699" s="4" t="n">
        <v>2008</v>
      </c>
      <c r="D699" s="4" t="s">
        <v>505</v>
      </c>
      <c r="E699" s="25" t="str">
        <f aca="false">IF(J699=1,"✓","")</f>
        <v/>
      </c>
      <c r="F699" s="4" t="n">
        <v>4</v>
      </c>
      <c r="G699" s="4" t="n">
        <v>2</v>
      </c>
      <c r="H699" s="4" t="s">
        <v>213</v>
      </c>
      <c r="I699" s="4" t="s">
        <v>51</v>
      </c>
      <c r="J699" s="4" t="n">
        <f aca="false">INDEX('Master List'!$G$2:$G$2594,K699)</f>
        <v>0</v>
      </c>
      <c r="K699" s="4" t="n">
        <v>2327</v>
      </c>
    </row>
    <row r="700" customFormat="false" ht="15" hidden="false" customHeight="false" outlineLevel="0" collapsed="false">
      <c r="A700" s="4" t="n">
        <v>699</v>
      </c>
      <c r="B700" s="4" t="s">
        <v>1181</v>
      </c>
      <c r="C700" s="4" t="n">
        <v>2008</v>
      </c>
      <c r="D700" s="4" t="s">
        <v>1182</v>
      </c>
      <c r="E700" s="25" t="str">
        <f aca="false">IF(J700=1,"✓","")</f>
        <v/>
      </c>
      <c r="F700" s="4" t="n">
        <v>4</v>
      </c>
      <c r="G700" s="4" t="n">
        <v>2</v>
      </c>
      <c r="H700" s="4" t="s">
        <v>213</v>
      </c>
      <c r="I700" s="4" t="s">
        <v>51</v>
      </c>
      <c r="J700" s="4" t="n">
        <f aca="false">INDEX('Master List'!$G$2:$G$2594,K700)</f>
        <v>0</v>
      </c>
      <c r="K700" s="4" t="n">
        <v>472</v>
      </c>
    </row>
    <row r="701" customFormat="false" ht="15" hidden="false" customHeight="false" outlineLevel="0" collapsed="false">
      <c r="A701" s="4" t="n">
        <v>700</v>
      </c>
      <c r="B701" s="4" t="s">
        <v>1183</v>
      </c>
      <c r="C701" s="4" t="n">
        <v>2008</v>
      </c>
      <c r="D701" s="4" t="s">
        <v>1184</v>
      </c>
      <c r="E701" s="25" t="str">
        <f aca="false">IF(J701=1,"✓","")</f>
        <v/>
      </c>
      <c r="F701" s="4" t="n">
        <v>4</v>
      </c>
      <c r="G701" s="4" t="n">
        <v>2</v>
      </c>
      <c r="H701" s="4" t="s">
        <v>213</v>
      </c>
      <c r="I701" s="4" t="s">
        <v>52</v>
      </c>
      <c r="J701" s="4" t="n">
        <f aca="false">INDEX('Master List'!$G$2:$G$2594,K701)</f>
        <v>0</v>
      </c>
      <c r="K701" s="4" t="n">
        <v>486</v>
      </c>
    </row>
    <row r="702" customFormat="false" ht="15" hidden="false" customHeight="false" outlineLevel="0" collapsed="false">
      <c r="A702" s="4" t="n">
        <v>701</v>
      </c>
      <c r="B702" s="4" t="s">
        <v>1185</v>
      </c>
      <c r="C702" s="4" t="n">
        <v>2008</v>
      </c>
      <c r="D702" s="4" t="s">
        <v>342</v>
      </c>
      <c r="E702" s="25" t="str">
        <f aca="false">IF(J702=1,"✓","")</f>
        <v/>
      </c>
      <c r="F702" s="4" t="n">
        <v>4</v>
      </c>
      <c r="G702" s="4" t="n">
        <v>2</v>
      </c>
      <c r="H702" s="4" t="s">
        <v>213</v>
      </c>
      <c r="I702" s="4" t="s">
        <v>52</v>
      </c>
      <c r="J702" s="4" t="n">
        <f aca="false">INDEX('Master List'!$G$2:$G$2594,K702)</f>
        <v>0</v>
      </c>
      <c r="K702" s="4" t="n">
        <v>563</v>
      </c>
    </row>
    <row r="703" customFormat="false" ht="15" hidden="false" customHeight="false" outlineLevel="0" collapsed="false">
      <c r="A703" s="4" t="n">
        <v>702</v>
      </c>
      <c r="B703" s="4" t="s">
        <v>1186</v>
      </c>
      <c r="C703" s="4" t="n">
        <v>2008</v>
      </c>
      <c r="D703" s="4" t="s">
        <v>1187</v>
      </c>
      <c r="E703" s="25" t="str">
        <f aca="false">IF(J703=1,"✓","")</f>
        <v>✓</v>
      </c>
      <c r="F703" s="4" t="n">
        <v>4</v>
      </c>
      <c r="G703" s="4" t="n">
        <v>2</v>
      </c>
      <c r="H703" s="4" t="s">
        <v>213</v>
      </c>
      <c r="I703" s="4" t="s">
        <v>53</v>
      </c>
      <c r="J703" s="4" t="n">
        <f aca="false">INDEX('Master List'!$G$2:$G$2594,K703)</f>
        <v>1</v>
      </c>
      <c r="K703" s="4" t="n">
        <v>2225</v>
      </c>
    </row>
    <row r="704" customFormat="false" ht="15" hidden="false" customHeight="false" outlineLevel="0" collapsed="false">
      <c r="A704" s="4" t="n">
        <v>703</v>
      </c>
      <c r="B704" s="4" t="s">
        <v>1188</v>
      </c>
      <c r="C704" s="4" t="n">
        <v>2009</v>
      </c>
      <c r="D704" s="4" t="s">
        <v>1189</v>
      </c>
      <c r="E704" s="25" t="str">
        <f aca="false">IF(J704=1,"✓","")</f>
        <v/>
      </c>
      <c r="F704" s="4" t="n">
        <v>4</v>
      </c>
      <c r="G704" s="4" t="n">
        <v>2</v>
      </c>
      <c r="H704" s="4" t="s">
        <v>213</v>
      </c>
      <c r="I704" s="4" t="s">
        <v>51</v>
      </c>
      <c r="J704" s="4" t="n">
        <f aca="false">INDEX('Master List'!$G$2:$G$2594,K704)</f>
        <v>0</v>
      </c>
      <c r="K704" s="4" t="n">
        <v>1823</v>
      </c>
    </row>
    <row r="705" customFormat="false" ht="15" hidden="false" customHeight="false" outlineLevel="0" collapsed="false">
      <c r="A705" s="4" t="n">
        <v>704</v>
      </c>
      <c r="B705" s="4" t="s">
        <v>1190</v>
      </c>
      <c r="C705" s="4" t="n">
        <v>2009</v>
      </c>
      <c r="D705" s="4" t="s">
        <v>1191</v>
      </c>
      <c r="E705" s="25" t="str">
        <f aca="false">IF(J705=1,"✓","")</f>
        <v/>
      </c>
      <c r="F705" s="4" t="n">
        <v>4</v>
      </c>
      <c r="G705" s="4" t="n">
        <v>2</v>
      </c>
      <c r="H705" s="4" t="s">
        <v>213</v>
      </c>
      <c r="I705" s="4" t="s">
        <v>51</v>
      </c>
      <c r="J705" s="4" t="n">
        <f aca="false">INDEX('Master List'!$G$2:$G$2594,K705)</f>
        <v>0</v>
      </c>
      <c r="K705" s="4" t="n">
        <v>811</v>
      </c>
    </row>
    <row r="706" customFormat="false" ht="15" hidden="false" customHeight="false" outlineLevel="0" collapsed="false">
      <c r="A706" s="4" t="n">
        <v>705</v>
      </c>
      <c r="B706" s="4" t="s">
        <v>1192</v>
      </c>
      <c r="C706" s="4" t="n">
        <v>2009</v>
      </c>
      <c r="D706" s="4" t="s">
        <v>276</v>
      </c>
      <c r="E706" s="25" t="str">
        <f aca="false">IF(J706=1,"✓","")</f>
        <v/>
      </c>
      <c r="F706" s="4" t="n">
        <v>4</v>
      </c>
      <c r="G706" s="4" t="n">
        <v>2</v>
      </c>
      <c r="H706" s="4" t="s">
        <v>213</v>
      </c>
      <c r="I706" s="4" t="s">
        <v>51</v>
      </c>
      <c r="J706" s="4" t="n">
        <f aca="false">INDEX('Master List'!$G$2:$G$2594,K706)</f>
        <v>0</v>
      </c>
      <c r="K706" s="4" t="n">
        <v>1538</v>
      </c>
    </row>
    <row r="707" customFormat="false" ht="15" hidden="false" customHeight="false" outlineLevel="0" collapsed="false">
      <c r="A707" s="4" t="n">
        <v>706</v>
      </c>
      <c r="B707" s="4" t="s">
        <v>1193</v>
      </c>
      <c r="C707" s="4" t="n">
        <v>2009</v>
      </c>
      <c r="D707" s="4" t="s">
        <v>1194</v>
      </c>
      <c r="E707" s="25" t="str">
        <f aca="false">IF(J707=1,"✓","")</f>
        <v>✓</v>
      </c>
      <c r="F707" s="4" t="n">
        <v>4</v>
      </c>
      <c r="G707" s="4" t="n">
        <v>2</v>
      </c>
      <c r="H707" s="4" t="s">
        <v>213</v>
      </c>
      <c r="I707" s="4" t="s">
        <v>52</v>
      </c>
      <c r="J707" s="4" t="n">
        <f aca="false">INDEX('Master List'!$G$2:$G$2594,K707)</f>
        <v>1</v>
      </c>
      <c r="K707" s="4" t="n">
        <v>1530</v>
      </c>
    </row>
    <row r="708" customFormat="false" ht="15" hidden="false" customHeight="false" outlineLevel="0" collapsed="false">
      <c r="A708" s="4" t="n">
        <v>707</v>
      </c>
      <c r="B708" s="4" t="s">
        <v>1195</v>
      </c>
      <c r="C708" s="4" t="n">
        <v>2009</v>
      </c>
      <c r="D708" s="4" t="s">
        <v>323</v>
      </c>
      <c r="E708" s="25" t="str">
        <f aca="false">IF(J708=1,"✓","")</f>
        <v/>
      </c>
      <c r="F708" s="4" t="n">
        <v>4</v>
      </c>
      <c r="G708" s="4" t="n">
        <v>2</v>
      </c>
      <c r="H708" s="4" t="s">
        <v>213</v>
      </c>
      <c r="I708" s="4" t="s">
        <v>53</v>
      </c>
      <c r="J708" s="4" t="n">
        <f aca="false">INDEX('Master List'!$G$2:$G$2594,K708)</f>
        <v>0</v>
      </c>
      <c r="K708" s="4" t="n">
        <v>2012</v>
      </c>
    </row>
    <row r="709" customFormat="false" ht="15" hidden="false" customHeight="false" outlineLevel="0" collapsed="false">
      <c r="A709" s="4" t="n">
        <v>708</v>
      </c>
      <c r="B709" s="4" t="s">
        <v>1196</v>
      </c>
      <c r="C709" s="4" t="n">
        <v>2010</v>
      </c>
      <c r="D709" s="4" t="s">
        <v>327</v>
      </c>
      <c r="E709" s="25" t="str">
        <f aca="false">IF(J709=1,"✓","")</f>
        <v/>
      </c>
      <c r="F709" s="4" t="n">
        <v>4</v>
      </c>
      <c r="G709" s="4" t="n">
        <v>2</v>
      </c>
      <c r="H709" s="4" t="s">
        <v>213</v>
      </c>
      <c r="I709" s="4" t="s">
        <v>51</v>
      </c>
      <c r="J709" s="4" t="n">
        <f aca="false">INDEX('Master List'!$G$2:$G$2594,K709)</f>
        <v>0</v>
      </c>
      <c r="K709" s="4" t="n">
        <v>1132</v>
      </c>
    </row>
    <row r="710" customFormat="false" ht="15" hidden="false" customHeight="false" outlineLevel="0" collapsed="false">
      <c r="A710" s="4" t="n">
        <v>709</v>
      </c>
      <c r="B710" s="4" t="s">
        <v>1197</v>
      </c>
      <c r="C710" s="4" t="n">
        <v>2010</v>
      </c>
      <c r="D710" s="4" t="s">
        <v>342</v>
      </c>
      <c r="E710" s="25" t="str">
        <f aca="false">IF(J710=1,"✓","")</f>
        <v>✓</v>
      </c>
      <c r="F710" s="4" t="n">
        <v>4</v>
      </c>
      <c r="G710" s="4" t="n">
        <v>2</v>
      </c>
      <c r="H710" s="4" t="s">
        <v>213</v>
      </c>
      <c r="I710" s="4" t="s">
        <v>53</v>
      </c>
      <c r="J710" s="4" t="n">
        <f aca="false">INDEX('Master List'!$G$2:$G$2594,K710)</f>
        <v>1</v>
      </c>
      <c r="K710" s="4" t="n">
        <v>1133</v>
      </c>
    </row>
    <row r="711" customFormat="false" ht="15" hidden="false" customHeight="false" outlineLevel="0" collapsed="false">
      <c r="A711" s="4" t="n">
        <v>710</v>
      </c>
      <c r="B711" s="4" t="s">
        <v>1198</v>
      </c>
      <c r="C711" s="4" t="n">
        <v>2011</v>
      </c>
      <c r="D711" s="4" t="s">
        <v>361</v>
      </c>
      <c r="E711" s="25" t="str">
        <f aca="false">IF(J711=1,"✓","")</f>
        <v>✓</v>
      </c>
      <c r="F711" s="4" t="n">
        <v>4</v>
      </c>
      <c r="G711" s="4" t="n">
        <v>2</v>
      </c>
      <c r="H711" s="4" t="s">
        <v>213</v>
      </c>
      <c r="I711" s="4" t="s">
        <v>50</v>
      </c>
      <c r="J711" s="4" t="n">
        <f aca="false">INDEX('Master List'!$G$2:$G$2594,K711)</f>
        <v>1</v>
      </c>
      <c r="K711" s="4" t="n">
        <v>2363</v>
      </c>
    </row>
    <row r="712" customFormat="false" ht="15" hidden="false" customHeight="false" outlineLevel="0" collapsed="false">
      <c r="A712" s="4" t="n">
        <v>711</v>
      </c>
      <c r="B712" s="4" t="s">
        <v>1199</v>
      </c>
      <c r="C712" s="4" t="n">
        <v>2011</v>
      </c>
      <c r="D712" s="4" t="s">
        <v>618</v>
      </c>
      <c r="E712" s="25" t="str">
        <f aca="false">IF(J712=1,"✓","")</f>
        <v/>
      </c>
      <c r="F712" s="4" t="n">
        <v>4</v>
      </c>
      <c r="G712" s="4" t="n">
        <v>2</v>
      </c>
      <c r="H712" s="4" t="s">
        <v>213</v>
      </c>
      <c r="I712" s="4" t="s">
        <v>51</v>
      </c>
      <c r="J712" s="4" t="n">
        <f aca="false">INDEX('Master List'!$G$2:$G$2594,K712)</f>
        <v>0</v>
      </c>
      <c r="K712" s="4" t="n">
        <v>2382</v>
      </c>
    </row>
    <row r="713" customFormat="false" ht="15" hidden="false" customHeight="false" outlineLevel="0" collapsed="false">
      <c r="A713" s="4" t="n">
        <v>712</v>
      </c>
      <c r="B713" s="4" t="s">
        <v>1200</v>
      </c>
      <c r="C713" s="4" t="n">
        <v>2011</v>
      </c>
      <c r="D713" s="4" t="s">
        <v>490</v>
      </c>
      <c r="E713" s="25" t="str">
        <f aca="false">IF(J713=1,"✓","")</f>
        <v>✓</v>
      </c>
      <c r="F713" s="4" t="n">
        <v>4</v>
      </c>
      <c r="G713" s="4" t="n">
        <v>2</v>
      </c>
      <c r="H713" s="4" t="s">
        <v>213</v>
      </c>
      <c r="I713" s="4" t="s">
        <v>53</v>
      </c>
      <c r="J713" s="4" t="n">
        <f aca="false">INDEX('Master List'!$G$2:$G$2594,K713)</f>
        <v>1</v>
      </c>
      <c r="K713" s="4" t="n">
        <v>517</v>
      </c>
    </row>
    <row r="714" customFormat="false" ht="15" hidden="false" customHeight="false" outlineLevel="0" collapsed="false">
      <c r="A714" s="4" t="n">
        <v>713</v>
      </c>
      <c r="B714" s="4" t="s">
        <v>1201</v>
      </c>
      <c r="C714" s="4" t="n">
        <v>2012</v>
      </c>
      <c r="D714" s="4" t="s">
        <v>1202</v>
      </c>
      <c r="E714" s="25" t="str">
        <f aca="false">IF(J714=1,"✓","")</f>
        <v/>
      </c>
      <c r="F714" s="4" t="n">
        <v>4</v>
      </c>
      <c r="G714" s="4" t="n">
        <v>2</v>
      </c>
      <c r="H714" s="4" t="s">
        <v>213</v>
      </c>
      <c r="I714" s="4" t="s">
        <v>50</v>
      </c>
      <c r="J714" s="4" t="n">
        <f aca="false">INDEX('Master List'!$G$2:$G$2594,K714)</f>
        <v>0</v>
      </c>
      <c r="K714" s="4" t="n">
        <v>1054</v>
      </c>
    </row>
    <row r="715" customFormat="false" ht="15" hidden="false" customHeight="false" outlineLevel="0" collapsed="false">
      <c r="A715" s="4" t="n">
        <v>714</v>
      </c>
      <c r="B715" s="4" t="s">
        <v>1203</v>
      </c>
      <c r="C715" s="4" t="n">
        <v>2012</v>
      </c>
      <c r="D715" s="4" t="s">
        <v>516</v>
      </c>
      <c r="E715" s="25" t="str">
        <f aca="false">IF(J715=1,"✓","")</f>
        <v/>
      </c>
      <c r="F715" s="4" t="n">
        <v>4</v>
      </c>
      <c r="G715" s="4" t="n">
        <v>2</v>
      </c>
      <c r="H715" s="4" t="s">
        <v>213</v>
      </c>
      <c r="I715" s="4" t="s">
        <v>53</v>
      </c>
      <c r="J715" s="4" t="n">
        <f aca="false">INDEX('Master List'!$G$2:$G$2594,K715)</f>
        <v>0</v>
      </c>
      <c r="K715" s="4" t="n">
        <v>96</v>
      </c>
    </row>
    <row r="716" customFormat="false" ht="15" hidden="false" customHeight="false" outlineLevel="0" collapsed="false">
      <c r="A716" s="4" t="n">
        <v>715</v>
      </c>
      <c r="B716" s="4" t="s">
        <v>1204</v>
      </c>
      <c r="C716" s="4" t="n">
        <v>2013</v>
      </c>
      <c r="D716" s="4" t="s">
        <v>1205</v>
      </c>
      <c r="E716" s="25" t="str">
        <f aca="false">IF(J716=1,"✓","")</f>
        <v/>
      </c>
      <c r="F716" s="4" t="n">
        <v>4</v>
      </c>
      <c r="G716" s="4" t="n">
        <v>2</v>
      </c>
      <c r="H716" s="4" t="s">
        <v>213</v>
      </c>
      <c r="I716" s="4" t="s">
        <v>51</v>
      </c>
      <c r="J716" s="4" t="n">
        <f aca="false">INDEX('Master List'!$G$2:$G$2594,K716)</f>
        <v>0</v>
      </c>
      <c r="K716" s="4" t="n">
        <v>1338</v>
      </c>
    </row>
    <row r="717" customFormat="false" ht="15" hidden="false" customHeight="false" outlineLevel="0" collapsed="false">
      <c r="A717" s="4" t="n">
        <v>716</v>
      </c>
      <c r="B717" s="4" t="s">
        <v>1206</v>
      </c>
      <c r="C717" s="4" t="n">
        <v>2013</v>
      </c>
      <c r="D717" s="4" t="s">
        <v>859</v>
      </c>
      <c r="E717" s="25" t="str">
        <f aca="false">IF(J717=1,"✓","")</f>
        <v/>
      </c>
      <c r="F717" s="4" t="n">
        <v>4</v>
      </c>
      <c r="G717" s="4" t="n">
        <v>2</v>
      </c>
      <c r="H717" s="4" t="s">
        <v>213</v>
      </c>
      <c r="I717" s="4" t="s">
        <v>51</v>
      </c>
      <c r="J717" s="4" t="n">
        <f aca="false">INDEX('Master List'!$G$2:$G$2594,K717)</f>
        <v>0</v>
      </c>
      <c r="K717" s="4" t="n">
        <v>2345</v>
      </c>
    </row>
    <row r="718" customFormat="false" ht="15" hidden="false" customHeight="false" outlineLevel="0" collapsed="false">
      <c r="A718" s="4" t="n">
        <v>717</v>
      </c>
      <c r="B718" s="4" t="s">
        <v>1207</v>
      </c>
      <c r="C718" s="4" t="n">
        <v>2013</v>
      </c>
      <c r="D718" s="4" t="s">
        <v>400</v>
      </c>
      <c r="E718" s="25" t="str">
        <f aca="false">IF(J718=1,"✓","")</f>
        <v/>
      </c>
      <c r="F718" s="4" t="n">
        <v>4</v>
      </c>
      <c r="G718" s="4" t="n">
        <v>2</v>
      </c>
      <c r="H718" s="4" t="s">
        <v>213</v>
      </c>
      <c r="I718" s="4" t="s">
        <v>52</v>
      </c>
      <c r="J718" s="4" t="n">
        <f aca="false">INDEX('Master List'!$G$2:$G$2594,K718)</f>
        <v>0</v>
      </c>
      <c r="K718" s="4" t="n">
        <v>2402</v>
      </c>
    </row>
    <row r="719" customFormat="false" ht="15" hidden="false" customHeight="false" outlineLevel="0" collapsed="false">
      <c r="A719" s="4" t="n">
        <v>718</v>
      </c>
      <c r="B719" s="4" t="s">
        <v>1208</v>
      </c>
      <c r="C719" s="4" t="n">
        <v>2013</v>
      </c>
      <c r="D719" s="4" t="s">
        <v>276</v>
      </c>
      <c r="E719" s="25" t="str">
        <f aca="false">IF(J719=1,"✓","")</f>
        <v>✓</v>
      </c>
      <c r="F719" s="4" t="n">
        <v>4</v>
      </c>
      <c r="G719" s="4" t="n">
        <v>2</v>
      </c>
      <c r="H719" s="4" t="s">
        <v>213</v>
      </c>
      <c r="I719" s="4" t="s">
        <v>52</v>
      </c>
      <c r="J719" s="4" t="n">
        <f aca="false">INDEX('Master List'!$G$2:$G$2594,K719)</f>
        <v>1</v>
      </c>
      <c r="K719" s="4" t="n">
        <v>2101</v>
      </c>
    </row>
    <row r="720" customFormat="false" ht="15" hidden="false" customHeight="false" outlineLevel="0" collapsed="false">
      <c r="A720" s="4" t="n">
        <v>719</v>
      </c>
      <c r="B720" s="4" t="s">
        <v>1209</v>
      </c>
      <c r="C720" s="4" t="n">
        <v>2013</v>
      </c>
      <c r="D720" s="4" t="s">
        <v>327</v>
      </c>
      <c r="E720" s="25" t="str">
        <f aca="false">IF(J720=1,"✓","")</f>
        <v>✓</v>
      </c>
      <c r="F720" s="4" t="n">
        <v>4</v>
      </c>
      <c r="G720" s="4" t="n">
        <v>2</v>
      </c>
      <c r="H720" s="4" t="s">
        <v>213</v>
      </c>
      <c r="I720" s="4" t="s">
        <v>52</v>
      </c>
      <c r="J720" s="4" t="n">
        <f aca="false">INDEX('Master List'!$G$2:$G$2594,K720)</f>
        <v>1</v>
      </c>
      <c r="K720" s="4" t="n">
        <v>1819</v>
      </c>
    </row>
    <row r="721" customFormat="false" ht="15" hidden="false" customHeight="false" outlineLevel="0" collapsed="false">
      <c r="A721" s="4" t="n">
        <v>720</v>
      </c>
      <c r="B721" s="4" t="s">
        <v>1210</v>
      </c>
      <c r="C721" s="4" t="n">
        <v>2014</v>
      </c>
      <c r="D721" s="4" t="s">
        <v>1211</v>
      </c>
      <c r="E721" s="25" t="str">
        <f aca="false">IF(J721=1,"✓","")</f>
        <v/>
      </c>
      <c r="F721" s="4" t="n">
        <v>4</v>
      </c>
      <c r="G721" s="4" t="n">
        <v>2</v>
      </c>
      <c r="H721" s="4" t="s">
        <v>213</v>
      </c>
      <c r="I721" s="4" t="s">
        <v>51</v>
      </c>
      <c r="J721" s="4" t="n">
        <f aca="false">INDEX('Master List'!$G$2:$G$2594,K721)</f>
        <v>0</v>
      </c>
      <c r="K721" s="4" t="n">
        <v>2517</v>
      </c>
    </row>
    <row r="722" customFormat="false" ht="15" hidden="false" customHeight="false" outlineLevel="0" collapsed="false">
      <c r="A722" s="4" t="n">
        <v>721</v>
      </c>
      <c r="B722" s="4" t="s">
        <v>1212</v>
      </c>
      <c r="C722" s="4" t="n">
        <v>2014</v>
      </c>
      <c r="D722" s="4" t="s">
        <v>1213</v>
      </c>
      <c r="E722" s="25" t="str">
        <f aca="false">IF(J722=1,"✓","")</f>
        <v/>
      </c>
      <c r="F722" s="4" t="n">
        <v>4</v>
      </c>
      <c r="G722" s="4" t="n">
        <v>2</v>
      </c>
      <c r="H722" s="4" t="s">
        <v>213</v>
      </c>
      <c r="I722" s="4" t="s">
        <v>51</v>
      </c>
      <c r="J722" s="4" t="n">
        <f aca="false">INDEX('Master List'!$G$2:$G$2594,K722)</f>
        <v>0</v>
      </c>
      <c r="K722" s="4" t="n">
        <v>2531</v>
      </c>
    </row>
    <row r="723" customFormat="false" ht="15" hidden="false" customHeight="false" outlineLevel="0" collapsed="false">
      <c r="A723" s="4" t="n">
        <v>722</v>
      </c>
      <c r="B723" s="4" t="s">
        <v>1214</v>
      </c>
      <c r="C723" s="4" t="n">
        <v>2014</v>
      </c>
      <c r="D723" s="4" t="s">
        <v>1215</v>
      </c>
      <c r="E723" s="25" t="str">
        <f aca="false">IF(J723=1,"✓","")</f>
        <v>✓</v>
      </c>
      <c r="F723" s="4" t="n">
        <v>4</v>
      </c>
      <c r="G723" s="4" t="n">
        <v>2</v>
      </c>
      <c r="H723" s="4" t="s">
        <v>213</v>
      </c>
      <c r="I723" s="4" t="s">
        <v>52</v>
      </c>
      <c r="J723" s="4" t="n">
        <f aca="false">INDEX('Master List'!$G$2:$G$2594,K723)</f>
        <v>1</v>
      </c>
      <c r="K723" s="4" t="n">
        <v>1610</v>
      </c>
    </row>
    <row r="724" customFormat="false" ht="15" hidden="false" customHeight="false" outlineLevel="0" collapsed="false">
      <c r="A724" s="4" t="n">
        <v>723</v>
      </c>
      <c r="B724" s="4" t="s">
        <v>1216</v>
      </c>
      <c r="C724" s="4" t="n">
        <v>2014</v>
      </c>
      <c r="D724" s="4" t="s">
        <v>342</v>
      </c>
      <c r="E724" s="25" t="str">
        <f aca="false">IF(J724=1,"✓","")</f>
        <v/>
      </c>
      <c r="F724" s="4" t="n">
        <v>4</v>
      </c>
      <c r="G724" s="4" t="n">
        <v>2</v>
      </c>
      <c r="H724" s="4" t="s">
        <v>213</v>
      </c>
      <c r="I724" s="4" t="s">
        <v>52</v>
      </c>
      <c r="J724" s="4" t="n">
        <f aca="false">INDEX('Master List'!$G$2:$G$2594,K724)</f>
        <v>0</v>
      </c>
      <c r="K724" s="4" t="n">
        <v>1156</v>
      </c>
    </row>
    <row r="725" customFormat="false" ht="15" hidden="false" customHeight="false" outlineLevel="0" collapsed="false">
      <c r="A725" s="4" t="n">
        <v>724</v>
      </c>
      <c r="B725" s="4" t="s">
        <v>1217</v>
      </c>
      <c r="C725" s="4" t="n">
        <v>2014</v>
      </c>
      <c r="D725" s="4" t="s">
        <v>325</v>
      </c>
      <c r="E725" s="25" t="str">
        <f aca="false">IF(J725=1,"✓","")</f>
        <v>✓</v>
      </c>
      <c r="F725" s="4" t="n">
        <v>4</v>
      </c>
      <c r="G725" s="4" t="n">
        <v>2</v>
      </c>
      <c r="H725" s="4" t="s">
        <v>213</v>
      </c>
      <c r="I725" s="4" t="s">
        <v>52</v>
      </c>
      <c r="J725" s="4" t="n">
        <f aca="false">INDEX('Master List'!$G$2:$G$2594,K725)</f>
        <v>1</v>
      </c>
      <c r="K725" s="4" t="n">
        <v>922</v>
      </c>
    </row>
    <row r="726" customFormat="false" ht="15" hidden="false" customHeight="false" outlineLevel="0" collapsed="false">
      <c r="A726" s="4" t="n">
        <v>725</v>
      </c>
      <c r="B726" s="4" t="s">
        <v>1218</v>
      </c>
      <c r="C726" s="4" t="n">
        <v>2014</v>
      </c>
      <c r="D726" s="4" t="s">
        <v>1219</v>
      </c>
      <c r="E726" s="25" t="str">
        <f aca="false">IF(J726=1,"✓","")</f>
        <v/>
      </c>
      <c r="F726" s="4" t="n">
        <v>4</v>
      </c>
      <c r="G726" s="4" t="n">
        <v>2</v>
      </c>
      <c r="H726" s="4" t="s">
        <v>213</v>
      </c>
      <c r="I726" s="4" t="s">
        <v>54</v>
      </c>
      <c r="J726" s="4" t="n">
        <f aca="false">INDEX('Master List'!$G$2:$G$2594,K726)</f>
        <v>0</v>
      </c>
      <c r="K726" s="4" t="n">
        <v>2008</v>
      </c>
    </row>
    <row r="727" customFormat="false" ht="15" hidden="false" customHeight="false" outlineLevel="0" collapsed="false">
      <c r="A727" s="4" t="n">
        <v>726</v>
      </c>
      <c r="B727" s="4" t="s">
        <v>1220</v>
      </c>
      <c r="C727" s="4" t="n">
        <v>2014</v>
      </c>
      <c r="D727" s="4" t="s">
        <v>628</v>
      </c>
      <c r="E727" s="25" t="str">
        <f aca="false">IF(J727=1,"✓","")</f>
        <v/>
      </c>
      <c r="F727" s="4" t="n">
        <v>4</v>
      </c>
      <c r="G727" s="4" t="n">
        <v>2</v>
      </c>
      <c r="H727" s="4" t="s">
        <v>213</v>
      </c>
      <c r="I727" s="4" t="s">
        <v>55</v>
      </c>
      <c r="J727" s="4" t="n">
        <f aca="false">INDEX('Master List'!$G$2:$G$2594,K727)</f>
        <v>0</v>
      </c>
      <c r="K727" s="4" t="n">
        <v>2389</v>
      </c>
    </row>
    <row r="728" customFormat="false" ht="15" hidden="false" customHeight="false" outlineLevel="0" collapsed="false">
      <c r="A728" s="4" t="n">
        <v>727</v>
      </c>
      <c r="B728" s="4" t="s">
        <v>1221</v>
      </c>
      <c r="C728" s="4" t="n">
        <v>2014</v>
      </c>
      <c r="D728" s="4" t="s">
        <v>1222</v>
      </c>
      <c r="E728" s="25" t="str">
        <f aca="false">IF(J728=1,"✓","")</f>
        <v>✓</v>
      </c>
      <c r="F728" s="4" t="n">
        <v>4</v>
      </c>
      <c r="G728" s="4" t="n">
        <v>2</v>
      </c>
      <c r="H728" s="4" t="s">
        <v>213</v>
      </c>
      <c r="I728" s="4" t="s">
        <v>55</v>
      </c>
      <c r="J728" s="4" t="n">
        <f aca="false">INDEX('Master List'!$G$2:$G$2594,K728)</f>
        <v>1</v>
      </c>
      <c r="K728" s="4" t="n">
        <v>435</v>
      </c>
    </row>
    <row r="729" customFormat="false" ht="15" hidden="false" customHeight="false" outlineLevel="0" collapsed="false">
      <c r="A729" s="4" t="n">
        <v>728</v>
      </c>
      <c r="B729" s="4" t="s">
        <v>1223</v>
      </c>
      <c r="C729" s="4" t="n">
        <v>2015</v>
      </c>
      <c r="D729" s="4" t="s">
        <v>1224</v>
      </c>
      <c r="E729" s="25" t="str">
        <f aca="false">IF(J729=1,"✓","")</f>
        <v/>
      </c>
      <c r="F729" s="4" t="n">
        <v>4</v>
      </c>
      <c r="G729" s="4" t="n">
        <v>2</v>
      </c>
      <c r="H729" s="4" t="s">
        <v>213</v>
      </c>
      <c r="I729" s="4" t="s">
        <v>49</v>
      </c>
      <c r="J729" s="4" t="n">
        <f aca="false">INDEX('Master List'!$G$2:$G$2594,K729)</f>
        <v>0</v>
      </c>
      <c r="K729" s="4" t="n">
        <v>2432</v>
      </c>
    </row>
    <row r="730" customFormat="false" ht="15" hidden="false" customHeight="false" outlineLevel="0" collapsed="false">
      <c r="A730" s="4" t="n">
        <v>729</v>
      </c>
      <c r="B730" s="4" t="s">
        <v>1225</v>
      </c>
      <c r="C730" s="4" t="n">
        <v>2015</v>
      </c>
      <c r="D730" s="4" t="s">
        <v>327</v>
      </c>
      <c r="E730" s="25" t="str">
        <f aca="false">IF(J730=1,"✓","")</f>
        <v/>
      </c>
      <c r="F730" s="4" t="n">
        <v>4</v>
      </c>
      <c r="G730" s="4" t="n">
        <v>2</v>
      </c>
      <c r="H730" s="4" t="s">
        <v>213</v>
      </c>
      <c r="I730" s="4" t="s">
        <v>53</v>
      </c>
      <c r="J730" s="4" t="n">
        <f aca="false">INDEX('Master List'!$G$2:$G$2594,K730)</f>
        <v>0</v>
      </c>
      <c r="K730" s="4" t="n">
        <v>2064</v>
      </c>
    </row>
    <row r="731" customFormat="false" ht="15" hidden="false" customHeight="false" outlineLevel="0" collapsed="false">
      <c r="A731" s="4" t="n">
        <v>730</v>
      </c>
      <c r="B731" s="4" t="s">
        <v>1226</v>
      </c>
      <c r="C731" s="4" t="n">
        <v>2015</v>
      </c>
      <c r="D731" s="4" t="s">
        <v>208</v>
      </c>
      <c r="E731" s="25" t="str">
        <f aca="false">IF(J731=1,"✓","")</f>
        <v>✓</v>
      </c>
      <c r="F731" s="4" t="n">
        <v>4</v>
      </c>
      <c r="G731" s="4" t="n">
        <v>2</v>
      </c>
      <c r="H731" s="4" t="s">
        <v>213</v>
      </c>
      <c r="I731" s="4" t="s">
        <v>53</v>
      </c>
      <c r="J731" s="4" t="n">
        <f aca="false">INDEX('Master List'!$G$2:$G$2594,K731)</f>
        <v>1</v>
      </c>
      <c r="K731" s="4" t="n">
        <v>1001</v>
      </c>
    </row>
    <row r="732" customFormat="false" ht="15" hidden="false" customHeight="false" outlineLevel="0" collapsed="false">
      <c r="A732" s="4" t="n">
        <v>731</v>
      </c>
      <c r="B732" s="4" t="s">
        <v>1227</v>
      </c>
      <c r="C732" s="4" t="n">
        <v>2016</v>
      </c>
      <c r="D732" s="4" t="s">
        <v>861</v>
      </c>
      <c r="E732" s="25" t="str">
        <f aca="false">IF(J732=1,"✓","")</f>
        <v/>
      </c>
      <c r="F732" s="4" t="n">
        <v>4</v>
      </c>
      <c r="G732" s="4" t="n">
        <v>2</v>
      </c>
      <c r="H732" s="4" t="s">
        <v>213</v>
      </c>
      <c r="I732" s="4" t="s">
        <v>51</v>
      </c>
      <c r="J732" s="4" t="n">
        <f aca="false">INDEX('Master List'!$G$2:$G$2594,K732)</f>
        <v>0</v>
      </c>
      <c r="K732" s="4" t="n">
        <v>2450</v>
      </c>
    </row>
    <row r="733" customFormat="false" ht="15" hidden="false" customHeight="false" outlineLevel="0" collapsed="false">
      <c r="A733" s="4" t="n">
        <v>732</v>
      </c>
      <c r="B733" s="4" t="s">
        <v>1228</v>
      </c>
      <c r="C733" s="4" t="n">
        <v>2016</v>
      </c>
      <c r="D733" s="4" t="s">
        <v>685</v>
      </c>
      <c r="E733" s="25" t="str">
        <f aca="false">IF(J733=1,"✓","")</f>
        <v/>
      </c>
      <c r="F733" s="4" t="n">
        <v>4</v>
      </c>
      <c r="G733" s="4" t="n">
        <v>2</v>
      </c>
      <c r="H733" s="4" t="s">
        <v>213</v>
      </c>
      <c r="I733" s="4" t="s">
        <v>51</v>
      </c>
      <c r="J733" s="4" t="n">
        <f aca="false">INDEX('Master List'!$G$2:$G$2594,K733)</f>
        <v>0</v>
      </c>
      <c r="K733" s="4" t="n">
        <v>983</v>
      </c>
    </row>
    <row r="734" customFormat="false" ht="15" hidden="false" customHeight="false" outlineLevel="0" collapsed="false">
      <c r="A734" s="4" t="n">
        <v>733</v>
      </c>
      <c r="B734" s="4" t="s">
        <v>1229</v>
      </c>
      <c r="C734" s="4" t="n">
        <v>2016</v>
      </c>
      <c r="D734" s="4" t="s">
        <v>164</v>
      </c>
      <c r="E734" s="25" t="str">
        <f aca="false">IF(J734=1,"✓","")</f>
        <v>✓</v>
      </c>
      <c r="F734" s="4" t="n">
        <v>4</v>
      </c>
      <c r="G734" s="4" t="n">
        <v>2</v>
      </c>
      <c r="H734" s="4" t="s">
        <v>213</v>
      </c>
      <c r="I734" s="4" t="s">
        <v>53</v>
      </c>
      <c r="J734" s="4" t="n">
        <f aca="false">INDEX('Master List'!$G$2:$G$2594,K734)</f>
        <v>1</v>
      </c>
      <c r="K734" s="4" t="n">
        <v>2068</v>
      </c>
    </row>
    <row r="735" customFormat="false" ht="15" hidden="false" customHeight="false" outlineLevel="0" collapsed="false">
      <c r="A735" s="4" t="n">
        <v>734</v>
      </c>
      <c r="B735" s="4" t="s">
        <v>1230</v>
      </c>
      <c r="C735" s="4" t="n">
        <v>2016</v>
      </c>
      <c r="D735" s="4" t="s">
        <v>320</v>
      </c>
      <c r="E735" s="25" t="str">
        <f aca="false">IF(J735=1,"✓","")</f>
        <v/>
      </c>
      <c r="F735" s="4" t="n">
        <v>4</v>
      </c>
      <c r="G735" s="4" t="n">
        <v>2</v>
      </c>
      <c r="H735" s="4" t="s">
        <v>213</v>
      </c>
      <c r="I735" s="4" t="s">
        <v>53</v>
      </c>
      <c r="J735" s="4" t="n">
        <f aca="false">INDEX('Master List'!$G$2:$G$2594,K735)</f>
        <v>0</v>
      </c>
      <c r="K735" s="4" t="n">
        <v>752</v>
      </c>
    </row>
    <row r="736" customFormat="false" ht="15" hidden="false" customHeight="false" outlineLevel="0" collapsed="false">
      <c r="A736" s="4" t="n">
        <v>735</v>
      </c>
      <c r="B736" s="4" t="s">
        <v>1231</v>
      </c>
      <c r="C736" s="4" t="n">
        <v>2017</v>
      </c>
      <c r="D736" s="4" t="s">
        <v>327</v>
      </c>
      <c r="E736" s="25" t="str">
        <f aca="false">IF(J736=1,"✓","")</f>
        <v>✓</v>
      </c>
      <c r="F736" s="4" t="n">
        <v>4</v>
      </c>
      <c r="G736" s="4" t="n">
        <v>2</v>
      </c>
      <c r="H736" s="4" t="s">
        <v>213</v>
      </c>
      <c r="I736" s="4" t="s">
        <v>52</v>
      </c>
      <c r="J736" s="4" t="n">
        <f aca="false">INDEX('Master List'!$G$2:$G$2594,K736)</f>
        <v>1</v>
      </c>
      <c r="K736" s="4" t="n">
        <v>280</v>
      </c>
    </row>
    <row r="737" customFormat="false" ht="15" hidden="false" customHeight="false" outlineLevel="0" collapsed="false">
      <c r="A737" s="4" t="n">
        <v>736</v>
      </c>
      <c r="B737" s="4" t="s">
        <v>1232</v>
      </c>
      <c r="C737" s="4" t="n">
        <v>2017</v>
      </c>
      <c r="D737" s="4" t="s">
        <v>1233</v>
      </c>
      <c r="E737" s="25" t="str">
        <f aca="false">IF(J737=1,"✓","")</f>
        <v/>
      </c>
      <c r="F737" s="4" t="n">
        <v>4</v>
      </c>
      <c r="G737" s="4" t="n">
        <v>2</v>
      </c>
      <c r="H737" s="4" t="s">
        <v>213</v>
      </c>
      <c r="I737" s="4" t="s">
        <v>52</v>
      </c>
      <c r="J737" s="4" t="n">
        <f aca="false">INDEX('Master List'!$G$2:$G$2594,K737)</f>
        <v>0</v>
      </c>
      <c r="K737" s="4" t="n">
        <v>2522</v>
      </c>
    </row>
    <row r="738" customFormat="false" ht="15" hidden="false" customHeight="false" outlineLevel="0" collapsed="false">
      <c r="A738" s="4" t="n">
        <v>737</v>
      </c>
      <c r="B738" s="4" t="s">
        <v>1234</v>
      </c>
      <c r="C738" s="4" t="n">
        <v>2017</v>
      </c>
      <c r="D738" s="4" t="s">
        <v>490</v>
      </c>
      <c r="E738" s="25" t="str">
        <f aca="false">IF(J738=1,"✓","")</f>
        <v>✓</v>
      </c>
      <c r="F738" s="4" t="n">
        <v>4</v>
      </c>
      <c r="G738" s="4" t="n">
        <v>2</v>
      </c>
      <c r="H738" s="4" t="s">
        <v>213</v>
      </c>
      <c r="I738" s="4" t="s">
        <v>52</v>
      </c>
      <c r="J738" s="4" t="n">
        <f aca="false">INDEX('Master List'!$G$2:$G$2594,K738)</f>
        <v>1</v>
      </c>
      <c r="K738" s="4" t="n">
        <v>1366</v>
      </c>
    </row>
    <row r="739" customFormat="false" ht="15" hidden="false" customHeight="false" outlineLevel="0" collapsed="false">
      <c r="A739" s="4" t="n">
        <v>738</v>
      </c>
      <c r="B739" s="4" t="s">
        <v>1235</v>
      </c>
      <c r="C739" s="4" t="n">
        <v>2017</v>
      </c>
      <c r="D739" s="4" t="s">
        <v>342</v>
      </c>
      <c r="E739" s="25" t="str">
        <f aca="false">IF(J739=1,"✓","")</f>
        <v/>
      </c>
      <c r="F739" s="4" t="n">
        <v>4</v>
      </c>
      <c r="G739" s="4" t="n">
        <v>2</v>
      </c>
      <c r="H739" s="4" t="s">
        <v>213</v>
      </c>
      <c r="I739" s="4" t="s">
        <v>52</v>
      </c>
      <c r="J739" s="4" t="n">
        <f aca="false">INDEX('Master List'!$G$2:$G$2594,K739)</f>
        <v>0</v>
      </c>
      <c r="K739" s="4" t="n">
        <v>695</v>
      </c>
    </row>
    <row r="740" customFormat="false" ht="15" hidden="false" customHeight="false" outlineLevel="0" collapsed="false">
      <c r="A740" s="4" t="n">
        <v>739</v>
      </c>
      <c r="B740" s="4" t="s">
        <v>1236</v>
      </c>
      <c r="C740" s="4" t="n">
        <v>2017</v>
      </c>
      <c r="D740" s="4" t="s">
        <v>1237</v>
      </c>
      <c r="E740" s="25" t="str">
        <f aca="false">IF(J740=1,"✓","")</f>
        <v/>
      </c>
      <c r="F740" s="4" t="n">
        <v>4</v>
      </c>
      <c r="G740" s="4" t="n">
        <v>2</v>
      </c>
      <c r="H740" s="4" t="s">
        <v>213</v>
      </c>
      <c r="I740" s="4" t="s">
        <v>52</v>
      </c>
      <c r="J740" s="4" t="n">
        <f aca="false">INDEX('Master List'!$G$2:$G$2594,K740)</f>
        <v>0</v>
      </c>
      <c r="K740" s="4" t="n">
        <v>500</v>
      </c>
    </row>
    <row r="741" customFormat="false" ht="15" hidden="false" customHeight="false" outlineLevel="0" collapsed="false">
      <c r="A741" s="4" t="n">
        <v>740</v>
      </c>
      <c r="B741" s="4" t="s">
        <v>1238</v>
      </c>
      <c r="C741" s="4" t="n">
        <v>2017</v>
      </c>
      <c r="D741" s="4" t="s">
        <v>694</v>
      </c>
      <c r="E741" s="25" t="str">
        <f aca="false">IF(J741=1,"✓","")</f>
        <v>✓</v>
      </c>
      <c r="F741" s="4" t="n">
        <v>4</v>
      </c>
      <c r="G741" s="4" t="n">
        <v>2</v>
      </c>
      <c r="H741" s="4" t="s">
        <v>213</v>
      </c>
      <c r="I741" s="4" t="s">
        <v>54</v>
      </c>
      <c r="J741" s="4" t="n">
        <f aca="false">INDEX('Master List'!$G$2:$G$2594,K741)</f>
        <v>1</v>
      </c>
      <c r="K741" s="4" t="n">
        <v>823</v>
      </c>
    </row>
    <row r="742" customFormat="false" ht="15" hidden="false" customHeight="false" outlineLevel="0" collapsed="false">
      <c r="A742" s="4" t="n">
        <v>741</v>
      </c>
      <c r="B742" s="4" t="s">
        <v>1239</v>
      </c>
      <c r="C742" s="4" t="n">
        <v>2017</v>
      </c>
      <c r="D742" s="4" t="s">
        <v>1240</v>
      </c>
      <c r="E742" s="25" t="str">
        <f aca="false">IF(J742=1,"✓","")</f>
        <v>✓</v>
      </c>
      <c r="F742" s="4" t="n">
        <v>4</v>
      </c>
      <c r="G742" s="4" t="n">
        <v>2</v>
      </c>
      <c r="H742" s="4" t="s">
        <v>213</v>
      </c>
      <c r="I742" s="4" t="s">
        <v>55</v>
      </c>
      <c r="J742" s="4" t="n">
        <f aca="false">INDEX('Master List'!$G$2:$G$2594,K742)</f>
        <v>1</v>
      </c>
      <c r="K742" s="4" t="n">
        <v>1278</v>
      </c>
    </row>
    <row r="743" customFormat="false" ht="15" hidden="false" customHeight="false" outlineLevel="0" collapsed="false">
      <c r="A743" s="4" t="n">
        <v>742</v>
      </c>
      <c r="B743" s="4" t="s">
        <v>1241</v>
      </c>
      <c r="C743" s="4" t="n">
        <v>2017</v>
      </c>
      <c r="D743" s="4" t="s">
        <v>653</v>
      </c>
      <c r="E743" s="25" t="str">
        <f aca="false">IF(J743=1,"✓","")</f>
        <v>✓</v>
      </c>
      <c r="F743" s="4" t="n">
        <v>4</v>
      </c>
      <c r="G743" s="4" t="n">
        <v>2</v>
      </c>
      <c r="H743" s="4" t="s">
        <v>213</v>
      </c>
      <c r="I743" s="4" t="s">
        <v>55</v>
      </c>
      <c r="J743" s="4" t="n">
        <f aca="false">INDEX('Master List'!$G$2:$G$2594,K743)</f>
        <v>1</v>
      </c>
      <c r="K743" s="4" t="n">
        <v>930</v>
      </c>
    </row>
    <row r="744" customFormat="false" ht="15" hidden="false" customHeight="false" outlineLevel="0" collapsed="false">
      <c r="A744" s="4" t="n">
        <v>743</v>
      </c>
      <c r="B744" s="4" t="s">
        <v>1242</v>
      </c>
      <c r="C744" s="4" t="n">
        <v>2018</v>
      </c>
      <c r="D744" s="4" t="s">
        <v>1243</v>
      </c>
      <c r="E744" s="25" t="str">
        <f aca="false">IF(J744=1,"✓","")</f>
        <v/>
      </c>
      <c r="F744" s="4" t="n">
        <v>4</v>
      </c>
      <c r="G744" s="4" t="n">
        <v>2</v>
      </c>
      <c r="H744" s="4" t="s">
        <v>213</v>
      </c>
      <c r="I744" s="4" t="s">
        <v>50</v>
      </c>
      <c r="J744" s="4" t="n">
        <f aca="false">INDEX('Master List'!$G$2:$G$2594,K744)</f>
        <v>0</v>
      </c>
      <c r="K744" s="4" t="n">
        <v>371</v>
      </c>
    </row>
    <row r="745" customFormat="false" ht="15" hidden="false" customHeight="false" outlineLevel="0" collapsed="false">
      <c r="A745" s="4" t="n">
        <v>744</v>
      </c>
      <c r="B745" s="4" t="s">
        <v>1244</v>
      </c>
      <c r="C745" s="4" t="n">
        <v>2018</v>
      </c>
      <c r="D745" s="4" t="s">
        <v>646</v>
      </c>
      <c r="E745" s="25" t="str">
        <f aca="false">IF(J745=1,"✓","")</f>
        <v/>
      </c>
      <c r="F745" s="4" t="n">
        <v>4</v>
      </c>
      <c r="G745" s="4" t="n">
        <v>2</v>
      </c>
      <c r="H745" s="4" t="s">
        <v>213</v>
      </c>
      <c r="I745" s="4" t="s">
        <v>52</v>
      </c>
      <c r="J745" s="4" t="n">
        <f aca="false">INDEX('Master List'!$G$2:$G$2594,K745)</f>
        <v>0</v>
      </c>
      <c r="K745" s="4" t="n">
        <v>113</v>
      </c>
    </row>
    <row r="746" customFormat="false" ht="15" hidden="false" customHeight="false" outlineLevel="0" collapsed="false">
      <c r="A746" s="4" t="n">
        <v>745</v>
      </c>
      <c r="B746" s="4" t="s">
        <v>1245</v>
      </c>
      <c r="C746" s="4" t="n">
        <v>2018</v>
      </c>
      <c r="D746" s="4" t="s">
        <v>323</v>
      </c>
      <c r="E746" s="25" t="str">
        <f aca="false">IF(J746=1,"✓","")</f>
        <v>✓</v>
      </c>
      <c r="F746" s="4" t="n">
        <v>4</v>
      </c>
      <c r="G746" s="4" t="n">
        <v>2</v>
      </c>
      <c r="H746" s="4" t="s">
        <v>213</v>
      </c>
      <c r="I746" s="4" t="s">
        <v>53</v>
      </c>
      <c r="J746" s="4" t="n">
        <f aca="false">INDEX('Master List'!$G$2:$G$2594,K746)</f>
        <v>1</v>
      </c>
      <c r="K746" s="4" t="n">
        <v>176</v>
      </c>
    </row>
    <row r="747" customFormat="false" ht="15" hidden="false" customHeight="false" outlineLevel="0" collapsed="false">
      <c r="A747" s="4" t="n">
        <v>746</v>
      </c>
      <c r="B747" s="4" t="s">
        <v>1246</v>
      </c>
      <c r="C747" s="4" t="n">
        <v>2018</v>
      </c>
      <c r="D747" s="4" t="s">
        <v>1247</v>
      </c>
      <c r="E747" s="25" t="str">
        <f aca="false">IF(J747=1,"✓","")</f>
        <v>✓</v>
      </c>
      <c r="F747" s="4" t="n">
        <v>4</v>
      </c>
      <c r="G747" s="4" t="n">
        <v>2</v>
      </c>
      <c r="H747" s="4" t="s">
        <v>213</v>
      </c>
      <c r="I747" s="4" t="s">
        <v>54</v>
      </c>
      <c r="J747" s="4" t="n">
        <f aca="false">INDEX('Master List'!$G$2:$G$2594,K747)</f>
        <v>1</v>
      </c>
      <c r="K747" s="4" t="n">
        <v>2119</v>
      </c>
    </row>
    <row r="748" customFormat="false" ht="15" hidden="false" customHeight="false" outlineLevel="0" collapsed="false">
      <c r="A748" s="4" t="n">
        <v>747</v>
      </c>
      <c r="B748" s="4" t="s">
        <v>1248</v>
      </c>
      <c r="C748" s="4" t="n">
        <v>2019</v>
      </c>
      <c r="D748" s="4" t="s">
        <v>1249</v>
      </c>
      <c r="E748" s="25" t="str">
        <f aca="false">IF(J748=1,"✓","")</f>
        <v>✓</v>
      </c>
      <c r="F748" s="4" t="n">
        <v>4</v>
      </c>
      <c r="G748" s="4" t="n">
        <v>2</v>
      </c>
      <c r="H748" s="4" t="s">
        <v>213</v>
      </c>
      <c r="I748" s="4" t="s">
        <v>49</v>
      </c>
      <c r="J748" s="4" t="n">
        <f aca="false">INDEX('Master List'!$G$2:$G$2594,K748)</f>
        <v>1</v>
      </c>
      <c r="K748" s="4" t="n">
        <v>2121</v>
      </c>
    </row>
    <row r="749" customFormat="false" ht="15" hidden="false" customHeight="false" outlineLevel="0" collapsed="false">
      <c r="A749" s="4" t="n">
        <v>748</v>
      </c>
      <c r="B749" s="4" t="s">
        <v>1250</v>
      </c>
      <c r="C749" s="4" t="n">
        <v>2019</v>
      </c>
      <c r="D749" s="4" t="s">
        <v>1251</v>
      </c>
      <c r="E749" s="25" t="str">
        <f aca="false">IF(J749=1,"✓","")</f>
        <v>✓</v>
      </c>
      <c r="F749" s="4" t="n">
        <v>4</v>
      </c>
      <c r="G749" s="4" t="n">
        <v>2</v>
      </c>
      <c r="H749" s="4" t="s">
        <v>213</v>
      </c>
      <c r="I749" s="4" t="s">
        <v>49</v>
      </c>
      <c r="J749" s="4" t="n">
        <f aca="false">INDEX('Master List'!$G$2:$G$2594,K749)</f>
        <v>1</v>
      </c>
      <c r="K749" s="4" t="n">
        <v>9</v>
      </c>
    </row>
    <row r="750" customFormat="false" ht="15" hidden="false" customHeight="false" outlineLevel="0" collapsed="false">
      <c r="A750" s="4" t="n">
        <v>749</v>
      </c>
      <c r="B750" s="4" t="s">
        <v>1252</v>
      </c>
      <c r="C750" s="4" t="n">
        <v>2019</v>
      </c>
      <c r="D750" s="4" t="s">
        <v>359</v>
      </c>
      <c r="E750" s="25" t="str">
        <f aca="false">IF(J750=1,"✓","")</f>
        <v/>
      </c>
      <c r="F750" s="4" t="n">
        <v>4</v>
      </c>
      <c r="G750" s="4" t="n">
        <v>2</v>
      </c>
      <c r="H750" s="4" t="s">
        <v>213</v>
      </c>
      <c r="I750" s="4" t="s">
        <v>51</v>
      </c>
      <c r="J750" s="4" t="n">
        <f aca="false">INDEX('Master List'!$G$2:$G$2594,K750)</f>
        <v>0</v>
      </c>
      <c r="K750" s="4" t="n">
        <v>2120</v>
      </c>
    </row>
    <row r="751" customFormat="false" ht="15" hidden="false" customHeight="false" outlineLevel="0" collapsed="false">
      <c r="A751" s="4" t="n">
        <v>750</v>
      </c>
      <c r="B751" s="4" t="s">
        <v>1253</v>
      </c>
      <c r="C751" s="4" t="n">
        <v>2019</v>
      </c>
      <c r="D751" s="4" t="s">
        <v>692</v>
      </c>
      <c r="E751" s="25" t="str">
        <f aca="false">IF(J751=1,"✓","")</f>
        <v>✓</v>
      </c>
      <c r="F751" s="4" t="n">
        <v>4</v>
      </c>
      <c r="G751" s="4" t="n">
        <v>2</v>
      </c>
      <c r="H751" s="4" t="s">
        <v>213</v>
      </c>
      <c r="I751" s="4" t="s">
        <v>52</v>
      </c>
      <c r="J751" s="4" t="n">
        <f aca="false">INDEX('Master List'!$G$2:$G$2594,K751)</f>
        <v>1</v>
      </c>
      <c r="K751" s="4" t="n">
        <v>1337</v>
      </c>
    </row>
    <row r="752" customFormat="false" ht="15" hidden="false" customHeight="false" outlineLevel="0" collapsed="false">
      <c r="A752" s="4" t="n">
        <v>751</v>
      </c>
      <c r="B752" s="4" t="s">
        <v>1254</v>
      </c>
      <c r="C752" s="4" t="n">
        <v>2019</v>
      </c>
      <c r="D752" s="4" t="s">
        <v>164</v>
      </c>
      <c r="E752" s="25" t="str">
        <f aca="false">IF(J752=1,"✓","")</f>
        <v/>
      </c>
      <c r="F752" s="4" t="n">
        <v>4</v>
      </c>
      <c r="G752" s="4" t="n">
        <v>2</v>
      </c>
      <c r="H752" s="4" t="s">
        <v>213</v>
      </c>
      <c r="I752" s="4" t="s">
        <v>52</v>
      </c>
      <c r="J752" s="4" t="n">
        <f aca="false">INDEX('Master List'!$G$2:$G$2594,K752)</f>
        <v>0</v>
      </c>
      <c r="K752" s="4" t="n">
        <v>1164</v>
      </c>
    </row>
    <row r="753" customFormat="false" ht="15" hidden="false" customHeight="false" outlineLevel="0" collapsed="false">
      <c r="A753" s="4" t="n">
        <v>752</v>
      </c>
      <c r="B753" s="4" t="s">
        <v>1255</v>
      </c>
      <c r="C753" s="4" t="n">
        <v>2020</v>
      </c>
      <c r="D753" s="4" t="s">
        <v>1256</v>
      </c>
      <c r="E753" s="25" t="str">
        <f aca="false">IF(J753=1,"✓","")</f>
        <v/>
      </c>
      <c r="F753" s="4" t="n">
        <v>4</v>
      </c>
      <c r="G753" s="4" t="n">
        <v>2</v>
      </c>
      <c r="H753" s="4" t="s">
        <v>213</v>
      </c>
      <c r="I753" s="4" t="s">
        <v>54</v>
      </c>
      <c r="J753" s="4" t="n">
        <f aca="false">INDEX('Master List'!$G$2:$G$2594,K753)</f>
        <v>0</v>
      </c>
      <c r="K753" s="4" t="n">
        <v>1505</v>
      </c>
    </row>
    <row r="754" customFormat="false" ht="15" hidden="false" customHeight="false" outlineLevel="0" collapsed="false">
      <c r="A754" s="4" t="n">
        <v>753</v>
      </c>
      <c r="B754" s="4" t="s">
        <v>1257</v>
      </c>
      <c r="C754" s="4" t="n">
        <v>2020</v>
      </c>
      <c r="D754" s="4" t="s">
        <v>1258</v>
      </c>
      <c r="E754" s="25" t="str">
        <f aca="false">IF(J754=1,"✓","")</f>
        <v>✓</v>
      </c>
      <c r="F754" s="4" t="n">
        <v>4</v>
      </c>
      <c r="G754" s="4" t="n">
        <v>2</v>
      </c>
      <c r="H754" s="4" t="s">
        <v>213</v>
      </c>
      <c r="I754" s="4" t="s">
        <v>55</v>
      </c>
      <c r="J754" s="4" t="n">
        <f aca="false">INDEX('Master List'!$G$2:$G$2594,K754)</f>
        <v>1</v>
      </c>
      <c r="K754" s="4" t="n">
        <v>1625</v>
      </c>
    </row>
    <row r="755" customFormat="false" ht="15" hidden="false" customHeight="false" outlineLevel="0" collapsed="false">
      <c r="A755" s="4" t="n">
        <v>754</v>
      </c>
      <c r="B755" s="4" t="s">
        <v>1259</v>
      </c>
      <c r="C755" s="4" t="n">
        <v>2021</v>
      </c>
      <c r="D755" s="4" t="s">
        <v>881</v>
      </c>
      <c r="E755" s="25" t="str">
        <f aca="false">IF(J755=1,"✓","")</f>
        <v/>
      </c>
      <c r="F755" s="4" t="n">
        <v>4</v>
      </c>
      <c r="G755" s="4" t="n">
        <v>2</v>
      </c>
      <c r="H755" s="4" t="s">
        <v>213</v>
      </c>
      <c r="I755" s="4" t="s">
        <v>51</v>
      </c>
      <c r="J755" s="4" t="n">
        <f aca="false">INDEX('Master List'!$G$2:$G$2594,K755)</f>
        <v>0</v>
      </c>
      <c r="K755" s="4" t="n">
        <v>2491</v>
      </c>
    </row>
    <row r="756" customFormat="false" ht="15" hidden="false" customHeight="false" outlineLevel="0" collapsed="false">
      <c r="A756" s="4" t="n">
        <v>755</v>
      </c>
      <c r="B756" s="4" t="s">
        <v>1260</v>
      </c>
      <c r="C756" s="4" t="n">
        <v>2021</v>
      </c>
      <c r="D756" s="4" t="s">
        <v>876</v>
      </c>
      <c r="E756" s="25" t="str">
        <f aca="false">IF(J756=1,"✓","")</f>
        <v/>
      </c>
      <c r="F756" s="4" t="n">
        <v>4</v>
      </c>
      <c r="G756" s="4" t="n">
        <v>2</v>
      </c>
      <c r="H756" s="4" t="s">
        <v>213</v>
      </c>
      <c r="I756" s="4" t="s">
        <v>51</v>
      </c>
      <c r="J756" s="4" t="n">
        <f aca="false">INDEX('Master List'!$G$2:$G$2594,K756)</f>
        <v>0</v>
      </c>
      <c r="K756" s="4" t="n">
        <v>2311</v>
      </c>
    </row>
    <row r="757" customFormat="false" ht="15" hidden="false" customHeight="false" outlineLevel="0" collapsed="false">
      <c r="A757" s="4" t="n">
        <v>756</v>
      </c>
      <c r="B757" s="4" t="s">
        <v>1261</v>
      </c>
      <c r="C757" s="4" t="n">
        <v>2021</v>
      </c>
      <c r="D757" s="4" t="s">
        <v>444</v>
      </c>
      <c r="E757" s="25" t="str">
        <f aca="false">IF(J757=1,"✓","")</f>
        <v/>
      </c>
      <c r="F757" s="4" t="n">
        <v>4</v>
      </c>
      <c r="G757" s="4" t="n">
        <v>2</v>
      </c>
      <c r="H757" s="4" t="s">
        <v>213</v>
      </c>
      <c r="I757" s="4" t="s">
        <v>51</v>
      </c>
      <c r="J757" s="4" t="n">
        <f aca="false">INDEX('Master List'!$G$2:$G$2594,K757)</f>
        <v>0</v>
      </c>
      <c r="K757" s="4" t="n">
        <v>1477</v>
      </c>
    </row>
    <row r="758" customFormat="false" ht="15" hidden="false" customHeight="false" outlineLevel="0" collapsed="false">
      <c r="A758" s="4" t="n">
        <v>757</v>
      </c>
      <c r="B758" s="4" t="s">
        <v>1262</v>
      </c>
      <c r="C758" s="4" t="n">
        <v>2021</v>
      </c>
      <c r="D758" s="4" t="s">
        <v>278</v>
      </c>
      <c r="E758" s="25" t="str">
        <f aca="false">IF(J758=1,"✓","")</f>
        <v>✓</v>
      </c>
      <c r="F758" s="4" t="n">
        <v>4</v>
      </c>
      <c r="G758" s="4" t="n">
        <v>2</v>
      </c>
      <c r="H758" s="4" t="s">
        <v>213</v>
      </c>
      <c r="I758" s="4" t="s">
        <v>53</v>
      </c>
      <c r="J758" s="4" t="n">
        <f aca="false">INDEX('Master List'!$G$2:$G$2594,K758)</f>
        <v>1</v>
      </c>
      <c r="K758" s="4" t="n">
        <v>1329</v>
      </c>
    </row>
    <row r="759" customFormat="false" ht="15" hidden="false" customHeight="false" outlineLevel="0" collapsed="false">
      <c r="A759" s="4" t="n">
        <v>758</v>
      </c>
      <c r="B759" s="4" t="s">
        <v>1263</v>
      </c>
      <c r="C759" s="4" t="n">
        <v>2022</v>
      </c>
      <c r="D759" s="4" t="s">
        <v>685</v>
      </c>
      <c r="E759" s="25" t="str">
        <f aca="false">IF(J759=1,"✓","")</f>
        <v/>
      </c>
      <c r="F759" s="4" t="n">
        <v>4</v>
      </c>
      <c r="G759" s="4" t="n">
        <v>2</v>
      </c>
      <c r="H759" s="4" t="s">
        <v>213</v>
      </c>
      <c r="I759" s="4" t="s">
        <v>51</v>
      </c>
      <c r="J759" s="4" t="n">
        <f aca="false">INDEX('Master List'!$G$2:$G$2594,K759)</f>
        <v>0</v>
      </c>
      <c r="K759" s="4" t="n">
        <v>600</v>
      </c>
    </row>
    <row r="760" customFormat="false" ht="15" hidden="false" customHeight="false" outlineLevel="0" collapsed="false">
      <c r="A760" s="4" t="n">
        <v>759</v>
      </c>
      <c r="B760" s="4" t="s">
        <v>1264</v>
      </c>
      <c r="C760" s="4" t="n">
        <v>2022</v>
      </c>
      <c r="D760" s="4" t="s">
        <v>1265</v>
      </c>
      <c r="E760" s="25" t="str">
        <f aca="false">IF(J760=1,"✓","")</f>
        <v/>
      </c>
      <c r="F760" s="4" t="n">
        <v>4</v>
      </c>
      <c r="G760" s="4" t="n">
        <v>2</v>
      </c>
      <c r="H760" s="4" t="s">
        <v>213</v>
      </c>
      <c r="I760" s="4" t="s">
        <v>51</v>
      </c>
      <c r="J760" s="4" t="n">
        <f aca="false">INDEX('Master List'!$G$2:$G$2594,K760)</f>
        <v>0</v>
      </c>
      <c r="K760" s="4" t="n">
        <v>1942</v>
      </c>
    </row>
    <row r="761" customFormat="false" ht="15" hidden="false" customHeight="false" outlineLevel="0" collapsed="false">
      <c r="A761" s="4" t="n">
        <v>760</v>
      </c>
      <c r="B761" s="4" t="s">
        <v>1266</v>
      </c>
      <c r="C761" s="4" t="n">
        <v>2022</v>
      </c>
      <c r="D761" s="4" t="s">
        <v>183</v>
      </c>
      <c r="E761" s="25" t="str">
        <f aca="false">IF(J761=1,"✓","")</f>
        <v/>
      </c>
      <c r="F761" s="4" t="n">
        <v>4</v>
      </c>
      <c r="G761" s="4" t="n">
        <v>2</v>
      </c>
      <c r="H761" s="4" t="s">
        <v>213</v>
      </c>
      <c r="I761" s="4" t="s">
        <v>53</v>
      </c>
      <c r="J761" s="4" t="n">
        <f aca="false">INDEX('Master List'!$G$2:$G$2594,K761)</f>
        <v>0</v>
      </c>
      <c r="K761" s="4" t="n">
        <v>769</v>
      </c>
    </row>
    <row r="762" customFormat="false" ht="15" hidden="false" customHeight="false" outlineLevel="0" collapsed="false">
      <c r="A762" s="4" t="n">
        <v>761</v>
      </c>
      <c r="B762" s="4" t="s">
        <v>1267</v>
      </c>
      <c r="C762" s="4" t="n">
        <v>2024</v>
      </c>
      <c r="D762" s="4" t="s">
        <v>1268</v>
      </c>
      <c r="E762" s="25" t="str">
        <f aca="false">IF(J762=1,"✓","")</f>
        <v/>
      </c>
      <c r="F762" s="4" t="n">
        <v>4</v>
      </c>
      <c r="G762" s="4" t="n">
        <v>2</v>
      </c>
      <c r="H762" s="4" t="s">
        <v>213</v>
      </c>
      <c r="I762" s="4" t="s">
        <v>50</v>
      </c>
      <c r="J762" s="4" t="n">
        <f aca="false">INDEX('Master List'!$G$2:$G$2594,K762)</f>
        <v>0</v>
      </c>
      <c r="K762" s="4" t="n">
        <v>79</v>
      </c>
    </row>
    <row r="763" customFormat="false" ht="15" hidden="false" customHeight="false" outlineLevel="0" collapsed="false">
      <c r="A763" s="4" t="n">
        <v>762</v>
      </c>
      <c r="B763" s="4" t="s">
        <v>1269</v>
      </c>
      <c r="C763" s="4" t="n">
        <v>1928</v>
      </c>
      <c r="D763" s="4" t="s">
        <v>1270</v>
      </c>
      <c r="E763" s="25" t="str">
        <f aca="false">IF(J763=1,"✓","")</f>
        <v/>
      </c>
      <c r="F763" s="4" t="n">
        <v>4</v>
      </c>
      <c r="G763" s="4" t="n">
        <v>2</v>
      </c>
      <c r="H763" s="4" t="s">
        <v>213</v>
      </c>
      <c r="I763" s="4" t="s">
        <v>50</v>
      </c>
      <c r="J763" s="4" t="n">
        <f aca="false">INDEX('Master List'!$G$2:$G$2594,K763)</f>
        <v>0</v>
      </c>
      <c r="K763" s="4" t="n">
        <v>2520</v>
      </c>
    </row>
    <row r="764" customFormat="false" ht="15" hidden="false" customHeight="false" outlineLevel="0" collapsed="false">
      <c r="A764" s="4" t="n">
        <v>763</v>
      </c>
      <c r="B764" s="4" t="s">
        <v>1271</v>
      </c>
      <c r="C764" s="4" t="n">
        <v>1929</v>
      </c>
      <c r="D764" s="4" t="s">
        <v>1272</v>
      </c>
      <c r="E764" s="25" t="str">
        <f aca="false">IF(J764=1,"✓","")</f>
        <v/>
      </c>
      <c r="F764" s="4" t="n">
        <v>4</v>
      </c>
      <c r="G764" s="4" t="n">
        <v>2</v>
      </c>
      <c r="H764" s="4" t="s">
        <v>213</v>
      </c>
      <c r="I764" s="4" t="s">
        <v>50</v>
      </c>
      <c r="J764" s="4" t="n">
        <f aca="false">INDEX('Master List'!$G$2:$G$2594,K764)</f>
        <v>0</v>
      </c>
      <c r="K764" s="4" t="n">
        <v>1712</v>
      </c>
    </row>
    <row r="765" customFormat="false" ht="15" hidden="false" customHeight="false" outlineLevel="0" collapsed="false">
      <c r="A765" s="4" t="n">
        <v>764</v>
      </c>
      <c r="B765" s="4" t="s">
        <v>1273</v>
      </c>
      <c r="C765" s="4" t="n">
        <v>1937</v>
      </c>
      <c r="D765" s="4" t="s">
        <v>450</v>
      </c>
      <c r="E765" s="25" t="str">
        <f aca="false">IF(J765=1,"✓","")</f>
        <v/>
      </c>
      <c r="F765" s="4" t="n">
        <v>4</v>
      </c>
      <c r="G765" s="4" t="n">
        <v>2</v>
      </c>
      <c r="H765" s="4" t="s">
        <v>213</v>
      </c>
      <c r="I765" s="4" t="s">
        <v>52</v>
      </c>
      <c r="J765" s="4" t="n">
        <f aca="false">INDEX('Master List'!$G$2:$G$2594,K765)</f>
        <v>0</v>
      </c>
      <c r="K765" s="4" t="n">
        <v>155</v>
      </c>
    </row>
    <row r="766" customFormat="false" ht="15" hidden="false" customHeight="false" outlineLevel="0" collapsed="false">
      <c r="A766" s="4" t="n">
        <v>765</v>
      </c>
      <c r="B766" s="4" t="s">
        <v>1274</v>
      </c>
      <c r="C766" s="4" t="n">
        <v>1950</v>
      </c>
      <c r="D766" s="4" t="s">
        <v>283</v>
      </c>
      <c r="E766" s="25" t="str">
        <f aca="false">IF(J766=1,"✓","")</f>
        <v/>
      </c>
      <c r="F766" s="4" t="n">
        <v>4</v>
      </c>
      <c r="G766" s="4" t="n">
        <v>2</v>
      </c>
      <c r="H766" s="4" t="s">
        <v>213</v>
      </c>
      <c r="I766" s="4" t="s">
        <v>52</v>
      </c>
      <c r="J766" s="4" t="n">
        <f aca="false">INDEX('Master List'!$G$2:$G$2594,K766)</f>
        <v>0</v>
      </c>
      <c r="K766" s="4" t="n">
        <v>139</v>
      </c>
    </row>
    <row r="767" customFormat="false" ht="15" hidden="false" customHeight="false" outlineLevel="0" collapsed="false">
      <c r="A767" s="4" t="n">
        <v>766</v>
      </c>
      <c r="B767" s="4" t="s">
        <v>1275</v>
      </c>
      <c r="C767" s="4" t="n">
        <v>1955</v>
      </c>
      <c r="D767" s="4" t="s">
        <v>375</v>
      </c>
      <c r="E767" s="25" t="str">
        <f aca="false">IF(J767=1,"✓","")</f>
        <v/>
      </c>
      <c r="F767" s="4" t="n">
        <v>4</v>
      </c>
      <c r="G767" s="4" t="n">
        <v>2</v>
      </c>
      <c r="H767" s="4" t="s">
        <v>213</v>
      </c>
      <c r="I767" s="4" t="s">
        <v>55</v>
      </c>
      <c r="J767" s="4" t="n">
        <f aca="false">INDEX('Master List'!$G$2:$G$2594,K767)</f>
        <v>0</v>
      </c>
      <c r="K767" s="4" t="n">
        <v>703</v>
      </c>
    </row>
    <row r="768" customFormat="false" ht="15" hidden="false" customHeight="false" outlineLevel="0" collapsed="false">
      <c r="A768" s="4" t="n">
        <v>767</v>
      </c>
      <c r="B768" s="4" t="s">
        <v>1276</v>
      </c>
      <c r="C768" s="4" t="n">
        <v>1975</v>
      </c>
      <c r="D768" s="4" t="s">
        <v>1058</v>
      </c>
      <c r="E768" s="25" t="str">
        <f aca="false">IF(J768=1,"✓","")</f>
        <v/>
      </c>
      <c r="F768" s="4" t="n">
        <v>4</v>
      </c>
      <c r="G768" s="4" t="n">
        <v>2</v>
      </c>
      <c r="H768" s="4" t="s">
        <v>213</v>
      </c>
      <c r="I768" s="4" t="s">
        <v>52</v>
      </c>
      <c r="J768" s="4" t="n">
        <f aca="false">INDEX('Master List'!$G$2:$G$2594,K768)</f>
        <v>0</v>
      </c>
      <c r="K768" s="4" t="n">
        <v>2293</v>
      </c>
    </row>
    <row r="769" customFormat="false" ht="15" hidden="false" customHeight="false" outlineLevel="0" collapsed="false">
      <c r="A769" s="4" t="n">
        <v>768</v>
      </c>
      <c r="B769" s="4" t="s">
        <v>1277</v>
      </c>
      <c r="C769" s="4" t="n">
        <v>1980</v>
      </c>
      <c r="D769" s="4" t="s">
        <v>1062</v>
      </c>
      <c r="E769" s="25" t="str">
        <f aca="false">IF(J769=1,"✓","")</f>
        <v/>
      </c>
      <c r="F769" s="4" t="n">
        <v>4</v>
      </c>
      <c r="G769" s="4" t="n">
        <v>2</v>
      </c>
      <c r="H769" s="4" t="s">
        <v>213</v>
      </c>
      <c r="I769" s="4" t="s">
        <v>52</v>
      </c>
      <c r="J769" s="4" t="n">
        <f aca="false">INDEX('Master List'!$G$2:$G$2594,K769)</f>
        <v>0</v>
      </c>
      <c r="K769" s="4" t="n">
        <v>303</v>
      </c>
    </row>
    <row r="770" customFormat="false" ht="15" hidden="false" customHeight="false" outlineLevel="0" collapsed="false">
      <c r="A770" s="4" t="n">
        <v>769</v>
      </c>
      <c r="B770" s="4" t="s">
        <v>1278</v>
      </c>
      <c r="C770" s="4" t="n">
        <v>1986</v>
      </c>
      <c r="D770" s="4" t="s">
        <v>892</v>
      </c>
      <c r="E770" s="25" t="str">
        <f aca="false">IF(J770=1,"✓","")</f>
        <v>✓</v>
      </c>
      <c r="F770" s="4" t="n">
        <v>4</v>
      </c>
      <c r="G770" s="4" t="n">
        <v>2</v>
      </c>
      <c r="H770" s="4" t="s">
        <v>213</v>
      </c>
      <c r="I770" s="4" t="s">
        <v>52</v>
      </c>
      <c r="J770" s="4" t="n">
        <f aca="false">INDEX('Master List'!$G$2:$G$2594,K770)</f>
        <v>1</v>
      </c>
      <c r="K770" s="4" t="n">
        <v>67</v>
      </c>
    </row>
    <row r="771" customFormat="false" ht="15" hidden="false" customHeight="false" outlineLevel="0" collapsed="false">
      <c r="A771" s="4" t="n">
        <v>770</v>
      </c>
      <c r="B771" s="4" t="s">
        <v>1279</v>
      </c>
      <c r="C771" s="4" t="n">
        <v>1987</v>
      </c>
      <c r="D771" s="4" t="s">
        <v>1280</v>
      </c>
      <c r="E771" s="25" t="str">
        <f aca="false">IF(J771=1,"✓","")</f>
        <v/>
      </c>
      <c r="F771" s="4" t="n">
        <v>4</v>
      </c>
      <c r="G771" s="4" t="n">
        <v>2</v>
      </c>
      <c r="H771" s="4" t="s">
        <v>213</v>
      </c>
      <c r="I771" s="4" t="s">
        <v>55</v>
      </c>
      <c r="J771" s="4" t="n">
        <f aca="false">INDEX('Master List'!$G$2:$G$2594,K771)</f>
        <v>0</v>
      </c>
      <c r="K771" s="4" t="n">
        <v>1463</v>
      </c>
    </row>
    <row r="772" customFormat="false" ht="15" hidden="false" customHeight="false" outlineLevel="0" collapsed="false">
      <c r="A772" s="4" t="n">
        <v>771</v>
      </c>
      <c r="B772" s="4" t="s">
        <v>1281</v>
      </c>
      <c r="C772" s="4" t="n">
        <v>1989</v>
      </c>
      <c r="D772" s="4" t="s">
        <v>1282</v>
      </c>
      <c r="E772" s="25" t="str">
        <f aca="false">IF(J772=1,"✓","")</f>
        <v>✓</v>
      </c>
      <c r="F772" s="4" t="n">
        <v>4</v>
      </c>
      <c r="G772" s="4" t="n">
        <v>2</v>
      </c>
      <c r="H772" s="4" t="s">
        <v>213</v>
      </c>
      <c r="I772" s="4" t="s">
        <v>55</v>
      </c>
      <c r="J772" s="4" t="n">
        <f aca="false">INDEX('Master List'!$G$2:$G$2594,K772)</f>
        <v>1</v>
      </c>
      <c r="K772" s="4" t="n">
        <v>803</v>
      </c>
    </row>
    <row r="773" customFormat="false" ht="15" hidden="false" customHeight="false" outlineLevel="0" collapsed="false">
      <c r="A773" s="4" t="n">
        <v>772</v>
      </c>
      <c r="B773" s="4" t="s">
        <v>1283</v>
      </c>
      <c r="C773" s="4" t="n">
        <v>1990</v>
      </c>
      <c r="D773" s="4" t="s">
        <v>1284</v>
      </c>
      <c r="E773" s="25" t="str">
        <f aca="false">IF(J773=1,"✓","")</f>
        <v/>
      </c>
      <c r="F773" s="4" t="n">
        <v>4</v>
      </c>
      <c r="G773" s="4" t="n">
        <v>2</v>
      </c>
      <c r="H773" s="4" t="s">
        <v>213</v>
      </c>
      <c r="I773" s="4" t="s">
        <v>52</v>
      </c>
      <c r="J773" s="4" t="n">
        <f aca="false">INDEX('Master List'!$G$2:$G$2594,K773)</f>
        <v>0</v>
      </c>
      <c r="K773" s="4" t="n">
        <v>967</v>
      </c>
    </row>
    <row r="774" customFormat="false" ht="15" hidden="false" customHeight="false" outlineLevel="0" collapsed="false">
      <c r="A774" s="4" t="n">
        <v>773</v>
      </c>
      <c r="B774" s="4" t="s">
        <v>1285</v>
      </c>
      <c r="C774" s="4" t="n">
        <v>1995</v>
      </c>
      <c r="D774" s="4" t="s">
        <v>865</v>
      </c>
      <c r="E774" s="25" t="str">
        <f aca="false">IF(J774=1,"✓","")</f>
        <v/>
      </c>
      <c r="F774" s="4" t="n">
        <v>4</v>
      </c>
      <c r="G774" s="4" t="n">
        <v>2</v>
      </c>
      <c r="H774" s="4" t="s">
        <v>213</v>
      </c>
      <c r="I774" s="4" t="s">
        <v>52</v>
      </c>
      <c r="J774" s="4" t="n">
        <f aca="false">INDEX('Master List'!$G$2:$G$2594,K774)</f>
        <v>0</v>
      </c>
      <c r="K774" s="4" t="n">
        <v>2173</v>
      </c>
    </row>
    <row r="775" customFormat="false" ht="15" hidden="false" customHeight="false" outlineLevel="0" collapsed="false">
      <c r="A775" s="4" t="n">
        <v>774</v>
      </c>
      <c r="B775" s="4" t="s">
        <v>1286</v>
      </c>
      <c r="C775" s="4" t="n">
        <v>1995</v>
      </c>
      <c r="D775" s="4" t="s">
        <v>1287</v>
      </c>
      <c r="E775" s="25" t="str">
        <f aca="false">IF(J775=1,"✓","")</f>
        <v>✓</v>
      </c>
      <c r="F775" s="4" t="n">
        <v>4</v>
      </c>
      <c r="G775" s="4" t="n">
        <v>2</v>
      </c>
      <c r="H775" s="4" t="s">
        <v>213</v>
      </c>
      <c r="I775" s="4" t="s">
        <v>56</v>
      </c>
      <c r="J775" s="4" t="n">
        <f aca="false">INDEX('Master List'!$G$2:$G$2594,K775)</f>
        <v>1</v>
      </c>
      <c r="K775" s="4" t="n">
        <v>855</v>
      </c>
    </row>
    <row r="776" customFormat="false" ht="15" hidden="false" customHeight="false" outlineLevel="0" collapsed="false">
      <c r="A776" s="4" t="n">
        <v>775</v>
      </c>
      <c r="B776" s="4" t="s">
        <v>1288</v>
      </c>
      <c r="C776" s="4" t="n">
        <v>1997</v>
      </c>
      <c r="D776" s="4" t="s">
        <v>1289</v>
      </c>
      <c r="E776" s="25" t="str">
        <f aca="false">IF(J776=1,"✓","")</f>
        <v>✓</v>
      </c>
      <c r="F776" s="4" t="n">
        <v>4</v>
      </c>
      <c r="G776" s="4" t="n">
        <v>2</v>
      </c>
      <c r="H776" s="4" t="s">
        <v>213</v>
      </c>
      <c r="I776" s="4" t="s">
        <v>56</v>
      </c>
      <c r="J776" s="4" t="n">
        <f aca="false">INDEX('Master List'!$G$2:$G$2594,K776)</f>
        <v>1</v>
      </c>
      <c r="K776" s="4" t="n">
        <v>547</v>
      </c>
    </row>
    <row r="777" customFormat="false" ht="15" hidden="false" customHeight="false" outlineLevel="0" collapsed="false">
      <c r="A777" s="4" t="n">
        <v>776</v>
      </c>
      <c r="B777" s="4" t="s">
        <v>1290</v>
      </c>
      <c r="C777" s="4" t="n">
        <v>2014</v>
      </c>
      <c r="D777" s="4" t="s">
        <v>1291</v>
      </c>
      <c r="E777" s="25" t="str">
        <f aca="false">IF(J777=1,"✓","")</f>
        <v/>
      </c>
      <c r="F777" s="4" t="n">
        <v>4</v>
      </c>
      <c r="G777" s="4" t="n">
        <v>2</v>
      </c>
      <c r="H777" s="4" t="s">
        <v>213</v>
      </c>
      <c r="I777" s="4" t="s">
        <v>52</v>
      </c>
      <c r="J777" s="4" t="n">
        <f aca="false">INDEX('Master List'!$G$2:$G$2594,K777)</f>
        <v>0</v>
      </c>
      <c r="K777" s="4" t="n">
        <v>1175</v>
      </c>
    </row>
    <row r="778" customFormat="false" ht="15" hidden="false" customHeight="false" outlineLevel="0" collapsed="false">
      <c r="A778" s="4" t="n">
        <v>777</v>
      </c>
      <c r="B778" s="4" t="s">
        <v>1292</v>
      </c>
      <c r="C778" s="4" t="n">
        <v>2014</v>
      </c>
      <c r="D778" s="4" t="s">
        <v>1293</v>
      </c>
      <c r="E778" s="25" t="str">
        <f aca="false">IF(J778=1,"✓","")</f>
        <v>✓</v>
      </c>
      <c r="F778" s="4" t="n">
        <v>4</v>
      </c>
      <c r="G778" s="4" t="n">
        <v>2</v>
      </c>
      <c r="H778" s="4" t="s">
        <v>213</v>
      </c>
      <c r="I778" s="4" t="s">
        <v>55</v>
      </c>
      <c r="J778" s="4" t="n">
        <f aca="false">INDEX('Master List'!$G$2:$G$2594,K778)</f>
        <v>1</v>
      </c>
      <c r="K778" s="4" t="n">
        <v>2497</v>
      </c>
    </row>
    <row r="779" customFormat="false" ht="15" hidden="false" customHeight="false" outlineLevel="0" collapsed="false">
      <c r="A779" s="4" t="n">
        <v>778</v>
      </c>
      <c r="B779" s="4" t="s">
        <v>1294</v>
      </c>
      <c r="C779" s="4" t="n">
        <v>1913</v>
      </c>
      <c r="D779" s="4" t="s">
        <v>1295</v>
      </c>
      <c r="E779" s="25" t="str">
        <f aca="false">IF(J779=1,"✓","")</f>
        <v/>
      </c>
      <c r="F779" s="4" t="n">
        <v>3</v>
      </c>
      <c r="G779" s="4" t="n">
        <v>2</v>
      </c>
      <c r="H779" s="4" t="s">
        <v>213</v>
      </c>
      <c r="I779" s="4" t="s">
        <v>50</v>
      </c>
      <c r="J779" s="4" t="n">
        <f aca="false">INDEX('Master List'!$G$2:$G$2594,K779)</f>
        <v>0</v>
      </c>
      <c r="K779" s="4" t="n">
        <v>2209</v>
      </c>
    </row>
    <row r="780" customFormat="false" ht="15" hidden="false" customHeight="false" outlineLevel="0" collapsed="false">
      <c r="A780" s="4" t="n">
        <v>779</v>
      </c>
      <c r="B780" s="4" t="s">
        <v>1296</v>
      </c>
      <c r="C780" s="4" t="n">
        <v>1922</v>
      </c>
      <c r="D780" s="4" t="s">
        <v>1297</v>
      </c>
      <c r="E780" s="25" t="str">
        <f aca="false">IF(J780=1,"✓","")</f>
        <v/>
      </c>
      <c r="F780" s="4" t="n">
        <v>3</v>
      </c>
      <c r="G780" s="4" t="n">
        <v>2</v>
      </c>
      <c r="H780" s="4" t="s">
        <v>213</v>
      </c>
      <c r="I780" s="4" t="s">
        <v>51</v>
      </c>
      <c r="J780" s="4" t="n">
        <f aca="false">INDEX('Master List'!$G$2:$G$2594,K780)</f>
        <v>0</v>
      </c>
      <c r="K780" s="4" t="n">
        <v>1004</v>
      </c>
    </row>
    <row r="781" customFormat="false" ht="15" hidden="false" customHeight="false" outlineLevel="0" collapsed="false">
      <c r="A781" s="4" t="n">
        <v>780</v>
      </c>
      <c r="B781" s="4" t="s">
        <v>1298</v>
      </c>
      <c r="C781" s="4" t="n">
        <v>1923</v>
      </c>
      <c r="D781" s="4" t="s">
        <v>333</v>
      </c>
      <c r="E781" s="25" t="str">
        <f aca="false">IF(J781=1,"✓","")</f>
        <v/>
      </c>
      <c r="F781" s="4" t="n">
        <v>3</v>
      </c>
      <c r="G781" s="4" t="n">
        <v>2</v>
      </c>
      <c r="H781" s="4" t="s">
        <v>213</v>
      </c>
      <c r="I781" s="4" t="s">
        <v>49</v>
      </c>
      <c r="J781" s="4" t="n">
        <f aca="false">INDEX('Master List'!$G$2:$G$2594,K781)</f>
        <v>0</v>
      </c>
      <c r="K781" s="4" t="n">
        <v>1698</v>
      </c>
    </row>
    <row r="782" customFormat="false" ht="15" hidden="false" customHeight="false" outlineLevel="0" collapsed="false">
      <c r="A782" s="4" t="n">
        <v>781</v>
      </c>
      <c r="B782" s="4" t="s">
        <v>1299</v>
      </c>
      <c r="C782" s="4" t="n">
        <v>1931</v>
      </c>
      <c r="D782" s="4" t="s">
        <v>234</v>
      </c>
      <c r="E782" s="25" t="str">
        <f aca="false">IF(J782=1,"✓","")</f>
        <v/>
      </c>
      <c r="F782" s="4" t="n">
        <v>3</v>
      </c>
      <c r="G782" s="4" t="n">
        <v>2</v>
      </c>
      <c r="H782" s="4" t="s">
        <v>213</v>
      </c>
      <c r="I782" s="4" t="s">
        <v>51</v>
      </c>
      <c r="J782" s="4" t="n">
        <f aca="false">INDEX('Master List'!$G$2:$G$2594,K782)</f>
        <v>0</v>
      </c>
      <c r="K782" s="4" t="n">
        <v>441</v>
      </c>
    </row>
    <row r="783" customFormat="false" ht="15" hidden="false" customHeight="false" outlineLevel="0" collapsed="false">
      <c r="A783" s="4" t="n">
        <v>782</v>
      </c>
      <c r="B783" s="4" t="s">
        <v>1300</v>
      </c>
      <c r="C783" s="4" t="n">
        <v>1931</v>
      </c>
      <c r="D783" s="4" t="s">
        <v>1301</v>
      </c>
      <c r="E783" s="25" t="str">
        <f aca="false">IF(J783=1,"✓","")</f>
        <v/>
      </c>
      <c r="F783" s="4" t="n">
        <v>3</v>
      </c>
      <c r="G783" s="4" t="n">
        <v>2</v>
      </c>
      <c r="H783" s="4" t="s">
        <v>213</v>
      </c>
      <c r="I783" s="4" t="s">
        <v>51</v>
      </c>
      <c r="J783" s="4" t="n">
        <f aca="false">INDEX('Master List'!$G$2:$G$2594,K783)</f>
        <v>0</v>
      </c>
      <c r="K783" s="4" t="n">
        <v>1342</v>
      </c>
    </row>
    <row r="784" customFormat="false" ht="15" hidden="false" customHeight="false" outlineLevel="0" collapsed="false">
      <c r="A784" s="4" t="n">
        <v>783</v>
      </c>
      <c r="B784" s="4" t="s">
        <v>1302</v>
      </c>
      <c r="C784" s="4" t="n">
        <v>1932</v>
      </c>
      <c r="D784" s="4" t="s">
        <v>146</v>
      </c>
      <c r="E784" s="25" t="str">
        <f aca="false">IF(J784=1,"✓","")</f>
        <v/>
      </c>
      <c r="F784" s="4" t="n">
        <v>3</v>
      </c>
      <c r="G784" s="4" t="n">
        <v>2</v>
      </c>
      <c r="H784" s="4" t="s">
        <v>213</v>
      </c>
      <c r="I784" s="4" t="s">
        <v>50</v>
      </c>
      <c r="J784" s="4" t="n">
        <f aca="false">INDEX('Master List'!$G$2:$G$2594,K784)</f>
        <v>0</v>
      </c>
      <c r="K784" s="4" t="n">
        <v>1111</v>
      </c>
    </row>
    <row r="785" customFormat="false" ht="15" hidden="false" customHeight="false" outlineLevel="0" collapsed="false">
      <c r="A785" s="4" t="n">
        <v>784</v>
      </c>
      <c r="B785" s="4" t="s">
        <v>1303</v>
      </c>
      <c r="C785" s="4" t="n">
        <v>1932</v>
      </c>
      <c r="D785" s="4" t="s">
        <v>1304</v>
      </c>
      <c r="E785" s="25" t="str">
        <f aca="false">IF(J785=1,"✓","")</f>
        <v/>
      </c>
      <c r="F785" s="4" t="n">
        <v>3</v>
      </c>
      <c r="G785" s="4" t="n">
        <v>2</v>
      </c>
      <c r="H785" s="4" t="s">
        <v>213</v>
      </c>
      <c r="I785" s="4" t="s">
        <v>50</v>
      </c>
      <c r="J785" s="4" t="n">
        <f aca="false">INDEX('Master List'!$G$2:$G$2594,K785)</f>
        <v>0</v>
      </c>
      <c r="K785" s="4" t="n">
        <v>1390</v>
      </c>
    </row>
    <row r="786" customFormat="false" ht="15" hidden="false" customHeight="false" outlineLevel="0" collapsed="false">
      <c r="A786" s="4" t="n">
        <v>785</v>
      </c>
      <c r="B786" s="4" t="s">
        <v>1305</v>
      </c>
      <c r="C786" s="4" t="n">
        <v>1932</v>
      </c>
      <c r="D786" s="4" t="s">
        <v>234</v>
      </c>
      <c r="E786" s="25" t="str">
        <f aca="false">IF(J786=1,"✓","")</f>
        <v/>
      </c>
      <c r="F786" s="4" t="n">
        <v>3</v>
      </c>
      <c r="G786" s="4" t="n">
        <v>2</v>
      </c>
      <c r="H786" s="4" t="s">
        <v>213</v>
      </c>
      <c r="I786" s="4" t="s">
        <v>51</v>
      </c>
      <c r="J786" s="4" t="n">
        <f aca="false">INDEX('Master List'!$G$2:$G$2594,K786)</f>
        <v>0</v>
      </c>
      <c r="K786" s="4" t="n">
        <v>322</v>
      </c>
    </row>
    <row r="787" customFormat="false" ht="15" hidden="false" customHeight="false" outlineLevel="0" collapsed="false">
      <c r="A787" s="4" t="n">
        <v>786</v>
      </c>
      <c r="B787" s="4" t="s">
        <v>1306</v>
      </c>
      <c r="C787" s="4" t="n">
        <v>1933</v>
      </c>
      <c r="D787" s="4" t="s">
        <v>1307</v>
      </c>
      <c r="E787" s="25" t="str">
        <f aca="false">IF(J787=1,"✓","")</f>
        <v/>
      </c>
      <c r="F787" s="4" t="n">
        <v>3</v>
      </c>
      <c r="G787" s="4" t="n">
        <v>2</v>
      </c>
      <c r="H787" s="4" t="s">
        <v>213</v>
      </c>
      <c r="I787" s="4" t="s">
        <v>52</v>
      </c>
      <c r="J787" s="4" t="n">
        <f aca="false">INDEX('Master List'!$G$2:$G$2594,K787)</f>
        <v>0</v>
      </c>
      <c r="K787" s="4" t="n">
        <v>2115</v>
      </c>
    </row>
    <row r="788" customFormat="false" ht="15" hidden="false" customHeight="false" outlineLevel="0" collapsed="false">
      <c r="A788" s="4" t="n">
        <v>787</v>
      </c>
      <c r="B788" s="4" t="s">
        <v>1308</v>
      </c>
      <c r="C788" s="4" t="n">
        <v>1936</v>
      </c>
      <c r="D788" s="4" t="s">
        <v>286</v>
      </c>
      <c r="E788" s="25" t="str">
        <f aca="false">IF(J788=1,"✓","")</f>
        <v/>
      </c>
      <c r="F788" s="4" t="n">
        <v>3</v>
      </c>
      <c r="G788" s="4" t="n">
        <v>2</v>
      </c>
      <c r="H788" s="4" t="s">
        <v>213</v>
      </c>
      <c r="I788" s="4" t="s">
        <v>51</v>
      </c>
      <c r="J788" s="4" t="n">
        <f aca="false">INDEX('Master List'!$G$2:$G$2594,K788)</f>
        <v>0</v>
      </c>
      <c r="K788" s="4" t="n">
        <v>2083</v>
      </c>
    </row>
    <row r="789" customFormat="false" ht="15" hidden="false" customHeight="false" outlineLevel="0" collapsed="false">
      <c r="A789" s="4" t="n">
        <v>788</v>
      </c>
      <c r="B789" s="4" t="s">
        <v>1309</v>
      </c>
      <c r="C789" s="4" t="n">
        <v>1939</v>
      </c>
      <c r="D789" s="4" t="s">
        <v>168</v>
      </c>
      <c r="E789" s="25" t="str">
        <f aca="false">IF(J789=1,"✓","")</f>
        <v>✓</v>
      </c>
      <c r="F789" s="4" t="n">
        <v>3</v>
      </c>
      <c r="G789" s="4" t="n">
        <v>2</v>
      </c>
      <c r="H789" s="4" t="s">
        <v>213</v>
      </c>
      <c r="I789" s="4" t="s">
        <v>50</v>
      </c>
      <c r="J789" s="4" t="n">
        <f aca="false">INDEX('Master List'!$G$2:$G$2594,K789)</f>
        <v>1</v>
      </c>
      <c r="K789" s="4" t="n">
        <v>1684</v>
      </c>
    </row>
    <row r="790" customFormat="false" ht="15" hidden="false" customHeight="false" outlineLevel="0" collapsed="false">
      <c r="A790" s="4" t="n">
        <v>789</v>
      </c>
      <c r="B790" s="4" t="s">
        <v>1310</v>
      </c>
      <c r="C790" s="4" t="n">
        <v>1939</v>
      </c>
      <c r="D790" s="4" t="s">
        <v>286</v>
      </c>
      <c r="E790" s="25" t="str">
        <f aca="false">IF(J790=1,"✓","")</f>
        <v/>
      </c>
      <c r="F790" s="4" t="n">
        <v>3</v>
      </c>
      <c r="G790" s="4" t="n">
        <v>2</v>
      </c>
      <c r="H790" s="4" t="s">
        <v>213</v>
      </c>
      <c r="I790" s="4" t="s">
        <v>51</v>
      </c>
      <c r="J790" s="4" t="n">
        <f aca="false">INDEX('Master List'!$G$2:$G$2594,K790)</f>
        <v>0</v>
      </c>
      <c r="K790" s="4" t="n">
        <v>2168</v>
      </c>
    </row>
    <row r="791" customFormat="false" ht="15" hidden="false" customHeight="false" outlineLevel="0" collapsed="false">
      <c r="A791" s="4" t="n">
        <v>790</v>
      </c>
      <c r="B791" s="4" t="s">
        <v>1311</v>
      </c>
      <c r="C791" s="4" t="n">
        <v>1941</v>
      </c>
      <c r="D791" s="4" t="s">
        <v>168</v>
      </c>
      <c r="E791" s="25" t="str">
        <f aca="false">IF(J791=1,"✓","")</f>
        <v/>
      </c>
      <c r="F791" s="4" t="n">
        <v>3</v>
      </c>
      <c r="G791" s="4" t="n">
        <v>2</v>
      </c>
      <c r="H791" s="4" t="s">
        <v>213</v>
      </c>
      <c r="I791" s="4" t="s">
        <v>52</v>
      </c>
      <c r="J791" s="4" t="n">
        <f aca="false">INDEX('Master List'!$G$2:$G$2594,K791)</f>
        <v>0</v>
      </c>
      <c r="K791" s="4" t="n">
        <v>174</v>
      </c>
    </row>
    <row r="792" customFormat="false" ht="15" hidden="false" customHeight="false" outlineLevel="0" collapsed="false">
      <c r="A792" s="4" t="n">
        <v>791</v>
      </c>
      <c r="B792" s="4" t="s">
        <v>1312</v>
      </c>
      <c r="C792" s="4" t="n">
        <v>1943</v>
      </c>
      <c r="D792" s="4" t="s">
        <v>246</v>
      </c>
      <c r="E792" s="25" t="str">
        <f aca="false">IF(J792=1,"✓","")</f>
        <v/>
      </c>
      <c r="F792" s="4" t="n">
        <v>3</v>
      </c>
      <c r="G792" s="4" t="n">
        <v>2</v>
      </c>
      <c r="H792" s="4" t="s">
        <v>213</v>
      </c>
      <c r="I792" s="4" t="s">
        <v>49</v>
      </c>
      <c r="J792" s="4" t="n">
        <f aca="false">INDEX('Master List'!$G$2:$G$2594,K792)</f>
        <v>0</v>
      </c>
      <c r="K792" s="4" t="n">
        <v>576</v>
      </c>
    </row>
    <row r="793" customFormat="false" ht="15" hidden="false" customHeight="false" outlineLevel="0" collapsed="false">
      <c r="A793" s="4" t="n">
        <v>792</v>
      </c>
      <c r="B793" s="4" t="s">
        <v>1313</v>
      </c>
      <c r="C793" s="4" t="n">
        <v>1944</v>
      </c>
      <c r="D793" s="4" t="s">
        <v>162</v>
      </c>
      <c r="E793" s="25" t="str">
        <f aca="false">IF(J793=1,"✓","")</f>
        <v/>
      </c>
      <c r="F793" s="4" t="n">
        <v>3</v>
      </c>
      <c r="G793" s="4" t="n">
        <v>2</v>
      </c>
      <c r="H793" s="4" t="s">
        <v>213</v>
      </c>
      <c r="I793" s="4" t="s">
        <v>53</v>
      </c>
      <c r="J793" s="4" t="n">
        <f aca="false">INDEX('Master List'!$G$2:$G$2594,K793)</f>
        <v>0</v>
      </c>
      <c r="K793" s="4" t="n">
        <v>1335</v>
      </c>
    </row>
    <row r="794" customFormat="false" ht="15" hidden="false" customHeight="false" outlineLevel="0" collapsed="false">
      <c r="A794" s="4" t="n">
        <v>793</v>
      </c>
      <c r="B794" s="4" t="s">
        <v>1314</v>
      </c>
      <c r="C794" s="4" t="n">
        <v>1953</v>
      </c>
      <c r="D794" s="4" t="s">
        <v>1315</v>
      </c>
      <c r="E794" s="25" t="str">
        <f aca="false">IF(J794=1,"✓","")</f>
        <v/>
      </c>
      <c r="F794" s="4" t="n">
        <v>3</v>
      </c>
      <c r="G794" s="4" t="n">
        <v>2</v>
      </c>
      <c r="H794" s="4" t="s">
        <v>213</v>
      </c>
      <c r="I794" s="4" t="s">
        <v>52</v>
      </c>
      <c r="J794" s="4" t="n">
        <f aca="false">INDEX('Master List'!$G$2:$G$2594,K794)</f>
        <v>0</v>
      </c>
      <c r="K794" s="4" t="n">
        <v>1046</v>
      </c>
    </row>
    <row r="795" customFormat="false" ht="15" hidden="false" customHeight="false" outlineLevel="0" collapsed="false">
      <c r="A795" s="4" t="n">
        <v>794</v>
      </c>
      <c r="B795" s="4" t="s">
        <v>1316</v>
      </c>
      <c r="C795" s="4" t="n">
        <v>1953</v>
      </c>
      <c r="D795" s="4" t="s">
        <v>1317</v>
      </c>
      <c r="E795" s="25" t="str">
        <f aca="false">IF(J795=1,"✓","")</f>
        <v/>
      </c>
      <c r="F795" s="4" t="n">
        <v>3</v>
      </c>
      <c r="G795" s="4" t="n">
        <v>2</v>
      </c>
      <c r="H795" s="4" t="s">
        <v>213</v>
      </c>
      <c r="I795" s="4" t="s">
        <v>52</v>
      </c>
      <c r="J795" s="4" t="n">
        <f aca="false">INDEX('Master List'!$G$2:$G$2594,K795)</f>
        <v>0</v>
      </c>
      <c r="K795" s="4" t="n">
        <v>2448</v>
      </c>
    </row>
    <row r="796" customFormat="false" ht="15" hidden="false" customHeight="false" outlineLevel="0" collapsed="false">
      <c r="A796" s="4" t="n">
        <v>795</v>
      </c>
      <c r="B796" s="4" t="s">
        <v>1318</v>
      </c>
      <c r="C796" s="4" t="n">
        <v>1954</v>
      </c>
      <c r="D796" s="4" t="s">
        <v>1319</v>
      </c>
      <c r="E796" s="25" t="str">
        <f aca="false">IF(J796=1,"✓","")</f>
        <v/>
      </c>
      <c r="F796" s="4" t="n">
        <v>3</v>
      </c>
      <c r="G796" s="4" t="n">
        <v>2</v>
      </c>
      <c r="H796" s="4" t="s">
        <v>213</v>
      </c>
      <c r="I796" s="4" t="s">
        <v>51</v>
      </c>
      <c r="J796" s="4" t="n">
        <f aca="false">INDEX('Master List'!$G$2:$G$2594,K796)</f>
        <v>0</v>
      </c>
      <c r="K796" s="4" t="n">
        <v>51</v>
      </c>
    </row>
    <row r="797" customFormat="false" ht="15" hidden="false" customHeight="false" outlineLevel="0" collapsed="false">
      <c r="A797" s="4" t="n">
        <v>796</v>
      </c>
      <c r="B797" s="4" t="s">
        <v>1320</v>
      </c>
      <c r="C797" s="4" t="n">
        <v>1955</v>
      </c>
      <c r="D797" s="4" t="s">
        <v>158</v>
      </c>
      <c r="E797" s="25" t="str">
        <f aca="false">IF(J797=1,"✓","")</f>
        <v/>
      </c>
      <c r="F797" s="4" t="n">
        <v>3</v>
      </c>
      <c r="G797" s="4" t="n">
        <v>2</v>
      </c>
      <c r="H797" s="4" t="s">
        <v>213</v>
      </c>
      <c r="I797" s="4" t="s">
        <v>51</v>
      </c>
      <c r="J797" s="4" t="n">
        <f aca="false">INDEX('Master List'!$G$2:$G$2594,K797)</f>
        <v>0</v>
      </c>
      <c r="K797" s="4" t="n">
        <v>1785</v>
      </c>
    </row>
    <row r="798" customFormat="false" ht="15" hidden="false" customHeight="false" outlineLevel="0" collapsed="false">
      <c r="A798" s="4" t="n">
        <v>797</v>
      </c>
      <c r="B798" s="4" t="s">
        <v>1321</v>
      </c>
      <c r="C798" s="4" t="n">
        <v>1957</v>
      </c>
      <c r="D798" s="4" t="s">
        <v>375</v>
      </c>
      <c r="E798" s="25" t="str">
        <f aca="false">IF(J798=1,"✓","")</f>
        <v/>
      </c>
      <c r="F798" s="4" t="n">
        <v>3</v>
      </c>
      <c r="G798" s="4" t="n">
        <v>2</v>
      </c>
      <c r="H798" s="4" t="s">
        <v>213</v>
      </c>
      <c r="I798" s="4" t="s">
        <v>50</v>
      </c>
      <c r="J798" s="4" t="n">
        <f aca="false">INDEX('Master List'!$G$2:$G$2594,K798)</f>
        <v>0</v>
      </c>
      <c r="K798" s="4" t="n">
        <v>770</v>
      </c>
    </row>
    <row r="799" customFormat="false" ht="15" hidden="false" customHeight="false" outlineLevel="0" collapsed="false">
      <c r="A799" s="4" t="n">
        <v>798</v>
      </c>
      <c r="B799" s="4" t="s">
        <v>1322</v>
      </c>
      <c r="C799" s="4" t="n">
        <v>1957</v>
      </c>
      <c r="D799" s="4" t="s">
        <v>217</v>
      </c>
      <c r="E799" s="25" t="str">
        <f aca="false">IF(J799=1,"✓","")</f>
        <v/>
      </c>
      <c r="F799" s="4" t="n">
        <v>3</v>
      </c>
      <c r="G799" s="4" t="n">
        <v>2</v>
      </c>
      <c r="H799" s="4" t="s">
        <v>213</v>
      </c>
      <c r="I799" s="4" t="s">
        <v>51</v>
      </c>
      <c r="J799" s="4" t="n">
        <f aca="false">INDEX('Master List'!$G$2:$G$2594,K799)</f>
        <v>0</v>
      </c>
      <c r="K799" s="4" t="n">
        <v>966</v>
      </c>
    </row>
    <row r="800" customFormat="false" ht="15" hidden="false" customHeight="false" outlineLevel="0" collapsed="false">
      <c r="A800" s="4" t="n">
        <v>799</v>
      </c>
      <c r="B800" s="4" t="s">
        <v>1323</v>
      </c>
      <c r="C800" s="4" t="n">
        <v>1959</v>
      </c>
      <c r="D800" s="4" t="s">
        <v>402</v>
      </c>
      <c r="E800" s="25" t="str">
        <f aca="false">IF(J800=1,"✓","")</f>
        <v/>
      </c>
      <c r="F800" s="4" t="n">
        <v>3</v>
      </c>
      <c r="G800" s="4" t="n">
        <v>2</v>
      </c>
      <c r="H800" s="4" t="s">
        <v>213</v>
      </c>
      <c r="I800" s="4" t="s">
        <v>55</v>
      </c>
      <c r="J800" s="4" t="n">
        <f aca="false">INDEX('Master List'!$G$2:$G$2594,K800)</f>
        <v>0</v>
      </c>
      <c r="K800" s="4" t="n">
        <v>1590</v>
      </c>
    </row>
    <row r="801" customFormat="false" ht="15" hidden="false" customHeight="false" outlineLevel="0" collapsed="false">
      <c r="A801" s="4" t="n">
        <v>800</v>
      </c>
      <c r="B801" s="4" t="s">
        <v>1324</v>
      </c>
      <c r="C801" s="4" t="n">
        <v>1961</v>
      </c>
      <c r="D801" s="4" t="s">
        <v>777</v>
      </c>
      <c r="E801" s="25" t="str">
        <f aca="false">IF(J801=1,"✓","")</f>
        <v/>
      </c>
      <c r="F801" s="4" t="n">
        <v>3</v>
      </c>
      <c r="G801" s="4" t="n">
        <v>2</v>
      </c>
      <c r="H801" s="4" t="s">
        <v>213</v>
      </c>
      <c r="I801" s="4" t="s">
        <v>51</v>
      </c>
      <c r="J801" s="4" t="n">
        <f aca="false">INDEX('Master List'!$G$2:$G$2594,K801)</f>
        <v>0</v>
      </c>
      <c r="K801" s="4" t="n">
        <v>1367</v>
      </c>
    </row>
    <row r="802" customFormat="false" ht="15" hidden="false" customHeight="false" outlineLevel="0" collapsed="false">
      <c r="A802" s="4" t="n">
        <v>801</v>
      </c>
      <c r="B802" s="4" t="s">
        <v>1325</v>
      </c>
      <c r="C802" s="4" t="n">
        <v>1964</v>
      </c>
      <c r="D802" s="4" t="s">
        <v>1326</v>
      </c>
      <c r="E802" s="25" t="str">
        <f aca="false">IF(J802=1,"✓","")</f>
        <v/>
      </c>
      <c r="F802" s="4" t="n">
        <v>3</v>
      </c>
      <c r="G802" s="4" t="n">
        <v>3</v>
      </c>
      <c r="H802" s="4" t="s">
        <v>1327</v>
      </c>
      <c r="I802" s="4" t="s">
        <v>51</v>
      </c>
      <c r="J802" s="4" t="n">
        <f aca="false">INDEX('Master List'!$G$2:$G$2594,K802)</f>
        <v>0</v>
      </c>
      <c r="K802" s="4" t="n">
        <v>1708</v>
      </c>
    </row>
    <row r="803" customFormat="false" ht="15" hidden="false" customHeight="false" outlineLevel="0" collapsed="false">
      <c r="A803" s="4" t="n">
        <v>802</v>
      </c>
      <c r="B803" s="4" t="s">
        <v>1328</v>
      </c>
      <c r="C803" s="4" t="n">
        <v>1964</v>
      </c>
      <c r="D803" s="4" t="s">
        <v>1329</v>
      </c>
      <c r="E803" s="25" t="str">
        <f aca="false">IF(J803=1,"✓","")</f>
        <v/>
      </c>
      <c r="F803" s="4" t="n">
        <v>3</v>
      </c>
      <c r="G803" s="4" t="n">
        <v>2</v>
      </c>
      <c r="H803" s="4" t="s">
        <v>213</v>
      </c>
      <c r="I803" s="4" t="s">
        <v>51</v>
      </c>
      <c r="J803" s="4" t="n">
        <f aca="false">INDEX('Master List'!$G$2:$G$2594,K803)</f>
        <v>0</v>
      </c>
      <c r="K803" s="4" t="n">
        <v>685</v>
      </c>
    </row>
    <row r="804" customFormat="false" ht="15" hidden="false" customHeight="false" outlineLevel="0" collapsed="false">
      <c r="A804" s="4" t="n">
        <v>803</v>
      </c>
      <c r="B804" s="4" t="s">
        <v>1330</v>
      </c>
      <c r="C804" s="4" t="n">
        <v>1964</v>
      </c>
      <c r="D804" s="4" t="s">
        <v>162</v>
      </c>
      <c r="E804" s="25" t="str">
        <f aca="false">IF(J804=1,"✓","")</f>
        <v/>
      </c>
      <c r="F804" s="4" t="n">
        <v>3</v>
      </c>
      <c r="G804" s="4" t="n">
        <v>2</v>
      </c>
      <c r="H804" s="4" t="s">
        <v>213</v>
      </c>
      <c r="I804" s="4" t="s">
        <v>53</v>
      </c>
      <c r="J804" s="4" t="n">
        <f aca="false">INDEX('Master List'!$G$2:$G$2594,K804)</f>
        <v>0</v>
      </c>
      <c r="K804" s="4" t="n">
        <v>1449</v>
      </c>
    </row>
    <row r="805" customFormat="false" ht="15" hidden="false" customHeight="false" outlineLevel="0" collapsed="false">
      <c r="A805" s="4" t="n">
        <v>804</v>
      </c>
      <c r="B805" s="4" t="s">
        <v>1331</v>
      </c>
      <c r="C805" s="4" t="n">
        <v>1964</v>
      </c>
      <c r="D805" s="4" t="s">
        <v>1332</v>
      </c>
      <c r="E805" s="25" t="str">
        <f aca="false">IF(J805=1,"✓","")</f>
        <v/>
      </c>
      <c r="F805" s="4" t="n">
        <v>3</v>
      </c>
      <c r="G805" s="4" t="n">
        <v>2</v>
      </c>
      <c r="H805" s="4" t="s">
        <v>213</v>
      </c>
      <c r="I805" s="4" t="s">
        <v>54</v>
      </c>
      <c r="J805" s="4" t="n">
        <f aca="false">INDEX('Master List'!$G$2:$G$2594,K805)</f>
        <v>0</v>
      </c>
      <c r="K805" s="4" t="n">
        <v>1636</v>
      </c>
    </row>
    <row r="806" customFormat="false" ht="15" hidden="false" customHeight="false" outlineLevel="0" collapsed="false">
      <c r="A806" s="4" t="n">
        <v>805</v>
      </c>
      <c r="B806" s="4" t="s">
        <v>1333</v>
      </c>
      <c r="C806" s="4" t="n">
        <v>1966</v>
      </c>
      <c r="D806" s="4" t="s">
        <v>980</v>
      </c>
      <c r="E806" s="25" t="str">
        <f aca="false">IF(J806=1,"✓","")</f>
        <v/>
      </c>
      <c r="F806" s="4" t="n">
        <v>3</v>
      </c>
      <c r="G806" s="4" t="n">
        <v>2</v>
      </c>
      <c r="H806" s="4" t="s">
        <v>213</v>
      </c>
      <c r="I806" s="4" t="s">
        <v>51</v>
      </c>
      <c r="J806" s="4" t="n">
        <f aca="false">INDEX('Master List'!$G$2:$G$2594,K806)</f>
        <v>0</v>
      </c>
      <c r="K806" s="4" t="n">
        <v>1888</v>
      </c>
    </row>
    <row r="807" customFormat="false" ht="15" hidden="false" customHeight="false" outlineLevel="0" collapsed="false">
      <c r="A807" s="4" t="n">
        <v>806</v>
      </c>
      <c r="B807" s="4" t="s">
        <v>1334</v>
      </c>
      <c r="C807" s="4" t="n">
        <v>1966</v>
      </c>
      <c r="D807" s="4" t="s">
        <v>1335</v>
      </c>
      <c r="E807" s="25" t="str">
        <f aca="false">IF(J807=1,"✓","")</f>
        <v/>
      </c>
      <c r="F807" s="4" t="n">
        <v>3</v>
      </c>
      <c r="G807" s="4" t="n">
        <v>2</v>
      </c>
      <c r="H807" s="4" t="s">
        <v>213</v>
      </c>
      <c r="I807" s="4" t="s">
        <v>52</v>
      </c>
      <c r="J807" s="4" t="n">
        <f aca="false">INDEX('Master List'!$G$2:$G$2594,K807)</f>
        <v>0</v>
      </c>
      <c r="K807" s="4" t="n">
        <v>2462</v>
      </c>
    </row>
    <row r="808" customFormat="false" ht="15" hidden="false" customHeight="false" outlineLevel="0" collapsed="false">
      <c r="A808" s="4" t="n">
        <v>807</v>
      </c>
      <c r="B808" s="4" t="s">
        <v>1336</v>
      </c>
      <c r="C808" s="4" t="n">
        <v>1968</v>
      </c>
      <c r="D808" s="4" t="s">
        <v>272</v>
      </c>
      <c r="E808" s="25" t="str">
        <f aca="false">IF(J808=1,"✓","")</f>
        <v/>
      </c>
      <c r="F808" s="4" t="n">
        <v>3</v>
      </c>
      <c r="G808" s="4" t="n">
        <v>2</v>
      </c>
      <c r="H808" s="4" t="s">
        <v>213</v>
      </c>
      <c r="I808" s="4" t="s">
        <v>51</v>
      </c>
      <c r="J808" s="4" t="n">
        <f aca="false">INDEX('Master List'!$G$2:$G$2594,K808)</f>
        <v>0</v>
      </c>
      <c r="K808" s="4" t="n">
        <v>1199</v>
      </c>
    </row>
    <row r="809" customFormat="false" ht="15" hidden="false" customHeight="false" outlineLevel="0" collapsed="false">
      <c r="A809" s="4" t="n">
        <v>808</v>
      </c>
      <c r="B809" s="4" t="s">
        <v>1337</v>
      </c>
      <c r="C809" s="4" t="n">
        <v>1969</v>
      </c>
      <c r="D809" s="4" t="s">
        <v>1338</v>
      </c>
      <c r="E809" s="25" t="str">
        <f aca="false">IF(J809=1,"✓","")</f>
        <v/>
      </c>
      <c r="F809" s="4" t="n">
        <v>3</v>
      </c>
      <c r="G809" s="4" t="n">
        <v>2</v>
      </c>
      <c r="H809" s="4" t="s">
        <v>213</v>
      </c>
      <c r="I809" s="4" t="s">
        <v>50</v>
      </c>
      <c r="J809" s="4" t="n">
        <f aca="false">INDEX('Master List'!$G$2:$G$2594,K809)</f>
        <v>0</v>
      </c>
      <c r="K809" s="4" t="n">
        <v>524</v>
      </c>
    </row>
    <row r="810" customFormat="false" ht="15" hidden="false" customHeight="false" outlineLevel="0" collapsed="false">
      <c r="A810" s="4" t="n">
        <v>809</v>
      </c>
      <c r="B810" s="4" t="s">
        <v>1339</v>
      </c>
      <c r="C810" s="4" t="n">
        <v>1969</v>
      </c>
      <c r="D810" s="4" t="s">
        <v>1340</v>
      </c>
      <c r="E810" s="25" t="str">
        <f aca="false">IF(J810=1,"✓","")</f>
        <v/>
      </c>
      <c r="F810" s="4" t="n">
        <v>3</v>
      </c>
      <c r="G810" s="4" t="n">
        <v>2</v>
      </c>
      <c r="H810" s="4" t="s">
        <v>213</v>
      </c>
      <c r="I810" s="4" t="s">
        <v>51</v>
      </c>
      <c r="J810" s="4" t="n">
        <f aca="false">INDEX('Master List'!$G$2:$G$2594,K810)</f>
        <v>0</v>
      </c>
      <c r="K810" s="4" t="n">
        <v>1217</v>
      </c>
    </row>
    <row r="811" customFormat="false" ht="15" hidden="false" customHeight="false" outlineLevel="0" collapsed="false">
      <c r="A811" s="4" t="n">
        <v>810</v>
      </c>
      <c r="B811" s="4" t="s">
        <v>1341</v>
      </c>
      <c r="C811" s="4" t="n">
        <v>1969</v>
      </c>
      <c r="D811" s="4" t="s">
        <v>1342</v>
      </c>
      <c r="E811" s="25" t="str">
        <f aca="false">IF(J811=1,"✓","")</f>
        <v/>
      </c>
      <c r="F811" s="4" t="n">
        <v>3</v>
      </c>
      <c r="G811" s="4" t="n">
        <v>2</v>
      </c>
      <c r="H811" s="4" t="s">
        <v>213</v>
      </c>
      <c r="I811" s="4" t="s">
        <v>55</v>
      </c>
      <c r="J811" s="4" t="n">
        <f aca="false">INDEX('Master List'!$G$2:$G$2594,K811)</f>
        <v>0</v>
      </c>
      <c r="K811" s="4" t="n">
        <v>1470</v>
      </c>
    </row>
    <row r="812" customFormat="false" ht="15" hidden="false" customHeight="false" outlineLevel="0" collapsed="false">
      <c r="A812" s="4" t="n">
        <v>811</v>
      </c>
      <c r="B812" s="4" t="s">
        <v>1343</v>
      </c>
      <c r="C812" s="4" t="n">
        <v>1971</v>
      </c>
      <c r="D812" s="4" t="s">
        <v>1344</v>
      </c>
      <c r="E812" s="25" t="str">
        <f aca="false">IF(J812=1,"✓","")</f>
        <v/>
      </c>
      <c r="F812" s="4" t="n">
        <v>3</v>
      </c>
      <c r="G812" s="4" t="n">
        <v>2</v>
      </c>
      <c r="H812" s="4" t="s">
        <v>213</v>
      </c>
      <c r="I812" s="4" t="s">
        <v>50</v>
      </c>
      <c r="J812" s="4" t="n">
        <f aca="false">INDEX('Master List'!$G$2:$G$2594,K812)</f>
        <v>0</v>
      </c>
      <c r="K812" s="4" t="n">
        <v>2391</v>
      </c>
    </row>
    <row r="813" customFormat="false" ht="15" hidden="false" customHeight="false" outlineLevel="0" collapsed="false">
      <c r="A813" s="4" t="n">
        <v>812</v>
      </c>
      <c r="B813" s="4" t="s">
        <v>1345</v>
      </c>
      <c r="C813" s="4" t="n">
        <v>1971</v>
      </c>
      <c r="D813" s="4" t="s">
        <v>1346</v>
      </c>
      <c r="E813" s="25" t="str">
        <f aca="false">IF(J813=1,"✓","")</f>
        <v/>
      </c>
      <c r="F813" s="4" t="n">
        <v>3</v>
      </c>
      <c r="G813" s="4" t="n">
        <v>2</v>
      </c>
      <c r="H813" s="4" t="s">
        <v>213</v>
      </c>
      <c r="I813" s="4" t="s">
        <v>51</v>
      </c>
      <c r="J813" s="4" t="n">
        <f aca="false">INDEX('Master List'!$G$2:$G$2594,K813)</f>
        <v>0</v>
      </c>
      <c r="K813" s="4" t="n">
        <v>2174</v>
      </c>
    </row>
    <row r="814" customFormat="false" ht="15" hidden="false" customHeight="false" outlineLevel="0" collapsed="false">
      <c r="A814" s="4" t="n">
        <v>813</v>
      </c>
      <c r="B814" s="4" t="s">
        <v>1347</v>
      </c>
      <c r="C814" s="4" t="n">
        <v>1972</v>
      </c>
      <c r="D814" s="4" t="s">
        <v>594</v>
      </c>
      <c r="E814" s="25" t="str">
        <f aca="false">IF(J814=1,"✓","")</f>
        <v/>
      </c>
      <c r="F814" s="4" t="n">
        <v>3</v>
      </c>
      <c r="G814" s="4" t="n">
        <v>2</v>
      </c>
      <c r="H814" s="4" t="s">
        <v>213</v>
      </c>
      <c r="I814" s="4" t="s">
        <v>50</v>
      </c>
      <c r="J814" s="4" t="n">
        <f aca="false">INDEX('Master List'!$G$2:$G$2594,K814)</f>
        <v>0</v>
      </c>
      <c r="K814" s="4" t="n">
        <v>1259</v>
      </c>
    </row>
    <row r="815" customFormat="false" ht="15" hidden="false" customHeight="false" outlineLevel="0" collapsed="false">
      <c r="A815" s="4" t="n">
        <v>814</v>
      </c>
      <c r="B815" s="4" t="s">
        <v>1348</v>
      </c>
      <c r="C815" s="4" t="n">
        <v>1972</v>
      </c>
      <c r="D815" s="4" t="s">
        <v>488</v>
      </c>
      <c r="E815" s="25" t="str">
        <f aca="false">IF(J815=1,"✓","")</f>
        <v/>
      </c>
      <c r="F815" s="4" t="n">
        <v>3</v>
      </c>
      <c r="G815" s="4" t="n">
        <v>2</v>
      </c>
      <c r="H815" s="4" t="s">
        <v>213</v>
      </c>
      <c r="I815" s="4" t="s">
        <v>52</v>
      </c>
      <c r="J815" s="4" t="n">
        <f aca="false">INDEX('Master List'!$G$2:$G$2594,K815)</f>
        <v>0</v>
      </c>
      <c r="K815" s="4" t="n">
        <v>2082</v>
      </c>
    </row>
    <row r="816" customFormat="false" ht="15" hidden="false" customHeight="false" outlineLevel="0" collapsed="false">
      <c r="A816" s="4" t="n">
        <v>815</v>
      </c>
      <c r="B816" s="4" t="s">
        <v>1349</v>
      </c>
      <c r="C816" s="4" t="n">
        <v>1973</v>
      </c>
      <c r="D816" s="4" t="s">
        <v>1350</v>
      </c>
      <c r="E816" s="25" t="str">
        <f aca="false">IF(J816=1,"✓","")</f>
        <v/>
      </c>
      <c r="F816" s="4" t="n">
        <v>3</v>
      </c>
      <c r="G816" s="4" t="n">
        <v>2</v>
      </c>
      <c r="H816" s="4" t="s">
        <v>213</v>
      </c>
      <c r="I816" s="4" t="s">
        <v>51</v>
      </c>
      <c r="J816" s="4" t="n">
        <f aca="false">INDEX('Master List'!$G$2:$G$2594,K816)</f>
        <v>0</v>
      </c>
      <c r="K816" s="4" t="n">
        <v>1071</v>
      </c>
    </row>
    <row r="817" customFormat="false" ht="15" hidden="false" customHeight="false" outlineLevel="0" collapsed="false">
      <c r="A817" s="4" t="n">
        <v>816</v>
      </c>
      <c r="B817" s="4" t="s">
        <v>1351</v>
      </c>
      <c r="C817" s="4" t="n">
        <v>1974</v>
      </c>
      <c r="D817" s="4" t="s">
        <v>488</v>
      </c>
      <c r="E817" s="25" t="str">
        <f aca="false">IF(J817=1,"✓","")</f>
        <v/>
      </c>
      <c r="F817" s="4" t="n">
        <v>3</v>
      </c>
      <c r="G817" s="4" t="n">
        <v>2</v>
      </c>
      <c r="H817" s="4" t="s">
        <v>213</v>
      </c>
      <c r="I817" s="4" t="s">
        <v>52</v>
      </c>
      <c r="J817" s="4" t="n">
        <f aca="false">INDEX('Master List'!$G$2:$G$2594,K817)</f>
        <v>0</v>
      </c>
      <c r="K817" s="4" t="n">
        <v>1753</v>
      </c>
    </row>
    <row r="818" customFormat="false" ht="15" hidden="false" customHeight="false" outlineLevel="0" collapsed="false">
      <c r="A818" s="4" t="n">
        <v>817</v>
      </c>
      <c r="B818" s="4" t="s">
        <v>1352</v>
      </c>
      <c r="C818" s="4" t="n">
        <v>1976</v>
      </c>
      <c r="D818" s="4" t="s">
        <v>365</v>
      </c>
      <c r="E818" s="25" t="str">
        <f aca="false">IF(J818=1,"✓","")</f>
        <v/>
      </c>
      <c r="F818" s="4" t="n">
        <v>3</v>
      </c>
      <c r="G818" s="4" t="n">
        <v>2</v>
      </c>
      <c r="H818" s="4" t="s">
        <v>213</v>
      </c>
      <c r="I818" s="4" t="s">
        <v>51</v>
      </c>
      <c r="J818" s="4" t="n">
        <f aca="false">INDEX('Master List'!$G$2:$G$2594,K818)</f>
        <v>0</v>
      </c>
      <c r="K818" s="4" t="n">
        <v>1262</v>
      </c>
    </row>
    <row r="819" customFormat="false" ht="15" hidden="false" customHeight="false" outlineLevel="0" collapsed="false">
      <c r="A819" s="4" t="n">
        <v>818</v>
      </c>
      <c r="B819" s="4" t="s">
        <v>1353</v>
      </c>
      <c r="C819" s="4" t="n">
        <v>1976</v>
      </c>
      <c r="D819" s="4" t="s">
        <v>1354</v>
      </c>
      <c r="E819" s="25" t="str">
        <f aca="false">IF(J819=1,"✓","")</f>
        <v/>
      </c>
      <c r="F819" s="4" t="n">
        <v>3</v>
      </c>
      <c r="G819" s="4" t="n">
        <v>2</v>
      </c>
      <c r="H819" s="4" t="s">
        <v>213</v>
      </c>
      <c r="I819" s="4" t="s">
        <v>51</v>
      </c>
      <c r="J819" s="4" t="n">
        <f aca="false">INDEX('Master List'!$G$2:$G$2594,K819)</f>
        <v>0</v>
      </c>
      <c r="K819" s="4" t="n">
        <v>437</v>
      </c>
    </row>
    <row r="820" customFormat="false" ht="15" hidden="false" customHeight="false" outlineLevel="0" collapsed="false">
      <c r="A820" s="4" t="n">
        <v>819</v>
      </c>
      <c r="B820" s="4" t="s">
        <v>1355</v>
      </c>
      <c r="C820" s="4" t="n">
        <v>1976</v>
      </c>
      <c r="D820" s="4" t="s">
        <v>488</v>
      </c>
      <c r="E820" s="25" t="str">
        <f aca="false">IF(J820=1,"✓","")</f>
        <v/>
      </c>
      <c r="F820" s="4" t="n">
        <v>3</v>
      </c>
      <c r="G820" s="4" t="n">
        <v>2</v>
      </c>
      <c r="H820" s="4" t="s">
        <v>213</v>
      </c>
      <c r="I820" s="4" t="s">
        <v>52</v>
      </c>
      <c r="J820" s="4" t="n">
        <f aca="false">INDEX('Master List'!$G$2:$G$2594,K820)</f>
        <v>0</v>
      </c>
      <c r="K820" s="4" t="n">
        <v>1644</v>
      </c>
    </row>
    <row r="821" customFormat="false" ht="15" hidden="false" customHeight="false" outlineLevel="0" collapsed="false">
      <c r="A821" s="4" t="n">
        <v>820</v>
      </c>
      <c r="B821" s="4" t="s">
        <v>1356</v>
      </c>
      <c r="C821" s="4" t="n">
        <v>1976</v>
      </c>
      <c r="D821" s="4" t="s">
        <v>707</v>
      </c>
      <c r="E821" s="25" t="str">
        <f aca="false">IF(J821=1,"✓","")</f>
        <v>✓</v>
      </c>
      <c r="F821" s="4" t="n">
        <v>3</v>
      </c>
      <c r="G821" s="4" t="n">
        <v>2</v>
      </c>
      <c r="H821" s="4" t="s">
        <v>213</v>
      </c>
      <c r="I821" s="4" t="s">
        <v>53</v>
      </c>
      <c r="J821" s="4" t="n">
        <f aca="false">INDEX('Master List'!$G$2:$G$2594,K821)</f>
        <v>1</v>
      </c>
      <c r="K821" s="4" t="n">
        <v>1498</v>
      </c>
    </row>
    <row r="822" customFormat="false" ht="15" hidden="false" customHeight="false" outlineLevel="0" collapsed="false">
      <c r="A822" s="4" t="n">
        <v>821</v>
      </c>
      <c r="B822" s="4" t="s">
        <v>1357</v>
      </c>
      <c r="C822" s="4" t="n">
        <v>1977</v>
      </c>
      <c r="D822" s="4" t="s">
        <v>292</v>
      </c>
      <c r="E822" s="25" t="str">
        <f aca="false">IF(J822=1,"✓","")</f>
        <v/>
      </c>
      <c r="F822" s="4" t="n">
        <v>3</v>
      </c>
      <c r="G822" s="4" t="n">
        <v>2</v>
      </c>
      <c r="H822" s="4" t="s">
        <v>213</v>
      </c>
      <c r="I822" s="4" t="s">
        <v>51</v>
      </c>
      <c r="J822" s="4" t="n">
        <f aca="false">INDEX('Master List'!$G$2:$G$2594,K822)</f>
        <v>0</v>
      </c>
      <c r="K822" s="4" t="n">
        <v>2188</v>
      </c>
    </row>
    <row r="823" customFormat="false" ht="15" hidden="false" customHeight="false" outlineLevel="0" collapsed="false">
      <c r="A823" s="4" t="n">
        <v>822</v>
      </c>
      <c r="B823" s="4" t="s">
        <v>1358</v>
      </c>
      <c r="C823" s="4" t="n">
        <v>1977</v>
      </c>
      <c r="D823" s="4" t="s">
        <v>479</v>
      </c>
      <c r="E823" s="25" t="str">
        <f aca="false">IF(J823=1,"✓","")</f>
        <v/>
      </c>
      <c r="F823" s="4" t="n">
        <v>3</v>
      </c>
      <c r="G823" s="4" t="n">
        <v>2</v>
      </c>
      <c r="H823" s="4" t="s">
        <v>213</v>
      </c>
      <c r="I823" s="4" t="s">
        <v>52</v>
      </c>
      <c r="J823" s="4" t="n">
        <f aca="false">INDEX('Master List'!$G$2:$G$2594,K823)</f>
        <v>0</v>
      </c>
      <c r="K823" s="4" t="n">
        <v>2117</v>
      </c>
    </row>
    <row r="824" customFormat="false" ht="15" hidden="false" customHeight="false" outlineLevel="0" collapsed="false">
      <c r="A824" s="4" t="n">
        <v>823</v>
      </c>
      <c r="B824" s="4" t="s">
        <v>1359</v>
      </c>
      <c r="C824" s="4" t="n">
        <v>1977</v>
      </c>
      <c r="D824" s="4" t="s">
        <v>1360</v>
      </c>
      <c r="E824" s="25" t="str">
        <f aca="false">IF(J824=1,"✓","")</f>
        <v/>
      </c>
      <c r="F824" s="4" t="n">
        <v>3</v>
      </c>
      <c r="G824" s="4" t="n">
        <v>2</v>
      </c>
      <c r="H824" s="4" t="s">
        <v>213</v>
      </c>
      <c r="I824" s="4" t="s">
        <v>52</v>
      </c>
      <c r="J824" s="4" t="n">
        <f aca="false">INDEX('Master List'!$G$2:$G$2594,K824)</f>
        <v>0</v>
      </c>
      <c r="K824" s="4" t="n">
        <v>1925</v>
      </c>
    </row>
    <row r="825" customFormat="false" ht="15" hidden="false" customHeight="false" outlineLevel="0" collapsed="false">
      <c r="A825" s="4" t="n">
        <v>824</v>
      </c>
      <c r="B825" s="4" t="s">
        <v>1361</v>
      </c>
      <c r="C825" s="4" t="n">
        <v>1978</v>
      </c>
      <c r="D825" s="4" t="s">
        <v>170</v>
      </c>
      <c r="E825" s="25" t="str">
        <f aca="false">IF(J825=1,"✓","")</f>
        <v/>
      </c>
      <c r="F825" s="4" t="n">
        <v>3</v>
      </c>
      <c r="G825" s="4" t="n">
        <v>2</v>
      </c>
      <c r="H825" s="4" t="s">
        <v>213</v>
      </c>
      <c r="I825" s="4" t="s">
        <v>53</v>
      </c>
      <c r="J825" s="4" t="n">
        <f aca="false">INDEX('Master List'!$G$2:$G$2594,K825)</f>
        <v>0</v>
      </c>
      <c r="K825" s="4" t="n">
        <v>153</v>
      </c>
    </row>
    <row r="826" customFormat="false" ht="15" hidden="false" customHeight="false" outlineLevel="0" collapsed="false">
      <c r="A826" s="4" t="n">
        <v>825</v>
      </c>
      <c r="B826" s="4" t="s">
        <v>1362</v>
      </c>
      <c r="C826" s="4" t="n">
        <v>1979</v>
      </c>
      <c r="D826" s="4" t="s">
        <v>709</v>
      </c>
      <c r="E826" s="25" t="str">
        <f aca="false">IF(J826=1,"✓","")</f>
        <v/>
      </c>
      <c r="F826" s="4" t="n">
        <v>3</v>
      </c>
      <c r="G826" s="4" t="n">
        <v>2</v>
      </c>
      <c r="H826" s="4" t="s">
        <v>213</v>
      </c>
      <c r="I826" s="4" t="s">
        <v>51</v>
      </c>
      <c r="J826" s="4" t="n">
        <f aca="false">INDEX('Master List'!$G$2:$G$2594,K826)</f>
        <v>0</v>
      </c>
      <c r="K826" s="4" t="n">
        <v>2589</v>
      </c>
    </row>
    <row r="827" customFormat="false" ht="15" hidden="false" customHeight="false" outlineLevel="0" collapsed="false">
      <c r="A827" s="4" t="n">
        <v>826</v>
      </c>
      <c r="B827" s="4" t="s">
        <v>1363</v>
      </c>
      <c r="C827" s="4" t="n">
        <v>1979</v>
      </c>
      <c r="D827" s="4" t="s">
        <v>283</v>
      </c>
      <c r="E827" s="25" t="str">
        <f aca="false">IF(J827=1,"✓","")</f>
        <v/>
      </c>
      <c r="F827" s="4" t="n">
        <v>3</v>
      </c>
      <c r="G827" s="4" t="n">
        <v>2</v>
      </c>
      <c r="H827" s="4" t="s">
        <v>213</v>
      </c>
      <c r="I827" s="4" t="s">
        <v>55</v>
      </c>
      <c r="J827" s="4" t="n">
        <f aca="false">INDEX('Master List'!$G$2:$G$2594,K827)</f>
        <v>0</v>
      </c>
      <c r="K827" s="4" t="n">
        <v>2532</v>
      </c>
    </row>
    <row r="828" customFormat="false" ht="15" hidden="false" customHeight="false" outlineLevel="0" collapsed="false">
      <c r="A828" s="4" t="n">
        <v>827</v>
      </c>
      <c r="B828" s="4" t="s">
        <v>1364</v>
      </c>
      <c r="C828" s="4" t="n">
        <v>1981</v>
      </c>
      <c r="D828" s="4" t="s">
        <v>1365</v>
      </c>
      <c r="E828" s="25" t="str">
        <f aca="false">IF(J828=1,"✓","")</f>
        <v/>
      </c>
      <c r="F828" s="4" t="n">
        <v>3</v>
      </c>
      <c r="G828" s="4" t="n">
        <v>2</v>
      </c>
      <c r="H828" s="4" t="s">
        <v>213</v>
      </c>
      <c r="I828" s="4" t="s">
        <v>52</v>
      </c>
      <c r="J828" s="4" t="n">
        <f aca="false">INDEX('Master List'!$G$2:$G$2594,K828)</f>
        <v>0</v>
      </c>
      <c r="K828" s="4" t="n">
        <v>370</v>
      </c>
    </row>
    <row r="829" customFormat="false" ht="15" hidden="false" customHeight="false" outlineLevel="0" collapsed="false">
      <c r="A829" s="4" t="n">
        <v>828</v>
      </c>
      <c r="B829" s="4" t="s">
        <v>1366</v>
      </c>
      <c r="C829" s="4" t="n">
        <v>1981</v>
      </c>
      <c r="D829" s="4" t="s">
        <v>1367</v>
      </c>
      <c r="E829" s="25" t="str">
        <f aca="false">IF(J829=1,"✓","")</f>
        <v/>
      </c>
      <c r="F829" s="4" t="n">
        <v>3</v>
      </c>
      <c r="G829" s="4" t="n">
        <v>2</v>
      </c>
      <c r="H829" s="4" t="s">
        <v>213</v>
      </c>
      <c r="I829" s="4" t="s">
        <v>52</v>
      </c>
      <c r="J829" s="4" t="n">
        <f aca="false">INDEX('Master List'!$G$2:$G$2594,K829)</f>
        <v>0</v>
      </c>
      <c r="K829" s="4" t="n">
        <v>1565</v>
      </c>
    </row>
    <row r="830" customFormat="false" ht="15" hidden="false" customHeight="false" outlineLevel="0" collapsed="false">
      <c r="A830" s="4" t="n">
        <v>829</v>
      </c>
      <c r="B830" s="4" t="s">
        <v>1368</v>
      </c>
      <c r="C830" s="4" t="n">
        <v>1983</v>
      </c>
      <c r="D830" s="4" t="s">
        <v>215</v>
      </c>
      <c r="E830" s="25" t="str">
        <f aca="false">IF(J830=1,"✓","")</f>
        <v/>
      </c>
      <c r="F830" s="4" t="n">
        <v>3</v>
      </c>
      <c r="G830" s="4" t="n">
        <v>2</v>
      </c>
      <c r="H830" s="4" t="s">
        <v>213</v>
      </c>
      <c r="I830" s="4" t="s">
        <v>53</v>
      </c>
      <c r="J830" s="4" t="n">
        <f aca="false">INDEX('Master List'!$G$2:$G$2594,K830)</f>
        <v>0</v>
      </c>
      <c r="K830" s="4" t="n">
        <v>127</v>
      </c>
    </row>
    <row r="831" customFormat="false" ht="15" hidden="false" customHeight="false" outlineLevel="0" collapsed="false">
      <c r="A831" s="4" t="n">
        <v>830</v>
      </c>
      <c r="B831" s="4" t="s">
        <v>1369</v>
      </c>
      <c r="C831" s="4" t="n">
        <v>1985</v>
      </c>
      <c r="D831" s="4" t="s">
        <v>1370</v>
      </c>
      <c r="E831" s="25" t="str">
        <f aca="false">IF(J831=1,"✓","")</f>
        <v/>
      </c>
      <c r="F831" s="4" t="n">
        <v>3</v>
      </c>
      <c r="G831" s="4" t="n">
        <v>2</v>
      </c>
      <c r="H831" s="4" t="s">
        <v>213</v>
      </c>
      <c r="I831" s="4" t="s">
        <v>52</v>
      </c>
      <c r="J831" s="4" t="n">
        <f aca="false">INDEX('Master List'!$G$2:$G$2594,K831)</f>
        <v>0</v>
      </c>
      <c r="K831" s="4" t="n">
        <v>2048</v>
      </c>
    </row>
    <row r="832" customFormat="false" ht="15" hidden="false" customHeight="false" outlineLevel="0" collapsed="false">
      <c r="A832" s="4" t="n">
        <v>831</v>
      </c>
      <c r="B832" s="4" t="s">
        <v>1371</v>
      </c>
      <c r="C832" s="4" t="n">
        <v>1985</v>
      </c>
      <c r="D832" s="4" t="s">
        <v>158</v>
      </c>
      <c r="E832" s="25" t="str">
        <f aca="false">IF(J832=1,"✓","")</f>
        <v/>
      </c>
      <c r="F832" s="4" t="n">
        <v>3</v>
      </c>
      <c r="G832" s="4" t="n">
        <v>2</v>
      </c>
      <c r="H832" s="4" t="s">
        <v>213</v>
      </c>
      <c r="I832" s="4" t="s">
        <v>53</v>
      </c>
      <c r="J832" s="4" t="n">
        <f aca="false">INDEX('Master List'!$G$2:$G$2594,K832)</f>
        <v>0</v>
      </c>
      <c r="K832" s="4" t="n">
        <v>2417</v>
      </c>
    </row>
    <row r="833" customFormat="false" ht="15" hidden="false" customHeight="false" outlineLevel="0" collapsed="false">
      <c r="A833" s="4" t="n">
        <v>832</v>
      </c>
      <c r="B833" s="4" t="s">
        <v>1372</v>
      </c>
      <c r="C833" s="4" t="n">
        <v>1987</v>
      </c>
      <c r="D833" s="4" t="s">
        <v>1373</v>
      </c>
      <c r="E833" s="25" t="str">
        <f aca="false">IF(J833=1,"✓","")</f>
        <v>✓</v>
      </c>
      <c r="F833" s="4" t="n">
        <v>3</v>
      </c>
      <c r="G833" s="4" t="n">
        <v>2</v>
      </c>
      <c r="H833" s="4" t="s">
        <v>213</v>
      </c>
      <c r="I833" s="4" t="s">
        <v>52</v>
      </c>
      <c r="J833" s="4" t="n">
        <f aca="false">INDEX('Master List'!$G$2:$G$2594,K833)</f>
        <v>1</v>
      </c>
      <c r="K833" s="4" t="n">
        <v>1775</v>
      </c>
    </row>
    <row r="834" customFormat="false" ht="15" hidden="false" customHeight="false" outlineLevel="0" collapsed="false">
      <c r="A834" s="4" t="n">
        <v>833</v>
      </c>
      <c r="B834" s="4" t="s">
        <v>1374</v>
      </c>
      <c r="C834" s="4" t="n">
        <v>1988</v>
      </c>
      <c r="D834" s="4" t="s">
        <v>316</v>
      </c>
      <c r="E834" s="25" t="str">
        <f aca="false">IF(J834=1,"✓","")</f>
        <v/>
      </c>
      <c r="F834" s="4" t="n">
        <v>3</v>
      </c>
      <c r="G834" s="4" t="n">
        <v>2</v>
      </c>
      <c r="H834" s="4" t="s">
        <v>213</v>
      </c>
      <c r="I834" s="4" t="s">
        <v>52</v>
      </c>
      <c r="J834" s="4" t="n">
        <f aca="false">INDEX('Master List'!$G$2:$G$2594,K834)</f>
        <v>0</v>
      </c>
      <c r="K834" s="4" t="n">
        <v>587</v>
      </c>
    </row>
    <row r="835" customFormat="false" ht="15" hidden="false" customHeight="false" outlineLevel="0" collapsed="false">
      <c r="A835" s="4" t="n">
        <v>834</v>
      </c>
      <c r="B835" s="4" t="s">
        <v>1375</v>
      </c>
      <c r="C835" s="4" t="n">
        <v>1989</v>
      </c>
      <c r="D835" s="4" t="s">
        <v>1376</v>
      </c>
      <c r="E835" s="25" t="str">
        <f aca="false">IF(J835=1,"✓","")</f>
        <v/>
      </c>
      <c r="F835" s="4" t="n">
        <v>3</v>
      </c>
      <c r="G835" s="4" t="n">
        <v>2</v>
      </c>
      <c r="H835" s="4" t="s">
        <v>213</v>
      </c>
      <c r="I835" s="4" t="s">
        <v>52</v>
      </c>
      <c r="J835" s="4" t="n">
        <f aca="false">INDEX('Master List'!$G$2:$G$2594,K835)</f>
        <v>0</v>
      </c>
      <c r="K835" s="4" t="n">
        <v>1978</v>
      </c>
    </row>
    <row r="836" customFormat="false" ht="15" hidden="false" customHeight="false" outlineLevel="0" collapsed="false">
      <c r="A836" s="4" t="n">
        <v>835</v>
      </c>
      <c r="B836" s="4" t="s">
        <v>1377</v>
      </c>
      <c r="C836" s="4" t="n">
        <v>1990</v>
      </c>
      <c r="D836" s="4" t="s">
        <v>156</v>
      </c>
      <c r="E836" s="25" t="str">
        <f aca="false">IF(J836=1,"✓","")</f>
        <v/>
      </c>
      <c r="F836" s="4" t="n">
        <v>3</v>
      </c>
      <c r="G836" s="4" t="n">
        <v>2</v>
      </c>
      <c r="H836" s="4" t="s">
        <v>213</v>
      </c>
      <c r="I836" s="4" t="s">
        <v>53</v>
      </c>
      <c r="J836" s="4" t="n">
        <f aca="false">INDEX('Master List'!$G$2:$G$2594,K836)</f>
        <v>0</v>
      </c>
      <c r="K836" s="4" t="n">
        <v>675</v>
      </c>
    </row>
    <row r="837" customFormat="false" ht="15" hidden="false" customHeight="false" outlineLevel="0" collapsed="false">
      <c r="A837" s="4" t="n">
        <v>836</v>
      </c>
      <c r="B837" s="4" t="s">
        <v>1378</v>
      </c>
      <c r="C837" s="4" t="n">
        <v>1991</v>
      </c>
      <c r="D837" s="4" t="s">
        <v>718</v>
      </c>
      <c r="E837" s="25" t="str">
        <f aca="false">IF(J837=1,"✓","")</f>
        <v/>
      </c>
      <c r="F837" s="4" t="n">
        <v>3</v>
      </c>
      <c r="G837" s="4" t="n">
        <v>2</v>
      </c>
      <c r="H837" s="4" t="s">
        <v>213</v>
      </c>
      <c r="I837" s="4" t="s">
        <v>50</v>
      </c>
      <c r="J837" s="4" t="n">
        <f aca="false">INDEX('Master List'!$G$2:$G$2594,K837)</f>
        <v>0</v>
      </c>
      <c r="K837" s="4" t="n">
        <v>1786</v>
      </c>
    </row>
    <row r="838" customFormat="false" ht="15" hidden="false" customHeight="false" outlineLevel="0" collapsed="false">
      <c r="A838" s="4" t="n">
        <v>837</v>
      </c>
      <c r="B838" s="4" t="s">
        <v>1379</v>
      </c>
      <c r="C838" s="4" t="n">
        <v>1991</v>
      </c>
      <c r="D838" s="4" t="s">
        <v>1380</v>
      </c>
      <c r="E838" s="25" t="str">
        <f aca="false">IF(J838=1,"✓","")</f>
        <v>✓</v>
      </c>
      <c r="F838" s="4" t="n">
        <v>3</v>
      </c>
      <c r="G838" s="4" t="n">
        <v>2</v>
      </c>
      <c r="H838" s="4" t="s">
        <v>213</v>
      </c>
      <c r="I838" s="4" t="s">
        <v>53</v>
      </c>
      <c r="J838" s="4" t="n">
        <f aca="false">INDEX('Master List'!$G$2:$G$2594,K838)</f>
        <v>1</v>
      </c>
      <c r="K838" s="4" t="n">
        <v>1010</v>
      </c>
    </row>
    <row r="839" customFormat="false" ht="15" hidden="false" customHeight="false" outlineLevel="0" collapsed="false">
      <c r="A839" s="4" t="n">
        <v>838</v>
      </c>
      <c r="B839" s="4" t="s">
        <v>1381</v>
      </c>
      <c r="C839" s="4" t="n">
        <v>1991</v>
      </c>
      <c r="D839" s="4" t="s">
        <v>397</v>
      </c>
      <c r="E839" s="25" t="str">
        <f aca="false">IF(J839=1,"✓","")</f>
        <v>✓</v>
      </c>
      <c r="F839" s="4" t="n">
        <v>3</v>
      </c>
      <c r="G839" s="4" t="n">
        <v>2</v>
      </c>
      <c r="H839" s="4" t="s">
        <v>213</v>
      </c>
      <c r="I839" s="4" t="s">
        <v>53</v>
      </c>
      <c r="J839" s="4" t="n">
        <f aca="false">INDEX('Master List'!$G$2:$G$2594,K839)</f>
        <v>1</v>
      </c>
      <c r="K839" s="4" t="n">
        <v>190</v>
      </c>
    </row>
    <row r="840" customFormat="false" ht="15" hidden="false" customHeight="false" outlineLevel="0" collapsed="false">
      <c r="A840" s="4" t="n">
        <v>839</v>
      </c>
      <c r="B840" s="4" t="s">
        <v>1382</v>
      </c>
      <c r="C840" s="4" t="n">
        <v>1992</v>
      </c>
      <c r="D840" s="4" t="s">
        <v>1383</v>
      </c>
      <c r="E840" s="25" t="str">
        <f aca="false">IF(J840=1,"✓","")</f>
        <v/>
      </c>
      <c r="F840" s="4" t="n">
        <v>3</v>
      </c>
      <c r="G840" s="4" t="n">
        <v>2</v>
      </c>
      <c r="H840" s="4" t="s">
        <v>213</v>
      </c>
      <c r="I840" s="4" t="s">
        <v>52</v>
      </c>
      <c r="J840" s="4" t="n">
        <f aca="false">INDEX('Master List'!$G$2:$G$2594,K840)</f>
        <v>0</v>
      </c>
      <c r="K840" s="4" t="n">
        <v>306</v>
      </c>
    </row>
    <row r="841" customFormat="false" ht="15" hidden="false" customHeight="false" outlineLevel="0" collapsed="false">
      <c r="A841" s="4" t="n">
        <v>840</v>
      </c>
      <c r="B841" s="4" t="s">
        <v>1384</v>
      </c>
      <c r="C841" s="4" t="n">
        <v>1992</v>
      </c>
      <c r="D841" s="4" t="s">
        <v>1385</v>
      </c>
      <c r="E841" s="25" t="str">
        <f aca="false">IF(J841=1,"✓","")</f>
        <v/>
      </c>
      <c r="F841" s="4" t="n">
        <v>3</v>
      </c>
      <c r="G841" s="4" t="n">
        <v>2</v>
      </c>
      <c r="H841" s="4" t="s">
        <v>213</v>
      </c>
      <c r="I841" s="4" t="s">
        <v>54</v>
      </c>
      <c r="J841" s="4" t="n">
        <f aca="false">INDEX('Master List'!$G$2:$G$2594,K841)</f>
        <v>0</v>
      </c>
      <c r="K841" s="4" t="n">
        <v>1222</v>
      </c>
    </row>
    <row r="842" customFormat="false" ht="15" hidden="false" customHeight="false" outlineLevel="0" collapsed="false">
      <c r="A842" s="4" t="n">
        <v>841</v>
      </c>
      <c r="B842" s="4" t="s">
        <v>1386</v>
      </c>
      <c r="C842" s="4" t="n">
        <v>1993</v>
      </c>
      <c r="D842" s="4" t="s">
        <v>1387</v>
      </c>
      <c r="E842" s="25" t="str">
        <f aca="false">IF(J842=1,"✓","")</f>
        <v/>
      </c>
      <c r="F842" s="4" t="n">
        <v>3</v>
      </c>
      <c r="G842" s="4" t="n">
        <v>2</v>
      </c>
      <c r="H842" s="4" t="s">
        <v>213</v>
      </c>
      <c r="I842" s="4" t="s">
        <v>52</v>
      </c>
      <c r="J842" s="4" t="n">
        <f aca="false">INDEX('Master List'!$G$2:$G$2594,K842)</f>
        <v>0</v>
      </c>
      <c r="K842" s="4" t="n">
        <v>996</v>
      </c>
    </row>
    <row r="843" customFormat="false" ht="15" hidden="false" customHeight="false" outlineLevel="0" collapsed="false">
      <c r="A843" s="4" t="n">
        <v>842</v>
      </c>
      <c r="B843" s="4" t="s">
        <v>1388</v>
      </c>
      <c r="C843" s="4" t="n">
        <v>1994</v>
      </c>
      <c r="D843" s="4" t="s">
        <v>397</v>
      </c>
      <c r="E843" s="25" t="str">
        <f aca="false">IF(J843=1,"✓","")</f>
        <v>✓</v>
      </c>
      <c r="F843" s="4" t="n">
        <v>3</v>
      </c>
      <c r="G843" s="4" t="n">
        <v>2</v>
      </c>
      <c r="H843" s="4" t="s">
        <v>213</v>
      </c>
      <c r="I843" s="4" t="s">
        <v>53</v>
      </c>
      <c r="J843" s="4" t="n">
        <f aca="false">INDEX('Master List'!$G$2:$G$2594,K843)</f>
        <v>1</v>
      </c>
      <c r="K843" s="4" t="n">
        <v>1082</v>
      </c>
    </row>
    <row r="844" customFormat="false" ht="15" hidden="false" customHeight="false" outlineLevel="0" collapsed="false">
      <c r="A844" s="4" t="n">
        <v>843</v>
      </c>
      <c r="B844" s="4" t="s">
        <v>1389</v>
      </c>
      <c r="C844" s="4" t="n">
        <v>1994</v>
      </c>
      <c r="D844" s="4" t="s">
        <v>516</v>
      </c>
      <c r="E844" s="25" t="str">
        <f aca="false">IF(J844=1,"✓","")</f>
        <v/>
      </c>
      <c r="F844" s="4" t="n">
        <v>3</v>
      </c>
      <c r="G844" s="4" t="n">
        <v>2</v>
      </c>
      <c r="H844" s="4" t="s">
        <v>213</v>
      </c>
      <c r="I844" s="4" t="s">
        <v>53</v>
      </c>
      <c r="J844" s="4" t="n">
        <f aca="false">INDEX('Master List'!$G$2:$G$2594,K844)</f>
        <v>0</v>
      </c>
      <c r="K844" s="4" t="n">
        <v>30</v>
      </c>
    </row>
    <row r="845" customFormat="false" ht="15" hidden="false" customHeight="false" outlineLevel="0" collapsed="false">
      <c r="A845" s="4" t="n">
        <v>844</v>
      </c>
      <c r="B845" s="4" t="s">
        <v>1390</v>
      </c>
      <c r="C845" s="4" t="n">
        <v>1996</v>
      </c>
      <c r="D845" s="4" t="s">
        <v>1391</v>
      </c>
      <c r="E845" s="25" t="str">
        <f aca="false">IF(J845=1,"✓","")</f>
        <v/>
      </c>
      <c r="F845" s="4" t="n">
        <v>3</v>
      </c>
      <c r="G845" s="4" t="n">
        <v>2</v>
      </c>
      <c r="H845" s="4" t="s">
        <v>213</v>
      </c>
      <c r="I845" s="4" t="s">
        <v>51</v>
      </c>
      <c r="J845" s="4" t="n">
        <f aca="false">INDEX('Master List'!$G$2:$G$2594,K845)</f>
        <v>0</v>
      </c>
      <c r="K845" s="4" t="n">
        <v>1165</v>
      </c>
    </row>
    <row r="846" customFormat="false" ht="15" hidden="false" customHeight="false" outlineLevel="0" collapsed="false">
      <c r="A846" s="4" t="n">
        <v>845</v>
      </c>
      <c r="B846" s="4" t="s">
        <v>1392</v>
      </c>
      <c r="C846" s="4" t="n">
        <v>1999</v>
      </c>
      <c r="D846" s="4" t="s">
        <v>490</v>
      </c>
      <c r="E846" s="25" t="str">
        <f aca="false">IF(J846=1,"✓","")</f>
        <v>✓</v>
      </c>
      <c r="F846" s="4" t="n">
        <v>3</v>
      </c>
      <c r="G846" s="4" t="n">
        <v>2</v>
      </c>
      <c r="H846" s="4" t="s">
        <v>213</v>
      </c>
      <c r="I846" s="4" t="s">
        <v>49</v>
      </c>
      <c r="J846" s="4" t="n">
        <f aca="false">INDEX('Master List'!$G$2:$G$2594,K846)</f>
        <v>1</v>
      </c>
      <c r="K846" s="4" t="n">
        <v>1341</v>
      </c>
    </row>
    <row r="847" customFormat="false" ht="15" hidden="false" customHeight="false" outlineLevel="0" collapsed="false">
      <c r="A847" s="4" t="n">
        <v>846</v>
      </c>
      <c r="B847" s="4" t="s">
        <v>1393</v>
      </c>
      <c r="C847" s="4" t="n">
        <v>2001</v>
      </c>
      <c r="D847" s="4" t="s">
        <v>262</v>
      </c>
      <c r="E847" s="25" t="str">
        <f aca="false">IF(J847=1,"✓","")</f>
        <v/>
      </c>
      <c r="F847" s="4" t="n">
        <v>3</v>
      </c>
      <c r="G847" s="4" t="n">
        <v>2</v>
      </c>
      <c r="H847" s="4" t="s">
        <v>213</v>
      </c>
      <c r="I847" s="4" t="s">
        <v>51</v>
      </c>
      <c r="J847" s="4" t="n">
        <f aca="false">INDEX('Master List'!$G$2:$G$2594,K847)</f>
        <v>0</v>
      </c>
      <c r="K847" s="4" t="n">
        <v>2376</v>
      </c>
    </row>
    <row r="848" customFormat="false" ht="15" hidden="false" customHeight="false" outlineLevel="0" collapsed="false">
      <c r="A848" s="4" t="n">
        <v>847</v>
      </c>
      <c r="B848" s="4" t="s">
        <v>1394</v>
      </c>
      <c r="C848" s="4" t="n">
        <v>2001</v>
      </c>
      <c r="D848" s="4" t="s">
        <v>492</v>
      </c>
      <c r="E848" s="25" t="str">
        <f aca="false">IF(J848=1,"✓","")</f>
        <v/>
      </c>
      <c r="F848" s="4" t="n">
        <v>3</v>
      </c>
      <c r="G848" s="4" t="n">
        <v>2</v>
      </c>
      <c r="H848" s="4" t="s">
        <v>213</v>
      </c>
      <c r="I848" s="4" t="s">
        <v>51</v>
      </c>
      <c r="J848" s="4" t="n">
        <f aca="false">INDEX('Master List'!$G$2:$G$2594,K848)</f>
        <v>0</v>
      </c>
      <c r="K848" s="4" t="n">
        <v>1503</v>
      </c>
    </row>
    <row r="849" customFormat="false" ht="15" hidden="false" customHeight="false" outlineLevel="0" collapsed="false">
      <c r="A849" s="4" t="n">
        <v>848</v>
      </c>
      <c r="B849" s="4" t="s">
        <v>1395</v>
      </c>
      <c r="C849" s="4" t="n">
        <v>2001</v>
      </c>
      <c r="D849" s="4" t="s">
        <v>1376</v>
      </c>
      <c r="E849" s="25" t="str">
        <f aca="false">IF(J849=1,"✓","")</f>
        <v/>
      </c>
      <c r="F849" s="4" t="n">
        <v>3</v>
      </c>
      <c r="G849" s="4" t="n">
        <v>2</v>
      </c>
      <c r="H849" s="4" t="s">
        <v>213</v>
      </c>
      <c r="I849" s="4" t="s">
        <v>54</v>
      </c>
      <c r="J849" s="4" t="n">
        <f aca="false">INDEX('Master List'!$G$2:$G$2594,K849)</f>
        <v>0</v>
      </c>
      <c r="K849" s="4" t="n">
        <v>2421</v>
      </c>
    </row>
    <row r="850" customFormat="false" ht="15" hidden="false" customHeight="false" outlineLevel="0" collapsed="false">
      <c r="A850" s="4" t="n">
        <v>849</v>
      </c>
      <c r="B850" s="4" t="s">
        <v>1396</v>
      </c>
      <c r="C850" s="4" t="n">
        <v>2002</v>
      </c>
      <c r="D850" s="4" t="s">
        <v>1397</v>
      </c>
      <c r="E850" s="25" t="str">
        <f aca="false">IF(J850=1,"✓","")</f>
        <v/>
      </c>
      <c r="F850" s="4" t="n">
        <v>3</v>
      </c>
      <c r="G850" s="4" t="n">
        <v>2</v>
      </c>
      <c r="H850" s="4" t="s">
        <v>213</v>
      </c>
      <c r="I850" s="4" t="s">
        <v>49</v>
      </c>
      <c r="J850" s="4" t="n">
        <f aca="false">INDEX('Master List'!$G$2:$G$2594,K850)</f>
        <v>0</v>
      </c>
      <c r="K850" s="4" t="n">
        <v>1949</v>
      </c>
    </row>
    <row r="851" customFormat="false" ht="15" hidden="false" customHeight="false" outlineLevel="0" collapsed="false">
      <c r="A851" s="4" t="n">
        <v>850</v>
      </c>
      <c r="B851" s="4" t="s">
        <v>1398</v>
      </c>
      <c r="C851" s="4" t="n">
        <v>2002</v>
      </c>
      <c r="D851" s="4" t="s">
        <v>1399</v>
      </c>
      <c r="E851" s="25" t="str">
        <f aca="false">IF(J851=1,"✓","")</f>
        <v/>
      </c>
      <c r="F851" s="4" t="n">
        <v>3</v>
      </c>
      <c r="G851" s="4" t="n">
        <v>2</v>
      </c>
      <c r="H851" s="4" t="s">
        <v>213</v>
      </c>
      <c r="I851" s="4" t="s">
        <v>49</v>
      </c>
      <c r="J851" s="4" t="n">
        <f aca="false">INDEX('Master List'!$G$2:$G$2594,K851)</f>
        <v>0</v>
      </c>
      <c r="K851" s="4" t="n">
        <v>1167</v>
      </c>
    </row>
    <row r="852" customFormat="false" ht="15" hidden="false" customHeight="false" outlineLevel="0" collapsed="false">
      <c r="A852" s="4" t="n">
        <v>851</v>
      </c>
      <c r="B852" s="4" t="s">
        <v>1400</v>
      </c>
      <c r="C852" s="4" t="n">
        <v>2003</v>
      </c>
      <c r="D852" s="4" t="s">
        <v>1401</v>
      </c>
      <c r="E852" s="25" t="str">
        <f aca="false">IF(J852=1,"✓","")</f>
        <v/>
      </c>
      <c r="F852" s="4" t="n">
        <v>3</v>
      </c>
      <c r="G852" s="4" t="n">
        <v>2</v>
      </c>
      <c r="H852" s="4" t="s">
        <v>213</v>
      </c>
      <c r="I852" s="4" t="s">
        <v>51</v>
      </c>
      <c r="J852" s="4" t="n">
        <f aca="false">INDEX('Master List'!$G$2:$G$2594,K852)</f>
        <v>0</v>
      </c>
      <c r="K852" s="4" t="n">
        <v>2234</v>
      </c>
    </row>
    <row r="853" customFormat="false" ht="15" hidden="false" customHeight="false" outlineLevel="0" collapsed="false">
      <c r="A853" s="4" t="n">
        <v>852</v>
      </c>
      <c r="B853" s="4" t="s">
        <v>1402</v>
      </c>
      <c r="C853" s="4" t="n">
        <v>2007</v>
      </c>
      <c r="D853" s="4" t="s">
        <v>1403</v>
      </c>
      <c r="E853" s="25" t="str">
        <f aca="false">IF(J853=1,"✓","")</f>
        <v/>
      </c>
      <c r="F853" s="4" t="n">
        <v>3</v>
      </c>
      <c r="G853" s="4" t="n">
        <v>2</v>
      </c>
      <c r="H853" s="4" t="s">
        <v>213</v>
      </c>
      <c r="I853" s="4" t="s">
        <v>49</v>
      </c>
      <c r="J853" s="4" t="n">
        <f aca="false">INDEX('Master List'!$G$2:$G$2594,K853)</f>
        <v>0</v>
      </c>
      <c r="K853" s="4" t="n">
        <v>141</v>
      </c>
    </row>
    <row r="854" customFormat="false" ht="15" hidden="false" customHeight="false" outlineLevel="0" collapsed="false">
      <c r="A854" s="4" t="n">
        <v>853</v>
      </c>
      <c r="B854" s="4" t="s">
        <v>1404</v>
      </c>
      <c r="C854" s="4" t="n">
        <v>2007</v>
      </c>
      <c r="D854" s="4" t="s">
        <v>631</v>
      </c>
      <c r="E854" s="25" t="str">
        <f aca="false">IF(J854=1,"✓","")</f>
        <v/>
      </c>
      <c r="F854" s="4" t="n">
        <v>3</v>
      </c>
      <c r="G854" s="4" t="n">
        <v>2</v>
      </c>
      <c r="H854" s="4" t="s">
        <v>213</v>
      </c>
      <c r="I854" s="4" t="s">
        <v>52</v>
      </c>
      <c r="J854" s="4" t="n">
        <f aca="false">INDEX('Master List'!$G$2:$G$2594,K854)</f>
        <v>0</v>
      </c>
      <c r="K854" s="4" t="n">
        <v>2572</v>
      </c>
    </row>
    <row r="855" customFormat="false" ht="15" hidden="false" customHeight="false" outlineLevel="0" collapsed="false">
      <c r="A855" s="4" t="n">
        <v>854</v>
      </c>
      <c r="B855" s="4" t="s">
        <v>1405</v>
      </c>
      <c r="C855" s="4" t="n">
        <v>2007</v>
      </c>
      <c r="D855" s="4" t="s">
        <v>1406</v>
      </c>
      <c r="E855" s="25" t="str">
        <f aca="false">IF(J855=1,"✓","")</f>
        <v/>
      </c>
      <c r="F855" s="4" t="n">
        <v>3</v>
      </c>
      <c r="G855" s="4" t="n">
        <v>2</v>
      </c>
      <c r="H855" s="4" t="s">
        <v>213</v>
      </c>
      <c r="I855" s="4" t="s">
        <v>52</v>
      </c>
      <c r="J855" s="4" t="n">
        <f aca="false">INDEX('Master List'!$G$2:$G$2594,K855)</f>
        <v>0</v>
      </c>
      <c r="K855" s="4" t="n">
        <v>1668</v>
      </c>
    </row>
    <row r="856" customFormat="false" ht="15" hidden="false" customHeight="false" outlineLevel="0" collapsed="false">
      <c r="A856" s="4" t="n">
        <v>855</v>
      </c>
      <c r="B856" s="4" t="s">
        <v>1407</v>
      </c>
      <c r="C856" s="4" t="n">
        <v>2008</v>
      </c>
      <c r="D856" s="4" t="s">
        <v>1205</v>
      </c>
      <c r="E856" s="25" t="str">
        <f aca="false">IF(J856=1,"✓","")</f>
        <v/>
      </c>
      <c r="F856" s="4" t="n">
        <v>3</v>
      </c>
      <c r="G856" s="4" t="n">
        <v>2</v>
      </c>
      <c r="H856" s="4" t="s">
        <v>213</v>
      </c>
      <c r="I856" s="4" t="s">
        <v>51</v>
      </c>
      <c r="J856" s="4" t="n">
        <f aca="false">INDEX('Master List'!$G$2:$G$2594,K856)</f>
        <v>0</v>
      </c>
      <c r="K856" s="4" t="n">
        <v>2158</v>
      </c>
    </row>
    <row r="857" customFormat="false" ht="15" hidden="false" customHeight="false" outlineLevel="0" collapsed="false">
      <c r="A857" s="4" t="n">
        <v>856</v>
      </c>
      <c r="B857" s="4" t="s">
        <v>1408</v>
      </c>
      <c r="C857" s="4" t="n">
        <v>2010</v>
      </c>
      <c r="D857" s="4" t="s">
        <v>867</v>
      </c>
      <c r="E857" s="25" t="str">
        <f aca="false">IF(J857=1,"✓","")</f>
        <v/>
      </c>
      <c r="F857" s="4" t="n">
        <v>3</v>
      </c>
      <c r="G857" s="4" t="n">
        <v>2</v>
      </c>
      <c r="H857" s="4" t="s">
        <v>213</v>
      </c>
      <c r="I857" s="4" t="s">
        <v>52</v>
      </c>
      <c r="J857" s="4" t="n">
        <f aca="false">INDEX('Master List'!$G$2:$G$2594,K857)</f>
        <v>0</v>
      </c>
      <c r="K857" s="4" t="n">
        <v>1471</v>
      </c>
    </row>
    <row r="858" customFormat="false" ht="15" hidden="false" customHeight="false" outlineLevel="0" collapsed="false">
      <c r="A858" s="4" t="n">
        <v>857</v>
      </c>
      <c r="B858" s="4" t="s">
        <v>1409</v>
      </c>
      <c r="C858" s="4" t="n">
        <v>2010</v>
      </c>
      <c r="D858" s="4" t="s">
        <v>1410</v>
      </c>
      <c r="E858" s="25" t="str">
        <f aca="false">IF(J858=1,"✓","")</f>
        <v/>
      </c>
      <c r="F858" s="4" t="n">
        <v>3</v>
      </c>
      <c r="G858" s="4" t="n">
        <v>2</v>
      </c>
      <c r="H858" s="4" t="s">
        <v>213</v>
      </c>
      <c r="I858" s="4" t="s">
        <v>54</v>
      </c>
      <c r="J858" s="4" t="n">
        <f aca="false">INDEX('Master List'!$G$2:$G$2594,K858)</f>
        <v>0</v>
      </c>
      <c r="K858" s="4" t="n">
        <v>328</v>
      </c>
    </row>
    <row r="859" customFormat="false" ht="15" hidden="false" customHeight="false" outlineLevel="0" collapsed="false">
      <c r="A859" s="4" t="n">
        <v>858</v>
      </c>
      <c r="B859" s="4" t="s">
        <v>1411</v>
      </c>
      <c r="C859" s="4" t="n">
        <v>2011</v>
      </c>
      <c r="D859" s="4" t="s">
        <v>1412</v>
      </c>
      <c r="E859" s="25" t="str">
        <f aca="false">IF(J859=1,"✓","")</f>
        <v/>
      </c>
      <c r="F859" s="4" t="n">
        <v>3</v>
      </c>
      <c r="G859" s="4" t="n">
        <v>2</v>
      </c>
      <c r="H859" s="4" t="s">
        <v>213</v>
      </c>
      <c r="I859" s="4" t="s">
        <v>55</v>
      </c>
      <c r="J859" s="4" t="n">
        <f aca="false">INDEX('Master List'!$G$2:$G$2594,K859)</f>
        <v>0</v>
      </c>
      <c r="K859" s="4" t="n">
        <v>2230</v>
      </c>
    </row>
    <row r="860" customFormat="false" ht="15" hidden="false" customHeight="false" outlineLevel="0" collapsed="false">
      <c r="A860" s="4" t="n">
        <v>859</v>
      </c>
      <c r="B860" s="4" t="s">
        <v>1413</v>
      </c>
      <c r="C860" s="4" t="n">
        <v>2013</v>
      </c>
      <c r="D860" s="4" t="s">
        <v>1414</v>
      </c>
      <c r="E860" s="25" t="str">
        <f aca="false">IF(J860=1,"✓","")</f>
        <v/>
      </c>
      <c r="F860" s="4" t="n">
        <v>3</v>
      </c>
      <c r="G860" s="4" t="n">
        <v>2</v>
      </c>
      <c r="H860" s="4" t="s">
        <v>213</v>
      </c>
      <c r="I860" s="4" t="s">
        <v>52</v>
      </c>
      <c r="J860" s="4" t="n">
        <f aca="false">INDEX('Master List'!$G$2:$G$2594,K860)</f>
        <v>0</v>
      </c>
      <c r="K860" s="4" t="n">
        <v>493</v>
      </c>
    </row>
    <row r="861" customFormat="false" ht="15" hidden="false" customHeight="false" outlineLevel="0" collapsed="false">
      <c r="A861" s="4" t="n">
        <v>860</v>
      </c>
      <c r="B861" s="4" t="s">
        <v>1415</v>
      </c>
      <c r="C861" s="4" t="n">
        <v>2017</v>
      </c>
      <c r="D861" s="4" t="s">
        <v>183</v>
      </c>
      <c r="E861" s="25" t="str">
        <f aca="false">IF(J861=1,"✓","")</f>
        <v>✓</v>
      </c>
      <c r="F861" s="4" t="n">
        <v>3</v>
      </c>
      <c r="G861" s="4" t="n">
        <v>2</v>
      </c>
      <c r="H861" s="4" t="s">
        <v>213</v>
      </c>
      <c r="I861" s="4" t="s">
        <v>53</v>
      </c>
      <c r="J861" s="4" t="n">
        <f aca="false">INDEX('Master List'!$G$2:$G$2594,K861)</f>
        <v>1</v>
      </c>
      <c r="K861" s="4" t="n">
        <v>1803</v>
      </c>
    </row>
    <row r="862" customFormat="false" ht="15" hidden="false" customHeight="false" outlineLevel="0" collapsed="false">
      <c r="A862" s="4" t="n">
        <v>861</v>
      </c>
      <c r="B862" s="4" t="s">
        <v>1416</v>
      </c>
      <c r="C862" s="4" t="n">
        <v>2017</v>
      </c>
      <c r="D862" s="4" t="s">
        <v>1417</v>
      </c>
      <c r="E862" s="25" t="str">
        <f aca="false">IF(J862=1,"✓","")</f>
        <v>✓</v>
      </c>
      <c r="F862" s="4" t="n">
        <v>3</v>
      </c>
      <c r="G862" s="4" t="n">
        <v>2</v>
      </c>
      <c r="H862" s="4" t="s">
        <v>213</v>
      </c>
      <c r="I862" s="4" t="s">
        <v>54</v>
      </c>
      <c r="J862" s="4" t="n">
        <f aca="false">INDEX('Master List'!$G$2:$G$2594,K862)</f>
        <v>1</v>
      </c>
      <c r="K862" s="4" t="n">
        <v>810</v>
      </c>
    </row>
    <row r="863" customFormat="false" ht="15" hidden="false" customHeight="false" outlineLevel="0" collapsed="false">
      <c r="A863" s="4" t="n">
        <v>862</v>
      </c>
      <c r="B863" s="4" t="s">
        <v>1418</v>
      </c>
      <c r="C863" s="4" t="n">
        <v>2018</v>
      </c>
      <c r="D863" s="4" t="s">
        <v>262</v>
      </c>
      <c r="E863" s="25" t="str">
        <f aca="false">IF(J863=1,"✓","")</f>
        <v/>
      </c>
      <c r="F863" s="4" t="n">
        <v>3</v>
      </c>
      <c r="G863" s="4" t="n">
        <v>2</v>
      </c>
      <c r="H863" s="4" t="s">
        <v>213</v>
      </c>
      <c r="I863" s="4" t="s">
        <v>52</v>
      </c>
      <c r="J863" s="4" t="n">
        <f aca="false">INDEX('Master List'!$G$2:$G$2594,K863)</f>
        <v>0</v>
      </c>
      <c r="K863" s="4" t="n">
        <v>1034</v>
      </c>
    </row>
    <row r="864" customFormat="false" ht="15" hidden="false" customHeight="false" outlineLevel="0" collapsed="false">
      <c r="A864" s="4" t="n">
        <v>863</v>
      </c>
      <c r="B864" s="4" t="s">
        <v>1419</v>
      </c>
      <c r="C864" s="4" t="n">
        <v>2018</v>
      </c>
      <c r="D864" s="4" t="s">
        <v>1420</v>
      </c>
      <c r="E864" s="25" t="str">
        <f aca="false">IF(J864=1,"✓","")</f>
        <v/>
      </c>
      <c r="F864" s="4" t="n">
        <v>3</v>
      </c>
      <c r="G864" s="4" t="n">
        <v>2</v>
      </c>
      <c r="H864" s="4" t="s">
        <v>213</v>
      </c>
      <c r="I864" s="4" t="s">
        <v>53</v>
      </c>
      <c r="J864" s="4" t="n">
        <f aca="false">INDEX('Master List'!$G$2:$G$2594,K864)</f>
        <v>0</v>
      </c>
      <c r="K864" s="4" t="n">
        <v>1315</v>
      </c>
    </row>
    <row r="865" customFormat="false" ht="15" hidden="false" customHeight="false" outlineLevel="0" collapsed="false">
      <c r="A865" s="4" t="n">
        <v>864</v>
      </c>
      <c r="B865" s="4" t="s">
        <v>1421</v>
      </c>
      <c r="C865" s="4" t="n">
        <v>2019</v>
      </c>
      <c r="D865" s="4" t="s">
        <v>870</v>
      </c>
      <c r="E865" s="25" t="str">
        <f aca="false">IF(J865=1,"✓","")</f>
        <v>✓</v>
      </c>
      <c r="F865" s="4" t="n">
        <v>3</v>
      </c>
      <c r="G865" s="4" t="n">
        <v>2</v>
      </c>
      <c r="H865" s="4" t="s">
        <v>213</v>
      </c>
      <c r="I865" s="4" t="s">
        <v>52</v>
      </c>
      <c r="J865" s="4" t="n">
        <f aca="false">INDEX('Master List'!$G$2:$G$2594,K865)</f>
        <v>1</v>
      </c>
      <c r="K865" s="4" t="n">
        <v>1452</v>
      </c>
    </row>
    <row r="866" customFormat="false" ht="15" hidden="false" customHeight="false" outlineLevel="0" collapsed="false">
      <c r="A866" s="4" t="n">
        <v>865</v>
      </c>
      <c r="B866" s="4" t="s">
        <v>1422</v>
      </c>
      <c r="C866" s="4" t="n">
        <v>2022</v>
      </c>
      <c r="D866" s="4" t="s">
        <v>316</v>
      </c>
      <c r="E866" s="25" t="str">
        <f aca="false">IF(J866=1,"✓","")</f>
        <v/>
      </c>
      <c r="F866" s="4" t="n">
        <v>3</v>
      </c>
      <c r="G866" s="4" t="n">
        <v>2</v>
      </c>
      <c r="H866" s="4" t="s">
        <v>213</v>
      </c>
      <c r="I866" s="4" t="s">
        <v>52</v>
      </c>
      <c r="J866" s="4" t="n">
        <f aca="false">INDEX('Master List'!$G$2:$G$2594,K866)</f>
        <v>0</v>
      </c>
      <c r="K866" s="4" t="n">
        <v>538</v>
      </c>
    </row>
    <row r="867" customFormat="false" ht="15" hidden="false" customHeight="false" outlineLevel="0" collapsed="false">
      <c r="A867" s="4" t="n">
        <v>866</v>
      </c>
      <c r="B867" s="4" t="s">
        <v>1423</v>
      </c>
      <c r="C867" s="4" t="n">
        <v>2023</v>
      </c>
      <c r="D867" s="4" t="s">
        <v>881</v>
      </c>
      <c r="E867" s="25" t="str">
        <f aca="false">IF(J867=1,"✓","")</f>
        <v/>
      </c>
      <c r="F867" s="4" t="n">
        <v>3</v>
      </c>
      <c r="G867" s="4" t="n">
        <v>2</v>
      </c>
      <c r="H867" s="4" t="s">
        <v>213</v>
      </c>
      <c r="I867" s="4" t="s">
        <v>50</v>
      </c>
      <c r="J867" s="4" t="n">
        <f aca="false">INDEX('Master List'!$G$2:$G$2594,K867)</f>
        <v>0</v>
      </c>
      <c r="K867" s="4" t="n">
        <v>755</v>
      </c>
    </row>
    <row r="868" customFormat="false" ht="15" hidden="false" customHeight="false" outlineLevel="0" collapsed="false">
      <c r="A868" s="4" t="n">
        <v>867</v>
      </c>
      <c r="B868" s="4" t="s">
        <v>1424</v>
      </c>
      <c r="C868" s="4" t="n">
        <v>2023</v>
      </c>
      <c r="D868" s="4" t="s">
        <v>1155</v>
      </c>
      <c r="E868" s="25" t="str">
        <f aca="false">IF(J868=1,"✓","")</f>
        <v/>
      </c>
      <c r="F868" s="4" t="n">
        <v>3</v>
      </c>
      <c r="G868" s="4" t="n">
        <v>2</v>
      </c>
      <c r="H868" s="4" t="s">
        <v>213</v>
      </c>
      <c r="I868" s="4" t="s">
        <v>52</v>
      </c>
      <c r="J868" s="4" t="n">
        <f aca="false">INDEX('Master List'!$G$2:$G$2594,K868)</f>
        <v>0</v>
      </c>
      <c r="K868" s="4" t="n">
        <v>779</v>
      </c>
    </row>
    <row r="869" customFormat="false" ht="15" hidden="false" customHeight="false" outlineLevel="0" collapsed="false">
      <c r="A869" s="4" t="n">
        <v>868</v>
      </c>
      <c r="B869" s="4" t="s">
        <v>1425</v>
      </c>
      <c r="C869" s="4" t="n">
        <v>1895</v>
      </c>
      <c r="D869" s="4" t="s">
        <v>1426</v>
      </c>
      <c r="E869" s="25" t="str">
        <f aca="false">IF(J869=1,"✓","")</f>
        <v/>
      </c>
      <c r="F869" s="4" t="n">
        <v>3</v>
      </c>
      <c r="G869" s="4" t="n">
        <v>1</v>
      </c>
      <c r="H869" s="4" t="s">
        <v>144</v>
      </c>
      <c r="I869" s="4" t="s">
        <v>50</v>
      </c>
      <c r="J869" s="4" t="n">
        <f aca="false">INDEX('Master List'!$G$2:$G$2594,K869)</f>
        <v>0</v>
      </c>
      <c r="K869" s="4" t="n">
        <v>2551</v>
      </c>
    </row>
    <row r="870" customFormat="false" ht="15" hidden="false" customHeight="false" outlineLevel="0" collapsed="false">
      <c r="A870" s="4" t="n">
        <v>869</v>
      </c>
      <c r="B870" s="4" t="s">
        <v>1427</v>
      </c>
      <c r="C870" s="4" t="n">
        <v>1896</v>
      </c>
      <c r="D870" s="4" t="s">
        <v>1428</v>
      </c>
      <c r="E870" s="25" t="str">
        <f aca="false">IF(J870=1,"✓","")</f>
        <v>✓</v>
      </c>
      <c r="F870" s="4" t="n">
        <v>3</v>
      </c>
      <c r="G870" s="4" t="n">
        <v>1</v>
      </c>
      <c r="H870" s="4" t="s">
        <v>144</v>
      </c>
      <c r="I870" s="4" t="s">
        <v>50</v>
      </c>
      <c r="J870" s="4" t="n">
        <f aca="false">INDEX('Master List'!$G$2:$G$2594,K870)</f>
        <v>1</v>
      </c>
      <c r="K870" s="4" t="n">
        <v>131</v>
      </c>
    </row>
    <row r="871" customFormat="false" ht="15" hidden="false" customHeight="false" outlineLevel="0" collapsed="false">
      <c r="A871" s="4" t="n">
        <v>870</v>
      </c>
      <c r="B871" s="4" t="s">
        <v>1429</v>
      </c>
      <c r="C871" s="4" t="n">
        <v>1925</v>
      </c>
      <c r="D871" s="4" t="s">
        <v>722</v>
      </c>
      <c r="E871" s="25" t="str">
        <f aca="false">IF(J871=1,"✓","")</f>
        <v/>
      </c>
      <c r="F871" s="4" t="n">
        <v>3</v>
      </c>
      <c r="G871" s="4" t="n">
        <v>1</v>
      </c>
      <c r="H871" s="4" t="s">
        <v>144</v>
      </c>
      <c r="I871" s="4" t="s">
        <v>54</v>
      </c>
      <c r="J871" s="4" t="n">
        <f aca="false">INDEX('Master List'!$G$2:$G$2594,K871)</f>
        <v>0</v>
      </c>
      <c r="K871" s="4" t="n">
        <v>307</v>
      </c>
    </row>
    <row r="872" customFormat="false" ht="15" hidden="false" customHeight="false" outlineLevel="0" collapsed="false">
      <c r="A872" s="4" t="n">
        <v>871</v>
      </c>
      <c r="B872" s="4" t="s">
        <v>798</v>
      </c>
      <c r="C872" s="4" t="n">
        <v>1926</v>
      </c>
      <c r="D872" s="4" t="s">
        <v>1430</v>
      </c>
      <c r="E872" s="25" t="str">
        <f aca="false">IF(J872=1,"✓","")</f>
        <v/>
      </c>
      <c r="F872" s="4" t="n">
        <v>3</v>
      </c>
      <c r="G872" s="4" t="n">
        <v>1</v>
      </c>
      <c r="H872" s="4" t="s">
        <v>144</v>
      </c>
      <c r="I872" s="4" t="s">
        <v>56</v>
      </c>
      <c r="J872" s="4" t="n">
        <f aca="false">INDEX('Master List'!$G$2:$G$2594,K872)</f>
        <v>0</v>
      </c>
      <c r="K872" s="4" t="n">
        <v>1055</v>
      </c>
    </row>
    <row r="873" customFormat="false" ht="15" hidden="false" customHeight="false" outlineLevel="0" collapsed="false">
      <c r="A873" s="4" t="n">
        <v>872</v>
      </c>
      <c r="B873" s="4" t="s">
        <v>1431</v>
      </c>
      <c r="C873" s="4" t="n">
        <v>1931</v>
      </c>
      <c r="D873" s="4" t="s">
        <v>1432</v>
      </c>
      <c r="E873" s="25" t="str">
        <f aca="false">IF(J873=1,"✓","")</f>
        <v/>
      </c>
      <c r="F873" s="4" t="n">
        <v>3</v>
      </c>
      <c r="G873" s="4" t="n">
        <v>1</v>
      </c>
      <c r="H873" s="4" t="s">
        <v>144</v>
      </c>
      <c r="I873" s="4" t="s">
        <v>52</v>
      </c>
      <c r="J873" s="4" t="n">
        <f aca="false">INDEX('Master List'!$G$2:$G$2594,K873)</f>
        <v>0</v>
      </c>
      <c r="K873" s="4" t="n">
        <v>846</v>
      </c>
    </row>
    <row r="874" customFormat="false" ht="15" hidden="false" customHeight="false" outlineLevel="0" collapsed="false">
      <c r="A874" s="4" t="n">
        <v>873</v>
      </c>
      <c r="B874" s="4" t="s">
        <v>1433</v>
      </c>
      <c r="C874" s="4" t="n">
        <v>1933</v>
      </c>
      <c r="D874" s="4" t="s">
        <v>1434</v>
      </c>
      <c r="E874" s="25" t="str">
        <f aca="false">IF(J874=1,"✓","")</f>
        <v/>
      </c>
      <c r="F874" s="4" t="n">
        <v>3</v>
      </c>
      <c r="G874" s="4" t="n">
        <v>1</v>
      </c>
      <c r="H874" s="4" t="s">
        <v>144</v>
      </c>
      <c r="I874" s="4" t="s">
        <v>50</v>
      </c>
      <c r="J874" s="4" t="n">
        <f aca="false">INDEX('Master List'!$G$2:$G$2594,K874)</f>
        <v>0</v>
      </c>
      <c r="K874" s="4" t="n">
        <v>161</v>
      </c>
    </row>
    <row r="875" customFormat="false" ht="15" hidden="false" customHeight="false" outlineLevel="0" collapsed="false">
      <c r="A875" s="4" t="n">
        <v>874</v>
      </c>
      <c r="B875" s="4" t="s">
        <v>1435</v>
      </c>
      <c r="C875" s="4" t="n">
        <v>1935</v>
      </c>
      <c r="D875" s="4" t="s">
        <v>1432</v>
      </c>
      <c r="E875" s="25" t="str">
        <f aca="false">IF(J875=1,"✓","")</f>
        <v/>
      </c>
      <c r="F875" s="4" t="n">
        <v>3</v>
      </c>
      <c r="G875" s="4" t="n">
        <v>1</v>
      </c>
      <c r="H875" s="4" t="s">
        <v>144</v>
      </c>
      <c r="I875" s="4" t="s">
        <v>52</v>
      </c>
      <c r="J875" s="4" t="n">
        <f aca="false">INDEX('Master List'!$G$2:$G$2594,K875)</f>
        <v>0</v>
      </c>
      <c r="K875" s="4" t="n">
        <v>345</v>
      </c>
    </row>
    <row r="876" customFormat="false" ht="15" hidden="false" customHeight="false" outlineLevel="0" collapsed="false">
      <c r="A876" s="4" t="n">
        <v>875</v>
      </c>
      <c r="B876" s="4" t="s">
        <v>1436</v>
      </c>
      <c r="C876" s="4" t="n">
        <v>1935</v>
      </c>
      <c r="D876" s="4" t="s">
        <v>1437</v>
      </c>
      <c r="E876" s="25" t="str">
        <f aca="false">IF(J876=1,"✓","")</f>
        <v/>
      </c>
      <c r="F876" s="4" t="n">
        <v>3</v>
      </c>
      <c r="G876" s="4" t="n">
        <v>1</v>
      </c>
      <c r="H876" s="4" t="s">
        <v>144</v>
      </c>
      <c r="I876" s="4" t="s">
        <v>52</v>
      </c>
      <c r="J876" s="4" t="n">
        <f aca="false">INDEX('Master List'!$G$2:$G$2594,K876)</f>
        <v>0</v>
      </c>
      <c r="K876" s="4" t="n">
        <v>2338</v>
      </c>
    </row>
    <row r="877" customFormat="false" ht="15" hidden="false" customHeight="false" outlineLevel="0" collapsed="false">
      <c r="A877" s="4" t="n">
        <v>876</v>
      </c>
      <c r="B877" s="4" t="s">
        <v>1438</v>
      </c>
      <c r="C877" s="4" t="n">
        <v>1937</v>
      </c>
      <c r="D877" s="4" t="s">
        <v>535</v>
      </c>
      <c r="E877" s="25" t="str">
        <f aca="false">IF(J877=1,"✓","")</f>
        <v/>
      </c>
      <c r="F877" s="4" t="n">
        <v>3</v>
      </c>
      <c r="G877" s="4" t="n">
        <v>1</v>
      </c>
      <c r="H877" s="4" t="s">
        <v>144</v>
      </c>
      <c r="I877" s="4" t="s">
        <v>52</v>
      </c>
      <c r="J877" s="4" t="n">
        <f aca="false">INDEX('Master List'!$G$2:$G$2594,K877)</f>
        <v>0</v>
      </c>
      <c r="K877" s="4" t="n">
        <v>2155</v>
      </c>
    </row>
    <row r="878" customFormat="false" ht="15" hidden="false" customHeight="false" outlineLevel="0" collapsed="false">
      <c r="A878" s="4" t="n">
        <v>877</v>
      </c>
      <c r="B878" s="4" t="s">
        <v>1439</v>
      </c>
      <c r="C878" s="4" t="n">
        <v>1940</v>
      </c>
      <c r="D878" s="4" t="s">
        <v>1440</v>
      </c>
      <c r="E878" s="25" t="str">
        <f aca="false">IF(J878=1,"✓","")</f>
        <v/>
      </c>
      <c r="F878" s="4" t="n">
        <v>3</v>
      </c>
      <c r="G878" s="4" t="n">
        <v>1</v>
      </c>
      <c r="H878" s="4" t="s">
        <v>144</v>
      </c>
      <c r="I878" s="4" t="s">
        <v>52</v>
      </c>
      <c r="J878" s="4" t="n">
        <f aca="false">INDEX('Master List'!$G$2:$G$2594,K878)</f>
        <v>0</v>
      </c>
      <c r="K878" s="4" t="n">
        <v>1770</v>
      </c>
    </row>
    <row r="879" customFormat="false" ht="15" hidden="false" customHeight="false" outlineLevel="0" collapsed="false">
      <c r="A879" s="4" t="n">
        <v>878</v>
      </c>
      <c r="B879" s="4" t="s">
        <v>1441</v>
      </c>
      <c r="C879" s="4" t="n">
        <v>1942</v>
      </c>
      <c r="D879" s="4" t="s">
        <v>884</v>
      </c>
      <c r="E879" s="25" t="str">
        <f aca="false">IF(J879=1,"✓","")</f>
        <v/>
      </c>
      <c r="F879" s="4" t="n">
        <v>3</v>
      </c>
      <c r="G879" s="4" t="n">
        <v>1</v>
      </c>
      <c r="H879" s="4" t="s">
        <v>144</v>
      </c>
      <c r="I879" s="4" t="s">
        <v>52</v>
      </c>
      <c r="J879" s="4" t="n">
        <f aca="false">INDEX('Master List'!$G$2:$G$2594,K879)</f>
        <v>0</v>
      </c>
      <c r="K879" s="4" t="n">
        <v>411</v>
      </c>
    </row>
    <row r="880" customFormat="false" ht="15" hidden="false" customHeight="false" outlineLevel="0" collapsed="false">
      <c r="A880" s="4" t="n">
        <v>879</v>
      </c>
      <c r="B880" s="4" t="s">
        <v>1442</v>
      </c>
      <c r="C880" s="4" t="n">
        <v>1942</v>
      </c>
      <c r="D880" s="4" t="s">
        <v>1443</v>
      </c>
      <c r="E880" s="25" t="str">
        <f aca="false">IF(J880=1,"✓","")</f>
        <v/>
      </c>
      <c r="F880" s="4" t="n">
        <v>3</v>
      </c>
      <c r="G880" s="4" t="n">
        <v>1</v>
      </c>
      <c r="H880" s="4" t="s">
        <v>144</v>
      </c>
      <c r="I880" s="4" t="s">
        <v>52</v>
      </c>
      <c r="J880" s="4" t="n">
        <f aca="false">INDEX('Master List'!$G$2:$G$2594,K880)</f>
        <v>0</v>
      </c>
      <c r="K880" s="4" t="n">
        <v>1641</v>
      </c>
    </row>
    <row r="881" customFormat="false" ht="15" hidden="false" customHeight="false" outlineLevel="0" collapsed="false">
      <c r="A881" s="4" t="n">
        <v>880</v>
      </c>
      <c r="B881" s="4" t="s">
        <v>1444</v>
      </c>
      <c r="C881" s="4" t="n">
        <v>1951</v>
      </c>
      <c r="D881" s="4" t="s">
        <v>789</v>
      </c>
      <c r="E881" s="25" t="str">
        <f aca="false">IF(J881=1,"✓","")</f>
        <v/>
      </c>
      <c r="F881" s="4" t="n">
        <v>3</v>
      </c>
      <c r="G881" s="4" t="n">
        <v>1</v>
      </c>
      <c r="H881" s="4" t="s">
        <v>144</v>
      </c>
      <c r="I881" s="4" t="s">
        <v>52</v>
      </c>
      <c r="J881" s="4" t="n">
        <f aca="false">INDEX('Master List'!$G$2:$G$2594,K881)</f>
        <v>0</v>
      </c>
      <c r="K881" s="4" t="n">
        <v>577</v>
      </c>
    </row>
    <row r="882" customFormat="false" ht="15" hidden="false" customHeight="false" outlineLevel="0" collapsed="false">
      <c r="A882" s="4" t="n">
        <v>881</v>
      </c>
      <c r="B882" s="4" t="s">
        <v>1445</v>
      </c>
      <c r="C882" s="4" t="n">
        <v>1954</v>
      </c>
      <c r="D882" s="4" t="s">
        <v>179</v>
      </c>
      <c r="E882" s="25" t="str">
        <f aca="false">IF(J882=1,"✓","")</f>
        <v/>
      </c>
      <c r="F882" s="4" t="n">
        <v>3</v>
      </c>
      <c r="G882" s="4" t="n">
        <v>1</v>
      </c>
      <c r="H882" s="4" t="s">
        <v>144</v>
      </c>
      <c r="I882" s="4" t="s">
        <v>53</v>
      </c>
      <c r="J882" s="4" t="n">
        <f aca="false">INDEX('Master List'!$G$2:$G$2594,K882)</f>
        <v>0</v>
      </c>
      <c r="K882" s="4" t="n">
        <v>2169</v>
      </c>
    </row>
    <row r="883" customFormat="false" ht="15" hidden="false" customHeight="false" outlineLevel="0" collapsed="false">
      <c r="A883" s="4" t="n">
        <v>882</v>
      </c>
      <c r="B883" s="4" t="s">
        <v>1446</v>
      </c>
      <c r="C883" s="4" t="n">
        <v>1955</v>
      </c>
      <c r="D883" s="4" t="s">
        <v>1447</v>
      </c>
      <c r="E883" s="25" t="str">
        <f aca="false">IF(J883=1,"✓","")</f>
        <v/>
      </c>
      <c r="F883" s="4" t="n">
        <v>3</v>
      </c>
      <c r="G883" s="4" t="n">
        <v>1</v>
      </c>
      <c r="H883" s="4" t="s">
        <v>144</v>
      </c>
      <c r="I883" s="4" t="s">
        <v>52</v>
      </c>
      <c r="J883" s="4" t="n">
        <f aca="false">INDEX('Master List'!$G$2:$G$2594,K883)</f>
        <v>0</v>
      </c>
      <c r="K883" s="4" t="n">
        <v>74</v>
      </c>
    </row>
    <row r="884" customFormat="false" ht="15" hidden="false" customHeight="false" outlineLevel="0" collapsed="false">
      <c r="A884" s="4" t="n">
        <v>883</v>
      </c>
      <c r="B884" s="4" t="s">
        <v>1448</v>
      </c>
      <c r="C884" s="4" t="n">
        <v>1957</v>
      </c>
      <c r="D884" s="4" t="s">
        <v>1449</v>
      </c>
      <c r="E884" s="25" t="str">
        <f aca="false">IF(J884=1,"✓","")</f>
        <v/>
      </c>
      <c r="F884" s="4" t="n">
        <v>3</v>
      </c>
      <c r="G884" s="4" t="n">
        <v>1</v>
      </c>
      <c r="H884" s="4" t="s">
        <v>144</v>
      </c>
      <c r="I884" s="4" t="s">
        <v>51</v>
      </c>
      <c r="J884" s="4" t="n">
        <f aca="false">INDEX('Master List'!$G$2:$G$2594,K884)</f>
        <v>0</v>
      </c>
      <c r="K884" s="4" t="n">
        <v>1836</v>
      </c>
    </row>
    <row r="885" customFormat="false" ht="15" hidden="false" customHeight="false" outlineLevel="0" collapsed="false">
      <c r="A885" s="4" t="n">
        <v>884</v>
      </c>
      <c r="B885" s="4" t="s">
        <v>1450</v>
      </c>
      <c r="C885" s="4" t="n">
        <v>1957</v>
      </c>
      <c r="D885" s="4" t="s">
        <v>1451</v>
      </c>
      <c r="E885" s="25" t="str">
        <f aca="false">IF(J885=1,"✓","")</f>
        <v/>
      </c>
      <c r="F885" s="4" t="n">
        <v>3</v>
      </c>
      <c r="G885" s="4" t="n">
        <v>1</v>
      </c>
      <c r="H885" s="4" t="s">
        <v>144</v>
      </c>
      <c r="I885" s="4" t="s">
        <v>52</v>
      </c>
      <c r="J885" s="4" t="n">
        <f aca="false">INDEX('Master List'!$G$2:$G$2594,K885)</f>
        <v>0</v>
      </c>
      <c r="K885" s="4" t="n">
        <v>2237</v>
      </c>
    </row>
    <row r="886" customFormat="false" ht="15" hidden="false" customHeight="false" outlineLevel="0" collapsed="false">
      <c r="A886" s="4" t="n">
        <v>885</v>
      </c>
      <c r="B886" s="4" t="s">
        <v>1452</v>
      </c>
      <c r="C886" s="4" t="n">
        <v>1957</v>
      </c>
      <c r="D886" s="4" t="s">
        <v>1453</v>
      </c>
      <c r="E886" s="25" t="str">
        <f aca="false">IF(J886=1,"✓","")</f>
        <v/>
      </c>
      <c r="F886" s="4" t="n">
        <v>3</v>
      </c>
      <c r="G886" s="4" t="n">
        <v>1</v>
      </c>
      <c r="H886" s="4" t="s">
        <v>144</v>
      </c>
      <c r="I886" s="4" t="s">
        <v>52</v>
      </c>
      <c r="J886" s="4" t="n">
        <f aca="false">INDEX('Master List'!$G$2:$G$2594,K886)</f>
        <v>0</v>
      </c>
      <c r="K886" s="4" t="n">
        <v>549</v>
      </c>
    </row>
    <row r="887" customFormat="false" ht="15" hidden="false" customHeight="false" outlineLevel="0" collapsed="false">
      <c r="A887" s="4" t="n">
        <v>886</v>
      </c>
      <c r="B887" s="4" t="s">
        <v>1454</v>
      </c>
      <c r="C887" s="4" t="n">
        <v>1958</v>
      </c>
      <c r="D887" s="4" t="s">
        <v>1453</v>
      </c>
      <c r="E887" s="25" t="str">
        <f aca="false">IF(J887=1,"✓","")</f>
        <v/>
      </c>
      <c r="F887" s="4" t="n">
        <v>3</v>
      </c>
      <c r="G887" s="4" t="n">
        <v>1</v>
      </c>
      <c r="H887" s="4" t="s">
        <v>144</v>
      </c>
      <c r="I887" s="4" t="s">
        <v>52</v>
      </c>
      <c r="J887" s="4" t="n">
        <f aca="false">INDEX('Master List'!$G$2:$G$2594,K887)</f>
        <v>0</v>
      </c>
      <c r="K887" s="4" t="n">
        <v>673</v>
      </c>
    </row>
    <row r="888" customFormat="false" ht="15" hidden="false" customHeight="false" outlineLevel="0" collapsed="false">
      <c r="A888" s="4" t="n">
        <v>887</v>
      </c>
      <c r="B888" s="4" t="s">
        <v>1455</v>
      </c>
      <c r="C888" s="4" t="n">
        <v>1959</v>
      </c>
      <c r="D888" s="4" t="s">
        <v>1451</v>
      </c>
      <c r="E888" s="25" t="str">
        <f aca="false">IF(J888=1,"✓","")</f>
        <v/>
      </c>
      <c r="F888" s="4" t="n">
        <v>3</v>
      </c>
      <c r="G888" s="4" t="n">
        <v>1</v>
      </c>
      <c r="H888" s="4" t="s">
        <v>144</v>
      </c>
      <c r="I888" s="4" t="s">
        <v>52</v>
      </c>
      <c r="J888" s="4" t="n">
        <f aca="false">INDEX('Master List'!$G$2:$G$2594,K888)</f>
        <v>0</v>
      </c>
      <c r="K888" s="4" t="n">
        <v>1901</v>
      </c>
    </row>
    <row r="889" customFormat="false" ht="15" hidden="false" customHeight="false" outlineLevel="0" collapsed="false">
      <c r="A889" s="4" t="n">
        <v>888</v>
      </c>
      <c r="B889" s="4" t="s">
        <v>1456</v>
      </c>
      <c r="C889" s="4" t="n">
        <v>1959</v>
      </c>
      <c r="D889" s="4" t="s">
        <v>1447</v>
      </c>
      <c r="E889" s="25" t="str">
        <f aca="false">IF(J889=1,"✓","")</f>
        <v/>
      </c>
      <c r="F889" s="4" t="n">
        <v>3</v>
      </c>
      <c r="G889" s="4" t="n">
        <v>1</v>
      </c>
      <c r="H889" s="4" t="s">
        <v>144</v>
      </c>
      <c r="I889" s="4" t="s">
        <v>52</v>
      </c>
      <c r="J889" s="4" t="n">
        <f aca="false">INDEX('Master List'!$G$2:$G$2594,K889)</f>
        <v>0</v>
      </c>
      <c r="K889" s="4" t="n">
        <v>1121</v>
      </c>
    </row>
    <row r="890" customFormat="false" ht="15" hidden="false" customHeight="false" outlineLevel="0" collapsed="false">
      <c r="A890" s="4" t="n">
        <v>889</v>
      </c>
      <c r="B890" s="4" t="s">
        <v>1457</v>
      </c>
      <c r="C890" s="4" t="n">
        <v>1960</v>
      </c>
      <c r="D890" s="4" t="s">
        <v>971</v>
      </c>
      <c r="E890" s="25" t="str">
        <f aca="false">IF(J890=1,"✓","")</f>
        <v/>
      </c>
      <c r="F890" s="4" t="n">
        <v>3</v>
      </c>
      <c r="G890" s="4" t="n">
        <v>1</v>
      </c>
      <c r="H890" s="4" t="s">
        <v>144</v>
      </c>
      <c r="I890" s="4" t="s">
        <v>56</v>
      </c>
      <c r="J890" s="4" t="n">
        <f aca="false">INDEX('Master List'!$G$2:$G$2594,K890)</f>
        <v>0</v>
      </c>
      <c r="K890" s="4" t="n">
        <v>1414</v>
      </c>
    </row>
    <row r="891" customFormat="false" ht="15" hidden="false" customHeight="false" outlineLevel="0" collapsed="false">
      <c r="A891" s="4" t="n">
        <v>890</v>
      </c>
      <c r="B891" s="4" t="s">
        <v>1458</v>
      </c>
      <c r="C891" s="4" t="n">
        <v>1961</v>
      </c>
      <c r="D891" s="4" t="s">
        <v>1459</v>
      </c>
      <c r="E891" s="25" t="str">
        <f aca="false">IF(J891=1,"✓","")</f>
        <v/>
      </c>
      <c r="F891" s="4" t="n">
        <v>3</v>
      </c>
      <c r="G891" s="4" t="n">
        <v>1</v>
      </c>
      <c r="H891" s="4" t="s">
        <v>144</v>
      </c>
      <c r="I891" s="4" t="s">
        <v>51</v>
      </c>
      <c r="J891" s="4" t="n">
        <f aca="false">INDEX('Master List'!$G$2:$G$2594,K891)</f>
        <v>0</v>
      </c>
      <c r="K891" s="4" t="n">
        <v>642</v>
      </c>
    </row>
    <row r="892" customFormat="false" ht="15" hidden="false" customHeight="false" outlineLevel="0" collapsed="false">
      <c r="A892" s="4" t="n">
        <v>891</v>
      </c>
      <c r="B892" s="4" t="s">
        <v>1460</v>
      </c>
      <c r="C892" s="4" t="n">
        <v>1962</v>
      </c>
      <c r="D892" s="4" t="s">
        <v>1461</v>
      </c>
      <c r="E892" s="25" t="str">
        <f aca="false">IF(J892=1,"✓","")</f>
        <v/>
      </c>
      <c r="F892" s="4" t="n">
        <v>3</v>
      </c>
      <c r="G892" s="4" t="n">
        <v>1</v>
      </c>
      <c r="H892" s="4" t="s">
        <v>144</v>
      </c>
      <c r="I892" s="4" t="s">
        <v>58</v>
      </c>
      <c r="J892" s="4" t="n">
        <f aca="false">INDEX('Master List'!$G$2:$G$2594,K892)</f>
        <v>0</v>
      </c>
      <c r="K892" s="4" t="n">
        <v>400</v>
      </c>
    </row>
    <row r="893" customFormat="false" ht="15" hidden="false" customHeight="false" outlineLevel="0" collapsed="false">
      <c r="A893" s="4" t="n">
        <v>892</v>
      </c>
      <c r="B893" s="4" t="s">
        <v>1462</v>
      </c>
      <c r="C893" s="4" t="n">
        <v>1963</v>
      </c>
      <c r="D893" s="4" t="s">
        <v>1463</v>
      </c>
      <c r="E893" s="25" t="str">
        <f aca="false">IF(J893=1,"✓","")</f>
        <v/>
      </c>
      <c r="F893" s="4" t="n">
        <v>3</v>
      </c>
      <c r="G893" s="4" t="n">
        <v>1</v>
      </c>
      <c r="H893" s="4" t="s">
        <v>144</v>
      </c>
      <c r="I893" s="4" t="s">
        <v>51</v>
      </c>
      <c r="J893" s="4" t="n">
        <f aca="false">INDEX('Master List'!$G$2:$G$2594,K893)</f>
        <v>0</v>
      </c>
      <c r="K893" s="4" t="n">
        <v>2433</v>
      </c>
    </row>
    <row r="894" customFormat="false" ht="15" hidden="false" customHeight="false" outlineLevel="0" collapsed="false">
      <c r="A894" s="4" t="n">
        <v>893</v>
      </c>
      <c r="B894" s="4" t="s">
        <v>1464</v>
      </c>
      <c r="C894" s="4" t="n">
        <v>1963</v>
      </c>
      <c r="D894" s="4" t="s">
        <v>1465</v>
      </c>
      <c r="E894" s="25" t="str">
        <f aca="false">IF(J894=1,"✓","")</f>
        <v/>
      </c>
      <c r="F894" s="4" t="n">
        <v>3</v>
      </c>
      <c r="G894" s="4" t="n">
        <v>1</v>
      </c>
      <c r="H894" s="4" t="s">
        <v>144</v>
      </c>
      <c r="I894" s="4" t="s">
        <v>52</v>
      </c>
      <c r="J894" s="4" t="n">
        <f aca="false">INDEX('Master List'!$G$2:$G$2594,K894)</f>
        <v>0</v>
      </c>
      <c r="K894" s="4" t="n">
        <v>861</v>
      </c>
    </row>
    <row r="895" customFormat="false" ht="15" hidden="false" customHeight="false" outlineLevel="0" collapsed="false">
      <c r="A895" s="4" t="n">
        <v>894</v>
      </c>
      <c r="B895" s="4" t="s">
        <v>1466</v>
      </c>
      <c r="C895" s="4" t="n">
        <v>1964</v>
      </c>
      <c r="D895" s="4" t="s">
        <v>1467</v>
      </c>
      <c r="E895" s="25" t="str">
        <f aca="false">IF(J895=1,"✓","")</f>
        <v/>
      </c>
      <c r="F895" s="4" t="n">
        <v>3</v>
      </c>
      <c r="G895" s="4" t="n">
        <v>1</v>
      </c>
      <c r="H895" s="4" t="s">
        <v>144</v>
      </c>
      <c r="I895" s="4" t="s">
        <v>56</v>
      </c>
      <c r="J895" s="4" t="n">
        <f aca="false">INDEX('Master List'!$G$2:$G$2594,K895)</f>
        <v>0</v>
      </c>
      <c r="K895" s="4" t="n">
        <v>2022</v>
      </c>
    </row>
    <row r="896" customFormat="false" ht="15" hidden="false" customHeight="false" outlineLevel="0" collapsed="false">
      <c r="A896" s="4" t="n">
        <v>895</v>
      </c>
      <c r="B896" s="4" t="s">
        <v>1468</v>
      </c>
      <c r="C896" s="4" t="n">
        <v>1965</v>
      </c>
      <c r="D896" s="4" t="s">
        <v>1469</v>
      </c>
      <c r="E896" s="25" t="str">
        <f aca="false">IF(J896=1,"✓","")</f>
        <v/>
      </c>
      <c r="F896" s="4" t="n">
        <v>3</v>
      </c>
      <c r="G896" s="4" t="n">
        <v>1</v>
      </c>
      <c r="H896" s="4" t="s">
        <v>144</v>
      </c>
      <c r="I896" s="4" t="s">
        <v>54</v>
      </c>
      <c r="J896" s="4" t="n">
        <f aca="false">INDEX('Master List'!$G$2:$G$2594,K896)</f>
        <v>0</v>
      </c>
      <c r="K896" s="4" t="n">
        <v>788</v>
      </c>
    </row>
    <row r="897" customFormat="false" ht="15" hidden="false" customHeight="false" outlineLevel="0" collapsed="false">
      <c r="A897" s="4" t="n">
        <v>896</v>
      </c>
      <c r="B897" s="4" t="s">
        <v>1470</v>
      </c>
      <c r="C897" s="4" t="n">
        <v>1966</v>
      </c>
      <c r="D897" s="4" t="s">
        <v>1471</v>
      </c>
      <c r="E897" s="25" t="str">
        <f aca="false">IF(J897=1,"✓","")</f>
        <v/>
      </c>
      <c r="F897" s="4" t="n">
        <v>3</v>
      </c>
      <c r="G897" s="4" t="n">
        <v>1</v>
      </c>
      <c r="H897" s="4" t="s">
        <v>144</v>
      </c>
      <c r="I897" s="4" t="s">
        <v>51</v>
      </c>
      <c r="J897" s="4" t="n">
        <f aca="false">INDEX('Master List'!$G$2:$G$2594,K897)</f>
        <v>0</v>
      </c>
      <c r="K897" s="4" t="n">
        <v>482</v>
      </c>
    </row>
    <row r="898" customFormat="false" ht="15" hidden="false" customHeight="false" outlineLevel="0" collapsed="false">
      <c r="A898" s="4" t="n">
        <v>897</v>
      </c>
      <c r="B898" s="4" t="s">
        <v>1472</v>
      </c>
      <c r="C898" s="4" t="n">
        <v>1966</v>
      </c>
      <c r="D898" s="4" t="s">
        <v>1344</v>
      </c>
      <c r="E898" s="25" t="str">
        <f aca="false">IF(J898=1,"✓","")</f>
        <v/>
      </c>
      <c r="F898" s="4" t="n">
        <v>3</v>
      </c>
      <c r="G898" s="4" t="n">
        <v>2</v>
      </c>
      <c r="H898" s="4" t="s">
        <v>213</v>
      </c>
      <c r="I898" s="4" t="s">
        <v>52</v>
      </c>
      <c r="J898" s="4" t="n">
        <f aca="false">INDEX('Master List'!$G$2:$G$2594,K898)</f>
        <v>0</v>
      </c>
      <c r="K898" s="4" t="n">
        <v>2054</v>
      </c>
    </row>
    <row r="899" customFormat="false" ht="15" hidden="false" customHeight="false" outlineLevel="0" collapsed="false">
      <c r="A899" s="4" t="n">
        <v>898</v>
      </c>
      <c r="B899" s="4" t="s">
        <v>1473</v>
      </c>
      <c r="C899" s="4" t="n">
        <v>1967</v>
      </c>
      <c r="D899" s="4" t="s">
        <v>1474</v>
      </c>
      <c r="E899" s="25" t="str">
        <f aca="false">IF(J899=1,"✓","")</f>
        <v/>
      </c>
      <c r="F899" s="4" t="n">
        <v>3</v>
      </c>
      <c r="G899" s="4" t="n">
        <v>1</v>
      </c>
      <c r="H899" s="4" t="s">
        <v>144</v>
      </c>
      <c r="I899" s="4" t="s">
        <v>52</v>
      </c>
      <c r="J899" s="4" t="n">
        <f aca="false">INDEX('Master List'!$G$2:$G$2594,K899)</f>
        <v>0</v>
      </c>
      <c r="K899" s="4" t="n">
        <v>2472</v>
      </c>
    </row>
    <row r="900" customFormat="false" ht="15" hidden="false" customHeight="false" outlineLevel="0" collapsed="false">
      <c r="A900" s="4" t="n">
        <v>899</v>
      </c>
      <c r="B900" s="4" t="s">
        <v>1475</v>
      </c>
      <c r="C900" s="4" t="n">
        <v>1968</v>
      </c>
      <c r="D900" s="4" t="s">
        <v>195</v>
      </c>
      <c r="E900" s="25" t="str">
        <f aca="false">IF(J900=1,"✓","")</f>
        <v/>
      </c>
      <c r="F900" s="4" t="n">
        <v>3</v>
      </c>
      <c r="G900" s="4" t="n">
        <v>1</v>
      </c>
      <c r="H900" s="4" t="s">
        <v>144</v>
      </c>
      <c r="I900" s="4" t="s">
        <v>52</v>
      </c>
      <c r="J900" s="4" t="n">
        <f aca="false">INDEX('Master List'!$G$2:$G$2594,K900)</f>
        <v>0</v>
      </c>
      <c r="K900" s="4" t="n">
        <v>1934</v>
      </c>
    </row>
    <row r="901" customFormat="false" ht="15" hidden="false" customHeight="false" outlineLevel="0" collapsed="false">
      <c r="A901" s="4" t="n">
        <v>900</v>
      </c>
      <c r="B901" s="4" t="s">
        <v>1476</v>
      </c>
      <c r="C901" s="4" t="n">
        <v>1968</v>
      </c>
      <c r="D901" s="4" t="s">
        <v>1477</v>
      </c>
      <c r="E901" s="25" t="str">
        <f aca="false">IF(J901=1,"✓","")</f>
        <v/>
      </c>
      <c r="F901" s="4" t="n">
        <v>3</v>
      </c>
      <c r="G901" s="4" t="n">
        <v>1</v>
      </c>
      <c r="H901" s="4" t="s">
        <v>144</v>
      </c>
      <c r="I901" s="4" t="s">
        <v>52</v>
      </c>
      <c r="J901" s="4" t="n">
        <f aca="false">INDEX('Master List'!$G$2:$G$2594,K901)</f>
        <v>0</v>
      </c>
      <c r="K901" s="4" t="n">
        <v>1776</v>
      </c>
    </row>
    <row r="902" customFormat="false" ht="15" hidden="false" customHeight="false" outlineLevel="0" collapsed="false">
      <c r="A902" s="4" t="n">
        <v>901</v>
      </c>
      <c r="B902" s="4" t="s">
        <v>1478</v>
      </c>
      <c r="C902" s="4" t="n">
        <v>1969</v>
      </c>
      <c r="D902" s="4" t="s">
        <v>1479</v>
      </c>
      <c r="E902" s="25" t="str">
        <f aca="false">IF(J902=1,"✓","")</f>
        <v/>
      </c>
      <c r="F902" s="4" t="n">
        <v>3</v>
      </c>
      <c r="G902" s="4" t="n">
        <v>1</v>
      </c>
      <c r="H902" s="4" t="s">
        <v>144</v>
      </c>
      <c r="I902" s="4" t="s">
        <v>52</v>
      </c>
      <c r="J902" s="4" t="n">
        <f aca="false">INDEX('Master List'!$G$2:$G$2594,K902)</f>
        <v>0</v>
      </c>
      <c r="K902" s="4" t="n">
        <v>1959</v>
      </c>
    </row>
    <row r="903" customFormat="false" ht="15" hidden="false" customHeight="false" outlineLevel="0" collapsed="false">
      <c r="A903" s="4" t="n">
        <v>902</v>
      </c>
      <c r="B903" s="4" t="s">
        <v>1480</v>
      </c>
      <c r="C903" s="4" t="n">
        <v>1970</v>
      </c>
      <c r="D903" s="4" t="s">
        <v>1481</v>
      </c>
      <c r="E903" s="25" t="str">
        <f aca="false">IF(J903=1,"✓","")</f>
        <v/>
      </c>
      <c r="F903" s="4" t="n">
        <v>3</v>
      </c>
      <c r="G903" s="4" t="n">
        <v>1</v>
      </c>
      <c r="H903" s="4" t="s">
        <v>144</v>
      </c>
      <c r="I903" s="4" t="s">
        <v>51</v>
      </c>
      <c r="J903" s="4" t="n">
        <f aca="false">INDEX('Master List'!$G$2:$G$2594,K903)</f>
        <v>0</v>
      </c>
      <c r="K903" s="4" t="n">
        <v>1746</v>
      </c>
    </row>
    <row r="904" customFormat="false" ht="15" hidden="false" customHeight="false" outlineLevel="0" collapsed="false">
      <c r="A904" s="4" t="n">
        <v>903</v>
      </c>
      <c r="B904" s="4" t="s">
        <v>1482</v>
      </c>
      <c r="C904" s="4" t="n">
        <v>1970</v>
      </c>
      <c r="D904" s="4" t="s">
        <v>1483</v>
      </c>
      <c r="E904" s="25" t="str">
        <f aca="false">IF(J904=1,"✓","")</f>
        <v/>
      </c>
      <c r="F904" s="4" t="n">
        <v>3</v>
      </c>
      <c r="G904" s="4" t="n">
        <v>1</v>
      </c>
      <c r="H904" s="4" t="s">
        <v>144</v>
      </c>
      <c r="I904" s="4" t="s">
        <v>51</v>
      </c>
      <c r="J904" s="4" t="n">
        <f aca="false">INDEX('Master List'!$G$2:$G$2594,K904)</f>
        <v>0</v>
      </c>
      <c r="K904" s="4" t="n">
        <v>2346</v>
      </c>
    </row>
    <row r="905" customFormat="false" ht="15" hidden="false" customHeight="false" outlineLevel="0" collapsed="false">
      <c r="A905" s="4" t="n">
        <v>904</v>
      </c>
      <c r="B905" s="4" t="s">
        <v>1484</v>
      </c>
      <c r="C905" s="4" t="n">
        <v>1971</v>
      </c>
      <c r="D905" s="4" t="s">
        <v>1485</v>
      </c>
      <c r="E905" s="25" t="str">
        <f aca="false">IF(J905=1,"✓","")</f>
        <v/>
      </c>
      <c r="F905" s="4" t="n">
        <v>3</v>
      </c>
      <c r="G905" s="4" t="n">
        <v>1</v>
      </c>
      <c r="H905" s="4" t="s">
        <v>144</v>
      </c>
      <c r="I905" s="4" t="s">
        <v>51</v>
      </c>
      <c r="J905" s="4" t="n">
        <f aca="false">INDEX('Master List'!$G$2:$G$2594,K905)</f>
        <v>0</v>
      </c>
      <c r="K905" s="4" t="n">
        <v>2445</v>
      </c>
    </row>
    <row r="906" customFormat="false" ht="15" hidden="false" customHeight="false" outlineLevel="0" collapsed="false">
      <c r="A906" s="4" t="n">
        <v>905</v>
      </c>
      <c r="B906" s="4" t="s">
        <v>1486</v>
      </c>
      <c r="C906" s="4" t="n">
        <v>1971</v>
      </c>
      <c r="D906" s="4" t="s">
        <v>1487</v>
      </c>
      <c r="E906" s="25" t="str">
        <f aca="false">IF(J906=1,"✓","")</f>
        <v/>
      </c>
      <c r="F906" s="4" t="n">
        <v>3</v>
      </c>
      <c r="G906" s="4" t="n">
        <v>1</v>
      </c>
      <c r="H906" s="4" t="s">
        <v>144</v>
      </c>
      <c r="I906" s="4" t="s">
        <v>54</v>
      </c>
      <c r="J906" s="4" t="n">
        <f aca="false">INDEX('Master List'!$G$2:$G$2594,K906)</f>
        <v>0</v>
      </c>
      <c r="K906" s="4" t="n">
        <v>2216</v>
      </c>
    </row>
    <row r="907" customFormat="false" ht="15" hidden="false" customHeight="false" outlineLevel="0" collapsed="false">
      <c r="A907" s="4" t="n">
        <v>906</v>
      </c>
      <c r="B907" s="4" t="s">
        <v>1488</v>
      </c>
      <c r="C907" s="4" t="n">
        <v>1971</v>
      </c>
      <c r="D907" s="4" t="s">
        <v>1489</v>
      </c>
      <c r="E907" s="25" t="str">
        <f aca="false">IF(J907=1,"✓","")</f>
        <v/>
      </c>
      <c r="F907" s="4" t="n">
        <v>3</v>
      </c>
      <c r="G907" s="4" t="n">
        <v>1</v>
      </c>
      <c r="H907" s="4" t="s">
        <v>144</v>
      </c>
      <c r="I907" s="4" t="s">
        <v>54</v>
      </c>
      <c r="J907" s="4" t="n">
        <f aca="false">INDEX('Master List'!$G$2:$G$2594,K907)</f>
        <v>0</v>
      </c>
      <c r="K907" s="4" t="n">
        <v>2032</v>
      </c>
    </row>
    <row r="908" customFormat="false" ht="15" hidden="false" customHeight="false" outlineLevel="0" collapsed="false">
      <c r="A908" s="4" t="n">
        <v>907</v>
      </c>
      <c r="B908" s="4" t="s">
        <v>1490</v>
      </c>
      <c r="C908" s="4" t="n">
        <v>1972</v>
      </c>
      <c r="D908" s="4" t="s">
        <v>1491</v>
      </c>
      <c r="E908" s="25" t="str">
        <f aca="false">IF(J908=1,"✓","")</f>
        <v/>
      </c>
      <c r="F908" s="4" t="n">
        <v>3</v>
      </c>
      <c r="G908" s="4" t="n">
        <v>1</v>
      </c>
      <c r="H908" s="4" t="s">
        <v>144</v>
      </c>
      <c r="I908" s="4" t="s">
        <v>51</v>
      </c>
      <c r="J908" s="4" t="n">
        <f aca="false">INDEX('Master List'!$G$2:$G$2594,K908)</f>
        <v>0</v>
      </c>
      <c r="K908" s="4" t="n">
        <v>1499</v>
      </c>
    </row>
    <row r="909" customFormat="false" ht="15" hidden="false" customHeight="false" outlineLevel="0" collapsed="false">
      <c r="A909" s="4" t="n">
        <v>908</v>
      </c>
      <c r="B909" s="4" t="s">
        <v>1492</v>
      </c>
      <c r="C909" s="4" t="n">
        <v>1972</v>
      </c>
      <c r="D909" s="4" t="s">
        <v>775</v>
      </c>
      <c r="E909" s="25" t="str">
        <f aca="false">IF(J909=1,"✓","")</f>
        <v/>
      </c>
      <c r="F909" s="4" t="n">
        <v>3</v>
      </c>
      <c r="G909" s="4" t="n">
        <v>1</v>
      </c>
      <c r="H909" s="4" t="s">
        <v>144</v>
      </c>
      <c r="I909" s="4" t="s">
        <v>52</v>
      </c>
      <c r="J909" s="4" t="n">
        <f aca="false">INDEX('Master List'!$G$2:$G$2594,K909)</f>
        <v>0</v>
      </c>
      <c r="K909" s="4" t="n">
        <v>610</v>
      </c>
    </row>
    <row r="910" customFormat="false" ht="15" hidden="false" customHeight="false" outlineLevel="0" collapsed="false">
      <c r="A910" s="4" t="n">
        <v>909</v>
      </c>
      <c r="B910" s="4" t="s">
        <v>1493</v>
      </c>
      <c r="C910" s="4" t="n">
        <v>1972</v>
      </c>
      <c r="D910" s="4" t="s">
        <v>1494</v>
      </c>
      <c r="E910" s="25" t="str">
        <f aca="false">IF(J910=1,"✓","")</f>
        <v/>
      </c>
      <c r="F910" s="4" t="n">
        <v>3</v>
      </c>
      <c r="G910" s="4" t="n">
        <v>1</v>
      </c>
      <c r="H910" s="4" t="s">
        <v>144</v>
      </c>
      <c r="I910" s="4" t="s">
        <v>56</v>
      </c>
      <c r="J910" s="4" t="n">
        <f aca="false">INDEX('Master List'!$G$2:$G$2594,K910)</f>
        <v>0</v>
      </c>
      <c r="K910" s="4" t="n">
        <v>1800</v>
      </c>
    </row>
    <row r="911" customFormat="false" ht="15" hidden="false" customHeight="false" outlineLevel="0" collapsed="false">
      <c r="A911" s="4" t="n">
        <v>910</v>
      </c>
      <c r="B911" s="4" t="s">
        <v>1495</v>
      </c>
      <c r="C911" s="4" t="n">
        <v>1972</v>
      </c>
      <c r="D911" s="4" t="s">
        <v>1496</v>
      </c>
      <c r="E911" s="25" t="str">
        <f aca="false">IF(J911=1,"✓","")</f>
        <v/>
      </c>
      <c r="F911" s="4" t="n">
        <v>3</v>
      </c>
      <c r="G911" s="4" t="n">
        <v>1</v>
      </c>
      <c r="H911" s="4" t="s">
        <v>144</v>
      </c>
      <c r="I911" s="4" t="s">
        <v>56</v>
      </c>
      <c r="J911" s="4" t="n">
        <f aca="false">INDEX('Master List'!$G$2:$G$2594,K911)</f>
        <v>0</v>
      </c>
      <c r="K911" s="4" t="n">
        <v>1295</v>
      </c>
    </row>
    <row r="912" customFormat="false" ht="15" hidden="false" customHeight="false" outlineLevel="0" collapsed="false">
      <c r="A912" s="4" t="n">
        <v>911</v>
      </c>
      <c r="B912" s="4" t="s">
        <v>1497</v>
      </c>
      <c r="C912" s="4" t="n">
        <v>1973</v>
      </c>
      <c r="D912" s="4" t="s">
        <v>1498</v>
      </c>
      <c r="E912" s="25" t="str">
        <f aca="false">IF(J912=1,"✓","")</f>
        <v/>
      </c>
      <c r="F912" s="4" t="n">
        <v>3</v>
      </c>
      <c r="G912" s="4" t="n">
        <v>1</v>
      </c>
      <c r="H912" s="4" t="s">
        <v>144</v>
      </c>
      <c r="I912" s="4" t="s">
        <v>52</v>
      </c>
      <c r="J912" s="4" t="n">
        <f aca="false">INDEX('Master List'!$G$2:$G$2594,K912)</f>
        <v>0</v>
      </c>
      <c r="K912" s="4" t="n">
        <v>2511</v>
      </c>
    </row>
    <row r="913" customFormat="false" ht="15" hidden="false" customHeight="false" outlineLevel="0" collapsed="false">
      <c r="A913" s="4" t="n">
        <v>912</v>
      </c>
      <c r="B913" s="4" t="s">
        <v>1499</v>
      </c>
      <c r="C913" s="4" t="n">
        <v>1974</v>
      </c>
      <c r="D913" s="4" t="s">
        <v>1500</v>
      </c>
      <c r="E913" s="25" t="str">
        <f aca="false">IF(J913=1,"✓","")</f>
        <v/>
      </c>
      <c r="F913" s="4" t="n">
        <v>3</v>
      </c>
      <c r="G913" s="4" t="n">
        <v>1</v>
      </c>
      <c r="H913" s="4" t="s">
        <v>144</v>
      </c>
      <c r="I913" s="4" t="s">
        <v>52</v>
      </c>
      <c r="J913" s="4" t="n">
        <f aca="false">INDEX('Master List'!$G$2:$G$2594,K913)</f>
        <v>0</v>
      </c>
      <c r="K913" s="4" t="n">
        <v>2574</v>
      </c>
    </row>
    <row r="914" customFormat="false" ht="15" hidden="false" customHeight="false" outlineLevel="0" collapsed="false">
      <c r="A914" s="4" t="n">
        <v>913</v>
      </c>
      <c r="B914" s="4" t="s">
        <v>1501</v>
      </c>
      <c r="C914" s="4" t="n">
        <v>1974</v>
      </c>
      <c r="D914" s="4" t="s">
        <v>243</v>
      </c>
      <c r="E914" s="25" t="str">
        <f aca="false">IF(J914=1,"✓","")</f>
        <v/>
      </c>
      <c r="F914" s="4" t="n">
        <v>3</v>
      </c>
      <c r="G914" s="4" t="n">
        <v>1</v>
      </c>
      <c r="H914" s="4" t="s">
        <v>144</v>
      </c>
      <c r="I914" s="4" t="s">
        <v>52</v>
      </c>
      <c r="J914" s="4" t="n">
        <f aca="false">INDEX('Master List'!$G$2:$G$2594,K914)</f>
        <v>0</v>
      </c>
      <c r="K914" s="4" t="n">
        <v>1718</v>
      </c>
    </row>
    <row r="915" customFormat="false" ht="15" hidden="false" customHeight="false" outlineLevel="0" collapsed="false">
      <c r="A915" s="4" t="n">
        <v>914</v>
      </c>
      <c r="B915" s="4" t="s">
        <v>1502</v>
      </c>
      <c r="C915" s="4" t="n">
        <v>1974</v>
      </c>
      <c r="D915" s="4" t="s">
        <v>1503</v>
      </c>
      <c r="E915" s="25" t="str">
        <f aca="false">IF(J915=1,"✓","")</f>
        <v/>
      </c>
      <c r="F915" s="4" t="n">
        <v>3</v>
      </c>
      <c r="G915" s="4" t="n">
        <v>1</v>
      </c>
      <c r="H915" s="4" t="s">
        <v>144</v>
      </c>
      <c r="I915" s="4" t="s">
        <v>56</v>
      </c>
      <c r="J915" s="4" t="n">
        <f aca="false">INDEX('Master List'!$G$2:$G$2594,K915)</f>
        <v>0</v>
      </c>
      <c r="K915" s="4" t="n">
        <v>2352</v>
      </c>
    </row>
    <row r="916" customFormat="false" ht="15" hidden="false" customHeight="false" outlineLevel="0" collapsed="false">
      <c r="A916" s="4" t="n">
        <v>915</v>
      </c>
      <c r="B916" s="4" t="s">
        <v>1504</v>
      </c>
      <c r="C916" s="4" t="n">
        <v>1975</v>
      </c>
      <c r="D916" s="4" t="s">
        <v>1505</v>
      </c>
      <c r="E916" s="25" t="str">
        <f aca="false">IF(J916=1,"✓","")</f>
        <v/>
      </c>
      <c r="F916" s="4" t="n">
        <v>3</v>
      </c>
      <c r="G916" s="4" t="n">
        <v>1</v>
      </c>
      <c r="H916" s="4" t="s">
        <v>144</v>
      </c>
      <c r="I916" s="4" t="s">
        <v>51</v>
      </c>
      <c r="J916" s="4" t="n">
        <f aca="false">INDEX('Master List'!$G$2:$G$2594,K916)</f>
        <v>0</v>
      </c>
      <c r="K916" s="4" t="n">
        <v>2051</v>
      </c>
    </row>
    <row r="917" customFormat="false" ht="15" hidden="false" customHeight="false" outlineLevel="0" collapsed="false">
      <c r="A917" s="4" t="n">
        <v>916</v>
      </c>
      <c r="B917" s="4" t="s">
        <v>1506</v>
      </c>
      <c r="C917" s="4" t="n">
        <v>1975</v>
      </c>
      <c r="D917" s="4" t="s">
        <v>439</v>
      </c>
      <c r="E917" s="25" t="str">
        <f aca="false">IF(J917=1,"✓","")</f>
        <v>✓</v>
      </c>
      <c r="F917" s="4" t="n">
        <v>3</v>
      </c>
      <c r="G917" s="4" t="n">
        <v>1</v>
      </c>
      <c r="H917" s="4" t="s">
        <v>144</v>
      </c>
      <c r="I917" s="4" t="s">
        <v>51</v>
      </c>
      <c r="J917" s="4" t="n">
        <f aca="false">INDEX('Master List'!$G$2:$G$2594,K917)</f>
        <v>1</v>
      </c>
      <c r="K917" s="4" t="n">
        <v>1764</v>
      </c>
    </row>
    <row r="918" customFormat="false" ht="15" hidden="false" customHeight="false" outlineLevel="0" collapsed="false">
      <c r="A918" s="4" t="n">
        <v>917</v>
      </c>
      <c r="B918" s="4" t="s">
        <v>1507</v>
      </c>
      <c r="C918" s="4" t="n">
        <v>1975</v>
      </c>
      <c r="D918" s="4" t="s">
        <v>1508</v>
      </c>
      <c r="E918" s="25" t="str">
        <f aca="false">IF(J918=1,"✓","")</f>
        <v/>
      </c>
      <c r="F918" s="4" t="n">
        <v>3</v>
      </c>
      <c r="G918" s="4" t="n">
        <v>1</v>
      </c>
      <c r="H918" s="4" t="s">
        <v>144</v>
      </c>
      <c r="I918" s="4" t="s">
        <v>52</v>
      </c>
      <c r="J918" s="4" t="n">
        <f aca="false">INDEX('Master List'!$G$2:$G$2594,K918)</f>
        <v>0</v>
      </c>
      <c r="K918" s="4" t="n">
        <v>965</v>
      </c>
    </row>
    <row r="919" customFormat="false" ht="15" hidden="false" customHeight="false" outlineLevel="0" collapsed="false">
      <c r="A919" s="4" t="n">
        <v>918</v>
      </c>
      <c r="B919" s="4" t="s">
        <v>1509</v>
      </c>
      <c r="C919" s="4" t="n">
        <v>1977</v>
      </c>
      <c r="D919" s="4" t="s">
        <v>677</v>
      </c>
      <c r="E919" s="25" t="str">
        <f aca="false">IF(J919=1,"✓","")</f>
        <v/>
      </c>
      <c r="F919" s="4" t="n">
        <v>3</v>
      </c>
      <c r="G919" s="4" t="n">
        <v>1</v>
      </c>
      <c r="H919" s="4" t="s">
        <v>144</v>
      </c>
      <c r="I919" s="4" t="s">
        <v>51</v>
      </c>
      <c r="J919" s="4" t="n">
        <f aca="false">INDEX('Master List'!$G$2:$G$2594,K919)</f>
        <v>0</v>
      </c>
      <c r="K919" s="4" t="n">
        <v>2210</v>
      </c>
    </row>
    <row r="920" customFormat="false" ht="15" hidden="false" customHeight="false" outlineLevel="0" collapsed="false">
      <c r="A920" s="4" t="n">
        <v>919</v>
      </c>
      <c r="B920" s="4" t="s">
        <v>1510</v>
      </c>
      <c r="C920" s="4" t="n">
        <v>1978</v>
      </c>
      <c r="D920" s="4" t="s">
        <v>475</v>
      </c>
      <c r="E920" s="25" t="str">
        <f aca="false">IF(J920=1,"✓","")</f>
        <v/>
      </c>
      <c r="F920" s="4" t="n">
        <v>3</v>
      </c>
      <c r="G920" s="4" t="n">
        <v>1</v>
      </c>
      <c r="H920" s="4" t="s">
        <v>144</v>
      </c>
      <c r="I920" s="4" t="s">
        <v>52</v>
      </c>
      <c r="J920" s="4" t="n">
        <f aca="false">INDEX('Master List'!$G$2:$G$2594,K920)</f>
        <v>0</v>
      </c>
      <c r="K920" s="4" t="n">
        <v>569</v>
      </c>
    </row>
    <row r="921" customFormat="false" ht="15" hidden="false" customHeight="false" outlineLevel="0" collapsed="false">
      <c r="A921" s="4" t="n">
        <v>920</v>
      </c>
      <c r="B921" s="4" t="s">
        <v>1511</v>
      </c>
      <c r="C921" s="4" t="n">
        <v>1978</v>
      </c>
      <c r="D921" s="4" t="s">
        <v>164</v>
      </c>
      <c r="E921" s="25" t="str">
        <f aca="false">IF(J921=1,"✓","")</f>
        <v/>
      </c>
      <c r="F921" s="4" t="n">
        <v>3</v>
      </c>
      <c r="G921" s="4" t="n">
        <v>1</v>
      </c>
      <c r="H921" s="4" t="s">
        <v>144</v>
      </c>
      <c r="I921" s="4" t="s">
        <v>52</v>
      </c>
      <c r="J921" s="4" t="n">
        <f aca="false">INDEX('Master List'!$G$2:$G$2594,K921)</f>
        <v>0</v>
      </c>
      <c r="K921" s="4" t="n">
        <v>1303</v>
      </c>
    </row>
    <row r="922" customFormat="false" ht="15" hidden="false" customHeight="false" outlineLevel="0" collapsed="false">
      <c r="A922" s="4" t="n">
        <v>921</v>
      </c>
      <c r="B922" s="4" t="s">
        <v>1512</v>
      </c>
      <c r="C922" s="4" t="n">
        <v>1978</v>
      </c>
      <c r="D922" s="4" t="s">
        <v>1513</v>
      </c>
      <c r="E922" s="25" t="str">
        <f aca="false">IF(J922=1,"✓","")</f>
        <v/>
      </c>
      <c r="F922" s="4" t="n">
        <v>3</v>
      </c>
      <c r="G922" s="4" t="n">
        <v>1</v>
      </c>
      <c r="H922" s="4" t="s">
        <v>144</v>
      </c>
      <c r="I922" s="4" t="s">
        <v>58</v>
      </c>
      <c r="J922" s="4" t="n">
        <f aca="false">INDEX('Master List'!$G$2:$G$2594,K922)</f>
        <v>0</v>
      </c>
      <c r="K922" s="4" t="n">
        <v>682</v>
      </c>
    </row>
    <row r="923" customFormat="false" ht="15" hidden="false" customHeight="false" outlineLevel="0" collapsed="false">
      <c r="A923" s="4" t="n">
        <v>922</v>
      </c>
      <c r="B923" s="4" t="s">
        <v>1514</v>
      </c>
      <c r="C923" s="4" t="n">
        <v>1979</v>
      </c>
      <c r="D923" s="4" t="s">
        <v>872</v>
      </c>
      <c r="E923" s="25" t="str">
        <f aca="false">IF(J923=1,"✓","")</f>
        <v>✓</v>
      </c>
      <c r="F923" s="4" t="n">
        <v>3</v>
      </c>
      <c r="G923" s="4" t="n">
        <v>1</v>
      </c>
      <c r="H923" s="4" t="s">
        <v>144</v>
      </c>
      <c r="I923" s="4" t="s">
        <v>51</v>
      </c>
      <c r="J923" s="4" t="n">
        <f aca="false">INDEX('Master List'!$G$2:$G$2594,K923)</f>
        <v>1</v>
      </c>
      <c r="K923" s="4" t="n">
        <v>1405</v>
      </c>
    </row>
    <row r="924" customFormat="false" ht="15" hidden="false" customHeight="false" outlineLevel="0" collapsed="false">
      <c r="A924" s="4" t="n">
        <v>923</v>
      </c>
      <c r="B924" s="4" t="s">
        <v>1515</v>
      </c>
      <c r="C924" s="4" t="n">
        <v>1979</v>
      </c>
      <c r="D924" s="4" t="s">
        <v>1516</v>
      </c>
      <c r="E924" s="25" t="str">
        <f aca="false">IF(J924=1,"✓","")</f>
        <v/>
      </c>
      <c r="F924" s="4" t="n">
        <v>3</v>
      </c>
      <c r="G924" s="4" t="n">
        <v>1</v>
      </c>
      <c r="H924" s="4" t="s">
        <v>144</v>
      </c>
      <c r="I924" s="4" t="s">
        <v>55</v>
      </c>
      <c r="J924" s="4" t="n">
        <f aca="false">INDEX('Master List'!$G$2:$G$2594,K924)</f>
        <v>0</v>
      </c>
      <c r="K924" s="4" t="n">
        <v>1627</v>
      </c>
    </row>
    <row r="925" customFormat="false" ht="15" hidden="false" customHeight="false" outlineLevel="0" collapsed="false">
      <c r="A925" s="4" t="n">
        <v>924</v>
      </c>
      <c r="B925" s="4" t="s">
        <v>1517</v>
      </c>
      <c r="C925" s="4" t="n">
        <v>1979</v>
      </c>
      <c r="D925" s="4" t="s">
        <v>604</v>
      </c>
      <c r="E925" s="25" t="str">
        <f aca="false">IF(J925=1,"✓","")</f>
        <v>✓</v>
      </c>
      <c r="F925" s="4" t="n">
        <v>3</v>
      </c>
      <c r="G925" s="4" t="n">
        <v>1</v>
      </c>
      <c r="H925" s="4" t="s">
        <v>144</v>
      </c>
      <c r="I925" s="4" t="s">
        <v>55</v>
      </c>
      <c r="J925" s="4" t="n">
        <f aca="false">INDEX('Master List'!$G$2:$G$2594,K925)</f>
        <v>1</v>
      </c>
      <c r="K925" s="4" t="n">
        <v>1438</v>
      </c>
    </row>
    <row r="926" customFormat="false" ht="15" hidden="false" customHeight="false" outlineLevel="0" collapsed="false">
      <c r="A926" s="4" t="n">
        <v>925</v>
      </c>
      <c r="B926" s="4" t="s">
        <v>1518</v>
      </c>
      <c r="C926" s="4" t="n">
        <v>1979</v>
      </c>
      <c r="D926" s="4" t="s">
        <v>1519</v>
      </c>
      <c r="E926" s="25" t="str">
        <f aca="false">IF(J926=1,"✓","")</f>
        <v/>
      </c>
      <c r="F926" s="4" t="n">
        <v>3</v>
      </c>
      <c r="G926" s="4" t="n">
        <v>1</v>
      </c>
      <c r="H926" s="4" t="s">
        <v>144</v>
      </c>
      <c r="I926" s="4" t="s">
        <v>56</v>
      </c>
      <c r="J926" s="4" t="n">
        <f aca="false">INDEX('Master List'!$G$2:$G$2594,K926)</f>
        <v>0</v>
      </c>
      <c r="K926" s="4" t="n">
        <v>1838</v>
      </c>
    </row>
    <row r="927" customFormat="false" ht="15" hidden="false" customHeight="false" outlineLevel="0" collapsed="false">
      <c r="A927" s="4" t="n">
        <v>926</v>
      </c>
      <c r="B927" s="4" t="s">
        <v>1520</v>
      </c>
      <c r="C927" s="4" t="n">
        <v>1980</v>
      </c>
      <c r="D927" s="4" t="s">
        <v>1521</v>
      </c>
      <c r="E927" s="25" t="str">
        <f aca="false">IF(J927=1,"✓","")</f>
        <v>✓</v>
      </c>
      <c r="F927" s="4" t="n">
        <v>3</v>
      </c>
      <c r="G927" s="4" t="n">
        <v>1</v>
      </c>
      <c r="H927" s="4" t="s">
        <v>144</v>
      </c>
      <c r="I927" s="4" t="s">
        <v>52</v>
      </c>
      <c r="J927" s="4" t="n">
        <f aca="false">INDEX('Master List'!$G$2:$G$2594,K927)</f>
        <v>1</v>
      </c>
      <c r="K927" s="4" t="n">
        <v>58</v>
      </c>
    </row>
    <row r="928" customFormat="false" ht="15" hidden="false" customHeight="false" outlineLevel="0" collapsed="false">
      <c r="A928" s="4" t="n">
        <v>927</v>
      </c>
      <c r="B928" s="4" t="s">
        <v>1522</v>
      </c>
      <c r="C928" s="4" t="n">
        <v>1980</v>
      </c>
      <c r="D928" s="4" t="s">
        <v>1523</v>
      </c>
      <c r="E928" s="25" t="str">
        <f aca="false">IF(J928=1,"✓","")</f>
        <v/>
      </c>
      <c r="F928" s="4" t="n">
        <v>3</v>
      </c>
      <c r="G928" s="4" t="n">
        <v>1</v>
      </c>
      <c r="H928" s="4" t="s">
        <v>144</v>
      </c>
      <c r="I928" s="4" t="s">
        <v>55</v>
      </c>
      <c r="J928" s="4" t="n">
        <f aca="false">INDEX('Master List'!$G$2:$G$2594,K928)</f>
        <v>0</v>
      </c>
      <c r="K928" s="4" t="n">
        <v>1691</v>
      </c>
    </row>
    <row r="929" customFormat="false" ht="15" hidden="false" customHeight="false" outlineLevel="0" collapsed="false">
      <c r="A929" s="4" t="n">
        <v>928</v>
      </c>
      <c r="B929" s="4" t="s">
        <v>1524</v>
      </c>
      <c r="C929" s="4" t="n">
        <v>1981</v>
      </c>
      <c r="D929" s="4" t="s">
        <v>1525</v>
      </c>
      <c r="E929" s="25" t="str">
        <f aca="false">IF(J929=1,"✓","")</f>
        <v/>
      </c>
      <c r="F929" s="4" t="n">
        <v>3</v>
      </c>
      <c r="G929" s="4" t="n">
        <v>1</v>
      </c>
      <c r="H929" s="4" t="s">
        <v>144</v>
      </c>
      <c r="I929" s="4" t="s">
        <v>51</v>
      </c>
      <c r="J929" s="4" t="n">
        <f aca="false">INDEX('Master List'!$G$2:$G$2594,K929)</f>
        <v>0</v>
      </c>
      <c r="K929" s="4" t="n">
        <v>639</v>
      </c>
    </row>
    <row r="930" customFormat="false" ht="15" hidden="false" customHeight="false" outlineLevel="0" collapsed="false">
      <c r="A930" s="4" t="n">
        <v>929</v>
      </c>
      <c r="B930" s="4" t="s">
        <v>1526</v>
      </c>
      <c r="C930" s="4" t="n">
        <v>1981</v>
      </c>
      <c r="D930" s="4" t="s">
        <v>1527</v>
      </c>
      <c r="E930" s="25" t="str">
        <f aca="false">IF(J930=1,"✓","")</f>
        <v/>
      </c>
      <c r="F930" s="4" t="n">
        <v>3</v>
      </c>
      <c r="G930" s="4" t="n">
        <v>1</v>
      </c>
      <c r="H930" s="4" t="s">
        <v>144</v>
      </c>
      <c r="I930" s="4" t="s">
        <v>56</v>
      </c>
      <c r="J930" s="4" t="n">
        <f aca="false">INDEX('Master List'!$G$2:$G$2594,K930)</f>
        <v>0</v>
      </c>
      <c r="K930" s="4" t="n">
        <v>754</v>
      </c>
    </row>
    <row r="931" customFormat="false" ht="15" hidden="false" customHeight="false" outlineLevel="0" collapsed="false">
      <c r="A931" s="4" t="n">
        <v>930</v>
      </c>
      <c r="B931" s="4" t="s">
        <v>1528</v>
      </c>
      <c r="C931" s="4" t="n">
        <v>1984</v>
      </c>
      <c r="D931" s="4" t="s">
        <v>892</v>
      </c>
      <c r="E931" s="25" t="str">
        <f aca="false">IF(J931=1,"✓","")</f>
        <v>✓</v>
      </c>
      <c r="F931" s="4" t="n">
        <v>3</v>
      </c>
      <c r="G931" s="4" t="n">
        <v>1</v>
      </c>
      <c r="H931" s="4" t="s">
        <v>144</v>
      </c>
      <c r="I931" s="4" t="s">
        <v>52</v>
      </c>
      <c r="J931" s="4" t="n">
        <f aca="false">INDEX('Master List'!$G$2:$G$2594,K931)</f>
        <v>1</v>
      </c>
      <c r="K931" s="4" t="n">
        <v>2254</v>
      </c>
    </row>
    <row r="932" customFormat="false" ht="15" hidden="false" customHeight="false" outlineLevel="0" collapsed="false">
      <c r="A932" s="4" t="n">
        <v>931</v>
      </c>
      <c r="B932" s="4" t="s">
        <v>1529</v>
      </c>
      <c r="C932" s="4" t="n">
        <v>1984</v>
      </c>
      <c r="D932" s="4" t="s">
        <v>496</v>
      </c>
      <c r="E932" s="25" t="str">
        <f aca="false">IF(J932=1,"✓","")</f>
        <v/>
      </c>
      <c r="F932" s="4" t="n">
        <v>3</v>
      </c>
      <c r="G932" s="4" t="n">
        <v>1</v>
      </c>
      <c r="H932" s="4" t="s">
        <v>144</v>
      </c>
      <c r="I932" s="4" t="s">
        <v>52</v>
      </c>
      <c r="J932" s="4" t="n">
        <f aca="false">INDEX('Master List'!$G$2:$G$2594,K932)</f>
        <v>0</v>
      </c>
      <c r="K932" s="4" t="n">
        <v>2162</v>
      </c>
    </row>
    <row r="933" customFormat="false" ht="15" hidden="false" customHeight="false" outlineLevel="0" collapsed="false">
      <c r="A933" s="4" t="n">
        <v>932</v>
      </c>
      <c r="B933" s="4" t="s">
        <v>1530</v>
      </c>
      <c r="C933" s="4" t="n">
        <v>1985</v>
      </c>
      <c r="D933" s="4" t="s">
        <v>1531</v>
      </c>
      <c r="E933" s="25" t="str">
        <f aca="false">IF(J933=1,"✓","")</f>
        <v/>
      </c>
      <c r="F933" s="4" t="n">
        <v>3</v>
      </c>
      <c r="G933" s="4" t="n">
        <v>1</v>
      </c>
      <c r="H933" s="4" t="s">
        <v>144</v>
      </c>
      <c r="I933" s="4" t="s">
        <v>51</v>
      </c>
      <c r="J933" s="4" t="n">
        <f aca="false">INDEX('Master List'!$G$2:$G$2594,K933)</f>
        <v>0</v>
      </c>
      <c r="K933" s="4" t="n">
        <v>1788</v>
      </c>
    </row>
    <row r="934" customFormat="false" ht="15" hidden="false" customHeight="false" outlineLevel="0" collapsed="false">
      <c r="A934" s="4" t="n">
        <v>933</v>
      </c>
      <c r="B934" s="4" t="s">
        <v>1532</v>
      </c>
      <c r="C934" s="4" t="n">
        <v>1985</v>
      </c>
      <c r="D934" s="4" t="s">
        <v>1533</v>
      </c>
      <c r="E934" s="25" t="str">
        <f aca="false">IF(J934=1,"✓","")</f>
        <v/>
      </c>
      <c r="F934" s="4" t="n">
        <v>3</v>
      </c>
      <c r="G934" s="4" t="n">
        <v>1</v>
      </c>
      <c r="H934" s="4" t="s">
        <v>144</v>
      </c>
      <c r="I934" s="4" t="s">
        <v>55</v>
      </c>
      <c r="J934" s="4" t="n">
        <f aca="false">INDEX('Master List'!$G$2:$G$2594,K934)</f>
        <v>0</v>
      </c>
      <c r="K934" s="4" t="n">
        <v>2238</v>
      </c>
    </row>
    <row r="935" customFormat="false" ht="15" hidden="false" customHeight="false" outlineLevel="0" collapsed="false">
      <c r="A935" s="4" t="n">
        <v>934</v>
      </c>
      <c r="B935" s="4" t="s">
        <v>1534</v>
      </c>
      <c r="C935" s="4" t="n">
        <v>1986</v>
      </c>
      <c r="D935" s="4" t="s">
        <v>822</v>
      </c>
      <c r="E935" s="25" t="str">
        <f aca="false">IF(J935=1,"✓","")</f>
        <v>✓</v>
      </c>
      <c r="F935" s="4" t="n">
        <v>3</v>
      </c>
      <c r="G935" s="4" t="n">
        <v>1</v>
      </c>
      <c r="H935" s="4" t="s">
        <v>144</v>
      </c>
      <c r="I935" s="4" t="s">
        <v>55</v>
      </c>
      <c r="J935" s="4" t="n">
        <f aca="false">INDEX('Master List'!$G$2:$G$2594,K935)</f>
        <v>1</v>
      </c>
      <c r="K935" s="4" t="n">
        <v>2147</v>
      </c>
    </row>
    <row r="936" customFormat="false" ht="15" hidden="false" customHeight="false" outlineLevel="0" collapsed="false">
      <c r="A936" s="4" t="n">
        <v>935</v>
      </c>
      <c r="B936" s="4" t="s">
        <v>1535</v>
      </c>
      <c r="C936" s="4" t="n">
        <v>1987</v>
      </c>
      <c r="D936" s="4" t="s">
        <v>816</v>
      </c>
      <c r="E936" s="25" t="str">
        <f aca="false">IF(J936=1,"✓","")</f>
        <v>✓</v>
      </c>
      <c r="F936" s="4" t="n">
        <v>3</v>
      </c>
      <c r="G936" s="4" t="n">
        <v>1</v>
      </c>
      <c r="H936" s="4" t="s">
        <v>144</v>
      </c>
      <c r="I936" s="4" t="s">
        <v>55</v>
      </c>
      <c r="J936" s="4" t="n">
        <f aca="false">INDEX('Master List'!$G$2:$G$2594,K936)</f>
        <v>1</v>
      </c>
      <c r="K936" s="4" t="n">
        <v>2458</v>
      </c>
    </row>
    <row r="937" customFormat="false" ht="15" hidden="false" customHeight="false" outlineLevel="0" collapsed="false">
      <c r="A937" s="4" t="n">
        <v>936</v>
      </c>
      <c r="B937" s="4" t="s">
        <v>1536</v>
      </c>
      <c r="C937" s="4" t="n">
        <v>1987</v>
      </c>
      <c r="D937" s="4" t="s">
        <v>1537</v>
      </c>
      <c r="E937" s="25" t="str">
        <f aca="false">IF(J937=1,"✓","")</f>
        <v/>
      </c>
      <c r="F937" s="4" t="n">
        <v>3</v>
      </c>
      <c r="G937" s="4" t="n">
        <v>1</v>
      </c>
      <c r="H937" s="4" t="s">
        <v>144</v>
      </c>
      <c r="I937" s="4" t="s">
        <v>55</v>
      </c>
      <c r="J937" s="4" t="n">
        <f aca="false">INDEX('Master List'!$G$2:$G$2594,K937)</f>
        <v>0</v>
      </c>
      <c r="K937" s="4" t="n">
        <v>159</v>
      </c>
    </row>
    <row r="938" customFormat="false" ht="15" hidden="false" customHeight="false" outlineLevel="0" collapsed="false">
      <c r="A938" s="4" t="n">
        <v>937</v>
      </c>
      <c r="B938" s="4" t="s">
        <v>1538</v>
      </c>
      <c r="C938" s="4" t="n">
        <v>1987</v>
      </c>
      <c r="D938" s="4" t="s">
        <v>1539</v>
      </c>
      <c r="E938" s="25" t="str">
        <f aca="false">IF(J938=1,"✓","")</f>
        <v/>
      </c>
      <c r="F938" s="4" t="n">
        <v>3</v>
      </c>
      <c r="G938" s="4" t="n">
        <v>1</v>
      </c>
      <c r="H938" s="4" t="s">
        <v>144</v>
      </c>
      <c r="I938" s="4" t="s">
        <v>56</v>
      </c>
      <c r="J938" s="4" t="n">
        <f aca="false">INDEX('Master List'!$G$2:$G$2594,K938)</f>
        <v>0</v>
      </c>
      <c r="K938" s="4" t="n">
        <v>468</v>
      </c>
    </row>
    <row r="939" customFormat="false" ht="15" hidden="false" customHeight="false" outlineLevel="0" collapsed="false">
      <c r="A939" s="4" t="n">
        <v>938</v>
      </c>
      <c r="B939" s="4" t="s">
        <v>1540</v>
      </c>
      <c r="C939" s="4" t="n">
        <v>1991</v>
      </c>
      <c r="D939" s="4" t="s">
        <v>1541</v>
      </c>
      <c r="E939" s="25" t="str">
        <f aca="false">IF(J939=1,"✓","")</f>
        <v/>
      </c>
      <c r="F939" s="4" t="n">
        <v>3</v>
      </c>
      <c r="G939" s="4" t="n">
        <v>1</v>
      </c>
      <c r="H939" s="4" t="s">
        <v>144</v>
      </c>
      <c r="I939" s="4" t="s">
        <v>51</v>
      </c>
      <c r="J939" s="4" t="n">
        <f aca="false">INDEX('Master List'!$G$2:$G$2594,K939)</f>
        <v>0</v>
      </c>
      <c r="K939" s="4" t="n">
        <v>1856</v>
      </c>
    </row>
    <row r="940" customFormat="false" ht="15" hidden="false" customHeight="false" outlineLevel="0" collapsed="false">
      <c r="A940" s="4" t="n">
        <v>939</v>
      </c>
      <c r="B940" s="4" t="s">
        <v>1542</v>
      </c>
      <c r="C940" s="4" t="n">
        <v>1991</v>
      </c>
      <c r="D940" s="4" t="s">
        <v>1042</v>
      </c>
      <c r="E940" s="25" t="str">
        <f aca="false">IF(J940=1,"✓","")</f>
        <v/>
      </c>
      <c r="F940" s="4" t="n">
        <v>3</v>
      </c>
      <c r="G940" s="4" t="n">
        <v>1</v>
      </c>
      <c r="H940" s="4" t="s">
        <v>144</v>
      </c>
      <c r="I940" s="4" t="s">
        <v>53</v>
      </c>
      <c r="J940" s="4" t="n">
        <f aca="false">INDEX('Master List'!$G$2:$G$2594,K940)</f>
        <v>0</v>
      </c>
      <c r="K940" s="4" t="n">
        <v>664</v>
      </c>
    </row>
    <row r="941" customFormat="false" ht="15" hidden="false" customHeight="false" outlineLevel="0" collapsed="false">
      <c r="A941" s="4" t="n">
        <v>940</v>
      </c>
      <c r="B941" s="4" t="s">
        <v>1543</v>
      </c>
      <c r="C941" s="4" t="n">
        <v>1992</v>
      </c>
      <c r="D941" s="4" t="s">
        <v>1387</v>
      </c>
      <c r="E941" s="25" t="str">
        <f aca="false">IF(J941=1,"✓","")</f>
        <v>✓</v>
      </c>
      <c r="F941" s="4" t="n">
        <v>3</v>
      </c>
      <c r="G941" s="4" t="n">
        <v>1</v>
      </c>
      <c r="H941" s="4" t="s">
        <v>144</v>
      </c>
      <c r="I941" s="4" t="s">
        <v>51</v>
      </c>
      <c r="J941" s="4" t="n">
        <f aca="false">INDEX('Master List'!$G$2:$G$2594,K941)</f>
        <v>1</v>
      </c>
      <c r="K941" s="4" t="n">
        <v>993</v>
      </c>
    </row>
    <row r="942" customFormat="false" ht="15" hidden="false" customHeight="false" outlineLevel="0" collapsed="false">
      <c r="A942" s="4" t="n">
        <v>941</v>
      </c>
      <c r="B942" s="4" t="s">
        <v>1544</v>
      </c>
      <c r="C942" s="4" t="n">
        <v>1992</v>
      </c>
      <c r="D942" s="4" t="s">
        <v>1545</v>
      </c>
      <c r="E942" s="25" t="str">
        <f aca="false">IF(J942=1,"✓","")</f>
        <v/>
      </c>
      <c r="F942" s="4" t="n">
        <v>3</v>
      </c>
      <c r="G942" s="4" t="n">
        <v>2</v>
      </c>
      <c r="H942" s="4" t="s">
        <v>213</v>
      </c>
      <c r="I942" s="4" t="s">
        <v>52</v>
      </c>
      <c r="J942" s="4" t="n">
        <f aca="false">INDEX('Master List'!$G$2:$G$2594,K942)</f>
        <v>0</v>
      </c>
      <c r="K942" s="4" t="n">
        <v>1421</v>
      </c>
    </row>
    <row r="943" customFormat="false" ht="15" hidden="false" customHeight="false" outlineLevel="0" collapsed="false">
      <c r="A943" s="4" t="n">
        <v>942</v>
      </c>
      <c r="B943" s="4" t="s">
        <v>1546</v>
      </c>
      <c r="C943" s="4" t="n">
        <v>1992</v>
      </c>
      <c r="D943" s="4" t="s">
        <v>699</v>
      </c>
      <c r="E943" s="25" t="str">
        <f aca="false">IF(J943=1,"✓","")</f>
        <v/>
      </c>
      <c r="F943" s="4" t="n">
        <v>3</v>
      </c>
      <c r="G943" s="4" t="n">
        <v>1</v>
      </c>
      <c r="H943" s="4" t="s">
        <v>144</v>
      </c>
      <c r="I943" s="4" t="s">
        <v>52</v>
      </c>
      <c r="J943" s="4" t="n">
        <f aca="false">INDEX('Master List'!$G$2:$G$2594,K943)</f>
        <v>0</v>
      </c>
      <c r="K943" s="4" t="n">
        <v>192</v>
      </c>
    </row>
    <row r="944" customFormat="false" ht="15" hidden="false" customHeight="false" outlineLevel="0" collapsed="false">
      <c r="A944" s="4" t="n">
        <v>943</v>
      </c>
      <c r="B944" s="4" t="s">
        <v>1547</v>
      </c>
      <c r="C944" s="4" t="n">
        <v>1992</v>
      </c>
      <c r="D944" s="4" t="s">
        <v>296</v>
      </c>
      <c r="E944" s="25" t="str">
        <f aca="false">IF(J944=1,"✓","")</f>
        <v/>
      </c>
      <c r="F944" s="4" t="n">
        <v>3</v>
      </c>
      <c r="G944" s="4" t="n">
        <v>1</v>
      </c>
      <c r="H944" s="4" t="s">
        <v>144</v>
      </c>
      <c r="I944" s="4" t="s">
        <v>55</v>
      </c>
      <c r="J944" s="4" t="n">
        <f aca="false">INDEX('Master List'!$G$2:$G$2594,K944)</f>
        <v>0</v>
      </c>
      <c r="K944" s="4" t="n">
        <v>1299</v>
      </c>
    </row>
    <row r="945" customFormat="false" ht="15" hidden="false" customHeight="false" outlineLevel="0" collapsed="false">
      <c r="A945" s="4" t="n">
        <v>944</v>
      </c>
      <c r="B945" s="4" t="s">
        <v>1548</v>
      </c>
      <c r="C945" s="4" t="n">
        <v>1993</v>
      </c>
      <c r="D945" s="4" t="s">
        <v>1549</v>
      </c>
      <c r="E945" s="25" t="str">
        <f aca="false">IF(J945=1,"✓","")</f>
        <v/>
      </c>
      <c r="F945" s="4" t="n">
        <v>3</v>
      </c>
      <c r="G945" s="4" t="n">
        <v>1</v>
      </c>
      <c r="H945" s="4" t="s">
        <v>144</v>
      </c>
      <c r="I945" s="4" t="s">
        <v>51</v>
      </c>
      <c r="J945" s="4" t="n">
        <f aca="false">INDEX('Master List'!$G$2:$G$2594,K945)</f>
        <v>0</v>
      </c>
      <c r="K945" s="4" t="n">
        <v>1578</v>
      </c>
    </row>
    <row r="946" customFormat="false" ht="15" hidden="false" customHeight="false" outlineLevel="0" collapsed="false">
      <c r="A946" s="4" t="n">
        <v>945</v>
      </c>
      <c r="B946" s="4" t="s">
        <v>1550</v>
      </c>
      <c r="C946" s="4" t="n">
        <v>1993</v>
      </c>
      <c r="D946" s="4" t="s">
        <v>1551</v>
      </c>
      <c r="E946" s="25" t="str">
        <f aca="false">IF(J946=1,"✓","")</f>
        <v/>
      </c>
      <c r="F946" s="4" t="n">
        <v>3</v>
      </c>
      <c r="G946" s="4" t="n">
        <v>1</v>
      </c>
      <c r="H946" s="4" t="s">
        <v>144</v>
      </c>
      <c r="I946" s="4" t="s">
        <v>51</v>
      </c>
      <c r="J946" s="4" t="n">
        <f aca="false">INDEX('Master List'!$G$2:$G$2594,K946)</f>
        <v>0</v>
      </c>
      <c r="K946" s="4" t="n">
        <v>786</v>
      </c>
    </row>
    <row r="947" customFormat="false" ht="15" hidden="false" customHeight="false" outlineLevel="0" collapsed="false">
      <c r="A947" s="4" t="n">
        <v>946</v>
      </c>
      <c r="B947" s="4" t="s">
        <v>1552</v>
      </c>
      <c r="C947" s="4" t="n">
        <v>1993</v>
      </c>
      <c r="D947" s="4" t="s">
        <v>1553</v>
      </c>
      <c r="E947" s="25" t="str">
        <f aca="false">IF(J947=1,"✓","")</f>
        <v>✓</v>
      </c>
      <c r="F947" s="4" t="n">
        <v>3</v>
      </c>
      <c r="G947" s="4" t="n">
        <v>1</v>
      </c>
      <c r="H947" s="4" t="s">
        <v>144</v>
      </c>
      <c r="I947" s="4" t="s">
        <v>52</v>
      </c>
      <c r="J947" s="4" t="n">
        <f aca="false">INDEX('Master List'!$G$2:$G$2594,K947)</f>
        <v>1</v>
      </c>
      <c r="K947" s="4" t="n">
        <v>1612</v>
      </c>
    </row>
    <row r="948" customFormat="false" ht="15" hidden="false" customHeight="false" outlineLevel="0" collapsed="false">
      <c r="A948" s="4" t="n">
        <v>947</v>
      </c>
      <c r="B948" s="4" t="s">
        <v>1554</v>
      </c>
      <c r="C948" s="4" t="n">
        <v>1993</v>
      </c>
      <c r="D948" s="4" t="s">
        <v>1042</v>
      </c>
      <c r="E948" s="25" t="str">
        <f aca="false">IF(J948=1,"✓","")</f>
        <v/>
      </c>
      <c r="F948" s="4" t="n">
        <v>3</v>
      </c>
      <c r="G948" s="4" t="n">
        <v>1</v>
      </c>
      <c r="H948" s="4" t="s">
        <v>144</v>
      </c>
      <c r="I948" s="4" t="s">
        <v>53</v>
      </c>
      <c r="J948" s="4" t="n">
        <f aca="false">INDEX('Master List'!$G$2:$G$2594,K948)</f>
        <v>0</v>
      </c>
      <c r="K948" s="4" t="n">
        <v>2290</v>
      </c>
    </row>
    <row r="949" customFormat="false" ht="15" hidden="false" customHeight="false" outlineLevel="0" collapsed="false">
      <c r="A949" s="4" t="n">
        <v>948</v>
      </c>
      <c r="B949" s="4" t="s">
        <v>1555</v>
      </c>
      <c r="C949" s="4" t="n">
        <v>1993</v>
      </c>
      <c r="D949" s="4" t="s">
        <v>1556</v>
      </c>
      <c r="E949" s="25" t="str">
        <f aca="false">IF(J949=1,"✓","")</f>
        <v>✓</v>
      </c>
      <c r="F949" s="4" t="n">
        <v>3</v>
      </c>
      <c r="G949" s="4" t="n">
        <v>1</v>
      </c>
      <c r="H949" s="4" t="s">
        <v>144</v>
      </c>
      <c r="I949" s="4" t="s">
        <v>56</v>
      </c>
      <c r="J949" s="4" t="n">
        <f aca="false">INDEX('Master List'!$G$2:$G$2594,K949)</f>
        <v>1</v>
      </c>
      <c r="K949" s="4" t="n">
        <v>866</v>
      </c>
    </row>
    <row r="950" customFormat="false" ht="15" hidden="false" customHeight="false" outlineLevel="0" collapsed="false">
      <c r="A950" s="4" t="n">
        <v>949</v>
      </c>
      <c r="B950" s="4" t="s">
        <v>1557</v>
      </c>
      <c r="C950" s="4" t="n">
        <v>1994</v>
      </c>
      <c r="D950" s="4" t="s">
        <v>1558</v>
      </c>
      <c r="E950" s="25" t="str">
        <f aca="false">IF(J950=1,"✓","")</f>
        <v>✓</v>
      </c>
      <c r="F950" s="4" t="n">
        <v>3</v>
      </c>
      <c r="G950" s="4" t="n">
        <v>1</v>
      </c>
      <c r="H950" s="4" t="s">
        <v>144</v>
      </c>
      <c r="I950" s="4" t="s">
        <v>51</v>
      </c>
      <c r="J950" s="4" t="n">
        <f aca="false">INDEX('Master List'!$G$2:$G$2594,K950)</f>
        <v>1</v>
      </c>
      <c r="K950" s="4" t="n">
        <v>1320</v>
      </c>
    </row>
    <row r="951" customFormat="false" ht="15" hidden="false" customHeight="false" outlineLevel="0" collapsed="false">
      <c r="A951" s="4" t="n">
        <v>950</v>
      </c>
      <c r="B951" s="4" t="s">
        <v>1559</v>
      </c>
      <c r="C951" s="4" t="n">
        <v>1994</v>
      </c>
      <c r="D951" s="4" t="s">
        <v>1560</v>
      </c>
      <c r="E951" s="25" t="str">
        <f aca="false">IF(J951=1,"✓","")</f>
        <v/>
      </c>
      <c r="F951" s="4" t="n">
        <v>3</v>
      </c>
      <c r="G951" s="4" t="n">
        <v>1</v>
      </c>
      <c r="H951" s="4" t="s">
        <v>144</v>
      </c>
      <c r="I951" s="4" t="s">
        <v>51</v>
      </c>
      <c r="J951" s="4" t="n">
        <f aca="false">INDEX('Master List'!$G$2:$G$2594,K951)</f>
        <v>0</v>
      </c>
      <c r="K951" s="4" t="n">
        <v>1015</v>
      </c>
    </row>
    <row r="952" customFormat="false" ht="15" hidden="false" customHeight="false" outlineLevel="0" collapsed="false">
      <c r="A952" s="4" t="n">
        <v>951</v>
      </c>
      <c r="B952" s="4" t="s">
        <v>1561</v>
      </c>
      <c r="C952" s="4" t="n">
        <v>1994</v>
      </c>
      <c r="D952" s="4" t="s">
        <v>1562</v>
      </c>
      <c r="E952" s="25" t="str">
        <f aca="false">IF(J952=1,"✓","")</f>
        <v/>
      </c>
      <c r="F952" s="4" t="n">
        <v>3</v>
      </c>
      <c r="G952" s="4" t="n">
        <v>2</v>
      </c>
      <c r="H952" s="4" t="s">
        <v>213</v>
      </c>
      <c r="I952" s="4" t="s">
        <v>52</v>
      </c>
      <c r="J952" s="4" t="n">
        <f aca="false">INDEX('Master List'!$G$2:$G$2594,K952)</f>
        <v>0</v>
      </c>
      <c r="K952" s="4" t="n">
        <v>1301</v>
      </c>
    </row>
    <row r="953" customFormat="false" ht="15" hidden="false" customHeight="false" outlineLevel="0" collapsed="false">
      <c r="A953" s="4" t="n">
        <v>952</v>
      </c>
      <c r="B953" s="4" t="s">
        <v>1563</v>
      </c>
      <c r="C953" s="4" t="n">
        <v>1994</v>
      </c>
      <c r="D953" s="4" t="s">
        <v>1564</v>
      </c>
      <c r="E953" s="25" t="str">
        <f aca="false">IF(J953=1,"✓","")</f>
        <v/>
      </c>
      <c r="F953" s="4" t="n">
        <v>3</v>
      </c>
      <c r="G953" s="4" t="n">
        <v>1</v>
      </c>
      <c r="H953" s="4" t="s">
        <v>144</v>
      </c>
      <c r="I953" s="4" t="s">
        <v>52</v>
      </c>
      <c r="J953" s="4" t="n">
        <f aca="false">INDEX('Master List'!$G$2:$G$2594,K953)</f>
        <v>0</v>
      </c>
      <c r="K953" s="4" t="n">
        <v>546</v>
      </c>
    </row>
    <row r="954" customFormat="false" ht="15" hidden="false" customHeight="false" outlineLevel="0" collapsed="false">
      <c r="A954" s="4" t="n">
        <v>953</v>
      </c>
      <c r="B954" s="4" t="s">
        <v>1565</v>
      </c>
      <c r="C954" s="4" t="n">
        <v>1995</v>
      </c>
      <c r="D954" s="4" t="s">
        <v>1566</v>
      </c>
      <c r="E954" s="25" t="str">
        <f aca="false">IF(J954=1,"✓","")</f>
        <v/>
      </c>
      <c r="F954" s="4" t="n">
        <v>3</v>
      </c>
      <c r="G954" s="4" t="n">
        <v>1</v>
      </c>
      <c r="H954" s="4" t="s">
        <v>144</v>
      </c>
      <c r="I954" s="4" t="s">
        <v>51</v>
      </c>
      <c r="J954" s="4" t="n">
        <f aca="false">INDEX('Master List'!$G$2:$G$2594,K954)</f>
        <v>0</v>
      </c>
      <c r="K954" s="4" t="n">
        <v>2403</v>
      </c>
    </row>
    <row r="955" customFormat="false" ht="15" hidden="false" customHeight="false" outlineLevel="0" collapsed="false">
      <c r="A955" s="4" t="n">
        <v>954</v>
      </c>
      <c r="B955" s="4" t="s">
        <v>1567</v>
      </c>
      <c r="C955" s="4" t="n">
        <v>1996</v>
      </c>
      <c r="D955" s="4" t="s">
        <v>1549</v>
      </c>
      <c r="E955" s="25" t="str">
        <f aca="false">IF(J955=1,"✓","")</f>
        <v/>
      </c>
      <c r="F955" s="4" t="n">
        <v>3</v>
      </c>
      <c r="G955" s="4" t="n">
        <v>1</v>
      </c>
      <c r="H955" s="4" t="s">
        <v>144</v>
      </c>
      <c r="I955" s="4" t="s">
        <v>51</v>
      </c>
      <c r="J955" s="4" t="n">
        <f aca="false">INDEX('Master List'!$G$2:$G$2594,K955)</f>
        <v>0</v>
      </c>
      <c r="K955" s="4" t="n">
        <v>2005</v>
      </c>
    </row>
    <row r="956" customFormat="false" ht="15" hidden="false" customHeight="false" outlineLevel="0" collapsed="false">
      <c r="A956" s="4" t="n">
        <v>955</v>
      </c>
      <c r="B956" s="4" t="s">
        <v>1568</v>
      </c>
      <c r="C956" s="4" t="n">
        <v>1997</v>
      </c>
      <c r="D956" s="4" t="s">
        <v>1569</v>
      </c>
      <c r="E956" s="25" t="str">
        <f aca="false">IF(J956=1,"✓","")</f>
        <v/>
      </c>
      <c r="F956" s="4" t="n">
        <v>3</v>
      </c>
      <c r="G956" s="4" t="n">
        <v>1</v>
      </c>
      <c r="H956" s="4" t="s">
        <v>144</v>
      </c>
      <c r="I956" s="4" t="s">
        <v>52</v>
      </c>
      <c r="J956" s="4" t="n">
        <f aca="false">INDEX('Master List'!$G$2:$G$2594,K956)</f>
        <v>0</v>
      </c>
      <c r="K956" s="4" t="n">
        <v>33</v>
      </c>
    </row>
    <row r="957" customFormat="false" ht="15" hidden="false" customHeight="false" outlineLevel="0" collapsed="false">
      <c r="A957" s="4" t="n">
        <v>956</v>
      </c>
      <c r="B957" s="4" t="s">
        <v>1570</v>
      </c>
      <c r="C957" s="4" t="n">
        <v>1998</v>
      </c>
      <c r="D957" s="4" t="s">
        <v>1135</v>
      </c>
      <c r="E957" s="25" t="str">
        <f aca="false">IF(J957=1,"✓","")</f>
        <v/>
      </c>
      <c r="F957" s="4" t="n">
        <v>3</v>
      </c>
      <c r="G957" s="4" t="n">
        <v>1</v>
      </c>
      <c r="H957" s="4" t="s">
        <v>144</v>
      </c>
      <c r="I957" s="4" t="s">
        <v>51</v>
      </c>
      <c r="J957" s="4" t="n">
        <f aca="false">INDEX('Master List'!$G$2:$G$2594,K957)</f>
        <v>0</v>
      </c>
      <c r="K957" s="4" t="n">
        <v>1115</v>
      </c>
    </row>
    <row r="958" customFormat="false" ht="15" hidden="false" customHeight="false" outlineLevel="0" collapsed="false">
      <c r="A958" s="4" t="n">
        <v>957</v>
      </c>
      <c r="B958" s="4" t="s">
        <v>1571</v>
      </c>
      <c r="C958" s="4" t="n">
        <v>1998</v>
      </c>
      <c r="D958" s="4" t="s">
        <v>1572</v>
      </c>
      <c r="E958" s="25" t="str">
        <f aca="false">IF(J958=1,"✓","")</f>
        <v/>
      </c>
      <c r="F958" s="4" t="n">
        <v>3</v>
      </c>
      <c r="G958" s="4" t="n">
        <v>1</v>
      </c>
      <c r="H958" s="4" t="s">
        <v>144</v>
      </c>
      <c r="I958" s="4" t="s">
        <v>54</v>
      </c>
      <c r="J958" s="4" t="n">
        <f aca="false">INDEX('Master List'!$G$2:$G$2594,K958)</f>
        <v>0</v>
      </c>
      <c r="K958" s="4" t="n">
        <v>2098</v>
      </c>
    </row>
    <row r="959" customFormat="false" ht="15" hidden="false" customHeight="false" outlineLevel="0" collapsed="false">
      <c r="A959" s="4" t="n">
        <v>958</v>
      </c>
      <c r="B959" s="4" t="s">
        <v>1573</v>
      </c>
      <c r="C959" s="4" t="n">
        <v>1999</v>
      </c>
      <c r="D959" s="4" t="s">
        <v>1574</v>
      </c>
      <c r="E959" s="25" t="str">
        <f aca="false">IF(J959=1,"✓","")</f>
        <v/>
      </c>
      <c r="F959" s="4" t="n">
        <v>3</v>
      </c>
      <c r="G959" s="4" t="n">
        <v>1</v>
      </c>
      <c r="H959" s="4" t="s">
        <v>144</v>
      </c>
      <c r="I959" s="4" t="s">
        <v>52</v>
      </c>
      <c r="J959" s="4" t="n">
        <f aca="false">INDEX('Master List'!$G$2:$G$2594,K959)</f>
        <v>0</v>
      </c>
      <c r="K959" s="4" t="n">
        <v>281</v>
      </c>
    </row>
    <row r="960" customFormat="false" ht="15" hidden="false" customHeight="false" outlineLevel="0" collapsed="false">
      <c r="A960" s="4" t="n">
        <v>959</v>
      </c>
      <c r="B960" s="4" t="s">
        <v>1575</v>
      </c>
      <c r="C960" s="4" t="n">
        <v>1999</v>
      </c>
      <c r="D960" s="4" t="s">
        <v>1087</v>
      </c>
      <c r="E960" s="25" t="str">
        <f aca="false">IF(J960=1,"✓","")</f>
        <v/>
      </c>
      <c r="F960" s="4" t="n">
        <v>3</v>
      </c>
      <c r="G960" s="4" t="n">
        <v>1</v>
      </c>
      <c r="H960" s="4" t="s">
        <v>144</v>
      </c>
      <c r="I960" s="4" t="s">
        <v>53</v>
      </c>
      <c r="J960" s="4" t="n">
        <f aca="false">INDEX('Master List'!$G$2:$G$2594,K960)</f>
        <v>0</v>
      </c>
      <c r="K960" s="4" t="n">
        <v>70</v>
      </c>
    </row>
    <row r="961" customFormat="false" ht="15" hidden="false" customHeight="false" outlineLevel="0" collapsed="false">
      <c r="A961" s="4" t="n">
        <v>960</v>
      </c>
      <c r="B961" s="4" t="s">
        <v>1576</v>
      </c>
      <c r="C961" s="4" t="n">
        <v>2000</v>
      </c>
      <c r="D961" s="4" t="s">
        <v>1169</v>
      </c>
      <c r="E961" s="25" t="str">
        <f aca="false">IF(J961=1,"✓","")</f>
        <v/>
      </c>
      <c r="F961" s="4" t="n">
        <v>3</v>
      </c>
      <c r="G961" s="4" t="n">
        <v>1</v>
      </c>
      <c r="H961" s="4" t="s">
        <v>144</v>
      </c>
      <c r="I961" s="4" t="s">
        <v>51</v>
      </c>
      <c r="J961" s="4" t="n">
        <f aca="false">INDEX('Master List'!$G$2:$G$2594,K961)</f>
        <v>0</v>
      </c>
      <c r="K961" s="4" t="n">
        <v>543</v>
      </c>
    </row>
    <row r="962" customFormat="false" ht="15" hidden="false" customHeight="false" outlineLevel="0" collapsed="false">
      <c r="A962" s="4" t="n">
        <v>961</v>
      </c>
      <c r="B962" s="4" t="s">
        <v>1577</v>
      </c>
      <c r="C962" s="4" t="n">
        <v>2000</v>
      </c>
      <c r="D962" s="4" t="s">
        <v>1376</v>
      </c>
      <c r="E962" s="25" t="str">
        <f aca="false">IF(J962=1,"✓","")</f>
        <v/>
      </c>
      <c r="F962" s="4" t="n">
        <v>3</v>
      </c>
      <c r="G962" s="4" t="n">
        <v>1</v>
      </c>
      <c r="H962" s="4" t="s">
        <v>144</v>
      </c>
      <c r="I962" s="4" t="s">
        <v>55</v>
      </c>
      <c r="J962" s="4" t="n">
        <f aca="false">INDEX('Master List'!$G$2:$G$2594,K962)</f>
        <v>0</v>
      </c>
      <c r="K962" s="4" t="n">
        <v>80</v>
      </c>
    </row>
    <row r="963" customFormat="false" ht="15" hidden="false" customHeight="false" outlineLevel="0" collapsed="false">
      <c r="A963" s="4" t="n">
        <v>962</v>
      </c>
      <c r="B963" s="4" t="s">
        <v>1578</v>
      </c>
      <c r="C963" s="4" t="n">
        <v>2001</v>
      </c>
      <c r="D963" s="4" t="s">
        <v>1579</v>
      </c>
      <c r="E963" s="25" t="str">
        <f aca="false">IF(J963=1,"✓","")</f>
        <v/>
      </c>
      <c r="F963" s="4" t="n">
        <v>3</v>
      </c>
      <c r="G963" s="4" t="n">
        <v>1</v>
      </c>
      <c r="H963" s="4" t="s">
        <v>144</v>
      </c>
      <c r="I963" s="4" t="s">
        <v>51</v>
      </c>
      <c r="J963" s="4" t="n">
        <f aca="false">INDEX('Master List'!$G$2:$G$2594,K963)</f>
        <v>0</v>
      </c>
      <c r="K963" s="4" t="n">
        <v>459</v>
      </c>
    </row>
    <row r="964" customFormat="false" ht="15" hidden="false" customHeight="false" outlineLevel="0" collapsed="false">
      <c r="A964" s="4" t="n">
        <v>963</v>
      </c>
      <c r="B964" s="4" t="s">
        <v>1580</v>
      </c>
      <c r="C964" s="4" t="n">
        <v>2001</v>
      </c>
      <c r="D964" s="4" t="s">
        <v>1581</v>
      </c>
      <c r="E964" s="25" t="str">
        <f aca="false">IF(J964=1,"✓","")</f>
        <v/>
      </c>
      <c r="F964" s="4" t="n">
        <v>3</v>
      </c>
      <c r="G964" s="4" t="n">
        <v>1</v>
      </c>
      <c r="H964" s="4" t="s">
        <v>144</v>
      </c>
      <c r="I964" s="4" t="s">
        <v>54</v>
      </c>
      <c r="J964" s="4" t="n">
        <f aca="false">INDEX('Master List'!$G$2:$G$2594,K964)</f>
        <v>0</v>
      </c>
      <c r="K964" s="4" t="n">
        <v>145</v>
      </c>
    </row>
    <row r="965" customFormat="false" ht="15" hidden="false" customHeight="false" outlineLevel="0" collapsed="false">
      <c r="A965" s="4" t="n">
        <v>964</v>
      </c>
      <c r="B965" s="4" t="s">
        <v>1582</v>
      </c>
      <c r="C965" s="4" t="n">
        <v>2002</v>
      </c>
      <c r="D965" s="4" t="s">
        <v>1087</v>
      </c>
      <c r="E965" s="25" t="str">
        <f aca="false">IF(J965=1,"✓","")</f>
        <v/>
      </c>
      <c r="F965" s="4" t="n">
        <v>3</v>
      </c>
      <c r="G965" s="4" t="n">
        <v>1</v>
      </c>
      <c r="H965" s="4" t="s">
        <v>144</v>
      </c>
      <c r="I965" s="4" t="s">
        <v>53</v>
      </c>
      <c r="J965" s="4" t="n">
        <f aca="false">INDEX('Master List'!$G$2:$G$2594,K965)</f>
        <v>0</v>
      </c>
      <c r="K965" s="4" t="n">
        <v>2236</v>
      </c>
    </row>
    <row r="966" customFormat="false" ht="15" hidden="false" customHeight="false" outlineLevel="0" collapsed="false">
      <c r="A966" s="4" t="n">
        <v>965</v>
      </c>
      <c r="B966" s="4" t="s">
        <v>1583</v>
      </c>
      <c r="C966" s="4" t="n">
        <v>2002</v>
      </c>
      <c r="D966" s="4" t="s">
        <v>1584</v>
      </c>
      <c r="E966" s="25" t="str">
        <f aca="false">IF(J966=1,"✓","")</f>
        <v/>
      </c>
      <c r="F966" s="4" t="n">
        <v>3</v>
      </c>
      <c r="G966" s="4" t="n">
        <v>1</v>
      </c>
      <c r="H966" s="4" t="s">
        <v>144</v>
      </c>
      <c r="I966" s="4" t="s">
        <v>54</v>
      </c>
      <c r="J966" s="4" t="n">
        <f aca="false">INDEX('Master List'!$G$2:$G$2594,K966)</f>
        <v>0</v>
      </c>
      <c r="K966" s="4" t="n">
        <v>872</v>
      </c>
    </row>
    <row r="967" customFormat="false" ht="15" hidden="false" customHeight="false" outlineLevel="0" collapsed="false">
      <c r="A967" s="4" t="n">
        <v>966</v>
      </c>
      <c r="B967" s="4" t="s">
        <v>1585</v>
      </c>
      <c r="C967" s="4" t="n">
        <v>2003</v>
      </c>
      <c r="D967" s="4" t="s">
        <v>1586</v>
      </c>
      <c r="E967" s="25" t="str">
        <f aca="false">IF(J967=1,"✓","")</f>
        <v/>
      </c>
      <c r="F967" s="4" t="n">
        <v>3</v>
      </c>
      <c r="G967" s="4" t="n">
        <v>1</v>
      </c>
      <c r="H967" s="4" t="s">
        <v>144</v>
      </c>
      <c r="I967" s="4" t="s">
        <v>51</v>
      </c>
      <c r="J967" s="4" t="n">
        <f aca="false">INDEX('Master List'!$G$2:$G$2594,K967)</f>
        <v>0</v>
      </c>
      <c r="K967" s="4" t="n">
        <v>1037</v>
      </c>
    </row>
    <row r="968" customFormat="false" ht="15" hidden="false" customHeight="false" outlineLevel="0" collapsed="false">
      <c r="A968" s="4" t="n">
        <v>967</v>
      </c>
      <c r="B968" s="4" t="s">
        <v>1587</v>
      </c>
      <c r="C968" s="4" t="n">
        <v>2003</v>
      </c>
      <c r="D968" s="4" t="s">
        <v>1588</v>
      </c>
      <c r="E968" s="25" t="str">
        <f aca="false">IF(J968=1,"✓","")</f>
        <v/>
      </c>
      <c r="F968" s="4" t="n">
        <v>3</v>
      </c>
      <c r="G968" s="4" t="n">
        <v>1</v>
      </c>
      <c r="H968" s="4" t="s">
        <v>144</v>
      </c>
      <c r="I968" s="4" t="s">
        <v>52</v>
      </c>
      <c r="J968" s="4" t="n">
        <f aca="false">INDEX('Master List'!$G$2:$G$2594,K968)</f>
        <v>0</v>
      </c>
      <c r="K968" s="4" t="n">
        <v>395</v>
      </c>
    </row>
    <row r="969" customFormat="false" ht="15" hidden="false" customHeight="false" outlineLevel="0" collapsed="false">
      <c r="A969" s="4" t="n">
        <v>968</v>
      </c>
      <c r="B969" s="4" t="s">
        <v>1589</v>
      </c>
      <c r="C969" s="4" t="n">
        <v>2003</v>
      </c>
      <c r="D969" s="4" t="s">
        <v>1590</v>
      </c>
      <c r="E969" s="25" t="str">
        <f aca="false">IF(J969=1,"✓","")</f>
        <v/>
      </c>
      <c r="F969" s="4" t="n">
        <v>3</v>
      </c>
      <c r="G969" s="4" t="n">
        <v>1</v>
      </c>
      <c r="H969" s="4" t="s">
        <v>144</v>
      </c>
      <c r="I969" s="4" t="s">
        <v>54</v>
      </c>
      <c r="J969" s="4" t="n">
        <f aca="false">INDEX('Master List'!$G$2:$G$2594,K969)</f>
        <v>0</v>
      </c>
      <c r="K969" s="4" t="n">
        <v>1930</v>
      </c>
    </row>
    <row r="970" customFormat="false" ht="15" hidden="false" customHeight="false" outlineLevel="0" collapsed="false">
      <c r="A970" s="4" t="n">
        <v>969</v>
      </c>
      <c r="B970" s="4" t="s">
        <v>1591</v>
      </c>
      <c r="C970" s="4" t="n">
        <v>2005</v>
      </c>
      <c r="D970" s="4" t="s">
        <v>1592</v>
      </c>
      <c r="E970" s="25" t="str">
        <f aca="false">IF(J970=1,"✓","")</f>
        <v/>
      </c>
      <c r="F970" s="4" t="n">
        <v>3</v>
      </c>
      <c r="G970" s="4" t="n">
        <v>1</v>
      </c>
      <c r="H970" s="4" t="s">
        <v>144</v>
      </c>
      <c r="I970" s="4" t="s">
        <v>51</v>
      </c>
      <c r="J970" s="4" t="n">
        <f aca="false">INDEX('Master List'!$G$2:$G$2594,K970)</f>
        <v>0</v>
      </c>
      <c r="K970" s="4" t="n">
        <v>593</v>
      </c>
    </row>
    <row r="971" customFormat="false" ht="15" hidden="false" customHeight="false" outlineLevel="0" collapsed="false">
      <c r="A971" s="4" t="n">
        <v>970</v>
      </c>
      <c r="B971" s="4" t="s">
        <v>1593</v>
      </c>
      <c r="C971" s="4" t="n">
        <v>2005</v>
      </c>
      <c r="D971" s="4" t="s">
        <v>870</v>
      </c>
      <c r="E971" s="25" t="str">
        <f aca="false">IF(J971=1,"✓","")</f>
        <v>✓</v>
      </c>
      <c r="F971" s="4" t="n">
        <v>3</v>
      </c>
      <c r="G971" s="4" t="n">
        <v>2</v>
      </c>
      <c r="H971" s="4" t="s">
        <v>213</v>
      </c>
      <c r="I971" s="4" t="s">
        <v>55</v>
      </c>
      <c r="J971" s="4" t="n">
        <f aca="false">INDEX('Master List'!$G$2:$G$2594,K971)</f>
        <v>1</v>
      </c>
      <c r="K971" s="4" t="n">
        <v>2142</v>
      </c>
    </row>
    <row r="972" customFormat="false" ht="15" hidden="false" customHeight="false" outlineLevel="0" collapsed="false">
      <c r="A972" s="4" t="n">
        <v>971</v>
      </c>
      <c r="B972" s="4" t="s">
        <v>1594</v>
      </c>
      <c r="C972" s="4" t="n">
        <v>2006</v>
      </c>
      <c r="D972" s="4" t="s">
        <v>1595</v>
      </c>
      <c r="E972" s="25" t="str">
        <f aca="false">IF(J972=1,"✓","")</f>
        <v/>
      </c>
      <c r="F972" s="4" t="n">
        <v>3</v>
      </c>
      <c r="G972" s="4" t="n">
        <v>1</v>
      </c>
      <c r="H972" s="4" t="s">
        <v>144</v>
      </c>
      <c r="I972" s="4" t="s">
        <v>51</v>
      </c>
      <c r="J972" s="4" t="n">
        <f aca="false">INDEX('Master List'!$G$2:$G$2594,K972)</f>
        <v>0</v>
      </c>
      <c r="K972" s="4" t="n">
        <v>1358</v>
      </c>
    </row>
    <row r="973" customFormat="false" ht="15" hidden="false" customHeight="false" outlineLevel="0" collapsed="false">
      <c r="A973" s="4" t="n">
        <v>972</v>
      </c>
      <c r="B973" s="4" t="s">
        <v>1596</v>
      </c>
      <c r="C973" s="4" t="n">
        <v>2006</v>
      </c>
      <c r="D973" s="4" t="s">
        <v>1597</v>
      </c>
      <c r="E973" s="25" t="str">
        <f aca="false">IF(J973=1,"✓","")</f>
        <v>✓</v>
      </c>
      <c r="F973" s="4" t="n">
        <v>3</v>
      </c>
      <c r="G973" s="4" t="n">
        <v>1</v>
      </c>
      <c r="H973" s="4" t="s">
        <v>144</v>
      </c>
      <c r="I973" s="4" t="s">
        <v>54</v>
      </c>
      <c r="J973" s="4" t="n">
        <f aca="false">INDEX('Master List'!$G$2:$G$2594,K973)</f>
        <v>1</v>
      </c>
      <c r="K973" s="4" t="n">
        <v>526</v>
      </c>
    </row>
    <row r="974" customFormat="false" ht="15" hidden="false" customHeight="false" outlineLevel="0" collapsed="false">
      <c r="A974" s="4" t="n">
        <v>973</v>
      </c>
      <c r="B974" s="4" t="s">
        <v>1598</v>
      </c>
      <c r="C974" s="4" t="n">
        <v>2007</v>
      </c>
      <c r="D974" s="4" t="s">
        <v>1599</v>
      </c>
      <c r="E974" s="25" t="str">
        <f aca="false">IF(J974=1,"✓","")</f>
        <v/>
      </c>
      <c r="F974" s="4" t="n">
        <v>3</v>
      </c>
      <c r="G974" s="4" t="n">
        <v>1</v>
      </c>
      <c r="H974" s="4" t="s">
        <v>144</v>
      </c>
      <c r="I974" s="4" t="s">
        <v>51</v>
      </c>
      <c r="J974" s="4" t="n">
        <f aca="false">INDEX('Master List'!$G$2:$G$2594,K974)</f>
        <v>0</v>
      </c>
      <c r="K974" s="4" t="n">
        <v>24</v>
      </c>
    </row>
    <row r="975" customFormat="false" ht="15" hidden="false" customHeight="false" outlineLevel="0" collapsed="false">
      <c r="A975" s="4" t="n">
        <v>974</v>
      </c>
      <c r="B975" s="4" t="s">
        <v>1600</v>
      </c>
      <c r="C975" s="4" t="n">
        <v>2007</v>
      </c>
      <c r="D975" s="4" t="s">
        <v>1601</v>
      </c>
      <c r="E975" s="25" t="str">
        <f aca="false">IF(J975=1,"✓","")</f>
        <v/>
      </c>
      <c r="F975" s="4" t="n">
        <v>3</v>
      </c>
      <c r="G975" s="4" t="n">
        <v>1</v>
      </c>
      <c r="H975" s="4" t="s">
        <v>144</v>
      </c>
      <c r="I975" s="4" t="s">
        <v>52</v>
      </c>
      <c r="J975" s="4" t="n">
        <f aca="false">INDEX('Master List'!$G$2:$G$2594,K975)</f>
        <v>0</v>
      </c>
      <c r="K975" s="4" t="n">
        <v>1870</v>
      </c>
    </row>
    <row r="976" customFormat="false" ht="15" hidden="false" customHeight="false" outlineLevel="0" collapsed="false">
      <c r="A976" s="4" t="n">
        <v>975</v>
      </c>
      <c r="B976" s="4" t="s">
        <v>1602</v>
      </c>
      <c r="C976" s="4" t="n">
        <v>2008</v>
      </c>
      <c r="D976" s="4" t="s">
        <v>1603</v>
      </c>
      <c r="E976" s="25" t="str">
        <f aca="false">IF(J976=1,"✓","")</f>
        <v/>
      </c>
      <c r="F976" s="4" t="n">
        <v>3</v>
      </c>
      <c r="G976" s="4" t="n">
        <v>1</v>
      </c>
      <c r="H976" s="4" t="s">
        <v>144</v>
      </c>
      <c r="I976" s="4" t="s">
        <v>51</v>
      </c>
      <c r="J976" s="4" t="n">
        <f aca="false">INDEX('Master List'!$G$2:$G$2594,K976)</f>
        <v>0</v>
      </c>
      <c r="K976" s="4" t="n">
        <v>921</v>
      </c>
    </row>
    <row r="977" customFormat="false" ht="15" hidden="false" customHeight="false" outlineLevel="0" collapsed="false">
      <c r="A977" s="4" t="n">
        <v>976</v>
      </c>
      <c r="B977" s="4" t="s">
        <v>1604</v>
      </c>
      <c r="C977" s="4" t="n">
        <v>2008</v>
      </c>
      <c r="D977" s="4" t="s">
        <v>1605</v>
      </c>
      <c r="E977" s="25" t="str">
        <f aca="false">IF(J977=1,"✓","")</f>
        <v>✓</v>
      </c>
      <c r="F977" s="4" t="n">
        <v>3</v>
      </c>
      <c r="G977" s="4" t="n">
        <v>1</v>
      </c>
      <c r="H977" s="4" t="s">
        <v>144</v>
      </c>
      <c r="I977" s="4" t="s">
        <v>52</v>
      </c>
      <c r="J977" s="4" t="n">
        <f aca="false">INDEX('Master List'!$G$2:$G$2594,K977)</f>
        <v>1</v>
      </c>
      <c r="K977" s="4" t="n">
        <v>2457</v>
      </c>
    </row>
    <row r="978" customFormat="false" ht="15" hidden="false" customHeight="false" outlineLevel="0" collapsed="false">
      <c r="A978" s="4" t="n">
        <v>977</v>
      </c>
      <c r="B978" s="4" t="s">
        <v>1606</v>
      </c>
      <c r="C978" s="4" t="n">
        <v>2008</v>
      </c>
      <c r="D978" s="4" t="s">
        <v>262</v>
      </c>
      <c r="E978" s="25" t="str">
        <f aca="false">IF(J978=1,"✓","")</f>
        <v/>
      </c>
      <c r="F978" s="4" t="n">
        <v>3</v>
      </c>
      <c r="G978" s="4" t="n">
        <v>1</v>
      </c>
      <c r="H978" s="4" t="s">
        <v>144</v>
      </c>
      <c r="I978" s="4" t="s">
        <v>53</v>
      </c>
      <c r="J978" s="4" t="n">
        <f aca="false">INDEX('Master List'!$G$2:$G$2594,K978)</f>
        <v>0</v>
      </c>
      <c r="K978" s="4" t="n">
        <v>20</v>
      </c>
    </row>
    <row r="979" customFormat="false" ht="15" hidden="false" customHeight="false" outlineLevel="0" collapsed="false">
      <c r="A979" s="4" t="n">
        <v>978</v>
      </c>
      <c r="B979" s="4" t="s">
        <v>1607</v>
      </c>
      <c r="C979" s="4" t="n">
        <v>2009</v>
      </c>
      <c r="D979" s="4" t="s">
        <v>1608</v>
      </c>
      <c r="E979" s="25" t="str">
        <f aca="false">IF(J979=1,"✓","")</f>
        <v/>
      </c>
      <c r="F979" s="4" t="n">
        <v>3</v>
      </c>
      <c r="G979" s="4" t="n">
        <v>1</v>
      </c>
      <c r="H979" s="4" t="s">
        <v>144</v>
      </c>
      <c r="I979" s="4" t="s">
        <v>51</v>
      </c>
      <c r="J979" s="4" t="n">
        <f aca="false">INDEX('Master List'!$G$2:$G$2594,K979)</f>
        <v>0</v>
      </c>
      <c r="K979" s="4" t="n">
        <v>2004</v>
      </c>
    </row>
    <row r="980" customFormat="false" ht="15" hidden="false" customHeight="false" outlineLevel="0" collapsed="false">
      <c r="A980" s="4" t="n">
        <v>979</v>
      </c>
      <c r="B980" s="4" t="s">
        <v>1609</v>
      </c>
      <c r="C980" s="4" t="n">
        <v>2009</v>
      </c>
      <c r="D980" s="4" t="s">
        <v>874</v>
      </c>
      <c r="E980" s="25" t="str">
        <f aca="false">IF(J980=1,"✓","")</f>
        <v>✓</v>
      </c>
      <c r="F980" s="4" t="n">
        <v>3</v>
      </c>
      <c r="G980" s="4" t="n">
        <v>1</v>
      </c>
      <c r="H980" s="4" t="s">
        <v>144</v>
      </c>
      <c r="I980" s="4" t="s">
        <v>53</v>
      </c>
      <c r="J980" s="4" t="n">
        <f aca="false">INDEX('Master List'!$G$2:$G$2594,K980)</f>
        <v>1</v>
      </c>
      <c r="K980" s="4" t="n">
        <v>653</v>
      </c>
    </row>
    <row r="981" customFormat="false" ht="15" hidden="false" customHeight="false" outlineLevel="0" collapsed="false">
      <c r="A981" s="4" t="n">
        <v>980</v>
      </c>
      <c r="B981" s="4" t="s">
        <v>1610</v>
      </c>
      <c r="C981" s="4" t="n">
        <v>2011</v>
      </c>
      <c r="D981" s="4" t="s">
        <v>1611</v>
      </c>
      <c r="E981" s="25" t="str">
        <f aca="false">IF(J981=1,"✓","")</f>
        <v/>
      </c>
      <c r="F981" s="4" t="n">
        <v>3</v>
      </c>
      <c r="G981" s="4" t="n">
        <v>1</v>
      </c>
      <c r="H981" s="4" t="s">
        <v>144</v>
      </c>
      <c r="I981" s="4" t="s">
        <v>52</v>
      </c>
      <c r="J981" s="4" t="n">
        <f aca="false">INDEX('Master List'!$G$2:$G$2594,K981)</f>
        <v>0</v>
      </c>
      <c r="K981" s="4" t="n">
        <v>2309</v>
      </c>
    </row>
    <row r="982" customFormat="false" ht="15" hidden="false" customHeight="false" outlineLevel="0" collapsed="false">
      <c r="A982" s="4" t="n">
        <v>981</v>
      </c>
      <c r="B982" s="4" t="s">
        <v>1612</v>
      </c>
      <c r="C982" s="4" t="n">
        <v>2011</v>
      </c>
      <c r="D982" s="4" t="s">
        <v>1613</v>
      </c>
      <c r="E982" s="25" t="str">
        <f aca="false">IF(J982=1,"✓","")</f>
        <v>✓</v>
      </c>
      <c r="F982" s="4" t="n">
        <v>3</v>
      </c>
      <c r="G982" s="4" t="n">
        <v>1</v>
      </c>
      <c r="H982" s="4" t="s">
        <v>144</v>
      </c>
      <c r="I982" s="4" t="s">
        <v>52</v>
      </c>
      <c r="J982" s="4" t="n">
        <f aca="false">INDEX('Master List'!$G$2:$G$2594,K982)</f>
        <v>1</v>
      </c>
      <c r="K982" s="4" t="n">
        <v>1851</v>
      </c>
    </row>
    <row r="983" customFormat="false" ht="15" hidden="false" customHeight="false" outlineLevel="0" collapsed="false">
      <c r="A983" s="4" t="n">
        <v>982</v>
      </c>
      <c r="B983" s="4" t="s">
        <v>1614</v>
      </c>
      <c r="C983" s="4" t="n">
        <v>2011</v>
      </c>
      <c r="D983" s="4" t="s">
        <v>1615</v>
      </c>
      <c r="E983" s="25" t="str">
        <f aca="false">IF(J983=1,"✓","")</f>
        <v/>
      </c>
      <c r="F983" s="4" t="n">
        <v>3</v>
      </c>
      <c r="G983" s="4" t="n">
        <v>1</v>
      </c>
      <c r="H983" s="4" t="s">
        <v>144</v>
      </c>
      <c r="I983" s="4" t="s">
        <v>55</v>
      </c>
      <c r="J983" s="4" t="n">
        <f aca="false">INDEX('Master List'!$G$2:$G$2594,K983)</f>
        <v>0</v>
      </c>
      <c r="K983" s="4" t="n">
        <v>1445</v>
      </c>
    </row>
    <row r="984" customFormat="false" ht="15" hidden="false" customHeight="false" outlineLevel="0" collapsed="false">
      <c r="A984" s="4" t="n">
        <v>983</v>
      </c>
      <c r="B984" s="4" t="s">
        <v>1616</v>
      </c>
      <c r="C984" s="4" t="n">
        <v>2012</v>
      </c>
      <c r="D984" s="4" t="s">
        <v>865</v>
      </c>
      <c r="E984" s="25" t="str">
        <f aca="false">IF(J984=1,"✓","")</f>
        <v/>
      </c>
      <c r="F984" s="4" t="n">
        <v>3</v>
      </c>
      <c r="G984" s="4" t="n">
        <v>1</v>
      </c>
      <c r="H984" s="4" t="s">
        <v>144</v>
      </c>
      <c r="I984" s="4" t="s">
        <v>52</v>
      </c>
      <c r="J984" s="4" t="n">
        <f aca="false">INDEX('Master List'!$G$2:$G$2594,K984)</f>
        <v>0</v>
      </c>
      <c r="K984" s="4" t="n">
        <v>2586</v>
      </c>
    </row>
    <row r="985" customFormat="false" ht="15" hidden="false" customHeight="false" outlineLevel="0" collapsed="false">
      <c r="A985" s="4" t="n">
        <v>984</v>
      </c>
      <c r="B985" s="4" t="s">
        <v>1617</v>
      </c>
      <c r="C985" s="4" t="n">
        <v>2012</v>
      </c>
      <c r="D985" s="4" t="s">
        <v>1618</v>
      </c>
      <c r="E985" s="25" t="str">
        <f aca="false">IF(J985=1,"✓","")</f>
        <v/>
      </c>
      <c r="F985" s="4" t="n">
        <v>3</v>
      </c>
      <c r="G985" s="4" t="n">
        <v>1</v>
      </c>
      <c r="H985" s="4" t="s">
        <v>144</v>
      </c>
      <c r="I985" s="4" t="s">
        <v>52</v>
      </c>
      <c r="J985" s="4" t="n">
        <f aca="false">INDEX('Master List'!$G$2:$G$2594,K985)</f>
        <v>0</v>
      </c>
      <c r="K985" s="4" t="n">
        <v>2163</v>
      </c>
    </row>
    <row r="986" customFormat="false" ht="15" hidden="false" customHeight="false" outlineLevel="0" collapsed="false">
      <c r="A986" s="4" t="n">
        <v>985</v>
      </c>
      <c r="B986" s="4" t="s">
        <v>1619</v>
      </c>
      <c r="C986" s="4" t="n">
        <v>2013</v>
      </c>
      <c r="D986" s="4" t="s">
        <v>1620</v>
      </c>
      <c r="E986" s="25" t="str">
        <f aca="false">IF(J986=1,"✓","")</f>
        <v/>
      </c>
      <c r="F986" s="4" t="n">
        <v>3</v>
      </c>
      <c r="G986" s="4" t="n">
        <v>1</v>
      </c>
      <c r="H986" s="4" t="s">
        <v>144</v>
      </c>
      <c r="I986" s="4" t="s">
        <v>51</v>
      </c>
      <c r="J986" s="4" t="n">
        <f aca="false">INDEX('Master List'!$G$2:$G$2594,K986)</f>
        <v>0</v>
      </c>
      <c r="K986" s="4" t="n">
        <v>950</v>
      </c>
    </row>
    <row r="987" customFormat="false" ht="15" hidden="false" customHeight="false" outlineLevel="0" collapsed="false">
      <c r="A987" s="4" t="n">
        <v>986</v>
      </c>
      <c r="B987" s="4" t="s">
        <v>1621</v>
      </c>
      <c r="C987" s="4" t="n">
        <v>2013</v>
      </c>
      <c r="D987" s="4" t="s">
        <v>1622</v>
      </c>
      <c r="E987" s="25" t="str">
        <f aca="false">IF(J987=1,"✓","")</f>
        <v/>
      </c>
      <c r="F987" s="4" t="n">
        <v>3</v>
      </c>
      <c r="G987" s="4" t="n">
        <v>1</v>
      </c>
      <c r="H987" s="4" t="s">
        <v>144</v>
      </c>
      <c r="I987" s="4" t="s">
        <v>51</v>
      </c>
      <c r="J987" s="4" t="n">
        <f aca="false">INDEX('Master List'!$G$2:$G$2594,K987)</f>
        <v>0</v>
      </c>
      <c r="K987" s="4" t="n">
        <v>1113</v>
      </c>
    </row>
    <row r="988" customFormat="false" ht="15" hidden="false" customHeight="false" outlineLevel="0" collapsed="false">
      <c r="A988" s="4" t="n">
        <v>987</v>
      </c>
      <c r="B988" s="4" t="s">
        <v>1623</v>
      </c>
      <c r="C988" s="4" t="n">
        <v>2014</v>
      </c>
      <c r="D988" s="4" t="s">
        <v>1624</v>
      </c>
      <c r="E988" s="25" t="str">
        <f aca="false">IF(J988=1,"✓","")</f>
        <v/>
      </c>
      <c r="F988" s="4" t="n">
        <v>3</v>
      </c>
      <c r="G988" s="4" t="n">
        <v>1</v>
      </c>
      <c r="H988" s="4" t="s">
        <v>144</v>
      </c>
      <c r="I988" s="4" t="s">
        <v>52</v>
      </c>
      <c r="J988" s="4" t="n">
        <f aca="false">INDEX('Master List'!$G$2:$G$2594,K988)</f>
        <v>0</v>
      </c>
      <c r="K988" s="4" t="n">
        <v>157</v>
      </c>
    </row>
    <row r="989" customFormat="false" ht="15" hidden="false" customHeight="false" outlineLevel="0" collapsed="false">
      <c r="A989" s="4" t="n">
        <v>988</v>
      </c>
      <c r="B989" s="4" t="s">
        <v>1625</v>
      </c>
      <c r="C989" s="4" t="n">
        <v>2014</v>
      </c>
      <c r="D989" s="4" t="s">
        <v>1626</v>
      </c>
      <c r="E989" s="25" t="str">
        <f aca="false">IF(J989=1,"✓","")</f>
        <v/>
      </c>
      <c r="F989" s="4" t="n">
        <v>3</v>
      </c>
      <c r="G989" s="4" t="n">
        <v>1</v>
      </c>
      <c r="H989" s="4" t="s">
        <v>144</v>
      </c>
      <c r="I989" s="4" t="s">
        <v>52</v>
      </c>
      <c r="J989" s="4" t="n">
        <f aca="false">INDEX('Master List'!$G$2:$G$2594,K989)</f>
        <v>0</v>
      </c>
      <c r="K989" s="4" t="n">
        <v>2490</v>
      </c>
    </row>
    <row r="990" customFormat="false" ht="15" hidden="false" customHeight="false" outlineLevel="0" collapsed="false">
      <c r="A990" s="4" t="n">
        <v>989</v>
      </c>
      <c r="B990" s="4" t="s">
        <v>1627</v>
      </c>
      <c r="C990" s="4" t="n">
        <v>2015</v>
      </c>
      <c r="D990" s="4" t="s">
        <v>1628</v>
      </c>
      <c r="E990" s="25" t="str">
        <f aca="false">IF(J990=1,"✓","")</f>
        <v/>
      </c>
      <c r="F990" s="4" t="n">
        <v>3</v>
      </c>
      <c r="G990" s="4" t="n">
        <v>1</v>
      </c>
      <c r="H990" s="4" t="s">
        <v>144</v>
      </c>
      <c r="I990" s="4" t="s">
        <v>53</v>
      </c>
      <c r="J990" s="4" t="n">
        <f aca="false">INDEX('Master List'!$G$2:$G$2594,K990)</f>
        <v>0</v>
      </c>
      <c r="K990" s="4" t="n">
        <v>1906</v>
      </c>
    </row>
    <row r="991" customFormat="false" ht="15" hidden="false" customHeight="false" outlineLevel="0" collapsed="false">
      <c r="A991" s="4" t="n">
        <v>990</v>
      </c>
      <c r="B991" s="4" t="s">
        <v>1629</v>
      </c>
      <c r="C991" s="4" t="n">
        <v>2015</v>
      </c>
      <c r="D991" s="4" t="s">
        <v>1630</v>
      </c>
      <c r="E991" s="25" t="str">
        <f aca="false">IF(J991=1,"✓","")</f>
        <v>✓</v>
      </c>
      <c r="F991" s="4" t="n">
        <v>3</v>
      </c>
      <c r="G991" s="4" t="n">
        <v>1</v>
      </c>
      <c r="H991" s="4" t="s">
        <v>144</v>
      </c>
      <c r="I991" s="4" t="s">
        <v>55</v>
      </c>
      <c r="J991" s="4" t="n">
        <f aca="false">INDEX('Master List'!$G$2:$G$2594,K991)</f>
        <v>1</v>
      </c>
      <c r="K991" s="4" t="n">
        <v>2137</v>
      </c>
    </row>
    <row r="992" customFormat="false" ht="15" hidden="false" customHeight="false" outlineLevel="0" collapsed="false">
      <c r="A992" s="4" t="n">
        <v>991</v>
      </c>
      <c r="B992" s="4" t="s">
        <v>1631</v>
      </c>
      <c r="C992" s="4" t="n">
        <v>2016</v>
      </c>
      <c r="D992" s="4" t="s">
        <v>1632</v>
      </c>
      <c r="E992" s="25" t="str">
        <f aca="false">IF(J992=1,"✓","")</f>
        <v/>
      </c>
      <c r="F992" s="4" t="n">
        <v>3</v>
      </c>
      <c r="G992" s="4" t="n">
        <v>1</v>
      </c>
      <c r="H992" s="4" t="s">
        <v>144</v>
      </c>
      <c r="I992" s="4" t="s">
        <v>52</v>
      </c>
      <c r="J992" s="4" t="n">
        <f aca="false">INDEX('Master List'!$G$2:$G$2594,K992)</f>
        <v>0</v>
      </c>
      <c r="K992" s="4" t="n">
        <v>1019</v>
      </c>
    </row>
    <row r="993" customFormat="false" ht="15" hidden="false" customHeight="false" outlineLevel="0" collapsed="false">
      <c r="A993" s="4" t="n">
        <v>992</v>
      </c>
      <c r="B993" s="4" t="s">
        <v>1633</v>
      </c>
      <c r="C993" s="4" t="n">
        <v>2016</v>
      </c>
      <c r="D993" s="4" t="s">
        <v>615</v>
      </c>
      <c r="E993" s="25" t="str">
        <f aca="false">IF(J993=1,"✓","")</f>
        <v>✓</v>
      </c>
      <c r="F993" s="4" t="n">
        <v>3</v>
      </c>
      <c r="G993" s="4" t="n">
        <v>1</v>
      </c>
      <c r="H993" s="4" t="s">
        <v>144</v>
      </c>
      <c r="I993" s="4" t="s">
        <v>53</v>
      </c>
      <c r="J993" s="4" t="n">
        <f aca="false">INDEX('Master List'!$G$2:$G$2594,K993)</f>
        <v>1</v>
      </c>
      <c r="K993" s="4" t="n">
        <v>1733</v>
      </c>
    </row>
    <row r="994" customFormat="false" ht="15" hidden="false" customHeight="false" outlineLevel="0" collapsed="false">
      <c r="A994" s="4" t="n">
        <v>993</v>
      </c>
      <c r="B994" s="4" t="s">
        <v>1634</v>
      </c>
      <c r="C994" s="4" t="n">
        <v>2016</v>
      </c>
      <c r="D994" s="4" t="s">
        <v>1635</v>
      </c>
      <c r="E994" s="25" t="str">
        <f aca="false">IF(J994=1,"✓","")</f>
        <v/>
      </c>
      <c r="F994" s="4" t="n">
        <v>3</v>
      </c>
      <c r="G994" s="4" t="n">
        <v>1</v>
      </c>
      <c r="H994" s="4" t="s">
        <v>144</v>
      </c>
      <c r="I994" s="4" t="s">
        <v>56</v>
      </c>
      <c r="J994" s="4" t="n">
        <f aca="false">INDEX('Master List'!$G$2:$G$2594,K994)</f>
        <v>0</v>
      </c>
      <c r="K994" s="4" t="n">
        <v>2045</v>
      </c>
    </row>
    <row r="995" customFormat="false" ht="15" hidden="false" customHeight="false" outlineLevel="0" collapsed="false">
      <c r="A995" s="4" t="n">
        <v>994</v>
      </c>
      <c r="B995" s="4" t="s">
        <v>1636</v>
      </c>
      <c r="C995" s="4" t="n">
        <v>2017</v>
      </c>
      <c r="D995" s="4" t="s">
        <v>1628</v>
      </c>
      <c r="E995" s="25" t="str">
        <f aca="false">IF(J995=1,"✓","")</f>
        <v/>
      </c>
      <c r="F995" s="4" t="n">
        <v>3</v>
      </c>
      <c r="G995" s="4" t="n">
        <v>1</v>
      </c>
      <c r="H995" s="4" t="s">
        <v>144</v>
      </c>
      <c r="I995" s="4" t="s">
        <v>53</v>
      </c>
      <c r="J995" s="4" t="n">
        <f aca="false">INDEX('Master List'!$G$2:$G$2594,K995)</f>
        <v>0</v>
      </c>
      <c r="K995" s="4" t="n">
        <v>1665</v>
      </c>
    </row>
    <row r="996" customFormat="false" ht="15" hidden="false" customHeight="false" outlineLevel="0" collapsed="false">
      <c r="A996" s="4" t="n">
        <v>995</v>
      </c>
      <c r="B996" s="4" t="s">
        <v>1637</v>
      </c>
      <c r="C996" s="4" t="n">
        <v>2017</v>
      </c>
      <c r="D996" s="4" t="s">
        <v>1638</v>
      </c>
      <c r="E996" s="25" t="str">
        <f aca="false">IF(J996=1,"✓","")</f>
        <v/>
      </c>
      <c r="F996" s="4" t="n">
        <v>3</v>
      </c>
      <c r="G996" s="4" t="n">
        <v>1</v>
      </c>
      <c r="H996" s="4" t="s">
        <v>144</v>
      </c>
      <c r="I996" s="4" t="s">
        <v>56</v>
      </c>
      <c r="J996" s="4" t="n">
        <f aca="false">INDEX('Master List'!$G$2:$G$2594,K996)</f>
        <v>0</v>
      </c>
      <c r="K996" s="4" t="n">
        <v>1703</v>
      </c>
    </row>
    <row r="997" customFormat="false" ht="15" hidden="false" customHeight="false" outlineLevel="0" collapsed="false">
      <c r="A997" s="4" t="n">
        <v>996</v>
      </c>
      <c r="B997" s="4" t="s">
        <v>1639</v>
      </c>
      <c r="C997" s="4" t="n">
        <v>2018</v>
      </c>
      <c r="D997" s="4" t="s">
        <v>1205</v>
      </c>
      <c r="E997" s="25" t="str">
        <f aca="false">IF(J997=1,"✓","")</f>
        <v/>
      </c>
      <c r="F997" s="4" t="n">
        <v>3</v>
      </c>
      <c r="G997" s="4" t="n">
        <v>1</v>
      </c>
      <c r="H997" s="4" t="s">
        <v>144</v>
      </c>
      <c r="I997" s="4" t="s">
        <v>51</v>
      </c>
      <c r="J997" s="4" t="n">
        <f aca="false">INDEX('Master List'!$G$2:$G$2594,K997)</f>
        <v>0</v>
      </c>
      <c r="K997" s="4" t="n">
        <v>2057</v>
      </c>
    </row>
    <row r="998" customFormat="false" ht="15" hidden="false" customHeight="false" outlineLevel="0" collapsed="false">
      <c r="A998" s="4" t="n">
        <v>997</v>
      </c>
      <c r="B998" s="4" t="s">
        <v>1640</v>
      </c>
      <c r="C998" s="4" t="n">
        <v>2018</v>
      </c>
      <c r="D998" s="4" t="s">
        <v>1641</v>
      </c>
      <c r="E998" s="25" t="str">
        <f aca="false">IF(J998=1,"✓","")</f>
        <v>✓</v>
      </c>
      <c r="F998" s="4" t="n">
        <v>3</v>
      </c>
      <c r="G998" s="4" t="n">
        <v>1</v>
      </c>
      <c r="H998" s="4" t="s">
        <v>144</v>
      </c>
      <c r="I998" s="4" t="s">
        <v>56</v>
      </c>
      <c r="J998" s="4" t="n">
        <f aca="false">INDEX('Master List'!$G$2:$G$2594,K998)</f>
        <v>1</v>
      </c>
      <c r="K998" s="4" t="n">
        <v>1490</v>
      </c>
    </row>
    <row r="999" customFormat="false" ht="15" hidden="false" customHeight="false" outlineLevel="0" collapsed="false">
      <c r="A999" s="4" t="n">
        <v>998</v>
      </c>
      <c r="B999" s="4" t="s">
        <v>1642</v>
      </c>
      <c r="C999" s="4" t="n">
        <v>2022</v>
      </c>
      <c r="D999" s="4" t="s">
        <v>1643</v>
      </c>
      <c r="E999" s="25" t="str">
        <f aca="false">IF(J999=1,"✓","")</f>
        <v>✓</v>
      </c>
      <c r="F999" s="4" t="n">
        <v>3</v>
      </c>
      <c r="G999" s="4" t="n">
        <v>1</v>
      </c>
      <c r="H999" s="4" t="s">
        <v>144</v>
      </c>
      <c r="I999" s="4" t="s">
        <v>57</v>
      </c>
      <c r="J999" s="4" t="n">
        <f aca="false">INDEX('Master List'!$G$2:$G$2594,K999)</f>
        <v>1</v>
      </c>
      <c r="K999" s="4" t="n">
        <v>753</v>
      </c>
    </row>
    <row r="1000" customFormat="false" ht="15" hidden="false" customHeight="false" outlineLevel="0" collapsed="false">
      <c r="A1000" s="4" t="n">
        <v>999</v>
      </c>
      <c r="B1000" s="4" t="s">
        <v>1644</v>
      </c>
      <c r="C1000" s="4" t="n">
        <v>2023</v>
      </c>
      <c r="D1000" s="4" t="s">
        <v>696</v>
      </c>
      <c r="E1000" s="25" t="str">
        <f aca="false">IF(J1000=1,"✓","")</f>
        <v/>
      </c>
      <c r="F1000" s="4" t="n">
        <v>3</v>
      </c>
      <c r="G1000" s="4" t="n">
        <v>2</v>
      </c>
      <c r="H1000" s="4" t="s">
        <v>213</v>
      </c>
      <c r="I1000" s="4" t="s">
        <v>58</v>
      </c>
      <c r="J1000" s="4" t="n">
        <f aca="false">INDEX('Master List'!$G$2:$G$2594,K1000)</f>
        <v>0</v>
      </c>
      <c r="K1000" s="4" t="n">
        <v>204</v>
      </c>
    </row>
    <row r="1001" customFormat="false" ht="15" hidden="false" customHeight="false" outlineLevel="0" collapsed="false">
      <c r="A1001" s="4" t="n">
        <v>1000</v>
      </c>
      <c r="B1001" s="4" t="s">
        <v>1645</v>
      </c>
      <c r="C1001" s="4" t="n">
        <v>1950</v>
      </c>
      <c r="D1001" s="4" t="s">
        <v>268</v>
      </c>
      <c r="E1001" s="25" t="str">
        <f aca="false">IF(J1001=1,"✓","")</f>
        <v/>
      </c>
      <c r="F1001" s="4" t="n">
        <v>2</v>
      </c>
      <c r="G1001" s="4" t="n">
        <v>2</v>
      </c>
      <c r="H1001" s="4" t="s">
        <v>1327</v>
      </c>
      <c r="I1001" s="4" t="s">
        <v>51</v>
      </c>
      <c r="J1001" s="4" t="n">
        <f aca="false">INDEX('Master List'!$G$2:$G$2594,K1001)</f>
        <v>0</v>
      </c>
      <c r="K1001" s="4" t="n">
        <v>2187</v>
      </c>
    </row>
    <row r="1002" customFormat="false" ht="15" hidden="false" customHeight="false" outlineLevel="0" collapsed="false">
      <c r="A1002" s="4" t="n">
        <v>1001</v>
      </c>
      <c r="B1002" s="4" t="s">
        <v>1646</v>
      </c>
      <c r="C1002" s="4" t="n">
        <v>1961</v>
      </c>
      <c r="D1002" s="4" t="s">
        <v>1647</v>
      </c>
      <c r="E1002" s="25" t="str">
        <f aca="false">IF(J1002=1,"✓","")</f>
        <v/>
      </c>
      <c r="F1002" s="4" t="n">
        <v>2</v>
      </c>
      <c r="G1002" s="4" t="n">
        <v>2</v>
      </c>
      <c r="H1002" s="4" t="s">
        <v>1327</v>
      </c>
      <c r="I1002" s="4" t="s">
        <v>51</v>
      </c>
      <c r="J1002" s="4" t="n">
        <f aca="false">INDEX('Master List'!$G$2:$G$2594,K1002)</f>
        <v>0</v>
      </c>
      <c r="K1002" s="4" t="n">
        <v>1540</v>
      </c>
    </row>
    <row r="1003" customFormat="false" ht="15" hidden="false" customHeight="false" outlineLevel="0" collapsed="false">
      <c r="A1003" s="4" t="n">
        <v>1002</v>
      </c>
      <c r="B1003" s="4" t="s">
        <v>1648</v>
      </c>
      <c r="C1003" s="4" t="n">
        <v>1969</v>
      </c>
      <c r="D1003" s="4" t="s">
        <v>1649</v>
      </c>
      <c r="E1003" s="25" t="str">
        <f aca="false">IF(J1003=1,"✓","")</f>
        <v/>
      </c>
      <c r="F1003" s="4" t="n">
        <v>2</v>
      </c>
      <c r="G1003" s="4" t="n">
        <v>2</v>
      </c>
      <c r="H1003" s="4" t="s">
        <v>1327</v>
      </c>
      <c r="I1003" s="4" t="s">
        <v>49</v>
      </c>
      <c r="J1003" s="4" t="n">
        <f aca="false">INDEX('Master List'!$G$2:$G$2594,K1003)</f>
        <v>0</v>
      </c>
      <c r="K1003" s="4" t="n">
        <v>497</v>
      </c>
    </row>
    <row r="1004" customFormat="false" ht="15" hidden="false" customHeight="false" outlineLevel="0" collapsed="false">
      <c r="A1004" s="4" t="n">
        <v>1003</v>
      </c>
      <c r="B1004" s="4" t="s">
        <v>1650</v>
      </c>
      <c r="C1004" s="4" t="n">
        <v>1974</v>
      </c>
      <c r="D1004" s="4" t="s">
        <v>266</v>
      </c>
      <c r="E1004" s="25" t="str">
        <f aca="false">IF(J1004=1,"✓","")</f>
        <v>✓</v>
      </c>
      <c r="F1004" s="4" t="n">
        <v>2</v>
      </c>
      <c r="G1004" s="4" t="n">
        <v>2</v>
      </c>
      <c r="H1004" s="4" t="s">
        <v>1327</v>
      </c>
      <c r="I1004" s="4" t="s">
        <v>52</v>
      </c>
      <c r="J1004" s="4" t="n">
        <f aca="false">INDEX('Master List'!$G$2:$G$2594,K1004)</f>
        <v>1</v>
      </c>
      <c r="K1004" s="4" t="n">
        <v>565</v>
      </c>
    </row>
    <row r="1005" customFormat="false" ht="15" hidden="false" customHeight="false" outlineLevel="0" collapsed="false">
      <c r="A1005" s="4" t="n">
        <v>1004</v>
      </c>
      <c r="B1005" s="4" t="s">
        <v>1651</v>
      </c>
      <c r="C1005" s="4" t="n">
        <v>1975</v>
      </c>
      <c r="D1005" s="4" t="s">
        <v>1652</v>
      </c>
      <c r="E1005" s="25" t="str">
        <f aca="false">IF(J1005=1,"✓","")</f>
        <v/>
      </c>
      <c r="F1005" s="4" t="n">
        <v>2</v>
      </c>
      <c r="G1005" s="4" t="n">
        <v>2</v>
      </c>
      <c r="H1005" s="4" t="s">
        <v>1327</v>
      </c>
      <c r="I1005" s="4" t="s">
        <v>51</v>
      </c>
      <c r="J1005" s="4" t="n">
        <f aca="false">INDEX('Master List'!$G$2:$G$2594,K1005)</f>
        <v>0</v>
      </c>
      <c r="K1005" s="4" t="n">
        <v>1557</v>
      </c>
    </row>
    <row r="1006" customFormat="false" ht="15" hidden="false" customHeight="false" outlineLevel="0" collapsed="false">
      <c r="A1006" s="4" t="n">
        <v>1005</v>
      </c>
      <c r="B1006" s="4" t="s">
        <v>1653</v>
      </c>
      <c r="C1006" s="4" t="n">
        <v>1994</v>
      </c>
      <c r="D1006" s="4" t="s">
        <v>1654</v>
      </c>
      <c r="E1006" s="25" t="str">
        <f aca="false">IF(J1006=1,"✓","")</f>
        <v/>
      </c>
      <c r="F1006" s="4" t="n">
        <v>2</v>
      </c>
      <c r="G1006" s="4" t="n">
        <v>2</v>
      </c>
      <c r="H1006" s="4" t="s">
        <v>1327</v>
      </c>
      <c r="I1006" s="4" t="s">
        <v>51</v>
      </c>
      <c r="J1006" s="4" t="n">
        <f aca="false">INDEX('Master List'!$G$2:$G$2594,K1006)</f>
        <v>0</v>
      </c>
      <c r="K1006" s="4" t="n">
        <v>419</v>
      </c>
    </row>
    <row r="1007" customFormat="false" ht="15" hidden="false" customHeight="false" outlineLevel="0" collapsed="false">
      <c r="A1007" s="4" t="n">
        <v>1006</v>
      </c>
      <c r="B1007" s="4" t="s">
        <v>1655</v>
      </c>
      <c r="C1007" s="4" t="n">
        <v>1997</v>
      </c>
      <c r="D1007" s="4" t="s">
        <v>1145</v>
      </c>
      <c r="E1007" s="25" t="str">
        <f aca="false">IF(J1007=1,"✓","")</f>
        <v/>
      </c>
      <c r="F1007" s="4" t="n">
        <v>2</v>
      </c>
      <c r="G1007" s="4" t="n">
        <v>2</v>
      </c>
      <c r="H1007" s="4" t="s">
        <v>1327</v>
      </c>
      <c r="I1007" s="4" t="s">
        <v>54</v>
      </c>
      <c r="J1007" s="4" t="n">
        <f aca="false">INDEX('Master List'!$G$2:$G$2594,K1007)</f>
        <v>0</v>
      </c>
      <c r="K1007" s="4" t="n">
        <v>35</v>
      </c>
    </row>
    <row r="1008" customFormat="false" ht="15" hidden="false" customHeight="false" outlineLevel="0" collapsed="false">
      <c r="A1008" s="4" t="n">
        <v>1007</v>
      </c>
      <c r="B1008" s="4" t="s">
        <v>1656</v>
      </c>
      <c r="C1008" s="4" t="n">
        <v>1998</v>
      </c>
      <c r="D1008" s="4" t="s">
        <v>1657</v>
      </c>
      <c r="E1008" s="25" t="str">
        <f aca="false">IF(J1008=1,"✓","")</f>
        <v/>
      </c>
      <c r="F1008" s="4" t="n">
        <v>2</v>
      </c>
      <c r="G1008" s="4" t="n">
        <v>2</v>
      </c>
      <c r="H1008" s="4" t="s">
        <v>1327</v>
      </c>
      <c r="I1008" s="4" t="s">
        <v>51</v>
      </c>
      <c r="J1008" s="4" t="n">
        <f aca="false">INDEX('Master List'!$G$2:$G$2594,K1008)</f>
        <v>0</v>
      </c>
      <c r="K1008" s="4" t="n">
        <v>1945</v>
      </c>
    </row>
    <row r="1009" customFormat="false" ht="15" hidden="false" customHeight="false" outlineLevel="0" collapsed="false">
      <c r="A1009" s="4" t="n">
        <v>1008</v>
      </c>
      <c r="B1009" s="4" t="s">
        <v>1658</v>
      </c>
      <c r="C1009" s="4" t="n">
        <v>2007</v>
      </c>
      <c r="D1009" s="4" t="s">
        <v>1659</v>
      </c>
      <c r="E1009" s="25" t="str">
        <f aca="false">IF(J1009=1,"✓","")</f>
        <v/>
      </c>
      <c r="F1009" s="4" t="n">
        <v>2</v>
      </c>
      <c r="G1009" s="4" t="n">
        <v>2</v>
      </c>
      <c r="H1009" s="4" t="s">
        <v>1327</v>
      </c>
      <c r="I1009" s="4" t="s">
        <v>51</v>
      </c>
      <c r="J1009" s="4" t="n">
        <f aca="false">INDEX('Master List'!$G$2:$G$2594,K1009)</f>
        <v>0</v>
      </c>
      <c r="K1009" s="4" t="n">
        <v>2070</v>
      </c>
    </row>
    <row r="1010" customFormat="false" ht="15" hidden="false" customHeight="false" outlineLevel="0" collapsed="false">
      <c r="A1010" s="4" t="n">
        <v>1009</v>
      </c>
      <c r="B1010" s="4" t="s">
        <v>1660</v>
      </c>
      <c r="C1010" s="4" t="n">
        <v>2016</v>
      </c>
      <c r="D1010" s="4" t="s">
        <v>323</v>
      </c>
      <c r="E1010" s="25" t="str">
        <f aca="false">IF(J1010=1,"✓","")</f>
        <v>✓</v>
      </c>
      <c r="F1010" s="4" t="n">
        <v>2</v>
      </c>
      <c r="G1010" s="4" t="n">
        <v>2</v>
      </c>
      <c r="H1010" s="4" t="s">
        <v>1327</v>
      </c>
      <c r="I1010" s="4" t="s">
        <v>53</v>
      </c>
      <c r="J1010" s="4" t="n">
        <f aca="false">INDEX('Master List'!$G$2:$G$2594,K1010)</f>
        <v>1</v>
      </c>
      <c r="K1010" s="4" t="n">
        <v>976</v>
      </c>
    </row>
    <row r="1011" customFormat="false" ht="15" hidden="false" customHeight="false" outlineLevel="0" collapsed="false">
      <c r="A1011" s="4" t="n">
        <v>1010</v>
      </c>
      <c r="B1011" s="4" t="s">
        <v>1661</v>
      </c>
      <c r="C1011" s="4" t="n">
        <v>2018</v>
      </c>
      <c r="D1011" s="4" t="s">
        <v>1662</v>
      </c>
      <c r="E1011" s="25" t="str">
        <f aca="false">IF(J1011=1,"✓","")</f>
        <v/>
      </c>
      <c r="F1011" s="4" t="n">
        <v>2</v>
      </c>
      <c r="G1011" s="4" t="n">
        <v>2</v>
      </c>
      <c r="H1011" s="4" t="s">
        <v>1327</v>
      </c>
      <c r="I1011" s="4" t="s">
        <v>51</v>
      </c>
      <c r="J1011" s="4" t="n">
        <f aca="false">INDEX('Master List'!$G$2:$G$2594,K1011)</f>
        <v>0</v>
      </c>
      <c r="K1011" s="4" t="n">
        <v>1376</v>
      </c>
    </row>
    <row r="1012" customFormat="false" ht="15" hidden="false" customHeight="false" outlineLevel="0" collapsed="false">
      <c r="A1012" s="4" t="n">
        <v>1011</v>
      </c>
      <c r="B1012" s="4" t="s">
        <v>1663</v>
      </c>
      <c r="C1012" s="4" t="n">
        <v>1896</v>
      </c>
      <c r="D1012" s="4" t="s">
        <v>1664</v>
      </c>
      <c r="E1012" s="25" t="str">
        <f aca="false">IF(J1012=1,"✓","")</f>
        <v/>
      </c>
      <c r="F1012" s="4" t="n">
        <v>2</v>
      </c>
      <c r="G1012" s="4" t="n">
        <v>1</v>
      </c>
      <c r="H1012" s="4" t="s">
        <v>213</v>
      </c>
      <c r="I1012" s="4" t="s">
        <v>54</v>
      </c>
      <c r="J1012" s="4" t="n">
        <f aca="false">INDEX('Master List'!$G$2:$G$2594,K1012)</f>
        <v>0</v>
      </c>
      <c r="K1012" s="4" t="n">
        <v>375</v>
      </c>
    </row>
    <row r="1013" customFormat="false" ht="15" hidden="false" customHeight="false" outlineLevel="0" collapsed="false">
      <c r="A1013" s="4" t="n">
        <v>1012</v>
      </c>
      <c r="B1013" s="4" t="s">
        <v>1665</v>
      </c>
      <c r="C1013" s="4" t="n">
        <v>1901</v>
      </c>
      <c r="D1013" s="4" t="s">
        <v>1666</v>
      </c>
      <c r="E1013" s="25" t="str">
        <f aca="false">IF(J1013=1,"✓","")</f>
        <v>✓</v>
      </c>
      <c r="F1013" s="4" t="n">
        <v>2</v>
      </c>
      <c r="G1013" s="4" t="n">
        <v>1</v>
      </c>
      <c r="H1013" s="4" t="s">
        <v>213</v>
      </c>
      <c r="I1013" s="4" t="s">
        <v>50</v>
      </c>
      <c r="J1013" s="4" t="n">
        <f aca="false">INDEX('Master List'!$G$2:$G$2594,K1013)</f>
        <v>1</v>
      </c>
      <c r="K1013" s="4" t="n">
        <v>249</v>
      </c>
    </row>
    <row r="1014" customFormat="false" ht="15" hidden="false" customHeight="false" outlineLevel="0" collapsed="false">
      <c r="A1014" s="4" t="n">
        <v>1013</v>
      </c>
      <c r="B1014" s="4" t="s">
        <v>1667</v>
      </c>
      <c r="C1014" s="4" t="n">
        <v>1908</v>
      </c>
      <c r="D1014" s="4" t="s">
        <v>1668</v>
      </c>
      <c r="E1014" s="25" t="str">
        <f aca="false">IF(J1014=1,"✓","")</f>
        <v/>
      </c>
      <c r="F1014" s="4" t="n">
        <v>2</v>
      </c>
      <c r="G1014" s="4" t="n">
        <v>1</v>
      </c>
      <c r="H1014" s="4" t="s">
        <v>213</v>
      </c>
      <c r="I1014" s="4" t="s">
        <v>50</v>
      </c>
      <c r="J1014" s="4" t="n">
        <f aca="false">INDEX('Master List'!$G$2:$G$2594,K1014)</f>
        <v>0</v>
      </c>
      <c r="K1014" s="4" t="n">
        <v>782</v>
      </c>
    </row>
    <row r="1015" customFormat="false" ht="15" hidden="false" customHeight="false" outlineLevel="0" collapsed="false">
      <c r="A1015" s="4" t="n">
        <v>1014</v>
      </c>
      <c r="B1015" s="4" t="s">
        <v>1669</v>
      </c>
      <c r="C1015" s="4" t="n">
        <v>1914</v>
      </c>
      <c r="D1015" s="4" t="s">
        <v>1670</v>
      </c>
      <c r="E1015" s="25" t="str">
        <f aca="false">IF(J1015=1,"✓","")</f>
        <v/>
      </c>
      <c r="F1015" s="4" t="n">
        <v>2</v>
      </c>
      <c r="G1015" s="4" t="n">
        <v>1</v>
      </c>
      <c r="H1015" s="4" t="s">
        <v>213</v>
      </c>
      <c r="I1015" s="4" t="s">
        <v>50</v>
      </c>
      <c r="J1015" s="4" t="n">
        <f aca="false">INDEX('Master List'!$G$2:$G$2594,K1015)</f>
        <v>0</v>
      </c>
      <c r="K1015" s="4" t="n">
        <v>378</v>
      </c>
    </row>
    <row r="1016" customFormat="false" ht="15" hidden="false" customHeight="false" outlineLevel="0" collapsed="false">
      <c r="A1016" s="4" t="n">
        <v>1015</v>
      </c>
      <c r="B1016" s="4" t="s">
        <v>1671</v>
      </c>
      <c r="C1016" s="4" t="n">
        <v>1915</v>
      </c>
      <c r="D1016" s="4" t="s">
        <v>1672</v>
      </c>
      <c r="E1016" s="25" t="str">
        <f aca="false">IF(J1016=1,"✓","")</f>
        <v/>
      </c>
      <c r="F1016" s="4" t="n">
        <v>2</v>
      </c>
      <c r="G1016" s="4" t="n">
        <v>1</v>
      </c>
      <c r="H1016" s="4" t="s">
        <v>213</v>
      </c>
      <c r="I1016" s="4" t="s">
        <v>50</v>
      </c>
      <c r="J1016" s="4" t="n">
        <f aca="false">INDEX('Master List'!$G$2:$G$2594,K1016)</f>
        <v>0</v>
      </c>
      <c r="K1016" s="4" t="n">
        <v>2419</v>
      </c>
    </row>
    <row r="1017" customFormat="false" ht="15" hidden="false" customHeight="false" outlineLevel="0" collapsed="false">
      <c r="A1017" s="4" t="n">
        <v>1016</v>
      </c>
      <c r="B1017" s="4" t="s">
        <v>1673</v>
      </c>
      <c r="C1017" s="4" t="n">
        <v>1919</v>
      </c>
      <c r="D1017" s="4" t="s">
        <v>531</v>
      </c>
      <c r="E1017" s="25" t="str">
        <f aca="false">IF(J1017=1,"✓","")</f>
        <v/>
      </c>
      <c r="F1017" s="4" t="n">
        <v>2</v>
      </c>
      <c r="G1017" s="4" t="n">
        <v>1</v>
      </c>
      <c r="H1017" s="4" t="s">
        <v>213</v>
      </c>
      <c r="I1017" s="4" t="s">
        <v>50</v>
      </c>
      <c r="J1017" s="4" t="n">
        <f aca="false">INDEX('Master List'!$G$2:$G$2594,K1017)</f>
        <v>0</v>
      </c>
      <c r="K1017" s="4" t="n">
        <v>356</v>
      </c>
    </row>
    <row r="1018" customFormat="false" ht="15" hidden="false" customHeight="false" outlineLevel="0" collapsed="false">
      <c r="A1018" s="4" t="n">
        <v>1017</v>
      </c>
      <c r="B1018" s="4" t="s">
        <v>1674</v>
      </c>
      <c r="C1018" s="4" t="n">
        <v>1919</v>
      </c>
      <c r="D1018" s="4" t="s">
        <v>1675</v>
      </c>
      <c r="E1018" s="25" t="str">
        <f aca="false">IF(J1018=1,"✓","")</f>
        <v/>
      </c>
      <c r="F1018" s="4" t="n">
        <v>2</v>
      </c>
      <c r="G1018" s="4" t="n">
        <v>1</v>
      </c>
      <c r="H1018" s="4" t="s">
        <v>213</v>
      </c>
      <c r="I1018" s="4" t="s">
        <v>54</v>
      </c>
      <c r="J1018" s="4" t="n">
        <f aca="false">INDEX('Master List'!$G$2:$G$2594,K1018)</f>
        <v>0</v>
      </c>
      <c r="K1018" s="4" t="n">
        <v>630</v>
      </c>
    </row>
    <row r="1019" customFormat="false" ht="15" hidden="false" customHeight="false" outlineLevel="0" collapsed="false">
      <c r="A1019" s="4" t="n">
        <v>1018</v>
      </c>
      <c r="B1019" s="4" t="s">
        <v>1676</v>
      </c>
      <c r="C1019" s="4" t="n">
        <v>1920</v>
      </c>
      <c r="D1019" s="4" t="s">
        <v>1677</v>
      </c>
      <c r="E1019" s="25" t="str">
        <f aca="false">IF(J1019=1,"✓","")</f>
        <v/>
      </c>
      <c r="F1019" s="4" t="n">
        <v>2</v>
      </c>
      <c r="G1019" s="4" t="n">
        <v>1</v>
      </c>
      <c r="H1019" s="4" t="s">
        <v>213</v>
      </c>
      <c r="I1019" s="4" t="s">
        <v>50</v>
      </c>
      <c r="J1019" s="4" t="n">
        <f aca="false">INDEX('Master List'!$G$2:$G$2594,K1019)</f>
        <v>0</v>
      </c>
      <c r="K1019" s="4" t="n">
        <v>920</v>
      </c>
    </row>
    <row r="1020" customFormat="false" ht="15" hidden="false" customHeight="false" outlineLevel="0" collapsed="false">
      <c r="A1020" s="4" t="n">
        <v>1019</v>
      </c>
      <c r="B1020" s="4" t="s">
        <v>1678</v>
      </c>
      <c r="C1020" s="4" t="n">
        <v>1921</v>
      </c>
      <c r="D1020" s="4" t="s">
        <v>1270</v>
      </c>
      <c r="E1020" s="25" t="str">
        <f aca="false">IF(J1020=1,"✓","")</f>
        <v/>
      </c>
      <c r="F1020" s="4" t="n">
        <v>2</v>
      </c>
      <c r="G1020" s="4" t="n">
        <v>1</v>
      </c>
      <c r="H1020" s="4" t="s">
        <v>213</v>
      </c>
      <c r="I1020" s="4" t="s">
        <v>51</v>
      </c>
      <c r="J1020" s="4" t="n">
        <f aca="false">INDEX('Master List'!$G$2:$G$2594,K1020)</f>
        <v>0</v>
      </c>
      <c r="K1020" s="4" t="n">
        <v>1751</v>
      </c>
    </row>
    <row r="1021" customFormat="false" ht="15" hidden="false" customHeight="false" outlineLevel="0" collapsed="false">
      <c r="A1021" s="4" t="n">
        <v>1020</v>
      </c>
      <c r="B1021" s="4" t="s">
        <v>1679</v>
      </c>
      <c r="C1021" s="4" t="n">
        <v>1923</v>
      </c>
      <c r="D1021" s="4" t="s">
        <v>1680</v>
      </c>
      <c r="E1021" s="25" t="str">
        <f aca="false">IF(J1021=1,"✓","")</f>
        <v/>
      </c>
      <c r="F1021" s="4" t="n">
        <v>2</v>
      </c>
      <c r="G1021" s="4" t="n">
        <v>1</v>
      </c>
      <c r="H1021" s="4" t="s">
        <v>213</v>
      </c>
      <c r="I1021" s="4" t="s">
        <v>50</v>
      </c>
      <c r="J1021" s="4" t="n">
        <f aca="false">INDEX('Master List'!$G$2:$G$2594,K1021)</f>
        <v>0</v>
      </c>
      <c r="K1021" s="4" t="n">
        <v>1956</v>
      </c>
    </row>
    <row r="1022" customFormat="false" ht="15" hidden="false" customHeight="false" outlineLevel="0" collapsed="false">
      <c r="A1022" s="4" t="n">
        <v>1021</v>
      </c>
      <c r="B1022" s="4" t="s">
        <v>1681</v>
      </c>
      <c r="C1022" s="4" t="n">
        <v>1923</v>
      </c>
      <c r="D1022" s="4" t="s">
        <v>1682</v>
      </c>
      <c r="E1022" s="25" t="str">
        <f aca="false">IF(J1022=1,"✓","")</f>
        <v/>
      </c>
      <c r="F1022" s="4" t="n">
        <v>2</v>
      </c>
      <c r="G1022" s="4" t="n">
        <v>1</v>
      </c>
      <c r="H1022" s="4" t="s">
        <v>213</v>
      </c>
      <c r="I1022" s="4" t="s">
        <v>50</v>
      </c>
      <c r="J1022" s="4" t="n">
        <f aca="false">INDEX('Master List'!$G$2:$G$2594,K1022)</f>
        <v>0</v>
      </c>
      <c r="K1022" s="4" t="n">
        <v>1936</v>
      </c>
    </row>
    <row r="1023" customFormat="false" ht="15" hidden="false" customHeight="false" outlineLevel="0" collapsed="false">
      <c r="A1023" s="4" t="n">
        <v>1022</v>
      </c>
      <c r="B1023" s="4" t="s">
        <v>1683</v>
      </c>
      <c r="C1023" s="4" t="n">
        <v>1924</v>
      </c>
      <c r="D1023" s="4" t="s">
        <v>299</v>
      </c>
      <c r="E1023" s="25" t="str">
        <f aca="false">IF(J1023=1,"✓","")</f>
        <v/>
      </c>
      <c r="F1023" s="4" t="n">
        <v>2</v>
      </c>
      <c r="G1023" s="4" t="n">
        <v>1</v>
      </c>
      <c r="H1023" s="4" t="s">
        <v>213</v>
      </c>
      <c r="I1023" s="4" t="s">
        <v>50</v>
      </c>
      <c r="J1023" s="4" t="n">
        <f aca="false">INDEX('Master List'!$G$2:$G$2594,K1023)</f>
        <v>0</v>
      </c>
      <c r="K1023" s="4" t="n">
        <v>1296</v>
      </c>
    </row>
    <row r="1024" customFormat="false" ht="15" hidden="false" customHeight="false" outlineLevel="0" collapsed="false">
      <c r="A1024" s="4" t="n">
        <v>1023</v>
      </c>
      <c r="B1024" s="4" t="s">
        <v>1684</v>
      </c>
      <c r="C1024" s="4" t="n">
        <v>1924</v>
      </c>
      <c r="D1024" s="4" t="s">
        <v>246</v>
      </c>
      <c r="E1024" s="25" t="str">
        <f aca="false">IF(J1024=1,"✓","")</f>
        <v/>
      </c>
      <c r="F1024" s="4" t="n">
        <v>2</v>
      </c>
      <c r="G1024" s="4" t="n">
        <v>1</v>
      </c>
      <c r="H1024" s="4" t="s">
        <v>213</v>
      </c>
      <c r="I1024" s="4" t="s">
        <v>54</v>
      </c>
      <c r="J1024" s="4" t="n">
        <f aca="false">INDEX('Master List'!$G$2:$G$2594,K1024)</f>
        <v>0</v>
      </c>
      <c r="K1024" s="4" t="n">
        <v>1489</v>
      </c>
    </row>
    <row r="1025" customFormat="false" ht="15" hidden="false" customHeight="false" outlineLevel="0" collapsed="false">
      <c r="A1025" s="4" t="n">
        <v>1024</v>
      </c>
      <c r="B1025" s="4" t="s">
        <v>1685</v>
      </c>
      <c r="C1025" s="4" t="n">
        <v>1925</v>
      </c>
      <c r="D1025" s="4" t="s">
        <v>1680</v>
      </c>
      <c r="E1025" s="25" t="str">
        <f aca="false">IF(J1025=1,"✓","")</f>
        <v/>
      </c>
      <c r="F1025" s="4" t="n">
        <v>2</v>
      </c>
      <c r="G1025" s="4" t="n">
        <v>1</v>
      </c>
      <c r="H1025" s="4" t="s">
        <v>213</v>
      </c>
      <c r="I1025" s="4" t="s">
        <v>50</v>
      </c>
      <c r="J1025" s="4" t="n">
        <f aca="false">INDEX('Master List'!$G$2:$G$2594,K1025)</f>
        <v>0</v>
      </c>
      <c r="K1025" s="4" t="n">
        <v>854</v>
      </c>
    </row>
    <row r="1026" customFormat="false" ht="15" hidden="false" customHeight="false" outlineLevel="0" collapsed="false">
      <c r="A1026" s="4" t="n">
        <v>1025</v>
      </c>
      <c r="B1026" s="4" t="s">
        <v>1192</v>
      </c>
      <c r="C1026" s="4" t="n">
        <v>1926</v>
      </c>
      <c r="D1026" s="4" t="s">
        <v>1686</v>
      </c>
      <c r="E1026" s="25" t="str">
        <f aca="false">IF(J1026=1,"✓","")</f>
        <v/>
      </c>
      <c r="F1026" s="4" t="n">
        <v>2</v>
      </c>
      <c r="G1026" s="4" t="n">
        <v>1</v>
      </c>
      <c r="H1026" s="4" t="s">
        <v>213</v>
      </c>
      <c r="I1026" s="4" t="s">
        <v>50</v>
      </c>
      <c r="J1026" s="4" t="n">
        <f aca="false">INDEX('Master List'!$G$2:$G$2594,K1026)</f>
        <v>0</v>
      </c>
      <c r="K1026" s="4" t="n">
        <v>1537</v>
      </c>
    </row>
    <row r="1027" customFormat="false" ht="15" hidden="false" customHeight="false" outlineLevel="0" collapsed="false">
      <c r="A1027" s="4" t="n">
        <v>1026</v>
      </c>
      <c r="B1027" s="4" t="s">
        <v>1687</v>
      </c>
      <c r="C1027" s="4" t="n">
        <v>1926</v>
      </c>
      <c r="D1027" s="4" t="s">
        <v>1688</v>
      </c>
      <c r="E1027" s="25" t="str">
        <f aca="false">IF(J1027=1,"✓","")</f>
        <v/>
      </c>
      <c r="F1027" s="4" t="n">
        <v>2</v>
      </c>
      <c r="G1027" s="4" t="n">
        <v>1</v>
      </c>
      <c r="H1027" s="4" t="s">
        <v>213</v>
      </c>
      <c r="I1027" s="4" t="s">
        <v>50</v>
      </c>
      <c r="J1027" s="4" t="n">
        <f aca="false">INDEX('Master List'!$G$2:$G$2594,K1027)</f>
        <v>0</v>
      </c>
      <c r="K1027" s="4" t="n">
        <v>1481</v>
      </c>
    </row>
    <row r="1028" customFormat="false" ht="15" hidden="false" customHeight="false" outlineLevel="0" collapsed="false">
      <c r="A1028" s="4" t="n">
        <v>1027</v>
      </c>
      <c r="B1028" s="4" t="s">
        <v>1689</v>
      </c>
      <c r="C1028" s="4" t="n">
        <v>1927</v>
      </c>
      <c r="D1028" s="4" t="s">
        <v>564</v>
      </c>
      <c r="E1028" s="25" t="str">
        <f aca="false">IF(J1028=1,"✓","")</f>
        <v/>
      </c>
      <c r="F1028" s="4" t="n">
        <v>2</v>
      </c>
      <c r="G1028" s="4" t="n">
        <v>1</v>
      </c>
      <c r="H1028" s="4" t="s">
        <v>213</v>
      </c>
      <c r="I1028" s="4" t="s">
        <v>50</v>
      </c>
      <c r="J1028" s="4" t="n">
        <f aca="false">INDEX('Master List'!$G$2:$G$2594,K1028)</f>
        <v>0</v>
      </c>
      <c r="K1028" s="4" t="n">
        <v>2525</v>
      </c>
    </row>
    <row r="1029" customFormat="false" ht="15" hidden="false" customHeight="false" outlineLevel="0" collapsed="false">
      <c r="A1029" s="4" t="n">
        <v>1028</v>
      </c>
      <c r="B1029" s="4" t="s">
        <v>1690</v>
      </c>
      <c r="C1029" s="4" t="n">
        <v>1927</v>
      </c>
      <c r="D1029" s="4" t="s">
        <v>1682</v>
      </c>
      <c r="E1029" s="25" t="str">
        <f aca="false">IF(J1029=1,"✓","")</f>
        <v/>
      </c>
      <c r="F1029" s="4" t="n">
        <v>2</v>
      </c>
      <c r="G1029" s="4" t="n">
        <v>1</v>
      </c>
      <c r="H1029" s="4" t="s">
        <v>213</v>
      </c>
      <c r="I1029" s="4" t="s">
        <v>50</v>
      </c>
      <c r="J1029" s="4" t="n">
        <f aca="false">INDEX('Master List'!$G$2:$G$2594,K1029)</f>
        <v>0</v>
      </c>
      <c r="K1029" s="4" t="n">
        <v>1585</v>
      </c>
    </row>
    <row r="1030" customFormat="false" ht="15" hidden="false" customHeight="false" outlineLevel="0" collapsed="false">
      <c r="A1030" s="4" t="n">
        <v>1029</v>
      </c>
      <c r="B1030" s="4" t="s">
        <v>1691</v>
      </c>
      <c r="C1030" s="4" t="n">
        <v>1927</v>
      </c>
      <c r="D1030" s="4" t="s">
        <v>1692</v>
      </c>
      <c r="E1030" s="25" t="str">
        <f aca="false">IF(J1030=1,"✓","")</f>
        <v/>
      </c>
      <c r="F1030" s="4" t="n">
        <v>2</v>
      </c>
      <c r="G1030" s="4" t="n">
        <v>1</v>
      </c>
      <c r="H1030" s="4" t="s">
        <v>213</v>
      </c>
      <c r="I1030" s="4" t="s">
        <v>52</v>
      </c>
      <c r="J1030" s="4" t="n">
        <f aca="false">INDEX('Master List'!$G$2:$G$2594,K1030)</f>
        <v>0</v>
      </c>
      <c r="K1030" s="4" t="n">
        <v>227</v>
      </c>
    </row>
    <row r="1031" customFormat="false" ht="15" hidden="false" customHeight="false" outlineLevel="0" collapsed="false">
      <c r="A1031" s="4" t="n">
        <v>1030</v>
      </c>
      <c r="B1031" s="4" t="s">
        <v>1693</v>
      </c>
      <c r="C1031" s="4" t="n">
        <v>1927</v>
      </c>
      <c r="D1031" s="4" t="s">
        <v>162</v>
      </c>
      <c r="E1031" s="25" t="str">
        <f aca="false">IF(J1031=1,"✓","")</f>
        <v/>
      </c>
      <c r="F1031" s="4" t="n">
        <v>2</v>
      </c>
      <c r="G1031" s="4" t="n">
        <v>1</v>
      </c>
      <c r="H1031" s="4" t="s">
        <v>213</v>
      </c>
      <c r="I1031" s="4" t="s">
        <v>53</v>
      </c>
      <c r="J1031" s="4" t="n">
        <f aca="false">INDEX('Master List'!$G$2:$G$2594,K1031)</f>
        <v>0</v>
      </c>
      <c r="K1031" s="4" t="n">
        <v>1365</v>
      </c>
    </row>
    <row r="1032" customFormat="false" ht="15" hidden="false" customHeight="false" outlineLevel="0" collapsed="false">
      <c r="A1032" s="4" t="n">
        <v>1031</v>
      </c>
      <c r="B1032" s="4" t="s">
        <v>1694</v>
      </c>
      <c r="C1032" s="4" t="n">
        <v>1928</v>
      </c>
      <c r="D1032" s="4" t="s">
        <v>1695</v>
      </c>
      <c r="E1032" s="25" t="str">
        <f aca="false">IF(J1032=1,"✓","")</f>
        <v/>
      </c>
      <c r="F1032" s="4" t="n">
        <v>2</v>
      </c>
      <c r="G1032" s="4" t="n">
        <v>1</v>
      </c>
      <c r="H1032" s="4" t="s">
        <v>213</v>
      </c>
      <c r="I1032" s="4" t="s">
        <v>50</v>
      </c>
      <c r="J1032" s="4" t="n">
        <f aca="false">INDEX('Master List'!$G$2:$G$2594,K1032)</f>
        <v>0</v>
      </c>
      <c r="K1032" s="4" t="n">
        <v>2153</v>
      </c>
    </row>
    <row r="1033" customFormat="false" ht="15" hidden="false" customHeight="false" outlineLevel="0" collapsed="false">
      <c r="A1033" s="4" t="n">
        <v>1032</v>
      </c>
      <c r="B1033" s="4" t="s">
        <v>1696</v>
      </c>
      <c r="C1033" s="4" t="n">
        <v>1928</v>
      </c>
      <c r="D1033" s="4" t="s">
        <v>1697</v>
      </c>
      <c r="E1033" s="25" t="str">
        <f aca="false">IF(J1033=1,"✓","")</f>
        <v/>
      </c>
      <c r="F1033" s="4" t="n">
        <v>2</v>
      </c>
      <c r="G1033" s="4" t="n">
        <v>1</v>
      </c>
      <c r="H1033" s="4" t="s">
        <v>213</v>
      </c>
      <c r="I1033" s="4" t="s">
        <v>50</v>
      </c>
      <c r="J1033" s="4" t="n">
        <f aca="false">INDEX('Master List'!$G$2:$G$2594,K1033)</f>
        <v>0</v>
      </c>
      <c r="K1033" s="4" t="n">
        <v>777</v>
      </c>
    </row>
    <row r="1034" customFormat="false" ht="15" hidden="false" customHeight="false" outlineLevel="0" collapsed="false">
      <c r="A1034" s="4" t="n">
        <v>1033</v>
      </c>
      <c r="B1034" s="4" t="s">
        <v>1698</v>
      </c>
      <c r="C1034" s="4" t="n">
        <v>1928</v>
      </c>
      <c r="D1034" s="4" t="s">
        <v>1699</v>
      </c>
      <c r="E1034" s="25" t="str">
        <f aca="false">IF(J1034=1,"✓","")</f>
        <v/>
      </c>
      <c r="F1034" s="4" t="n">
        <v>2</v>
      </c>
      <c r="G1034" s="4" t="n">
        <v>1</v>
      </c>
      <c r="H1034" s="4" t="s">
        <v>213</v>
      </c>
      <c r="I1034" s="4" t="s">
        <v>52</v>
      </c>
      <c r="J1034" s="4" t="n">
        <f aca="false">INDEX('Master List'!$G$2:$G$2594,K1034)</f>
        <v>0</v>
      </c>
      <c r="K1034" s="4" t="n">
        <v>2000</v>
      </c>
    </row>
    <row r="1035" customFormat="false" ht="15" hidden="false" customHeight="false" outlineLevel="0" collapsed="false">
      <c r="A1035" s="4" t="n">
        <v>1034</v>
      </c>
      <c r="B1035" s="4" t="s">
        <v>1700</v>
      </c>
      <c r="C1035" s="4" t="n">
        <v>1929</v>
      </c>
      <c r="D1035" s="4" t="s">
        <v>162</v>
      </c>
      <c r="E1035" s="25" t="str">
        <f aca="false">IF(J1035=1,"✓","")</f>
        <v/>
      </c>
      <c r="F1035" s="4" t="n">
        <v>2</v>
      </c>
      <c r="G1035" s="4" t="n">
        <v>1</v>
      </c>
      <c r="H1035" s="4" t="s">
        <v>213</v>
      </c>
      <c r="I1035" s="4" t="s">
        <v>50</v>
      </c>
      <c r="J1035" s="4" t="n">
        <f aca="false">INDEX('Master List'!$G$2:$G$2594,K1035)</f>
        <v>0</v>
      </c>
      <c r="K1035" s="4" t="n">
        <v>276</v>
      </c>
    </row>
    <row r="1036" customFormat="false" ht="15" hidden="false" customHeight="false" outlineLevel="0" collapsed="false">
      <c r="A1036" s="4" t="n">
        <v>1035</v>
      </c>
      <c r="B1036" s="4" t="s">
        <v>1701</v>
      </c>
      <c r="C1036" s="4" t="n">
        <v>1929</v>
      </c>
      <c r="D1036" s="4" t="s">
        <v>1304</v>
      </c>
      <c r="E1036" s="25" t="str">
        <f aca="false">IF(J1036=1,"✓","")</f>
        <v/>
      </c>
      <c r="F1036" s="4" t="n">
        <v>2</v>
      </c>
      <c r="G1036" s="4" t="n">
        <v>1</v>
      </c>
      <c r="H1036" s="4" t="s">
        <v>213</v>
      </c>
      <c r="I1036" s="4" t="s">
        <v>50</v>
      </c>
      <c r="J1036" s="4" t="n">
        <f aca="false">INDEX('Master List'!$G$2:$G$2594,K1036)</f>
        <v>0</v>
      </c>
      <c r="K1036" s="4" t="n">
        <v>125</v>
      </c>
    </row>
    <row r="1037" customFormat="false" ht="15" hidden="false" customHeight="false" outlineLevel="0" collapsed="false">
      <c r="A1037" s="4" t="n">
        <v>1036</v>
      </c>
      <c r="B1037" s="4" t="s">
        <v>1702</v>
      </c>
      <c r="C1037" s="4" t="n">
        <v>1929</v>
      </c>
      <c r="D1037" s="4" t="s">
        <v>1703</v>
      </c>
      <c r="E1037" s="25" t="str">
        <f aca="false">IF(J1037=1,"✓","")</f>
        <v/>
      </c>
      <c r="F1037" s="4" t="n">
        <v>2</v>
      </c>
      <c r="G1037" s="4" t="n">
        <v>1</v>
      </c>
      <c r="H1037" s="4" t="s">
        <v>213</v>
      </c>
      <c r="I1037" s="4" t="s">
        <v>54</v>
      </c>
      <c r="J1037" s="4" t="n">
        <f aca="false">INDEX('Master List'!$G$2:$G$2594,K1037)</f>
        <v>0</v>
      </c>
      <c r="K1037" s="4" t="n">
        <v>1981</v>
      </c>
    </row>
    <row r="1038" customFormat="false" ht="15" hidden="false" customHeight="false" outlineLevel="0" collapsed="false">
      <c r="A1038" s="4" t="n">
        <v>1037</v>
      </c>
      <c r="B1038" s="4" t="s">
        <v>1704</v>
      </c>
      <c r="C1038" s="4" t="n">
        <v>1929</v>
      </c>
      <c r="D1038" s="4" t="s">
        <v>535</v>
      </c>
      <c r="E1038" s="25" t="str">
        <f aca="false">IF(J1038=1,"✓","")</f>
        <v/>
      </c>
      <c r="F1038" s="4" t="n">
        <v>2</v>
      </c>
      <c r="G1038" s="4" t="n">
        <v>1</v>
      </c>
      <c r="H1038" s="4" t="s">
        <v>213</v>
      </c>
      <c r="I1038" s="4" t="s">
        <v>54</v>
      </c>
      <c r="J1038" s="4" t="n">
        <f aca="false">INDEX('Master List'!$G$2:$G$2594,K1038)</f>
        <v>0</v>
      </c>
      <c r="K1038" s="4" t="n">
        <v>980</v>
      </c>
    </row>
    <row r="1039" customFormat="false" ht="15" hidden="false" customHeight="false" outlineLevel="0" collapsed="false">
      <c r="A1039" s="4" t="n">
        <v>1038</v>
      </c>
      <c r="B1039" s="4" t="s">
        <v>1705</v>
      </c>
      <c r="C1039" s="4" t="n">
        <v>1929</v>
      </c>
      <c r="D1039" s="4" t="s">
        <v>1706</v>
      </c>
      <c r="E1039" s="25" t="str">
        <f aca="false">IF(J1039=1,"✓","")</f>
        <v/>
      </c>
      <c r="F1039" s="4" t="n">
        <v>2</v>
      </c>
      <c r="G1039" s="4" t="n">
        <v>1</v>
      </c>
      <c r="H1039" s="4" t="s">
        <v>213</v>
      </c>
      <c r="I1039" s="4" t="s">
        <v>56</v>
      </c>
      <c r="J1039" s="4" t="n">
        <f aca="false">INDEX('Master List'!$G$2:$G$2594,K1039)</f>
        <v>0</v>
      </c>
      <c r="K1039" s="4" t="n">
        <v>2503</v>
      </c>
    </row>
    <row r="1040" customFormat="false" ht="15" hidden="false" customHeight="false" outlineLevel="0" collapsed="false">
      <c r="A1040" s="4" t="n">
        <v>1039</v>
      </c>
      <c r="B1040" s="4" t="s">
        <v>1707</v>
      </c>
      <c r="C1040" s="4" t="n">
        <v>1930</v>
      </c>
      <c r="D1040" s="4" t="s">
        <v>1708</v>
      </c>
      <c r="E1040" s="25" t="str">
        <f aca="false">IF(J1040=1,"✓","")</f>
        <v/>
      </c>
      <c r="F1040" s="4" t="n">
        <v>2</v>
      </c>
      <c r="G1040" s="4" t="n">
        <v>1</v>
      </c>
      <c r="H1040" s="4" t="s">
        <v>213</v>
      </c>
      <c r="I1040" s="4" t="s">
        <v>50</v>
      </c>
      <c r="J1040" s="4" t="n">
        <f aca="false">INDEX('Master List'!$G$2:$G$2594,K1040)</f>
        <v>0</v>
      </c>
      <c r="K1040" s="4" t="n">
        <v>701</v>
      </c>
    </row>
    <row r="1041" customFormat="false" ht="15" hidden="false" customHeight="false" outlineLevel="0" collapsed="false">
      <c r="A1041" s="4" t="n">
        <v>1040</v>
      </c>
      <c r="B1041" s="4" t="s">
        <v>1709</v>
      </c>
      <c r="C1041" s="4" t="n">
        <v>1930</v>
      </c>
      <c r="D1041" s="4" t="s">
        <v>1710</v>
      </c>
      <c r="E1041" s="25" t="str">
        <f aca="false">IF(J1041=1,"✓","")</f>
        <v/>
      </c>
      <c r="F1041" s="4" t="n">
        <v>2</v>
      </c>
      <c r="G1041" s="4" t="n">
        <v>1</v>
      </c>
      <c r="H1041" s="4" t="s">
        <v>213</v>
      </c>
      <c r="I1041" s="4" t="s">
        <v>50</v>
      </c>
      <c r="J1041" s="4" t="n">
        <f aca="false">INDEX('Master List'!$G$2:$G$2594,K1041)</f>
        <v>0</v>
      </c>
      <c r="K1041" s="4" t="n">
        <v>297</v>
      </c>
    </row>
    <row r="1042" customFormat="false" ht="15" hidden="false" customHeight="false" outlineLevel="0" collapsed="false">
      <c r="A1042" s="4" t="n">
        <v>1041</v>
      </c>
      <c r="B1042" s="4" t="s">
        <v>1711</v>
      </c>
      <c r="C1042" s="4" t="n">
        <v>1930</v>
      </c>
      <c r="D1042" s="4" t="s">
        <v>1712</v>
      </c>
      <c r="E1042" s="25" t="str">
        <f aca="false">IF(J1042=1,"✓","")</f>
        <v/>
      </c>
      <c r="F1042" s="4" t="n">
        <v>2</v>
      </c>
      <c r="G1042" s="4" t="n">
        <v>1</v>
      </c>
      <c r="H1042" s="4" t="s">
        <v>213</v>
      </c>
      <c r="I1042" s="4" t="s">
        <v>50</v>
      </c>
      <c r="J1042" s="4" t="n">
        <f aca="false">INDEX('Master List'!$G$2:$G$2594,K1042)</f>
        <v>0</v>
      </c>
      <c r="K1042" s="4" t="n">
        <v>2401</v>
      </c>
    </row>
    <row r="1043" customFormat="false" ht="15" hidden="false" customHeight="false" outlineLevel="0" collapsed="false">
      <c r="A1043" s="4" t="n">
        <v>1042</v>
      </c>
      <c r="B1043" s="4" t="s">
        <v>1713</v>
      </c>
      <c r="C1043" s="4" t="n">
        <v>1930</v>
      </c>
      <c r="D1043" s="4" t="s">
        <v>1714</v>
      </c>
      <c r="E1043" s="25" t="str">
        <f aca="false">IF(J1043=1,"✓","")</f>
        <v/>
      </c>
      <c r="F1043" s="4" t="n">
        <v>2</v>
      </c>
      <c r="G1043" s="4" t="n">
        <v>1</v>
      </c>
      <c r="H1043" s="4" t="s">
        <v>213</v>
      </c>
      <c r="I1043" s="4" t="s">
        <v>52</v>
      </c>
      <c r="J1043" s="4" t="n">
        <f aca="false">INDEX('Master List'!$G$2:$G$2594,K1043)</f>
        <v>0</v>
      </c>
      <c r="K1043" s="4" t="n">
        <v>108</v>
      </c>
    </row>
    <row r="1044" customFormat="false" ht="15" hidden="false" customHeight="false" outlineLevel="0" collapsed="false">
      <c r="A1044" s="4" t="n">
        <v>1043</v>
      </c>
      <c r="B1044" s="4" t="s">
        <v>1715</v>
      </c>
      <c r="C1044" s="4" t="n">
        <v>1930</v>
      </c>
      <c r="D1044" s="4" t="s">
        <v>1710</v>
      </c>
      <c r="E1044" s="25" t="str">
        <f aca="false">IF(J1044=1,"✓","")</f>
        <v/>
      </c>
      <c r="F1044" s="4" t="n">
        <v>2</v>
      </c>
      <c r="G1044" s="4" t="n">
        <v>1</v>
      </c>
      <c r="H1044" s="4" t="s">
        <v>213</v>
      </c>
      <c r="I1044" s="4" t="s">
        <v>54</v>
      </c>
      <c r="J1044" s="4" t="n">
        <f aca="false">INDEX('Master List'!$G$2:$G$2594,K1044)</f>
        <v>0</v>
      </c>
      <c r="K1044" s="4" t="n">
        <v>1535</v>
      </c>
    </row>
    <row r="1045" customFormat="false" ht="15" hidden="false" customHeight="false" outlineLevel="0" collapsed="false">
      <c r="A1045" s="4" t="n">
        <v>1044</v>
      </c>
      <c r="B1045" s="4" t="s">
        <v>1716</v>
      </c>
      <c r="C1045" s="4" t="n">
        <v>1930</v>
      </c>
      <c r="D1045" s="4" t="s">
        <v>1717</v>
      </c>
      <c r="E1045" s="25" t="str">
        <f aca="false">IF(J1045=1,"✓","")</f>
        <v/>
      </c>
      <c r="F1045" s="4" t="n">
        <v>2</v>
      </c>
      <c r="G1045" s="4" t="n">
        <v>1</v>
      </c>
      <c r="H1045" s="4" t="s">
        <v>213</v>
      </c>
      <c r="I1045" s="4" t="s">
        <v>57</v>
      </c>
      <c r="J1045" s="4" t="n">
        <f aca="false">INDEX('Master List'!$G$2:$G$2594,K1045)</f>
        <v>0</v>
      </c>
      <c r="K1045" s="4" t="n">
        <v>1020</v>
      </c>
    </row>
    <row r="1046" customFormat="false" ht="15" hidden="false" customHeight="false" outlineLevel="0" collapsed="false">
      <c r="A1046" s="4" t="n">
        <v>1045</v>
      </c>
      <c r="B1046" s="4" t="s">
        <v>1454</v>
      </c>
      <c r="C1046" s="4" t="n">
        <v>1931</v>
      </c>
      <c r="D1046" s="4" t="s">
        <v>907</v>
      </c>
      <c r="E1046" s="25" t="str">
        <f aca="false">IF(J1046=1,"✓","")</f>
        <v/>
      </c>
      <c r="F1046" s="4" t="n">
        <v>2</v>
      </c>
      <c r="G1046" s="4" t="n">
        <v>1</v>
      </c>
      <c r="H1046" s="4" t="s">
        <v>213</v>
      </c>
      <c r="I1046" s="4" t="s">
        <v>52</v>
      </c>
      <c r="J1046" s="4" t="n">
        <f aca="false">INDEX('Master List'!$G$2:$G$2594,K1046)</f>
        <v>0</v>
      </c>
      <c r="K1046" s="4" t="n">
        <v>672</v>
      </c>
    </row>
    <row r="1047" customFormat="false" ht="15" hidden="false" customHeight="false" outlineLevel="0" collapsed="false">
      <c r="A1047" s="4" t="n">
        <v>1046</v>
      </c>
      <c r="B1047" s="4" t="s">
        <v>1718</v>
      </c>
      <c r="C1047" s="4" t="n">
        <v>1931</v>
      </c>
      <c r="D1047" s="4" t="s">
        <v>909</v>
      </c>
      <c r="E1047" s="25" t="str">
        <f aca="false">IF(J1047=1,"✓","")</f>
        <v/>
      </c>
      <c r="F1047" s="4" t="n">
        <v>2</v>
      </c>
      <c r="G1047" s="4" t="n">
        <v>1</v>
      </c>
      <c r="H1047" s="4" t="s">
        <v>213</v>
      </c>
      <c r="I1047" s="4" t="s">
        <v>52</v>
      </c>
      <c r="J1047" s="4" t="n">
        <f aca="false">INDEX('Master List'!$G$2:$G$2594,K1047)</f>
        <v>0</v>
      </c>
      <c r="K1047" s="4" t="n">
        <v>1349</v>
      </c>
    </row>
    <row r="1048" customFormat="false" ht="15" hidden="false" customHeight="false" outlineLevel="0" collapsed="false">
      <c r="A1048" s="4" t="n">
        <v>1047</v>
      </c>
      <c r="B1048" s="4" t="s">
        <v>1719</v>
      </c>
      <c r="C1048" s="4" t="n">
        <v>1931</v>
      </c>
      <c r="D1048" s="4" t="s">
        <v>181</v>
      </c>
      <c r="E1048" s="25" t="str">
        <f aca="false">IF(J1048=1,"✓","")</f>
        <v/>
      </c>
      <c r="F1048" s="4" t="n">
        <v>2</v>
      </c>
      <c r="G1048" s="4" t="n">
        <v>1</v>
      </c>
      <c r="H1048" s="4" t="s">
        <v>213</v>
      </c>
      <c r="I1048" s="4" t="s">
        <v>54</v>
      </c>
      <c r="J1048" s="4" t="n">
        <f aca="false">INDEX('Master List'!$G$2:$G$2594,K1048)</f>
        <v>0</v>
      </c>
      <c r="K1048" s="4" t="n">
        <v>736</v>
      </c>
    </row>
    <row r="1049" customFormat="false" ht="15" hidden="false" customHeight="false" outlineLevel="0" collapsed="false">
      <c r="A1049" s="4" t="n">
        <v>1048</v>
      </c>
      <c r="B1049" s="4" t="s">
        <v>1720</v>
      </c>
      <c r="C1049" s="4" t="n">
        <v>1931</v>
      </c>
      <c r="D1049" s="4" t="s">
        <v>1721</v>
      </c>
      <c r="E1049" s="25" t="str">
        <f aca="false">IF(J1049=1,"✓","")</f>
        <v/>
      </c>
      <c r="F1049" s="4" t="n">
        <v>2</v>
      </c>
      <c r="G1049" s="4" t="n">
        <v>1</v>
      </c>
      <c r="H1049" s="4" t="s">
        <v>213</v>
      </c>
      <c r="I1049" s="4" t="s">
        <v>54</v>
      </c>
      <c r="J1049" s="4" t="n">
        <f aca="false">INDEX('Master List'!$G$2:$G$2594,K1049)</f>
        <v>0</v>
      </c>
      <c r="K1049" s="4" t="n">
        <v>1409</v>
      </c>
    </row>
    <row r="1050" customFormat="false" ht="15" hidden="false" customHeight="false" outlineLevel="0" collapsed="false">
      <c r="A1050" s="4" t="n">
        <v>1049</v>
      </c>
      <c r="B1050" s="4" t="s">
        <v>1722</v>
      </c>
      <c r="C1050" s="4" t="n">
        <v>1931</v>
      </c>
      <c r="D1050" s="4" t="s">
        <v>730</v>
      </c>
      <c r="E1050" s="25" t="str">
        <f aca="false">IF(J1050=1,"✓","")</f>
        <v/>
      </c>
      <c r="F1050" s="4" t="n">
        <v>2</v>
      </c>
      <c r="G1050" s="4" t="n">
        <v>1</v>
      </c>
      <c r="H1050" s="4" t="s">
        <v>213</v>
      </c>
      <c r="I1050" s="4" t="s">
        <v>55</v>
      </c>
      <c r="J1050" s="4" t="n">
        <f aca="false">INDEX('Master List'!$G$2:$G$2594,K1050)</f>
        <v>0</v>
      </c>
      <c r="K1050" s="4" t="n">
        <v>862</v>
      </c>
    </row>
    <row r="1051" customFormat="false" ht="15" hidden="false" customHeight="false" outlineLevel="0" collapsed="false">
      <c r="A1051" s="4" t="n">
        <v>1050</v>
      </c>
      <c r="B1051" s="4" t="s">
        <v>1723</v>
      </c>
      <c r="C1051" s="4" t="n">
        <v>1931</v>
      </c>
      <c r="D1051" s="4" t="s">
        <v>299</v>
      </c>
      <c r="E1051" s="25" t="str">
        <f aca="false">IF(J1051=1,"✓","")</f>
        <v/>
      </c>
      <c r="F1051" s="4" t="n">
        <v>2</v>
      </c>
      <c r="G1051" s="4" t="n">
        <v>1</v>
      </c>
      <c r="H1051" s="4" t="s">
        <v>213</v>
      </c>
      <c r="I1051" s="4" t="s">
        <v>57</v>
      </c>
      <c r="J1051" s="4" t="n">
        <f aca="false">INDEX('Master List'!$G$2:$G$2594,K1051)</f>
        <v>0</v>
      </c>
      <c r="K1051" s="4" t="n">
        <v>2228</v>
      </c>
    </row>
    <row r="1052" customFormat="false" ht="15" hidden="false" customHeight="false" outlineLevel="0" collapsed="false">
      <c r="A1052" s="4" t="n">
        <v>1051</v>
      </c>
      <c r="B1052" s="4" t="s">
        <v>1724</v>
      </c>
      <c r="C1052" s="4" t="n">
        <v>1932</v>
      </c>
      <c r="D1052" s="4" t="s">
        <v>1725</v>
      </c>
      <c r="E1052" s="25" t="str">
        <f aca="false">IF(J1052=1,"✓","")</f>
        <v/>
      </c>
      <c r="F1052" s="4" t="n">
        <v>2</v>
      </c>
      <c r="G1052" s="4" t="n">
        <v>1</v>
      </c>
      <c r="H1052" s="4" t="s">
        <v>213</v>
      </c>
      <c r="I1052" s="4" t="s">
        <v>50</v>
      </c>
      <c r="J1052" s="4" t="n">
        <f aca="false">INDEX('Master List'!$G$2:$G$2594,K1052)</f>
        <v>0</v>
      </c>
      <c r="K1052" s="4" t="n">
        <v>1874</v>
      </c>
    </row>
    <row r="1053" customFormat="false" ht="15" hidden="false" customHeight="false" outlineLevel="0" collapsed="false">
      <c r="A1053" s="4" t="n">
        <v>1052</v>
      </c>
      <c r="B1053" s="4" t="s">
        <v>1726</v>
      </c>
      <c r="C1053" s="4" t="n">
        <v>1932</v>
      </c>
      <c r="D1053" s="4" t="s">
        <v>1727</v>
      </c>
      <c r="E1053" s="25" t="str">
        <f aca="false">IF(J1053=1,"✓","")</f>
        <v/>
      </c>
      <c r="F1053" s="4" t="n">
        <v>2</v>
      </c>
      <c r="G1053" s="4" t="n">
        <v>1</v>
      </c>
      <c r="H1053" s="4" t="s">
        <v>213</v>
      </c>
      <c r="I1053" s="4" t="s">
        <v>50</v>
      </c>
      <c r="J1053" s="4" t="n">
        <f aca="false">INDEX('Master List'!$G$2:$G$2594,K1053)</f>
        <v>0</v>
      </c>
      <c r="K1053" s="4" t="n">
        <v>1170</v>
      </c>
    </row>
    <row r="1054" customFormat="false" ht="15" hidden="false" customHeight="false" outlineLevel="0" collapsed="false">
      <c r="A1054" s="4" t="n">
        <v>1053</v>
      </c>
      <c r="B1054" s="4" t="s">
        <v>1728</v>
      </c>
      <c r="C1054" s="4" t="n">
        <v>1932</v>
      </c>
      <c r="D1054" s="4" t="s">
        <v>246</v>
      </c>
      <c r="E1054" s="25" t="str">
        <f aca="false">IF(J1054=1,"✓","")</f>
        <v/>
      </c>
      <c r="F1054" s="4" t="n">
        <v>2</v>
      </c>
      <c r="G1054" s="4" t="n">
        <v>1</v>
      </c>
      <c r="H1054" s="4" t="s">
        <v>213</v>
      </c>
      <c r="I1054" s="4" t="s">
        <v>51</v>
      </c>
      <c r="J1054" s="4" t="n">
        <f aca="false">INDEX('Master List'!$G$2:$G$2594,K1054)</f>
        <v>0</v>
      </c>
      <c r="K1054" s="4" t="n">
        <v>2420</v>
      </c>
    </row>
    <row r="1055" customFormat="false" ht="15" hidden="false" customHeight="false" outlineLevel="0" collapsed="false">
      <c r="A1055" s="4" t="n">
        <v>1054</v>
      </c>
      <c r="B1055" s="4" t="s">
        <v>1729</v>
      </c>
      <c r="C1055" s="4" t="n">
        <v>1932</v>
      </c>
      <c r="D1055" s="4" t="s">
        <v>1730</v>
      </c>
      <c r="E1055" s="25" t="str">
        <f aca="false">IF(J1055=1,"✓","")</f>
        <v/>
      </c>
      <c r="F1055" s="4" t="n">
        <v>2</v>
      </c>
      <c r="G1055" s="4" t="n">
        <v>1</v>
      </c>
      <c r="H1055" s="4" t="s">
        <v>213</v>
      </c>
      <c r="I1055" s="4" t="s">
        <v>52</v>
      </c>
      <c r="J1055" s="4" t="n">
        <f aca="false">INDEX('Master List'!$G$2:$G$2594,K1055)</f>
        <v>0</v>
      </c>
      <c r="K1055" s="4" t="n">
        <v>1556</v>
      </c>
    </row>
    <row r="1056" customFormat="false" ht="15" hidden="false" customHeight="false" outlineLevel="0" collapsed="false">
      <c r="A1056" s="4" t="n">
        <v>1055</v>
      </c>
      <c r="B1056" s="4" t="s">
        <v>1731</v>
      </c>
      <c r="C1056" s="4" t="n">
        <v>1932</v>
      </c>
      <c r="D1056" s="4" t="s">
        <v>1432</v>
      </c>
      <c r="E1056" s="25" t="str">
        <f aca="false">IF(J1056=1,"✓","")</f>
        <v/>
      </c>
      <c r="F1056" s="4" t="n">
        <v>2</v>
      </c>
      <c r="G1056" s="4" t="n">
        <v>1</v>
      </c>
      <c r="H1056" s="4" t="s">
        <v>213</v>
      </c>
      <c r="I1056" s="4" t="s">
        <v>52</v>
      </c>
      <c r="J1056" s="4" t="n">
        <f aca="false">INDEX('Master List'!$G$2:$G$2594,K1056)</f>
        <v>0</v>
      </c>
      <c r="K1056" s="4" t="n">
        <v>1656</v>
      </c>
    </row>
    <row r="1057" customFormat="false" ht="15" hidden="false" customHeight="false" outlineLevel="0" collapsed="false">
      <c r="A1057" s="4" t="n">
        <v>1056</v>
      </c>
      <c r="B1057" s="4" t="s">
        <v>1732</v>
      </c>
      <c r="C1057" s="4" t="n">
        <v>1932</v>
      </c>
      <c r="D1057" s="4" t="s">
        <v>1733</v>
      </c>
      <c r="E1057" s="25" t="str">
        <f aca="false">IF(J1057=1,"✓","")</f>
        <v/>
      </c>
      <c r="F1057" s="4" t="n">
        <v>2</v>
      </c>
      <c r="G1057" s="4" t="n">
        <v>1</v>
      </c>
      <c r="H1057" s="4" t="s">
        <v>213</v>
      </c>
      <c r="I1057" s="4" t="s">
        <v>52</v>
      </c>
      <c r="J1057" s="4" t="n">
        <f aca="false">INDEX('Master List'!$G$2:$G$2594,K1057)</f>
        <v>0</v>
      </c>
      <c r="K1057" s="4" t="n">
        <v>2508</v>
      </c>
    </row>
    <row r="1058" customFormat="false" ht="15" hidden="false" customHeight="false" outlineLevel="0" collapsed="false">
      <c r="A1058" s="4" t="n">
        <v>1057</v>
      </c>
      <c r="B1058" s="4" t="s">
        <v>1734</v>
      </c>
      <c r="C1058" s="4" t="n">
        <v>1932</v>
      </c>
      <c r="D1058" s="4" t="s">
        <v>1735</v>
      </c>
      <c r="E1058" s="25" t="str">
        <f aca="false">IF(J1058=1,"✓","")</f>
        <v/>
      </c>
      <c r="F1058" s="4" t="n">
        <v>2</v>
      </c>
      <c r="G1058" s="4" t="n">
        <v>1</v>
      </c>
      <c r="H1058" s="4" t="s">
        <v>213</v>
      </c>
      <c r="I1058" s="4" t="s">
        <v>52</v>
      </c>
      <c r="J1058" s="4" t="n">
        <f aca="false">INDEX('Master List'!$G$2:$G$2594,K1058)</f>
        <v>0</v>
      </c>
      <c r="K1058" s="4" t="n">
        <v>1062</v>
      </c>
    </row>
    <row r="1059" customFormat="false" ht="15" hidden="false" customHeight="false" outlineLevel="0" collapsed="false">
      <c r="A1059" s="4" t="n">
        <v>1058</v>
      </c>
      <c r="B1059" s="4" t="s">
        <v>1736</v>
      </c>
      <c r="C1059" s="4" t="n">
        <v>1932</v>
      </c>
      <c r="D1059" s="4" t="s">
        <v>1737</v>
      </c>
      <c r="E1059" s="25" t="str">
        <f aca="false">IF(J1059=1,"✓","")</f>
        <v/>
      </c>
      <c r="F1059" s="4" t="n">
        <v>2</v>
      </c>
      <c r="G1059" s="4" t="n">
        <v>1</v>
      </c>
      <c r="H1059" s="4" t="s">
        <v>213</v>
      </c>
      <c r="I1059" s="4" t="s">
        <v>52</v>
      </c>
      <c r="J1059" s="4" t="n">
        <f aca="false">INDEX('Master List'!$G$2:$G$2594,K1059)</f>
        <v>0</v>
      </c>
      <c r="K1059" s="4" t="n">
        <v>291</v>
      </c>
    </row>
    <row r="1060" customFormat="false" ht="15" hidden="false" customHeight="false" outlineLevel="0" collapsed="false">
      <c r="A1060" s="4" t="n">
        <v>1059</v>
      </c>
      <c r="B1060" s="4" t="s">
        <v>1738</v>
      </c>
      <c r="C1060" s="4" t="n">
        <v>1932</v>
      </c>
      <c r="D1060" s="4" t="s">
        <v>1739</v>
      </c>
      <c r="E1060" s="25" t="str">
        <f aca="false">IF(J1060=1,"✓","")</f>
        <v/>
      </c>
      <c r="F1060" s="4" t="n">
        <v>2</v>
      </c>
      <c r="G1060" s="4" t="n">
        <v>1</v>
      </c>
      <c r="H1060" s="4" t="s">
        <v>213</v>
      </c>
      <c r="I1060" s="4" t="s">
        <v>56</v>
      </c>
      <c r="J1060" s="4" t="n">
        <f aca="false">INDEX('Master List'!$G$2:$G$2594,K1060)</f>
        <v>0</v>
      </c>
      <c r="K1060" s="4" t="n">
        <v>300</v>
      </c>
    </row>
    <row r="1061" customFormat="false" ht="15" hidden="false" customHeight="false" outlineLevel="0" collapsed="false">
      <c r="A1061" s="4" t="n">
        <v>1060</v>
      </c>
      <c r="B1061" s="4" t="s">
        <v>1740</v>
      </c>
      <c r="C1061" s="4" t="n">
        <v>1933</v>
      </c>
      <c r="D1061" s="4" t="s">
        <v>564</v>
      </c>
      <c r="E1061" s="25" t="str">
        <f aca="false">IF(J1061=1,"✓","")</f>
        <v/>
      </c>
      <c r="F1061" s="4" t="n">
        <v>2</v>
      </c>
      <c r="G1061" s="4" t="n">
        <v>1</v>
      </c>
      <c r="H1061" s="4" t="s">
        <v>213</v>
      </c>
      <c r="I1061" s="4" t="s">
        <v>50</v>
      </c>
      <c r="J1061" s="4" t="n">
        <f aca="false">INDEX('Master List'!$G$2:$G$2594,K1061)</f>
        <v>0</v>
      </c>
      <c r="K1061" s="4" t="n">
        <v>1027</v>
      </c>
    </row>
    <row r="1062" customFormat="false" ht="15" hidden="false" customHeight="false" outlineLevel="0" collapsed="false">
      <c r="A1062" s="4" t="n">
        <v>1061</v>
      </c>
      <c r="B1062" s="4" t="s">
        <v>1741</v>
      </c>
      <c r="C1062" s="4" t="n">
        <v>1933</v>
      </c>
      <c r="D1062" s="4" t="s">
        <v>1742</v>
      </c>
      <c r="E1062" s="25" t="str">
        <f aca="false">IF(J1062=1,"✓","")</f>
        <v/>
      </c>
      <c r="F1062" s="4" t="n">
        <v>2</v>
      </c>
      <c r="G1062" s="4" t="n">
        <v>1</v>
      </c>
      <c r="H1062" s="4" t="s">
        <v>213</v>
      </c>
      <c r="I1062" s="4" t="s">
        <v>50</v>
      </c>
      <c r="J1062" s="4" t="n">
        <f aca="false">INDEX('Master List'!$G$2:$G$2594,K1062)</f>
        <v>0</v>
      </c>
      <c r="K1062" s="4" t="n">
        <v>727</v>
      </c>
    </row>
    <row r="1063" customFormat="false" ht="15" hidden="false" customHeight="false" outlineLevel="0" collapsed="false">
      <c r="A1063" s="4" t="n">
        <v>1062</v>
      </c>
      <c r="B1063" s="4" t="s">
        <v>1743</v>
      </c>
      <c r="C1063" s="4" t="n">
        <v>1933</v>
      </c>
      <c r="D1063" s="4" t="s">
        <v>348</v>
      </c>
      <c r="E1063" s="25" t="str">
        <f aca="false">IF(J1063=1,"✓","")</f>
        <v/>
      </c>
      <c r="F1063" s="4" t="n">
        <v>2</v>
      </c>
      <c r="G1063" s="4" t="n">
        <v>1</v>
      </c>
      <c r="H1063" s="4" t="s">
        <v>213</v>
      </c>
      <c r="I1063" s="4" t="s">
        <v>50</v>
      </c>
      <c r="J1063" s="4" t="n">
        <f aca="false">INDEX('Master List'!$G$2:$G$2594,K1063)</f>
        <v>0</v>
      </c>
      <c r="K1063" s="4" t="n">
        <v>613</v>
      </c>
    </row>
    <row r="1064" customFormat="false" ht="15" hidden="false" customHeight="false" outlineLevel="0" collapsed="false">
      <c r="A1064" s="4" t="n">
        <v>1063</v>
      </c>
      <c r="B1064" s="4" t="s">
        <v>1744</v>
      </c>
      <c r="C1064" s="4" t="n">
        <v>1933</v>
      </c>
      <c r="D1064" s="4" t="s">
        <v>732</v>
      </c>
      <c r="E1064" s="25" t="str">
        <f aca="false">IF(J1064=1,"✓","")</f>
        <v/>
      </c>
      <c r="F1064" s="4" t="n">
        <v>2</v>
      </c>
      <c r="G1064" s="4" t="n">
        <v>1</v>
      </c>
      <c r="H1064" s="4" t="s">
        <v>213</v>
      </c>
      <c r="I1064" s="4" t="s">
        <v>51</v>
      </c>
      <c r="J1064" s="4" t="n">
        <f aca="false">INDEX('Master List'!$G$2:$G$2594,K1064)</f>
        <v>0</v>
      </c>
      <c r="K1064" s="4" t="n">
        <v>2587</v>
      </c>
    </row>
    <row r="1065" customFormat="false" ht="15" hidden="false" customHeight="false" outlineLevel="0" collapsed="false">
      <c r="A1065" s="4" t="n">
        <v>1064</v>
      </c>
      <c r="B1065" s="4" t="s">
        <v>1745</v>
      </c>
      <c r="C1065" s="4" t="n">
        <v>1933</v>
      </c>
      <c r="D1065" s="4" t="s">
        <v>1432</v>
      </c>
      <c r="E1065" s="25" t="str">
        <f aca="false">IF(J1065=1,"✓","")</f>
        <v/>
      </c>
      <c r="F1065" s="4" t="n">
        <v>2</v>
      </c>
      <c r="G1065" s="4" t="n">
        <v>1</v>
      </c>
      <c r="H1065" s="4" t="s">
        <v>213</v>
      </c>
      <c r="I1065" s="4" t="s">
        <v>52</v>
      </c>
      <c r="J1065" s="4" t="n">
        <f aca="false">INDEX('Master List'!$G$2:$G$2594,K1065)</f>
        <v>0</v>
      </c>
      <c r="K1065" s="4" t="n">
        <v>1162</v>
      </c>
    </row>
    <row r="1066" customFormat="false" ht="15" hidden="false" customHeight="false" outlineLevel="0" collapsed="false">
      <c r="A1066" s="4" t="n">
        <v>1065</v>
      </c>
      <c r="B1066" s="4" t="s">
        <v>1746</v>
      </c>
      <c r="C1066" s="4" t="n">
        <v>1933</v>
      </c>
      <c r="D1066" s="4" t="s">
        <v>1747</v>
      </c>
      <c r="E1066" s="25" t="str">
        <f aca="false">IF(J1066=1,"✓","")</f>
        <v/>
      </c>
      <c r="F1066" s="4" t="n">
        <v>2</v>
      </c>
      <c r="G1066" s="4" t="n">
        <v>1</v>
      </c>
      <c r="H1066" s="4" t="s">
        <v>213</v>
      </c>
      <c r="I1066" s="4" t="s">
        <v>52</v>
      </c>
      <c r="J1066" s="4" t="n">
        <f aca="false">INDEX('Master List'!$G$2:$G$2594,K1066)</f>
        <v>0</v>
      </c>
      <c r="K1066" s="4" t="n">
        <v>26</v>
      </c>
    </row>
    <row r="1067" customFormat="false" ht="15" hidden="false" customHeight="false" outlineLevel="0" collapsed="false">
      <c r="A1067" s="4" t="n">
        <v>1066</v>
      </c>
      <c r="B1067" s="4" t="s">
        <v>1748</v>
      </c>
      <c r="C1067" s="4" t="n">
        <v>1933</v>
      </c>
      <c r="D1067" s="4" t="s">
        <v>909</v>
      </c>
      <c r="E1067" s="25" t="str">
        <f aca="false">IF(J1067=1,"✓","")</f>
        <v/>
      </c>
      <c r="F1067" s="4" t="n">
        <v>2</v>
      </c>
      <c r="G1067" s="4" t="n">
        <v>1</v>
      </c>
      <c r="H1067" s="4" t="s">
        <v>213</v>
      </c>
      <c r="I1067" s="4" t="s">
        <v>52</v>
      </c>
      <c r="J1067" s="4" t="n">
        <f aca="false">INDEX('Master List'!$G$2:$G$2594,K1067)</f>
        <v>0</v>
      </c>
      <c r="K1067" s="4" t="n">
        <v>915</v>
      </c>
    </row>
    <row r="1068" customFormat="false" ht="15" hidden="false" customHeight="false" outlineLevel="0" collapsed="false">
      <c r="A1068" s="4" t="n">
        <v>1067</v>
      </c>
      <c r="B1068" s="4" t="s">
        <v>1749</v>
      </c>
      <c r="C1068" s="4" t="n">
        <v>1933</v>
      </c>
      <c r="D1068" s="4" t="s">
        <v>1747</v>
      </c>
      <c r="E1068" s="25" t="str">
        <f aca="false">IF(J1068=1,"✓","")</f>
        <v/>
      </c>
      <c r="F1068" s="4" t="n">
        <v>2</v>
      </c>
      <c r="G1068" s="4" t="n">
        <v>1</v>
      </c>
      <c r="H1068" s="4" t="s">
        <v>213</v>
      </c>
      <c r="I1068" s="4" t="s">
        <v>52</v>
      </c>
      <c r="J1068" s="4" t="n">
        <f aca="false">INDEX('Master List'!$G$2:$G$2594,K1068)</f>
        <v>0</v>
      </c>
      <c r="K1068" s="4" t="n">
        <v>830</v>
      </c>
    </row>
    <row r="1069" customFormat="false" ht="15" hidden="false" customHeight="false" outlineLevel="0" collapsed="false">
      <c r="A1069" s="4" t="n">
        <v>1068</v>
      </c>
      <c r="B1069" s="4" t="s">
        <v>1750</v>
      </c>
      <c r="C1069" s="4" t="n">
        <v>1933</v>
      </c>
      <c r="D1069" s="4" t="s">
        <v>402</v>
      </c>
      <c r="E1069" s="25" t="str">
        <f aca="false">IF(J1069=1,"✓","")</f>
        <v/>
      </c>
      <c r="F1069" s="4" t="n">
        <v>2</v>
      </c>
      <c r="G1069" s="4" t="n">
        <v>1</v>
      </c>
      <c r="H1069" s="4" t="s">
        <v>213</v>
      </c>
      <c r="I1069" s="4" t="s">
        <v>52</v>
      </c>
      <c r="J1069" s="4" t="n">
        <f aca="false">INDEX('Master List'!$G$2:$G$2594,K1069)</f>
        <v>0</v>
      </c>
      <c r="K1069" s="4" t="n">
        <v>1290</v>
      </c>
    </row>
    <row r="1070" customFormat="false" ht="15" hidden="false" customHeight="false" outlineLevel="0" collapsed="false">
      <c r="A1070" s="4" t="n">
        <v>1069</v>
      </c>
      <c r="B1070" s="4" t="s">
        <v>1751</v>
      </c>
      <c r="C1070" s="4" t="n">
        <v>1934</v>
      </c>
      <c r="D1070" s="4" t="s">
        <v>1752</v>
      </c>
      <c r="E1070" s="25" t="str">
        <f aca="false">IF(J1070=1,"✓","")</f>
        <v/>
      </c>
      <c r="F1070" s="4" t="n">
        <v>2</v>
      </c>
      <c r="G1070" s="4" t="n">
        <v>1</v>
      </c>
      <c r="H1070" s="4" t="s">
        <v>213</v>
      </c>
      <c r="I1070" s="4" t="s">
        <v>52</v>
      </c>
      <c r="J1070" s="4" t="n">
        <f aca="false">INDEX('Master List'!$G$2:$G$2594,K1070)</f>
        <v>0</v>
      </c>
      <c r="K1070" s="4" t="n">
        <v>264</v>
      </c>
    </row>
    <row r="1071" customFormat="false" ht="15" hidden="false" customHeight="false" outlineLevel="0" collapsed="false">
      <c r="A1071" s="4" t="n">
        <v>1070</v>
      </c>
      <c r="B1071" s="4" t="s">
        <v>1753</v>
      </c>
      <c r="C1071" s="4" t="n">
        <v>1934</v>
      </c>
      <c r="D1071" s="4" t="s">
        <v>1735</v>
      </c>
      <c r="E1071" s="25" t="str">
        <f aca="false">IF(J1071=1,"✓","")</f>
        <v/>
      </c>
      <c r="F1071" s="4" t="n">
        <v>2</v>
      </c>
      <c r="G1071" s="4" t="n">
        <v>1</v>
      </c>
      <c r="H1071" s="4" t="s">
        <v>213</v>
      </c>
      <c r="I1071" s="4" t="s">
        <v>52</v>
      </c>
      <c r="J1071" s="4" t="n">
        <f aca="false">INDEX('Master List'!$G$2:$G$2594,K1071)</f>
        <v>0</v>
      </c>
      <c r="K1071" s="4" t="n">
        <v>1177</v>
      </c>
    </row>
    <row r="1072" customFormat="false" ht="15" hidden="false" customHeight="false" outlineLevel="0" collapsed="false">
      <c r="A1072" s="4" t="n">
        <v>1071</v>
      </c>
      <c r="B1072" s="4" t="s">
        <v>1754</v>
      </c>
      <c r="C1072" s="4" t="n">
        <v>1935</v>
      </c>
      <c r="D1072" s="4" t="s">
        <v>335</v>
      </c>
      <c r="E1072" s="25" t="str">
        <f aca="false">IF(J1072=1,"✓","")</f>
        <v/>
      </c>
      <c r="F1072" s="4" t="n">
        <v>2</v>
      </c>
      <c r="G1072" s="4" t="n">
        <v>1</v>
      </c>
      <c r="H1072" s="4" t="s">
        <v>213</v>
      </c>
      <c r="I1072" s="4" t="s">
        <v>52</v>
      </c>
      <c r="J1072" s="4" t="n">
        <f aca="false">INDEX('Master List'!$G$2:$G$2594,K1072)</f>
        <v>0</v>
      </c>
      <c r="K1072" s="4" t="n">
        <v>393</v>
      </c>
    </row>
    <row r="1073" customFormat="false" ht="15" hidden="false" customHeight="false" outlineLevel="0" collapsed="false">
      <c r="A1073" s="4" t="n">
        <v>1072</v>
      </c>
      <c r="B1073" s="4" t="s">
        <v>1755</v>
      </c>
      <c r="C1073" s="4" t="n">
        <v>1935</v>
      </c>
      <c r="D1073" s="4" t="s">
        <v>1739</v>
      </c>
      <c r="E1073" s="25" t="str">
        <f aca="false">IF(J1073=1,"✓","")</f>
        <v/>
      </c>
      <c r="F1073" s="4" t="n">
        <v>2</v>
      </c>
      <c r="G1073" s="4" t="n">
        <v>1</v>
      </c>
      <c r="H1073" s="4" t="s">
        <v>213</v>
      </c>
      <c r="I1073" s="4" t="s">
        <v>52</v>
      </c>
      <c r="J1073" s="4" t="n">
        <f aca="false">INDEX('Master List'!$G$2:$G$2594,K1073)</f>
        <v>0</v>
      </c>
      <c r="K1073" s="4" t="n">
        <v>2371</v>
      </c>
    </row>
    <row r="1074" customFormat="false" ht="15" hidden="false" customHeight="false" outlineLevel="0" collapsed="false">
      <c r="A1074" s="4" t="n">
        <v>1073</v>
      </c>
      <c r="B1074" s="4" t="s">
        <v>1756</v>
      </c>
      <c r="C1074" s="4" t="n">
        <v>1936</v>
      </c>
      <c r="D1074" s="4" t="s">
        <v>1757</v>
      </c>
      <c r="E1074" s="25" t="str">
        <f aca="false">IF(J1074=1,"✓","")</f>
        <v/>
      </c>
      <c r="F1074" s="4" t="n">
        <v>2</v>
      </c>
      <c r="G1074" s="4" t="n">
        <v>1</v>
      </c>
      <c r="H1074" s="4" t="s">
        <v>213</v>
      </c>
      <c r="I1074" s="4" t="s">
        <v>52</v>
      </c>
      <c r="J1074" s="4" t="n">
        <f aca="false">INDEX('Master List'!$G$2:$G$2594,K1074)</f>
        <v>0</v>
      </c>
      <c r="K1074" s="4" t="n">
        <v>2280</v>
      </c>
    </row>
    <row r="1075" customFormat="false" ht="15" hidden="false" customHeight="false" outlineLevel="0" collapsed="false">
      <c r="A1075" s="4" t="n">
        <v>1074</v>
      </c>
      <c r="B1075" s="4" t="s">
        <v>1758</v>
      </c>
      <c r="C1075" s="4" t="n">
        <v>1936</v>
      </c>
      <c r="D1075" s="4" t="s">
        <v>1759</v>
      </c>
      <c r="E1075" s="25" t="str">
        <f aca="false">IF(J1075=1,"✓","")</f>
        <v/>
      </c>
      <c r="F1075" s="4" t="n">
        <v>2</v>
      </c>
      <c r="G1075" s="4" t="n">
        <v>1</v>
      </c>
      <c r="H1075" s="4" t="s">
        <v>213</v>
      </c>
      <c r="I1075" s="4" t="s">
        <v>52</v>
      </c>
      <c r="J1075" s="4" t="n">
        <f aca="false">INDEX('Master List'!$G$2:$G$2594,K1075)</f>
        <v>0</v>
      </c>
      <c r="K1075" s="4" t="n">
        <v>1573</v>
      </c>
    </row>
    <row r="1076" customFormat="false" ht="15" hidden="false" customHeight="false" outlineLevel="0" collapsed="false">
      <c r="A1076" s="4" t="n">
        <v>1075</v>
      </c>
      <c r="B1076" s="4" t="s">
        <v>1760</v>
      </c>
      <c r="C1076" s="4" t="n">
        <v>1936</v>
      </c>
      <c r="D1076" s="4" t="s">
        <v>1761</v>
      </c>
      <c r="E1076" s="25" t="str">
        <f aca="false">IF(J1076=1,"✓","")</f>
        <v/>
      </c>
      <c r="F1076" s="4" t="n">
        <v>2</v>
      </c>
      <c r="G1076" s="4" t="n">
        <v>1</v>
      </c>
      <c r="H1076" s="4" t="s">
        <v>213</v>
      </c>
      <c r="I1076" s="4" t="s">
        <v>52</v>
      </c>
      <c r="J1076" s="4" t="n">
        <f aca="false">INDEX('Master List'!$G$2:$G$2594,K1076)</f>
        <v>0</v>
      </c>
      <c r="K1076" s="4" t="n">
        <v>1603</v>
      </c>
    </row>
    <row r="1077" customFormat="false" ht="15" hidden="false" customHeight="false" outlineLevel="0" collapsed="false">
      <c r="A1077" s="4" t="n">
        <v>1076</v>
      </c>
      <c r="B1077" s="4" t="s">
        <v>1762</v>
      </c>
      <c r="C1077" s="4" t="n">
        <v>1936</v>
      </c>
      <c r="D1077" s="4" t="s">
        <v>176</v>
      </c>
      <c r="E1077" s="25" t="str">
        <f aca="false">IF(J1077=1,"✓","")</f>
        <v/>
      </c>
      <c r="F1077" s="4" t="n">
        <v>2</v>
      </c>
      <c r="G1077" s="4" t="n">
        <v>1</v>
      </c>
      <c r="H1077" s="4" t="s">
        <v>213</v>
      </c>
      <c r="I1077" s="4" t="s">
        <v>53</v>
      </c>
      <c r="J1077" s="4" t="n">
        <f aca="false">INDEX('Master List'!$G$2:$G$2594,K1077)</f>
        <v>0</v>
      </c>
      <c r="K1077" s="4" t="n">
        <v>1548</v>
      </c>
    </row>
    <row r="1078" customFormat="false" ht="15" hidden="false" customHeight="false" outlineLevel="0" collapsed="false">
      <c r="A1078" s="4" t="n">
        <v>1077</v>
      </c>
      <c r="B1078" s="4" t="s">
        <v>1763</v>
      </c>
      <c r="C1078" s="4" t="n">
        <v>1936</v>
      </c>
      <c r="D1078" s="4" t="s">
        <v>234</v>
      </c>
      <c r="E1078" s="25" t="str">
        <f aca="false">IF(J1078=1,"✓","")</f>
        <v/>
      </c>
      <c r="F1078" s="4" t="n">
        <v>2</v>
      </c>
      <c r="G1078" s="4" t="n">
        <v>1</v>
      </c>
      <c r="H1078" s="4" t="s">
        <v>213</v>
      </c>
      <c r="I1078" s="4" t="s">
        <v>53</v>
      </c>
      <c r="J1078" s="4" t="n">
        <f aca="false">INDEX('Master List'!$G$2:$G$2594,K1078)</f>
        <v>0</v>
      </c>
      <c r="K1078" s="4" t="n">
        <v>573</v>
      </c>
    </row>
    <row r="1079" customFormat="false" ht="15" hidden="false" customHeight="false" outlineLevel="0" collapsed="false">
      <c r="A1079" s="4" t="n">
        <v>1078</v>
      </c>
      <c r="B1079" s="4" t="s">
        <v>1764</v>
      </c>
      <c r="C1079" s="4" t="n">
        <v>1936</v>
      </c>
      <c r="D1079" s="4" t="s">
        <v>234</v>
      </c>
      <c r="E1079" s="25" t="str">
        <f aca="false">IF(J1079=1,"✓","")</f>
        <v/>
      </c>
      <c r="F1079" s="4" t="n">
        <v>2</v>
      </c>
      <c r="G1079" s="4" t="n">
        <v>1</v>
      </c>
      <c r="H1079" s="4" t="s">
        <v>213</v>
      </c>
      <c r="I1079" s="4" t="s">
        <v>53</v>
      </c>
      <c r="J1079" s="4" t="n">
        <f aca="false">INDEX('Master List'!$G$2:$G$2594,K1079)</f>
        <v>0</v>
      </c>
      <c r="K1079" s="4" t="n">
        <v>536</v>
      </c>
    </row>
    <row r="1080" customFormat="false" ht="15" hidden="false" customHeight="false" outlineLevel="0" collapsed="false">
      <c r="A1080" s="4" t="n">
        <v>1079</v>
      </c>
      <c r="B1080" s="4" t="s">
        <v>1765</v>
      </c>
      <c r="C1080" s="4" t="n">
        <v>1936</v>
      </c>
      <c r="D1080" s="4" t="s">
        <v>1766</v>
      </c>
      <c r="E1080" s="25" t="str">
        <f aca="false">IF(J1080=1,"✓","")</f>
        <v/>
      </c>
      <c r="F1080" s="4" t="n">
        <v>2</v>
      </c>
      <c r="G1080" s="4" t="n">
        <v>1</v>
      </c>
      <c r="H1080" s="4" t="s">
        <v>213</v>
      </c>
      <c r="I1080" s="4" t="s">
        <v>54</v>
      </c>
      <c r="J1080" s="4" t="n">
        <f aca="false">INDEX('Master List'!$G$2:$G$2594,K1080)</f>
        <v>0</v>
      </c>
      <c r="K1080" s="4" t="n">
        <v>1881</v>
      </c>
    </row>
    <row r="1081" customFormat="false" ht="15" hidden="false" customHeight="false" outlineLevel="0" collapsed="false">
      <c r="A1081" s="4" t="n">
        <v>1080</v>
      </c>
      <c r="B1081" s="4" t="s">
        <v>1767</v>
      </c>
      <c r="C1081" s="4" t="n">
        <v>1936</v>
      </c>
      <c r="D1081" s="4" t="s">
        <v>1768</v>
      </c>
      <c r="E1081" s="25" t="str">
        <f aca="false">IF(J1081=1,"✓","")</f>
        <v/>
      </c>
      <c r="F1081" s="4" t="n">
        <v>2</v>
      </c>
      <c r="G1081" s="4" t="n">
        <v>1</v>
      </c>
      <c r="H1081" s="4" t="s">
        <v>213</v>
      </c>
      <c r="I1081" s="4" t="s">
        <v>55</v>
      </c>
      <c r="J1081" s="4" t="n">
        <f aca="false">INDEX('Master List'!$G$2:$G$2594,K1081)</f>
        <v>0</v>
      </c>
      <c r="K1081" s="4" t="n">
        <v>2167</v>
      </c>
    </row>
    <row r="1082" customFormat="false" ht="15" hidden="false" customHeight="false" outlineLevel="0" collapsed="false">
      <c r="A1082" s="4" t="n">
        <v>1081</v>
      </c>
      <c r="B1082" s="4" t="s">
        <v>1769</v>
      </c>
      <c r="C1082" s="4" t="n">
        <v>1936</v>
      </c>
      <c r="D1082" s="4" t="s">
        <v>1770</v>
      </c>
      <c r="E1082" s="25" t="str">
        <f aca="false">IF(J1082=1,"✓","")</f>
        <v/>
      </c>
      <c r="F1082" s="4" t="n">
        <v>2</v>
      </c>
      <c r="G1082" s="4" t="n">
        <v>1</v>
      </c>
      <c r="H1082" s="4" t="s">
        <v>213</v>
      </c>
      <c r="I1082" s="4" t="s">
        <v>57</v>
      </c>
      <c r="J1082" s="4" t="n">
        <f aca="false">INDEX('Master List'!$G$2:$G$2594,K1082)</f>
        <v>0</v>
      </c>
      <c r="K1082" s="4" t="n">
        <v>1879</v>
      </c>
    </row>
    <row r="1083" customFormat="false" ht="15" hidden="false" customHeight="false" outlineLevel="0" collapsed="false">
      <c r="A1083" s="4" t="n">
        <v>1082</v>
      </c>
      <c r="B1083" s="4" t="s">
        <v>1771</v>
      </c>
      <c r="C1083" s="4" t="n">
        <v>1937</v>
      </c>
      <c r="D1083" s="4" t="s">
        <v>1772</v>
      </c>
      <c r="E1083" s="25" t="str">
        <f aca="false">IF(J1083=1,"✓","")</f>
        <v/>
      </c>
      <c r="F1083" s="4" t="n">
        <v>2</v>
      </c>
      <c r="G1083" s="4" t="n">
        <v>1</v>
      </c>
      <c r="H1083" s="4" t="s">
        <v>213</v>
      </c>
      <c r="I1083" s="4" t="s">
        <v>51</v>
      </c>
      <c r="J1083" s="4" t="n">
        <f aca="false">INDEX('Master List'!$G$2:$G$2594,K1083)</f>
        <v>0</v>
      </c>
      <c r="K1083" s="4" t="n">
        <v>1742</v>
      </c>
    </row>
    <row r="1084" customFormat="false" ht="15" hidden="false" customHeight="false" outlineLevel="0" collapsed="false">
      <c r="A1084" s="4" t="n">
        <v>1083</v>
      </c>
      <c r="B1084" s="4" t="s">
        <v>1773</v>
      </c>
      <c r="C1084" s="4" t="n">
        <v>1937</v>
      </c>
      <c r="D1084" s="4" t="s">
        <v>450</v>
      </c>
      <c r="E1084" s="25" t="str">
        <f aca="false">IF(J1084=1,"✓","")</f>
        <v/>
      </c>
      <c r="F1084" s="4" t="n">
        <v>2</v>
      </c>
      <c r="G1084" s="4" t="n">
        <v>1</v>
      </c>
      <c r="H1084" s="4" t="s">
        <v>213</v>
      </c>
      <c r="I1084" s="4" t="s">
        <v>55</v>
      </c>
      <c r="J1084" s="4" t="n">
        <f aca="false">INDEX('Master List'!$G$2:$G$2594,K1084)</f>
        <v>0</v>
      </c>
      <c r="K1084" s="4" t="n">
        <v>1416</v>
      </c>
    </row>
    <row r="1085" customFormat="false" ht="15" hidden="false" customHeight="false" outlineLevel="0" collapsed="false">
      <c r="A1085" s="4" t="n">
        <v>1084</v>
      </c>
      <c r="B1085" s="4" t="s">
        <v>1774</v>
      </c>
      <c r="C1085" s="4" t="n">
        <v>1938</v>
      </c>
      <c r="D1085" s="4" t="s">
        <v>1775</v>
      </c>
      <c r="E1085" s="25" t="str">
        <f aca="false">IF(J1085=1,"✓","")</f>
        <v/>
      </c>
      <c r="F1085" s="4" t="n">
        <v>2</v>
      </c>
      <c r="G1085" s="4" t="n">
        <v>1</v>
      </c>
      <c r="H1085" s="4" t="s">
        <v>213</v>
      </c>
      <c r="I1085" s="4" t="s">
        <v>51</v>
      </c>
      <c r="J1085" s="4" t="n">
        <f aca="false">INDEX('Master List'!$G$2:$G$2594,K1085)</f>
        <v>0</v>
      </c>
      <c r="K1085" s="4" t="n">
        <v>1798</v>
      </c>
    </row>
    <row r="1086" customFormat="false" ht="15" hidden="false" customHeight="false" outlineLevel="0" collapsed="false">
      <c r="A1086" s="4" t="n">
        <v>1085</v>
      </c>
      <c r="B1086" s="4" t="s">
        <v>1776</v>
      </c>
      <c r="C1086" s="4" t="n">
        <v>1938</v>
      </c>
      <c r="D1086" s="4" t="s">
        <v>537</v>
      </c>
      <c r="E1086" s="25" t="str">
        <f aca="false">IF(J1086=1,"✓","")</f>
        <v/>
      </c>
      <c r="F1086" s="4" t="n">
        <v>2</v>
      </c>
      <c r="G1086" s="4" t="n">
        <v>1</v>
      </c>
      <c r="H1086" s="4" t="s">
        <v>213</v>
      </c>
      <c r="I1086" s="4" t="s">
        <v>52</v>
      </c>
      <c r="J1086" s="4" t="n">
        <f aca="false">INDEX('Master List'!$G$2:$G$2594,K1086)</f>
        <v>0</v>
      </c>
      <c r="K1086" s="4" t="n">
        <v>1050</v>
      </c>
    </row>
    <row r="1087" customFormat="false" ht="15" hidden="false" customHeight="false" outlineLevel="0" collapsed="false">
      <c r="A1087" s="4" t="n">
        <v>1086</v>
      </c>
      <c r="B1087" s="4" t="s">
        <v>1777</v>
      </c>
      <c r="C1087" s="4" t="n">
        <v>1938</v>
      </c>
      <c r="D1087" s="4" t="s">
        <v>335</v>
      </c>
      <c r="E1087" s="25" t="str">
        <f aca="false">IF(J1087=1,"✓","")</f>
        <v/>
      </c>
      <c r="F1087" s="4" t="n">
        <v>2</v>
      </c>
      <c r="G1087" s="4" t="n">
        <v>1</v>
      </c>
      <c r="H1087" s="4" t="s">
        <v>213</v>
      </c>
      <c r="I1087" s="4" t="s">
        <v>52</v>
      </c>
      <c r="J1087" s="4" t="n">
        <f aca="false">INDEX('Master List'!$G$2:$G$2594,K1087)</f>
        <v>0</v>
      </c>
      <c r="K1087" s="4" t="n">
        <v>107</v>
      </c>
    </row>
    <row r="1088" customFormat="false" ht="15" hidden="false" customHeight="false" outlineLevel="0" collapsed="false">
      <c r="A1088" s="4" t="n">
        <v>1087</v>
      </c>
      <c r="B1088" s="4" t="s">
        <v>1778</v>
      </c>
      <c r="C1088" s="4" t="n">
        <v>1938</v>
      </c>
      <c r="D1088" s="4" t="s">
        <v>162</v>
      </c>
      <c r="E1088" s="25" t="str">
        <f aca="false">IF(J1088=1,"✓","")</f>
        <v/>
      </c>
      <c r="F1088" s="4" t="n">
        <v>2</v>
      </c>
      <c r="G1088" s="4" t="n">
        <v>1</v>
      </c>
      <c r="H1088" s="4" t="s">
        <v>213</v>
      </c>
      <c r="I1088" s="4" t="s">
        <v>53</v>
      </c>
      <c r="J1088" s="4" t="n">
        <f aca="false">INDEX('Master List'!$G$2:$G$2594,K1088)</f>
        <v>0</v>
      </c>
      <c r="K1088" s="4" t="n">
        <v>1282</v>
      </c>
    </row>
    <row r="1089" customFormat="false" ht="15" hidden="false" customHeight="false" outlineLevel="0" collapsed="false">
      <c r="A1089" s="4" t="n">
        <v>1088</v>
      </c>
      <c r="B1089" s="4" t="s">
        <v>1779</v>
      </c>
      <c r="C1089" s="4" t="n">
        <v>1938</v>
      </c>
      <c r="D1089" s="4" t="s">
        <v>176</v>
      </c>
      <c r="E1089" s="25" t="str">
        <f aca="false">IF(J1089=1,"✓","")</f>
        <v/>
      </c>
      <c r="F1089" s="4" t="n">
        <v>2</v>
      </c>
      <c r="G1089" s="4" t="n">
        <v>1</v>
      </c>
      <c r="H1089" s="4" t="s">
        <v>213</v>
      </c>
      <c r="I1089" s="4" t="s">
        <v>53</v>
      </c>
      <c r="J1089" s="4" t="n">
        <f aca="false">INDEX('Master List'!$G$2:$G$2594,K1089)</f>
        <v>0</v>
      </c>
      <c r="K1089" s="4" t="n">
        <v>2571</v>
      </c>
    </row>
    <row r="1090" customFormat="false" ht="15" hidden="false" customHeight="false" outlineLevel="0" collapsed="false">
      <c r="A1090" s="4" t="n">
        <v>1089</v>
      </c>
      <c r="B1090" s="4" t="s">
        <v>1780</v>
      </c>
      <c r="C1090" s="4" t="n">
        <v>1938</v>
      </c>
      <c r="D1090" s="4" t="s">
        <v>232</v>
      </c>
      <c r="E1090" s="25" t="str">
        <f aca="false">IF(J1090=1,"✓","")</f>
        <v/>
      </c>
      <c r="F1090" s="4" t="n">
        <v>2</v>
      </c>
      <c r="G1090" s="4" t="n">
        <v>1</v>
      </c>
      <c r="H1090" s="4" t="s">
        <v>213</v>
      </c>
      <c r="I1090" s="4" t="s">
        <v>54</v>
      </c>
      <c r="J1090" s="4" t="n">
        <f aca="false">INDEX('Master List'!$G$2:$G$2594,K1090)</f>
        <v>0</v>
      </c>
      <c r="K1090" s="4" t="n">
        <v>61</v>
      </c>
    </row>
    <row r="1091" customFormat="false" ht="15" hidden="false" customHeight="false" outlineLevel="0" collapsed="false">
      <c r="A1091" s="4" t="n">
        <v>1090</v>
      </c>
      <c r="B1091" s="4" t="s">
        <v>1781</v>
      </c>
      <c r="C1091" s="4" t="n">
        <v>1939</v>
      </c>
      <c r="D1091" s="4" t="s">
        <v>1775</v>
      </c>
      <c r="E1091" s="25" t="str">
        <f aca="false">IF(J1091=1,"✓","")</f>
        <v/>
      </c>
      <c r="F1091" s="4" t="n">
        <v>2</v>
      </c>
      <c r="G1091" s="4" t="n">
        <v>1</v>
      </c>
      <c r="H1091" s="4" t="s">
        <v>213</v>
      </c>
      <c r="I1091" s="4" t="s">
        <v>51</v>
      </c>
      <c r="J1091" s="4" t="n">
        <f aca="false">INDEX('Master List'!$G$2:$G$2594,K1091)</f>
        <v>0</v>
      </c>
      <c r="K1091" s="4" t="n">
        <v>1218</v>
      </c>
    </row>
    <row r="1092" customFormat="false" ht="15" hidden="false" customHeight="false" outlineLevel="0" collapsed="false">
      <c r="A1092" s="4" t="n">
        <v>1091</v>
      </c>
      <c r="B1092" s="4" t="s">
        <v>1782</v>
      </c>
      <c r="C1092" s="4" t="n">
        <v>1939</v>
      </c>
      <c r="D1092" s="4" t="s">
        <v>205</v>
      </c>
      <c r="E1092" s="25" t="str">
        <f aca="false">IF(J1092=1,"✓","")</f>
        <v/>
      </c>
      <c r="F1092" s="4" t="n">
        <v>2</v>
      </c>
      <c r="G1092" s="4" t="n">
        <v>1</v>
      </c>
      <c r="H1092" s="4" t="s">
        <v>213</v>
      </c>
      <c r="I1092" s="4" t="s">
        <v>53</v>
      </c>
      <c r="J1092" s="4" t="n">
        <f aca="false">INDEX('Master List'!$G$2:$G$2594,K1092)</f>
        <v>0</v>
      </c>
      <c r="K1092" s="4" t="n">
        <v>2576</v>
      </c>
    </row>
    <row r="1093" customFormat="false" ht="15" hidden="false" customHeight="false" outlineLevel="0" collapsed="false">
      <c r="A1093" s="4" t="n">
        <v>1092</v>
      </c>
      <c r="B1093" s="4" t="s">
        <v>1783</v>
      </c>
      <c r="C1093" s="4" t="n">
        <v>1939</v>
      </c>
      <c r="D1093" s="4" t="s">
        <v>348</v>
      </c>
      <c r="E1093" s="25" t="str">
        <f aca="false">IF(J1093=1,"✓","")</f>
        <v/>
      </c>
      <c r="F1093" s="4" t="n">
        <v>2</v>
      </c>
      <c r="G1093" s="4" t="n">
        <v>1</v>
      </c>
      <c r="H1093" s="4" t="s">
        <v>213</v>
      </c>
      <c r="I1093" s="4" t="s">
        <v>53</v>
      </c>
      <c r="J1093" s="4" t="n">
        <f aca="false">INDEX('Master List'!$G$2:$G$2594,K1093)</f>
        <v>0</v>
      </c>
      <c r="K1093" s="4" t="n">
        <v>1618</v>
      </c>
    </row>
    <row r="1094" customFormat="false" ht="15" hidden="false" customHeight="false" outlineLevel="0" collapsed="false">
      <c r="A1094" s="4" t="n">
        <v>1093</v>
      </c>
      <c r="B1094" s="4" t="s">
        <v>1784</v>
      </c>
      <c r="C1094" s="4" t="n">
        <v>1939</v>
      </c>
      <c r="D1094" s="4" t="s">
        <v>734</v>
      </c>
      <c r="E1094" s="25" t="str">
        <f aca="false">IF(J1094=1,"✓","")</f>
        <v/>
      </c>
      <c r="F1094" s="4" t="n">
        <v>2</v>
      </c>
      <c r="G1094" s="4" t="n">
        <v>1</v>
      </c>
      <c r="H1094" s="4" t="s">
        <v>213</v>
      </c>
      <c r="I1094" s="4" t="s">
        <v>55</v>
      </c>
      <c r="J1094" s="4" t="n">
        <f aca="false">INDEX('Master List'!$G$2:$G$2594,K1094)</f>
        <v>0</v>
      </c>
      <c r="K1094" s="4" t="n">
        <v>934</v>
      </c>
    </row>
    <row r="1095" customFormat="false" ht="15" hidden="false" customHeight="false" outlineLevel="0" collapsed="false">
      <c r="A1095" s="4" t="n">
        <v>1094</v>
      </c>
      <c r="B1095" s="4" t="s">
        <v>1785</v>
      </c>
      <c r="C1095" s="4" t="n">
        <v>1940</v>
      </c>
      <c r="D1095" s="4" t="s">
        <v>344</v>
      </c>
      <c r="E1095" s="25" t="str">
        <f aca="false">IF(J1095=1,"✓","")</f>
        <v/>
      </c>
      <c r="F1095" s="4" t="n">
        <v>2</v>
      </c>
      <c r="G1095" s="4" t="n">
        <v>1</v>
      </c>
      <c r="H1095" s="4" t="s">
        <v>213</v>
      </c>
      <c r="I1095" s="4" t="s">
        <v>52</v>
      </c>
      <c r="J1095" s="4" t="n">
        <f aca="false">INDEX('Master List'!$G$2:$G$2594,K1095)</f>
        <v>0</v>
      </c>
      <c r="K1095" s="4" t="n">
        <v>951</v>
      </c>
    </row>
    <row r="1096" customFormat="false" ht="15" hidden="false" customHeight="false" outlineLevel="0" collapsed="false">
      <c r="A1096" s="4" t="n">
        <v>1095</v>
      </c>
      <c r="B1096" s="4" t="s">
        <v>1786</v>
      </c>
      <c r="C1096" s="4" t="n">
        <v>1940</v>
      </c>
      <c r="D1096" s="4" t="s">
        <v>1304</v>
      </c>
      <c r="E1096" s="25" t="str">
        <f aca="false">IF(J1096=1,"✓","")</f>
        <v/>
      </c>
      <c r="F1096" s="4" t="n">
        <v>2</v>
      </c>
      <c r="G1096" s="4" t="n">
        <v>1</v>
      </c>
      <c r="H1096" s="4" t="s">
        <v>213</v>
      </c>
      <c r="I1096" s="4" t="s">
        <v>52</v>
      </c>
      <c r="J1096" s="4" t="n">
        <f aca="false">INDEX('Master List'!$G$2:$G$2594,K1096)</f>
        <v>0</v>
      </c>
      <c r="K1096" s="4" t="n">
        <v>1447</v>
      </c>
    </row>
    <row r="1097" customFormat="false" ht="15" hidden="false" customHeight="false" outlineLevel="0" collapsed="false">
      <c r="A1097" s="4" t="n">
        <v>1096</v>
      </c>
      <c r="B1097" s="4" t="s">
        <v>1787</v>
      </c>
      <c r="C1097" s="4" t="n">
        <v>1940</v>
      </c>
      <c r="D1097" s="4" t="s">
        <v>1788</v>
      </c>
      <c r="E1097" s="25" t="str">
        <f aca="false">IF(J1097=1,"✓","")</f>
        <v>✓</v>
      </c>
      <c r="F1097" s="4" t="n">
        <v>2</v>
      </c>
      <c r="G1097" s="4" t="n">
        <v>1</v>
      </c>
      <c r="H1097" s="4" t="s">
        <v>213</v>
      </c>
      <c r="I1097" s="4" t="s">
        <v>52</v>
      </c>
      <c r="J1097" s="4" t="n">
        <f aca="false">INDEX('Master List'!$G$2:$G$2594,K1097)</f>
        <v>1</v>
      </c>
      <c r="K1097" s="4" t="n">
        <v>781</v>
      </c>
    </row>
    <row r="1098" customFormat="false" ht="15" hidden="false" customHeight="false" outlineLevel="0" collapsed="false">
      <c r="A1098" s="4" t="n">
        <v>1097</v>
      </c>
      <c r="B1098" s="4" t="s">
        <v>1789</v>
      </c>
      <c r="C1098" s="4" t="n">
        <v>1940</v>
      </c>
      <c r="D1098" s="4" t="s">
        <v>250</v>
      </c>
      <c r="E1098" s="25" t="str">
        <f aca="false">IF(J1098=1,"✓","")</f>
        <v/>
      </c>
      <c r="F1098" s="4" t="n">
        <v>2</v>
      </c>
      <c r="G1098" s="4" t="n">
        <v>1</v>
      </c>
      <c r="H1098" s="4" t="s">
        <v>213</v>
      </c>
      <c r="I1098" s="4" t="s">
        <v>53</v>
      </c>
      <c r="J1098" s="4" t="n">
        <f aca="false">INDEX('Master List'!$G$2:$G$2594,K1098)</f>
        <v>0</v>
      </c>
      <c r="K1098" s="4" t="n">
        <v>955</v>
      </c>
    </row>
    <row r="1099" customFormat="false" ht="15" hidden="false" customHeight="false" outlineLevel="0" collapsed="false">
      <c r="A1099" s="4" t="n">
        <v>1098</v>
      </c>
      <c r="B1099" s="4" t="s">
        <v>1790</v>
      </c>
      <c r="C1099" s="4" t="n">
        <v>1940</v>
      </c>
      <c r="D1099" s="4" t="s">
        <v>1791</v>
      </c>
      <c r="E1099" s="25" t="str">
        <f aca="false">IF(J1099=1,"✓","")</f>
        <v/>
      </c>
      <c r="F1099" s="4" t="n">
        <v>2</v>
      </c>
      <c r="G1099" s="4" t="n">
        <v>1</v>
      </c>
      <c r="H1099" s="4" t="s">
        <v>213</v>
      </c>
      <c r="I1099" s="4" t="s">
        <v>54</v>
      </c>
      <c r="J1099" s="4" t="n">
        <f aca="false">INDEX('Master List'!$G$2:$G$2594,K1099)</f>
        <v>0</v>
      </c>
      <c r="K1099" s="4" t="n">
        <v>558</v>
      </c>
    </row>
    <row r="1100" customFormat="false" ht="15" hidden="false" customHeight="false" outlineLevel="0" collapsed="false">
      <c r="A1100" s="4" t="n">
        <v>1099</v>
      </c>
      <c r="B1100" s="4" t="s">
        <v>1792</v>
      </c>
      <c r="C1100" s="4" t="n">
        <v>1941</v>
      </c>
      <c r="D1100" s="4" t="s">
        <v>1793</v>
      </c>
      <c r="E1100" s="25" t="str">
        <f aca="false">IF(J1100=1,"✓","")</f>
        <v/>
      </c>
      <c r="F1100" s="4" t="n">
        <v>2</v>
      </c>
      <c r="G1100" s="4" t="n">
        <v>1</v>
      </c>
      <c r="H1100" s="4" t="s">
        <v>213</v>
      </c>
      <c r="I1100" s="4" t="s">
        <v>52</v>
      </c>
      <c r="J1100" s="4" t="n">
        <f aca="false">INDEX('Master List'!$G$2:$G$2594,K1100)</f>
        <v>0</v>
      </c>
      <c r="K1100" s="4" t="n">
        <v>2541</v>
      </c>
    </row>
    <row r="1101" customFormat="false" ht="15" hidden="false" customHeight="false" outlineLevel="0" collapsed="false">
      <c r="A1101" s="4" t="n">
        <v>1100</v>
      </c>
      <c r="B1101" s="4" t="s">
        <v>1794</v>
      </c>
      <c r="C1101" s="4" t="n">
        <v>1941</v>
      </c>
      <c r="D1101" s="4" t="s">
        <v>1795</v>
      </c>
      <c r="E1101" s="25" t="str">
        <f aca="false">IF(J1101=1,"✓","")</f>
        <v/>
      </c>
      <c r="F1101" s="4" t="n">
        <v>2</v>
      </c>
      <c r="G1101" s="4" t="n">
        <v>1</v>
      </c>
      <c r="H1101" s="4" t="s">
        <v>213</v>
      </c>
      <c r="I1101" s="4" t="s">
        <v>52</v>
      </c>
      <c r="J1101" s="4" t="n">
        <f aca="false">INDEX('Master List'!$G$2:$G$2594,K1101)</f>
        <v>0</v>
      </c>
      <c r="K1101" s="4" t="n">
        <v>691</v>
      </c>
    </row>
    <row r="1102" customFormat="false" ht="15" hidden="false" customHeight="false" outlineLevel="0" collapsed="false">
      <c r="A1102" s="4" t="n">
        <v>1101</v>
      </c>
      <c r="B1102" s="4" t="s">
        <v>1796</v>
      </c>
      <c r="C1102" s="4" t="n">
        <v>1941</v>
      </c>
      <c r="D1102" s="4" t="s">
        <v>205</v>
      </c>
      <c r="E1102" s="25" t="str">
        <f aca="false">IF(J1102=1,"✓","")</f>
        <v/>
      </c>
      <c r="F1102" s="4" t="n">
        <v>2</v>
      </c>
      <c r="G1102" s="4" t="n">
        <v>1</v>
      </c>
      <c r="H1102" s="4" t="s">
        <v>213</v>
      </c>
      <c r="I1102" s="4" t="s">
        <v>53</v>
      </c>
      <c r="J1102" s="4" t="n">
        <f aca="false">INDEX('Master List'!$G$2:$G$2594,K1102)</f>
        <v>0</v>
      </c>
      <c r="K1102" s="4" t="n">
        <v>1078</v>
      </c>
    </row>
    <row r="1103" customFormat="false" ht="15" hidden="false" customHeight="false" outlineLevel="0" collapsed="false">
      <c r="A1103" s="4" t="n">
        <v>1102</v>
      </c>
      <c r="B1103" s="4" t="s">
        <v>1797</v>
      </c>
      <c r="C1103" s="4" t="n">
        <v>1941</v>
      </c>
      <c r="D1103" s="4" t="s">
        <v>1710</v>
      </c>
      <c r="E1103" s="25" t="str">
        <f aca="false">IF(J1103=1,"✓","")</f>
        <v/>
      </c>
      <c r="F1103" s="4" t="n">
        <v>2</v>
      </c>
      <c r="G1103" s="4" t="n">
        <v>1</v>
      </c>
      <c r="H1103" s="4" t="s">
        <v>213</v>
      </c>
      <c r="I1103" s="4" t="s">
        <v>54</v>
      </c>
      <c r="J1103" s="4" t="n">
        <f aca="false">INDEX('Master List'!$G$2:$G$2594,K1103)</f>
        <v>0</v>
      </c>
      <c r="K1103" s="4" t="n">
        <v>2036</v>
      </c>
    </row>
    <row r="1104" customFormat="false" ht="15" hidden="false" customHeight="false" outlineLevel="0" collapsed="false">
      <c r="A1104" s="4" t="n">
        <v>1103</v>
      </c>
      <c r="B1104" s="4" t="s">
        <v>1798</v>
      </c>
      <c r="C1104" s="4" t="n">
        <v>1942</v>
      </c>
      <c r="D1104" s="4" t="s">
        <v>736</v>
      </c>
      <c r="E1104" s="25" t="str">
        <f aca="false">IF(J1104=1,"✓","")</f>
        <v/>
      </c>
      <c r="F1104" s="4" t="n">
        <v>2</v>
      </c>
      <c r="G1104" s="4" t="n">
        <v>1</v>
      </c>
      <c r="H1104" s="4" t="s">
        <v>213</v>
      </c>
      <c r="I1104" s="4" t="s">
        <v>52</v>
      </c>
      <c r="J1104" s="4" t="n">
        <f aca="false">INDEX('Master List'!$G$2:$G$2594,K1104)</f>
        <v>0</v>
      </c>
      <c r="K1104" s="4" t="n">
        <v>180</v>
      </c>
    </row>
    <row r="1105" customFormat="false" ht="15" hidden="false" customHeight="false" outlineLevel="0" collapsed="false">
      <c r="A1105" s="4" t="n">
        <v>1104</v>
      </c>
      <c r="B1105" s="4" t="s">
        <v>1799</v>
      </c>
      <c r="C1105" s="4" t="n">
        <v>1942</v>
      </c>
      <c r="D1105" s="4" t="s">
        <v>1800</v>
      </c>
      <c r="E1105" s="25" t="str">
        <f aca="false">IF(J1105=1,"✓","")</f>
        <v/>
      </c>
      <c r="F1105" s="4" t="n">
        <v>2</v>
      </c>
      <c r="G1105" s="4" t="n">
        <v>1</v>
      </c>
      <c r="H1105" s="4" t="s">
        <v>213</v>
      </c>
      <c r="I1105" s="4" t="s">
        <v>52</v>
      </c>
      <c r="J1105" s="4" t="n">
        <f aca="false">INDEX('Master List'!$G$2:$G$2594,K1105)</f>
        <v>0</v>
      </c>
      <c r="K1105" s="4" t="n">
        <v>1347</v>
      </c>
    </row>
    <row r="1106" customFormat="false" ht="15" hidden="false" customHeight="false" outlineLevel="0" collapsed="false">
      <c r="A1106" s="4" t="n">
        <v>1105</v>
      </c>
      <c r="B1106" s="4" t="s">
        <v>1801</v>
      </c>
      <c r="C1106" s="4" t="n">
        <v>1942</v>
      </c>
      <c r="D1106" s="4" t="s">
        <v>335</v>
      </c>
      <c r="E1106" s="25" t="str">
        <f aca="false">IF(J1106=1,"✓","")</f>
        <v/>
      </c>
      <c r="F1106" s="4" t="n">
        <v>2</v>
      </c>
      <c r="G1106" s="4" t="n">
        <v>1</v>
      </c>
      <c r="H1106" s="4" t="s">
        <v>213</v>
      </c>
      <c r="I1106" s="4" t="s">
        <v>57</v>
      </c>
      <c r="J1106" s="4" t="n">
        <f aca="false">INDEX('Master List'!$G$2:$G$2594,K1106)</f>
        <v>0</v>
      </c>
      <c r="K1106" s="4" t="n">
        <v>2564</v>
      </c>
    </row>
    <row r="1107" customFormat="false" ht="15" hidden="false" customHeight="false" outlineLevel="0" collapsed="false">
      <c r="A1107" s="4" t="n">
        <v>1106</v>
      </c>
      <c r="B1107" s="4" t="s">
        <v>1802</v>
      </c>
      <c r="C1107" s="4" t="n">
        <v>1942</v>
      </c>
      <c r="D1107" s="4" t="s">
        <v>564</v>
      </c>
      <c r="E1107" s="25" t="str">
        <f aca="false">IF(J1107=1,"✓","")</f>
        <v/>
      </c>
      <c r="F1107" s="4" t="n">
        <v>2</v>
      </c>
      <c r="G1107" s="4" t="n">
        <v>1</v>
      </c>
      <c r="H1107" s="4" t="s">
        <v>213</v>
      </c>
      <c r="I1107" s="4" t="s">
        <v>57</v>
      </c>
      <c r="J1107" s="4" t="n">
        <f aca="false">INDEX('Master List'!$G$2:$G$2594,K1107)</f>
        <v>0</v>
      </c>
      <c r="K1107" s="4" t="n">
        <v>1940</v>
      </c>
    </row>
    <row r="1108" customFormat="false" ht="15" hidden="false" customHeight="false" outlineLevel="0" collapsed="false">
      <c r="A1108" s="4" t="n">
        <v>1107</v>
      </c>
      <c r="B1108" s="4" t="s">
        <v>1803</v>
      </c>
      <c r="C1108" s="4" t="n">
        <v>1943</v>
      </c>
      <c r="D1108" s="4" t="s">
        <v>461</v>
      </c>
      <c r="E1108" s="25" t="str">
        <f aca="false">IF(J1108=1,"✓","")</f>
        <v/>
      </c>
      <c r="F1108" s="4" t="n">
        <v>2</v>
      </c>
      <c r="G1108" s="4" t="n">
        <v>1</v>
      </c>
      <c r="H1108" s="4" t="s">
        <v>213</v>
      </c>
      <c r="I1108" s="4" t="s">
        <v>51</v>
      </c>
      <c r="J1108" s="4" t="n">
        <f aca="false">INDEX('Master List'!$G$2:$G$2594,K1108)</f>
        <v>0</v>
      </c>
      <c r="K1108" s="4" t="n">
        <v>1694</v>
      </c>
    </row>
    <row r="1109" customFormat="false" ht="15" hidden="false" customHeight="false" outlineLevel="0" collapsed="false">
      <c r="A1109" s="4" t="n">
        <v>1108</v>
      </c>
      <c r="B1109" s="4" t="s">
        <v>1804</v>
      </c>
      <c r="C1109" s="4" t="n">
        <v>1943</v>
      </c>
      <c r="D1109" s="4" t="s">
        <v>453</v>
      </c>
      <c r="E1109" s="25" t="str">
        <f aca="false">IF(J1109=1,"✓","")</f>
        <v/>
      </c>
      <c r="F1109" s="4" t="n">
        <v>2</v>
      </c>
      <c r="G1109" s="4" t="n">
        <v>1</v>
      </c>
      <c r="H1109" s="4" t="s">
        <v>213</v>
      </c>
      <c r="I1109" s="4" t="s">
        <v>51</v>
      </c>
      <c r="J1109" s="4" t="n">
        <f aca="false">INDEX('Master List'!$G$2:$G$2594,K1109)</f>
        <v>0</v>
      </c>
      <c r="K1109" s="4" t="n">
        <v>1330</v>
      </c>
    </row>
    <row r="1110" customFormat="false" ht="15" hidden="false" customHeight="false" outlineLevel="0" collapsed="false">
      <c r="A1110" s="4" t="n">
        <v>1109</v>
      </c>
      <c r="B1110" s="4" t="s">
        <v>1805</v>
      </c>
      <c r="C1110" s="4" t="n">
        <v>1943</v>
      </c>
      <c r="D1110" s="4" t="s">
        <v>884</v>
      </c>
      <c r="E1110" s="25" t="str">
        <f aca="false">IF(J1110=1,"✓","")</f>
        <v/>
      </c>
      <c r="F1110" s="4" t="n">
        <v>2</v>
      </c>
      <c r="G1110" s="4" t="n">
        <v>1</v>
      </c>
      <c r="H1110" s="4" t="s">
        <v>213</v>
      </c>
      <c r="I1110" s="4" t="s">
        <v>52</v>
      </c>
      <c r="J1110" s="4" t="n">
        <f aca="false">INDEX('Master List'!$G$2:$G$2594,K1110)</f>
        <v>0</v>
      </c>
      <c r="K1110" s="4" t="n">
        <v>1322</v>
      </c>
    </row>
    <row r="1111" customFormat="false" ht="15" hidden="false" customHeight="false" outlineLevel="0" collapsed="false">
      <c r="A1111" s="4" t="n">
        <v>1110</v>
      </c>
      <c r="B1111" s="4" t="s">
        <v>1806</v>
      </c>
      <c r="C1111" s="4" t="n">
        <v>1943</v>
      </c>
      <c r="D1111" s="4" t="s">
        <v>1807</v>
      </c>
      <c r="E1111" s="25" t="str">
        <f aca="false">IF(J1111=1,"✓","")</f>
        <v/>
      </c>
      <c r="F1111" s="4" t="n">
        <v>2</v>
      </c>
      <c r="G1111" s="4" t="n">
        <v>1</v>
      </c>
      <c r="H1111" s="4" t="s">
        <v>213</v>
      </c>
      <c r="I1111" s="4" t="s">
        <v>52</v>
      </c>
      <c r="J1111" s="4" t="n">
        <f aca="false">INDEX('Master List'!$G$2:$G$2594,K1111)</f>
        <v>0</v>
      </c>
      <c r="K1111" s="4" t="n">
        <v>2026</v>
      </c>
    </row>
    <row r="1112" customFormat="false" ht="15" hidden="false" customHeight="false" outlineLevel="0" collapsed="false">
      <c r="A1112" s="4" t="n">
        <v>1111</v>
      </c>
      <c r="B1112" s="4" t="s">
        <v>1808</v>
      </c>
      <c r="C1112" s="4" t="n">
        <v>1943</v>
      </c>
      <c r="D1112" s="4" t="s">
        <v>162</v>
      </c>
      <c r="E1112" s="25" t="str">
        <f aca="false">IF(J1112=1,"✓","")</f>
        <v/>
      </c>
      <c r="F1112" s="4" t="n">
        <v>2</v>
      </c>
      <c r="G1112" s="4" t="n">
        <v>1</v>
      </c>
      <c r="H1112" s="4" t="s">
        <v>213</v>
      </c>
      <c r="I1112" s="4" t="s">
        <v>53</v>
      </c>
      <c r="J1112" s="4" t="n">
        <f aca="false">INDEX('Master List'!$G$2:$G$2594,K1112)</f>
        <v>0</v>
      </c>
      <c r="K1112" s="4" t="n">
        <v>2028</v>
      </c>
    </row>
    <row r="1113" customFormat="false" ht="15" hidden="false" customHeight="false" outlineLevel="0" collapsed="false">
      <c r="A1113" s="4" t="n">
        <v>1112</v>
      </c>
      <c r="B1113" s="4" t="s">
        <v>1809</v>
      </c>
      <c r="C1113" s="4" t="n">
        <v>1943</v>
      </c>
      <c r="D1113" s="4" t="s">
        <v>348</v>
      </c>
      <c r="E1113" s="25" t="str">
        <f aca="false">IF(J1113=1,"✓","")</f>
        <v/>
      </c>
      <c r="F1113" s="4" t="n">
        <v>2</v>
      </c>
      <c r="G1113" s="4" t="n">
        <v>1</v>
      </c>
      <c r="H1113" s="4" t="s">
        <v>213</v>
      </c>
      <c r="I1113" s="4" t="s">
        <v>53</v>
      </c>
      <c r="J1113" s="4" t="n">
        <f aca="false">INDEX('Master List'!$G$2:$G$2594,K1113)</f>
        <v>0</v>
      </c>
      <c r="K1113" s="4" t="n">
        <v>1013</v>
      </c>
    </row>
    <row r="1114" customFormat="false" ht="15" hidden="false" customHeight="false" outlineLevel="0" collapsed="false">
      <c r="A1114" s="4" t="n">
        <v>1113</v>
      </c>
      <c r="B1114" s="4" t="s">
        <v>1810</v>
      </c>
      <c r="C1114" s="4" t="n">
        <v>1943</v>
      </c>
      <c r="D1114" s="4" t="s">
        <v>570</v>
      </c>
      <c r="E1114" s="25" t="str">
        <f aca="false">IF(J1114=1,"✓","")</f>
        <v/>
      </c>
      <c r="F1114" s="4" t="n">
        <v>2</v>
      </c>
      <c r="G1114" s="4" t="n">
        <v>1</v>
      </c>
      <c r="H1114" s="4" t="s">
        <v>213</v>
      </c>
      <c r="I1114" s="4" t="s">
        <v>54</v>
      </c>
      <c r="J1114" s="4" t="n">
        <f aca="false">INDEX('Master List'!$G$2:$G$2594,K1114)</f>
        <v>0</v>
      </c>
      <c r="K1114" s="4" t="n">
        <v>376</v>
      </c>
    </row>
    <row r="1115" customFormat="false" ht="15" hidden="false" customHeight="false" outlineLevel="0" collapsed="false">
      <c r="A1115" s="4" t="n">
        <v>1114</v>
      </c>
      <c r="B1115" s="4" t="s">
        <v>1811</v>
      </c>
      <c r="C1115" s="4" t="n">
        <v>1943</v>
      </c>
      <c r="D1115" s="4" t="s">
        <v>1812</v>
      </c>
      <c r="E1115" s="25" t="str">
        <f aca="false">IF(J1115=1,"✓","")</f>
        <v/>
      </c>
      <c r="F1115" s="4" t="n">
        <v>2</v>
      </c>
      <c r="G1115" s="4" t="n">
        <v>1</v>
      </c>
      <c r="H1115" s="4" t="s">
        <v>213</v>
      </c>
      <c r="I1115" s="4" t="s">
        <v>54</v>
      </c>
      <c r="J1115" s="4" t="n">
        <f aca="false">INDEX('Master List'!$G$2:$G$2594,K1115)</f>
        <v>0</v>
      </c>
      <c r="K1115" s="4" t="n">
        <v>2164</v>
      </c>
    </row>
    <row r="1116" customFormat="false" ht="15" hidden="false" customHeight="false" outlineLevel="0" collapsed="false">
      <c r="A1116" s="4" t="n">
        <v>1115</v>
      </c>
      <c r="B1116" s="4" t="s">
        <v>1813</v>
      </c>
      <c r="C1116" s="4" t="n">
        <v>1943</v>
      </c>
      <c r="D1116" s="4" t="s">
        <v>909</v>
      </c>
      <c r="E1116" s="25" t="str">
        <f aca="false">IF(J1116=1,"✓","")</f>
        <v/>
      </c>
      <c r="F1116" s="4" t="n">
        <v>2</v>
      </c>
      <c r="G1116" s="4" t="n">
        <v>1</v>
      </c>
      <c r="H1116" s="4" t="s">
        <v>213</v>
      </c>
      <c r="I1116" s="4" t="s">
        <v>55</v>
      </c>
      <c r="J1116" s="4" t="n">
        <f aca="false">INDEX('Master List'!$G$2:$G$2594,K1116)</f>
        <v>0</v>
      </c>
      <c r="K1116" s="4" t="n">
        <v>1408</v>
      </c>
    </row>
    <row r="1117" customFormat="false" ht="15" hidden="false" customHeight="false" outlineLevel="0" collapsed="false">
      <c r="A1117" s="4" t="n">
        <v>1116</v>
      </c>
      <c r="B1117" s="4" t="s">
        <v>1814</v>
      </c>
      <c r="C1117" s="4" t="n">
        <v>1944</v>
      </c>
      <c r="D1117" s="4" t="s">
        <v>453</v>
      </c>
      <c r="E1117" s="25" t="str">
        <f aca="false">IF(J1117=1,"✓","")</f>
        <v/>
      </c>
      <c r="F1117" s="4" t="n">
        <v>2</v>
      </c>
      <c r="G1117" s="4" t="n">
        <v>1</v>
      </c>
      <c r="H1117" s="4" t="s">
        <v>213</v>
      </c>
      <c r="I1117" s="4" t="s">
        <v>51</v>
      </c>
      <c r="J1117" s="4" t="n">
        <f aca="false">INDEX('Master List'!$G$2:$G$2594,K1117)</f>
        <v>0</v>
      </c>
      <c r="K1117" s="4" t="n">
        <v>389</v>
      </c>
    </row>
    <row r="1118" customFormat="false" ht="15" hidden="false" customHeight="false" outlineLevel="0" collapsed="false">
      <c r="A1118" s="4" t="n">
        <v>1117</v>
      </c>
      <c r="B1118" s="4" t="s">
        <v>1815</v>
      </c>
      <c r="C1118" s="4" t="n">
        <v>1944</v>
      </c>
      <c r="D1118" s="4" t="s">
        <v>951</v>
      </c>
      <c r="E1118" s="25" t="str">
        <f aca="false">IF(J1118=1,"✓","")</f>
        <v/>
      </c>
      <c r="F1118" s="4" t="n">
        <v>2</v>
      </c>
      <c r="G1118" s="4" t="n">
        <v>1</v>
      </c>
      <c r="H1118" s="4" t="s">
        <v>213</v>
      </c>
      <c r="I1118" s="4" t="s">
        <v>52</v>
      </c>
      <c r="J1118" s="4" t="n">
        <f aca="false">INDEX('Master List'!$G$2:$G$2594,K1118)</f>
        <v>0</v>
      </c>
      <c r="K1118" s="4" t="n">
        <v>1309</v>
      </c>
    </row>
    <row r="1119" customFormat="false" ht="15" hidden="false" customHeight="false" outlineLevel="0" collapsed="false">
      <c r="A1119" s="4" t="n">
        <v>1118</v>
      </c>
      <c r="B1119" s="4" t="s">
        <v>1816</v>
      </c>
      <c r="C1119" s="4" t="n">
        <v>1944</v>
      </c>
      <c r="D1119" s="4" t="s">
        <v>1817</v>
      </c>
      <c r="E1119" s="25" t="str">
        <f aca="false">IF(J1119=1,"✓","")</f>
        <v/>
      </c>
      <c r="F1119" s="4" t="n">
        <v>2</v>
      </c>
      <c r="G1119" s="4" t="n">
        <v>1</v>
      </c>
      <c r="H1119" s="4" t="s">
        <v>213</v>
      </c>
      <c r="I1119" s="4" t="s">
        <v>52</v>
      </c>
      <c r="J1119" s="4" t="n">
        <f aca="false">INDEX('Master List'!$G$2:$G$2594,K1119)</f>
        <v>0</v>
      </c>
      <c r="K1119" s="4" t="n">
        <v>1560</v>
      </c>
    </row>
    <row r="1120" customFormat="false" ht="15" hidden="false" customHeight="false" outlineLevel="0" collapsed="false">
      <c r="A1120" s="4" t="n">
        <v>1119</v>
      </c>
      <c r="B1120" s="4" t="s">
        <v>1818</v>
      </c>
      <c r="C1120" s="4" t="n">
        <v>1944</v>
      </c>
      <c r="D1120" s="4" t="s">
        <v>537</v>
      </c>
      <c r="E1120" s="25" t="str">
        <f aca="false">IF(J1120=1,"✓","")</f>
        <v/>
      </c>
      <c r="F1120" s="4" t="n">
        <v>2</v>
      </c>
      <c r="G1120" s="4" t="n">
        <v>1</v>
      </c>
      <c r="H1120" s="4" t="s">
        <v>213</v>
      </c>
      <c r="I1120" s="4" t="s">
        <v>52</v>
      </c>
      <c r="J1120" s="4" t="n">
        <f aca="false">INDEX('Master List'!$G$2:$G$2594,K1120)</f>
        <v>0</v>
      </c>
      <c r="K1120" s="4" t="n">
        <v>880</v>
      </c>
    </row>
    <row r="1121" customFormat="false" ht="15" hidden="false" customHeight="false" outlineLevel="0" collapsed="false">
      <c r="A1121" s="4" t="n">
        <v>1120</v>
      </c>
      <c r="B1121" s="4" t="s">
        <v>1819</v>
      </c>
      <c r="C1121" s="4" t="n">
        <v>1944</v>
      </c>
      <c r="D1121" s="4" t="s">
        <v>168</v>
      </c>
      <c r="E1121" s="25" t="str">
        <f aca="false">IF(J1121=1,"✓","")</f>
        <v/>
      </c>
      <c r="F1121" s="4" t="n">
        <v>2</v>
      </c>
      <c r="G1121" s="4" t="n">
        <v>1</v>
      </c>
      <c r="H1121" s="4" t="s">
        <v>213</v>
      </c>
      <c r="I1121" s="4" t="s">
        <v>53</v>
      </c>
      <c r="J1121" s="4" t="n">
        <f aca="false">INDEX('Master List'!$G$2:$G$2594,K1121)</f>
        <v>0</v>
      </c>
      <c r="K1121" s="4" t="n">
        <v>2317</v>
      </c>
    </row>
    <row r="1122" customFormat="false" ht="15" hidden="false" customHeight="false" outlineLevel="0" collapsed="false">
      <c r="A1122" s="4" t="n">
        <v>1121</v>
      </c>
      <c r="B1122" s="4" t="s">
        <v>1820</v>
      </c>
      <c r="C1122" s="4" t="n">
        <v>1944</v>
      </c>
      <c r="D1122" s="4" t="s">
        <v>250</v>
      </c>
      <c r="E1122" s="25" t="str">
        <f aca="false">IF(J1122=1,"✓","")</f>
        <v/>
      </c>
      <c r="F1122" s="4" t="n">
        <v>2</v>
      </c>
      <c r="G1122" s="4" t="n">
        <v>1</v>
      </c>
      <c r="H1122" s="4" t="s">
        <v>213</v>
      </c>
      <c r="I1122" s="4" t="s">
        <v>53</v>
      </c>
      <c r="J1122" s="4" t="n">
        <f aca="false">INDEX('Master List'!$G$2:$G$2594,K1122)</f>
        <v>0</v>
      </c>
      <c r="K1122" s="4" t="n">
        <v>977</v>
      </c>
    </row>
    <row r="1123" customFormat="false" ht="15" hidden="false" customHeight="false" outlineLevel="0" collapsed="false">
      <c r="A1123" s="4" t="n">
        <v>1122</v>
      </c>
      <c r="B1123" s="4" t="s">
        <v>1821</v>
      </c>
      <c r="C1123" s="4" t="n">
        <v>1944</v>
      </c>
      <c r="D1123" s="4" t="s">
        <v>232</v>
      </c>
      <c r="E1123" s="25" t="str">
        <f aca="false">IF(J1123=1,"✓","")</f>
        <v>✓</v>
      </c>
      <c r="F1123" s="4" t="n">
        <v>2</v>
      </c>
      <c r="G1123" s="4" t="n">
        <v>1</v>
      </c>
      <c r="H1123" s="4" t="s">
        <v>213</v>
      </c>
      <c r="I1123" s="4" t="s">
        <v>54</v>
      </c>
      <c r="J1123" s="4" t="n">
        <f aca="false">INDEX('Master List'!$G$2:$G$2594,K1123)</f>
        <v>1</v>
      </c>
      <c r="K1123" s="4" t="n">
        <v>1186</v>
      </c>
    </row>
    <row r="1124" customFormat="false" ht="15" hidden="false" customHeight="false" outlineLevel="0" collapsed="false">
      <c r="A1124" s="4" t="n">
        <v>1123</v>
      </c>
      <c r="B1124" s="4" t="s">
        <v>1822</v>
      </c>
      <c r="C1124" s="4" t="n">
        <v>1944</v>
      </c>
      <c r="D1124" s="4" t="s">
        <v>1823</v>
      </c>
      <c r="E1124" s="25" t="str">
        <f aca="false">IF(J1124=1,"✓","")</f>
        <v/>
      </c>
      <c r="F1124" s="4" t="n">
        <v>2</v>
      </c>
      <c r="G1124" s="4" t="n">
        <v>1</v>
      </c>
      <c r="H1124" s="4" t="s">
        <v>213</v>
      </c>
      <c r="I1124" s="4" t="s">
        <v>57</v>
      </c>
      <c r="J1124" s="4" t="n">
        <f aca="false">INDEX('Master List'!$G$2:$G$2594,K1124)</f>
        <v>0</v>
      </c>
      <c r="K1124" s="4" t="n">
        <v>1023</v>
      </c>
    </row>
    <row r="1125" customFormat="false" ht="15" hidden="false" customHeight="false" outlineLevel="0" collapsed="false">
      <c r="A1125" s="4" t="n">
        <v>1124</v>
      </c>
      <c r="B1125" s="4" t="s">
        <v>1824</v>
      </c>
      <c r="C1125" s="4" t="n">
        <v>1945</v>
      </c>
      <c r="D1125" s="4" t="s">
        <v>1775</v>
      </c>
      <c r="E1125" s="25" t="str">
        <f aca="false">IF(J1125=1,"✓","")</f>
        <v/>
      </c>
      <c r="F1125" s="4" t="n">
        <v>2</v>
      </c>
      <c r="G1125" s="4" t="n">
        <v>1</v>
      </c>
      <c r="H1125" s="4" t="s">
        <v>213</v>
      </c>
      <c r="I1125" s="4" t="s">
        <v>51</v>
      </c>
      <c r="J1125" s="4" t="n">
        <f aca="false">INDEX('Master List'!$G$2:$G$2594,K1125)</f>
        <v>0</v>
      </c>
      <c r="K1125" s="4" t="n">
        <v>445</v>
      </c>
    </row>
    <row r="1126" customFormat="false" ht="15" hidden="false" customHeight="false" outlineLevel="0" collapsed="false">
      <c r="A1126" s="4" t="n">
        <v>1125</v>
      </c>
      <c r="B1126" s="4" t="s">
        <v>1825</v>
      </c>
      <c r="C1126" s="4" t="n">
        <v>1945</v>
      </c>
      <c r="D1126" s="4" t="s">
        <v>453</v>
      </c>
      <c r="E1126" s="25" t="str">
        <f aca="false">IF(J1126=1,"✓","")</f>
        <v/>
      </c>
      <c r="F1126" s="4" t="n">
        <v>2</v>
      </c>
      <c r="G1126" s="4" t="n">
        <v>1</v>
      </c>
      <c r="H1126" s="4" t="s">
        <v>213</v>
      </c>
      <c r="I1126" s="4" t="s">
        <v>51</v>
      </c>
      <c r="J1126" s="4" t="n">
        <f aca="false">INDEX('Master List'!$G$2:$G$2594,K1126)</f>
        <v>0</v>
      </c>
      <c r="K1126" s="4" t="n">
        <v>1104</v>
      </c>
    </row>
    <row r="1127" customFormat="false" ht="15" hidden="false" customHeight="false" outlineLevel="0" collapsed="false">
      <c r="A1127" s="4" t="n">
        <v>1126</v>
      </c>
      <c r="B1127" s="4" t="s">
        <v>1826</v>
      </c>
      <c r="C1127" s="4" t="n">
        <v>1945</v>
      </c>
      <c r="D1127" s="4" t="s">
        <v>1752</v>
      </c>
      <c r="E1127" s="25" t="str">
        <f aca="false">IF(J1127=1,"✓","")</f>
        <v/>
      </c>
      <c r="F1127" s="4" t="n">
        <v>2</v>
      </c>
      <c r="G1127" s="4" t="n">
        <v>1</v>
      </c>
      <c r="H1127" s="4" t="s">
        <v>213</v>
      </c>
      <c r="I1127" s="4" t="s">
        <v>52</v>
      </c>
      <c r="J1127" s="4" t="n">
        <f aca="false">INDEX('Master List'!$G$2:$G$2594,K1127)</f>
        <v>0</v>
      </c>
      <c r="K1127" s="4" t="n">
        <v>616</v>
      </c>
    </row>
    <row r="1128" customFormat="false" ht="15" hidden="false" customHeight="false" outlineLevel="0" collapsed="false">
      <c r="A1128" s="4" t="n">
        <v>1127</v>
      </c>
      <c r="B1128" s="4" t="s">
        <v>1827</v>
      </c>
      <c r="C1128" s="4" t="n">
        <v>1945</v>
      </c>
      <c r="D1128" s="4" t="s">
        <v>789</v>
      </c>
      <c r="E1128" s="25" t="str">
        <f aca="false">IF(J1128=1,"✓","")</f>
        <v/>
      </c>
      <c r="F1128" s="4" t="n">
        <v>2</v>
      </c>
      <c r="G1128" s="4" t="n">
        <v>1</v>
      </c>
      <c r="H1128" s="4" t="s">
        <v>213</v>
      </c>
      <c r="I1128" s="4" t="s">
        <v>52</v>
      </c>
      <c r="J1128" s="4" t="n">
        <f aca="false">INDEX('Master List'!$G$2:$G$2594,K1128)</f>
        <v>0</v>
      </c>
      <c r="K1128" s="4" t="n">
        <v>310</v>
      </c>
    </row>
    <row r="1129" customFormat="false" ht="15" hidden="false" customHeight="false" outlineLevel="0" collapsed="false">
      <c r="A1129" s="4" t="n">
        <v>1128</v>
      </c>
      <c r="B1129" s="4" t="s">
        <v>1828</v>
      </c>
      <c r="C1129" s="4" t="n">
        <v>1945</v>
      </c>
      <c r="D1129" s="4" t="s">
        <v>1807</v>
      </c>
      <c r="E1129" s="25" t="str">
        <f aca="false">IF(J1129=1,"✓","")</f>
        <v/>
      </c>
      <c r="F1129" s="4" t="n">
        <v>2</v>
      </c>
      <c r="G1129" s="4" t="n">
        <v>1</v>
      </c>
      <c r="H1129" s="4" t="s">
        <v>213</v>
      </c>
      <c r="I1129" s="4" t="s">
        <v>52</v>
      </c>
      <c r="J1129" s="4" t="n">
        <f aca="false">INDEX('Master List'!$G$2:$G$2594,K1129)</f>
        <v>0</v>
      </c>
      <c r="K1129" s="4" t="n">
        <v>1172</v>
      </c>
    </row>
    <row r="1130" customFormat="false" ht="15" hidden="false" customHeight="false" outlineLevel="0" collapsed="false">
      <c r="A1130" s="4" t="n">
        <v>1129</v>
      </c>
      <c r="B1130" s="4" t="s">
        <v>1829</v>
      </c>
      <c r="C1130" s="4" t="n">
        <v>1945</v>
      </c>
      <c r="D1130" s="4" t="s">
        <v>335</v>
      </c>
      <c r="E1130" s="25" t="str">
        <f aca="false">IF(J1130=1,"✓","")</f>
        <v/>
      </c>
      <c r="F1130" s="4" t="n">
        <v>2</v>
      </c>
      <c r="G1130" s="4" t="n">
        <v>1</v>
      </c>
      <c r="H1130" s="4" t="s">
        <v>213</v>
      </c>
      <c r="I1130" s="4" t="s">
        <v>52</v>
      </c>
      <c r="J1130" s="4" t="n">
        <f aca="false">INDEX('Master List'!$G$2:$G$2594,K1130)</f>
        <v>0</v>
      </c>
      <c r="K1130" s="4" t="n">
        <v>1500</v>
      </c>
    </row>
    <row r="1131" customFormat="false" ht="15" hidden="false" customHeight="false" outlineLevel="0" collapsed="false">
      <c r="A1131" s="4" t="n">
        <v>1130</v>
      </c>
      <c r="B1131" s="4" t="s">
        <v>1830</v>
      </c>
      <c r="C1131" s="4" t="n">
        <v>1945</v>
      </c>
      <c r="D1131" s="4" t="s">
        <v>200</v>
      </c>
      <c r="E1131" s="25" t="str">
        <f aca="false">IF(J1131=1,"✓","")</f>
        <v/>
      </c>
      <c r="F1131" s="4" t="n">
        <v>2</v>
      </c>
      <c r="G1131" s="4" t="n">
        <v>1</v>
      </c>
      <c r="H1131" s="4" t="s">
        <v>213</v>
      </c>
      <c r="I1131" s="4" t="s">
        <v>53</v>
      </c>
      <c r="J1131" s="4" t="n">
        <f aca="false">INDEX('Master List'!$G$2:$G$2594,K1131)</f>
        <v>0</v>
      </c>
      <c r="K1131" s="4" t="n">
        <v>1387</v>
      </c>
    </row>
    <row r="1132" customFormat="false" ht="15" hidden="false" customHeight="false" outlineLevel="0" collapsed="false">
      <c r="A1132" s="4" t="n">
        <v>1131</v>
      </c>
      <c r="B1132" s="4" t="s">
        <v>1831</v>
      </c>
      <c r="C1132" s="4" t="n">
        <v>1945</v>
      </c>
      <c r="D1132" s="4" t="s">
        <v>162</v>
      </c>
      <c r="E1132" s="25" t="str">
        <f aca="false">IF(J1132=1,"✓","")</f>
        <v/>
      </c>
      <c r="F1132" s="4" t="n">
        <v>2</v>
      </c>
      <c r="G1132" s="4" t="n">
        <v>1</v>
      </c>
      <c r="H1132" s="4" t="s">
        <v>213</v>
      </c>
      <c r="I1132" s="4" t="s">
        <v>55</v>
      </c>
      <c r="J1132" s="4" t="n">
        <f aca="false">INDEX('Master List'!$G$2:$G$2594,K1132)</f>
        <v>0</v>
      </c>
      <c r="K1132" s="4" t="n">
        <v>2130</v>
      </c>
    </row>
    <row r="1133" customFormat="false" ht="15" hidden="false" customHeight="false" outlineLevel="0" collapsed="false">
      <c r="A1133" s="4" t="n">
        <v>1132</v>
      </c>
      <c r="B1133" s="4" t="s">
        <v>1832</v>
      </c>
      <c r="C1133" s="4" t="n">
        <v>1946</v>
      </c>
      <c r="D1133" s="4" t="s">
        <v>160</v>
      </c>
      <c r="E1133" s="25" t="str">
        <f aca="false">IF(J1133=1,"✓","")</f>
        <v/>
      </c>
      <c r="F1133" s="4" t="n">
        <v>2</v>
      </c>
      <c r="G1133" s="4" t="n">
        <v>1</v>
      </c>
      <c r="H1133" s="4" t="s">
        <v>213</v>
      </c>
      <c r="I1133" s="4" t="s">
        <v>51</v>
      </c>
      <c r="J1133" s="4" t="n">
        <f aca="false">INDEX('Master List'!$G$2:$G$2594,K1133)</f>
        <v>0</v>
      </c>
      <c r="K1133" s="4" t="n">
        <v>2050</v>
      </c>
    </row>
    <row r="1134" customFormat="false" ht="15" hidden="false" customHeight="false" outlineLevel="0" collapsed="false">
      <c r="A1134" s="4" t="n">
        <v>1133</v>
      </c>
      <c r="B1134" s="4" t="s">
        <v>1833</v>
      </c>
      <c r="C1134" s="4" t="n">
        <v>1946</v>
      </c>
      <c r="D1134" s="4" t="s">
        <v>268</v>
      </c>
      <c r="E1134" s="25" t="str">
        <f aca="false">IF(J1134=1,"✓","")</f>
        <v/>
      </c>
      <c r="F1134" s="4" t="n">
        <v>2</v>
      </c>
      <c r="G1134" s="4" t="n">
        <v>1</v>
      </c>
      <c r="H1134" s="4" t="s">
        <v>213</v>
      </c>
      <c r="I1134" s="4" t="s">
        <v>51</v>
      </c>
      <c r="J1134" s="4" t="n">
        <f aca="false">INDEX('Master List'!$G$2:$G$2594,K1134)</f>
        <v>0</v>
      </c>
      <c r="K1134" s="4" t="n">
        <v>1706</v>
      </c>
    </row>
    <row r="1135" customFormat="false" ht="15" hidden="false" customHeight="false" outlineLevel="0" collapsed="false">
      <c r="A1135" s="4" t="n">
        <v>1134</v>
      </c>
      <c r="B1135" s="4" t="s">
        <v>1834</v>
      </c>
      <c r="C1135" s="4" t="n">
        <v>1946</v>
      </c>
      <c r="D1135" s="4" t="s">
        <v>1835</v>
      </c>
      <c r="E1135" s="25" t="str">
        <f aca="false">IF(J1135=1,"✓","")</f>
        <v/>
      </c>
      <c r="F1135" s="4" t="n">
        <v>2</v>
      </c>
      <c r="G1135" s="4" t="n">
        <v>1</v>
      </c>
      <c r="H1135" s="4" t="s">
        <v>213</v>
      </c>
      <c r="I1135" s="4" t="s">
        <v>51</v>
      </c>
      <c r="J1135" s="4" t="n">
        <f aca="false">INDEX('Master List'!$G$2:$G$2594,K1135)</f>
        <v>0</v>
      </c>
      <c r="K1135" s="4" t="n">
        <v>728</v>
      </c>
    </row>
    <row r="1136" customFormat="false" ht="15" hidden="false" customHeight="false" outlineLevel="0" collapsed="false">
      <c r="A1136" s="4" t="n">
        <v>1135</v>
      </c>
      <c r="B1136" s="4" t="s">
        <v>1836</v>
      </c>
      <c r="C1136" s="4" t="n">
        <v>1946</v>
      </c>
      <c r="D1136" s="4" t="s">
        <v>1837</v>
      </c>
      <c r="E1136" s="25" t="str">
        <f aca="false">IF(J1136=1,"✓","")</f>
        <v/>
      </c>
      <c r="F1136" s="4" t="n">
        <v>2</v>
      </c>
      <c r="G1136" s="4" t="n">
        <v>1</v>
      </c>
      <c r="H1136" s="4" t="s">
        <v>213</v>
      </c>
      <c r="I1136" s="4" t="s">
        <v>52</v>
      </c>
      <c r="J1136" s="4" t="n">
        <f aca="false">INDEX('Master List'!$G$2:$G$2594,K1136)</f>
        <v>0</v>
      </c>
      <c r="K1136" s="4" t="n">
        <v>1250</v>
      </c>
    </row>
    <row r="1137" customFormat="false" ht="15" hidden="false" customHeight="false" outlineLevel="0" collapsed="false">
      <c r="A1137" s="4" t="n">
        <v>1136</v>
      </c>
      <c r="B1137" s="4" t="s">
        <v>1838</v>
      </c>
      <c r="C1137" s="4" t="n">
        <v>1946</v>
      </c>
      <c r="D1137" s="4" t="s">
        <v>1839</v>
      </c>
      <c r="E1137" s="25" t="str">
        <f aca="false">IF(J1137=1,"✓","")</f>
        <v/>
      </c>
      <c r="F1137" s="4" t="n">
        <v>2</v>
      </c>
      <c r="G1137" s="4" t="n">
        <v>1</v>
      </c>
      <c r="H1137" s="4" t="s">
        <v>213</v>
      </c>
      <c r="I1137" s="4" t="s">
        <v>52</v>
      </c>
      <c r="J1137" s="4" t="n">
        <f aca="false">INDEX('Master List'!$G$2:$G$2594,K1137)</f>
        <v>0</v>
      </c>
      <c r="K1137" s="4" t="n">
        <v>896</v>
      </c>
    </row>
    <row r="1138" customFormat="false" ht="15" hidden="false" customHeight="false" outlineLevel="0" collapsed="false">
      <c r="A1138" s="4" t="n">
        <v>1137</v>
      </c>
      <c r="B1138" s="4" t="s">
        <v>1840</v>
      </c>
      <c r="C1138" s="4" t="n">
        <v>1947</v>
      </c>
      <c r="D1138" s="4" t="s">
        <v>453</v>
      </c>
      <c r="E1138" s="25" t="str">
        <f aca="false">IF(J1138=1,"✓","")</f>
        <v/>
      </c>
      <c r="F1138" s="4" t="n">
        <v>2</v>
      </c>
      <c r="G1138" s="4" t="n">
        <v>1</v>
      </c>
      <c r="H1138" s="4" t="s">
        <v>213</v>
      </c>
      <c r="I1138" s="4" t="s">
        <v>51</v>
      </c>
      <c r="J1138" s="4" t="n">
        <f aca="false">INDEX('Master List'!$G$2:$G$2594,K1138)</f>
        <v>0</v>
      </c>
      <c r="K1138" s="4" t="n">
        <v>269</v>
      </c>
    </row>
    <row r="1139" customFormat="false" ht="15" hidden="false" customHeight="false" outlineLevel="0" collapsed="false">
      <c r="A1139" s="4" t="n">
        <v>1138</v>
      </c>
      <c r="B1139" s="4" t="s">
        <v>1841</v>
      </c>
      <c r="C1139" s="4" t="n">
        <v>1947</v>
      </c>
      <c r="D1139" s="4" t="s">
        <v>884</v>
      </c>
      <c r="E1139" s="25" t="str">
        <f aca="false">IF(J1139=1,"✓","")</f>
        <v/>
      </c>
      <c r="F1139" s="4" t="n">
        <v>2</v>
      </c>
      <c r="G1139" s="4" t="n">
        <v>1</v>
      </c>
      <c r="H1139" s="4" t="s">
        <v>213</v>
      </c>
      <c r="I1139" s="4" t="s">
        <v>52</v>
      </c>
      <c r="J1139" s="4" t="n">
        <f aca="false">INDEX('Master List'!$G$2:$G$2594,K1139)</f>
        <v>0</v>
      </c>
      <c r="K1139" s="4" t="n">
        <v>1700</v>
      </c>
    </row>
    <row r="1140" customFormat="false" ht="15" hidden="false" customHeight="false" outlineLevel="0" collapsed="false">
      <c r="A1140" s="4" t="n">
        <v>1139</v>
      </c>
      <c r="B1140" s="4" t="s">
        <v>1842</v>
      </c>
      <c r="C1140" s="4" t="n">
        <v>1947</v>
      </c>
      <c r="D1140" s="4" t="s">
        <v>1843</v>
      </c>
      <c r="E1140" s="25" t="str">
        <f aca="false">IF(J1140=1,"✓","")</f>
        <v/>
      </c>
      <c r="F1140" s="4" t="n">
        <v>2</v>
      </c>
      <c r="G1140" s="4" t="n">
        <v>1</v>
      </c>
      <c r="H1140" s="4" t="s">
        <v>213</v>
      </c>
      <c r="I1140" s="4" t="s">
        <v>52</v>
      </c>
      <c r="J1140" s="4" t="n">
        <f aca="false">INDEX('Master List'!$G$2:$G$2594,K1140)</f>
        <v>0</v>
      </c>
      <c r="K1140" s="4" t="n">
        <v>2227</v>
      </c>
    </row>
    <row r="1141" customFormat="false" ht="15" hidden="false" customHeight="false" outlineLevel="0" collapsed="false">
      <c r="A1141" s="4" t="n">
        <v>1140</v>
      </c>
      <c r="B1141" s="4" t="s">
        <v>1844</v>
      </c>
      <c r="C1141" s="4" t="n">
        <v>1947</v>
      </c>
      <c r="D1141" s="4" t="s">
        <v>1845</v>
      </c>
      <c r="E1141" s="25" t="str">
        <f aca="false">IF(J1141=1,"✓","")</f>
        <v/>
      </c>
      <c r="F1141" s="4" t="n">
        <v>2</v>
      </c>
      <c r="G1141" s="4" t="n">
        <v>1</v>
      </c>
      <c r="H1141" s="4" t="s">
        <v>213</v>
      </c>
      <c r="I1141" s="4" t="s">
        <v>52</v>
      </c>
      <c r="J1141" s="4" t="n">
        <f aca="false">INDEX('Master List'!$G$2:$G$2594,K1141)</f>
        <v>0</v>
      </c>
      <c r="K1141" s="4" t="n">
        <v>1611</v>
      </c>
    </row>
    <row r="1142" customFormat="false" ht="15" hidden="false" customHeight="false" outlineLevel="0" collapsed="false">
      <c r="A1142" s="4" t="n">
        <v>1141</v>
      </c>
      <c r="B1142" s="4" t="s">
        <v>1846</v>
      </c>
      <c r="C1142" s="4" t="n">
        <v>1947</v>
      </c>
      <c r="D1142" s="4" t="s">
        <v>1847</v>
      </c>
      <c r="E1142" s="25" t="str">
        <f aca="false">IF(J1142=1,"✓","")</f>
        <v/>
      </c>
      <c r="F1142" s="4" t="n">
        <v>2</v>
      </c>
      <c r="G1142" s="4" t="n">
        <v>1</v>
      </c>
      <c r="H1142" s="4" t="s">
        <v>213</v>
      </c>
      <c r="I1142" s="4" t="s">
        <v>55</v>
      </c>
      <c r="J1142" s="4" t="n">
        <f aca="false">INDEX('Master List'!$G$2:$G$2594,K1142)</f>
        <v>0</v>
      </c>
      <c r="K1142" s="4" t="n">
        <v>564</v>
      </c>
    </row>
    <row r="1143" customFormat="false" ht="15" hidden="false" customHeight="false" outlineLevel="0" collapsed="false">
      <c r="A1143" s="4" t="n">
        <v>1142</v>
      </c>
      <c r="B1143" s="4" t="s">
        <v>1848</v>
      </c>
      <c r="C1143" s="4" t="n">
        <v>1947</v>
      </c>
      <c r="D1143" s="4" t="s">
        <v>1849</v>
      </c>
      <c r="E1143" s="25" t="str">
        <f aca="false">IF(J1143=1,"✓","")</f>
        <v/>
      </c>
      <c r="F1143" s="4" t="n">
        <v>2</v>
      </c>
      <c r="G1143" s="4" t="n">
        <v>1</v>
      </c>
      <c r="H1143" s="4" t="s">
        <v>213</v>
      </c>
      <c r="I1143" s="4" t="s">
        <v>56</v>
      </c>
      <c r="J1143" s="4" t="n">
        <f aca="false">INDEX('Master List'!$G$2:$G$2594,K1143)</f>
        <v>0</v>
      </c>
      <c r="K1143" s="4" t="n">
        <v>1511</v>
      </c>
    </row>
    <row r="1144" customFormat="false" ht="15" hidden="false" customHeight="false" outlineLevel="0" collapsed="false">
      <c r="A1144" s="4" t="n">
        <v>1143</v>
      </c>
      <c r="B1144" s="4" t="s">
        <v>1850</v>
      </c>
      <c r="C1144" s="4" t="n">
        <v>1947</v>
      </c>
      <c r="D1144" s="4" t="s">
        <v>539</v>
      </c>
      <c r="E1144" s="25" t="str">
        <f aca="false">IF(J1144=1,"✓","")</f>
        <v/>
      </c>
      <c r="F1144" s="4" t="n">
        <v>2</v>
      </c>
      <c r="G1144" s="4" t="n">
        <v>1</v>
      </c>
      <c r="H1144" s="4" t="s">
        <v>213</v>
      </c>
      <c r="I1144" s="4" t="s">
        <v>57</v>
      </c>
      <c r="J1144" s="4" t="n">
        <f aca="false">INDEX('Master List'!$G$2:$G$2594,K1144)</f>
        <v>0</v>
      </c>
      <c r="K1144" s="4" t="n">
        <v>1649</v>
      </c>
    </row>
    <row r="1145" customFormat="false" ht="15" hidden="false" customHeight="false" outlineLevel="0" collapsed="false">
      <c r="A1145" s="4" t="n">
        <v>1144</v>
      </c>
      <c r="B1145" s="4" t="s">
        <v>1851</v>
      </c>
      <c r="C1145" s="4" t="n">
        <v>1948</v>
      </c>
      <c r="D1145" s="4" t="s">
        <v>1852</v>
      </c>
      <c r="E1145" s="25" t="str">
        <f aca="false">IF(J1145=1,"✓","")</f>
        <v/>
      </c>
      <c r="F1145" s="4" t="n">
        <v>2</v>
      </c>
      <c r="G1145" s="4" t="n">
        <v>1</v>
      </c>
      <c r="H1145" s="4" t="s">
        <v>213</v>
      </c>
      <c r="I1145" s="4" t="s">
        <v>51</v>
      </c>
      <c r="J1145" s="4" t="n">
        <f aca="false">INDEX('Master List'!$G$2:$G$2594,K1145)</f>
        <v>0</v>
      </c>
      <c r="K1145" s="4" t="n">
        <v>2139</v>
      </c>
    </row>
    <row r="1146" customFormat="false" ht="15" hidden="false" customHeight="false" outlineLevel="0" collapsed="false">
      <c r="A1146" s="4" t="n">
        <v>1145</v>
      </c>
      <c r="B1146" s="4" t="s">
        <v>1853</v>
      </c>
      <c r="C1146" s="4" t="n">
        <v>1948</v>
      </c>
      <c r="D1146" s="4" t="s">
        <v>1854</v>
      </c>
      <c r="E1146" s="25" t="str">
        <f aca="false">IF(J1146=1,"✓","")</f>
        <v/>
      </c>
      <c r="F1146" s="4" t="n">
        <v>2</v>
      </c>
      <c r="G1146" s="4" t="n">
        <v>1</v>
      </c>
      <c r="H1146" s="4" t="s">
        <v>213</v>
      </c>
      <c r="I1146" s="4" t="s">
        <v>52</v>
      </c>
      <c r="J1146" s="4" t="n">
        <f aca="false">INDEX('Master List'!$G$2:$G$2594,K1146)</f>
        <v>0</v>
      </c>
      <c r="K1146" s="4" t="n">
        <v>834</v>
      </c>
    </row>
    <row r="1147" customFormat="false" ht="15" hidden="false" customHeight="false" outlineLevel="0" collapsed="false">
      <c r="A1147" s="4" t="n">
        <v>1146</v>
      </c>
      <c r="B1147" s="4" t="s">
        <v>1855</v>
      </c>
      <c r="C1147" s="4" t="n">
        <v>1948</v>
      </c>
      <c r="D1147" s="4" t="s">
        <v>1856</v>
      </c>
      <c r="E1147" s="25" t="str">
        <f aca="false">IF(J1147=1,"✓","")</f>
        <v/>
      </c>
      <c r="F1147" s="4" t="n">
        <v>2</v>
      </c>
      <c r="G1147" s="4" t="n">
        <v>1</v>
      </c>
      <c r="H1147" s="4" t="s">
        <v>213</v>
      </c>
      <c r="I1147" s="4" t="s">
        <v>52</v>
      </c>
      <c r="J1147" s="4" t="n">
        <f aca="false">INDEX('Master List'!$G$2:$G$2594,K1147)</f>
        <v>0</v>
      </c>
      <c r="K1147" s="4" t="n">
        <v>1326</v>
      </c>
    </row>
    <row r="1148" customFormat="false" ht="15" hidden="false" customHeight="false" outlineLevel="0" collapsed="false">
      <c r="A1148" s="4" t="n">
        <v>1147</v>
      </c>
      <c r="B1148" s="4" t="s">
        <v>1857</v>
      </c>
      <c r="C1148" s="4" t="n">
        <v>1948</v>
      </c>
      <c r="D1148" s="4" t="s">
        <v>270</v>
      </c>
      <c r="E1148" s="25" t="str">
        <f aca="false">IF(J1148=1,"✓","")</f>
        <v/>
      </c>
      <c r="F1148" s="4" t="n">
        <v>2</v>
      </c>
      <c r="G1148" s="4" t="n">
        <v>1</v>
      </c>
      <c r="H1148" s="4" t="s">
        <v>213</v>
      </c>
      <c r="I1148" s="4" t="s">
        <v>53</v>
      </c>
      <c r="J1148" s="4" t="n">
        <f aca="false">INDEX('Master List'!$G$2:$G$2594,K1148)</f>
        <v>0</v>
      </c>
      <c r="K1148" s="4" t="n">
        <v>2271</v>
      </c>
    </row>
    <row r="1149" customFormat="false" ht="15" hidden="false" customHeight="false" outlineLevel="0" collapsed="false">
      <c r="A1149" s="4" t="n">
        <v>1148</v>
      </c>
      <c r="B1149" s="4" t="s">
        <v>1858</v>
      </c>
      <c r="C1149" s="4" t="n">
        <v>1948</v>
      </c>
      <c r="D1149" s="4" t="s">
        <v>156</v>
      </c>
      <c r="E1149" s="25" t="str">
        <f aca="false">IF(J1149=1,"✓","")</f>
        <v/>
      </c>
      <c r="F1149" s="4" t="n">
        <v>2</v>
      </c>
      <c r="G1149" s="4" t="n">
        <v>1</v>
      </c>
      <c r="H1149" s="4" t="s">
        <v>213</v>
      </c>
      <c r="I1149" s="4" t="s">
        <v>53</v>
      </c>
      <c r="J1149" s="4" t="n">
        <f aca="false">INDEX('Master List'!$G$2:$G$2594,K1149)</f>
        <v>0</v>
      </c>
      <c r="K1149" s="4" t="n">
        <v>683</v>
      </c>
    </row>
    <row r="1150" customFormat="false" ht="15" hidden="false" customHeight="false" outlineLevel="0" collapsed="false">
      <c r="A1150" s="4" t="n">
        <v>1149</v>
      </c>
      <c r="B1150" s="4" t="s">
        <v>1859</v>
      </c>
      <c r="C1150" s="4" t="n">
        <v>1948</v>
      </c>
      <c r="D1150" s="4" t="s">
        <v>255</v>
      </c>
      <c r="E1150" s="25" t="str">
        <f aca="false">IF(J1150=1,"✓","")</f>
        <v/>
      </c>
      <c r="F1150" s="4" t="n">
        <v>2</v>
      </c>
      <c r="G1150" s="4" t="n">
        <v>1</v>
      </c>
      <c r="H1150" s="4" t="s">
        <v>213</v>
      </c>
      <c r="I1150" s="4" t="s">
        <v>53</v>
      </c>
      <c r="J1150" s="4" t="n">
        <f aca="false">INDEX('Master List'!$G$2:$G$2594,K1150)</f>
        <v>0</v>
      </c>
      <c r="K1150" s="4" t="n">
        <v>1659</v>
      </c>
    </row>
    <row r="1151" customFormat="false" ht="15" hidden="false" customHeight="false" outlineLevel="0" collapsed="false">
      <c r="A1151" s="4" t="n">
        <v>1150</v>
      </c>
      <c r="B1151" s="4" t="s">
        <v>1860</v>
      </c>
      <c r="C1151" s="4" t="n">
        <v>1948</v>
      </c>
      <c r="D1151" s="4" t="s">
        <v>1861</v>
      </c>
      <c r="E1151" s="25" t="str">
        <f aca="false">IF(J1151=1,"✓","")</f>
        <v/>
      </c>
      <c r="F1151" s="4" t="n">
        <v>2</v>
      </c>
      <c r="G1151" s="4" t="n">
        <v>1</v>
      </c>
      <c r="H1151" s="4" t="s">
        <v>213</v>
      </c>
      <c r="I1151" s="4" t="s">
        <v>55</v>
      </c>
      <c r="J1151" s="4" t="n">
        <f aca="false">INDEX('Master List'!$G$2:$G$2594,K1151)</f>
        <v>0</v>
      </c>
      <c r="K1151" s="4" t="n">
        <v>2099</v>
      </c>
    </row>
    <row r="1152" customFormat="false" ht="15" hidden="false" customHeight="false" outlineLevel="0" collapsed="false">
      <c r="A1152" s="4" t="n">
        <v>1151</v>
      </c>
      <c r="B1152" s="4" t="s">
        <v>1862</v>
      </c>
      <c r="C1152" s="4" t="n">
        <v>1949</v>
      </c>
      <c r="D1152" s="4" t="s">
        <v>1863</v>
      </c>
      <c r="E1152" s="25" t="str">
        <f aca="false">IF(J1152=1,"✓","")</f>
        <v/>
      </c>
      <c r="F1152" s="4" t="n">
        <v>2</v>
      </c>
      <c r="G1152" s="4" t="n">
        <v>1</v>
      </c>
      <c r="H1152" s="4" t="s">
        <v>213</v>
      </c>
      <c r="I1152" s="4" t="s">
        <v>51</v>
      </c>
      <c r="J1152" s="4" t="n">
        <f aca="false">INDEX('Master List'!$G$2:$G$2594,K1152)</f>
        <v>0</v>
      </c>
      <c r="K1152" s="4" t="n">
        <v>260</v>
      </c>
    </row>
    <row r="1153" customFormat="false" ht="15" hidden="false" customHeight="false" outlineLevel="0" collapsed="false">
      <c r="A1153" s="4" t="n">
        <v>1152</v>
      </c>
      <c r="B1153" s="4" t="s">
        <v>1864</v>
      </c>
      <c r="C1153" s="4" t="n">
        <v>1949</v>
      </c>
      <c r="D1153" s="4" t="s">
        <v>1865</v>
      </c>
      <c r="E1153" s="25" t="str">
        <f aca="false">IF(J1153=1,"✓","")</f>
        <v/>
      </c>
      <c r="F1153" s="4" t="n">
        <v>2</v>
      </c>
      <c r="G1153" s="4" t="n">
        <v>1</v>
      </c>
      <c r="H1153" s="4" t="s">
        <v>213</v>
      </c>
      <c r="I1153" s="4" t="s">
        <v>51</v>
      </c>
      <c r="J1153" s="4" t="n">
        <f aca="false">INDEX('Master List'!$G$2:$G$2594,K1153)</f>
        <v>0</v>
      </c>
      <c r="K1153" s="4" t="n">
        <v>1730</v>
      </c>
    </row>
    <row r="1154" customFormat="false" ht="15" hidden="false" customHeight="false" outlineLevel="0" collapsed="false">
      <c r="A1154" s="4" t="n">
        <v>1153</v>
      </c>
      <c r="B1154" s="4" t="s">
        <v>1866</v>
      </c>
      <c r="C1154" s="4" t="n">
        <v>1949</v>
      </c>
      <c r="D1154" s="4" t="s">
        <v>411</v>
      </c>
      <c r="E1154" s="25" t="str">
        <f aca="false">IF(J1154=1,"✓","")</f>
        <v/>
      </c>
      <c r="F1154" s="4" t="n">
        <v>2</v>
      </c>
      <c r="G1154" s="4" t="n">
        <v>1</v>
      </c>
      <c r="H1154" s="4" t="s">
        <v>213</v>
      </c>
      <c r="I1154" s="4" t="s">
        <v>51</v>
      </c>
      <c r="J1154" s="4" t="n">
        <f aca="false">INDEX('Master List'!$G$2:$G$2594,K1154)</f>
        <v>0</v>
      </c>
      <c r="K1154" s="4" t="n">
        <v>2498</v>
      </c>
    </row>
    <row r="1155" customFormat="false" ht="15" hidden="false" customHeight="false" outlineLevel="0" collapsed="false">
      <c r="A1155" s="4" t="n">
        <v>1154</v>
      </c>
      <c r="B1155" s="4" t="s">
        <v>1867</v>
      </c>
      <c r="C1155" s="4" t="n">
        <v>1949</v>
      </c>
      <c r="D1155" s="4" t="s">
        <v>205</v>
      </c>
      <c r="E1155" s="25" t="str">
        <f aca="false">IF(J1155=1,"✓","")</f>
        <v/>
      </c>
      <c r="F1155" s="4" t="n">
        <v>2</v>
      </c>
      <c r="G1155" s="4" t="n">
        <v>1</v>
      </c>
      <c r="H1155" s="4" t="s">
        <v>213</v>
      </c>
      <c r="I1155" s="4" t="s">
        <v>52</v>
      </c>
      <c r="J1155" s="4" t="n">
        <f aca="false">INDEX('Master List'!$G$2:$G$2594,K1155)</f>
        <v>0</v>
      </c>
      <c r="K1155" s="4" t="n">
        <v>2042</v>
      </c>
    </row>
    <row r="1156" customFormat="false" ht="15" hidden="false" customHeight="false" outlineLevel="0" collapsed="false">
      <c r="A1156" s="4" t="n">
        <v>1155</v>
      </c>
      <c r="B1156" s="4" t="s">
        <v>1868</v>
      </c>
      <c r="C1156" s="4" t="n">
        <v>1949</v>
      </c>
      <c r="D1156" s="4" t="s">
        <v>1869</v>
      </c>
      <c r="E1156" s="25" t="str">
        <f aca="false">IF(J1156=1,"✓","")</f>
        <v/>
      </c>
      <c r="F1156" s="4" t="n">
        <v>2</v>
      </c>
      <c r="G1156" s="4" t="n">
        <v>1</v>
      </c>
      <c r="H1156" s="4" t="s">
        <v>213</v>
      </c>
      <c r="I1156" s="4" t="s">
        <v>52</v>
      </c>
      <c r="J1156" s="4" t="n">
        <f aca="false">INDEX('Master List'!$G$2:$G$2594,K1156)</f>
        <v>0</v>
      </c>
      <c r="K1156" s="4" t="n">
        <v>2502</v>
      </c>
    </row>
    <row r="1157" customFormat="false" ht="15" hidden="false" customHeight="false" outlineLevel="0" collapsed="false">
      <c r="A1157" s="4" t="n">
        <v>1156</v>
      </c>
      <c r="B1157" s="4" t="s">
        <v>1870</v>
      </c>
      <c r="C1157" s="4" t="n">
        <v>1949</v>
      </c>
      <c r="D1157" s="4" t="s">
        <v>305</v>
      </c>
      <c r="E1157" s="25" t="str">
        <f aca="false">IF(J1157=1,"✓","")</f>
        <v/>
      </c>
      <c r="F1157" s="4" t="n">
        <v>2</v>
      </c>
      <c r="G1157" s="4" t="n">
        <v>1</v>
      </c>
      <c r="H1157" s="4" t="s">
        <v>213</v>
      </c>
      <c r="I1157" s="4" t="s">
        <v>52</v>
      </c>
      <c r="J1157" s="4" t="n">
        <f aca="false">INDEX('Master List'!$G$2:$G$2594,K1157)</f>
        <v>0</v>
      </c>
      <c r="K1157" s="4" t="n">
        <v>1018</v>
      </c>
    </row>
    <row r="1158" customFormat="false" ht="15" hidden="false" customHeight="false" outlineLevel="0" collapsed="false">
      <c r="A1158" s="4" t="n">
        <v>1157</v>
      </c>
      <c r="B1158" s="4" t="s">
        <v>1871</v>
      </c>
      <c r="C1158" s="4" t="n">
        <v>1949</v>
      </c>
      <c r="D1158" s="4" t="s">
        <v>537</v>
      </c>
      <c r="E1158" s="25" t="str">
        <f aca="false">IF(J1158=1,"✓","")</f>
        <v/>
      </c>
      <c r="F1158" s="4" t="n">
        <v>2</v>
      </c>
      <c r="G1158" s="4" t="n">
        <v>1</v>
      </c>
      <c r="H1158" s="4" t="s">
        <v>213</v>
      </c>
      <c r="I1158" s="4" t="s">
        <v>52</v>
      </c>
      <c r="J1158" s="4" t="n">
        <f aca="false">INDEX('Master List'!$G$2:$G$2594,K1158)</f>
        <v>0</v>
      </c>
      <c r="K1158" s="4" t="n">
        <v>41</v>
      </c>
    </row>
    <row r="1159" customFormat="false" ht="15" hidden="false" customHeight="false" outlineLevel="0" collapsed="false">
      <c r="A1159" s="4" t="n">
        <v>1158</v>
      </c>
      <c r="B1159" s="4" t="s">
        <v>1872</v>
      </c>
      <c r="C1159" s="4" t="n">
        <v>1949</v>
      </c>
      <c r="D1159" s="4" t="s">
        <v>1873</v>
      </c>
      <c r="E1159" s="25" t="str">
        <f aca="false">IF(J1159=1,"✓","")</f>
        <v/>
      </c>
      <c r="F1159" s="4" t="n">
        <v>2</v>
      </c>
      <c r="G1159" s="4" t="n">
        <v>1</v>
      </c>
      <c r="H1159" s="4" t="s">
        <v>213</v>
      </c>
      <c r="I1159" s="4" t="s">
        <v>55</v>
      </c>
      <c r="J1159" s="4" t="n">
        <f aca="false">INDEX('Master List'!$G$2:$G$2594,K1159)</f>
        <v>0</v>
      </c>
      <c r="K1159" s="4" t="n">
        <v>77</v>
      </c>
    </row>
    <row r="1160" customFormat="false" ht="15" hidden="false" customHeight="false" outlineLevel="0" collapsed="false">
      <c r="A1160" s="4" t="n">
        <v>1159</v>
      </c>
      <c r="B1160" s="4" t="s">
        <v>1874</v>
      </c>
      <c r="C1160" s="4" t="n">
        <v>1949</v>
      </c>
      <c r="D1160" s="4" t="s">
        <v>789</v>
      </c>
      <c r="E1160" s="25" t="str">
        <f aca="false">IF(J1160=1,"✓","")</f>
        <v/>
      </c>
      <c r="F1160" s="4" t="n">
        <v>2</v>
      </c>
      <c r="G1160" s="4" t="n">
        <v>1</v>
      </c>
      <c r="H1160" s="4" t="s">
        <v>213</v>
      </c>
      <c r="I1160" s="4" t="s">
        <v>56</v>
      </c>
      <c r="J1160" s="4" t="n">
        <f aca="false">INDEX('Master List'!$G$2:$G$2594,K1160)</f>
        <v>0</v>
      </c>
      <c r="K1160" s="4" t="n">
        <v>2016</v>
      </c>
    </row>
    <row r="1161" customFormat="false" ht="15" hidden="false" customHeight="false" outlineLevel="0" collapsed="false">
      <c r="A1161" s="4" t="n">
        <v>1160</v>
      </c>
      <c r="B1161" s="4" t="s">
        <v>1875</v>
      </c>
      <c r="C1161" s="4" t="n">
        <v>1950</v>
      </c>
      <c r="D1161" s="4" t="s">
        <v>1876</v>
      </c>
      <c r="E1161" s="25" t="str">
        <f aca="false">IF(J1161=1,"✓","")</f>
        <v/>
      </c>
      <c r="F1161" s="4" t="n">
        <v>2</v>
      </c>
      <c r="G1161" s="4" t="n">
        <v>1</v>
      </c>
      <c r="H1161" s="4" t="s">
        <v>213</v>
      </c>
      <c r="I1161" s="4" t="s">
        <v>52</v>
      </c>
      <c r="J1161" s="4" t="n">
        <f aca="false">INDEX('Master List'!$G$2:$G$2594,K1161)</f>
        <v>0</v>
      </c>
      <c r="K1161" s="4" t="n">
        <v>973</v>
      </c>
    </row>
    <row r="1162" customFormat="false" ht="15" hidden="false" customHeight="false" outlineLevel="0" collapsed="false">
      <c r="A1162" s="4" t="n">
        <v>1161</v>
      </c>
      <c r="B1162" s="4" t="s">
        <v>1877</v>
      </c>
      <c r="C1162" s="4" t="n">
        <v>1950</v>
      </c>
      <c r="D1162" s="4" t="s">
        <v>658</v>
      </c>
      <c r="E1162" s="25" t="str">
        <f aca="false">IF(J1162=1,"✓","")</f>
        <v/>
      </c>
      <c r="F1162" s="4" t="n">
        <v>2</v>
      </c>
      <c r="G1162" s="4" t="n">
        <v>1</v>
      </c>
      <c r="H1162" s="4" t="s">
        <v>213</v>
      </c>
      <c r="I1162" s="4" t="s">
        <v>52</v>
      </c>
      <c r="J1162" s="4" t="n">
        <f aca="false">INDEX('Master List'!$G$2:$G$2594,K1162)</f>
        <v>0</v>
      </c>
      <c r="K1162" s="4" t="n">
        <v>1601</v>
      </c>
    </row>
    <row r="1163" customFormat="false" ht="15" hidden="false" customHeight="false" outlineLevel="0" collapsed="false">
      <c r="A1163" s="4" t="n">
        <v>1162</v>
      </c>
      <c r="B1163" s="4" t="s">
        <v>1878</v>
      </c>
      <c r="C1163" s="4" t="n">
        <v>1950</v>
      </c>
      <c r="D1163" s="4" t="s">
        <v>1843</v>
      </c>
      <c r="E1163" s="25" t="str">
        <f aca="false">IF(J1163=1,"✓","")</f>
        <v>✓</v>
      </c>
      <c r="F1163" s="4" t="n">
        <v>2</v>
      </c>
      <c r="G1163" s="4" t="n">
        <v>1</v>
      </c>
      <c r="H1163" s="4" t="s">
        <v>213</v>
      </c>
      <c r="I1163" s="4" t="s">
        <v>52</v>
      </c>
      <c r="J1163" s="4" t="n">
        <f aca="false">INDEX('Master List'!$G$2:$G$2594,K1163)</f>
        <v>1</v>
      </c>
      <c r="K1163" s="4" t="n">
        <v>2519</v>
      </c>
    </row>
    <row r="1164" customFormat="false" ht="15" hidden="false" customHeight="false" outlineLevel="0" collapsed="false">
      <c r="A1164" s="4" t="n">
        <v>1163</v>
      </c>
      <c r="B1164" s="4" t="s">
        <v>1879</v>
      </c>
      <c r="C1164" s="4" t="n">
        <v>1950</v>
      </c>
      <c r="D1164" s="4" t="s">
        <v>1737</v>
      </c>
      <c r="E1164" s="25" t="str">
        <f aca="false">IF(J1164=1,"✓","")</f>
        <v/>
      </c>
      <c r="F1164" s="4" t="n">
        <v>2</v>
      </c>
      <c r="G1164" s="4" t="n">
        <v>1</v>
      </c>
      <c r="H1164" s="4" t="s">
        <v>213</v>
      </c>
      <c r="I1164" s="4" t="s">
        <v>52</v>
      </c>
      <c r="J1164" s="4" t="n">
        <f aca="false">INDEX('Master List'!$G$2:$G$2594,K1164)</f>
        <v>0</v>
      </c>
      <c r="K1164" s="4" t="n">
        <v>1693</v>
      </c>
    </row>
    <row r="1165" customFormat="false" ht="15" hidden="false" customHeight="false" outlineLevel="0" collapsed="false">
      <c r="A1165" s="4" t="n">
        <v>1164</v>
      </c>
      <c r="B1165" s="4" t="s">
        <v>1880</v>
      </c>
      <c r="C1165" s="4" t="n">
        <v>1950</v>
      </c>
      <c r="D1165" s="4" t="s">
        <v>217</v>
      </c>
      <c r="E1165" s="25" t="str">
        <f aca="false">IF(J1165=1,"✓","")</f>
        <v/>
      </c>
      <c r="F1165" s="4" t="n">
        <v>2</v>
      </c>
      <c r="G1165" s="4" t="n">
        <v>1</v>
      </c>
      <c r="H1165" s="4" t="s">
        <v>213</v>
      </c>
      <c r="I1165" s="4" t="s">
        <v>53</v>
      </c>
      <c r="J1165" s="4" t="n">
        <f aca="false">INDEX('Master List'!$G$2:$G$2594,K1165)</f>
        <v>0</v>
      </c>
      <c r="K1165" s="4" t="n">
        <v>2165</v>
      </c>
    </row>
    <row r="1166" customFormat="false" ht="15" hidden="false" customHeight="false" outlineLevel="0" collapsed="false">
      <c r="A1166" s="4" t="n">
        <v>1165</v>
      </c>
      <c r="B1166" s="4" t="s">
        <v>1881</v>
      </c>
      <c r="C1166" s="4" t="n">
        <v>1951</v>
      </c>
      <c r="D1166" s="4" t="s">
        <v>453</v>
      </c>
      <c r="E1166" s="25" t="str">
        <f aca="false">IF(J1166=1,"✓","")</f>
        <v/>
      </c>
      <c r="F1166" s="4" t="n">
        <v>2</v>
      </c>
      <c r="G1166" s="4" t="n">
        <v>1</v>
      </c>
      <c r="H1166" s="4" t="s">
        <v>213</v>
      </c>
      <c r="I1166" s="4" t="s">
        <v>51</v>
      </c>
      <c r="J1166" s="4" t="n">
        <f aca="false">INDEX('Master List'!$G$2:$G$2594,K1166)</f>
        <v>0</v>
      </c>
      <c r="K1166" s="4" t="n">
        <v>2235</v>
      </c>
    </row>
    <row r="1167" customFormat="false" ht="15" hidden="false" customHeight="false" outlineLevel="0" collapsed="false">
      <c r="A1167" s="4" t="n">
        <v>1166</v>
      </c>
      <c r="B1167" s="4" t="s">
        <v>1882</v>
      </c>
      <c r="C1167" s="4" t="n">
        <v>1951</v>
      </c>
      <c r="D1167" s="4" t="s">
        <v>570</v>
      </c>
      <c r="E1167" s="25" t="str">
        <f aca="false">IF(J1167=1,"✓","")</f>
        <v/>
      </c>
      <c r="F1167" s="4" t="n">
        <v>2</v>
      </c>
      <c r="G1167" s="4" t="n">
        <v>1</v>
      </c>
      <c r="H1167" s="4" t="s">
        <v>213</v>
      </c>
      <c r="I1167" s="4" t="s">
        <v>52</v>
      </c>
      <c r="J1167" s="4" t="n">
        <f aca="false">INDEX('Master List'!$G$2:$G$2594,K1167)</f>
        <v>0</v>
      </c>
      <c r="K1167" s="4" t="n">
        <v>91</v>
      </c>
    </row>
    <row r="1168" customFormat="false" ht="15" hidden="false" customHeight="false" outlineLevel="0" collapsed="false">
      <c r="A1168" s="4" t="n">
        <v>1167</v>
      </c>
      <c r="B1168" s="4" t="s">
        <v>1883</v>
      </c>
      <c r="C1168" s="4" t="n">
        <v>1951</v>
      </c>
      <c r="D1168" s="4" t="s">
        <v>162</v>
      </c>
      <c r="E1168" s="25" t="str">
        <f aca="false">IF(J1168=1,"✓","")</f>
        <v/>
      </c>
      <c r="F1168" s="4" t="n">
        <v>2</v>
      </c>
      <c r="G1168" s="4" t="n">
        <v>1</v>
      </c>
      <c r="H1168" s="4" t="s">
        <v>213</v>
      </c>
      <c r="I1168" s="4" t="s">
        <v>53</v>
      </c>
      <c r="J1168" s="4" t="n">
        <f aca="false">INDEX('Master List'!$G$2:$G$2594,K1168)</f>
        <v>0</v>
      </c>
      <c r="K1168" s="4" t="n">
        <v>2177</v>
      </c>
    </row>
    <row r="1169" customFormat="false" ht="15" hidden="false" customHeight="false" outlineLevel="0" collapsed="false">
      <c r="A1169" s="4" t="n">
        <v>1168</v>
      </c>
      <c r="B1169" s="4" t="s">
        <v>1884</v>
      </c>
      <c r="C1169" s="4" t="n">
        <v>1951</v>
      </c>
      <c r="D1169" s="4" t="s">
        <v>143</v>
      </c>
      <c r="E1169" s="25" t="str">
        <f aca="false">IF(J1169=1,"✓","")</f>
        <v/>
      </c>
      <c r="F1169" s="4" t="n">
        <v>2</v>
      </c>
      <c r="G1169" s="4" t="n">
        <v>1</v>
      </c>
      <c r="H1169" s="4" t="s">
        <v>213</v>
      </c>
      <c r="I1169" s="4" t="s">
        <v>53</v>
      </c>
      <c r="J1169" s="4" t="n">
        <f aca="false">INDEX('Master List'!$G$2:$G$2594,K1169)</f>
        <v>0</v>
      </c>
      <c r="K1169" s="4" t="n">
        <v>1695</v>
      </c>
    </row>
    <row r="1170" customFormat="false" ht="15" hidden="false" customHeight="false" outlineLevel="0" collapsed="false">
      <c r="A1170" s="4" t="n">
        <v>1169</v>
      </c>
      <c r="B1170" s="4" t="s">
        <v>1885</v>
      </c>
      <c r="C1170" s="4" t="n">
        <v>1951</v>
      </c>
      <c r="D1170" s="4" t="s">
        <v>234</v>
      </c>
      <c r="E1170" s="25" t="str">
        <f aca="false">IF(J1170=1,"✓","")</f>
        <v/>
      </c>
      <c r="F1170" s="4" t="n">
        <v>2</v>
      </c>
      <c r="G1170" s="4" t="n">
        <v>1</v>
      </c>
      <c r="H1170" s="4" t="s">
        <v>213</v>
      </c>
      <c r="I1170" s="4" t="s">
        <v>53</v>
      </c>
      <c r="J1170" s="4" t="n">
        <f aca="false">INDEX('Master List'!$G$2:$G$2594,K1170)</f>
        <v>0</v>
      </c>
      <c r="K1170" s="4" t="n">
        <v>1910</v>
      </c>
    </row>
    <row r="1171" customFormat="false" ht="15" hidden="false" customHeight="false" outlineLevel="0" collapsed="false">
      <c r="A1171" s="4" t="n">
        <v>1170</v>
      </c>
      <c r="B1171" s="4" t="s">
        <v>1886</v>
      </c>
      <c r="C1171" s="4" t="n">
        <v>1951</v>
      </c>
      <c r="D1171" s="4" t="s">
        <v>759</v>
      </c>
      <c r="E1171" s="25" t="str">
        <f aca="false">IF(J1171=1,"✓","")</f>
        <v/>
      </c>
      <c r="F1171" s="4" t="n">
        <v>2</v>
      </c>
      <c r="G1171" s="4" t="n">
        <v>1</v>
      </c>
      <c r="H1171" s="4" t="s">
        <v>213</v>
      </c>
      <c r="I1171" s="4" t="s">
        <v>53</v>
      </c>
      <c r="J1171" s="4" t="n">
        <f aca="false">INDEX('Master List'!$G$2:$G$2594,K1171)</f>
        <v>0</v>
      </c>
      <c r="K1171" s="4" t="n">
        <v>1885</v>
      </c>
    </row>
    <row r="1172" customFormat="false" ht="15" hidden="false" customHeight="false" outlineLevel="0" collapsed="false">
      <c r="A1172" s="4" t="n">
        <v>1171</v>
      </c>
      <c r="B1172" s="4" t="s">
        <v>1887</v>
      </c>
      <c r="C1172" s="4" t="n">
        <v>1952</v>
      </c>
      <c r="D1172" s="4" t="s">
        <v>1843</v>
      </c>
      <c r="E1172" s="25" t="str">
        <f aca="false">IF(J1172=1,"✓","")</f>
        <v/>
      </c>
      <c r="F1172" s="4" t="n">
        <v>2</v>
      </c>
      <c r="G1172" s="4" t="n">
        <v>1</v>
      </c>
      <c r="H1172" s="4" t="s">
        <v>213</v>
      </c>
      <c r="I1172" s="4" t="s">
        <v>52</v>
      </c>
      <c r="J1172" s="4" t="n">
        <f aca="false">INDEX('Master List'!$G$2:$G$2594,K1172)</f>
        <v>0</v>
      </c>
      <c r="K1172" s="4" t="n">
        <v>224</v>
      </c>
    </row>
    <row r="1173" customFormat="false" ht="15" hidden="false" customHeight="false" outlineLevel="0" collapsed="false">
      <c r="A1173" s="4" t="n">
        <v>1172</v>
      </c>
      <c r="B1173" s="4" t="s">
        <v>1888</v>
      </c>
      <c r="C1173" s="4" t="n">
        <v>1952</v>
      </c>
      <c r="D1173" s="4" t="s">
        <v>205</v>
      </c>
      <c r="E1173" s="25" t="str">
        <f aca="false">IF(J1173=1,"✓","")</f>
        <v/>
      </c>
      <c r="F1173" s="4" t="n">
        <v>2</v>
      </c>
      <c r="G1173" s="4" t="n">
        <v>1</v>
      </c>
      <c r="H1173" s="4" t="s">
        <v>213</v>
      </c>
      <c r="I1173" s="4" t="s">
        <v>53</v>
      </c>
      <c r="J1173" s="4" t="n">
        <f aca="false">INDEX('Master List'!$G$2:$G$2594,K1173)</f>
        <v>0</v>
      </c>
      <c r="K1173" s="4" t="n">
        <v>1844</v>
      </c>
    </row>
    <row r="1174" customFormat="false" ht="15" hidden="false" customHeight="false" outlineLevel="0" collapsed="false">
      <c r="A1174" s="4" t="n">
        <v>1173</v>
      </c>
      <c r="B1174" s="4" t="s">
        <v>1889</v>
      </c>
      <c r="C1174" s="4" t="n">
        <v>1952</v>
      </c>
      <c r="D1174" s="4" t="s">
        <v>570</v>
      </c>
      <c r="E1174" s="25" t="str">
        <f aca="false">IF(J1174=1,"✓","")</f>
        <v/>
      </c>
      <c r="F1174" s="4" t="n">
        <v>2</v>
      </c>
      <c r="G1174" s="4" t="n">
        <v>1</v>
      </c>
      <c r="H1174" s="4" t="s">
        <v>213</v>
      </c>
      <c r="I1174" s="4" t="s">
        <v>55</v>
      </c>
      <c r="J1174" s="4" t="n">
        <f aca="false">INDEX('Master List'!$G$2:$G$2594,K1174)</f>
        <v>0</v>
      </c>
      <c r="K1174" s="4" t="n">
        <v>166</v>
      </c>
    </row>
    <row r="1175" customFormat="false" ht="15" hidden="false" customHeight="false" outlineLevel="0" collapsed="false">
      <c r="A1175" s="4" t="n">
        <v>1174</v>
      </c>
      <c r="B1175" s="4" t="s">
        <v>1890</v>
      </c>
      <c r="C1175" s="4" t="n">
        <v>1953</v>
      </c>
      <c r="D1175" s="4" t="s">
        <v>1891</v>
      </c>
      <c r="E1175" s="25" t="str">
        <f aca="false">IF(J1175=1,"✓","")</f>
        <v/>
      </c>
      <c r="F1175" s="4" t="n">
        <v>2</v>
      </c>
      <c r="G1175" s="4" t="n">
        <v>1</v>
      </c>
      <c r="H1175" s="4" t="s">
        <v>213</v>
      </c>
      <c r="I1175" s="4" t="s">
        <v>51</v>
      </c>
      <c r="J1175" s="4" t="n">
        <f aca="false">INDEX('Master List'!$G$2:$G$2594,K1175)</f>
        <v>0</v>
      </c>
      <c r="K1175" s="4" t="n">
        <v>2479</v>
      </c>
    </row>
    <row r="1176" customFormat="false" ht="15" hidden="false" customHeight="false" outlineLevel="0" collapsed="false">
      <c r="A1176" s="4" t="n">
        <v>1175</v>
      </c>
      <c r="B1176" s="4" t="s">
        <v>1892</v>
      </c>
      <c r="C1176" s="4" t="n">
        <v>1953</v>
      </c>
      <c r="D1176" s="4" t="s">
        <v>248</v>
      </c>
      <c r="E1176" s="25" t="str">
        <f aca="false">IF(J1176=1,"✓","")</f>
        <v/>
      </c>
      <c r="F1176" s="4" t="n">
        <v>2</v>
      </c>
      <c r="G1176" s="4" t="n">
        <v>1</v>
      </c>
      <c r="H1176" s="4" t="s">
        <v>213</v>
      </c>
      <c r="I1176" s="4" t="s">
        <v>52</v>
      </c>
      <c r="J1176" s="4" t="n">
        <f aca="false">INDEX('Master List'!$G$2:$G$2594,K1176)</f>
        <v>0</v>
      </c>
      <c r="K1176" s="4" t="n">
        <v>243</v>
      </c>
    </row>
    <row r="1177" customFormat="false" ht="15" hidden="false" customHeight="false" outlineLevel="0" collapsed="false">
      <c r="A1177" s="4" t="n">
        <v>1176</v>
      </c>
      <c r="B1177" s="4" t="s">
        <v>1893</v>
      </c>
      <c r="C1177" s="4" t="n">
        <v>1953</v>
      </c>
      <c r="D1177" s="4" t="s">
        <v>1894</v>
      </c>
      <c r="E1177" s="25" t="str">
        <f aca="false">IF(J1177=1,"✓","")</f>
        <v/>
      </c>
      <c r="F1177" s="4" t="n">
        <v>2</v>
      </c>
      <c r="G1177" s="4" t="n">
        <v>1</v>
      </c>
      <c r="H1177" s="4" t="s">
        <v>213</v>
      </c>
      <c r="I1177" s="4" t="s">
        <v>52</v>
      </c>
      <c r="J1177" s="4" t="n">
        <f aca="false">INDEX('Master List'!$G$2:$G$2594,K1177)</f>
        <v>0</v>
      </c>
      <c r="K1177" s="4" t="n">
        <v>2464</v>
      </c>
    </row>
    <row r="1178" customFormat="false" ht="15" hidden="false" customHeight="false" outlineLevel="0" collapsed="false">
      <c r="A1178" s="4" t="n">
        <v>1177</v>
      </c>
      <c r="B1178" s="4" t="s">
        <v>1895</v>
      </c>
      <c r="C1178" s="4" t="n">
        <v>1953</v>
      </c>
      <c r="D1178" s="4" t="s">
        <v>570</v>
      </c>
      <c r="E1178" s="25" t="str">
        <f aca="false">IF(J1178=1,"✓","")</f>
        <v/>
      </c>
      <c r="F1178" s="4" t="n">
        <v>2</v>
      </c>
      <c r="G1178" s="4" t="n">
        <v>1</v>
      </c>
      <c r="H1178" s="4" t="s">
        <v>213</v>
      </c>
      <c r="I1178" s="4" t="s">
        <v>52</v>
      </c>
      <c r="J1178" s="4" t="n">
        <f aca="false">INDEX('Master List'!$G$2:$G$2594,K1178)</f>
        <v>0</v>
      </c>
      <c r="K1178" s="4" t="n">
        <v>183</v>
      </c>
    </row>
    <row r="1179" customFormat="false" ht="15" hidden="false" customHeight="false" outlineLevel="0" collapsed="false">
      <c r="A1179" s="4" t="n">
        <v>1178</v>
      </c>
      <c r="B1179" s="4" t="s">
        <v>1896</v>
      </c>
      <c r="C1179" s="4" t="n">
        <v>1953</v>
      </c>
      <c r="D1179" s="4" t="s">
        <v>168</v>
      </c>
      <c r="E1179" s="25" t="str">
        <f aca="false">IF(J1179=1,"✓","")</f>
        <v/>
      </c>
      <c r="F1179" s="4" t="n">
        <v>2</v>
      </c>
      <c r="G1179" s="4" t="n">
        <v>1</v>
      </c>
      <c r="H1179" s="4" t="s">
        <v>213</v>
      </c>
      <c r="I1179" s="4" t="s">
        <v>52</v>
      </c>
      <c r="J1179" s="4" t="n">
        <f aca="false">INDEX('Master List'!$G$2:$G$2594,K1179)</f>
        <v>0</v>
      </c>
      <c r="K1179" s="4" t="n">
        <v>885</v>
      </c>
    </row>
    <row r="1180" customFormat="false" ht="15" hidden="false" customHeight="false" outlineLevel="0" collapsed="false">
      <c r="A1180" s="4" t="n">
        <v>1179</v>
      </c>
      <c r="B1180" s="4" t="s">
        <v>1897</v>
      </c>
      <c r="C1180" s="4" t="n">
        <v>1953</v>
      </c>
      <c r="D1180" s="4" t="s">
        <v>1856</v>
      </c>
      <c r="E1180" s="25" t="str">
        <f aca="false">IF(J1180=1,"✓","")</f>
        <v/>
      </c>
      <c r="F1180" s="4" t="n">
        <v>2</v>
      </c>
      <c r="G1180" s="4" t="n">
        <v>1</v>
      </c>
      <c r="H1180" s="4" t="s">
        <v>213</v>
      </c>
      <c r="I1180" s="4" t="s">
        <v>52</v>
      </c>
      <c r="J1180" s="4" t="n">
        <f aca="false">INDEX('Master List'!$G$2:$G$2594,K1180)</f>
        <v>0</v>
      </c>
      <c r="K1180" s="4" t="n">
        <v>700</v>
      </c>
    </row>
    <row r="1181" customFormat="false" ht="15" hidden="false" customHeight="false" outlineLevel="0" collapsed="false">
      <c r="A1181" s="4" t="n">
        <v>1180</v>
      </c>
      <c r="B1181" s="4" t="s">
        <v>1898</v>
      </c>
      <c r="C1181" s="4" t="n">
        <v>1953</v>
      </c>
      <c r="D1181" s="4" t="s">
        <v>200</v>
      </c>
      <c r="E1181" s="25" t="str">
        <f aca="false">IF(J1181=1,"✓","")</f>
        <v/>
      </c>
      <c r="F1181" s="4" t="n">
        <v>2</v>
      </c>
      <c r="G1181" s="4" t="n">
        <v>1</v>
      </c>
      <c r="H1181" s="4" t="s">
        <v>213</v>
      </c>
      <c r="I1181" s="4" t="s">
        <v>53</v>
      </c>
      <c r="J1181" s="4" t="n">
        <f aca="false">INDEX('Master List'!$G$2:$G$2594,K1181)</f>
        <v>0</v>
      </c>
      <c r="K1181" s="4" t="n">
        <v>2144</v>
      </c>
    </row>
    <row r="1182" customFormat="false" ht="15" hidden="false" customHeight="false" outlineLevel="0" collapsed="false">
      <c r="A1182" s="4" t="n">
        <v>1181</v>
      </c>
      <c r="B1182" s="4" t="s">
        <v>1899</v>
      </c>
      <c r="C1182" s="4" t="n">
        <v>1953</v>
      </c>
      <c r="D1182" s="4" t="s">
        <v>170</v>
      </c>
      <c r="E1182" s="25" t="str">
        <f aca="false">IF(J1182=1,"✓","")</f>
        <v/>
      </c>
      <c r="F1182" s="4" t="n">
        <v>2</v>
      </c>
      <c r="G1182" s="4" t="n">
        <v>1</v>
      </c>
      <c r="H1182" s="4" t="s">
        <v>213</v>
      </c>
      <c r="I1182" s="4" t="s">
        <v>53</v>
      </c>
      <c r="J1182" s="4" t="n">
        <f aca="false">INDEX('Master List'!$G$2:$G$2594,K1182)</f>
        <v>0</v>
      </c>
      <c r="K1182" s="4" t="n">
        <v>2199</v>
      </c>
    </row>
    <row r="1183" customFormat="false" ht="15" hidden="false" customHeight="false" outlineLevel="0" collapsed="false">
      <c r="A1183" s="4" t="n">
        <v>1182</v>
      </c>
      <c r="B1183" s="4" t="s">
        <v>1900</v>
      </c>
      <c r="C1183" s="4" t="n">
        <v>1953</v>
      </c>
      <c r="D1183" s="4" t="s">
        <v>402</v>
      </c>
      <c r="E1183" s="25" t="str">
        <f aca="false">IF(J1183=1,"✓","")</f>
        <v/>
      </c>
      <c r="F1183" s="4" t="n">
        <v>2</v>
      </c>
      <c r="G1183" s="4" t="n">
        <v>1</v>
      </c>
      <c r="H1183" s="4" t="s">
        <v>213</v>
      </c>
      <c r="I1183" s="4" t="s">
        <v>53</v>
      </c>
      <c r="J1183" s="4" t="n">
        <f aca="false">INDEX('Master List'!$G$2:$G$2594,K1183)</f>
        <v>0</v>
      </c>
      <c r="K1183" s="4" t="n">
        <v>715</v>
      </c>
    </row>
    <row r="1184" customFormat="false" ht="15" hidden="false" customHeight="false" outlineLevel="0" collapsed="false">
      <c r="A1184" s="4" t="n">
        <v>1183</v>
      </c>
      <c r="B1184" s="4" t="s">
        <v>1901</v>
      </c>
      <c r="C1184" s="4" t="n">
        <v>1954</v>
      </c>
      <c r="D1184" s="4" t="s">
        <v>953</v>
      </c>
      <c r="E1184" s="25" t="str">
        <f aca="false">IF(J1184=1,"✓","")</f>
        <v/>
      </c>
      <c r="F1184" s="4" t="n">
        <v>2</v>
      </c>
      <c r="G1184" s="4" t="n">
        <v>1</v>
      </c>
      <c r="H1184" s="4" t="s">
        <v>213</v>
      </c>
      <c r="I1184" s="4" t="s">
        <v>51</v>
      </c>
      <c r="J1184" s="4" t="n">
        <f aca="false">INDEX('Master List'!$G$2:$G$2594,K1184)</f>
        <v>0</v>
      </c>
      <c r="K1184" s="4" t="n">
        <v>2347</v>
      </c>
    </row>
    <row r="1185" customFormat="false" ht="15" hidden="false" customHeight="false" outlineLevel="0" collapsed="false">
      <c r="A1185" s="4" t="n">
        <v>1184</v>
      </c>
      <c r="B1185" s="4" t="s">
        <v>1902</v>
      </c>
      <c r="C1185" s="4" t="n">
        <v>1954</v>
      </c>
      <c r="D1185" s="4" t="s">
        <v>1903</v>
      </c>
      <c r="E1185" s="25" t="str">
        <f aca="false">IF(J1185=1,"✓","")</f>
        <v/>
      </c>
      <c r="F1185" s="4" t="n">
        <v>2</v>
      </c>
      <c r="G1185" s="4" t="n">
        <v>1</v>
      </c>
      <c r="H1185" s="4" t="s">
        <v>213</v>
      </c>
      <c r="I1185" s="4" t="s">
        <v>52</v>
      </c>
      <c r="J1185" s="4" t="n">
        <f aca="false">INDEX('Master List'!$G$2:$G$2594,K1185)</f>
        <v>0</v>
      </c>
      <c r="K1185" s="4" t="n">
        <v>530</v>
      </c>
    </row>
    <row r="1186" customFormat="false" ht="15" hidden="false" customHeight="false" outlineLevel="0" collapsed="false">
      <c r="A1186" s="4" t="n">
        <v>1185</v>
      </c>
      <c r="B1186" s="4" t="s">
        <v>1904</v>
      </c>
      <c r="C1186" s="4" t="n">
        <v>1954</v>
      </c>
      <c r="D1186" s="4" t="s">
        <v>1905</v>
      </c>
      <c r="E1186" s="25" t="str">
        <f aca="false">IF(J1186=1,"✓","")</f>
        <v/>
      </c>
      <c r="F1186" s="4" t="n">
        <v>2</v>
      </c>
      <c r="G1186" s="4" t="n">
        <v>1</v>
      </c>
      <c r="H1186" s="4" t="s">
        <v>213</v>
      </c>
      <c r="I1186" s="4" t="s">
        <v>52</v>
      </c>
      <c r="J1186" s="4" t="n">
        <f aca="false">INDEX('Master List'!$G$2:$G$2594,K1186)</f>
        <v>0</v>
      </c>
      <c r="K1186" s="4" t="n">
        <v>2265</v>
      </c>
    </row>
    <row r="1187" customFormat="false" ht="15" hidden="false" customHeight="false" outlineLevel="0" collapsed="false">
      <c r="A1187" s="4" t="n">
        <v>1186</v>
      </c>
      <c r="B1187" s="4" t="s">
        <v>1906</v>
      </c>
      <c r="C1187" s="4" t="n">
        <v>1954</v>
      </c>
      <c r="D1187" s="4" t="s">
        <v>537</v>
      </c>
      <c r="E1187" s="25" t="str">
        <f aca="false">IF(J1187=1,"✓","")</f>
        <v/>
      </c>
      <c r="F1187" s="4" t="n">
        <v>2</v>
      </c>
      <c r="G1187" s="4" t="n">
        <v>1</v>
      </c>
      <c r="H1187" s="4" t="s">
        <v>213</v>
      </c>
      <c r="I1187" s="4" t="s">
        <v>52</v>
      </c>
      <c r="J1187" s="4" t="n">
        <f aca="false">INDEX('Master List'!$G$2:$G$2594,K1187)</f>
        <v>0</v>
      </c>
      <c r="K1187" s="4" t="n">
        <v>2148</v>
      </c>
    </row>
    <row r="1188" customFormat="false" ht="15" hidden="false" customHeight="false" outlineLevel="0" collapsed="false">
      <c r="A1188" s="4" t="n">
        <v>1187</v>
      </c>
      <c r="B1188" s="4" t="s">
        <v>1907</v>
      </c>
      <c r="C1188" s="4" t="n">
        <v>1954</v>
      </c>
      <c r="D1188" s="4" t="s">
        <v>1447</v>
      </c>
      <c r="E1188" s="25" t="str">
        <f aca="false">IF(J1188=1,"✓","")</f>
        <v/>
      </c>
      <c r="F1188" s="4" t="n">
        <v>2</v>
      </c>
      <c r="G1188" s="4" t="n">
        <v>1</v>
      </c>
      <c r="H1188" s="4" t="s">
        <v>213</v>
      </c>
      <c r="I1188" s="4" t="s">
        <v>52</v>
      </c>
      <c r="J1188" s="4" t="n">
        <f aca="false">INDEX('Master List'!$G$2:$G$2594,K1188)</f>
        <v>0</v>
      </c>
      <c r="K1188" s="4" t="n">
        <v>1413</v>
      </c>
    </row>
    <row r="1189" customFormat="false" ht="15" hidden="false" customHeight="false" outlineLevel="0" collapsed="false">
      <c r="A1189" s="4" t="n">
        <v>1188</v>
      </c>
      <c r="B1189" s="4" t="s">
        <v>1908</v>
      </c>
      <c r="C1189" s="4" t="n">
        <v>1954</v>
      </c>
      <c r="D1189" s="4" t="s">
        <v>200</v>
      </c>
      <c r="E1189" s="25" t="str">
        <f aca="false">IF(J1189=1,"✓","")</f>
        <v/>
      </c>
      <c r="F1189" s="4" t="n">
        <v>2</v>
      </c>
      <c r="G1189" s="4" t="n">
        <v>1</v>
      </c>
      <c r="H1189" s="4" t="s">
        <v>213</v>
      </c>
      <c r="I1189" s="4" t="s">
        <v>52</v>
      </c>
      <c r="J1189" s="4" t="n">
        <f aca="false">INDEX('Master List'!$G$2:$G$2594,K1189)</f>
        <v>0</v>
      </c>
      <c r="K1189" s="4" t="n">
        <v>1952</v>
      </c>
    </row>
    <row r="1190" customFormat="false" ht="15" hidden="false" customHeight="false" outlineLevel="0" collapsed="false">
      <c r="A1190" s="4" t="n">
        <v>1189</v>
      </c>
      <c r="B1190" s="4" t="s">
        <v>1909</v>
      </c>
      <c r="C1190" s="4" t="n">
        <v>1954</v>
      </c>
      <c r="D1190" s="4" t="s">
        <v>162</v>
      </c>
      <c r="E1190" s="25" t="str">
        <f aca="false">IF(J1190=1,"✓","")</f>
        <v>✓</v>
      </c>
      <c r="F1190" s="4" t="n">
        <v>2</v>
      </c>
      <c r="G1190" s="4" t="n">
        <v>1</v>
      </c>
      <c r="H1190" s="4" t="s">
        <v>213</v>
      </c>
      <c r="I1190" s="4" t="s">
        <v>53</v>
      </c>
      <c r="J1190" s="4" t="n">
        <f aca="false">INDEX('Master List'!$G$2:$G$2594,K1190)</f>
        <v>1</v>
      </c>
      <c r="K1190" s="4" t="n">
        <v>625</v>
      </c>
    </row>
    <row r="1191" customFormat="false" ht="15" hidden="false" customHeight="false" outlineLevel="0" collapsed="false">
      <c r="A1191" s="4" t="n">
        <v>1190</v>
      </c>
      <c r="B1191" s="4" t="s">
        <v>1910</v>
      </c>
      <c r="C1191" s="4" t="n">
        <v>1954</v>
      </c>
      <c r="D1191" s="4" t="s">
        <v>759</v>
      </c>
      <c r="E1191" s="25" t="str">
        <f aca="false">IF(J1191=1,"✓","")</f>
        <v/>
      </c>
      <c r="F1191" s="4" t="n">
        <v>2</v>
      </c>
      <c r="G1191" s="4" t="n">
        <v>1</v>
      </c>
      <c r="H1191" s="4" t="s">
        <v>213</v>
      </c>
      <c r="I1191" s="4" t="s">
        <v>53</v>
      </c>
      <c r="J1191" s="4" t="n">
        <f aca="false">INDEX('Master List'!$G$2:$G$2594,K1191)</f>
        <v>0</v>
      </c>
      <c r="K1191" s="4" t="n">
        <v>2123</v>
      </c>
    </row>
    <row r="1192" customFormat="false" ht="15" hidden="false" customHeight="false" outlineLevel="0" collapsed="false">
      <c r="A1192" s="4" t="n">
        <v>1191</v>
      </c>
      <c r="B1192" s="4" t="s">
        <v>1911</v>
      </c>
      <c r="C1192" s="4" t="n">
        <v>1954</v>
      </c>
      <c r="D1192" s="4" t="s">
        <v>255</v>
      </c>
      <c r="E1192" s="25" t="str">
        <f aca="false">IF(J1192=1,"✓","")</f>
        <v/>
      </c>
      <c r="F1192" s="4" t="n">
        <v>2</v>
      </c>
      <c r="G1192" s="4" t="n">
        <v>1</v>
      </c>
      <c r="H1192" s="4" t="s">
        <v>213</v>
      </c>
      <c r="I1192" s="4" t="s">
        <v>53</v>
      </c>
      <c r="J1192" s="4" t="n">
        <f aca="false">INDEX('Master List'!$G$2:$G$2594,K1192)</f>
        <v>0</v>
      </c>
      <c r="K1192" s="4" t="n">
        <v>1047</v>
      </c>
    </row>
    <row r="1193" customFormat="false" ht="15" hidden="false" customHeight="false" outlineLevel="0" collapsed="false">
      <c r="A1193" s="4" t="n">
        <v>1192</v>
      </c>
      <c r="B1193" s="4" t="s">
        <v>1912</v>
      </c>
      <c r="C1193" s="4" t="n">
        <v>1954</v>
      </c>
      <c r="D1193" s="4" t="s">
        <v>951</v>
      </c>
      <c r="E1193" s="25" t="str">
        <f aca="false">IF(J1193=1,"✓","")</f>
        <v/>
      </c>
      <c r="F1193" s="4" t="n">
        <v>2</v>
      </c>
      <c r="G1193" s="4" t="n">
        <v>1</v>
      </c>
      <c r="H1193" s="4" t="s">
        <v>213</v>
      </c>
      <c r="I1193" s="4" t="s">
        <v>54</v>
      </c>
      <c r="J1193" s="4" t="n">
        <f aca="false">INDEX('Master List'!$G$2:$G$2594,K1193)</f>
        <v>0</v>
      </c>
      <c r="K1193" s="4" t="n">
        <v>397</v>
      </c>
    </row>
    <row r="1194" customFormat="false" ht="15" hidden="false" customHeight="false" outlineLevel="0" collapsed="false">
      <c r="A1194" s="4" t="n">
        <v>1193</v>
      </c>
      <c r="B1194" s="4" t="s">
        <v>1913</v>
      </c>
      <c r="C1194" s="4" t="n">
        <v>1954</v>
      </c>
      <c r="D1194" s="4" t="s">
        <v>1914</v>
      </c>
      <c r="E1194" s="25" t="str">
        <f aca="false">IF(J1194=1,"✓","")</f>
        <v/>
      </c>
      <c r="F1194" s="4" t="n">
        <v>2</v>
      </c>
      <c r="G1194" s="4" t="n">
        <v>1</v>
      </c>
      <c r="H1194" s="4" t="s">
        <v>213</v>
      </c>
      <c r="I1194" s="4" t="s">
        <v>55</v>
      </c>
      <c r="J1194" s="4" t="n">
        <f aca="false">INDEX('Master List'!$G$2:$G$2594,K1194)</f>
        <v>0</v>
      </c>
      <c r="K1194" s="4" t="n">
        <v>1962</v>
      </c>
    </row>
    <row r="1195" customFormat="false" ht="15" hidden="false" customHeight="false" outlineLevel="0" collapsed="false">
      <c r="A1195" s="4" t="n">
        <v>1194</v>
      </c>
      <c r="B1195" s="4" t="s">
        <v>1915</v>
      </c>
      <c r="C1195" s="4" t="n">
        <v>1954</v>
      </c>
      <c r="D1195" s="4" t="s">
        <v>402</v>
      </c>
      <c r="E1195" s="25" t="str">
        <f aca="false">IF(J1195=1,"✓","")</f>
        <v/>
      </c>
      <c r="F1195" s="4" t="n">
        <v>2</v>
      </c>
      <c r="G1195" s="4" t="n">
        <v>1</v>
      </c>
      <c r="H1195" s="4" t="s">
        <v>213</v>
      </c>
      <c r="I1195" s="4" t="s">
        <v>55</v>
      </c>
      <c r="J1195" s="4" t="n">
        <f aca="false">INDEX('Master List'!$G$2:$G$2594,K1195)</f>
        <v>0</v>
      </c>
      <c r="K1195" s="4" t="n">
        <v>1917</v>
      </c>
    </row>
    <row r="1196" customFormat="false" ht="15" hidden="false" customHeight="false" outlineLevel="0" collapsed="false">
      <c r="A1196" s="4" t="n">
        <v>1195</v>
      </c>
      <c r="B1196" s="4" t="s">
        <v>1916</v>
      </c>
      <c r="C1196" s="4" t="n">
        <v>1955</v>
      </c>
      <c r="D1196" s="4" t="s">
        <v>753</v>
      </c>
      <c r="E1196" s="25" t="str">
        <f aca="false">IF(J1196=1,"✓","")</f>
        <v/>
      </c>
      <c r="F1196" s="4" t="n">
        <v>2</v>
      </c>
      <c r="G1196" s="4" t="n">
        <v>1</v>
      </c>
      <c r="H1196" s="4" t="s">
        <v>213</v>
      </c>
      <c r="I1196" s="4" t="s">
        <v>51</v>
      </c>
      <c r="J1196" s="4" t="n">
        <f aca="false">INDEX('Master List'!$G$2:$G$2594,K1196)</f>
        <v>0</v>
      </c>
      <c r="K1196" s="4" t="n">
        <v>884</v>
      </c>
    </row>
    <row r="1197" customFormat="false" ht="15" hidden="false" customHeight="false" outlineLevel="0" collapsed="false">
      <c r="A1197" s="4" t="n">
        <v>1196</v>
      </c>
      <c r="B1197" s="4" t="s">
        <v>1917</v>
      </c>
      <c r="C1197" s="4" t="n">
        <v>1955</v>
      </c>
      <c r="D1197" s="4" t="s">
        <v>1918</v>
      </c>
      <c r="E1197" s="25" t="str">
        <f aca="false">IF(J1197=1,"✓","")</f>
        <v/>
      </c>
      <c r="F1197" s="4" t="n">
        <v>2</v>
      </c>
      <c r="G1197" s="4" t="n">
        <v>1</v>
      </c>
      <c r="H1197" s="4" t="s">
        <v>213</v>
      </c>
      <c r="I1197" s="4" t="s">
        <v>51</v>
      </c>
      <c r="J1197" s="4" t="n">
        <f aca="false">INDEX('Master List'!$G$2:$G$2594,K1197)</f>
        <v>0</v>
      </c>
      <c r="K1197" s="4" t="n">
        <v>592</v>
      </c>
    </row>
    <row r="1198" customFormat="false" ht="15" hidden="false" customHeight="false" outlineLevel="0" collapsed="false">
      <c r="A1198" s="4" t="n">
        <v>1197</v>
      </c>
      <c r="B1198" s="4" t="s">
        <v>1919</v>
      </c>
      <c r="C1198" s="4" t="n">
        <v>1955</v>
      </c>
      <c r="D1198" s="4" t="s">
        <v>1843</v>
      </c>
      <c r="E1198" s="25" t="str">
        <f aca="false">IF(J1198=1,"✓","")</f>
        <v/>
      </c>
      <c r="F1198" s="4" t="n">
        <v>2</v>
      </c>
      <c r="G1198" s="4" t="n">
        <v>1</v>
      </c>
      <c r="H1198" s="4" t="s">
        <v>213</v>
      </c>
      <c r="I1198" s="4" t="s">
        <v>52</v>
      </c>
      <c r="J1198" s="4" t="n">
        <f aca="false">INDEX('Master List'!$G$2:$G$2594,K1198)</f>
        <v>0</v>
      </c>
      <c r="K1198" s="4" t="n">
        <v>1424</v>
      </c>
    </row>
    <row r="1199" customFormat="false" ht="15" hidden="false" customHeight="false" outlineLevel="0" collapsed="false">
      <c r="A1199" s="4" t="n">
        <v>1198</v>
      </c>
      <c r="B1199" s="4" t="s">
        <v>1920</v>
      </c>
      <c r="C1199" s="4" t="n">
        <v>1955</v>
      </c>
      <c r="D1199" s="4" t="s">
        <v>971</v>
      </c>
      <c r="E1199" s="25" t="str">
        <f aca="false">IF(J1199=1,"✓","")</f>
        <v>✓</v>
      </c>
      <c r="F1199" s="4" t="n">
        <v>2</v>
      </c>
      <c r="G1199" s="4" t="n">
        <v>1</v>
      </c>
      <c r="H1199" s="4" t="s">
        <v>213</v>
      </c>
      <c r="I1199" s="4" t="s">
        <v>52</v>
      </c>
      <c r="J1199" s="4" t="n">
        <f aca="false">INDEX('Master List'!$G$2:$G$2594,K1199)</f>
        <v>1</v>
      </c>
      <c r="K1199" s="4" t="n">
        <v>167</v>
      </c>
    </row>
    <row r="1200" customFormat="false" ht="15" hidden="false" customHeight="false" outlineLevel="0" collapsed="false">
      <c r="A1200" s="4" t="n">
        <v>1199</v>
      </c>
      <c r="B1200" s="4" t="s">
        <v>1921</v>
      </c>
      <c r="C1200" s="4" t="n">
        <v>1955</v>
      </c>
      <c r="D1200" s="4" t="s">
        <v>1922</v>
      </c>
      <c r="E1200" s="25" t="str">
        <f aca="false">IF(J1200=1,"✓","")</f>
        <v/>
      </c>
      <c r="F1200" s="4" t="n">
        <v>2</v>
      </c>
      <c r="G1200" s="4" t="n">
        <v>1</v>
      </c>
      <c r="H1200" s="4" t="s">
        <v>213</v>
      </c>
      <c r="I1200" s="4" t="s">
        <v>52</v>
      </c>
      <c r="J1200" s="4" t="n">
        <f aca="false">INDEX('Master List'!$G$2:$G$2594,K1200)</f>
        <v>0</v>
      </c>
      <c r="K1200" s="4" t="n">
        <v>1840</v>
      </c>
    </row>
    <row r="1201" customFormat="false" ht="15" hidden="false" customHeight="false" outlineLevel="0" collapsed="false">
      <c r="A1201" s="4" t="n">
        <v>1200</v>
      </c>
      <c r="B1201" s="4" t="s">
        <v>1923</v>
      </c>
      <c r="C1201" s="4" t="n">
        <v>1955</v>
      </c>
      <c r="D1201" s="4" t="s">
        <v>225</v>
      </c>
      <c r="E1201" s="25" t="str">
        <f aca="false">IF(J1201=1,"✓","")</f>
        <v/>
      </c>
      <c r="F1201" s="4" t="n">
        <v>2</v>
      </c>
      <c r="G1201" s="4" t="n">
        <v>1</v>
      </c>
      <c r="H1201" s="4" t="s">
        <v>213</v>
      </c>
      <c r="I1201" s="4" t="s">
        <v>52</v>
      </c>
      <c r="J1201" s="4" t="n">
        <f aca="false">INDEX('Master List'!$G$2:$G$2594,K1201)</f>
        <v>0</v>
      </c>
      <c r="K1201" s="4" t="n">
        <v>1179</v>
      </c>
    </row>
    <row r="1202" customFormat="false" ht="15" hidden="false" customHeight="false" outlineLevel="0" collapsed="false">
      <c r="A1202" s="4" t="n">
        <v>1201</v>
      </c>
      <c r="B1202" s="4" t="s">
        <v>1924</v>
      </c>
      <c r="C1202" s="4" t="n">
        <v>1955</v>
      </c>
      <c r="D1202" s="4" t="s">
        <v>1317</v>
      </c>
      <c r="E1202" s="25" t="str">
        <f aca="false">IF(J1202=1,"✓","")</f>
        <v/>
      </c>
      <c r="F1202" s="4" t="n">
        <v>2</v>
      </c>
      <c r="G1202" s="4" t="n">
        <v>1</v>
      </c>
      <c r="H1202" s="4" t="s">
        <v>213</v>
      </c>
      <c r="I1202" s="4" t="s">
        <v>52</v>
      </c>
      <c r="J1202" s="4" t="n">
        <f aca="false">INDEX('Master List'!$G$2:$G$2594,K1202)</f>
        <v>0</v>
      </c>
      <c r="K1202" s="4" t="n">
        <v>624</v>
      </c>
    </row>
    <row r="1203" customFormat="false" ht="15" hidden="false" customHeight="false" outlineLevel="0" collapsed="false">
      <c r="A1203" s="4" t="n">
        <v>1202</v>
      </c>
      <c r="B1203" s="4" t="s">
        <v>1925</v>
      </c>
      <c r="C1203" s="4" t="n">
        <v>1955</v>
      </c>
      <c r="D1203" s="4" t="s">
        <v>143</v>
      </c>
      <c r="E1203" s="25" t="str">
        <f aca="false">IF(J1203=1,"✓","")</f>
        <v/>
      </c>
      <c r="F1203" s="4" t="n">
        <v>2</v>
      </c>
      <c r="G1203" s="4" t="n">
        <v>1</v>
      </c>
      <c r="H1203" s="4" t="s">
        <v>213</v>
      </c>
      <c r="I1203" s="4" t="s">
        <v>53</v>
      </c>
      <c r="J1203" s="4" t="n">
        <f aca="false">INDEX('Master List'!$G$2:$G$2594,K1203)</f>
        <v>0</v>
      </c>
      <c r="K1203" s="4" t="n">
        <v>1547</v>
      </c>
    </row>
    <row r="1204" customFormat="false" ht="15" hidden="false" customHeight="false" outlineLevel="0" collapsed="false">
      <c r="A1204" s="4" t="n">
        <v>1203</v>
      </c>
      <c r="B1204" s="4" t="s">
        <v>1926</v>
      </c>
      <c r="C1204" s="4" t="n">
        <v>1955</v>
      </c>
      <c r="D1204" s="4" t="s">
        <v>170</v>
      </c>
      <c r="E1204" s="25" t="str">
        <f aca="false">IF(J1204=1,"✓","")</f>
        <v/>
      </c>
      <c r="F1204" s="4" t="n">
        <v>2</v>
      </c>
      <c r="G1204" s="4" t="n">
        <v>1</v>
      </c>
      <c r="H1204" s="4" t="s">
        <v>213</v>
      </c>
      <c r="I1204" s="4" t="s">
        <v>53</v>
      </c>
      <c r="J1204" s="4" t="n">
        <f aca="false">INDEX('Master List'!$G$2:$G$2594,K1204)</f>
        <v>0</v>
      </c>
      <c r="K1204" s="4" t="n">
        <v>2096</v>
      </c>
    </row>
    <row r="1205" customFormat="false" ht="15" hidden="false" customHeight="false" outlineLevel="0" collapsed="false">
      <c r="A1205" s="4" t="n">
        <v>1204</v>
      </c>
      <c r="B1205" s="4" t="s">
        <v>1927</v>
      </c>
      <c r="C1205" s="4" t="n">
        <v>1955</v>
      </c>
      <c r="D1205" s="4" t="s">
        <v>234</v>
      </c>
      <c r="E1205" s="25" t="str">
        <f aca="false">IF(J1205=1,"✓","")</f>
        <v/>
      </c>
      <c r="F1205" s="4" t="n">
        <v>2</v>
      </c>
      <c r="G1205" s="4" t="n">
        <v>1</v>
      </c>
      <c r="H1205" s="4" t="s">
        <v>213</v>
      </c>
      <c r="I1205" s="4" t="s">
        <v>53</v>
      </c>
      <c r="J1205" s="4" t="n">
        <f aca="false">INDEX('Master List'!$G$2:$G$2594,K1205)</f>
        <v>0</v>
      </c>
      <c r="K1205" s="4" t="n">
        <v>850</v>
      </c>
    </row>
    <row r="1206" customFormat="false" ht="15" hidden="false" customHeight="false" outlineLevel="0" collapsed="false">
      <c r="A1206" s="4" t="n">
        <v>1205</v>
      </c>
      <c r="B1206" s="4" t="s">
        <v>1928</v>
      </c>
      <c r="C1206" s="4" t="n">
        <v>1955</v>
      </c>
      <c r="D1206" s="4" t="s">
        <v>1929</v>
      </c>
      <c r="E1206" s="25" t="str">
        <f aca="false">IF(J1206=1,"✓","")</f>
        <v/>
      </c>
      <c r="F1206" s="4" t="n">
        <v>2</v>
      </c>
      <c r="G1206" s="4" t="n">
        <v>1</v>
      </c>
      <c r="H1206" s="4" t="s">
        <v>213</v>
      </c>
      <c r="I1206" s="4" t="s">
        <v>55</v>
      </c>
      <c r="J1206" s="4" t="n">
        <f aca="false">INDEX('Master List'!$G$2:$G$2594,K1206)</f>
        <v>0</v>
      </c>
      <c r="K1206" s="4" t="n">
        <v>274</v>
      </c>
    </row>
    <row r="1207" customFormat="false" ht="15" hidden="false" customHeight="false" outlineLevel="0" collapsed="false">
      <c r="A1207" s="4" t="n">
        <v>1206</v>
      </c>
      <c r="B1207" s="4" t="s">
        <v>1930</v>
      </c>
      <c r="C1207" s="4" t="n">
        <v>1955</v>
      </c>
      <c r="D1207" s="4" t="s">
        <v>162</v>
      </c>
      <c r="E1207" s="25" t="str">
        <f aca="false">IF(J1207=1,"✓","")</f>
        <v/>
      </c>
      <c r="F1207" s="4" t="n">
        <v>2</v>
      </c>
      <c r="G1207" s="4" t="n">
        <v>1</v>
      </c>
      <c r="H1207" s="4" t="s">
        <v>213</v>
      </c>
      <c r="I1207" s="4" t="s">
        <v>56</v>
      </c>
      <c r="J1207" s="4" t="n">
        <f aca="false">INDEX('Master List'!$G$2:$G$2594,K1207)</f>
        <v>0</v>
      </c>
      <c r="K1207" s="4" t="n">
        <v>2378</v>
      </c>
    </row>
    <row r="1208" customFormat="false" ht="15" hidden="false" customHeight="false" outlineLevel="0" collapsed="false">
      <c r="A1208" s="4" t="n">
        <v>1207</v>
      </c>
      <c r="B1208" s="4" t="s">
        <v>1931</v>
      </c>
      <c r="C1208" s="4" t="n">
        <v>1956</v>
      </c>
      <c r="D1208" s="4" t="s">
        <v>1451</v>
      </c>
      <c r="E1208" s="25" t="str">
        <f aca="false">IF(J1208=1,"✓","")</f>
        <v/>
      </c>
      <c r="F1208" s="4" t="n">
        <v>2</v>
      </c>
      <c r="G1208" s="4" t="n">
        <v>1</v>
      </c>
      <c r="H1208" s="4" t="s">
        <v>213</v>
      </c>
      <c r="I1208" s="4" t="s">
        <v>52</v>
      </c>
      <c r="J1208" s="4" t="n">
        <f aca="false">INDEX('Master List'!$G$2:$G$2594,K1208)</f>
        <v>0</v>
      </c>
      <c r="K1208" s="4" t="n">
        <v>2020</v>
      </c>
    </row>
    <row r="1209" customFormat="false" ht="15" hidden="false" customHeight="false" outlineLevel="0" collapsed="false">
      <c r="A1209" s="4" t="n">
        <v>1208</v>
      </c>
      <c r="B1209" s="4" t="s">
        <v>1932</v>
      </c>
      <c r="C1209" s="4" t="n">
        <v>1956</v>
      </c>
      <c r="D1209" s="4" t="s">
        <v>1933</v>
      </c>
      <c r="E1209" s="25" t="str">
        <f aca="false">IF(J1209=1,"✓","")</f>
        <v/>
      </c>
      <c r="F1209" s="4" t="n">
        <v>2</v>
      </c>
      <c r="G1209" s="4" t="n">
        <v>1</v>
      </c>
      <c r="H1209" s="4" t="s">
        <v>213</v>
      </c>
      <c r="I1209" s="4" t="s">
        <v>52</v>
      </c>
      <c r="J1209" s="4" t="n">
        <f aca="false">INDEX('Master List'!$G$2:$G$2594,K1209)</f>
        <v>0</v>
      </c>
      <c r="K1209" s="4" t="n">
        <v>832</v>
      </c>
    </row>
    <row r="1210" customFormat="false" ht="15" hidden="false" customHeight="false" outlineLevel="0" collapsed="false">
      <c r="A1210" s="4" t="n">
        <v>1209</v>
      </c>
      <c r="B1210" s="4" t="s">
        <v>1934</v>
      </c>
      <c r="C1210" s="4" t="n">
        <v>1956</v>
      </c>
      <c r="D1210" s="4" t="s">
        <v>1447</v>
      </c>
      <c r="E1210" s="25" t="str">
        <f aca="false">IF(J1210=1,"✓","")</f>
        <v/>
      </c>
      <c r="F1210" s="4" t="n">
        <v>2</v>
      </c>
      <c r="G1210" s="4" t="n">
        <v>1</v>
      </c>
      <c r="H1210" s="4" t="s">
        <v>213</v>
      </c>
      <c r="I1210" s="4" t="s">
        <v>52</v>
      </c>
      <c r="J1210" s="4" t="n">
        <f aca="false">INDEX('Master List'!$G$2:$G$2594,K1210)</f>
        <v>0</v>
      </c>
      <c r="K1210" s="4" t="n">
        <v>2558</v>
      </c>
    </row>
    <row r="1211" customFormat="false" ht="15" hidden="false" customHeight="false" outlineLevel="0" collapsed="false">
      <c r="A1211" s="4" t="n">
        <v>1210</v>
      </c>
      <c r="B1211" s="4" t="s">
        <v>1935</v>
      </c>
      <c r="C1211" s="4" t="n">
        <v>1956</v>
      </c>
      <c r="D1211" s="4" t="s">
        <v>286</v>
      </c>
      <c r="E1211" s="25" t="str">
        <f aca="false">IF(J1211=1,"✓","")</f>
        <v/>
      </c>
      <c r="F1211" s="4" t="n">
        <v>2</v>
      </c>
      <c r="G1211" s="4" t="n">
        <v>1</v>
      </c>
      <c r="H1211" s="4" t="s">
        <v>213</v>
      </c>
      <c r="I1211" s="4" t="s">
        <v>53</v>
      </c>
      <c r="J1211" s="4" t="n">
        <f aca="false">INDEX('Master List'!$G$2:$G$2594,K1211)</f>
        <v>0</v>
      </c>
      <c r="K1211" s="4" t="n">
        <v>2183</v>
      </c>
    </row>
    <row r="1212" customFormat="false" ht="15" hidden="false" customHeight="false" outlineLevel="0" collapsed="false">
      <c r="A1212" s="4" t="n">
        <v>1211</v>
      </c>
      <c r="B1212" s="4" t="s">
        <v>1936</v>
      </c>
      <c r="C1212" s="4" t="n">
        <v>1956</v>
      </c>
      <c r="D1212" s="4" t="s">
        <v>407</v>
      </c>
      <c r="E1212" s="25" t="str">
        <f aca="false">IF(J1212=1,"✓","")</f>
        <v/>
      </c>
      <c r="F1212" s="4" t="n">
        <v>2</v>
      </c>
      <c r="G1212" s="4" t="n">
        <v>1</v>
      </c>
      <c r="H1212" s="4" t="s">
        <v>213</v>
      </c>
      <c r="I1212" s="4" t="s">
        <v>56</v>
      </c>
      <c r="J1212" s="4" t="n">
        <f aca="false">INDEX('Master List'!$G$2:$G$2594,K1212)</f>
        <v>0</v>
      </c>
      <c r="K1212" s="4" t="n">
        <v>1923</v>
      </c>
    </row>
    <row r="1213" customFormat="false" ht="15" hidden="false" customHeight="false" outlineLevel="0" collapsed="false">
      <c r="A1213" s="4" t="n">
        <v>1212</v>
      </c>
      <c r="B1213" s="4" t="s">
        <v>1937</v>
      </c>
      <c r="C1213" s="4" t="n">
        <v>1956</v>
      </c>
      <c r="D1213" s="4" t="s">
        <v>375</v>
      </c>
      <c r="E1213" s="25" t="str">
        <f aca="false">IF(J1213=1,"✓","")</f>
        <v/>
      </c>
      <c r="F1213" s="4" t="n">
        <v>2</v>
      </c>
      <c r="G1213" s="4" t="n">
        <v>1</v>
      </c>
      <c r="H1213" s="4" t="s">
        <v>213</v>
      </c>
      <c r="I1213" s="4" t="s">
        <v>56</v>
      </c>
      <c r="J1213" s="4" t="n">
        <f aca="false">INDEX('Master List'!$G$2:$G$2594,K1213)</f>
        <v>0</v>
      </c>
      <c r="K1213" s="4" t="n">
        <v>160</v>
      </c>
    </row>
    <row r="1214" customFormat="false" ht="15" hidden="false" customHeight="false" outlineLevel="0" collapsed="false">
      <c r="A1214" s="4" t="n">
        <v>1213</v>
      </c>
      <c r="B1214" s="4" t="s">
        <v>1938</v>
      </c>
      <c r="C1214" s="4" t="n">
        <v>1957</v>
      </c>
      <c r="D1214" s="4" t="s">
        <v>753</v>
      </c>
      <c r="E1214" s="25" t="str">
        <f aca="false">IF(J1214=1,"✓","")</f>
        <v/>
      </c>
      <c r="F1214" s="4" t="n">
        <v>2</v>
      </c>
      <c r="G1214" s="4" t="n">
        <v>1</v>
      </c>
      <c r="H1214" s="4" t="s">
        <v>213</v>
      </c>
      <c r="I1214" s="4" t="s">
        <v>51</v>
      </c>
      <c r="J1214" s="4" t="n">
        <f aca="false">INDEX('Master List'!$G$2:$G$2594,K1214)</f>
        <v>0</v>
      </c>
      <c r="K1214" s="4" t="n">
        <v>1232</v>
      </c>
    </row>
    <row r="1215" customFormat="false" ht="15" hidden="false" customHeight="false" outlineLevel="0" collapsed="false">
      <c r="A1215" s="4" t="n">
        <v>1214</v>
      </c>
      <c r="B1215" s="4" t="s">
        <v>1939</v>
      </c>
      <c r="C1215" s="4" t="n">
        <v>1957</v>
      </c>
      <c r="D1215" s="4" t="s">
        <v>1940</v>
      </c>
      <c r="E1215" s="25" t="str">
        <f aca="false">IF(J1215=1,"✓","")</f>
        <v/>
      </c>
      <c r="F1215" s="4" t="n">
        <v>2</v>
      </c>
      <c r="G1215" s="4" t="n">
        <v>1</v>
      </c>
      <c r="H1215" s="4" t="s">
        <v>213</v>
      </c>
      <c r="I1215" s="4" t="s">
        <v>51</v>
      </c>
      <c r="J1215" s="4" t="n">
        <f aca="false">INDEX('Master List'!$G$2:$G$2594,K1215)</f>
        <v>0</v>
      </c>
      <c r="K1215" s="4" t="n">
        <v>1539</v>
      </c>
    </row>
    <row r="1216" customFormat="false" ht="15" hidden="false" customHeight="false" outlineLevel="0" collapsed="false">
      <c r="A1216" s="4" t="n">
        <v>1215</v>
      </c>
      <c r="B1216" s="4" t="s">
        <v>1941</v>
      </c>
      <c r="C1216" s="4" t="n">
        <v>1957</v>
      </c>
      <c r="D1216" s="4" t="s">
        <v>1451</v>
      </c>
      <c r="E1216" s="25" t="str">
        <f aca="false">IF(J1216=1,"✓","")</f>
        <v/>
      </c>
      <c r="F1216" s="4" t="n">
        <v>2</v>
      </c>
      <c r="G1216" s="4" t="n">
        <v>1</v>
      </c>
      <c r="H1216" s="4" t="s">
        <v>213</v>
      </c>
      <c r="I1216" s="4" t="s">
        <v>52</v>
      </c>
      <c r="J1216" s="4" t="n">
        <f aca="false">INDEX('Master List'!$G$2:$G$2594,K1216)</f>
        <v>0</v>
      </c>
      <c r="K1216" s="4" t="n">
        <v>599</v>
      </c>
    </row>
    <row r="1217" customFormat="false" ht="15" hidden="false" customHeight="false" outlineLevel="0" collapsed="false">
      <c r="A1217" s="4" t="n">
        <v>1216</v>
      </c>
      <c r="B1217" s="4" t="s">
        <v>1942</v>
      </c>
      <c r="C1217" s="4" t="n">
        <v>1957</v>
      </c>
      <c r="D1217" s="4" t="s">
        <v>1847</v>
      </c>
      <c r="E1217" s="25" t="str">
        <f aca="false">IF(J1217=1,"✓","")</f>
        <v/>
      </c>
      <c r="F1217" s="4" t="n">
        <v>2</v>
      </c>
      <c r="G1217" s="4" t="n">
        <v>1</v>
      </c>
      <c r="H1217" s="4" t="s">
        <v>213</v>
      </c>
      <c r="I1217" s="4" t="s">
        <v>52</v>
      </c>
      <c r="J1217" s="4" t="n">
        <f aca="false">INDEX('Master List'!$G$2:$G$2594,K1217)</f>
        <v>0</v>
      </c>
      <c r="K1217" s="4" t="n">
        <v>18</v>
      </c>
    </row>
    <row r="1218" customFormat="false" ht="15" hidden="false" customHeight="false" outlineLevel="0" collapsed="false">
      <c r="A1218" s="4" t="n">
        <v>1217</v>
      </c>
      <c r="B1218" s="4" t="s">
        <v>1943</v>
      </c>
      <c r="C1218" s="4" t="n">
        <v>1957</v>
      </c>
      <c r="D1218" s="4" t="s">
        <v>884</v>
      </c>
      <c r="E1218" s="25" t="str">
        <f aca="false">IF(J1218=1,"✓","")</f>
        <v/>
      </c>
      <c r="F1218" s="4" t="n">
        <v>2</v>
      </c>
      <c r="G1218" s="4" t="n">
        <v>1</v>
      </c>
      <c r="H1218" s="4" t="s">
        <v>213</v>
      </c>
      <c r="I1218" s="4" t="s">
        <v>52</v>
      </c>
      <c r="J1218" s="4" t="n">
        <f aca="false">INDEX('Master List'!$G$2:$G$2594,K1218)</f>
        <v>0</v>
      </c>
      <c r="K1218" s="4" t="n">
        <v>1605</v>
      </c>
    </row>
    <row r="1219" customFormat="false" ht="15" hidden="false" customHeight="false" outlineLevel="0" collapsed="false">
      <c r="A1219" s="4" t="n">
        <v>1218</v>
      </c>
      <c r="B1219" s="4" t="s">
        <v>1944</v>
      </c>
      <c r="C1219" s="4" t="n">
        <v>1957</v>
      </c>
      <c r="D1219" s="4" t="s">
        <v>1903</v>
      </c>
      <c r="E1219" s="25" t="str">
        <f aca="false">IF(J1219=1,"✓","")</f>
        <v/>
      </c>
      <c r="F1219" s="4" t="n">
        <v>2</v>
      </c>
      <c r="G1219" s="4" t="n">
        <v>1</v>
      </c>
      <c r="H1219" s="4" t="s">
        <v>213</v>
      </c>
      <c r="I1219" s="4" t="s">
        <v>52</v>
      </c>
      <c r="J1219" s="4" t="n">
        <f aca="false">INDEX('Master List'!$G$2:$G$2594,K1219)</f>
        <v>0</v>
      </c>
      <c r="K1219" s="4" t="n">
        <v>1134</v>
      </c>
    </row>
    <row r="1220" customFormat="false" ht="15" hidden="false" customHeight="false" outlineLevel="0" collapsed="false">
      <c r="A1220" s="4" t="n">
        <v>1219</v>
      </c>
      <c r="B1220" s="4" t="s">
        <v>1945</v>
      </c>
      <c r="C1220" s="4" t="n">
        <v>1957</v>
      </c>
      <c r="D1220" s="4" t="s">
        <v>1946</v>
      </c>
      <c r="E1220" s="25" t="str">
        <f aca="false">IF(J1220=1,"✓","")</f>
        <v/>
      </c>
      <c r="F1220" s="4" t="n">
        <v>2</v>
      </c>
      <c r="G1220" s="4" t="n">
        <v>1</v>
      </c>
      <c r="H1220" s="4" t="s">
        <v>213</v>
      </c>
      <c r="I1220" s="4" t="s">
        <v>52</v>
      </c>
      <c r="J1220" s="4" t="n">
        <f aca="false">INDEX('Master List'!$G$2:$G$2594,K1220)</f>
        <v>0</v>
      </c>
      <c r="K1220" s="4" t="n">
        <v>1707</v>
      </c>
    </row>
    <row r="1221" customFormat="false" ht="15" hidden="false" customHeight="false" outlineLevel="0" collapsed="false">
      <c r="A1221" s="4" t="n">
        <v>1220</v>
      </c>
      <c r="B1221" s="4" t="s">
        <v>1947</v>
      </c>
      <c r="C1221" s="4" t="n">
        <v>1957</v>
      </c>
      <c r="D1221" s="4" t="s">
        <v>416</v>
      </c>
      <c r="E1221" s="25" t="str">
        <f aca="false">IF(J1221=1,"✓","")</f>
        <v/>
      </c>
      <c r="F1221" s="4" t="n">
        <v>2</v>
      </c>
      <c r="G1221" s="4" t="n">
        <v>1</v>
      </c>
      <c r="H1221" s="4" t="s">
        <v>213</v>
      </c>
      <c r="I1221" s="4" t="s">
        <v>52</v>
      </c>
      <c r="J1221" s="4" t="n">
        <f aca="false">INDEX('Master List'!$G$2:$G$2594,K1221)</f>
        <v>0</v>
      </c>
      <c r="K1221" s="4" t="n">
        <v>1327</v>
      </c>
    </row>
    <row r="1222" customFormat="false" ht="15" hidden="false" customHeight="false" outlineLevel="0" collapsed="false">
      <c r="A1222" s="4" t="n">
        <v>1221</v>
      </c>
      <c r="B1222" s="4" t="s">
        <v>1948</v>
      </c>
      <c r="C1222" s="4" t="n">
        <v>1957</v>
      </c>
      <c r="D1222" s="4" t="s">
        <v>146</v>
      </c>
      <c r="E1222" s="25" t="str">
        <f aca="false">IF(J1222=1,"✓","")</f>
        <v/>
      </c>
      <c r="F1222" s="4" t="n">
        <v>2</v>
      </c>
      <c r="G1222" s="4" t="n">
        <v>1</v>
      </c>
      <c r="H1222" s="4" t="s">
        <v>213</v>
      </c>
      <c r="I1222" s="4" t="s">
        <v>53</v>
      </c>
      <c r="J1222" s="4" t="n">
        <f aca="false">INDEX('Master List'!$G$2:$G$2594,K1222)</f>
        <v>0</v>
      </c>
      <c r="K1222" s="4" t="n">
        <v>2329</v>
      </c>
    </row>
    <row r="1223" customFormat="false" ht="15" hidden="false" customHeight="false" outlineLevel="0" collapsed="false">
      <c r="A1223" s="4" t="n">
        <v>1222</v>
      </c>
      <c r="B1223" s="4" t="s">
        <v>1949</v>
      </c>
      <c r="C1223" s="4" t="n">
        <v>1957</v>
      </c>
      <c r="D1223" s="4" t="s">
        <v>1950</v>
      </c>
      <c r="E1223" s="25" t="str">
        <f aca="false">IF(J1223=1,"✓","")</f>
        <v/>
      </c>
      <c r="F1223" s="4" t="n">
        <v>2</v>
      </c>
      <c r="G1223" s="4" t="n">
        <v>1</v>
      </c>
      <c r="H1223" s="4" t="s">
        <v>213</v>
      </c>
      <c r="I1223" s="4" t="s">
        <v>54</v>
      </c>
      <c r="J1223" s="4" t="n">
        <f aca="false">INDEX('Master List'!$G$2:$G$2594,K1223)</f>
        <v>0</v>
      </c>
      <c r="K1223" s="4" t="n">
        <v>1774</v>
      </c>
    </row>
    <row r="1224" customFormat="false" ht="15" hidden="false" customHeight="false" outlineLevel="0" collapsed="false">
      <c r="A1224" s="4" t="n">
        <v>1223</v>
      </c>
      <c r="B1224" s="4" t="s">
        <v>1951</v>
      </c>
      <c r="C1224" s="4" t="n">
        <v>1958</v>
      </c>
      <c r="D1224" s="4" t="s">
        <v>1952</v>
      </c>
      <c r="E1224" s="25" t="str">
        <f aca="false">IF(J1224=1,"✓","")</f>
        <v/>
      </c>
      <c r="F1224" s="4" t="n">
        <v>2</v>
      </c>
      <c r="G1224" s="4" t="n">
        <v>1</v>
      </c>
      <c r="H1224" s="4" t="s">
        <v>213</v>
      </c>
      <c r="I1224" s="4" t="s">
        <v>51</v>
      </c>
      <c r="J1224" s="4" t="n">
        <f aca="false">INDEX('Master List'!$G$2:$G$2594,K1224)</f>
        <v>0</v>
      </c>
      <c r="K1224" s="4" t="n">
        <v>205</v>
      </c>
    </row>
    <row r="1225" customFormat="false" ht="15" hidden="false" customHeight="false" outlineLevel="0" collapsed="false">
      <c r="A1225" s="4" t="n">
        <v>1224</v>
      </c>
      <c r="B1225" s="4" t="s">
        <v>1953</v>
      </c>
      <c r="C1225" s="4" t="n">
        <v>1958</v>
      </c>
      <c r="D1225" s="4" t="s">
        <v>813</v>
      </c>
      <c r="E1225" s="25" t="str">
        <f aca="false">IF(J1225=1,"✓","")</f>
        <v/>
      </c>
      <c r="F1225" s="4" t="n">
        <v>2</v>
      </c>
      <c r="G1225" s="4" t="n">
        <v>1</v>
      </c>
      <c r="H1225" s="4" t="s">
        <v>213</v>
      </c>
      <c r="I1225" s="4" t="s">
        <v>51</v>
      </c>
      <c r="J1225" s="4" t="n">
        <f aca="false">INDEX('Master List'!$G$2:$G$2594,K1225)</f>
        <v>0</v>
      </c>
      <c r="K1225" s="4" t="n">
        <v>720</v>
      </c>
    </row>
    <row r="1226" customFormat="false" ht="15" hidden="false" customHeight="false" outlineLevel="0" collapsed="false">
      <c r="A1226" s="4" t="n">
        <v>1225</v>
      </c>
      <c r="B1226" s="4" t="s">
        <v>1954</v>
      </c>
      <c r="C1226" s="4" t="n">
        <v>1958</v>
      </c>
      <c r="D1226" s="4" t="s">
        <v>765</v>
      </c>
      <c r="E1226" s="25" t="str">
        <f aca="false">IF(J1226=1,"✓","")</f>
        <v/>
      </c>
      <c r="F1226" s="4" t="n">
        <v>2</v>
      </c>
      <c r="G1226" s="4" t="n">
        <v>1</v>
      </c>
      <c r="H1226" s="4" t="s">
        <v>213</v>
      </c>
      <c r="I1226" s="4" t="s">
        <v>51</v>
      </c>
      <c r="J1226" s="4" t="n">
        <f aca="false">INDEX('Master List'!$G$2:$G$2594,K1226)</f>
        <v>0</v>
      </c>
      <c r="K1226" s="4" t="n">
        <v>1932</v>
      </c>
    </row>
    <row r="1227" customFormat="false" ht="15" hidden="false" customHeight="false" outlineLevel="0" collapsed="false">
      <c r="A1227" s="4" t="n">
        <v>1226</v>
      </c>
      <c r="B1227" s="4" t="s">
        <v>1955</v>
      </c>
      <c r="C1227" s="4" t="n">
        <v>1958</v>
      </c>
      <c r="D1227" s="4" t="s">
        <v>1843</v>
      </c>
      <c r="E1227" s="25" t="str">
        <f aca="false">IF(J1227=1,"✓","")</f>
        <v/>
      </c>
      <c r="F1227" s="4" t="n">
        <v>2</v>
      </c>
      <c r="G1227" s="4" t="n">
        <v>1</v>
      </c>
      <c r="H1227" s="4" t="s">
        <v>213</v>
      </c>
      <c r="I1227" s="4" t="s">
        <v>52</v>
      </c>
      <c r="J1227" s="4" t="n">
        <f aca="false">INDEX('Master List'!$G$2:$G$2594,K1227)</f>
        <v>0</v>
      </c>
      <c r="K1227" s="4" t="n">
        <v>1427</v>
      </c>
    </row>
    <row r="1228" customFormat="false" ht="15" hidden="false" customHeight="false" outlineLevel="0" collapsed="false">
      <c r="A1228" s="4" t="n">
        <v>1227</v>
      </c>
      <c r="B1228" s="4" t="s">
        <v>1956</v>
      </c>
      <c r="C1228" s="4" t="n">
        <v>1958</v>
      </c>
      <c r="D1228" s="4" t="s">
        <v>570</v>
      </c>
      <c r="E1228" s="25" t="str">
        <f aca="false">IF(J1228=1,"✓","")</f>
        <v/>
      </c>
      <c r="F1228" s="4" t="n">
        <v>2</v>
      </c>
      <c r="G1228" s="4" t="n">
        <v>1</v>
      </c>
      <c r="H1228" s="4" t="s">
        <v>213</v>
      </c>
      <c r="I1228" s="4" t="s">
        <v>52</v>
      </c>
      <c r="J1228" s="4" t="n">
        <f aca="false">INDEX('Master List'!$G$2:$G$2594,K1228)</f>
        <v>0</v>
      </c>
      <c r="K1228" s="4" t="n">
        <v>2106</v>
      </c>
    </row>
    <row r="1229" customFormat="false" ht="15" hidden="false" customHeight="false" outlineLevel="0" collapsed="false">
      <c r="A1229" s="4" t="n">
        <v>1228</v>
      </c>
      <c r="B1229" s="4" t="s">
        <v>1957</v>
      </c>
      <c r="C1229" s="4" t="n">
        <v>1958</v>
      </c>
      <c r="D1229" s="4" t="s">
        <v>789</v>
      </c>
      <c r="E1229" s="25" t="str">
        <f aca="false">IF(J1229=1,"✓","")</f>
        <v/>
      </c>
      <c r="F1229" s="4" t="n">
        <v>2</v>
      </c>
      <c r="G1229" s="4" t="n">
        <v>1</v>
      </c>
      <c r="H1229" s="4" t="s">
        <v>213</v>
      </c>
      <c r="I1229" s="4" t="s">
        <v>56</v>
      </c>
      <c r="J1229" s="4" t="n">
        <f aca="false">INDEX('Master List'!$G$2:$G$2594,K1229)</f>
        <v>0</v>
      </c>
      <c r="K1229" s="4" t="n">
        <v>1946</v>
      </c>
    </row>
    <row r="1230" customFormat="false" ht="15" hidden="false" customHeight="false" outlineLevel="0" collapsed="false">
      <c r="A1230" s="4" t="n">
        <v>1229</v>
      </c>
      <c r="B1230" s="4" t="s">
        <v>1958</v>
      </c>
      <c r="C1230" s="4" t="n">
        <v>1959</v>
      </c>
      <c r="D1230" s="4" t="s">
        <v>755</v>
      </c>
      <c r="E1230" s="25" t="str">
        <f aca="false">IF(J1230=1,"✓","")</f>
        <v/>
      </c>
      <c r="F1230" s="4" t="n">
        <v>2</v>
      </c>
      <c r="G1230" s="4" t="n">
        <v>1</v>
      </c>
      <c r="H1230" s="4" t="s">
        <v>213</v>
      </c>
      <c r="I1230" s="4" t="s">
        <v>51</v>
      </c>
      <c r="J1230" s="4" t="n">
        <f aca="false">INDEX('Master List'!$G$2:$G$2594,K1230)</f>
        <v>0</v>
      </c>
      <c r="K1230" s="4" t="n">
        <v>958</v>
      </c>
    </row>
    <row r="1231" customFormat="false" ht="15" hidden="false" customHeight="false" outlineLevel="0" collapsed="false">
      <c r="A1231" s="4" t="n">
        <v>1230</v>
      </c>
      <c r="B1231" s="4" t="s">
        <v>1959</v>
      </c>
      <c r="C1231" s="4" t="n">
        <v>1959</v>
      </c>
      <c r="D1231" s="4" t="s">
        <v>1960</v>
      </c>
      <c r="E1231" s="25" t="str">
        <f aca="false">IF(J1231=1,"✓","")</f>
        <v/>
      </c>
      <c r="F1231" s="4" t="n">
        <v>2</v>
      </c>
      <c r="G1231" s="4" t="n">
        <v>1</v>
      </c>
      <c r="H1231" s="4" t="s">
        <v>213</v>
      </c>
      <c r="I1231" s="4" t="s">
        <v>51</v>
      </c>
      <c r="J1231" s="4" t="n">
        <f aca="false">INDEX('Master List'!$G$2:$G$2594,K1231)</f>
        <v>0</v>
      </c>
      <c r="K1231" s="4" t="n">
        <v>175</v>
      </c>
    </row>
    <row r="1232" customFormat="false" ht="15" hidden="false" customHeight="false" outlineLevel="0" collapsed="false">
      <c r="A1232" s="4" t="n">
        <v>1231</v>
      </c>
      <c r="B1232" s="4" t="s">
        <v>1961</v>
      </c>
      <c r="C1232" s="4" t="n">
        <v>1959</v>
      </c>
      <c r="D1232" s="4" t="s">
        <v>1449</v>
      </c>
      <c r="E1232" s="25" t="str">
        <f aca="false">IF(J1232=1,"✓","")</f>
        <v/>
      </c>
      <c r="F1232" s="4" t="n">
        <v>2</v>
      </c>
      <c r="G1232" s="4" t="n">
        <v>1</v>
      </c>
      <c r="H1232" s="4" t="s">
        <v>213</v>
      </c>
      <c r="I1232" s="4" t="s">
        <v>51</v>
      </c>
      <c r="J1232" s="4" t="n">
        <f aca="false">INDEX('Master List'!$G$2:$G$2594,K1232)</f>
        <v>0</v>
      </c>
      <c r="K1232" s="4" t="n">
        <v>1228</v>
      </c>
    </row>
    <row r="1233" customFormat="false" ht="15" hidden="false" customHeight="false" outlineLevel="0" collapsed="false">
      <c r="A1233" s="4" t="n">
        <v>1232</v>
      </c>
      <c r="B1233" s="4" t="s">
        <v>1962</v>
      </c>
      <c r="C1233" s="4" t="n">
        <v>1959</v>
      </c>
      <c r="D1233" s="4" t="s">
        <v>1453</v>
      </c>
      <c r="E1233" s="25" t="str">
        <f aca="false">IF(J1233=1,"✓","")</f>
        <v/>
      </c>
      <c r="F1233" s="4" t="n">
        <v>2</v>
      </c>
      <c r="G1233" s="4" t="n">
        <v>1</v>
      </c>
      <c r="H1233" s="4" t="s">
        <v>213</v>
      </c>
      <c r="I1233" s="4" t="s">
        <v>52</v>
      </c>
      <c r="J1233" s="4" t="n">
        <f aca="false">INDEX('Master List'!$G$2:$G$2594,K1233)</f>
        <v>0</v>
      </c>
      <c r="K1233" s="4" t="n">
        <v>1068</v>
      </c>
    </row>
    <row r="1234" customFormat="false" ht="15" hidden="false" customHeight="false" outlineLevel="0" collapsed="false">
      <c r="A1234" s="4" t="n">
        <v>1233</v>
      </c>
      <c r="B1234" s="4" t="s">
        <v>1963</v>
      </c>
      <c r="C1234" s="4" t="n">
        <v>1959</v>
      </c>
      <c r="D1234" s="4" t="s">
        <v>1964</v>
      </c>
      <c r="E1234" s="25" t="str">
        <f aca="false">IF(J1234=1,"✓","")</f>
        <v/>
      </c>
      <c r="F1234" s="4" t="n">
        <v>2</v>
      </c>
      <c r="G1234" s="4" t="n">
        <v>1</v>
      </c>
      <c r="H1234" s="4" t="s">
        <v>213</v>
      </c>
      <c r="I1234" s="4" t="s">
        <v>52</v>
      </c>
      <c r="J1234" s="4" t="n">
        <f aca="false">INDEX('Master List'!$G$2:$G$2594,K1234)</f>
        <v>0</v>
      </c>
      <c r="K1234" s="4" t="n">
        <v>2090</v>
      </c>
    </row>
    <row r="1235" customFormat="false" ht="15" hidden="false" customHeight="false" outlineLevel="0" collapsed="false">
      <c r="A1235" s="4" t="n">
        <v>1234</v>
      </c>
      <c r="B1235" s="4" t="s">
        <v>1965</v>
      </c>
      <c r="C1235" s="4" t="n">
        <v>1959</v>
      </c>
      <c r="D1235" s="4" t="s">
        <v>1966</v>
      </c>
      <c r="E1235" s="25" t="str">
        <f aca="false">IF(J1235=1,"✓","")</f>
        <v/>
      </c>
      <c r="F1235" s="4" t="n">
        <v>2</v>
      </c>
      <c r="G1235" s="4" t="n">
        <v>1</v>
      </c>
      <c r="H1235" s="4" t="s">
        <v>213</v>
      </c>
      <c r="I1235" s="4" t="s">
        <v>52</v>
      </c>
      <c r="J1235" s="4" t="n">
        <f aca="false">INDEX('Master List'!$G$2:$G$2594,K1235)</f>
        <v>0</v>
      </c>
      <c r="K1235" s="4" t="n">
        <v>2524</v>
      </c>
    </row>
    <row r="1236" customFormat="false" ht="15" hidden="false" customHeight="false" outlineLevel="0" collapsed="false">
      <c r="A1236" s="4" t="n">
        <v>1235</v>
      </c>
      <c r="B1236" s="4" t="s">
        <v>1967</v>
      </c>
      <c r="C1236" s="4" t="n">
        <v>1959</v>
      </c>
      <c r="D1236" s="4" t="s">
        <v>146</v>
      </c>
      <c r="E1236" s="25" t="str">
        <f aca="false">IF(J1236=1,"✓","")</f>
        <v/>
      </c>
      <c r="F1236" s="4" t="n">
        <v>2</v>
      </c>
      <c r="G1236" s="4" t="n">
        <v>1</v>
      </c>
      <c r="H1236" s="4" t="s">
        <v>213</v>
      </c>
      <c r="I1236" s="4" t="s">
        <v>53</v>
      </c>
      <c r="J1236" s="4" t="n">
        <f aca="false">INDEX('Master List'!$G$2:$G$2594,K1236)</f>
        <v>0</v>
      </c>
      <c r="K1236" s="4" t="n">
        <v>925</v>
      </c>
    </row>
    <row r="1237" customFormat="false" ht="15" hidden="false" customHeight="false" outlineLevel="0" collapsed="false">
      <c r="A1237" s="4" t="n">
        <v>1236</v>
      </c>
      <c r="B1237" s="4" t="s">
        <v>1968</v>
      </c>
      <c r="C1237" s="4" t="n">
        <v>1959</v>
      </c>
      <c r="D1237" s="4" t="s">
        <v>1969</v>
      </c>
      <c r="E1237" s="25" t="str">
        <f aca="false">IF(J1237=1,"✓","")</f>
        <v/>
      </c>
      <c r="F1237" s="4" t="n">
        <v>2</v>
      </c>
      <c r="G1237" s="4" t="n">
        <v>1</v>
      </c>
      <c r="H1237" s="4" t="s">
        <v>213</v>
      </c>
      <c r="I1237" s="4" t="s">
        <v>55</v>
      </c>
      <c r="J1237" s="4" t="n">
        <f aca="false">INDEX('Master List'!$G$2:$G$2594,K1237)</f>
        <v>0</v>
      </c>
      <c r="K1237" s="4" t="n">
        <v>1664</v>
      </c>
    </row>
    <row r="1238" customFormat="false" ht="15" hidden="false" customHeight="false" outlineLevel="0" collapsed="false">
      <c r="A1238" s="4" t="n">
        <v>1237</v>
      </c>
      <c r="B1238" s="4" t="s">
        <v>1970</v>
      </c>
      <c r="C1238" s="4" t="n">
        <v>1959</v>
      </c>
      <c r="D1238" s="4" t="s">
        <v>305</v>
      </c>
      <c r="E1238" s="25" t="str">
        <f aca="false">IF(J1238=1,"✓","")</f>
        <v/>
      </c>
      <c r="F1238" s="4" t="n">
        <v>2</v>
      </c>
      <c r="G1238" s="4" t="n">
        <v>1</v>
      </c>
      <c r="H1238" s="4" t="s">
        <v>213</v>
      </c>
      <c r="I1238" s="4" t="s">
        <v>57</v>
      </c>
      <c r="J1238" s="4" t="n">
        <f aca="false">INDEX('Master List'!$G$2:$G$2594,K1238)</f>
        <v>0</v>
      </c>
      <c r="K1238" s="4" t="n">
        <v>223</v>
      </c>
    </row>
    <row r="1239" customFormat="false" ht="15" hidden="false" customHeight="false" outlineLevel="0" collapsed="false">
      <c r="A1239" s="4" t="n">
        <v>1238</v>
      </c>
      <c r="B1239" s="4" t="s">
        <v>1971</v>
      </c>
      <c r="C1239" s="4" t="n">
        <v>1960</v>
      </c>
      <c r="D1239" s="4" t="s">
        <v>995</v>
      </c>
      <c r="E1239" s="25" t="str">
        <f aca="false">IF(J1239=1,"✓","")</f>
        <v/>
      </c>
      <c r="F1239" s="4" t="n">
        <v>2</v>
      </c>
      <c r="G1239" s="4" t="n">
        <v>1</v>
      </c>
      <c r="H1239" s="4" t="s">
        <v>213</v>
      </c>
      <c r="I1239" s="4" t="s">
        <v>51</v>
      </c>
      <c r="J1239" s="4" t="n">
        <f aca="false">INDEX('Master List'!$G$2:$G$2594,K1239)</f>
        <v>0</v>
      </c>
      <c r="K1239" s="4" t="n">
        <v>545</v>
      </c>
    </row>
    <row r="1240" customFormat="false" ht="15" hidden="false" customHeight="false" outlineLevel="0" collapsed="false">
      <c r="A1240" s="4" t="n">
        <v>1239</v>
      </c>
      <c r="B1240" s="4" t="s">
        <v>1972</v>
      </c>
      <c r="C1240" s="4" t="n">
        <v>1960</v>
      </c>
      <c r="D1240" s="4" t="s">
        <v>461</v>
      </c>
      <c r="E1240" s="25" t="str">
        <f aca="false">IF(J1240=1,"✓","")</f>
        <v/>
      </c>
      <c r="F1240" s="4" t="n">
        <v>2</v>
      </c>
      <c r="G1240" s="4" t="n">
        <v>1</v>
      </c>
      <c r="H1240" s="4" t="s">
        <v>213</v>
      </c>
      <c r="I1240" s="4" t="s">
        <v>51</v>
      </c>
      <c r="J1240" s="4" t="n">
        <f aca="false">INDEX('Master List'!$G$2:$G$2594,K1240)</f>
        <v>0</v>
      </c>
      <c r="K1240" s="4" t="n">
        <v>1920</v>
      </c>
    </row>
    <row r="1241" customFormat="false" ht="15" hidden="false" customHeight="false" outlineLevel="0" collapsed="false">
      <c r="A1241" s="4" t="n">
        <v>1240</v>
      </c>
      <c r="B1241" s="4" t="s">
        <v>1973</v>
      </c>
      <c r="C1241" s="4" t="n">
        <v>1960</v>
      </c>
      <c r="D1241" s="4" t="s">
        <v>150</v>
      </c>
      <c r="E1241" s="25" t="str">
        <f aca="false">IF(J1241=1,"✓","")</f>
        <v/>
      </c>
      <c r="F1241" s="4" t="n">
        <v>2</v>
      </c>
      <c r="G1241" s="4" t="n">
        <v>1</v>
      </c>
      <c r="H1241" s="4" t="s">
        <v>213</v>
      </c>
      <c r="I1241" s="4" t="s">
        <v>51</v>
      </c>
      <c r="J1241" s="4" t="n">
        <f aca="false">INDEX('Master List'!$G$2:$G$2594,K1241)</f>
        <v>0</v>
      </c>
      <c r="K1241" s="4" t="n">
        <v>2053</v>
      </c>
    </row>
    <row r="1242" customFormat="false" ht="15" hidden="false" customHeight="false" outlineLevel="0" collapsed="false">
      <c r="A1242" s="4" t="n">
        <v>1241</v>
      </c>
      <c r="B1242" s="4" t="s">
        <v>1974</v>
      </c>
      <c r="C1242" s="4" t="n">
        <v>1960</v>
      </c>
      <c r="D1242" s="4" t="s">
        <v>1975</v>
      </c>
      <c r="E1242" s="25" t="str">
        <f aca="false">IF(J1242=1,"✓","")</f>
        <v/>
      </c>
      <c r="F1242" s="4" t="n">
        <v>2</v>
      </c>
      <c r="G1242" s="4" t="n">
        <v>1</v>
      </c>
      <c r="H1242" s="4" t="s">
        <v>213</v>
      </c>
      <c r="I1242" s="4" t="s">
        <v>51</v>
      </c>
      <c r="J1242" s="4" t="n">
        <f aca="false">INDEX('Master List'!$G$2:$G$2594,K1242)</f>
        <v>0</v>
      </c>
      <c r="K1242" s="4" t="n">
        <v>485</v>
      </c>
    </row>
    <row r="1243" customFormat="false" ht="15" hidden="false" customHeight="false" outlineLevel="0" collapsed="false">
      <c r="A1243" s="4" t="n">
        <v>1242</v>
      </c>
      <c r="B1243" s="4" t="s">
        <v>1976</v>
      </c>
      <c r="C1243" s="4" t="n">
        <v>1960</v>
      </c>
      <c r="D1243" s="4" t="s">
        <v>1977</v>
      </c>
      <c r="E1243" s="25" t="str">
        <f aca="false">IF(J1243=1,"✓","")</f>
        <v/>
      </c>
      <c r="F1243" s="4" t="n">
        <v>2</v>
      </c>
      <c r="G1243" s="4" t="n">
        <v>1</v>
      </c>
      <c r="H1243" s="4" t="s">
        <v>213</v>
      </c>
      <c r="I1243" s="4" t="s">
        <v>51</v>
      </c>
      <c r="J1243" s="4" t="n">
        <f aca="false">INDEX('Master List'!$G$2:$G$2594,K1243)</f>
        <v>0</v>
      </c>
      <c r="K1243" s="4" t="n">
        <v>1554</v>
      </c>
    </row>
    <row r="1244" customFormat="false" ht="15" hidden="false" customHeight="false" outlineLevel="0" collapsed="false">
      <c r="A1244" s="4" t="n">
        <v>1243</v>
      </c>
      <c r="B1244" s="4" t="s">
        <v>1978</v>
      </c>
      <c r="C1244" s="4" t="n">
        <v>1960</v>
      </c>
      <c r="D1244" s="4" t="s">
        <v>1451</v>
      </c>
      <c r="E1244" s="25" t="str">
        <f aca="false">IF(J1244=1,"✓","")</f>
        <v/>
      </c>
      <c r="F1244" s="4" t="n">
        <v>2</v>
      </c>
      <c r="G1244" s="4" t="n">
        <v>1</v>
      </c>
      <c r="H1244" s="4" t="s">
        <v>213</v>
      </c>
      <c r="I1244" s="4" t="s">
        <v>52</v>
      </c>
      <c r="J1244" s="4" t="n">
        <f aca="false">INDEX('Master List'!$G$2:$G$2594,K1244)</f>
        <v>0</v>
      </c>
      <c r="K1244" s="4" t="n">
        <v>501</v>
      </c>
    </row>
    <row r="1245" customFormat="false" ht="15" hidden="false" customHeight="false" outlineLevel="0" collapsed="false">
      <c r="A1245" s="4" t="n">
        <v>1244</v>
      </c>
      <c r="B1245" s="4" t="s">
        <v>1979</v>
      </c>
      <c r="C1245" s="4" t="n">
        <v>1960</v>
      </c>
      <c r="D1245" s="4" t="s">
        <v>1980</v>
      </c>
      <c r="E1245" s="25" t="str">
        <f aca="false">IF(J1245=1,"✓","")</f>
        <v/>
      </c>
      <c r="F1245" s="4" t="n">
        <v>2</v>
      </c>
      <c r="G1245" s="4" t="n">
        <v>1</v>
      </c>
      <c r="H1245" s="4" t="s">
        <v>213</v>
      </c>
      <c r="I1245" s="4" t="s">
        <v>52</v>
      </c>
      <c r="J1245" s="4" t="n">
        <f aca="false">INDEX('Master List'!$G$2:$G$2594,K1245)</f>
        <v>0</v>
      </c>
      <c r="K1245" s="4" t="n">
        <v>1811</v>
      </c>
    </row>
    <row r="1246" customFormat="false" ht="15" hidden="false" customHeight="false" outlineLevel="0" collapsed="false">
      <c r="A1246" s="4" t="n">
        <v>1245</v>
      </c>
      <c r="B1246" s="4" t="s">
        <v>1981</v>
      </c>
      <c r="C1246" s="4" t="n">
        <v>1960</v>
      </c>
      <c r="D1246" s="4" t="s">
        <v>170</v>
      </c>
      <c r="E1246" s="25" t="str">
        <f aca="false">IF(J1246=1,"✓","")</f>
        <v/>
      </c>
      <c r="F1246" s="4" t="n">
        <v>2</v>
      </c>
      <c r="G1246" s="4" t="n">
        <v>1</v>
      </c>
      <c r="H1246" s="4" t="s">
        <v>213</v>
      </c>
      <c r="I1246" s="4" t="s">
        <v>53</v>
      </c>
      <c r="J1246" s="4" t="n">
        <f aca="false">INDEX('Master List'!$G$2:$G$2594,K1246)</f>
        <v>0</v>
      </c>
      <c r="K1246" s="4" t="n">
        <v>2436</v>
      </c>
    </row>
    <row r="1247" customFormat="false" ht="15" hidden="false" customHeight="false" outlineLevel="0" collapsed="false">
      <c r="A1247" s="4" t="n">
        <v>1246</v>
      </c>
      <c r="B1247" s="4" t="s">
        <v>1982</v>
      </c>
      <c r="C1247" s="4" t="n">
        <v>1960</v>
      </c>
      <c r="D1247" s="4" t="s">
        <v>146</v>
      </c>
      <c r="E1247" s="25" t="str">
        <f aca="false">IF(J1247=1,"✓","")</f>
        <v/>
      </c>
      <c r="F1247" s="4" t="n">
        <v>2</v>
      </c>
      <c r="G1247" s="4" t="n">
        <v>1</v>
      </c>
      <c r="H1247" s="4" t="s">
        <v>213</v>
      </c>
      <c r="I1247" s="4" t="s">
        <v>53</v>
      </c>
      <c r="J1247" s="4" t="n">
        <f aca="false">INDEX('Master List'!$G$2:$G$2594,K1247)</f>
        <v>0</v>
      </c>
      <c r="K1247" s="4" t="n">
        <v>1306</v>
      </c>
    </row>
    <row r="1248" customFormat="false" ht="15" hidden="false" customHeight="false" outlineLevel="0" collapsed="false">
      <c r="A1248" s="4" t="n">
        <v>1247</v>
      </c>
      <c r="B1248" s="4" t="s">
        <v>1983</v>
      </c>
      <c r="C1248" s="4" t="n">
        <v>1960</v>
      </c>
      <c r="D1248" s="4" t="s">
        <v>253</v>
      </c>
      <c r="E1248" s="25" t="str">
        <f aca="false">IF(J1248=1,"✓","")</f>
        <v/>
      </c>
      <c r="F1248" s="4" t="n">
        <v>2</v>
      </c>
      <c r="G1248" s="4" t="n">
        <v>1</v>
      </c>
      <c r="H1248" s="4" t="s">
        <v>213</v>
      </c>
      <c r="I1248" s="4" t="s">
        <v>53</v>
      </c>
      <c r="J1248" s="4" t="n">
        <f aca="false">INDEX('Master List'!$G$2:$G$2594,K1248)</f>
        <v>0</v>
      </c>
      <c r="K1248" s="4" t="n">
        <v>619</v>
      </c>
    </row>
    <row r="1249" customFormat="false" ht="15" hidden="false" customHeight="false" outlineLevel="0" collapsed="false">
      <c r="A1249" s="4" t="n">
        <v>1248</v>
      </c>
      <c r="B1249" s="4" t="s">
        <v>1984</v>
      </c>
      <c r="C1249" s="4" t="n">
        <v>1960</v>
      </c>
      <c r="D1249" s="4" t="s">
        <v>1969</v>
      </c>
      <c r="E1249" s="25" t="str">
        <f aca="false">IF(J1249=1,"✓","")</f>
        <v/>
      </c>
      <c r="F1249" s="4" t="n">
        <v>2</v>
      </c>
      <c r="G1249" s="4" t="n">
        <v>1</v>
      </c>
      <c r="H1249" s="4" t="s">
        <v>213</v>
      </c>
      <c r="I1249" s="4" t="s">
        <v>55</v>
      </c>
      <c r="J1249" s="4" t="n">
        <f aca="false">INDEX('Master List'!$G$2:$G$2594,K1249)</f>
        <v>0</v>
      </c>
      <c r="K1249" s="4" t="n">
        <v>1141</v>
      </c>
    </row>
    <row r="1250" customFormat="false" ht="15" hidden="false" customHeight="false" outlineLevel="0" collapsed="false">
      <c r="A1250" s="4" t="n">
        <v>1249</v>
      </c>
      <c r="B1250" s="4" t="s">
        <v>1985</v>
      </c>
      <c r="C1250" s="4" t="n">
        <v>1961</v>
      </c>
      <c r="D1250" s="4" t="s">
        <v>1986</v>
      </c>
      <c r="E1250" s="25" t="str">
        <f aca="false">IF(J1250=1,"✓","")</f>
        <v/>
      </c>
      <c r="F1250" s="4" t="n">
        <v>2</v>
      </c>
      <c r="G1250" s="4" t="n">
        <v>1</v>
      </c>
      <c r="H1250" s="4" t="s">
        <v>213</v>
      </c>
      <c r="I1250" s="4" t="s">
        <v>51</v>
      </c>
      <c r="J1250" s="4" t="n">
        <f aca="false">INDEX('Master List'!$G$2:$G$2594,K1250)</f>
        <v>0</v>
      </c>
      <c r="K1250" s="4" t="n">
        <v>1768</v>
      </c>
    </row>
    <row r="1251" customFormat="false" ht="15" hidden="false" customHeight="false" outlineLevel="0" collapsed="false">
      <c r="A1251" s="4" t="n">
        <v>1250</v>
      </c>
      <c r="B1251" s="4" t="s">
        <v>1987</v>
      </c>
      <c r="C1251" s="4" t="n">
        <v>1961</v>
      </c>
      <c r="D1251" s="4" t="s">
        <v>974</v>
      </c>
      <c r="E1251" s="25" t="str">
        <f aca="false">IF(J1251=1,"✓","")</f>
        <v/>
      </c>
      <c r="F1251" s="4" t="n">
        <v>2</v>
      </c>
      <c r="G1251" s="4" t="n">
        <v>1</v>
      </c>
      <c r="H1251" s="4" t="s">
        <v>213</v>
      </c>
      <c r="I1251" s="4" t="s">
        <v>51</v>
      </c>
      <c r="J1251" s="4" t="n">
        <f aca="false">INDEX('Master List'!$G$2:$G$2594,K1251)</f>
        <v>0</v>
      </c>
      <c r="K1251" s="4" t="n">
        <v>37</v>
      </c>
    </row>
    <row r="1252" customFormat="false" ht="15" hidden="false" customHeight="false" outlineLevel="0" collapsed="false">
      <c r="A1252" s="4" t="n">
        <v>1251</v>
      </c>
      <c r="B1252" s="4" t="s">
        <v>1988</v>
      </c>
      <c r="C1252" s="4" t="n">
        <v>1961</v>
      </c>
      <c r="D1252" s="4" t="s">
        <v>1989</v>
      </c>
      <c r="E1252" s="25" t="str">
        <f aca="false">IF(J1252=1,"✓","")</f>
        <v/>
      </c>
      <c r="F1252" s="4" t="n">
        <v>2</v>
      </c>
      <c r="G1252" s="4" t="n">
        <v>1</v>
      </c>
      <c r="H1252" s="4" t="s">
        <v>213</v>
      </c>
      <c r="I1252" s="4" t="s">
        <v>51</v>
      </c>
      <c r="J1252" s="4" t="n">
        <f aca="false">INDEX('Master List'!$G$2:$G$2594,K1252)</f>
        <v>0</v>
      </c>
      <c r="K1252" s="4" t="n">
        <v>1804</v>
      </c>
    </row>
    <row r="1253" customFormat="false" ht="15" hidden="false" customHeight="false" outlineLevel="0" collapsed="false">
      <c r="A1253" s="4" t="n">
        <v>1252</v>
      </c>
      <c r="B1253" s="4" t="s">
        <v>1990</v>
      </c>
      <c r="C1253" s="4" t="n">
        <v>1961</v>
      </c>
      <c r="D1253" s="4" t="s">
        <v>1991</v>
      </c>
      <c r="E1253" s="25" t="str">
        <f aca="false">IF(J1253=1,"✓","")</f>
        <v/>
      </c>
      <c r="F1253" s="4" t="n">
        <v>2</v>
      </c>
      <c r="G1253" s="4" t="n">
        <v>1</v>
      </c>
      <c r="H1253" s="4" t="s">
        <v>213</v>
      </c>
      <c r="I1253" s="4" t="s">
        <v>51</v>
      </c>
      <c r="J1253" s="4" t="n">
        <f aca="false">INDEX('Master List'!$G$2:$G$2594,K1253)</f>
        <v>0</v>
      </c>
      <c r="K1253" s="4" t="n">
        <v>2246</v>
      </c>
    </row>
    <row r="1254" customFormat="false" ht="15" hidden="false" customHeight="false" outlineLevel="0" collapsed="false">
      <c r="A1254" s="4" t="n">
        <v>1253</v>
      </c>
      <c r="B1254" s="4" t="s">
        <v>1992</v>
      </c>
      <c r="C1254" s="4" t="n">
        <v>1961</v>
      </c>
      <c r="D1254" s="4" t="s">
        <v>1993</v>
      </c>
      <c r="E1254" s="25" t="str">
        <f aca="false">IF(J1254=1,"✓","")</f>
        <v/>
      </c>
      <c r="F1254" s="4" t="n">
        <v>2</v>
      </c>
      <c r="G1254" s="4" t="n">
        <v>1</v>
      </c>
      <c r="H1254" s="4" t="s">
        <v>213</v>
      </c>
      <c r="I1254" s="4" t="s">
        <v>51</v>
      </c>
      <c r="J1254" s="4" t="n">
        <f aca="false">INDEX('Master List'!$G$2:$G$2594,K1254)</f>
        <v>0</v>
      </c>
      <c r="K1254" s="4" t="n">
        <v>57</v>
      </c>
    </row>
    <row r="1255" customFormat="false" ht="15" hidden="false" customHeight="false" outlineLevel="0" collapsed="false">
      <c r="A1255" s="4" t="n">
        <v>1254</v>
      </c>
      <c r="B1255" s="4" t="s">
        <v>1994</v>
      </c>
      <c r="C1255" s="4" t="n">
        <v>1961</v>
      </c>
      <c r="D1255" s="4" t="s">
        <v>152</v>
      </c>
      <c r="E1255" s="25" t="str">
        <f aca="false">IF(J1255=1,"✓","")</f>
        <v/>
      </c>
      <c r="F1255" s="4" t="n">
        <v>2</v>
      </c>
      <c r="G1255" s="4" t="n">
        <v>1</v>
      </c>
      <c r="H1255" s="4" t="s">
        <v>213</v>
      </c>
      <c r="I1255" s="4" t="s">
        <v>52</v>
      </c>
      <c r="J1255" s="4" t="n">
        <f aca="false">INDEX('Master List'!$G$2:$G$2594,K1255)</f>
        <v>0</v>
      </c>
      <c r="K1255" s="4" t="n">
        <v>2406</v>
      </c>
    </row>
    <row r="1256" customFormat="false" ht="15" hidden="false" customHeight="false" outlineLevel="0" collapsed="false">
      <c r="A1256" s="4" t="n">
        <v>1255</v>
      </c>
      <c r="B1256" s="4" t="s">
        <v>1995</v>
      </c>
      <c r="C1256" s="4" t="n">
        <v>1961</v>
      </c>
      <c r="D1256" s="4" t="s">
        <v>1996</v>
      </c>
      <c r="E1256" s="25" t="str">
        <f aca="false">IF(J1256=1,"✓","")</f>
        <v/>
      </c>
      <c r="F1256" s="4" t="n">
        <v>2</v>
      </c>
      <c r="G1256" s="4" t="n">
        <v>1</v>
      </c>
      <c r="H1256" s="4" t="s">
        <v>213</v>
      </c>
      <c r="I1256" s="4" t="s">
        <v>52</v>
      </c>
      <c r="J1256" s="4" t="n">
        <f aca="false">INDEX('Master List'!$G$2:$G$2594,K1256)</f>
        <v>0</v>
      </c>
      <c r="K1256" s="4" t="n">
        <v>457</v>
      </c>
    </row>
    <row r="1257" customFormat="false" ht="15" hidden="false" customHeight="false" outlineLevel="0" collapsed="false">
      <c r="A1257" s="4" t="n">
        <v>1256</v>
      </c>
      <c r="B1257" s="4" t="s">
        <v>1997</v>
      </c>
      <c r="C1257" s="4" t="n">
        <v>1961</v>
      </c>
      <c r="D1257" s="4" t="s">
        <v>200</v>
      </c>
      <c r="E1257" s="25" t="str">
        <f aca="false">IF(J1257=1,"✓","")</f>
        <v/>
      </c>
      <c r="F1257" s="4" t="n">
        <v>2</v>
      </c>
      <c r="G1257" s="4" t="n">
        <v>1</v>
      </c>
      <c r="H1257" s="4" t="s">
        <v>213</v>
      </c>
      <c r="I1257" s="4" t="s">
        <v>53</v>
      </c>
      <c r="J1257" s="4" t="n">
        <f aca="false">INDEX('Master List'!$G$2:$G$2594,K1257)</f>
        <v>0</v>
      </c>
      <c r="K1257" s="4" t="n">
        <v>1681</v>
      </c>
    </row>
    <row r="1258" customFormat="false" ht="15" hidden="false" customHeight="false" outlineLevel="0" collapsed="false">
      <c r="A1258" s="4" t="n">
        <v>1257</v>
      </c>
      <c r="B1258" s="4" t="s">
        <v>1998</v>
      </c>
      <c r="C1258" s="4" t="n">
        <v>1961</v>
      </c>
      <c r="D1258" s="4" t="s">
        <v>170</v>
      </c>
      <c r="E1258" s="25" t="str">
        <f aca="false">IF(J1258=1,"✓","")</f>
        <v/>
      </c>
      <c r="F1258" s="4" t="n">
        <v>2</v>
      </c>
      <c r="G1258" s="4" t="n">
        <v>1</v>
      </c>
      <c r="H1258" s="4" t="s">
        <v>213</v>
      </c>
      <c r="I1258" s="4" t="s">
        <v>53</v>
      </c>
      <c r="J1258" s="4" t="n">
        <f aca="false">INDEX('Master List'!$G$2:$G$2594,K1258)</f>
        <v>0</v>
      </c>
      <c r="K1258" s="4" t="n">
        <v>2299</v>
      </c>
    </row>
    <row r="1259" customFormat="false" ht="15" hidden="false" customHeight="false" outlineLevel="0" collapsed="false">
      <c r="A1259" s="4" t="n">
        <v>1258</v>
      </c>
      <c r="B1259" s="4" t="s">
        <v>1999</v>
      </c>
      <c r="C1259" s="4" t="n">
        <v>1961</v>
      </c>
      <c r="D1259" s="4" t="s">
        <v>2000</v>
      </c>
      <c r="E1259" s="25" t="str">
        <f aca="false">IF(J1259=1,"✓","")</f>
        <v/>
      </c>
      <c r="F1259" s="4" t="n">
        <v>2</v>
      </c>
      <c r="G1259" s="4" t="n">
        <v>1</v>
      </c>
      <c r="H1259" s="4" t="s">
        <v>213</v>
      </c>
      <c r="I1259" s="4" t="s">
        <v>54</v>
      </c>
      <c r="J1259" s="4" t="n">
        <f aca="false">INDEX('Master List'!$G$2:$G$2594,K1259)</f>
        <v>0</v>
      </c>
      <c r="K1259" s="4" t="n">
        <v>2431</v>
      </c>
    </row>
    <row r="1260" customFormat="false" ht="15" hidden="false" customHeight="false" outlineLevel="0" collapsed="false">
      <c r="A1260" s="4" t="n">
        <v>1259</v>
      </c>
      <c r="B1260" s="4" t="s">
        <v>2001</v>
      </c>
      <c r="C1260" s="4" t="n">
        <v>1961</v>
      </c>
      <c r="D1260" s="4" t="s">
        <v>305</v>
      </c>
      <c r="E1260" s="25" t="str">
        <f aca="false">IF(J1260=1,"✓","")</f>
        <v/>
      </c>
      <c r="F1260" s="4" t="n">
        <v>2</v>
      </c>
      <c r="G1260" s="4" t="n">
        <v>1</v>
      </c>
      <c r="H1260" s="4" t="s">
        <v>213</v>
      </c>
      <c r="I1260" s="4" t="s">
        <v>54</v>
      </c>
      <c r="J1260" s="4" t="n">
        <f aca="false">INDEX('Master List'!$G$2:$G$2594,K1260)</f>
        <v>0</v>
      </c>
      <c r="K1260" s="4" t="n">
        <v>446</v>
      </c>
    </row>
    <row r="1261" customFormat="false" ht="15" hidden="false" customHeight="false" outlineLevel="0" collapsed="false">
      <c r="A1261" s="4" t="n">
        <v>1260</v>
      </c>
      <c r="B1261" s="4" t="s">
        <v>2002</v>
      </c>
      <c r="C1261" s="4" t="n">
        <v>1961</v>
      </c>
      <c r="D1261" s="4" t="s">
        <v>1969</v>
      </c>
      <c r="E1261" s="25" t="str">
        <f aca="false">IF(J1261=1,"✓","")</f>
        <v/>
      </c>
      <c r="F1261" s="4" t="n">
        <v>2</v>
      </c>
      <c r="G1261" s="4" t="n">
        <v>1</v>
      </c>
      <c r="H1261" s="4" t="s">
        <v>213</v>
      </c>
      <c r="I1261" s="4" t="s">
        <v>55</v>
      </c>
      <c r="J1261" s="4" t="n">
        <f aca="false">INDEX('Master List'!$G$2:$G$2594,K1261)</f>
        <v>0</v>
      </c>
      <c r="K1261" s="4" t="n">
        <v>1221</v>
      </c>
    </row>
    <row r="1262" customFormat="false" ht="15" hidden="false" customHeight="false" outlineLevel="0" collapsed="false">
      <c r="A1262" s="4" t="n">
        <v>1261</v>
      </c>
      <c r="B1262" s="4" t="s">
        <v>2003</v>
      </c>
      <c r="C1262" s="4" t="n">
        <v>1961</v>
      </c>
      <c r="D1262" s="4" t="s">
        <v>2004</v>
      </c>
      <c r="E1262" s="25" t="str">
        <f aca="false">IF(J1262=1,"✓","")</f>
        <v/>
      </c>
      <c r="F1262" s="4" t="n">
        <v>2</v>
      </c>
      <c r="G1262" s="4" t="n">
        <v>1</v>
      </c>
      <c r="H1262" s="4" t="s">
        <v>213</v>
      </c>
      <c r="I1262" s="4" t="s">
        <v>55</v>
      </c>
      <c r="J1262" s="4" t="n">
        <f aca="false">INDEX('Master List'!$G$2:$G$2594,K1262)</f>
        <v>0</v>
      </c>
      <c r="K1262" s="4" t="n">
        <v>339</v>
      </c>
    </row>
    <row r="1263" customFormat="false" ht="15" hidden="false" customHeight="false" outlineLevel="0" collapsed="false">
      <c r="A1263" s="4" t="n">
        <v>1262</v>
      </c>
      <c r="B1263" s="4" t="s">
        <v>2005</v>
      </c>
      <c r="C1263" s="4" t="n">
        <v>1961</v>
      </c>
      <c r="D1263" s="4" t="s">
        <v>1873</v>
      </c>
      <c r="E1263" s="25" t="str">
        <f aca="false">IF(J1263=1,"✓","")</f>
        <v/>
      </c>
      <c r="F1263" s="4" t="n">
        <v>2</v>
      </c>
      <c r="G1263" s="4" t="n">
        <v>1</v>
      </c>
      <c r="H1263" s="4" t="s">
        <v>213</v>
      </c>
      <c r="I1263" s="4" t="s">
        <v>55</v>
      </c>
      <c r="J1263" s="4" t="n">
        <f aca="false">INDEX('Master List'!$G$2:$G$2594,K1263)</f>
        <v>0</v>
      </c>
      <c r="K1263" s="4" t="n">
        <v>1095</v>
      </c>
    </row>
    <row r="1264" customFormat="false" ht="15" hidden="false" customHeight="false" outlineLevel="0" collapsed="false">
      <c r="A1264" s="4" t="n">
        <v>1263</v>
      </c>
      <c r="B1264" s="4" t="s">
        <v>2006</v>
      </c>
      <c r="C1264" s="4" t="n">
        <v>1961</v>
      </c>
      <c r="D1264" s="4" t="s">
        <v>407</v>
      </c>
      <c r="E1264" s="25" t="str">
        <f aca="false">IF(J1264=1,"✓","")</f>
        <v/>
      </c>
      <c r="F1264" s="4" t="n">
        <v>2</v>
      </c>
      <c r="G1264" s="4" t="n">
        <v>1</v>
      </c>
      <c r="H1264" s="4" t="s">
        <v>213</v>
      </c>
      <c r="I1264" s="4" t="s">
        <v>56</v>
      </c>
      <c r="J1264" s="4" t="n">
        <f aca="false">INDEX('Master List'!$G$2:$G$2594,K1264)</f>
        <v>0</v>
      </c>
      <c r="K1264" s="4" t="n">
        <v>1542</v>
      </c>
    </row>
    <row r="1265" customFormat="false" ht="15" hidden="false" customHeight="false" outlineLevel="0" collapsed="false">
      <c r="A1265" s="4" t="n">
        <v>1264</v>
      </c>
      <c r="B1265" s="4" t="s">
        <v>2007</v>
      </c>
      <c r="C1265" s="4" t="n">
        <v>1961</v>
      </c>
      <c r="D1265" s="4" t="s">
        <v>2008</v>
      </c>
      <c r="E1265" s="25" t="str">
        <f aca="false">IF(J1265=1,"✓","")</f>
        <v/>
      </c>
      <c r="F1265" s="4" t="n">
        <v>2</v>
      </c>
      <c r="G1265" s="4" t="n">
        <v>1</v>
      </c>
      <c r="H1265" s="4" t="s">
        <v>213</v>
      </c>
      <c r="I1265" s="4" t="s">
        <v>58</v>
      </c>
      <c r="J1265" s="4" t="n">
        <f aca="false">INDEX('Master List'!$G$2:$G$2594,K1265)</f>
        <v>0</v>
      </c>
      <c r="K1265" s="4" t="n">
        <v>1645</v>
      </c>
    </row>
    <row r="1266" customFormat="false" ht="15" hidden="false" customHeight="false" outlineLevel="0" collapsed="false">
      <c r="A1266" s="4" t="n">
        <v>1265</v>
      </c>
      <c r="B1266" s="4" t="s">
        <v>2009</v>
      </c>
      <c r="C1266" s="4" t="n">
        <v>1962</v>
      </c>
      <c r="D1266" s="4" t="s">
        <v>156</v>
      </c>
      <c r="E1266" s="25" t="str">
        <f aca="false">IF(J1266=1,"✓","")</f>
        <v/>
      </c>
      <c r="F1266" s="4" t="n">
        <v>2</v>
      </c>
      <c r="G1266" s="4" t="n">
        <v>1</v>
      </c>
      <c r="H1266" s="4" t="s">
        <v>213</v>
      </c>
      <c r="I1266" s="4" t="s">
        <v>51</v>
      </c>
      <c r="J1266" s="4" t="n">
        <f aca="false">INDEX('Master List'!$G$2:$G$2594,K1266)</f>
        <v>0</v>
      </c>
      <c r="K1266" s="4" t="n">
        <v>1968</v>
      </c>
    </row>
    <row r="1267" customFormat="false" ht="15" hidden="false" customHeight="false" outlineLevel="0" collapsed="false">
      <c r="A1267" s="4" t="n">
        <v>1266</v>
      </c>
      <c r="B1267" s="4" t="s">
        <v>2010</v>
      </c>
      <c r="C1267" s="4" t="n">
        <v>1962</v>
      </c>
      <c r="D1267" s="4" t="s">
        <v>1991</v>
      </c>
      <c r="E1267" s="25" t="str">
        <f aca="false">IF(J1267=1,"✓","")</f>
        <v/>
      </c>
      <c r="F1267" s="4" t="n">
        <v>2</v>
      </c>
      <c r="G1267" s="4" t="n">
        <v>1</v>
      </c>
      <c r="H1267" s="4" t="s">
        <v>213</v>
      </c>
      <c r="I1267" s="4" t="s">
        <v>51</v>
      </c>
      <c r="J1267" s="4" t="n">
        <f aca="false">INDEX('Master List'!$G$2:$G$2594,K1267)</f>
        <v>0</v>
      </c>
      <c r="K1267" s="4" t="n">
        <v>1373</v>
      </c>
    </row>
    <row r="1268" customFormat="false" ht="15" hidden="false" customHeight="false" outlineLevel="0" collapsed="false">
      <c r="A1268" s="4" t="n">
        <v>1267</v>
      </c>
      <c r="B1268" s="4" t="s">
        <v>2011</v>
      </c>
      <c r="C1268" s="4" t="n">
        <v>1962</v>
      </c>
      <c r="D1268" s="4" t="s">
        <v>1465</v>
      </c>
      <c r="E1268" s="25" t="str">
        <f aca="false">IF(J1268=1,"✓","")</f>
        <v>✓</v>
      </c>
      <c r="F1268" s="4" t="n">
        <v>2</v>
      </c>
      <c r="G1268" s="4" t="n">
        <v>1</v>
      </c>
      <c r="H1268" s="4" t="s">
        <v>213</v>
      </c>
      <c r="I1268" s="4" t="s">
        <v>52</v>
      </c>
      <c r="J1268" s="4" t="n">
        <f aca="false">INDEX('Master List'!$G$2:$G$2594,K1268)</f>
        <v>1</v>
      </c>
      <c r="K1268" s="4" t="n">
        <v>670</v>
      </c>
    </row>
    <row r="1269" customFormat="false" ht="15" hidden="false" customHeight="false" outlineLevel="0" collapsed="false">
      <c r="A1269" s="4" t="n">
        <v>1268</v>
      </c>
      <c r="B1269" s="4" t="s">
        <v>2012</v>
      </c>
      <c r="C1269" s="4" t="n">
        <v>1962</v>
      </c>
      <c r="D1269" s="4" t="s">
        <v>143</v>
      </c>
      <c r="E1269" s="25" t="str">
        <f aca="false">IF(J1269=1,"✓","")</f>
        <v>✓</v>
      </c>
      <c r="F1269" s="4" t="n">
        <v>2</v>
      </c>
      <c r="G1269" s="4" t="n">
        <v>1</v>
      </c>
      <c r="H1269" s="4" t="s">
        <v>213</v>
      </c>
      <c r="I1269" s="4" t="s">
        <v>53</v>
      </c>
      <c r="J1269" s="4" t="n">
        <f aca="false">INDEX('Master List'!$G$2:$G$2594,K1269)</f>
        <v>1</v>
      </c>
      <c r="K1269" s="4" t="n">
        <v>2364</v>
      </c>
    </row>
    <row r="1270" customFormat="false" ht="15" hidden="false" customHeight="false" outlineLevel="0" collapsed="false">
      <c r="A1270" s="4" t="n">
        <v>1269</v>
      </c>
      <c r="B1270" s="4" t="s">
        <v>2013</v>
      </c>
      <c r="C1270" s="4" t="n">
        <v>1962</v>
      </c>
      <c r="D1270" s="4" t="s">
        <v>187</v>
      </c>
      <c r="E1270" s="25" t="str">
        <f aca="false">IF(J1270=1,"✓","")</f>
        <v/>
      </c>
      <c r="F1270" s="4" t="n">
        <v>2</v>
      </c>
      <c r="G1270" s="4" t="n">
        <v>1</v>
      </c>
      <c r="H1270" s="4" t="s">
        <v>213</v>
      </c>
      <c r="I1270" s="4" t="s">
        <v>53</v>
      </c>
      <c r="J1270" s="4" t="n">
        <f aca="false">INDEX('Master List'!$G$2:$G$2594,K1270)</f>
        <v>0</v>
      </c>
      <c r="K1270" s="4" t="n">
        <v>1369</v>
      </c>
    </row>
    <row r="1271" customFormat="false" ht="15" hidden="false" customHeight="false" outlineLevel="0" collapsed="false">
      <c r="A1271" s="4" t="n">
        <v>1270</v>
      </c>
      <c r="B1271" s="4" t="s">
        <v>2014</v>
      </c>
      <c r="C1271" s="4" t="n">
        <v>1962</v>
      </c>
      <c r="D1271" s="4" t="s">
        <v>290</v>
      </c>
      <c r="E1271" s="25" t="str">
        <f aca="false">IF(J1271=1,"✓","")</f>
        <v/>
      </c>
      <c r="F1271" s="4" t="n">
        <v>2</v>
      </c>
      <c r="G1271" s="4" t="n">
        <v>1</v>
      </c>
      <c r="H1271" s="4" t="s">
        <v>213</v>
      </c>
      <c r="I1271" s="4" t="s">
        <v>53</v>
      </c>
      <c r="J1271" s="4" t="n">
        <f aca="false">INDEX('Master List'!$G$2:$G$2594,K1271)</f>
        <v>0</v>
      </c>
      <c r="K1271" s="4" t="n">
        <v>665</v>
      </c>
    </row>
    <row r="1272" customFormat="false" ht="15" hidden="false" customHeight="false" outlineLevel="0" collapsed="false">
      <c r="A1272" s="4" t="n">
        <v>1271</v>
      </c>
      <c r="B1272" s="4" t="s">
        <v>2015</v>
      </c>
      <c r="C1272" s="4" t="n">
        <v>1962</v>
      </c>
      <c r="D1272" s="4" t="s">
        <v>951</v>
      </c>
      <c r="E1272" s="25" t="str">
        <f aca="false">IF(J1272=1,"✓","")</f>
        <v/>
      </c>
      <c r="F1272" s="4" t="n">
        <v>2</v>
      </c>
      <c r="G1272" s="4" t="n">
        <v>1</v>
      </c>
      <c r="H1272" s="4" t="s">
        <v>213</v>
      </c>
      <c r="I1272" s="4" t="s">
        <v>55</v>
      </c>
      <c r="J1272" s="4" t="n">
        <f aca="false">INDEX('Master List'!$G$2:$G$2594,K1272)</f>
        <v>0</v>
      </c>
      <c r="K1272" s="4" t="n">
        <v>47</v>
      </c>
    </row>
    <row r="1273" customFormat="false" ht="15" hidden="false" customHeight="false" outlineLevel="0" collapsed="false">
      <c r="A1273" s="4" t="n">
        <v>1272</v>
      </c>
      <c r="B1273" s="4" t="s">
        <v>2016</v>
      </c>
      <c r="C1273" s="4" t="n">
        <v>1962</v>
      </c>
      <c r="D1273" s="4" t="s">
        <v>965</v>
      </c>
      <c r="E1273" s="25" t="str">
        <f aca="false">IF(J1273=1,"✓","")</f>
        <v/>
      </c>
      <c r="F1273" s="4" t="n">
        <v>2</v>
      </c>
      <c r="G1273" s="4" t="n">
        <v>1</v>
      </c>
      <c r="H1273" s="4" t="s">
        <v>213</v>
      </c>
      <c r="I1273" s="4" t="s">
        <v>55</v>
      </c>
      <c r="J1273" s="4" t="n">
        <f aca="false">INDEX('Master List'!$G$2:$G$2594,K1273)</f>
        <v>0</v>
      </c>
      <c r="K1273" s="4" t="n">
        <v>256</v>
      </c>
    </row>
    <row r="1274" customFormat="false" ht="15" hidden="false" customHeight="false" outlineLevel="0" collapsed="false">
      <c r="A1274" s="4" t="n">
        <v>1273</v>
      </c>
      <c r="B1274" s="4" t="s">
        <v>2017</v>
      </c>
      <c r="C1274" s="4" t="n">
        <v>1962</v>
      </c>
      <c r="D1274" s="4" t="s">
        <v>2018</v>
      </c>
      <c r="E1274" s="25" t="str">
        <f aca="false">IF(J1274=1,"✓","")</f>
        <v/>
      </c>
      <c r="F1274" s="4" t="n">
        <v>2</v>
      </c>
      <c r="G1274" s="4" t="n">
        <v>1</v>
      </c>
      <c r="H1274" s="4" t="s">
        <v>213</v>
      </c>
      <c r="I1274" s="4" t="s">
        <v>56</v>
      </c>
      <c r="J1274" s="4" t="n">
        <f aca="false">INDEX('Master List'!$G$2:$G$2594,K1274)</f>
        <v>0</v>
      </c>
      <c r="K1274" s="4" t="n">
        <v>390</v>
      </c>
    </row>
    <row r="1275" customFormat="false" ht="15" hidden="false" customHeight="false" outlineLevel="0" collapsed="false">
      <c r="A1275" s="4" t="n">
        <v>1274</v>
      </c>
      <c r="B1275" s="4" t="s">
        <v>2019</v>
      </c>
      <c r="C1275" s="4" t="n">
        <v>1963</v>
      </c>
      <c r="D1275" s="4" t="s">
        <v>1986</v>
      </c>
      <c r="E1275" s="25" t="str">
        <f aca="false">IF(J1275=1,"✓","")</f>
        <v/>
      </c>
      <c r="F1275" s="4" t="n">
        <v>2</v>
      </c>
      <c r="G1275" s="4" t="n">
        <v>1</v>
      </c>
      <c r="H1275" s="4" t="s">
        <v>213</v>
      </c>
      <c r="I1275" s="4" t="s">
        <v>51</v>
      </c>
      <c r="J1275" s="4" t="n">
        <f aca="false">INDEX('Master List'!$G$2:$G$2594,K1275)</f>
        <v>0</v>
      </c>
      <c r="K1275" s="4" t="n">
        <v>1145</v>
      </c>
    </row>
    <row r="1276" customFormat="false" ht="15" hidden="false" customHeight="false" outlineLevel="0" collapsed="false">
      <c r="A1276" s="4" t="n">
        <v>1275</v>
      </c>
      <c r="B1276" s="4" t="s">
        <v>2020</v>
      </c>
      <c r="C1276" s="4" t="n">
        <v>1963</v>
      </c>
      <c r="D1276" s="4" t="s">
        <v>761</v>
      </c>
      <c r="E1276" s="25" t="str">
        <f aca="false">IF(J1276=1,"✓","")</f>
        <v/>
      </c>
      <c r="F1276" s="4" t="n">
        <v>2</v>
      </c>
      <c r="G1276" s="4" t="n">
        <v>1</v>
      </c>
      <c r="H1276" s="4" t="s">
        <v>213</v>
      </c>
      <c r="I1276" s="4" t="s">
        <v>51</v>
      </c>
      <c r="J1276" s="4" t="n">
        <f aca="false">INDEX('Master List'!$G$2:$G$2594,K1276)</f>
        <v>0</v>
      </c>
      <c r="K1276" s="4" t="n">
        <v>900</v>
      </c>
    </row>
    <row r="1277" customFormat="false" ht="15" hidden="false" customHeight="false" outlineLevel="0" collapsed="false">
      <c r="A1277" s="4" t="n">
        <v>1276</v>
      </c>
      <c r="B1277" s="4" t="s">
        <v>2021</v>
      </c>
      <c r="C1277" s="4" t="n">
        <v>1963</v>
      </c>
      <c r="D1277" s="4" t="s">
        <v>997</v>
      </c>
      <c r="E1277" s="25" t="str">
        <f aca="false">IF(J1277=1,"✓","")</f>
        <v/>
      </c>
      <c r="F1277" s="4" t="n">
        <v>2</v>
      </c>
      <c r="G1277" s="4" t="n">
        <v>1</v>
      </c>
      <c r="H1277" s="4" t="s">
        <v>213</v>
      </c>
      <c r="I1277" s="4" t="s">
        <v>51</v>
      </c>
      <c r="J1277" s="4" t="n">
        <f aca="false">INDEX('Master List'!$G$2:$G$2594,K1277)</f>
        <v>0</v>
      </c>
      <c r="K1277" s="4" t="n">
        <v>2286</v>
      </c>
    </row>
    <row r="1278" customFormat="false" ht="15" hidden="false" customHeight="false" outlineLevel="0" collapsed="false">
      <c r="A1278" s="4" t="n">
        <v>1277</v>
      </c>
      <c r="B1278" s="4" t="s">
        <v>2022</v>
      </c>
      <c r="C1278" s="4" t="n">
        <v>1963</v>
      </c>
      <c r="D1278" s="4" t="s">
        <v>2023</v>
      </c>
      <c r="E1278" s="25" t="str">
        <f aca="false">IF(J1278=1,"✓","")</f>
        <v/>
      </c>
      <c r="F1278" s="4" t="n">
        <v>2</v>
      </c>
      <c r="G1278" s="4" t="n">
        <v>1</v>
      </c>
      <c r="H1278" s="4" t="s">
        <v>213</v>
      </c>
      <c r="I1278" s="4" t="s">
        <v>51</v>
      </c>
      <c r="J1278" s="4" t="n">
        <f aca="false">INDEX('Master List'!$G$2:$G$2594,K1278)</f>
        <v>0</v>
      </c>
      <c r="K1278" s="4" t="n">
        <v>2014</v>
      </c>
    </row>
    <row r="1279" customFormat="false" ht="15" hidden="false" customHeight="false" outlineLevel="0" collapsed="false">
      <c r="A1279" s="4" t="n">
        <v>1278</v>
      </c>
      <c r="B1279" s="4" t="s">
        <v>2024</v>
      </c>
      <c r="C1279" s="4" t="n">
        <v>1963</v>
      </c>
      <c r="D1279" s="4" t="s">
        <v>1891</v>
      </c>
      <c r="E1279" s="25" t="str">
        <f aca="false">IF(J1279=1,"✓","")</f>
        <v/>
      </c>
      <c r="F1279" s="4" t="n">
        <v>2</v>
      </c>
      <c r="G1279" s="4" t="n">
        <v>1</v>
      </c>
      <c r="H1279" s="4" t="s">
        <v>213</v>
      </c>
      <c r="I1279" s="4" t="s">
        <v>51</v>
      </c>
      <c r="J1279" s="4" t="n">
        <f aca="false">INDEX('Master List'!$G$2:$G$2594,K1279)</f>
        <v>0</v>
      </c>
      <c r="K1279" s="4" t="n">
        <v>757</v>
      </c>
    </row>
    <row r="1280" customFormat="false" ht="15" hidden="false" customHeight="false" outlineLevel="0" collapsed="false">
      <c r="A1280" s="4" t="n">
        <v>1279</v>
      </c>
      <c r="B1280" s="4" t="s">
        <v>2025</v>
      </c>
      <c r="C1280" s="4" t="n">
        <v>1963</v>
      </c>
      <c r="D1280" s="4" t="s">
        <v>2026</v>
      </c>
      <c r="E1280" s="25" t="str">
        <f aca="false">IF(J1280=1,"✓","")</f>
        <v/>
      </c>
      <c r="F1280" s="4" t="n">
        <v>2</v>
      </c>
      <c r="G1280" s="4" t="n">
        <v>1</v>
      </c>
      <c r="H1280" s="4" t="s">
        <v>213</v>
      </c>
      <c r="I1280" s="4" t="s">
        <v>51</v>
      </c>
      <c r="J1280" s="4" t="n">
        <f aca="false">INDEX('Master List'!$G$2:$G$2594,K1280)</f>
        <v>0</v>
      </c>
      <c r="K1280" s="4" t="n">
        <v>1073</v>
      </c>
    </row>
    <row r="1281" customFormat="false" ht="15" hidden="false" customHeight="false" outlineLevel="0" collapsed="false">
      <c r="A1281" s="4" t="n">
        <v>1280</v>
      </c>
      <c r="B1281" s="4" t="s">
        <v>2027</v>
      </c>
      <c r="C1281" s="4" t="n">
        <v>1963</v>
      </c>
      <c r="D1281" s="4" t="s">
        <v>470</v>
      </c>
      <c r="E1281" s="25" t="str">
        <f aca="false">IF(J1281=1,"✓","")</f>
        <v/>
      </c>
      <c r="F1281" s="4" t="n">
        <v>2</v>
      </c>
      <c r="G1281" s="4" t="n">
        <v>1</v>
      </c>
      <c r="H1281" s="4" t="s">
        <v>213</v>
      </c>
      <c r="I1281" s="4" t="s">
        <v>51</v>
      </c>
      <c r="J1281" s="4" t="n">
        <f aca="false">INDEX('Master List'!$G$2:$G$2594,K1281)</f>
        <v>0</v>
      </c>
      <c r="K1281" s="4" t="n">
        <v>319</v>
      </c>
    </row>
    <row r="1282" customFormat="false" ht="15" hidden="false" customHeight="false" outlineLevel="0" collapsed="false">
      <c r="A1282" s="4" t="n">
        <v>1281</v>
      </c>
      <c r="B1282" s="4" t="s">
        <v>2028</v>
      </c>
      <c r="C1282" s="4" t="n">
        <v>1963</v>
      </c>
      <c r="D1282" s="4" t="s">
        <v>1516</v>
      </c>
      <c r="E1282" s="25" t="str">
        <f aca="false">IF(J1282=1,"✓","")</f>
        <v/>
      </c>
      <c r="F1282" s="4" t="n">
        <v>2</v>
      </c>
      <c r="G1282" s="4" t="n">
        <v>1</v>
      </c>
      <c r="H1282" s="4" t="s">
        <v>213</v>
      </c>
      <c r="I1282" s="4" t="s">
        <v>52</v>
      </c>
      <c r="J1282" s="4" t="n">
        <f aca="false">INDEX('Master List'!$G$2:$G$2594,K1282)</f>
        <v>0</v>
      </c>
      <c r="K1282" s="4" t="n">
        <v>1081</v>
      </c>
    </row>
    <row r="1283" customFormat="false" ht="15" hidden="false" customHeight="false" outlineLevel="0" collapsed="false">
      <c r="A1283" s="4" t="n">
        <v>1282</v>
      </c>
      <c r="B1283" s="4" t="s">
        <v>2029</v>
      </c>
      <c r="C1283" s="4" t="n">
        <v>1963</v>
      </c>
      <c r="D1283" s="4" t="s">
        <v>2030</v>
      </c>
      <c r="E1283" s="25" t="str">
        <f aca="false">IF(J1283=1,"✓","")</f>
        <v/>
      </c>
      <c r="F1283" s="4" t="n">
        <v>2</v>
      </c>
      <c r="G1283" s="4" t="n">
        <v>1</v>
      </c>
      <c r="H1283" s="4" t="s">
        <v>213</v>
      </c>
      <c r="I1283" s="4" t="s">
        <v>52</v>
      </c>
      <c r="J1283" s="4" t="n">
        <f aca="false">INDEX('Master List'!$G$2:$G$2594,K1283)</f>
        <v>0</v>
      </c>
      <c r="K1283" s="4" t="n">
        <v>1194</v>
      </c>
    </row>
    <row r="1284" customFormat="false" ht="15" hidden="false" customHeight="false" outlineLevel="0" collapsed="false">
      <c r="A1284" s="4" t="n">
        <v>1283</v>
      </c>
      <c r="B1284" s="4" t="s">
        <v>2031</v>
      </c>
      <c r="C1284" s="4" t="n">
        <v>1963</v>
      </c>
      <c r="D1284" s="4" t="s">
        <v>2032</v>
      </c>
      <c r="E1284" s="25" t="str">
        <f aca="false">IF(J1284=1,"✓","")</f>
        <v/>
      </c>
      <c r="F1284" s="4" t="n">
        <v>2</v>
      </c>
      <c r="G1284" s="4" t="n">
        <v>1</v>
      </c>
      <c r="H1284" s="4" t="s">
        <v>213</v>
      </c>
      <c r="I1284" s="4" t="s">
        <v>52</v>
      </c>
      <c r="J1284" s="4" t="n">
        <f aca="false">INDEX('Master List'!$G$2:$G$2594,K1284)</f>
        <v>0</v>
      </c>
      <c r="K1284" s="4" t="n">
        <v>1992</v>
      </c>
    </row>
    <row r="1285" customFormat="false" ht="15" hidden="false" customHeight="false" outlineLevel="0" collapsed="false">
      <c r="A1285" s="4" t="n">
        <v>1284</v>
      </c>
      <c r="B1285" s="4" t="s">
        <v>2033</v>
      </c>
      <c r="C1285" s="4" t="n">
        <v>1963</v>
      </c>
      <c r="D1285" s="4" t="s">
        <v>2034</v>
      </c>
      <c r="E1285" s="25" t="str">
        <f aca="false">IF(J1285=1,"✓","")</f>
        <v/>
      </c>
      <c r="F1285" s="4" t="n">
        <v>2</v>
      </c>
      <c r="G1285" s="4" t="n">
        <v>1</v>
      </c>
      <c r="H1285" s="4" t="s">
        <v>213</v>
      </c>
      <c r="I1285" s="4" t="s">
        <v>52</v>
      </c>
      <c r="J1285" s="4" t="n">
        <f aca="false">INDEX('Master List'!$G$2:$G$2594,K1285)</f>
        <v>0</v>
      </c>
      <c r="K1285" s="4" t="n">
        <v>817</v>
      </c>
    </row>
    <row r="1286" customFormat="false" ht="15" hidden="false" customHeight="false" outlineLevel="0" collapsed="false">
      <c r="A1286" s="4" t="n">
        <v>1285</v>
      </c>
      <c r="B1286" s="4" t="s">
        <v>2035</v>
      </c>
      <c r="C1286" s="4" t="n">
        <v>1963</v>
      </c>
      <c r="D1286" s="4" t="s">
        <v>162</v>
      </c>
      <c r="E1286" s="25" t="str">
        <f aca="false">IF(J1286=1,"✓","")</f>
        <v/>
      </c>
      <c r="F1286" s="4" t="n">
        <v>2</v>
      </c>
      <c r="G1286" s="4" t="n">
        <v>1</v>
      </c>
      <c r="H1286" s="4" t="s">
        <v>213</v>
      </c>
      <c r="I1286" s="4" t="s">
        <v>53</v>
      </c>
      <c r="J1286" s="4" t="n">
        <f aca="false">INDEX('Master List'!$G$2:$G$2594,K1286)</f>
        <v>0</v>
      </c>
      <c r="K1286" s="4" t="n">
        <v>258</v>
      </c>
    </row>
    <row r="1287" customFormat="false" ht="15" hidden="false" customHeight="false" outlineLevel="0" collapsed="false">
      <c r="A1287" s="4" t="n">
        <v>1286</v>
      </c>
      <c r="B1287" s="4" t="s">
        <v>2036</v>
      </c>
      <c r="C1287" s="4" t="n">
        <v>1963</v>
      </c>
      <c r="D1287" s="4" t="s">
        <v>940</v>
      </c>
      <c r="E1287" s="25" t="str">
        <f aca="false">IF(J1287=1,"✓","")</f>
        <v/>
      </c>
      <c r="F1287" s="4" t="n">
        <v>2</v>
      </c>
      <c r="G1287" s="4" t="n">
        <v>1</v>
      </c>
      <c r="H1287" s="4" t="s">
        <v>213</v>
      </c>
      <c r="I1287" s="4" t="s">
        <v>53</v>
      </c>
      <c r="J1287" s="4" t="n">
        <f aca="false">INDEX('Master List'!$G$2:$G$2594,K1287)</f>
        <v>0</v>
      </c>
      <c r="K1287" s="4" t="n">
        <v>2049</v>
      </c>
    </row>
    <row r="1288" customFormat="false" ht="15" hidden="false" customHeight="false" outlineLevel="0" collapsed="false">
      <c r="A1288" s="4" t="n">
        <v>1287</v>
      </c>
      <c r="B1288" s="4" t="s">
        <v>2037</v>
      </c>
      <c r="C1288" s="4" t="n">
        <v>1963</v>
      </c>
      <c r="D1288" s="4" t="s">
        <v>170</v>
      </c>
      <c r="E1288" s="25" t="str">
        <f aca="false">IF(J1288=1,"✓","")</f>
        <v/>
      </c>
      <c r="F1288" s="4" t="n">
        <v>2</v>
      </c>
      <c r="G1288" s="4" t="n">
        <v>1</v>
      </c>
      <c r="H1288" s="4" t="s">
        <v>213</v>
      </c>
      <c r="I1288" s="4" t="s">
        <v>53</v>
      </c>
      <c r="J1288" s="4" t="n">
        <f aca="false">INDEX('Master List'!$G$2:$G$2594,K1288)</f>
        <v>0</v>
      </c>
      <c r="K1288" s="4" t="n">
        <v>2067</v>
      </c>
    </row>
    <row r="1289" customFormat="false" ht="15" hidden="false" customHeight="false" outlineLevel="0" collapsed="false">
      <c r="A1289" s="4" t="n">
        <v>1288</v>
      </c>
      <c r="B1289" s="4" t="s">
        <v>2038</v>
      </c>
      <c r="C1289" s="4" t="n">
        <v>1963</v>
      </c>
      <c r="D1289" s="4" t="s">
        <v>253</v>
      </c>
      <c r="E1289" s="25" t="str">
        <f aca="false">IF(J1289=1,"✓","")</f>
        <v/>
      </c>
      <c r="F1289" s="4" t="n">
        <v>2</v>
      </c>
      <c r="G1289" s="4" t="n">
        <v>1</v>
      </c>
      <c r="H1289" s="4" t="s">
        <v>213</v>
      </c>
      <c r="I1289" s="4" t="s">
        <v>53</v>
      </c>
      <c r="J1289" s="4" t="n">
        <f aca="false">INDEX('Master List'!$G$2:$G$2594,K1289)</f>
        <v>0</v>
      </c>
      <c r="K1289" s="4" t="n">
        <v>239</v>
      </c>
    </row>
    <row r="1290" customFormat="false" ht="15" hidden="false" customHeight="false" outlineLevel="0" collapsed="false">
      <c r="A1290" s="4" t="n">
        <v>1289</v>
      </c>
      <c r="B1290" s="4" t="s">
        <v>2039</v>
      </c>
      <c r="C1290" s="4" t="n">
        <v>1963</v>
      </c>
      <c r="D1290" s="4" t="s">
        <v>2040</v>
      </c>
      <c r="E1290" s="25" t="str">
        <f aca="false">IF(J1290=1,"✓","")</f>
        <v/>
      </c>
      <c r="F1290" s="4" t="n">
        <v>2</v>
      </c>
      <c r="G1290" s="4" t="n">
        <v>1</v>
      </c>
      <c r="H1290" s="4" t="s">
        <v>213</v>
      </c>
      <c r="I1290" s="4" t="s">
        <v>54</v>
      </c>
      <c r="J1290" s="4" t="n">
        <f aca="false">INDEX('Master List'!$G$2:$G$2594,K1290)</f>
        <v>0</v>
      </c>
      <c r="K1290" s="4" t="n">
        <v>290</v>
      </c>
    </row>
    <row r="1291" customFormat="false" ht="15" hidden="false" customHeight="false" outlineLevel="0" collapsed="false">
      <c r="A1291" s="4" t="n">
        <v>1290</v>
      </c>
      <c r="B1291" s="4" t="s">
        <v>2041</v>
      </c>
      <c r="C1291" s="4" t="n">
        <v>1964</v>
      </c>
      <c r="D1291" s="4" t="s">
        <v>1986</v>
      </c>
      <c r="E1291" s="25" t="str">
        <f aca="false">IF(J1291=1,"✓","")</f>
        <v/>
      </c>
      <c r="F1291" s="4" t="n">
        <v>2</v>
      </c>
      <c r="G1291" s="4" t="n">
        <v>1</v>
      </c>
      <c r="H1291" s="4" t="s">
        <v>213</v>
      </c>
      <c r="I1291" s="4" t="s">
        <v>51</v>
      </c>
      <c r="J1291" s="4" t="n">
        <f aca="false">INDEX('Master List'!$G$2:$G$2594,K1291)</f>
        <v>0</v>
      </c>
      <c r="K1291" s="4" t="n">
        <v>1155</v>
      </c>
    </row>
    <row r="1292" customFormat="false" ht="15" hidden="false" customHeight="false" outlineLevel="0" collapsed="false">
      <c r="A1292" s="4" t="n">
        <v>1291</v>
      </c>
      <c r="B1292" s="4" t="s">
        <v>2042</v>
      </c>
      <c r="C1292" s="4" t="n">
        <v>1964</v>
      </c>
      <c r="D1292" s="4" t="s">
        <v>1459</v>
      </c>
      <c r="E1292" s="25" t="str">
        <f aca="false">IF(J1292=1,"✓","")</f>
        <v/>
      </c>
      <c r="F1292" s="4" t="n">
        <v>2</v>
      </c>
      <c r="G1292" s="4" t="n">
        <v>1</v>
      </c>
      <c r="H1292" s="4" t="s">
        <v>213</v>
      </c>
      <c r="I1292" s="4" t="s">
        <v>51</v>
      </c>
      <c r="J1292" s="4" t="n">
        <f aca="false">INDEX('Master List'!$G$2:$G$2594,K1292)</f>
        <v>0</v>
      </c>
      <c r="K1292" s="4" t="n">
        <v>2006</v>
      </c>
    </row>
    <row r="1293" customFormat="false" ht="15" hidden="false" customHeight="false" outlineLevel="0" collapsed="false">
      <c r="A1293" s="4" t="n">
        <v>1292</v>
      </c>
      <c r="B1293" s="4" t="s">
        <v>2043</v>
      </c>
      <c r="C1293" s="4" t="n">
        <v>1964</v>
      </c>
      <c r="D1293" s="4" t="s">
        <v>160</v>
      </c>
      <c r="E1293" s="25" t="str">
        <f aca="false">IF(J1293=1,"✓","")</f>
        <v/>
      </c>
      <c r="F1293" s="4" t="n">
        <v>2</v>
      </c>
      <c r="G1293" s="4" t="n">
        <v>1</v>
      </c>
      <c r="H1293" s="4" t="s">
        <v>213</v>
      </c>
      <c r="I1293" s="4" t="s">
        <v>51</v>
      </c>
      <c r="J1293" s="4" t="n">
        <f aca="false">INDEX('Master List'!$G$2:$G$2594,K1293)</f>
        <v>0</v>
      </c>
      <c r="K1293" s="4" t="n">
        <v>1450</v>
      </c>
    </row>
    <row r="1294" customFormat="false" ht="15" hidden="false" customHeight="false" outlineLevel="0" collapsed="false">
      <c r="A1294" s="4" t="n">
        <v>1293</v>
      </c>
      <c r="B1294" s="4" t="s">
        <v>2044</v>
      </c>
      <c r="C1294" s="4" t="n">
        <v>1964</v>
      </c>
      <c r="D1294" s="4" t="s">
        <v>2045</v>
      </c>
      <c r="E1294" s="25" t="str">
        <f aca="false">IF(J1294=1,"✓","")</f>
        <v/>
      </c>
      <c r="F1294" s="4" t="n">
        <v>2</v>
      </c>
      <c r="G1294" s="4" t="n">
        <v>1</v>
      </c>
      <c r="H1294" s="4" t="s">
        <v>213</v>
      </c>
      <c r="I1294" s="4" t="s">
        <v>51</v>
      </c>
      <c r="J1294" s="4" t="n">
        <f aca="false">INDEX('Master List'!$G$2:$G$2594,K1294)</f>
        <v>0</v>
      </c>
      <c r="K1294" s="4" t="n">
        <v>408</v>
      </c>
    </row>
    <row r="1295" customFormat="false" ht="15" hidden="false" customHeight="false" outlineLevel="0" collapsed="false">
      <c r="A1295" s="4" t="n">
        <v>1294</v>
      </c>
      <c r="B1295" s="4" t="s">
        <v>2046</v>
      </c>
      <c r="C1295" s="4" t="n">
        <v>1964</v>
      </c>
      <c r="D1295" s="4" t="s">
        <v>246</v>
      </c>
      <c r="E1295" s="25" t="str">
        <f aca="false">IF(J1295=1,"✓","")</f>
        <v/>
      </c>
      <c r="F1295" s="4" t="n">
        <v>2</v>
      </c>
      <c r="G1295" s="4" t="n">
        <v>1</v>
      </c>
      <c r="H1295" s="4" t="s">
        <v>213</v>
      </c>
      <c r="I1295" s="4" t="s">
        <v>51</v>
      </c>
      <c r="J1295" s="4" t="n">
        <f aca="false">INDEX('Master List'!$G$2:$G$2594,K1295)</f>
        <v>0</v>
      </c>
      <c r="K1295" s="4" t="n">
        <v>887</v>
      </c>
    </row>
    <row r="1296" customFormat="false" ht="15" hidden="false" customHeight="false" outlineLevel="0" collapsed="false">
      <c r="A1296" s="4" t="n">
        <v>1295</v>
      </c>
      <c r="B1296" s="4" t="s">
        <v>2047</v>
      </c>
      <c r="C1296" s="4" t="n">
        <v>1964</v>
      </c>
      <c r="D1296" s="4" t="s">
        <v>658</v>
      </c>
      <c r="E1296" s="25" t="str">
        <f aca="false">IF(J1296=1,"✓","")</f>
        <v/>
      </c>
      <c r="F1296" s="4" t="n">
        <v>2</v>
      </c>
      <c r="G1296" s="4" t="n">
        <v>1</v>
      </c>
      <c r="H1296" s="4" t="s">
        <v>213</v>
      </c>
      <c r="I1296" s="4" t="s">
        <v>52</v>
      </c>
      <c r="J1296" s="4" t="n">
        <f aca="false">INDEX('Master List'!$G$2:$G$2594,K1296)</f>
        <v>0</v>
      </c>
      <c r="K1296" s="4" t="n">
        <v>2340</v>
      </c>
    </row>
    <row r="1297" customFormat="false" ht="15" hidden="false" customHeight="false" outlineLevel="0" collapsed="false">
      <c r="A1297" s="4" t="n">
        <v>1296</v>
      </c>
      <c r="B1297" s="4" t="s">
        <v>2048</v>
      </c>
      <c r="C1297" s="4" t="n">
        <v>1964</v>
      </c>
      <c r="D1297" s="4" t="s">
        <v>2049</v>
      </c>
      <c r="E1297" s="25" t="str">
        <f aca="false">IF(J1297=1,"✓","")</f>
        <v/>
      </c>
      <c r="F1297" s="4" t="n">
        <v>2</v>
      </c>
      <c r="G1297" s="4" t="n">
        <v>1</v>
      </c>
      <c r="H1297" s="4" t="s">
        <v>213</v>
      </c>
      <c r="I1297" s="4" t="s">
        <v>52</v>
      </c>
      <c r="J1297" s="4" t="n">
        <f aca="false">INDEX('Master List'!$G$2:$G$2594,K1297)</f>
        <v>0</v>
      </c>
      <c r="K1297" s="4" t="n">
        <v>919</v>
      </c>
    </row>
    <row r="1298" customFormat="false" ht="15" hidden="false" customHeight="false" outlineLevel="0" collapsed="false">
      <c r="A1298" s="4" t="n">
        <v>1297</v>
      </c>
      <c r="B1298" s="4" t="s">
        <v>2050</v>
      </c>
      <c r="C1298" s="4" t="n">
        <v>1964</v>
      </c>
      <c r="D1298" s="4" t="s">
        <v>2051</v>
      </c>
      <c r="E1298" s="25" t="str">
        <f aca="false">IF(J1298=1,"✓","")</f>
        <v/>
      </c>
      <c r="F1298" s="4" t="n">
        <v>2</v>
      </c>
      <c r="G1298" s="4" t="n">
        <v>1</v>
      </c>
      <c r="H1298" s="4" t="s">
        <v>213</v>
      </c>
      <c r="I1298" s="4" t="s">
        <v>52</v>
      </c>
      <c r="J1298" s="4" t="n">
        <f aca="false">INDEX('Master List'!$G$2:$G$2594,K1298)</f>
        <v>0</v>
      </c>
      <c r="K1298" s="4" t="n">
        <v>724</v>
      </c>
    </row>
    <row r="1299" customFormat="false" ht="15" hidden="false" customHeight="false" outlineLevel="0" collapsed="false">
      <c r="A1299" s="4" t="n">
        <v>1298</v>
      </c>
      <c r="B1299" s="4" t="s">
        <v>2052</v>
      </c>
      <c r="C1299" s="4" t="n">
        <v>1964</v>
      </c>
      <c r="D1299" s="4" t="s">
        <v>940</v>
      </c>
      <c r="E1299" s="25" t="str">
        <f aca="false">IF(J1299=1,"✓","")</f>
        <v/>
      </c>
      <c r="F1299" s="4" t="n">
        <v>2</v>
      </c>
      <c r="G1299" s="4" t="n">
        <v>1</v>
      </c>
      <c r="H1299" s="4" t="s">
        <v>213</v>
      </c>
      <c r="I1299" s="4" t="s">
        <v>53</v>
      </c>
      <c r="J1299" s="4" t="n">
        <f aca="false">INDEX('Master List'!$G$2:$G$2594,K1299)</f>
        <v>0</v>
      </c>
      <c r="K1299" s="4" t="n">
        <v>1580</v>
      </c>
    </row>
    <row r="1300" customFormat="false" ht="15" hidden="false" customHeight="false" outlineLevel="0" collapsed="false">
      <c r="A1300" s="4" t="n">
        <v>1299</v>
      </c>
      <c r="B1300" s="4" t="s">
        <v>2053</v>
      </c>
      <c r="C1300" s="4" t="n">
        <v>1964</v>
      </c>
      <c r="D1300" s="4" t="s">
        <v>189</v>
      </c>
      <c r="E1300" s="25" t="str">
        <f aca="false">IF(J1300=1,"✓","")</f>
        <v/>
      </c>
      <c r="F1300" s="4" t="n">
        <v>2</v>
      </c>
      <c r="G1300" s="4" t="n">
        <v>1</v>
      </c>
      <c r="H1300" s="4" t="s">
        <v>213</v>
      </c>
      <c r="I1300" s="4" t="s">
        <v>53</v>
      </c>
      <c r="J1300" s="4" t="n">
        <f aca="false">INDEX('Master List'!$G$2:$G$2594,K1300)</f>
        <v>0</v>
      </c>
      <c r="K1300" s="4" t="n">
        <v>1738</v>
      </c>
    </row>
    <row r="1301" customFormat="false" ht="15" hidden="false" customHeight="false" outlineLevel="0" collapsed="false">
      <c r="A1301" s="4" t="n">
        <v>1300</v>
      </c>
      <c r="B1301" s="4" t="s">
        <v>2054</v>
      </c>
      <c r="C1301" s="4" t="n">
        <v>1964</v>
      </c>
      <c r="D1301" s="4" t="s">
        <v>2055</v>
      </c>
      <c r="E1301" s="25" t="str">
        <f aca="false">IF(J1301=1,"✓","")</f>
        <v/>
      </c>
      <c r="F1301" s="4" t="n">
        <v>2</v>
      </c>
      <c r="G1301" s="4" t="n">
        <v>1</v>
      </c>
      <c r="H1301" s="4" t="s">
        <v>213</v>
      </c>
      <c r="I1301" s="4" t="s">
        <v>54</v>
      </c>
      <c r="J1301" s="4" t="n">
        <f aca="false">INDEX('Master List'!$G$2:$G$2594,K1301)</f>
        <v>0</v>
      </c>
      <c r="K1301" s="4" t="n">
        <v>1457</v>
      </c>
    </row>
    <row r="1302" customFormat="false" ht="15" hidden="false" customHeight="false" outlineLevel="0" collapsed="false">
      <c r="A1302" s="4" t="n">
        <v>1301</v>
      </c>
      <c r="B1302" s="4" t="s">
        <v>2056</v>
      </c>
      <c r="C1302" s="4" t="n">
        <v>1964</v>
      </c>
      <c r="D1302" s="4" t="s">
        <v>1477</v>
      </c>
      <c r="E1302" s="25" t="str">
        <f aca="false">IF(J1302=1,"✓","")</f>
        <v/>
      </c>
      <c r="F1302" s="4" t="n">
        <v>2</v>
      </c>
      <c r="G1302" s="4" t="n">
        <v>1</v>
      </c>
      <c r="H1302" s="4" t="s">
        <v>213</v>
      </c>
      <c r="I1302" s="4" t="s">
        <v>55</v>
      </c>
      <c r="J1302" s="4" t="n">
        <f aca="false">INDEX('Master List'!$G$2:$G$2594,K1302)</f>
        <v>0</v>
      </c>
      <c r="K1302" s="4" t="n">
        <v>230</v>
      </c>
    </row>
    <row r="1303" customFormat="false" ht="15" hidden="false" customHeight="false" outlineLevel="0" collapsed="false">
      <c r="A1303" s="4" t="n">
        <v>1302</v>
      </c>
      <c r="B1303" s="4" t="s">
        <v>2057</v>
      </c>
      <c r="C1303" s="4" t="n">
        <v>1964</v>
      </c>
      <c r="D1303" s="4" t="s">
        <v>748</v>
      </c>
      <c r="E1303" s="25" t="str">
        <f aca="false">IF(J1303=1,"✓","")</f>
        <v/>
      </c>
      <c r="F1303" s="4" t="n">
        <v>2</v>
      </c>
      <c r="G1303" s="4" t="n">
        <v>1</v>
      </c>
      <c r="H1303" s="4" t="s">
        <v>213</v>
      </c>
      <c r="I1303" s="4" t="s">
        <v>56</v>
      </c>
      <c r="J1303" s="4" t="n">
        <f aca="false">INDEX('Master List'!$G$2:$G$2594,K1303)</f>
        <v>0</v>
      </c>
      <c r="K1303" s="4" t="n">
        <v>1094</v>
      </c>
    </row>
    <row r="1304" customFormat="false" ht="15" hidden="false" customHeight="false" outlineLevel="0" collapsed="false">
      <c r="A1304" s="4" t="n">
        <v>1303</v>
      </c>
      <c r="B1304" s="4" t="s">
        <v>2058</v>
      </c>
      <c r="C1304" s="4" t="n">
        <v>1965</v>
      </c>
      <c r="D1304" s="4" t="s">
        <v>589</v>
      </c>
      <c r="E1304" s="25" t="str">
        <f aca="false">IF(J1304=1,"✓","")</f>
        <v/>
      </c>
      <c r="F1304" s="4" t="n">
        <v>2</v>
      </c>
      <c r="G1304" s="4" t="n">
        <v>1</v>
      </c>
      <c r="H1304" s="4" t="s">
        <v>213</v>
      </c>
      <c r="I1304" s="4" t="s">
        <v>51</v>
      </c>
      <c r="J1304" s="4" t="n">
        <f aca="false">INDEX('Master List'!$G$2:$G$2594,K1304)</f>
        <v>0</v>
      </c>
      <c r="K1304" s="4" t="n">
        <v>567</v>
      </c>
    </row>
    <row r="1305" customFormat="false" ht="15" hidden="false" customHeight="false" outlineLevel="0" collapsed="false">
      <c r="A1305" s="4" t="n">
        <v>1304</v>
      </c>
      <c r="B1305" s="4" t="s">
        <v>2059</v>
      </c>
      <c r="C1305" s="4" t="n">
        <v>1965</v>
      </c>
      <c r="D1305" s="4" t="s">
        <v>548</v>
      </c>
      <c r="E1305" s="25" t="str">
        <f aca="false">IF(J1305=1,"✓","")</f>
        <v/>
      </c>
      <c r="F1305" s="4" t="n">
        <v>2</v>
      </c>
      <c r="G1305" s="4" t="n">
        <v>1</v>
      </c>
      <c r="H1305" s="4" t="s">
        <v>213</v>
      </c>
      <c r="I1305" s="4" t="s">
        <v>51</v>
      </c>
      <c r="J1305" s="4" t="n">
        <f aca="false">INDEX('Master List'!$G$2:$G$2594,K1305)</f>
        <v>0</v>
      </c>
      <c r="K1305" s="4" t="n">
        <v>1394</v>
      </c>
    </row>
    <row r="1306" customFormat="false" ht="15" hidden="false" customHeight="false" outlineLevel="0" collapsed="false">
      <c r="A1306" s="4" t="n">
        <v>1305</v>
      </c>
      <c r="B1306" s="4" t="s">
        <v>2060</v>
      </c>
      <c r="C1306" s="4" t="n">
        <v>1965</v>
      </c>
      <c r="D1306" s="4" t="s">
        <v>2061</v>
      </c>
      <c r="E1306" s="25" t="str">
        <f aca="false">IF(J1306=1,"✓","")</f>
        <v/>
      </c>
      <c r="F1306" s="4" t="n">
        <v>2</v>
      </c>
      <c r="G1306" s="4" t="n">
        <v>1</v>
      </c>
      <c r="H1306" s="4" t="s">
        <v>213</v>
      </c>
      <c r="I1306" s="4" t="s">
        <v>51</v>
      </c>
      <c r="J1306" s="4" t="n">
        <f aca="false">INDEX('Master List'!$G$2:$G$2594,K1306)</f>
        <v>0</v>
      </c>
      <c r="K1306" s="4" t="n">
        <v>2056</v>
      </c>
    </row>
    <row r="1307" customFormat="false" ht="15" hidden="false" customHeight="false" outlineLevel="0" collapsed="false">
      <c r="A1307" s="4" t="n">
        <v>1306</v>
      </c>
      <c r="B1307" s="4" t="s">
        <v>2062</v>
      </c>
      <c r="C1307" s="4" t="n">
        <v>1965</v>
      </c>
      <c r="D1307" s="4" t="s">
        <v>1350</v>
      </c>
      <c r="E1307" s="25" t="str">
        <f aca="false">IF(J1307=1,"✓","")</f>
        <v/>
      </c>
      <c r="F1307" s="4" t="n">
        <v>2</v>
      </c>
      <c r="G1307" s="4" t="n">
        <v>1</v>
      </c>
      <c r="H1307" s="4" t="s">
        <v>213</v>
      </c>
      <c r="I1307" s="4" t="s">
        <v>51</v>
      </c>
      <c r="J1307" s="4" t="n">
        <f aca="false">INDEX('Master List'!$G$2:$G$2594,K1307)</f>
        <v>0</v>
      </c>
      <c r="K1307" s="4" t="n">
        <v>1971</v>
      </c>
    </row>
    <row r="1308" customFormat="false" ht="15" hidden="false" customHeight="false" outlineLevel="0" collapsed="false">
      <c r="A1308" s="4" t="n">
        <v>1307</v>
      </c>
      <c r="B1308" s="4" t="s">
        <v>2063</v>
      </c>
      <c r="C1308" s="4" t="n">
        <v>1965</v>
      </c>
      <c r="D1308" s="4" t="s">
        <v>1991</v>
      </c>
      <c r="E1308" s="25" t="str">
        <f aca="false">IF(J1308=1,"✓","")</f>
        <v/>
      </c>
      <c r="F1308" s="4" t="n">
        <v>2</v>
      </c>
      <c r="G1308" s="4" t="n">
        <v>1</v>
      </c>
      <c r="H1308" s="4" t="s">
        <v>213</v>
      </c>
      <c r="I1308" s="4" t="s">
        <v>52</v>
      </c>
      <c r="J1308" s="4" t="n">
        <f aca="false">INDEX('Master List'!$G$2:$G$2594,K1308)</f>
        <v>0</v>
      </c>
      <c r="K1308" s="4" t="n">
        <v>1392</v>
      </c>
    </row>
    <row r="1309" customFormat="false" ht="15" hidden="false" customHeight="false" outlineLevel="0" collapsed="false">
      <c r="A1309" s="4" t="n">
        <v>1308</v>
      </c>
      <c r="B1309" s="4" t="s">
        <v>2064</v>
      </c>
      <c r="C1309" s="4" t="n">
        <v>1965</v>
      </c>
      <c r="D1309" s="4" t="s">
        <v>1516</v>
      </c>
      <c r="E1309" s="25" t="str">
        <f aca="false">IF(J1309=1,"✓","")</f>
        <v/>
      </c>
      <c r="F1309" s="4" t="n">
        <v>2</v>
      </c>
      <c r="G1309" s="4" t="n">
        <v>1</v>
      </c>
      <c r="H1309" s="4" t="s">
        <v>213</v>
      </c>
      <c r="I1309" s="4" t="s">
        <v>52</v>
      </c>
      <c r="J1309" s="4" t="n">
        <f aca="false">INDEX('Master List'!$G$2:$G$2594,K1309)</f>
        <v>0</v>
      </c>
      <c r="K1309" s="4" t="n">
        <v>2141</v>
      </c>
    </row>
    <row r="1310" customFormat="false" ht="15" hidden="false" customHeight="false" outlineLevel="0" collapsed="false">
      <c r="A1310" s="4" t="n">
        <v>1309</v>
      </c>
      <c r="B1310" s="4" t="s">
        <v>2065</v>
      </c>
      <c r="C1310" s="4" t="n">
        <v>1965</v>
      </c>
      <c r="D1310" s="4" t="s">
        <v>2066</v>
      </c>
      <c r="E1310" s="25" t="str">
        <f aca="false">IF(J1310=1,"✓","")</f>
        <v/>
      </c>
      <c r="F1310" s="4" t="n">
        <v>2</v>
      </c>
      <c r="G1310" s="4" t="n">
        <v>1</v>
      </c>
      <c r="H1310" s="4" t="s">
        <v>213</v>
      </c>
      <c r="I1310" s="4" t="s">
        <v>52</v>
      </c>
      <c r="J1310" s="4" t="n">
        <f aca="false">INDEX('Master List'!$G$2:$G$2594,K1310)</f>
        <v>0</v>
      </c>
      <c r="K1310" s="4" t="n">
        <v>1163</v>
      </c>
    </row>
    <row r="1311" customFormat="false" ht="15" hidden="false" customHeight="false" outlineLevel="0" collapsed="false">
      <c r="A1311" s="4" t="n">
        <v>1310</v>
      </c>
      <c r="B1311" s="4" t="s">
        <v>2067</v>
      </c>
      <c r="C1311" s="4" t="n">
        <v>1965</v>
      </c>
      <c r="D1311" s="4" t="s">
        <v>1966</v>
      </c>
      <c r="E1311" s="25" t="str">
        <f aca="false">IF(J1311=1,"✓","")</f>
        <v/>
      </c>
      <c r="F1311" s="4" t="n">
        <v>2</v>
      </c>
      <c r="G1311" s="4" t="n">
        <v>1</v>
      </c>
      <c r="H1311" s="4" t="s">
        <v>213</v>
      </c>
      <c r="I1311" s="4" t="s">
        <v>52</v>
      </c>
      <c r="J1311" s="4" t="n">
        <f aca="false">INDEX('Master List'!$G$2:$G$2594,K1311)</f>
        <v>0</v>
      </c>
      <c r="K1311" s="4" t="n">
        <v>651</v>
      </c>
    </row>
    <row r="1312" customFormat="false" ht="15" hidden="false" customHeight="false" outlineLevel="0" collapsed="false">
      <c r="A1312" s="4" t="n">
        <v>1311</v>
      </c>
      <c r="B1312" s="4" t="s">
        <v>2068</v>
      </c>
      <c r="C1312" s="4" t="n">
        <v>1965</v>
      </c>
      <c r="D1312" s="4" t="s">
        <v>143</v>
      </c>
      <c r="E1312" s="25" t="str">
        <f aca="false">IF(J1312=1,"✓","")</f>
        <v/>
      </c>
      <c r="F1312" s="4" t="n">
        <v>2</v>
      </c>
      <c r="G1312" s="4" t="n">
        <v>1</v>
      </c>
      <c r="H1312" s="4" t="s">
        <v>213</v>
      </c>
      <c r="I1312" s="4" t="s">
        <v>53</v>
      </c>
      <c r="J1312" s="4" t="n">
        <f aca="false">INDEX('Master List'!$G$2:$G$2594,K1312)</f>
        <v>0</v>
      </c>
      <c r="K1312" s="4" t="n">
        <v>448</v>
      </c>
    </row>
    <row r="1313" customFormat="false" ht="15" hidden="false" customHeight="false" outlineLevel="0" collapsed="false">
      <c r="A1313" s="4" t="n">
        <v>1312</v>
      </c>
      <c r="B1313" s="4" t="s">
        <v>2069</v>
      </c>
      <c r="C1313" s="4" t="n">
        <v>1965</v>
      </c>
      <c r="D1313" s="4" t="s">
        <v>189</v>
      </c>
      <c r="E1313" s="25" t="str">
        <f aca="false">IF(J1313=1,"✓","")</f>
        <v/>
      </c>
      <c r="F1313" s="4" t="n">
        <v>2</v>
      </c>
      <c r="G1313" s="4" t="n">
        <v>1</v>
      </c>
      <c r="H1313" s="4" t="s">
        <v>213</v>
      </c>
      <c r="I1313" s="4" t="s">
        <v>53</v>
      </c>
      <c r="J1313" s="4" t="n">
        <f aca="false">INDEX('Master List'!$G$2:$G$2594,K1313)</f>
        <v>0</v>
      </c>
      <c r="K1313" s="4" t="n">
        <v>1038</v>
      </c>
    </row>
    <row r="1314" customFormat="false" ht="15" hidden="false" customHeight="false" outlineLevel="0" collapsed="false">
      <c r="A1314" s="4" t="n">
        <v>1313</v>
      </c>
      <c r="B1314" s="4" t="s">
        <v>2070</v>
      </c>
      <c r="C1314" s="4" t="n">
        <v>1965</v>
      </c>
      <c r="D1314" s="4" t="s">
        <v>179</v>
      </c>
      <c r="E1314" s="25" t="str">
        <f aca="false">IF(J1314=1,"✓","")</f>
        <v/>
      </c>
      <c r="F1314" s="4" t="n">
        <v>2</v>
      </c>
      <c r="G1314" s="4" t="n">
        <v>1</v>
      </c>
      <c r="H1314" s="4" t="s">
        <v>213</v>
      </c>
      <c r="I1314" s="4" t="s">
        <v>53</v>
      </c>
      <c r="J1314" s="4" t="n">
        <f aca="false">INDEX('Master List'!$G$2:$G$2594,K1314)</f>
        <v>0</v>
      </c>
      <c r="K1314" s="4" t="n">
        <v>1225</v>
      </c>
    </row>
    <row r="1315" customFormat="false" ht="15" hidden="false" customHeight="false" outlineLevel="0" collapsed="false">
      <c r="A1315" s="4" t="n">
        <v>1314</v>
      </c>
      <c r="B1315" s="4" t="s">
        <v>2071</v>
      </c>
      <c r="C1315" s="4" t="n">
        <v>1965</v>
      </c>
      <c r="D1315" s="4" t="s">
        <v>156</v>
      </c>
      <c r="E1315" s="25" t="str">
        <f aca="false">IF(J1315=1,"✓","")</f>
        <v/>
      </c>
      <c r="F1315" s="4" t="n">
        <v>2</v>
      </c>
      <c r="G1315" s="4" t="n">
        <v>1</v>
      </c>
      <c r="H1315" s="4" t="s">
        <v>213</v>
      </c>
      <c r="I1315" s="4" t="s">
        <v>53</v>
      </c>
      <c r="J1315" s="4" t="n">
        <f aca="false">INDEX('Master List'!$G$2:$G$2594,K1315)</f>
        <v>0</v>
      </c>
      <c r="K1315" s="4" t="n">
        <v>1872</v>
      </c>
    </row>
    <row r="1316" customFormat="false" ht="15" hidden="false" customHeight="false" outlineLevel="0" collapsed="false">
      <c r="A1316" s="4" t="n">
        <v>1315</v>
      </c>
      <c r="B1316" s="4" t="s">
        <v>2072</v>
      </c>
      <c r="C1316" s="4" t="n">
        <v>1965</v>
      </c>
      <c r="D1316" s="4" t="s">
        <v>255</v>
      </c>
      <c r="E1316" s="25" t="str">
        <f aca="false">IF(J1316=1,"✓","")</f>
        <v/>
      </c>
      <c r="F1316" s="4" t="n">
        <v>2</v>
      </c>
      <c r="G1316" s="4" t="n">
        <v>1</v>
      </c>
      <c r="H1316" s="4" t="s">
        <v>213</v>
      </c>
      <c r="I1316" s="4" t="s">
        <v>53</v>
      </c>
      <c r="J1316" s="4" t="n">
        <f aca="false">INDEX('Master List'!$G$2:$G$2594,K1316)</f>
        <v>0</v>
      </c>
      <c r="K1316" s="4" t="n">
        <v>648</v>
      </c>
    </row>
    <row r="1317" customFormat="false" ht="15" hidden="false" customHeight="false" outlineLevel="0" collapsed="false">
      <c r="A1317" s="4" t="n">
        <v>1316</v>
      </c>
      <c r="B1317" s="4" t="s">
        <v>2073</v>
      </c>
      <c r="C1317" s="4" t="n">
        <v>1965</v>
      </c>
      <c r="D1317" s="4" t="s">
        <v>2074</v>
      </c>
      <c r="E1317" s="25" t="str">
        <f aca="false">IF(J1317=1,"✓","")</f>
        <v/>
      </c>
      <c r="F1317" s="4" t="n">
        <v>2</v>
      </c>
      <c r="G1317" s="4" t="n">
        <v>1</v>
      </c>
      <c r="H1317" s="4" t="s">
        <v>213</v>
      </c>
      <c r="I1317" s="4" t="s">
        <v>57</v>
      </c>
      <c r="J1317" s="4" t="n">
        <f aca="false">INDEX('Master List'!$G$2:$G$2594,K1317)</f>
        <v>0</v>
      </c>
      <c r="K1317" s="4" t="n">
        <v>1781</v>
      </c>
    </row>
    <row r="1318" customFormat="false" ht="15" hidden="false" customHeight="false" outlineLevel="0" collapsed="false">
      <c r="A1318" s="4" t="n">
        <v>1317</v>
      </c>
      <c r="B1318" s="4" t="s">
        <v>2075</v>
      </c>
      <c r="C1318" s="4" t="n">
        <v>1966</v>
      </c>
      <c r="D1318" s="4" t="s">
        <v>2076</v>
      </c>
      <c r="E1318" s="25" t="str">
        <f aca="false">IF(J1318=1,"✓","")</f>
        <v/>
      </c>
      <c r="F1318" s="4" t="n">
        <v>2</v>
      </c>
      <c r="G1318" s="4" t="n">
        <v>1</v>
      </c>
      <c r="H1318" s="4" t="s">
        <v>213</v>
      </c>
      <c r="I1318" s="4" t="s">
        <v>51</v>
      </c>
      <c r="J1318" s="4" t="n">
        <f aca="false">INDEX('Master List'!$G$2:$G$2594,K1318)</f>
        <v>0</v>
      </c>
      <c r="K1318" s="4" t="n">
        <v>2221</v>
      </c>
    </row>
    <row r="1319" customFormat="false" ht="15" hidden="false" customHeight="false" outlineLevel="0" collapsed="false">
      <c r="A1319" s="4" t="n">
        <v>1318</v>
      </c>
      <c r="B1319" s="4" t="s">
        <v>2077</v>
      </c>
      <c r="C1319" s="4" t="n">
        <v>1966</v>
      </c>
      <c r="D1319" s="4" t="s">
        <v>761</v>
      </c>
      <c r="E1319" s="25" t="str">
        <f aca="false">IF(J1319=1,"✓","")</f>
        <v/>
      </c>
      <c r="F1319" s="4" t="n">
        <v>2</v>
      </c>
      <c r="G1319" s="4" t="n">
        <v>1</v>
      </c>
      <c r="H1319" s="4" t="s">
        <v>213</v>
      </c>
      <c r="I1319" s="4" t="s">
        <v>51</v>
      </c>
      <c r="J1319" s="4" t="n">
        <f aca="false">INDEX('Master List'!$G$2:$G$2594,K1319)</f>
        <v>0</v>
      </c>
      <c r="K1319" s="4" t="n">
        <v>1241</v>
      </c>
    </row>
    <row r="1320" customFormat="false" ht="15" hidden="false" customHeight="false" outlineLevel="0" collapsed="false">
      <c r="A1320" s="4" t="n">
        <v>1319</v>
      </c>
      <c r="B1320" s="4" t="s">
        <v>2078</v>
      </c>
      <c r="C1320" s="4" t="n">
        <v>1966</v>
      </c>
      <c r="D1320" s="4" t="s">
        <v>1483</v>
      </c>
      <c r="E1320" s="25" t="str">
        <f aca="false">IF(J1320=1,"✓","")</f>
        <v/>
      </c>
      <c r="F1320" s="4" t="n">
        <v>2</v>
      </c>
      <c r="G1320" s="4" t="n">
        <v>1</v>
      </c>
      <c r="H1320" s="4" t="s">
        <v>213</v>
      </c>
      <c r="I1320" s="4" t="s">
        <v>51</v>
      </c>
      <c r="J1320" s="4" t="n">
        <f aca="false">INDEX('Master List'!$G$2:$G$2594,K1320)</f>
        <v>0</v>
      </c>
      <c r="K1320" s="4" t="n">
        <v>503</v>
      </c>
    </row>
    <row r="1321" customFormat="false" ht="15" hidden="false" customHeight="false" outlineLevel="0" collapsed="false">
      <c r="A1321" s="4" t="n">
        <v>1320</v>
      </c>
      <c r="B1321" s="4" t="s">
        <v>2079</v>
      </c>
      <c r="C1321" s="4" t="n">
        <v>1966</v>
      </c>
      <c r="D1321" s="4" t="s">
        <v>1344</v>
      </c>
      <c r="E1321" s="25" t="str">
        <f aca="false">IF(J1321=1,"✓","")</f>
        <v/>
      </c>
      <c r="F1321" s="4" t="n">
        <v>2</v>
      </c>
      <c r="G1321" s="4" t="n">
        <v>1</v>
      </c>
      <c r="H1321" s="4" t="s">
        <v>213</v>
      </c>
      <c r="I1321" s="4" t="s">
        <v>52</v>
      </c>
      <c r="J1321" s="4" t="n">
        <f aca="false">INDEX('Master List'!$G$2:$G$2594,K1321)</f>
        <v>0</v>
      </c>
      <c r="K1321" s="4" t="n">
        <v>1900</v>
      </c>
    </row>
    <row r="1322" customFormat="false" ht="15" hidden="false" customHeight="false" outlineLevel="0" collapsed="false">
      <c r="A1322" s="4" t="n">
        <v>1321</v>
      </c>
      <c r="B1322" s="4" t="s">
        <v>2080</v>
      </c>
      <c r="C1322" s="4" t="n">
        <v>1966</v>
      </c>
      <c r="D1322" s="4" t="s">
        <v>150</v>
      </c>
      <c r="E1322" s="25" t="str">
        <f aca="false">IF(J1322=1,"✓","")</f>
        <v/>
      </c>
      <c r="F1322" s="4" t="n">
        <v>2</v>
      </c>
      <c r="G1322" s="4" t="n">
        <v>1</v>
      </c>
      <c r="H1322" s="4" t="s">
        <v>213</v>
      </c>
      <c r="I1322" s="4" t="s">
        <v>52</v>
      </c>
      <c r="J1322" s="4" t="n">
        <f aca="false">INDEX('Master List'!$G$2:$G$2594,K1322)</f>
        <v>0</v>
      </c>
      <c r="K1322" s="4" t="n">
        <v>775</v>
      </c>
    </row>
    <row r="1323" customFormat="false" ht="15" hidden="false" customHeight="false" outlineLevel="0" collapsed="false">
      <c r="A1323" s="4" t="n">
        <v>1322</v>
      </c>
      <c r="B1323" s="4" t="s">
        <v>2081</v>
      </c>
      <c r="C1323" s="4" t="n">
        <v>1966</v>
      </c>
      <c r="D1323" s="4" t="s">
        <v>965</v>
      </c>
      <c r="E1323" s="25" t="str">
        <f aca="false">IF(J1323=1,"✓","")</f>
        <v>✓</v>
      </c>
      <c r="F1323" s="4" t="n">
        <v>2</v>
      </c>
      <c r="G1323" s="4" t="n">
        <v>1</v>
      </c>
      <c r="H1323" s="4" t="s">
        <v>213</v>
      </c>
      <c r="I1323" s="4" t="s">
        <v>52</v>
      </c>
      <c r="J1323" s="4" t="n">
        <f aca="false">INDEX('Master List'!$G$2:$G$2594,K1323)</f>
        <v>1</v>
      </c>
      <c r="K1323" s="4" t="n">
        <v>2001</v>
      </c>
    </row>
    <row r="1324" customFormat="false" ht="15" hidden="false" customHeight="false" outlineLevel="0" collapsed="false">
      <c r="A1324" s="4" t="n">
        <v>1323</v>
      </c>
      <c r="B1324" s="4" t="s">
        <v>2082</v>
      </c>
      <c r="C1324" s="4" t="n">
        <v>1966</v>
      </c>
      <c r="D1324" s="4" t="s">
        <v>2083</v>
      </c>
      <c r="E1324" s="25" t="str">
        <f aca="false">IF(J1324=1,"✓","")</f>
        <v/>
      </c>
      <c r="F1324" s="4" t="n">
        <v>2</v>
      </c>
      <c r="G1324" s="4" t="n">
        <v>1</v>
      </c>
      <c r="H1324" s="4" t="s">
        <v>213</v>
      </c>
      <c r="I1324" s="4" t="s">
        <v>52</v>
      </c>
      <c r="J1324" s="4" t="n">
        <f aca="false">INDEX('Master List'!$G$2:$G$2594,K1324)</f>
        <v>0</v>
      </c>
      <c r="K1324" s="4" t="n">
        <v>436</v>
      </c>
    </row>
    <row r="1325" customFormat="false" ht="15" hidden="false" customHeight="false" outlineLevel="0" collapsed="false">
      <c r="A1325" s="4" t="n">
        <v>1324</v>
      </c>
      <c r="B1325" s="4" t="s">
        <v>2084</v>
      </c>
      <c r="C1325" s="4" t="n">
        <v>1966</v>
      </c>
      <c r="D1325" s="4" t="s">
        <v>2085</v>
      </c>
      <c r="E1325" s="25" t="str">
        <f aca="false">IF(J1325=1,"✓","")</f>
        <v/>
      </c>
      <c r="F1325" s="4" t="n">
        <v>2</v>
      </c>
      <c r="G1325" s="4" t="n">
        <v>1</v>
      </c>
      <c r="H1325" s="4" t="s">
        <v>213</v>
      </c>
      <c r="I1325" s="4" t="s">
        <v>52</v>
      </c>
      <c r="J1325" s="4" t="n">
        <f aca="false">INDEX('Master List'!$G$2:$G$2594,K1325)</f>
        <v>0</v>
      </c>
      <c r="K1325" s="4" t="n">
        <v>820</v>
      </c>
    </row>
    <row r="1326" customFormat="false" ht="15" hidden="false" customHeight="false" outlineLevel="0" collapsed="false">
      <c r="A1326" s="4" t="n">
        <v>1325</v>
      </c>
      <c r="B1326" s="4" t="s">
        <v>2086</v>
      </c>
      <c r="C1326" s="4" t="n">
        <v>1966</v>
      </c>
      <c r="D1326" s="4" t="s">
        <v>152</v>
      </c>
      <c r="E1326" s="25" t="str">
        <f aca="false">IF(J1326=1,"✓","")</f>
        <v/>
      </c>
      <c r="F1326" s="4" t="n">
        <v>2</v>
      </c>
      <c r="G1326" s="4" t="n">
        <v>1</v>
      </c>
      <c r="H1326" s="4" t="s">
        <v>213</v>
      </c>
      <c r="I1326" s="4" t="s">
        <v>53</v>
      </c>
      <c r="J1326" s="4" t="n">
        <f aca="false">INDEX('Master List'!$G$2:$G$2594,K1326)</f>
        <v>0</v>
      </c>
      <c r="K1326" s="4" t="n">
        <v>1456</v>
      </c>
    </row>
    <row r="1327" customFormat="false" ht="15" hidden="false" customHeight="false" outlineLevel="0" collapsed="false">
      <c r="A1327" s="4" t="n">
        <v>1326</v>
      </c>
      <c r="B1327" s="4" t="s">
        <v>2087</v>
      </c>
      <c r="C1327" s="4" t="n">
        <v>1966</v>
      </c>
      <c r="D1327" s="4" t="s">
        <v>2055</v>
      </c>
      <c r="E1327" s="25" t="str">
        <f aca="false">IF(J1327=1,"✓","")</f>
        <v/>
      </c>
      <c r="F1327" s="4" t="n">
        <v>2</v>
      </c>
      <c r="G1327" s="4" t="n">
        <v>1</v>
      </c>
      <c r="H1327" s="4" t="s">
        <v>213</v>
      </c>
      <c r="I1327" s="4" t="s">
        <v>54</v>
      </c>
      <c r="J1327" s="4" t="n">
        <f aca="false">INDEX('Master List'!$G$2:$G$2594,K1327)</f>
        <v>0</v>
      </c>
      <c r="K1327" s="4" t="n">
        <v>2512</v>
      </c>
    </row>
    <row r="1328" customFormat="false" ht="15" hidden="false" customHeight="false" outlineLevel="0" collapsed="false">
      <c r="A1328" s="4" t="n">
        <v>1327</v>
      </c>
      <c r="B1328" s="4" t="s">
        <v>2088</v>
      </c>
      <c r="C1328" s="4" t="n">
        <v>1966</v>
      </c>
      <c r="D1328" s="4" t="s">
        <v>2089</v>
      </c>
      <c r="E1328" s="25" t="str">
        <f aca="false">IF(J1328=1,"✓","")</f>
        <v/>
      </c>
      <c r="F1328" s="4" t="n">
        <v>2</v>
      </c>
      <c r="G1328" s="4" t="n">
        <v>1</v>
      </c>
      <c r="H1328" s="4" t="s">
        <v>213</v>
      </c>
      <c r="I1328" s="4" t="s">
        <v>56</v>
      </c>
      <c r="J1328" s="4" t="n">
        <f aca="false">INDEX('Master List'!$G$2:$G$2594,K1328)</f>
        <v>0</v>
      </c>
      <c r="K1328" s="4" t="n">
        <v>731</v>
      </c>
    </row>
    <row r="1329" customFormat="false" ht="15" hidden="false" customHeight="false" outlineLevel="0" collapsed="false">
      <c r="A1329" s="4" t="n">
        <v>1328</v>
      </c>
      <c r="B1329" s="4" t="s">
        <v>2090</v>
      </c>
      <c r="C1329" s="4" t="n">
        <v>1967</v>
      </c>
      <c r="D1329" s="4" t="s">
        <v>541</v>
      </c>
      <c r="E1329" s="25" t="str">
        <f aca="false">IF(J1329=1,"✓","")</f>
        <v/>
      </c>
      <c r="F1329" s="4" t="n">
        <v>2</v>
      </c>
      <c r="G1329" s="4" t="n">
        <v>1</v>
      </c>
      <c r="H1329" s="4" t="s">
        <v>213</v>
      </c>
      <c r="I1329" s="4" t="s">
        <v>51</v>
      </c>
      <c r="J1329" s="4" t="n">
        <f aca="false">INDEX('Master List'!$G$2:$G$2594,K1329)</f>
        <v>0</v>
      </c>
      <c r="K1329" s="4" t="n">
        <v>1967</v>
      </c>
    </row>
    <row r="1330" customFormat="false" ht="15" hidden="false" customHeight="false" outlineLevel="0" collapsed="false">
      <c r="A1330" s="4" t="n">
        <v>1329</v>
      </c>
      <c r="B1330" s="4" t="s">
        <v>2091</v>
      </c>
      <c r="C1330" s="4" t="n">
        <v>1967</v>
      </c>
      <c r="D1330" s="4" t="s">
        <v>2092</v>
      </c>
      <c r="E1330" s="25" t="str">
        <f aca="false">IF(J1330=1,"✓","")</f>
        <v/>
      </c>
      <c r="F1330" s="4" t="n">
        <v>2</v>
      </c>
      <c r="G1330" s="4" t="n">
        <v>1</v>
      </c>
      <c r="H1330" s="4" t="s">
        <v>213</v>
      </c>
      <c r="I1330" s="4" t="s">
        <v>51</v>
      </c>
      <c r="J1330" s="4" t="n">
        <f aca="false">INDEX('Master List'!$G$2:$G$2594,K1330)</f>
        <v>0</v>
      </c>
      <c r="K1330" s="4" t="n">
        <v>242</v>
      </c>
    </row>
    <row r="1331" customFormat="false" ht="15" hidden="false" customHeight="false" outlineLevel="0" collapsed="false">
      <c r="A1331" s="4" t="n">
        <v>1330</v>
      </c>
      <c r="B1331" s="4" t="s">
        <v>2093</v>
      </c>
      <c r="C1331" s="4" t="n">
        <v>1967</v>
      </c>
      <c r="D1331" s="4" t="s">
        <v>2094</v>
      </c>
      <c r="E1331" s="25" t="str">
        <f aca="false">IF(J1331=1,"✓","")</f>
        <v/>
      </c>
      <c r="F1331" s="4" t="n">
        <v>2</v>
      </c>
      <c r="G1331" s="4" t="n">
        <v>1</v>
      </c>
      <c r="H1331" s="4" t="s">
        <v>213</v>
      </c>
      <c r="I1331" s="4" t="s">
        <v>51</v>
      </c>
      <c r="J1331" s="4" t="n">
        <f aca="false">INDEX('Master List'!$G$2:$G$2594,K1331)</f>
        <v>0</v>
      </c>
      <c r="K1331" s="4" t="n">
        <v>366</v>
      </c>
    </row>
    <row r="1332" customFormat="false" ht="15" hidden="false" customHeight="false" outlineLevel="0" collapsed="false">
      <c r="A1332" s="4" t="n">
        <v>1331</v>
      </c>
      <c r="B1332" s="4" t="s">
        <v>2095</v>
      </c>
      <c r="C1332" s="4" t="n">
        <v>1967</v>
      </c>
      <c r="D1332" s="4" t="s">
        <v>359</v>
      </c>
      <c r="E1332" s="25" t="str">
        <f aca="false">IF(J1332=1,"✓","")</f>
        <v/>
      </c>
      <c r="F1332" s="4" t="n">
        <v>2</v>
      </c>
      <c r="G1332" s="4" t="n">
        <v>1</v>
      </c>
      <c r="H1332" s="4" t="s">
        <v>213</v>
      </c>
      <c r="I1332" s="4" t="s">
        <v>51</v>
      </c>
      <c r="J1332" s="4" t="n">
        <f aca="false">INDEX('Master List'!$G$2:$G$2594,K1332)</f>
        <v>0</v>
      </c>
      <c r="K1332" s="4" t="n">
        <v>1794</v>
      </c>
    </row>
    <row r="1333" customFormat="false" ht="15" hidden="false" customHeight="false" outlineLevel="0" collapsed="false">
      <c r="A1333" s="4" t="n">
        <v>1332</v>
      </c>
      <c r="B1333" s="4" t="s">
        <v>2096</v>
      </c>
      <c r="C1333" s="4" t="n">
        <v>1967</v>
      </c>
      <c r="D1333" s="4" t="s">
        <v>548</v>
      </c>
      <c r="E1333" s="25" t="str">
        <f aca="false">IF(J1333=1,"✓","")</f>
        <v/>
      </c>
      <c r="F1333" s="4" t="n">
        <v>2</v>
      </c>
      <c r="G1333" s="4" t="n">
        <v>1</v>
      </c>
      <c r="H1333" s="4" t="s">
        <v>213</v>
      </c>
      <c r="I1333" s="4" t="s">
        <v>51</v>
      </c>
      <c r="J1333" s="4" t="n">
        <f aca="false">INDEX('Master List'!$G$2:$G$2594,K1333)</f>
        <v>0</v>
      </c>
      <c r="K1333" s="4" t="n">
        <v>806</v>
      </c>
    </row>
    <row r="1334" customFormat="false" ht="15" hidden="false" customHeight="false" outlineLevel="0" collapsed="false">
      <c r="A1334" s="4" t="n">
        <v>1333</v>
      </c>
      <c r="B1334" s="4" t="s">
        <v>2097</v>
      </c>
      <c r="C1334" s="4" t="n">
        <v>1967</v>
      </c>
      <c r="D1334" s="4" t="s">
        <v>2098</v>
      </c>
      <c r="E1334" s="25" t="str">
        <f aca="false">IF(J1334=1,"✓","")</f>
        <v/>
      </c>
      <c r="F1334" s="4" t="n">
        <v>2</v>
      </c>
      <c r="G1334" s="4" t="n">
        <v>1</v>
      </c>
      <c r="H1334" s="4" t="s">
        <v>213</v>
      </c>
      <c r="I1334" s="4" t="s">
        <v>51</v>
      </c>
      <c r="J1334" s="4" t="n">
        <f aca="false">INDEX('Master List'!$G$2:$G$2594,K1334)</f>
        <v>0</v>
      </c>
      <c r="K1334" s="4" t="n">
        <v>1103</v>
      </c>
    </row>
    <row r="1335" customFormat="false" ht="15" hidden="false" customHeight="false" outlineLevel="0" collapsed="false">
      <c r="A1335" s="4" t="n">
        <v>1334</v>
      </c>
      <c r="B1335" s="4" t="s">
        <v>2099</v>
      </c>
      <c r="C1335" s="4" t="n">
        <v>1967</v>
      </c>
      <c r="D1335" s="4" t="s">
        <v>771</v>
      </c>
      <c r="E1335" s="25" t="str">
        <f aca="false">IF(J1335=1,"✓","")</f>
        <v/>
      </c>
      <c r="F1335" s="4" t="n">
        <v>2</v>
      </c>
      <c r="G1335" s="4" t="n">
        <v>1</v>
      </c>
      <c r="H1335" s="4" t="s">
        <v>213</v>
      </c>
      <c r="I1335" s="4" t="s">
        <v>51</v>
      </c>
      <c r="J1335" s="4" t="n">
        <f aca="false">INDEX('Master List'!$G$2:$G$2594,K1335)</f>
        <v>0</v>
      </c>
      <c r="K1335" s="4" t="n">
        <v>1871</v>
      </c>
    </row>
    <row r="1336" customFormat="false" ht="15" hidden="false" customHeight="false" outlineLevel="0" collapsed="false">
      <c r="A1336" s="4" t="n">
        <v>1335</v>
      </c>
      <c r="B1336" s="4" t="s">
        <v>2100</v>
      </c>
      <c r="C1336" s="4" t="n">
        <v>1967</v>
      </c>
      <c r="D1336" s="4" t="s">
        <v>464</v>
      </c>
      <c r="E1336" s="25" t="str">
        <f aca="false">IF(J1336=1,"✓","")</f>
        <v/>
      </c>
      <c r="F1336" s="4" t="n">
        <v>2</v>
      </c>
      <c r="G1336" s="4" t="n">
        <v>1</v>
      </c>
      <c r="H1336" s="4" t="s">
        <v>213</v>
      </c>
      <c r="I1336" s="4" t="s">
        <v>51</v>
      </c>
      <c r="J1336" s="4" t="n">
        <f aca="false">INDEX('Master List'!$G$2:$G$2594,K1336)</f>
        <v>0</v>
      </c>
      <c r="K1336" s="4" t="n">
        <v>738</v>
      </c>
    </row>
    <row r="1337" customFormat="false" ht="15" hidden="false" customHeight="false" outlineLevel="0" collapsed="false">
      <c r="A1337" s="4" t="n">
        <v>1336</v>
      </c>
      <c r="B1337" s="4" t="s">
        <v>2101</v>
      </c>
      <c r="C1337" s="4" t="n">
        <v>1967</v>
      </c>
      <c r="D1337" s="4" t="s">
        <v>1483</v>
      </c>
      <c r="E1337" s="25" t="str">
        <f aca="false">IF(J1337=1,"✓","")</f>
        <v/>
      </c>
      <c r="F1337" s="4" t="n">
        <v>2</v>
      </c>
      <c r="G1337" s="4" t="n">
        <v>1</v>
      </c>
      <c r="H1337" s="4" t="s">
        <v>213</v>
      </c>
      <c r="I1337" s="4" t="s">
        <v>51</v>
      </c>
      <c r="J1337" s="4" t="n">
        <f aca="false">INDEX('Master List'!$G$2:$G$2594,K1337)</f>
        <v>0</v>
      </c>
      <c r="K1337" s="4" t="n">
        <v>674</v>
      </c>
    </row>
    <row r="1338" customFormat="false" ht="15" hidden="false" customHeight="false" outlineLevel="0" collapsed="false">
      <c r="A1338" s="4" t="n">
        <v>1337</v>
      </c>
      <c r="B1338" s="4" t="s">
        <v>2102</v>
      </c>
      <c r="C1338" s="4" t="n">
        <v>1967</v>
      </c>
      <c r="D1338" s="4" t="s">
        <v>2103</v>
      </c>
      <c r="E1338" s="25" t="str">
        <f aca="false">IF(J1338=1,"✓","")</f>
        <v/>
      </c>
      <c r="F1338" s="4" t="n">
        <v>2</v>
      </c>
      <c r="G1338" s="4" t="n">
        <v>1</v>
      </c>
      <c r="H1338" s="4" t="s">
        <v>213</v>
      </c>
      <c r="I1338" s="4" t="s">
        <v>52</v>
      </c>
      <c r="J1338" s="4" t="n">
        <f aca="false">INDEX('Master List'!$G$2:$G$2594,K1338)</f>
        <v>0</v>
      </c>
      <c r="K1338" s="4" t="n">
        <v>1839</v>
      </c>
    </row>
    <row r="1339" customFormat="false" ht="15" hidden="false" customHeight="false" outlineLevel="0" collapsed="false">
      <c r="A1339" s="4" t="n">
        <v>1338</v>
      </c>
      <c r="B1339" s="4" t="s">
        <v>2104</v>
      </c>
      <c r="C1339" s="4" t="n">
        <v>1967</v>
      </c>
      <c r="D1339" s="4" t="s">
        <v>2105</v>
      </c>
      <c r="E1339" s="25" t="str">
        <f aca="false">IF(J1339=1,"✓","")</f>
        <v/>
      </c>
      <c r="F1339" s="4" t="n">
        <v>2</v>
      </c>
      <c r="G1339" s="4" t="n">
        <v>1</v>
      </c>
      <c r="H1339" s="4" t="s">
        <v>213</v>
      </c>
      <c r="I1339" s="4" t="s">
        <v>52</v>
      </c>
      <c r="J1339" s="4" t="n">
        <f aca="false">INDEX('Master List'!$G$2:$G$2594,K1339)</f>
        <v>0</v>
      </c>
      <c r="K1339" s="4" t="n">
        <v>658</v>
      </c>
    </row>
    <row r="1340" customFormat="false" ht="15" hidden="false" customHeight="false" outlineLevel="0" collapsed="false">
      <c r="A1340" s="4" t="n">
        <v>1339</v>
      </c>
      <c r="B1340" s="4" t="s">
        <v>2106</v>
      </c>
      <c r="C1340" s="4" t="n">
        <v>1967</v>
      </c>
      <c r="D1340" s="4" t="s">
        <v>152</v>
      </c>
      <c r="E1340" s="25" t="str">
        <f aca="false">IF(J1340=1,"✓","")</f>
        <v/>
      </c>
      <c r="F1340" s="4" t="n">
        <v>2</v>
      </c>
      <c r="G1340" s="4" t="n">
        <v>1</v>
      </c>
      <c r="H1340" s="4" t="s">
        <v>213</v>
      </c>
      <c r="I1340" s="4" t="s">
        <v>53</v>
      </c>
      <c r="J1340" s="4" t="n">
        <f aca="false">INDEX('Master List'!$G$2:$G$2594,K1340)</f>
        <v>0</v>
      </c>
      <c r="K1340" s="4" t="n">
        <v>11</v>
      </c>
    </row>
    <row r="1341" customFormat="false" ht="15" hidden="false" customHeight="false" outlineLevel="0" collapsed="false">
      <c r="A1341" s="4" t="n">
        <v>1340</v>
      </c>
      <c r="B1341" s="4" t="s">
        <v>2107</v>
      </c>
      <c r="C1341" s="4" t="n">
        <v>1967</v>
      </c>
      <c r="D1341" s="4" t="s">
        <v>152</v>
      </c>
      <c r="E1341" s="25" t="str">
        <f aca="false">IF(J1341=1,"✓","")</f>
        <v/>
      </c>
      <c r="F1341" s="4" t="n">
        <v>2</v>
      </c>
      <c r="G1341" s="4" t="n">
        <v>1</v>
      </c>
      <c r="H1341" s="4" t="s">
        <v>213</v>
      </c>
      <c r="I1341" s="4" t="s">
        <v>53</v>
      </c>
      <c r="J1341" s="4" t="n">
        <f aca="false">INDEX('Master List'!$G$2:$G$2594,K1341)</f>
        <v>0</v>
      </c>
      <c r="K1341" s="4" t="n">
        <v>2477</v>
      </c>
    </row>
    <row r="1342" customFormat="false" ht="15" hidden="false" customHeight="false" outlineLevel="0" collapsed="false">
      <c r="A1342" s="4" t="n">
        <v>1341</v>
      </c>
      <c r="B1342" s="4" t="s">
        <v>2108</v>
      </c>
      <c r="C1342" s="4" t="n">
        <v>1967</v>
      </c>
      <c r="D1342" s="4" t="s">
        <v>419</v>
      </c>
      <c r="E1342" s="25" t="str">
        <f aca="false">IF(J1342=1,"✓","")</f>
        <v/>
      </c>
      <c r="F1342" s="4" t="n">
        <v>2</v>
      </c>
      <c r="G1342" s="4" t="n">
        <v>1</v>
      </c>
      <c r="H1342" s="4" t="s">
        <v>213</v>
      </c>
      <c r="I1342" s="4" t="s">
        <v>53</v>
      </c>
      <c r="J1342" s="4" t="n">
        <f aca="false">INDEX('Master List'!$G$2:$G$2594,K1342)</f>
        <v>0</v>
      </c>
      <c r="K1342" s="4" t="n">
        <v>496</v>
      </c>
    </row>
    <row r="1343" customFormat="false" ht="15" hidden="false" customHeight="false" outlineLevel="0" collapsed="false">
      <c r="A1343" s="4" t="n">
        <v>1342</v>
      </c>
      <c r="B1343" s="4" t="s">
        <v>2109</v>
      </c>
      <c r="C1343" s="4" t="n">
        <v>1967</v>
      </c>
      <c r="D1343" s="4" t="s">
        <v>402</v>
      </c>
      <c r="E1343" s="25" t="str">
        <f aca="false">IF(J1343=1,"✓","")</f>
        <v/>
      </c>
      <c r="F1343" s="4" t="n">
        <v>2</v>
      </c>
      <c r="G1343" s="4" t="n">
        <v>1</v>
      </c>
      <c r="H1343" s="4" t="s">
        <v>213</v>
      </c>
      <c r="I1343" s="4" t="s">
        <v>53</v>
      </c>
      <c r="J1343" s="4" t="n">
        <f aca="false">INDEX('Master List'!$G$2:$G$2594,K1343)</f>
        <v>0</v>
      </c>
      <c r="K1343" s="4" t="n">
        <v>220</v>
      </c>
    </row>
    <row r="1344" customFormat="false" ht="15" hidden="false" customHeight="false" outlineLevel="0" collapsed="false">
      <c r="A1344" s="4" t="n">
        <v>1343</v>
      </c>
      <c r="B1344" s="4" t="s">
        <v>2110</v>
      </c>
      <c r="C1344" s="4" t="n">
        <v>1967</v>
      </c>
      <c r="D1344" s="4" t="s">
        <v>2111</v>
      </c>
      <c r="E1344" s="25" t="str">
        <f aca="false">IF(J1344=1,"✓","")</f>
        <v/>
      </c>
      <c r="F1344" s="4" t="n">
        <v>2</v>
      </c>
      <c r="G1344" s="4" t="n">
        <v>1</v>
      </c>
      <c r="H1344" s="4" t="s">
        <v>213</v>
      </c>
      <c r="I1344" s="4" t="s">
        <v>55</v>
      </c>
      <c r="J1344" s="4" t="n">
        <f aca="false">INDEX('Master List'!$G$2:$G$2594,K1344)</f>
        <v>0</v>
      </c>
      <c r="K1344" s="4" t="n">
        <v>521</v>
      </c>
    </row>
    <row r="1345" customFormat="false" ht="15" hidden="false" customHeight="false" outlineLevel="0" collapsed="false">
      <c r="A1345" s="4" t="n">
        <v>1344</v>
      </c>
      <c r="B1345" s="4" t="s">
        <v>2112</v>
      </c>
      <c r="C1345" s="4" t="n">
        <v>1967</v>
      </c>
      <c r="D1345" s="4" t="s">
        <v>2113</v>
      </c>
      <c r="E1345" s="25" t="str">
        <f aca="false">IF(J1345=1,"✓","")</f>
        <v/>
      </c>
      <c r="F1345" s="4" t="n">
        <v>2</v>
      </c>
      <c r="G1345" s="4" t="n">
        <v>1</v>
      </c>
      <c r="H1345" s="4" t="s">
        <v>213</v>
      </c>
      <c r="I1345" s="4" t="s">
        <v>55</v>
      </c>
      <c r="J1345" s="4" t="n">
        <f aca="false">INDEX('Master List'!$G$2:$G$2594,K1345)</f>
        <v>0</v>
      </c>
      <c r="K1345" s="4" t="n">
        <v>2321</v>
      </c>
    </row>
    <row r="1346" customFormat="false" ht="15" hidden="false" customHeight="false" outlineLevel="0" collapsed="false">
      <c r="A1346" s="4" t="n">
        <v>1345</v>
      </c>
      <c r="B1346" s="4" t="s">
        <v>2114</v>
      </c>
      <c r="C1346" s="4" t="n">
        <v>1967</v>
      </c>
      <c r="D1346" s="4" t="s">
        <v>969</v>
      </c>
      <c r="E1346" s="25" t="str">
        <f aca="false">IF(J1346=1,"✓","")</f>
        <v/>
      </c>
      <c r="F1346" s="4" t="n">
        <v>2</v>
      </c>
      <c r="G1346" s="4" t="n">
        <v>1</v>
      </c>
      <c r="H1346" s="4" t="s">
        <v>213</v>
      </c>
      <c r="I1346" s="4" t="s">
        <v>55</v>
      </c>
      <c r="J1346" s="4" t="n">
        <f aca="false">INDEX('Master List'!$G$2:$G$2594,K1346)</f>
        <v>0</v>
      </c>
      <c r="K1346" s="4" t="n">
        <v>2390</v>
      </c>
    </row>
    <row r="1347" customFormat="false" ht="15" hidden="false" customHeight="false" outlineLevel="0" collapsed="false">
      <c r="A1347" s="4" t="n">
        <v>1346</v>
      </c>
      <c r="B1347" s="4" t="s">
        <v>2115</v>
      </c>
      <c r="C1347" s="4" t="n">
        <v>1967</v>
      </c>
      <c r="D1347" s="4" t="s">
        <v>2116</v>
      </c>
      <c r="E1347" s="25" t="str">
        <f aca="false">IF(J1347=1,"✓","")</f>
        <v/>
      </c>
      <c r="F1347" s="4" t="n">
        <v>2</v>
      </c>
      <c r="G1347" s="4" t="n">
        <v>1</v>
      </c>
      <c r="H1347" s="4" t="s">
        <v>213</v>
      </c>
      <c r="I1347" s="4" t="s">
        <v>57</v>
      </c>
      <c r="J1347" s="4" t="n">
        <f aca="false">INDEX('Master List'!$G$2:$G$2594,K1347)</f>
        <v>0</v>
      </c>
      <c r="K1347" s="4" t="n">
        <v>1127</v>
      </c>
    </row>
    <row r="1348" customFormat="false" ht="15" hidden="false" customHeight="false" outlineLevel="0" collapsed="false">
      <c r="A1348" s="4" t="n">
        <v>1347</v>
      </c>
      <c r="B1348" s="4" t="s">
        <v>2117</v>
      </c>
      <c r="C1348" s="4" t="n">
        <v>1967</v>
      </c>
      <c r="D1348" s="4" t="s">
        <v>2118</v>
      </c>
      <c r="E1348" s="25" t="str">
        <f aca="false">IF(J1348=1,"✓","")</f>
        <v/>
      </c>
      <c r="F1348" s="4" t="n">
        <v>2</v>
      </c>
      <c r="G1348" s="4" t="n">
        <v>1</v>
      </c>
      <c r="H1348" s="4" t="s">
        <v>213</v>
      </c>
      <c r="I1348" s="4" t="s">
        <v>57</v>
      </c>
      <c r="J1348" s="4" t="n">
        <f aca="false">INDEX('Master List'!$G$2:$G$2594,K1348)</f>
        <v>0</v>
      </c>
      <c r="K1348" s="4" t="n">
        <v>1028</v>
      </c>
    </row>
    <row r="1349" customFormat="false" ht="15" hidden="false" customHeight="false" outlineLevel="0" collapsed="false">
      <c r="A1349" s="4" t="n">
        <v>1348</v>
      </c>
      <c r="B1349" s="4" t="s">
        <v>2119</v>
      </c>
      <c r="C1349" s="4" t="n">
        <v>1968</v>
      </c>
      <c r="D1349" s="4" t="s">
        <v>2076</v>
      </c>
      <c r="E1349" s="25" t="str">
        <f aca="false">IF(J1349=1,"✓","")</f>
        <v/>
      </c>
      <c r="F1349" s="4" t="n">
        <v>2</v>
      </c>
      <c r="G1349" s="4" t="n">
        <v>1</v>
      </c>
      <c r="H1349" s="4" t="s">
        <v>213</v>
      </c>
      <c r="I1349" s="4" t="s">
        <v>51</v>
      </c>
      <c r="J1349" s="4" t="n">
        <f aca="false">INDEX('Master List'!$G$2:$G$2594,K1349)</f>
        <v>0</v>
      </c>
      <c r="K1349" s="4" t="n">
        <v>1240</v>
      </c>
    </row>
    <row r="1350" customFormat="false" ht="15" hidden="false" customHeight="false" outlineLevel="0" collapsed="false">
      <c r="A1350" s="4" t="n">
        <v>1349</v>
      </c>
      <c r="B1350" s="4" t="s">
        <v>2120</v>
      </c>
      <c r="C1350" s="4" t="n">
        <v>1968</v>
      </c>
      <c r="D1350" s="4" t="s">
        <v>2121</v>
      </c>
      <c r="E1350" s="25" t="str">
        <f aca="false">IF(J1350=1,"✓","")</f>
        <v/>
      </c>
      <c r="F1350" s="4" t="n">
        <v>2</v>
      </c>
      <c r="G1350" s="4" t="n">
        <v>1</v>
      </c>
      <c r="H1350" s="4" t="s">
        <v>213</v>
      </c>
      <c r="I1350" s="4" t="s">
        <v>51</v>
      </c>
      <c r="J1350" s="4" t="n">
        <f aca="false">INDEX('Master List'!$G$2:$G$2594,K1350)</f>
        <v>0</v>
      </c>
      <c r="K1350" s="4" t="n">
        <v>1069</v>
      </c>
    </row>
    <row r="1351" customFormat="false" ht="15" hidden="false" customHeight="false" outlineLevel="0" collapsed="false">
      <c r="A1351" s="4" t="n">
        <v>1350</v>
      </c>
      <c r="B1351" s="4" t="s">
        <v>2122</v>
      </c>
      <c r="C1351" s="4" t="n">
        <v>1968</v>
      </c>
      <c r="D1351" s="4" t="s">
        <v>1453</v>
      </c>
      <c r="E1351" s="25" t="str">
        <f aca="false">IF(J1351=1,"✓","")</f>
        <v/>
      </c>
      <c r="F1351" s="4" t="n">
        <v>2</v>
      </c>
      <c r="G1351" s="4" t="n">
        <v>1</v>
      </c>
      <c r="H1351" s="4" t="s">
        <v>213</v>
      </c>
      <c r="I1351" s="4" t="s">
        <v>52</v>
      </c>
      <c r="J1351" s="4" t="n">
        <f aca="false">INDEX('Master List'!$G$2:$G$2594,K1351)</f>
        <v>0</v>
      </c>
      <c r="K1351" s="4" t="n">
        <v>621</v>
      </c>
    </row>
    <row r="1352" customFormat="false" ht="15" hidden="false" customHeight="false" outlineLevel="0" collapsed="false">
      <c r="A1352" s="4" t="n">
        <v>1351</v>
      </c>
      <c r="B1352" s="4" t="s">
        <v>2123</v>
      </c>
      <c r="C1352" s="4" t="n">
        <v>1968</v>
      </c>
      <c r="D1352" s="4" t="s">
        <v>2124</v>
      </c>
      <c r="E1352" s="25" t="str">
        <f aca="false">IF(J1352=1,"✓","")</f>
        <v/>
      </c>
      <c r="F1352" s="4" t="n">
        <v>2</v>
      </c>
      <c r="G1352" s="4" t="n">
        <v>1</v>
      </c>
      <c r="H1352" s="4" t="s">
        <v>213</v>
      </c>
      <c r="I1352" s="4" t="s">
        <v>52</v>
      </c>
      <c r="J1352" s="4" t="n">
        <f aca="false">INDEX('Master List'!$G$2:$G$2594,K1352)</f>
        <v>0</v>
      </c>
      <c r="K1352" s="4" t="n">
        <v>2568</v>
      </c>
    </row>
    <row r="1353" customFormat="false" ht="15" hidden="false" customHeight="false" outlineLevel="0" collapsed="false">
      <c r="A1353" s="4" t="n">
        <v>1352</v>
      </c>
      <c r="B1353" s="4" t="s">
        <v>2125</v>
      </c>
      <c r="C1353" s="4" t="n">
        <v>1968</v>
      </c>
      <c r="D1353" s="4" t="s">
        <v>992</v>
      </c>
      <c r="E1353" s="25" t="str">
        <f aca="false">IF(J1353=1,"✓","")</f>
        <v/>
      </c>
      <c r="F1353" s="4" t="n">
        <v>2</v>
      </c>
      <c r="G1353" s="4" t="n">
        <v>1</v>
      </c>
      <c r="H1353" s="4" t="s">
        <v>213</v>
      </c>
      <c r="I1353" s="4" t="s">
        <v>52</v>
      </c>
      <c r="J1353" s="4" t="n">
        <f aca="false">INDEX('Master List'!$G$2:$G$2594,K1353)</f>
        <v>0</v>
      </c>
      <c r="K1353" s="4" t="n">
        <v>1036</v>
      </c>
    </row>
    <row r="1354" customFormat="false" ht="15" hidden="false" customHeight="false" outlineLevel="0" collapsed="false">
      <c r="A1354" s="4" t="n">
        <v>1353</v>
      </c>
      <c r="B1354" s="4" t="s">
        <v>2126</v>
      </c>
      <c r="C1354" s="4" t="n">
        <v>1968</v>
      </c>
      <c r="D1354" s="4" t="s">
        <v>2105</v>
      </c>
      <c r="E1354" s="25" t="str">
        <f aca="false">IF(J1354=1,"✓","")</f>
        <v/>
      </c>
      <c r="F1354" s="4" t="n">
        <v>2</v>
      </c>
      <c r="G1354" s="4" t="n">
        <v>1</v>
      </c>
      <c r="H1354" s="4" t="s">
        <v>213</v>
      </c>
      <c r="I1354" s="4" t="s">
        <v>52</v>
      </c>
      <c r="J1354" s="4" t="n">
        <f aca="false">INDEX('Master List'!$G$2:$G$2594,K1354)</f>
        <v>0</v>
      </c>
      <c r="K1354" s="4" t="n">
        <v>1527</v>
      </c>
    </row>
    <row r="1355" customFormat="false" ht="15" hidden="false" customHeight="false" outlineLevel="0" collapsed="false">
      <c r="A1355" s="4" t="n">
        <v>1354</v>
      </c>
      <c r="B1355" s="4" t="s">
        <v>2127</v>
      </c>
      <c r="C1355" s="4" t="n">
        <v>1968</v>
      </c>
      <c r="D1355" s="4" t="s">
        <v>488</v>
      </c>
      <c r="E1355" s="25" t="str">
        <f aca="false">IF(J1355=1,"✓","")</f>
        <v/>
      </c>
      <c r="F1355" s="4" t="n">
        <v>2</v>
      </c>
      <c r="G1355" s="4" t="n">
        <v>1</v>
      </c>
      <c r="H1355" s="4" t="s">
        <v>213</v>
      </c>
      <c r="I1355" s="4" t="s">
        <v>53</v>
      </c>
      <c r="J1355" s="4" t="n">
        <f aca="false">INDEX('Master List'!$G$2:$G$2594,K1355)</f>
        <v>0</v>
      </c>
      <c r="K1355" s="4" t="n">
        <v>961</v>
      </c>
    </row>
    <row r="1356" customFormat="false" ht="15" hidden="false" customHeight="false" outlineLevel="0" collapsed="false">
      <c r="A1356" s="4" t="n">
        <v>1355</v>
      </c>
      <c r="B1356" s="4" t="s">
        <v>2128</v>
      </c>
      <c r="C1356" s="4" t="n">
        <v>1968</v>
      </c>
      <c r="D1356" s="4" t="s">
        <v>170</v>
      </c>
      <c r="E1356" s="25" t="str">
        <f aca="false">IF(J1356=1,"✓","")</f>
        <v/>
      </c>
      <c r="F1356" s="4" t="n">
        <v>2</v>
      </c>
      <c r="G1356" s="4" t="n">
        <v>1</v>
      </c>
      <c r="H1356" s="4" t="s">
        <v>213</v>
      </c>
      <c r="I1356" s="4" t="s">
        <v>53</v>
      </c>
      <c r="J1356" s="4" t="n">
        <f aca="false">INDEX('Master List'!$G$2:$G$2594,K1356)</f>
        <v>0</v>
      </c>
      <c r="K1356" s="4" t="n">
        <v>1070</v>
      </c>
    </row>
    <row r="1357" customFormat="false" ht="15" hidden="false" customHeight="false" outlineLevel="0" collapsed="false">
      <c r="A1357" s="4" t="n">
        <v>1356</v>
      </c>
      <c r="B1357" s="4" t="s">
        <v>2129</v>
      </c>
      <c r="C1357" s="4" t="n">
        <v>1968</v>
      </c>
      <c r="D1357" s="4" t="s">
        <v>185</v>
      </c>
      <c r="E1357" s="25" t="str">
        <f aca="false">IF(J1357=1,"✓","")</f>
        <v/>
      </c>
      <c r="F1357" s="4" t="n">
        <v>2</v>
      </c>
      <c r="G1357" s="4" t="n">
        <v>1</v>
      </c>
      <c r="H1357" s="4" t="s">
        <v>213</v>
      </c>
      <c r="I1357" s="4" t="s">
        <v>53</v>
      </c>
      <c r="J1357" s="4" t="n">
        <f aca="false">INDEX('Master List'!$G$2:$G$2594,K1357)</f>
        <v>0</v>
      </c>
      <c r="K1357" s="4" t="n">
        <v>1975</v>
      </c>
    </row>
    <row r="1358" customFormat="false" ht="15" hidden="false" customHeight="false" outlineLevel="0" collapsed="false">
      <c r="A1358" s="4" t="n">
        <v>1357</v>
      </c>
      <c r="B1358" s="4" t="s">
        <v>2130</v>
      </c>
      <c r="C1358" s="4" t="n">
        <v>1968</v>
      </c>
      <c r="D1358" s="4" t="s">
        <v>971</v>
      </c>
      <c r="E1358" s="25" t="str">
        <f aca="false">IF(J1358=1,"✓","")</f>
        <v/>
      </c>
      <c r="F1358" s="4" t="n">
        <v>2</v>
      </c>
      <c r="G1358" s="4" t="n">
        <v>1</v>
      </c>
      <c r="H1358" s="4" t="s">
        <v>213</v>
      </c>
      <c r="I1358" s="4" t="s">
        <v>56</v>
      </c>
      <c r="J1358" s="4" t="n">
        <f aca="false">INDEX('Master List'!$G$2:$G$2594,K1358)</f>
        <v>0</v>
      </c>
      <c r="K1358" s="4" t="n">
        <v>1112</v>
      </c>
    </row>
    <row r="1359" customFormat="false" ht="15" hidden="false" customHeight="false" outlineLevel="0" collapsed="false">
      <c r="A1359" s="4" t="n">
        <v>1358</v>
      </c>
      <c r="B1359" s="4" t="s">
        <v>2131</v>
      </c>
      <c r="C1359" s="4" t="n">
        <v>1968</v>
      </c>
      <c r="D1359" s="4" t="s">
        <v>2132</v>
      </c>
      <c r="E1359" s="25" t="str">
        <f aca="false">IF(J1359=1,"✓","")</f>
        <v/>
      </c>
      <c r="F1359" s="4" t="n">
        <v>2</v>
      </c>
      <c r="G1359" s="4" t="n">
        <v>1</v>
      </c>
      <c r="H1359" s="4" t="s">
        <v>213</v>
      </c>
      <c r="I1359" s="4" t="s">
        <v>57</v>
      </c>
      <c r="J1359" s="4" t="n">
        <f aca="false">INDEX('Master List'!$G$2:$G$2594,K1359)</f>
        <v>0</v>
      </c>
      <c r="K1359" s="4" t="n">
        <v>1210</v>
      </c>
    </row>
    <row r="1360" customFormat="false" ht="15" hidden="false" customHeight="false" outlineLevel="0" collapsed="false">
      <c r="A1360" s="4" t="n">
        <v>1359</v>
      </c>
      <c r="B1360" s="4" t="s">
        <v>2133</v>
      </c>
      <c r="C1360" s="4" t="n">
        <v>1968</v>
      </c>
      <c r="D1360" s="4" t="s">
        <v>2116</v>
      </c>
      <c r="E1360" s="25" t="str">
        <f aca="false">IF(J1360=1,"✓","")</f>
        <v/>
      </c>
      <c r="F1360" s="4" t="n">
        <v>2</v>
      </c>
      <c r="G1360" s="4" t="n">
        <v>1</v>
      </c>
      <c r="H1360" s="4" t="s">
        <v>213</v>
      </c>
      <c r="I1360" s="4" t="s">
        <v>58</v>
      </c>
      <c r="J1360" s="4" t="n">
        <f aca="false">INDEX('Master List'!$G$2:$G$2594,K1360)</f>
        <v>0</v>
      </c>
      <c r="K1360" s="4" t="n">
        <v>2287</v>
      </c>
    </row>
    <row r="1361" customFormat="false" ht="15" hidden="false" customHeight="false" outlineLevel="0" collapsed="false">
      <c r="A1361" s="4" t="n">
        <v>1360</v>
      </c>
      <c r="B1361" s="4" t="s">
        <v>2134</v>
      </c>
      <c r="C1361" s="4" t="n">
        <v>1969</v>
      </c>
      <c r="D1361" s="4" t="s">
        <v>2135</v>
      </c>
      <c r="E1361" s="25" t="str">
        <f aca="false">IF(J1361=1,"✓","")</f>
        <v/>
      </c>
      <c r="F1361" s="4" t="n">
        <v>2</v>
      </c>
      <c r="G1361" s="4" t="n">
        <v>1</v>
      </c>
      <c r="H1361" s="4" t="s">
        <v>213</v>
      </c>
      <c r="I1361" s="4" t="s">
        <v>51</v>
      </c>
      <c r="J1361" s="4" t="n">
        <f aca="false">INDEX('Master List'!$G$2:$G$2594,K1361)</f>
        <v>0</v>
      </c>
      <c r="K1361" s="4" t="n">
        <v>742</v>
      </c>
    </row>
    <row r="1362" customFormat="false" ht="15" hidden="false" customHeight="false" outlineLevel="0" collapsed="false">
      <c r="A1362" s="4" t="n">
        <v>1361</v>
      </c>
      <c r="B1362" s="4" t="s">
        <v>2136</v>
      </c>
      <c r="C1362" s="4" t="n">
        <v>1969</v>
      </c>
      <c r="D1362" s="4" t="s">
        <v>2137</v>
      </c>
      <c r="E1362" s="25" t="str">
        <f aca="false">IF(J1362=1,"✓","")</f>
        <v/>
      </c>
      <c r="F1362" s="4" t="n">
        <v>2</v>
      </c>
      <c r="G1362" s="4" t="n">
        <v>1</v>
      </c>
      <c r="H1362" s="4" t="s">
        <v>213</v>
      </c>
      <c r="I1362" s="4" t="s">
        <v>51</v>
      </c>
      <c r="J1362" s="4" t="n">
        <f aca="false">INDEX('Master List'!$G$2:$G$2594,K1362)</f>
        <v>0</v>
      </c>
      <c r="K1362" s="4" t="n">
        <v>699</v>
      </c>
    </row>
    <row r="1363" customFormat="false" ht="15" hidden="false" customHeight="false" outlineLevel="0" collapsed="false">
      <c r="A1363" s="4" t="n">
        <v>1362</v>
      </c>
      <c r="B1363" s="4" t="s">
        <v>2138</v>
      </c>
      <c r="C1363" s="4" t="n">
        <v>1969</v>
      </c>
      <c r="D1363" s="4" t="s">
        <v>464</v>
      </c>
      <c r="E1363" s="25" t="str">
        <f aca="false">IF(J1363=1,"✓","")</f>
        <v/>
      </c>
      <c r="F1363" s="4" t="n">
        <v>2</v>
      </c>
      <c r="G1363" s="4" t="n">
        <v>1</v>
      </c>
      <c r="H1363" s="4" t="s">
        <v>213</v>
      </c>
      <c r="I1363" s="4" t="s">
        <v>51</v>
      </c>
      <c r="J1363" s="4" t="n">
        <f aca="false">INDEX('Master List'!$G$2:$G$2594,K1363)</f>
        <v>0</v>
      </c>
      <c r="K1363" s="4" t="n">
        <v>118</v>
      </c>
    </row>
    <row r="1364" customFormat="false" ht="15" hidden="false" customHeight="false" outlineLevel="0" collapsed="false">
      <c r="A1364" s="4" t="n">
        <v>1363</v>
      </c>
      <c r="B1364" s="4" t="s">
        <v>2139</v>
      </c>
      <c r="C1364" s="4" t="n">
        <v>1969</v>
      </c>
      <c r="D1364" s="4" t="s">
        <v>2140</v>
      </c>
      <c r="E1364" s="25" t="str">
        <f aca="false">IF(J1364=1,"✓","")</f>
        <v/>
      </c>
      <c r="F1364" s="4" t="n">
        <v>2</v>
      </c>
      <c r="G1364" s="4" t="n">
        <v>1</v>
      </c>
      <c r="H1364" s="4" t="s">
        <v>213</v>
      </c>
      <c r="I1364" s="4" t="s">
        <v>51</v>
      </c>
      <c r="J1364" s="4" t="n">
        <f aca="false">INDEX('Master List'!$G$2:$G$2594,K1364)</f>
        <v>0</v>
      </c>
      <c r="K1364" s="4" t="n">
        <v>1403</v>
      </c>
    </row>
    <row r="1365" customFormat="false" ht="15" hidden="false" customHeight="false" outlineLevel="0" collapsed="false">
      <c r="A1365" s="4" t="n">
        <v>1364</v>
      </c>
      <c r="B1365" s="4" t="s">
        <v>2141</v>
      </c>
      <c r="C1365" s="4" t="n">
        <v>1969</v>
      </c>
      <c r="D1365" s="4" t="s">
        <v>2142</v>
      </c>
      <c r="E1365" s="25" t="str">
        <f aca="false">IF(J1365=1,"✓","")</f>
        <v/>
      </c>
      <c r="F1365" s="4" t="n">
        <v>2</v>
      </c>
      <c r="G1365" s="4" t="n">
        <v>1</v>
      </c>
      <c r="H1365" s="4" t="s">
        <v>213</v>
      </c>
      <c r="I1365" s="4" t="s">
        <v>51</v>
      </c>
      <c r="J1365" s="4" t="n">
        <f aca="false">INDEX('Master List'!$G$2:$G$2594,K1365)</f>
        <v>0</v>
      </c>
      <c r="K1365" s="4" t="n">
        <v>292</v>
      </c>
    </row>
    <row r="1366" customFormat="false" ht="15" hidden="false" customHeight="false" outlineLevel="0" collapsed="false">
      <c r="A1366" s="4" t="n">
        <v>1365</v>
      </c>
      <c r="B1366" s="4" t="s">
        <v>2143</v>
      </c>
      <c r="C1366" s="4" t="n">
        <v>1969</v>
      </c>
      <c r="D1366" s="4" t="s">
        <v>604</v>
      </c>
      <c r="E1366" s="25" t="str">
        <f aca="false">IF(J1366=1,"✓","")</f>
        <v/>
      </c>
      <c r="F1366" s="4" t="n">
        <v>2</v>
      </c>
      <c r="G1366" s="4" t="n">
        <v>1</v>
      </c>
      <c r="H1366" s="4" t="s">
        <v>213</v>
      </c>
      <c r="I1366" s="4" t="s">
        <v>52</v>
      </c>
      <c r="J1366" s="4" t="n">
        <f aca="false">INDEX('Master List'!$G$2:$G$2594,K1366)</f>
        <v>0</v>
      </c>
      <c r="K1366" s="4" t="n">
        <v>2231</v>
      </c>
    </row>
    <row r="1367" customFormat="false" ht="15" hidden="false" customHeight="false" outlineLevel="0" collapsed="false">
      <c r="A1367" s="4" t="n">
        <v>1366</v>
      </c>
      <c r="B1367" s="4" t="s">
        <v>2144</v>
      </c>
      <c r="C1367" s="4" t="n">
        <v>1969</v>
      </c>
      <c r="D1367" s="4" t="s">
        <v>172</v>
      </c>
      <c r="E1367" s="25" t="str">
        <f aca="false">IF(J1367=1,"✓","")</f>
        <v/>
      </c>
      <c r="F1367" s="4" t="n">
        <v>2</v>
      </c>
      <c r="G1367" s="4" t="n">
        <v>1</v>
      </c>
      <c r="H1367" s="4" t="s">
        <v>213</v>
      </c>
      <c r="I1367" s="4" t="s">
        <v>53</v>
      </c>
      <c r="J1367" s="4" t="n">
        <f aca="false">INDEX('Master List'!$G$2:$G$2594,K1367)</f>
        <v>0</v>
      </c>
      <c r="K1367" s="4" t="n">
        <v>1855</v>
      </c>
    </row>
    <row r="1368" customFormat="false" ht="15" hidden="false" customHeight="false" outlineLevel="0" collapsed="false">
      <c r="A1368" s="4" t="n">
        <v>1367</v>
      </c>
      <c r="B1368" s="4" t="s">
        <v>2145</v>
      </c>
      <c r="C1368" s="4" t="n">
        <v>1969</v>
      </c>
      <c r="D1368" s="4" t="s">
        <v>312</v>
      </c>
      <c r="E1368" s="25" t="str">
        <f aca="false">IF(J1368=1,"✓","")</f>
        <v/>
      </c>
      <c r="F1368" s="4" t="n">
        <v>2</v>
      </c>
      <c r="G1368" s="4" t="n">
        <v>1</v>
      </c>
      <c r="H1368" s="4" t="s">
        <v>213</v>
      </c>
      <c r="I1368" s="4" t="s">
        <v>53</v>
      </c>
      <c r="J1368" s="4" t="n">
        <f aca="false">INDEX('Master List'!$G$2:$G$2594,K1368)</f>
        <v>0</v>
      </c>
      <c r="K1368" s="4" t="n">
        <v>1233</v>
      </c>
    </row>
    <row r="1369" customFormat="false" ht="15" hidden="false" customHeight="false" outlineLevel="0" collapsed="false">
      <c r="A1369" s="4" t="n">
        <v>1368</v>
      </c>
      <c r="B1369" s="4" t="s">
        <v>2146</v>
      </c>
      <c r="C1369" s="4" t="n">
        <v>1969</v>
      </c>
      <c r="D1369" s="4" t="s">
        <v>1494</v>
      </c>
      <c r="E1369" s="25" t="str">
        <f aca="false">IF(J1369=1,"✓","")</f>
        <v/>
      </c>
      <c r="F1369" s="4" t="n">
        <v>2</v>
      </c>
      <c r="G1369" s="4" t="n">
        <v>1</v>
      </c>
      <c r="H1369" s="4" t="s">
        <v>213</v>
      </c>
      <c r="I1369" s="4" t="s">
        <v>55</v>
      </c>
      <c r="J1369" s="4" t="n">
        <f aca="false">INDEX('Master List'!$G$2:$G$2594,K1369)</f>
        <v>0</v>
      </c>
      <c r="K1369" s="4" t="n">
        <v>1813</v>
      </c>
    </row>
    <row r="1370" customFormat="false" ht="15" hidden="false" customHeight="false" outlineLevel="0" collapsed="false">
      <c r="A1370" s="4" t="n">
        <v>1369</v>
      </c>
      <c r="B1370" s="4" t="s">
        <v>2147</v>
      </c>
      <c r="C1370" s="4" t="n">
        <v>1969</v>
      </c>
      <c r="D1370" s="4" t="s">
        <v>2148</v>
      </c>
      <c r="E1370" s="25" t="str">
        <f aca="false">IF(J1370=1,"✓","")</f>
        <v/>
      </c>
      <c r="F1370" s="4" t="n">
        <v>2</v>
      </c>
      <c r="G1370" s="4" t="n">
        <v>1</v>
      </c>
      <c r="H1370" s="4" t="s">
        <v>213</v>
      </c>
      <c r="I1370" s="4" t="s">
        <v>56</v>
      </c>
      <c r="J1370" s="4" t="n">
        <f aca="false">INDEX('Master List'!$G$2:$G$2594,K1370)</f>
        <v>0</v>
      </c>
      <c r="K1370" s="4" t="n">
        <v>284</v>
      </c>
    </row>
    <row r="1371" customFormat="false" ht="15" hidden="false" customHeight="false" outlineLevel="0" collapsed="false">
      <c r="A1371" s="4" t="n">
        <v>1370</v>
      </c>
      <c r="B1371" s="4" t="s">
        <v>2149</v>
      </c>
      <c r="C1371" s="4" t="n">
        <v>1969</v>
      </c>
      <c r="D1371" s="4" t="s">
        <v>2150</v>
      </c>
      <c r="E1371" s="25" t="str">
        <f aca="false">IF(J1371=1,"✓","")</f>
        <v/>
      </c>
      <c r="F1371" s="4" t="n">
        <v>2</v>
      </c>
      <c r="G1371" s="4" t="n">
        <v>1</v>
      </c>
      <c r="H1371" s="4" t="s">
        <v>213</v>
      </c>
      <c r="I1371" s="4" t="s">
        <v>56</v>
      </c>
      <c r="J1371" s="4" t="n">
        <f aca="false">INDEX('Master List'!$G$2:$G$2594,K1371)</f>
        <v>0</v>
      </c>
      <c r="K1371" s="4" t="n">
        <v>1060</v>
      </c>
    </row>
    <row r="1372" customFormat="false" ht="15" hidden="false" customHeight="false" outlineLevel="0" collapsed="false">
      <c r="A1372" s="4" t="n">
        <v>1371</v>
      </c>
      <c r="B1372" s="4" t="s">
        <v>2151</v>
      </c>
      <c r="C1372" s="4" t="n">
        <v>1969</v>
      </c>
      <c r="D1372" s="4" t="s">
        <v>2152</v>
      </c>
      <c r="E1372" s="25" t="str">
        <f aca="false">IF(J1372=1,"✓","")</f>
        <v/>
      </c>
      <c r="F1372" s="4" t="n">
        <v>2</v>
      </c>
      <c r="G1372" s="4" t="n">
        <v>1</v>
      </c>
      <c r="H1372" s="4" t="s">
        <v>213</v>
      </c>
      <c r="I1372" s="4" t="s">
        <v>57</v>
      </c>
      <c r="J1372" s="4" t="n">
        <f aca="false">INDEX('Master List'!$G$2:$G$2594,K1372)</f>
        <v>0</v>
      </c>
      <c r="K1372" s="4" t="n">
        <v>1428</v>
      </c>
    </row>
    <row r="1373" customFormat="false" ht="15" hidden="false" customHeight="false" outlineLevel="0" collapsed="false">
      <c r="A1373" s="4" t="n">
        <v>1372</v>
      </c>
      <c r="B1373" s="4" t="s">
        <v>2153</v>
      </c>
      <c r="C1373" s="4" t="n">
        <v>1970</v>
      </c>
      <c r="D1373" s="4" t="s">
        <v>1340</v>
      </c>
      <c r="E1373" s="25" t="str">
        <f aca="false">IF(J1373=1,"✓","")</f>
        <v/>
      </c>
      <c r="F1373" s="4" t="n">
        <v>2</v>
      </c>
      <c r="G1373" s="4" t="n">
        <v>1</v>
      </c>
      <c r="H1373" s="4" t="s">
        <v>213</v>
      </c>
      <c r="I1373" s="4" t="s">
        <v>51</v>
      </c>
      <c r="J1373" s="4" t="n">
        <f aca="false">INDEX('Master List'!$G$2:$G$2594,K1373)</f>
        <v>0</v>
      </c>
      <c r="K1373" s="4" t="n">
        <v>2418</v>
      </c>
    </row>
    <row r="1374" customFormat="false" ht="15" hidden="false" customHeight="false" outlineLevel="0" collapsed="false">
      <c r="A1374" s="4" t="n">
        <v>1373</v>
      </c>
      <c r="B1374" s="4" t="s">
        <v>2154</v>
      </c>
      <c r="C1374" s="4" t="n">
        <v>1970</v>
      </c>
      <c r="D1374" s="4" t="s">
        <v>301</v>
      </c>
      <c r="E1374" s="25" t="str">
        <f aca="false">IF(J1374=1,"✓","")</f>
        <v/>
      </c>
      <c r="F1374" s="4" t="n">
        <v>2</v>
      </c>
      <c r="G1374" s="4" t="n">
        <v>1</v>
      </c>
      <c r="H1374" s="4" t="s">
        <v>213</v>
      </c>
      <c r="I1374" s="4" t="s">
        <v>52</v>
      </c>
      <c r="J1374" s="4" t="n">
        <f aca="false">INDEX('Master List'!$G$2:$G$2594,K1374)</f>
        <v>0</v>
      </c>
      <c r="K1374" s="4" t="n">
        <v>1348</v>
      </c>
    </row>
    <row r="1375" customFormat="false" ht="15" hidden="false" customHeight="false" outlineLevel="0" collapsed="false">
      <c r="A1375" s="4" t="n">
        <v>1374</v>
      </c>
      <c r="B1375" s="4" t="s">
        <v>2155</v>
      </c>
      <c r="C1375" s="4" t="n">
        <v>1970</v>
      </c>
      <c r="D1375" s="4" t="s">
        <v>777</v>
      </c>
      <c r="E1375" s="25" t="str">
        <f aca="false">IF(J1375=1,"✓","")</f>
        <v/>
      </c>
      <c r="F1375" s="4" t="n">
        <v>2</v>
      </c>
      <c r="G1375" s="4" t="n">
        <v>1</v>
      </c>
      <c r="H1375" s="4" t="s">
        <v>213</v>
      </c>
      <c r="I1375" s="4" t="s">
        <v>52</v>
      </c>
      <c r="J1375" s="4" t="n">
        <f aca="false">INDEX('Master List'!$G$2:$G$2594,K1375)</f>
        <v>0</v>
      </c>
      <c r="K1375" s="4" t="n">
        <v>661</v>
      </c>
    </row>
    <row r="1376" customFormat="false" ht="15" hidden="false" customHeight="false" outlineLevel="0" collapsed="false">
      <c r="A1376" s="4" t="n">
        <v>1375</v>
      </c>
      <c r="B1376" s="4" t="s">
        <v>2156</v>
      </c>
      <c r="C1376" s="4" t="n">
        <v>1970</v>
      </c>
      <c r="D1376" s="4" t="s">
        <v>1479</v>
      </c>
      <c r="E1376" s="25" t="str">
        <f aca="false">IF(J1376=1,"✓","")</f>
        <v/>
      </c>
      <c r="F1376" s="4" t="n">
        <v>2</v>
      </c>
      <c r="G1376" s="4" t="n">
        <v>1</v>
      </c>
      <c r="H1376" s="4" t="s">
        <v>213</v>
      </c>
      <c r="I1376" s="4" t="s">
        <v>52</v>
      </c>
      <c r="J1376" s="4" t="n">
        <f aca="false">INDEX('Master List'!$G$2:$G$2594,K1376)</f>
        <v>0</v>
      </c>
      <c r="K1376" s="4" t="n">
        <v>897</v>
      </c>
    </row>
    <row r="1377" customFormat="false" ht="15" hidden="false" customHeight="false" outlineLevel="0" collapsed="false">
      <c r="A1377" s="4" t="n">
        <v>1376</v>
      </c>
      <c r="B1377" s="4" t="s">
        <v>2157</v>
      </c>
      <c r="C1377" s="4" t="n">
        <v>1970</v>
      </c>
      <c r="D1377" s="4" t="s">
        <v>2158</v>
      </c>
      <c r="E1377" s="25" t="str">
        <f aca="false">IF(J1377=1,"✓","")</f>
        <v/>
      </c>
      <c r="F1377" s="4" t="n">
        <v>2</v>
      </c>
      <c r="G1377" s="4" t="n">
        <v>1</v>
      </c>
      <c r="H1377" s="4" t="s">
        <v>213</v>
      </c>
      <c r="I1377" s="4" t="s">
        <v>52</v>
      </c>
      <c r="J1377" s="4" t="n">
        <f aca="false">INDEX('Master List'!$G$2:$G$2594,K1377)</f>
        <v>0</v>
      </c>
      <c r="K1377" s="4" t="n">
        <v>2550</v>
      </c>
    </row>
    <row r="1378" customFormat="false" ht="15" hidden="false" customHeight="false" outlineLevel="0" collapsed="false">
      <c r="A1378" s="4" t="n">
        <v>1377</v>
      </c>
      <c r="B1378" s="4" t="s">
        <v>2159</v>
      </c>
      <c r="C1378" s="4" t="n">
        <v>1970</v>
      </c>
      <c r="D1378" s="4" t="s">
        <v>2160</v>
      </c>
      <c r="E1378" s="25" t="str">
        <f aca="false">IF(J1378=1,"✓","")</f>
        <v/>
      </c>
      <c r="F1378" s="4" t="n">
        <v>2</v>
      </c>
      <c r="G1378" s="4" t="n">
        <v>1</v>
      </c>
      <c r="H1378" s="4" t="s">
        <v>213</v>
      </c>
      <c r="I1378" s="4" t="s">
        <v>52</v>
      </c>
      <c r="J1378" s="4" t="n">
        <f aca="false">INDEX('Master List'!$G$2:$G$2594,K1378)</f>
        <v>0</v>
      </c>
      <c r="K1378" s="4" t="n">
        <v>2593</v>
      </c>
    </row>
    <row r="1379" customFormat="false" ht="15" hidden="false" customHeight="false" outlineLevel="0" collapsed="false">
      <c r="A1379" s="4" t="n">
        <v>1378</v>
      </c>
      <c r="B1379" s="4" t="s">
        <v>2161</v>
      </c>
      <c r="C1379" s="4" t="n">
        <v>1970</v>
      </c>
      <c r="D1379" s="4" t="s">
        <v>292</v>
      </c>
      <c r="E1379" s="25" t="str">
        <f aca="false">IF(J1379=1,"✓","")</f>
        <v/>
      </c>
      <c r="F1379" s="4" t="n">
        <v>2</v>
      </c>
      <c r="G1379" s="4" t="n">
        <v>1</v>
      </c>
      <c r="H1379" s="4" t="s">
        <v>213</v>
      </c>
      <c r="I1379" s="4" t="s">
        <v>53</v>
      </c>
      <c r="J1379" s="4" t="n">
        <f aca="false">INDEX('Master List'!$G$2:$G$2594,K1379)</f>
        <v>0</v>
      </c>
      <c r="K1379" s="4" t="n">
        <v>750</v>
      </c>
    </row>
    <row r="1380" customFormat="false" ht="15" hidden="false" customHeight="false" outlineLevel="0" collapsed="false">
      <c r="A1380" s="4" t="n">
        <v>1379</v>
      </c>
      <c r="B1380" s="4" t="s">
        <v>2162</v>
      </c>
      <c r="C1380" s="4" t="n">
        <v>1970</v>
      </c>
      <c r="D1380" s="4" t="s">
        <v>402</v>
      </c>
      <c r="E1380" s="25" t="str">
        <f aca="false">IF(J1380=1,"✓","")</f>
        <v/>
      </c>
      <c r="F1380" s="4" t="n">
        <v>2</v>
      </c>
      <c r="G1380" s="4" t="n">
        <v>1</v>
      </c>
      <c r="H1380" s="4" t="s">
        <v>213</v>
      </c>
      <c r="I1380" s="4" t="s">
        <v>53</v>
      </c>
      <c r="J1380" s="4" t="n">
        <f aca="false">INDEX('Master List'!$G$2:$G$2594,K1380)</f>
        <v>0</v>
      </c>
      <c r="K1380" s="4" t="n">
        <v>2370</v>
      </c>
    </row>
    <row r="1381" customFormat="false" ht="15" hidden="false" customHeight="false" outlineLevel="0" collapsed="false">
      <c r="A1381" s="4" t="n">
        <v>1380</v>
      </c>
      <c r="B1381" s="4" t="s">
        <v>2163</v>
      </c>
      <c r="C1381" s="4" t="n">
        <v>1970</v>
      </c>
      <c r="D1381" s="4" t="s">
        <v>253</v>
      </c>
      <c r="E1381" s="25" t="str">
        <f aca="false">IF(J1381=1,"✓","")</f>
        <v/>
      </c>
      <c r="F1381" s="4" t="n">
        <v>2</v>
      </c>
      <c r="G1381" s="4" t="n">
        <v>1</v>
      </c>
      <c r="H1381" s="4" t="s">
        <v>213</v>
      </c>
      <c r="I1381" s="4" t="s">
        <v>53</v>
      </c>
      <c r="J1381" s="4" t="n">
        <f aca="false">INDEX('Master List'!$G$2:$G$2594,K1381)</f>
        <v>0</v>
      </c>
      <c r="K1381" s="4" t="n">
        <v>46</v>
      </c>
    </row>
    <row r="1382" customFormat="false" ht="15" hidden="false" customHeight="false" outlineLevel="0" collapsed="false">
      <c r="A1382" s="4" t="n">
        <v>1381</v>
      </c>
      <c r="B1382" s="4" t="s">
        <v>2164</v>
      </c>
      <c r="C1382" s="4" t="n">
        <v>1970</v>
      </c>
      <c r="D1382" s="4" t="s">
        <v>801</v>
      </c>
      <c r="E1382" s="25" t="str">
        <f aca="false">IF(J1382=1,"✓","")</f>
        <v/>
      </c>
      <c r="F1382" s="4" t="n">
        <v>2</v>
      </c>
      <c r="G1382" s="4" t="n">
        <v>1</v>
      </c>
      <c r="H1382" s="4" t="s">
        <v>213</v>
      </c>
      <c r="I1382" s="4" t="s">
        <v>53</v>
      </c>
      <c r="J1382" s="4" t="n">
        <f aca="false">INDEX('Master List'!$G$2:$G$2594,K1382)</f>
        <v>0</v>
      </c>
      <c r="K1382" s="4" t="n">
        <v>1092</v>
      </c>
    </row>
    <row r="1383" customFormat="false" ht="15" hidden="false" customHeight="false" outlineLevel="0" collapsed="false">
      <c r="A1383" s="4" t="n">
        <v>1382</v>
      </c>
      <c r="B1383" s="4" t="s">
        <v>2165</v>
      </c>
      <c r="C1383" s="4" t="n">
        <v>1970</v>
      </c>
      <c r="D1383" s="4" t="s">
        <v>1026</v>
      </c>
      <c r="E1383" s="25" t="str">
        <f aca="false">IF(J1383=1,"✓","")</f>
        <v/>
      </c>
      <c r="F1383" s="4" t="n">
        <v>2</v>
      </c>
      <c r="G1383" s="4" t="n">
        <v>1</v>
      </c>
      <c r="H1383" s="4" t="s">
        <v>213</v>
      </c>
      <c r="I1383" s="4" t="s">
        <v>55</v>
      </c>
      <c r="J1383" s="4" t="n">
        <f aca="false">INDEX('Master List'!$G$2:$G$2594,K1383)</f>
        <v>0</v>
      </c>
      <c r="K1383" s="4" t="n">
        <v>499</v>
      </c>
    </row>
    <row r="1384" customFormat="false" ht="15" hidden="false" customHeight="false" outlineLevel="0" collapsed="false">
      <c r="A1384" s="4" t="n">
        <v>1383</v>
      </c>
      <c r="B1384" s="4" t="s">
        <v>2166</v>
      </c>
      <c r="C1384" s="4" t="n">
        <v>1970</v>
      </c>
      <c r="D1384" s="4" t="s">
        <v>1849</v>
      </c>
      <c r="E1384" s="25" t="str">
        <f aca="false">IF(J1384=1,"✓","")</f>
        <v/>
      </c>
      <c r="F1384" s="4" t="n">
        <v>2</v>
      </c>
      <c r="G1384" s="4" t="n">
        <v>1</v>
      </c>
      <c r="H1384" s="4" t="s">
        <v>213</v>
      </c>
      <c r="I1384" s="4" t="s">
        <v>56</v>
      </c>
      <c r="J1384" s="4" t="n">
        <f aca="false">INDEX('Master List'!$G$2:$G$2594,K1384)</f>
        <v>0</v>
      </c>
      <c r="K1384" s="4" t="n">
        <v>59</v>
      </c>
    </row>
    <row r="1385" customFormat="false" ht="15" hidden="false" customHeight="false" outlineLevel="0" collapsed="false">
      <c r="A1385" s="4" t="n">
        <v>1384</v>
      </c>
      <c r="B1385" s="4" t="s">
        <v>2167</v>
      </c>
      <c r="C1385" s="4" t="n">
        <v>1971</v>
      </c>
      <c r="D1385" s="4" t="s">
        <v>761</v>
      </c>
      <c r="E1385" s="25" t="str">
        <f aca="false">IF(J1385=1,"✓","")</f>
        <v/>
      </c>
      <c r="F1385" s="4" t="n">
        <v>2</v>
      </c>
      <c r="G1385" s="4" t="n">
        <v>1</v>
      </c>
      <c r="H1385" s="4" t="s">
        <v>213</v>
      </c>
      <c r="I1385" s="4" t="s">
        <v>51</v>
      </c>
      <c r="J1385" s="4" t="n">
        <f aca="false">INDEX('Master List'!$G$2:$G$2594,K1385)</f>
        <v>0</v>
      </c>
      <c r="K1385" s="4" t="n">
        <v>200</v>
      </c>
    </row>
    <row r="1386" customFormat="false" ht="15" hidden="false" customHeight="false" outlineLevel="0" collapsed="false">
      <c r="A1386" s="4" t="n">
        <v>1385</v>
      </c>
      <c r="B1386" s="4" t="s">
        <v>2168</v>
      </c>
      <c r="C1386" s="4" t="n">
        <v>1971</v>
      </c>
      <c r="D1386" s="4" t="s">
        <v>1463</v>
      </c>
      <c r="E1386" s="25" t="str">
        <f aca="false">IF(J1386=1,"✓","")</f>
        <v/>
      </c>
      <c r="F1386" s="4" t="n">
        <v>2</v>
      </c>
      <c r="G1386" s="4" t="n">
        <v>1</v>
      </c>
      <c r="H1386" s="4" t="s">
        <v>213</v>
      </c>
      <c r="I1386" s="4" t="s">
        <v>51</v>
      </c>
      <c r="J1386" s="4" t="n">
        <f aca="false">INDEX('Master List'!$G$2:$G$2594,K1386)</f>
        <v>0</v>
      </c>
      <c r="K1386" s="4" t="n">
        <v>1079</v>
      </c>
    </row>
    <row r="1387" customFormat="false" ht="15" hidden="false" customHeight="false" outlineLevel="0" collapsed="false">
      <c r="A1387" s="4" t="n">
        <v>1386</v>
      </c>
      <c r="B1387" s="4" t="s">
        <v>2169</v>
      </c>
      <c r="C1387" s="4" t="n">
        <v>1971</v>
      </c>
      <c r="D1387" s="4" t="s">
        <v>2170</v>
      </c>
      <c r="E1387" s="25" t="str">
        <f aca="false">IF(J1387=1,"✓","")</f>
        <v/>
      </c>
      <c r="F1387" s="4" t="n">
        <v>2</v>
      </c>
      <c r="G1387" s="4" t="n">
        <v>1</v>
      </c>
      <c r="H1387" s="4" t="s">
        <v>213</v>
      </c>
      <c r="I1387" s="4" t="s">
        <v>51</v>
      </c>
      <c r="J1387" s="4" t="n">
        <f aca="false">INDEX('Master List'!$G$2:$G$2594,K1387)</f>
        <v>0</v>
      </c>
      <c r="K1387" s="4" t="n">
        <v>2452</v>
      </c>
    </row>
    <row r="1388" customFormat="false" ht="15" hidden="false" customHeight="false" outlineLevel="0" collapsed="false">
      <c r="A1388" s="4" t="n">
        <v>1387</v>
      </c>
      <c r="B1388" s="4" t="s">
        <v>2171</v>
      </c>
      <c r="C1388" s="4" t="n">
        <v>1971</v>
      </c>
      <c r="D1388" s="4" t="s">
        <v>2172</v>
      </c>
      <c r="E1388" s="25" t="str">
        <f aca="false">IF(J1388=1,"✓","")</f>
        <v/>
      </c>
      <c r="F1388" s="4" t="n">
        <v>2</v>
      </c>
      <c r="G1388" s="4" t="n">
        <v>1</v>
      </c>
      <c r="H1388" s="4" t="s">
        <v>213</v>
      </c>
      <c r="I1388" s="4" t="s">
        <v>52</v>
      </c>
      <c r="J1388" s="4" t="n">
        <f aca="false">INDEX('Master List'!$G$2:$G$2594,K1388)</f>
        <v>0</v>
      </c>
      <c r="K1388" s="4" t="n">
        <v>2581</v>
      </c>
    </row>
    <row r="1389" customFormat="false" ht="15" hidden="false" customHeight="false" outlineLevel="0" collapsed="false">
      <c r="A1389" s="4" t="n">
        <v>1388</v>
      </c>
      <c r="B1389" s="4" t="s">
        <v>2173</v>
      </c>
      <c r="C1389" s="4" t="n">
        <v>1971</v>
      </c>
      <c r="D1389" s="4" t="s">
        <v>2174</v>
      </c>
      <c r="E1389" s="25" t="str">
        <f aca="false">IF(J1389=1,"✓","")</f>
        <v/>
      </c>
      <c r="F1389" s="4" t="n">
        <v>2</v>
      </c>
      <c r="G1389" s="4" t="n">
        <v>1</v>
      </c>
      <c r="H1389" s="4" t="s">
        <v>213</v>
      </c>
      <c r="I1389" s="4" t="s">
        <v>52</v>
      </c>
      <c r="J1389" s="4" t="n">
        <f aca="false">INDEX('Master List'!$G$2:$G$2594,K1389)</f>
        <v>0</v>
      </c>
      <c r="K1389" s="4" t="n">
        <v>1039</v>
      </c>
    </row>
    <row r="1390" customFormat="false" ht="15" hidden="false" customHeight="false" outlineLevel="0" collapsed="false">
      <c r="A1390" s="4" t="n">
        <v>1389</v>
      </c>
      <c r="B1390" s="4" t="s">
        <v>2175</v>
      </c>
      <c r="C1390" s="4" t="n">
        <v>1971</v>
      </c>
      <c r="D1390" s="4" t="s">
        <v>2176</v>
      </c>
      <c r="E1390" s="25" t="str">
        <f aca="false">IF(J1390=1,"✓","")</f>
        <v/>
      </c>
      <c r="F1390" s="4" t="n">
        <v>2</v>
      </c>
      <c r="G1390" s="4" t="n">
        <v>1</v>
      </c>
      <c r="H1390" s="4" t="s">
        <v>213</v>
      </c>
      <c r="I1390" s="4" t="s">
        <v>52</v>
      </c>
      <c r="J1390" s="4" t="n">
        <f aca="false">INDEX('Master List'!$G$2:$G$2594,K1390)</f>
        <v>0</v>
      </c>
      <c r="K1390" s="4" t="n">
        <v>293</v>
      </c>
    </row>
    <row r="1391" customFormat="false" ht="15" hidden="false" customHeight="false" outlineLevel="0" collapsed="false">
      <c r="A1391" s="4" t="n">
        <v>1390</v>
      </c>
      <c r="B1391" s="4" t="s">
        <v>2177</v>
      </c>
      <c r="C1391" s="4" t="n">
        <v>1971</v>
      </c>
      <c r="D1391" s="4" t="s">
        <v>2178</v>
      </c>
      <c r="E1391" s="25" t="str">
        <f aca="false">IF(J1391=1,"✓","")</f>
        <v/>
      </c>
      <c r="F1391" s="4" t="n">
        <v>2</v>
      </c>
      <c r="G1391" s="4" t="n">
        <v>1</v>
      </c>
      <c r="H1391" s="4" t="s">
        <v>213</v>
      </c>
      <c r="I1391" s="4" t="s">
        <v>52</v>
      </c>
      <c r="J1391" s="4" t="n">
        <f aca="false">INDEX('Master List'!$G$2:$G$2594,K1391)</f>
        <v>0</v>
      </c>
      <c r="K1391" s="4" t="n">
        <v>623</v>
      </c>
    </row>
    <row r="1392" customFormat="false" ht="15" hidden="false" customHeight="false" outlineLevel="0" collapsed="false">
      <c r="A1392" s="4" t="n">
        <v>1391</v>
      </c>
      <c r="B1392" s="4" t="s">
        <v>2179</v>
      </c>
      <c r="C1392" s="4" t="n">
        <v>1971</v>
      </c>
      <c r="D1392" s="4" t="s">
        <v>257</v>
      </c>
      <c r="E1392" s="25" t="str">
        <f aca="false">IF(J1392=1,"✓","")</f>
        <v/>
      </c>
      <c r="F1392" s="4" t="n">
        <v>2</v>
      </c>
      <c r="G1392" s="4" t="n">
        <v>1</v>
      </c>
      <c r="H1392" s="4" t="s">
        <v>213</v>
      </c>
      <c r="I1392" s="4" t="s">
        <v>52</v>
      </c>
      <c r="J1392" s="4" t="n">
        <f aca="false">INDEX('Master List'!$G$2:$G$2594,K1392)</f>
        <v>0</v>
      </c>
      <c r="K1392" s="4" t="n">
        <v>2301</v>
      </c>
    </row>
    <row r="1393" customFormat="false" ht="15" hidden="false" customHeight="false" outlineLevel="0" collapsed="false">
      <c r="A1393" s="4" t="n">
        <v>1392</v>
      </c>
      <c r="B1393" s="4" t="s">
        <v>2180</v>
      </c>
      <c r="C1393" s="4" t="n">
        <v>1971</v>
      </c>
      <c r="D1393" s="4" t="s">
        <v>243</v>
      </c>
      <c r="E1393" s="25" t="str">
        <f aca="false">IF(J1393=1,"✓","")</f>
        <v/>
      </c>
      <c r="F1393" s="4" t="n">
        <v>2</v>
      </c>
      <c r="G1393" s="4" t="n">
        <v>1</v>
      </c>
      <c r="H1393" s="4" t="s">
        <v>213</v>
      </c>
      <c r="I1393" s="4" t="s">
        <v>52</v>
      </c>
      <c r="J1393" s="4" t="n">
        <f aca="false">INDEX('Master List'!$G$2:$G$2594,K1393)</f>
        <v>0</v>
      </c>
      <c r="K1393" s="4" t="n">
        <v>1266</v>
      </c>
    </row>
    <row r="1394" customFormat="false" ht="15" hidden="false" customHeight="false" outlineLevel="0" collapsed="false">
      <c r="A1394" s="4" t="n">
        <v>1393</v>
      </c>
      <c r="B1394" s="4" t="s">
        <v>2181</v>
      </c>
      <c r="C1394" s="4" t="n">
        <v>1971</v>
      </c>
      <c r="D1394" s="4" t="s">
        <v>2182</v>
      </c>
      <c r="E1394" s="25" t="str">
        <f aca="false">IF(J1394=1,"✓","")</f>
        <v/>
      </c>
      <c r="F1394" s="4" t="n">
        <v>2</v>
      </c>
      <c r="G1394" s="4" t="n">
        <v>1</v>
      </c>
      <c r="H1394" s="4" t="s">
        <v>213</v>
      </c>
      <c r="I1394" s="4" t="s">
        <v>52</v>
      </c>
      <c r="J1394" s="4" t="n">
        <f aca="false">INDEX('Master List'!$G$2:$G$2594,K1394)</f>
        <v>0</v>
      </c>
      <c r="K1394" s="4" t="n">
        <v>1212</v>
      </c>
    </row>
    <row r="1395" customFormat="false" ht="15" hidden="false" customHeight="false" outlineLevel="0" collapsed="false">
      <c r="A1395" s="4" t="n">
        <v>1394</v>
      </c>
      <c r="B1395" s="4" t="s">
        <v>2183</v>
      </c>
      <c r="C1395" s="4" t="n">
        <v>1971</v>
      </c>
      <c r="D1395" s="4" t="s">
        <v>292</v>
      </c>
      <c r="E1395" s="25" t="str">
        <f aca="false">IF(J1395=1,"✓","")</f>
        <v/>
      </c>
      <c r="F1395" s="4" t="n">
        <v>2</v>
      </c>
      <c r="G1395" s="4" t="n">
        <v>1</v>
      </c>
      <c r="H1395" s="4" t="s">
        <v>213</v>
      </c>
      <c r="I1395" s="4" t="s">
        <v>53</v>
      </c>
      <c r="J1395" s="4" t="n">
        <f aca="false">INDEX('Master List'!$G$2:$G$2594,K1395)</f>
        <v>0</v>
      </c>
      <c r="K1395" s="4" t="n">
        <v>1289</v>
      </c>
    </row>
    <row r="1396" customFormat="false" ht="15" hidden="false" customHeight="false" outlineLevel="0" collapsed="false">
      <c r="A1396" s="4" t="n">
        <v>1395</v>
      </c>
      <c r="B1396" s="4" t="s">
        <v>2184</v>
      </c>
      <c r="C1396" s="4" t="n">
        <v>1971</v>
      </c>
      <c r="D1396" s="4" t="s">
        <v>253</v>
      </c>
      <c r="E1396" s="25" t="str">
        <f aca="false">IF(J1396=1,"✓","")</f>
        <v/>
      </c>
      <c r="F1396" s="4" t="n">
        <v>2</v>
      </c>
      <c r="G1396" s="4" t="n">
        <v>1</v>
      </c>
      <c r="H1396" s="4" t="s">
        <v>213</v>
      </c>
      <c r="I1396" s="4" t="s">
        <v>53</v>
      </c>
      <c r="J1396" s="4" t="n">
        <f aca="false">INDEX('Master List'!$G$2:$G$2594,K1396)</f>
        <v>0</v>
      </c>
      <c r="K1396" s="4" t="n">
        <v>509</v>
      </c>
    </row>
    <row r="1397" customFormat="false" ht="15" hidden="false" customHeight="false" outlineLevel="0" collapsed="false">
      <c r="A1397" s="4" t="n">
        <v>1396</v>
      </c>
      <c r="B1397" s="4" t="s">
        <v>2185</v>
      </c>
      <c r="C1397" s="4" t="n">
        <v>1971</v>
      </c>
      <c r="D1397" s="4" t="s">
        <v>357</v>
      </c>
      <c r="E1397" s="25" t="str">
        <f aca="false">IF(J1397=1,"✓","")</f>
        <v/>
      </c>
      <c r="F1397" s="4" t="n">
        <v>2</v>
      </c>
      <c r="G1397" s="4" t="n">
        <v>1</v>
      </c>
      <c r="H1397" s="4" t="s">
        <v>213</v>
      </c>
      <c r="I1397" s="4" t="s">
        <v>53</v>
      </c>
      <c r="J1397" s="4" t="n">
        <f aca="false">INDEX('Master List'!$G$2:$G$2594,K1397)</f>
        <v>0</v>
      </c>
      <c r="K1397" s="4" t="n">
        <v>399</v>
      </c>
    </row>
    <row r="1398" customFormat="false" ht="15" hidden="false" customHeight="false" outlineLevel="0" collapsed="false">
      <c r="A1398" s="4" t="n">
        <v>1397</v>
      </c>
      <c r="B1398" s="4" t="s">
        <v>2186</v>
      </c>
      <c r="C1398" s="4" t="n">
        <v>1971</v>
      </c>
      <c r="D1398" s="4" t="s">
        <v>707</v>
      </c>
      <c r="E1398" s="25" t="str">
        <f aca="false">IF(J1398=1,"✓","")</f>
        <v/>
      </c>
      <c r="F1398" s="4" t="n">
        <v>2</v>
      </c>
      <c r="G1398" s="4" t="n">
        <v>1</v>
      </c>
      <c r="H1398" s="4" t="s">
        <v>213</v>
      </c>
      <c r="I1398" s="4" t="s">
        <v>53</v>
      </c>
      <c r="J1398" s="4" t="n">
        <f aca="false">INDEX('Master List'!$G$2:$G$2594,K1398)</f>
        <v>0</v>
      </c>
      <c r="K1398" s="4" t="n">
        <v>1596</v>
      </c>
    </row>
    <row r="1399" customFormat="false" ht="15" hidden="false" customHeight="false" outlineLevel="0" collapsed="false">
      <c r="A1399" s="4" t="n">
        <v>1398</v>
      </c>
      <c r="B1399" s="4" t="s">
        <v>2187</v>
      </c>
      <c r="C1399" s="4" t="n">
        <v>1971</v>
      </c>
      <c r="D1399" s="4" t="s">
        <v>801</v>
      </c>
      <c r="E1399" s="25" t="str">
        <f aca="false">IF(J1399=1,"✓","")</f>
        <v/>
      </c>
      <c r="F1399" s="4" t="n">
        <v>2</v>
      </c>
      <c r="G1399" s="4" t="n">
        <v>1</v>
      </c>
      <c r="H1399" s="4" t="s">
        <v>213</v>
      </c>
      <c r="I1399" s="4" t="s">
        <v>53</v>
      </c>
      <c r="J1399" s="4" t="n">
        <f aca="false">INDEX('Master List'!$G$2:$G$2594,K1399)</f>
        <v>0</v>
      </c>
      <c r="K1399" s="4" t="n">
        <v>1508</v>
      </c>
    </row>
    <row r="1400" customFormat="false" ht="15" hidden="false" customHeight="false" outlineLevel="0" collapsed="false">
      <c r="A1400" s="4" t="n">
        <v>1399</v>
      </c>
      <c r="B1400" s="4" t="s">
        <v>2188</v>
      </c>
      <c r="C1400" s="4" t="n">
        <v>1971</v>
      </c>
      <c r="D1400" s="4" t="s">
        <v>2189</v>
      </c>
      <c r="E1400" s="25" t="str">
        <f aca="false">IF(J1400=1,"✓","")</f>
        <v/>
      </c>
      <c r="F1400" s="4" t="n">
        <v>2</v>
      </c>
      <c r="G1400" s="4" t="n">
        <v>1</v>
      </c>
      <c r="H1400" s="4" t="s">
        <v>213</v>
      </c>
      <c r="I1400" s="4" t="s">
        <v>57</v>
      </c>
      <c r="J1400" s="4" t="n">
        <f aca="false">INDEX('Master List'!$G$2:$G$2594,K1400)</f>
        <v>0</v>
      </c>
      <c r="K1400" s="4" t="n">
        <v>888</v>
      </c>
    </row>
    <row r="1401" customFormat="false" ht="15" hidden="false" customHeight="false" outlineLevel="0" collapsed="false">
      <c r="A1401" s="4" t="n">
        <v>1400</v>
      </c>
      <c r="B1401" s="4" t="s">
        <v>2190</v>
      </c>
      <c r="C1401" s="4" t="n">
        <v>1971</v>
      </c>
      <c r="D1401" s="4" t="s">
        <v>2191</v>
      </c>
      <c r="E1401" s="25" t="str">
        <f aca="false">IF(J1401=1,"✓","")</f>
        <v/>
      </c>
      <c r="F1401" s="4" t="n">
        <v>2</v>
      </c>
      <c r="G1401" s="4" t="n">
        <v>1</v>
      </c>
      <c r="H1401" s="4" t="s">
        <v>213</v>
      </c>
      <c r="I1401" s="4" t="s">
        <v>57</v>
      </c>
      <c r="J1401" s="4" t="n">
        <f aca="false">INDEX('Master List'!$G$2:$G$2594,K1401)</f>
        <v>0</v>
      </c>
      <c r="K1401" s="4" t="n">
        <v>1531</v>
      </c>
    </row>
    <row r="1402" customFormat="false" ht="15" hidden="false" customHeight="false" outlineLevel="0" collapsed="false">
      <c r="A1402" s="4" t="n">
        <v>1401</v>
      </c>
      <c r="B1402" s="4" t="s">
        <v>2192</v>
      </c>
      <c r="C1402" s="4" t="n">
        <v>1972</v>
      </c>
      <c r="D1402" s="4" t="s">
        <v>2193</v>
      </c>
      <c r="E1402" s="25" t="str">
        <f aca="false">IF(J1402=1,"✓","")</f>
        <v/>
      </c>
      <c r="F1402" s="4" t="n">
        <v>2</v>
      </c>
      <c r="G1402" s="4" t="n">
        <v>1</v>
      </c>
      <c r="H1402" s="4" t="s">
        <v>213</v>
      </c>
      <c r="I1402" s="4" t="s">
        <v>51</v>
      </c>
      <c r="J1402" s="4" t="n">
        <f aca="false">INDEX('Master List'!$G$2:$G$2594,K1402)</f>
        <v>0</v>
      </c>
      <c r="K1402" s="4" t="n">
        <v>1372</v>
      </c>
    </row>
    <row r="1403" customFormat="false" ht="15" hidden="false" customHeight="false" outlineLevel="0" collapsed="false">
      <c r="A1403" s="4" t="n">
        <v>1402</v>
      </c>
      <c r="B1403" s="4" t="s">
        <v>2194</v>
      </c>
      <c r="C1403" s="4" t="n">
        <v>1972</v>
      </c>
      <c r="D1403" s="4" t="s">
        <v>709</v>
      </c>
      <c r="E1403" s="25" t="str">
        <f aca="false">IF(J1403=1,"✓","")</f>
        <v/>
      </c>
      <c r="F1403" s="4" t="n">
        <v>2</v>
      </c>
      <c r="G1403" s="4" t="n">
        <v>1</v>
      </c>
      <c r="H1403" s="4" t="s">
        <v>213</v>
      </c>
      <c r="I1403" s="4" t="s">
        <v>51</v>
      </c>
      <c r="J1403" s="4" t="n">
        <f aca="false">INDEX('Master List'!$G$2:$G$2594,K1403)</f>
        <v>0</v>
      </c>
      <c r="K1403" s="4" t="n">
        <v>660</v>
      </c>
    </row>
    <row r="1404" customFormat="false" ht="15" hidden="false" customHeight="false" outlineLevel="0" collapsed="false">
      <c r="A1404" s="4" t="n">
        <v>1403</v>
      </c>
      <c r="B1404" s="4" t="s">
        <v>2195</v>
      </c>
      <c r="C1404" s="4" t="n">
        <v>1972</v>
      </c>
      <c r="D1404" s="4" t="s">
        <v>1346</v>
      </c>
      <c r="E1404" s="25" t="str">
        <f aca="false">IF(J1404=1,"✓","")</f>
        <v/>
      </c>
      <c r="F1404" s="4" t="n">
        <v>2</v>
      </c>
      <c r="G1404" s="4" t="n">
        <v>1</v>
      </c>
      <c r="H1404" s="4" t="s">
        <v>213</v>
      </c>
      <c r="I1404" s="4" t="s">
        <v>51</v>
      </c>
      <c r="J1404" s="4" t="n">
        <f aca="false">INDEX('Master List'!$G$2:$G$2594,K1404)</f>
        <v>0</v>
      </c>
      <c r="K1404" s="4" t="n">
        <v>76</v>
      </c>
    </row>
    <row r="1405" customFormat="false" ht="15" hidden="false" customHeight="false" outlineLevel="0" collapsed="false">
      <c r="A1405" s="4" t="n">
        <v>1404</v>
      </c>
      <c r="B1405" s="4" t="s">
        <v>2196</v>
      </c>
      <c r="C1405" s="4" t="n">
        <v>1972</v>
      </c>
      <c r="D1405" s="4" t="s">
        <v>2197</v>
      </c>
      <c r="E1405" s="25" t="str">
        <f aca="false">IF(J1405=1,"✓","")</f>
        <v/>
      </c>
      <c r="F1405" s="4" t="n">
        <v>2</v>
      </c>
      <c r="G1405" s="4" t="n">
        <v>1</v>
      </c>
      <c r="H1405" s="4" t="s">
        <v>213</v>
      </c>
      <c r="I1405" s="4" t="s">
        <v>51</v>
      </c>
      <c r="J1405" s="4" t="n">
        <f aca="false">INDEX('Master List'!$G$2:$G$2594,K1405)</f>
        <v>0</v>
      </c>
      <c r="K1405" s="4" t="n">
        <v>2487</v>
      </c>
    </row>
    <row r="1406" customFormat="false" ht="15" hidden="false" customHeight="false" outlineLevel="0" collapsed="false">
      <c r="A1406" s="4" t="n">
        <v>1405</v>
      </c>
      <c r="B1406" s="4" t="s">
        <v>2198</v>
      </c>
      <c r="C1406" s="4" t="n">
        <v>1972</v>
      </c>
      <c r="D1406" s="4" t="s">
        <v>1491</v>
      </c>
      <c r="E1406" s="25" t="str">
        <f aca="false">IF(J1406=1,"✓","")</f>
        <v/>
      </c>
      <c r="F1406" s="4" t="n">
        <v>2</v>
      </c>
      <c r="G1406" s="4" t="n">
        <v>1</v>
      </c>
      <c r="H1406" s="4" t="s">
        <v>213</v>
      </c>
      <c r="I1406" s="4" t="s">
        <v>51</v>
      </c>
      <c r="J1406" s="4" t="n">
        <f aca="false">INDEX('Master List'!$G$2:$G$2594,K1406)</f>
        <v>0</v>
      </c>
      <c r="K1406" s="4" t="n">
        <v>1182</v>
      </c>
    </row>
    <row r="1407" customFormat="false" ht="15" hidden="false" customHeight="false" outlineLevel="0" collapsed="false">
      <c r="A1407" s="4" t="n">
        <v>1406</v>
      </c>
      <c r="B1407" s="4" t="s">
        <v>2199</v>
      </c>
      <c r="C1407" s="4" t="n">
        <v>1972</v>
      </c>
      <c r="D1407" s="4" t="s">
        <v>2200</v>
      </c>
      <c r="E1407" s="25" t="str">
        <f aca="false">IF(J1407=1,"✓","")</f>
        <v/>
      </c>
      <c r="F1407" s="4" t="n">
        <v>2</v>
      </c>
      <c r="G1407" s="4" t="n">
        <v>1</v>
      </c>
      <c r="H1407" s="4" t="s">
        <v>213</v>
      </c>
      <c r="I1407" s="4" t="s">
        <v>52</v>
      </c>
      <c r="J1407" s="4" t="n">
        <f aca="false">INDEX('Master List'!$G$2:$G$2594,K1407)</f>
        <v>0</v>
      </c>
      <c r="K1407" s="4" t="n">
        <v>949</v>
      </c>
    </row>
    <row r="1408" customFormat="false" ht="15" hidden="false" customHeight="false" outlineLevel="0" collapsed="false">
      <c r="A1408" s="4" t="n">
        <v>1407</v>
      </c>
      <c r="B1408" s="4" t="s">
        <v>2201</v>
      </c>
      <c r="C1408" s="4" t="n">
        <v>1972</v>
      </c>
      <c r="D1408" s="4" t="s">
        <v>2202</v>
      </c>
      <c r="E1408" s="25" t="str">
        <f aca="false">IF(J1408=1,"✓","")</f>
        <v/>
      </c>
      <c r="F1408" s="4" t="n">
        <v>2</v>
      </c>
      <c r="G1408" s="4" t="n">
        <v>1</v>
      </c>
      <c r="H1408" s="4" t="s">
        <v>213</v>
      </c>
      <c r="I1408" s="4" t="s">
        <v>52</v>
      </c>
      <c r="J1408" s="4" t="n">
        <f aca="false">INDEX('Master List'!$G$2:$G$2594,K1408)</f>
        <v>0</v>
      </c>
      <c r="K1408" s="4" t="n">
        <v>2071</v>
      </c>
    </row>
    <row r="1409" customFormat="false" ht="15" hidden="false" customHeight="false" outlineLevel="0" collapsed="false">
      <c r="A1409" s="4" t="n">
        <v>1408</v>
      </c>
      <c r="B1409" s="4" t="s">
        <v>2203</v>
      </c>
      <c r="C1409" s="4" t="n">
        <v>1972</v>
      </c>
      <c r="D1409" s="4" t="s">
        <v>419</v>
      </c>
      <c r="E1409" s="25" t="str">
        <f aca="false">IF(J1409=1,"✓","")</f>
        <v/>
      </c>
      <c r="F1409" s="4" t="n">
        <v>2</v>
      </c>
      <c r="G1409" s="4" t="n">
        <v>1</v>
      </c>
      <c r="H1409" s="4" t="s">
        <v>213</v>
      </c>
      <c r="I1409" s="4" t="s">
        <v>53</v>
      </c>
      <c r="J1409" s="4" t="n">
        <f aca="false">INDEX('Master List'!$G$2:$G$2594,K1409)</f>
        <v>0</v>
      </c>
      <c r="K1409" s="4" t="n">
        <v>1389</v>
      </c>
    </row>
    <row r="1410" customFormat="false" ht="15" hidden="false" customHeight="false" outlineLevel="0" collapsed="false">
      <c r="A1410" s="4" t="n">
        <v>1409</v>
      </c>
      <c r="B1410" s="4" t="s">
        <v>2204</v>
      </c>
      <c r="C1410" s="4" t="n">
        <v>1972</v>
      </c>
      <c r="D1410" s="4" t="s">
        <v>2205</v>
      </c>
      <c r="E1410" s="25" t="str">
        <f aca="false">IF(J1410=1,"✓","")</f>
        <v/>
      </c>
      <c r="F1410" s="4" t="n">
        <v>2</v>
      </c>
      <c r="G1410" s="4" t="n">
        <v>1</v>
      </c>
      <c r="H1410" s="4" t="s">
        <v>213</v>
      </c>
      <c r="I1410" s="4" t="s">
        <v>54</v>
      </c>
      <c r="J1410" s="4" t="n">
        <f aca="false">INDEX('Master List'!$G$2:$G$2594,K1410)</f>
        <v>0</v>
      </c>
      <c r="K1410" s="4" t="n">
        <v>2204</v>
      </c>
    </row>
    <row r="1411" customFormat="false" ht="15" hidden="false" customHeight="false" outlineLevel="0" collapsed="false">
      <c r="A1411" s="4" t="n">
        <v>1410</v>
      </c>
      <c r="B1411" s="4" t="s">
        <v>2206</v>
      </c>
      <c r="C1411" s="4" t="n">
        <v>1972</v>
      </c>
      <c r="D1411" s="4" t="s">
        <v>2207</v>
      </c>
      <c r="E1411" s="25" t="str">
        <f aca="false">IF(J1411=1,"✓","")</f>
        <v/>
      </c>
      <c r="F1411" s="4" t="n">
        <v>2</v>
      </c>
      <c r="G1411" s="4" t="n">
        <v>1</v>
      </c>
      <c r="H1411" s="4" t="s">
        <v>213</v>
      </c>
      <c r="I1411" s="4" t="s">
        <v>54</v>
      </c>
      <c r="J1411" s="4" t="n">
        <f aca="false">INDEX('Master List'!$G$2:$G$2594,K1411)</f>
        <v>0</v>
      </c>
      <c r="K1411" s="4" t="n">
        <v>39</v>
      </c>
    </row>
    <row r="1412" customFormat="false" ht="15" hidden="false" customHeight="false" outlineLevel="0" collapsed="false">
      <c r="A1412" s="4" t="n">
        <v>1411</v>
      </c>
      <c r="B1412" s="4" t="s">
        <v>2208</v>
      </c>
      <c r="C1412" s="4" t="n">
        <v>1972</v>
      </c>
      <c r="D1412" s="4" t="s">
        <v>2209</v>
      </c>
      <c r="E1412" s="25" t="str">
        <f aca="false">IF(J1412=1,"✓","")</f>
        <v/>
      </c>
      <c r="F1412" s="4" t="n">
        <v>2</v>
      </c>
      <c r="G1412" s="4" t="n">
        <v>1</v>
      </c>
      <c r="H1412" s="4" t="s">
        <v>213</v>
      </c>
      <c r="I1412" s="4" t="s">
        <v>54</v>
      </c>
      <c r="J1412" s="4" t="n">
        <f aca="false">INDEX('Master List'!$G$2:$G$2594,K1412)</f>
        <v>0</v>
      </c>
      <c r="K1412" s="4" t="n">
        <v>277</v>
      </c>
    </row>
    <row r="1413" customFormat="false" ht="15" hidden="false" customHeight="false" outlineLevel="0" collapsed="false">
      <c r="A1413" s="4" t="n">
        <v>1412</v>
      </c>
      <c r="B1413" s="4" t="s">
        <v>2210</v>
      </c>
      <c r="C1413" s="4" t="n">
        <v>1972</v>
      </c>
      <c r="D1413" s="4" t="s">
        <v>2211</v>
      </c>
      <c r="E1413" s="25" t="str">
        <f aca="false">IF(J1413=1,"✓","")</f>
        <v/>
      </c>
      <c r="F1413" s="4" t="n">
        <v>2</v>
      </c>
      <c r="G1413" s="4" t="n">
        <v>1</v>
      </c>
      <c r="H1413" s="4" t="s">
        <v>213</v>
      </c>
      <c r="I1413" s="4" t="s">
        <v>55</v>
      </c>
      <c r="J1413" s="4" t="n">
        <f aca="false">INDEX('Master List'!$G$2:$G$2594,K1413)</f>
        <v>0</v>
      </c>
      <c r="K1413" s="4" t="n">
        <v>386</v>
      </c>
    </row>
    <row r="1414" customFormat="false" ht="15" hidden="false" customHeight="false" outlineLevel="0" collapsed="false">
      <c r="A1414" s="4" t="n">
        <v>1413</v>
      </c>
      <c r="B1414" s="4" t="s">
        <v>2212</v>
      </c>
      <c r="C1414" s="4" t="n">
        <v>1972</v>
      </c>
      <c r="D1414" s="4" t="s">
        <v>797</v>
      </c>
      <c r="E1414" s="25" t="str">
        <f aca="false">IF(J1414=1,"✓","")</f>
        <v/>
      </c>
      <c r="F1414" s="4" t="n">
        <v>2</v>
      </c>
      <c r="G1414" s="4" t="n">
        <v>1</v>
      </c>
      <c r="H1414" s="4" t="s">
        <v>213</v>
      </c>
      <c r="I1414" s="4" t="s">
        <v>55</v>
      </c>
      <c r="J1414" s="4" t="n">
        <f aca="false">INDEX('Master List'!$G$2:$G$2594,K1414)</f>
        <v>0</v>
      </c>
      <c r="K1414" s="4" t="n">
        <v>2088</v>
      </c>
    </row>
    <row r="1415" customFormat="false" ht="15" hidden="false" customHeight="false" outlineLevel="0" collapsed="false">
      <c r="A1415" s="4" t="n">
        <v>1414</v>
      </c>
      <c r="B1415" s="4" t="s">
        <v>2213</v>
      </c>
      <c r="C1415" s="4" t="n">
        <v>1972</v>
      </c>
      <c r="D1415" s="4" t="s">
        <v>283</v>
      </c>
      <c r="E1415" s="25" t="str">
        <f aca="false">IF(J1415=1,"✓","")</f>
        <v/>
      </c>
      <c r="F1415" s="4" t="n">
        <v>2</v>
      </c>
      <c r="G1415" s="4" t="n">
        <v>1</v>
      </c>
      <c r="H1415" s="4" t="s">
        <v>213</v>
      </c>
      <c r="I1415" s="4" t="s">
        <v>55</v>
      </c>
      <c r="J1415" s="4" t="n">
        <f aca="false">INDEX('Master List'!$G$2:$G$2594,K1415)</f>
        <v>0</v>
      </c>
      <c r="K1415" s="4" t="n">
        <v>789</v>
      </c>
    </row>
    <row r="1416" customFormat="false" ht="15" hidden="false" customHeight="false" outlineLevel="0" collapsed="false">
      <c r="A1416" s="4" t="n">
        <v>1415</v>
      </c>
      <c r="B1416" s="4" t="s">
        <v>2214</v>
      </c>
      <c r="C1416" s="4" t="n">
        <v>1972</v>
      </c>
      <c r="D1416" s="4" t="s">
        <v>933</v>
      </c>
      <c r="E1416" s="25" t="str">
        <f aca="false">IF(J1416=1,"✓","")</f>
        <v/>
      </c>
      <c r="F1416" s="4" t="n">
        <v>2</v>
      </c>
      <c r="G1416" s="4" t="n">
        <v>1</v>
      </c>
      <c r="H1416" s="4" t="s">
        <v>213</v>
      </c>
      <c r="I1416" s="4" t="s">
        <v>56</v>
      </c>
      <c r="J1416" s="4" t="n">
        <f aca="false">INDEX('Master List'!$G$2:$G$2594,K1416)</f>
        <v>0</v>
      </c>
      <c r="K1416" s="4" t="n">
        <v>2093</v>
      </c>
    </row>
    <row r="1417" customFormat="false" ht="15" hidden="false" customHeight="false" outlineLevel="0" collapsed="false">
      <c r="A1417" s="4" t="n">
        <v>1416</v>
      </c>
      <c r="B1417" s="4" t="s">
        <v>2215</v>
      </c>
      <c r="C1417" s="4" t="n">
        <v>1972</v>
      </c>
      <c r="D1417" s="4" t="s">
        <v>2216</v>
      </c>
      <c r="E1417" s="25" t="str">
        <f aca="false">IF(J1417=1,"✓","")</f>
        <v/>
      </c>
      <c r="F1417" s="4" t="n">
        <v>2</v>
      </c>
      <c r="G1417" s="4" t="n">
        <v>1</v>
      </c>
      <c r="H1417" s="4" t="s">
        <v>213</v>
      </c>
      <c r="I1417" s="4" t="s">
        <v>56</v>
      </c>
      <c r="J1417" s="4" t="n">
        <f aca="false">INDEX('Master List'!$G$2:$G$2594,K1417)</f>
        <v>0</v>
      </c>
      <c r="K1417" s="4" t="n">
        <v>799</v>
      </c>
    </row>
    <row r="1418" customFormat="false" ht="15" hidden="false" customHeight="false" outlineLevel="0" collapsed="false">
      <c r="A1418" s="4" t="n">
        <v>1417</v>
      </c>
      <c r="B1418" s="4" t="s">
        <v>2217</v>
      </c>
      <c r="C1418" s="4" t="n">
        <v>1973</v>
      </c>
      <c r="D1418" s="4" t="s">
        <v>1346</v>
      </c>
      <c r="E1418" s="25" t="str">
        <f aca="false">IF(J1418=1,"✓","")</f>
        <v/>
      </c>
      <c r="F1418" s="4" t="n">
        <v>2</v>
      </c>
      <c r="G1418" s="4" t="n">
        <v>1</v>
      </c>
      <c r="H1418" s="4" t="s">
        <v>213</v>
      </c>
      <c r="I1418" s="4" t="s">
        <v>51</v>
      </c>
      <c r="J1418" s="4" t="n">
        <f aca="false">INDEX('Master List'!$G$2:$G$2594,K1418)</f>
        <v>0</v>
      </c>
      <c r="K1418" s="4" t="n">
        <v>2342</v>
      </c>
    </row>
    <row r="1419" customFormat="false" ht="15" hidden="false" customHeight="false" outlineLevel="0" collapsed="false">
      <c r="A1419" s="4" t="n">
        <v>1418</v>
      </c>
      <c r="B1419" s="4" t="s">
        <v>2218</v>
      </c>
      <c r="C1419" s="4" t="n">
        <v>1973</v>
      </c>
      <c r="D1419" s="4" t="s">
        <v>1491</v>
      </c>
      <c r="E1419" s="25" t="str">
        <f aca="false">IF(J1419=1,"✓","")</f>
        <v/>
      </c>
      <c r="F1419" s="4" t="n">
        <v>2</v>
      </c>
      <c r="G1419" s="4" t="n">
        <v>1</v>
      </c>
      <c r="H1419" s="4" t="s">
        <v>213</v>
      </c>
      <c r="I1419" s="4" t="s">
        <v>51</v>
      </c>
      <c r="J1419" s="4" t="n">
        <f aca="false">INDEX('Master List'!$G$2:$G$2594,K1419)</f>
        <v>0</v>
      </c>
      <c r="K1419" s="4" t="n">
        <v>320</v>
      </c>
    </row>
    <row r="1420" customFormat="false" ht="15" hidden="false" customHeight="false" outlineLevel="0" collapsed="false">
      <c r="A1420" s="4" t="n">
        <v>1419</v>
      </c>
      <c r="B1420" s="4" t="s">
        <v>2219</v>
      </c>
      <c r="C1420" s="4" t="n">
        <v>1973</v>
      </c>
      <c r="D1420" s="4" t="s">
        <v>2220</v>
      </c>
      <c r="E1420" s="25" t="str">
        <f aca="false">IF(J1420=1,"✓","")</f>
        <v/>
      </c>
      <c r="F1420" s="4" t="n">
        <v>2</v>
      </c>
      <c r="G1420" s="4" t="n">
        <v>1</v>
      </c>
      <c r="H1420" s="4" t="s">
        <v>213</v>
      </c>
      <c r="I1420" s="4" t="s">
        <v>51</v>
      </c>
      <c r="J1420" s="4" t="n">
        <f aca="false">INDEX('Master List'!$G$2:$G$2594,K1420)</f>
        <v>0</v>
      </c>
      <c r="K1420" s="4" t="n">
        <v>878</v>
      </c>
    </row>
    <row r="1421" customFormat="false" ht="15" hidden="false" customHeight="false" outlineLevel="0" collapsed="false">
      <c r="A1421" s="4" t="n">
        <v>1420</v>
      </c>
      <c r="B1421" s="4" t="s">
        <v>2221</v>
      </c>
      <c r="C1421" s="4" t="n">
        <v>1973</v>
      </c>
      <c r="D1421" s="4" t="s">
        <v>783</v>
      </c>
      <c r="E1421" s="25" t="str">
        <f aca="false">IF(J1421=1,"✓","")</f>
        <v/>
      </c>
      <c r="F1421" s="4" t="n">
        <v>2</v>
      </c>
      <c r="G1421" s="4" t="n">
        <v>1</v>
      </c>
      <c r="H1421" s="4" t="s">
        <v>213</v>
      </c>
      <c r="I1421" s="4" t="s">
        <v>52</v>
      </c>
      <c r="J1421" s="4" t="n">
        <f aca="false">INDEX('Master List'!$G$2:$G$2594,K1421)</f>
        <v>0</v>
      </c>
      <c r="K1421" s="4" t="n">
        <v>1732</v>
      </c>
    </row>
    <row r="1422" customFormat="false" ht="15" hidden="false" customHeight="false" outlineLevel="0" collapsed="false">
      <c r="A1422" s="4" t="n">
        <v>1421</v>
      </c>
      <c r="B1422" s="4" t="s">
        <v>2222</v>
      </c>
      <c r="C1422" s="4" t="n">
        <v>1973</v>
      </c>
      <c r="D1422" s="4" t="s">
        <v>2223</v>
      </c>
      <c r="E1422" s="25" t="str">
        <f aca="false">IF(J1422=1,"✓","")</f>
        <v/>
      </c>
      <c r="F1422" s="4" t="n">
        <v>2</v>
      </c>
      <c r="G1422" s="4" t="n">
        <v>1</v>
      </c>
      <c r="H1422" s="4" t="s">
        <v>213</v>
      </c>
      <c r="I1422" s="4" t="s">
        <v>52</v>
      </c>
      <c r="J1422" s="4" t="n">
        <f aca="false">INDEX('Master List'!$G$2:$G$2594,K1422)</f>
        <v>0</v>
      </c>
      <c r="K1422" s="4" t="n">
        <v>2125</v>
      </c>
    </row>
    <row r="1423" customFormat="false" ht="15" hidden="false" customHeight="false" outlineLevel="0" collapsed="false">
      <c r="A1423" s="4" t="n">
        <v>1422</v>
      </c>
      <c r="B1423" s="4" t="s">
        <v>2224</v>
      </c>
      <c r="C1423" s="4" t="n">
        <v>1973</v>
      </c>
      <c r="D1423" s="4" t="s">
        <v>2225</v>
      </c>
      <c r="E1423" s="25" t="str">
        <f aca="false">IF(J1423=1,"✓","")</f>
        <v/>
      </c>
      <c r="F1423" s="4" t="n">
        <v>2</v>
      </c>
      <c r="G1423" s="4" t="n">
        <v>1</v>
      </c>
      <c r="H1423" s="4" t="s">
        <v>213</v>
      </c>
      <c r="I1423" s="4" t="s">
        <v>52</v>
      </c>
      <c r="J1423" s="4" t="n">
        <f aca="false">INDEX('Master List'!$G$2:$G$2594,K1423)</f>
        <v>0</v>
      </c>
      <c r="K1423" s="4" t="n">
        <v>2023</v>
      </c>
    </row>
    <row r="1424" customFormat="false" ht="15" hidden="false" customHeight="false" outlineLevel="0" collapsed="false">
      <c r="A1424" s="4" t="n">
        <v>1423</v>
      </c>
      <c r="B1424" s="4" t="s">
        <v>2226</v>
      </c>
      <c r="C1424" s="4" t="n">
        <v>1973</v>
      </c>
      <c r="D1424" s="4" t="s">
        <v>2227</v>
      </c>
      <c r="E1424" s="25" t="str">
        <f aca="false">IF(J1424=1,"✓","")</f>
        <v/>
      </c>
      <c r="F1424" s="4" t="n">
        <v>2</v>
      </c>
      <c r="G1424" s="4" t="n">
        <v>1</v>
      </c>
      <c r="H1424" s="4" t="s">
        <v>213</v>
      </c>
      <c r="I1424" s="4" t="s">
        <v>52</v>
      </c>
      <c r="J1424" s="4" t="n">
        <f aca="false">INDEX('Master List'!$G$2:$G$2594,K1424)</f>
        <v>0</v>
      </c>
      <c r="K1424" s="4" t="n">
        <v>784</v>
      </c>
    </row>
    <row r="1425" customFormat="false" ht="15" hidden="false" customHeight="false" outlineLevel="0" collapsed="false">
      <c r="A1425" s="4" t="n">
        <v>1424</v>
      </c>
      <c r="B1425" s="4" t="s">
        <v>2228</v>
      </c>
      <c r="C1425" s="4" t="n">
        <v>1973</v>
      </c>
      <c r="D1425" s="4" t="s">
        <v>2229</v>
      </c>
      <c r="E1425" s="25" t="str">
        <f aca="false">IF(J1425=1,"✓","")</f>
        <v/>
      </c>
      <c r="F1425" s="4" t="n">
        <v>2</v>
      </c>
      <c r="G1425" s="4" t="n">
        <v>1</v>
      </c>
      <c r="H1425" s="4" t="s">
        <v>213</v>
      </c>
      <c r="I1425" s="4" t="s">
        <v>52</v>
      </c>
      <c r="J1425" s="4" t="n">
        <f aca="false">INDEX('Master List'!$G$2:$G$2594,K1425)</f>
        <v>0</v>
      </c>
      <c r="K1425" s="4" t="n">
        <v>2471</v>
      </c>
    </row>
    <row r="1426" customFormat="false" ht="15" hidden="false" customHeight="false" outlineLevel="0" collapsed="false">
      <c r="A1426" s="4" t="n">
        <v>1425</v>
      </c>
      <c r="B1426" s="4" t="s">
        <v>2230</v>
      </c>
      <c r="C1426" s="4" t="n">
        <v>1973</v>
      </c>
      <c r="D1426" s="4" t="s">
        <v>185</v>
      </c>
      <c r="E1426" s="25" t="str">
        <f aca="false">IF(J1426=1,"✓","")</f>
        <v/>
      </c>
      <c r="F1426" s="4" t="n">
        <v>2</v>
      </c>
      <c r="G1426" s="4" t="n">
        <v>1</v>
      </c>
      <c r="H1426" s="4" t="s">
        <v>213</v>
      </c>
      <c r="I1426" s="4" t="s">
        <v>53</v>
      </c>
      <c r="J1426" s="4" t="n">
        <f aca="false">INDEX('Master List'!$G$2:$G$2594,K1426)</f>
        <v>0</v>
      </c>
      <c r="K1426" s="4" t="n">
        <v>1067</v>
      </c>
    </row>
    <row r="1427" customFormat="false" ht="15" hidden="false" customHeight="false" outlineLevel="0" collapsed="false">
      <c r="A1427" s="4" t="n">
        <v>1426</v>
      </c>
      <c r="B1427" s="4" t="s">
        <v>2231</v>
      </c>
      <c r="C1427" s="4" t="n">
        <v>1973</v>
      </c>
      <c r="D1427" s="4" t="s">
        <v>1477</v>
      </c>
      <c r="E1427" s="25" t="str">
        <f aca="false">IF(J1427=1,"✓","")</f>
        <v/>
      </c>
      <c r="F1427" s="4" t="n">
        <v>2</v>
      </c>
      <c r="G1427" s="4" t="n">
        <v>1</v>
      </c>
      <c r="H1427" s="4" t="s">
        <v>213</v>
      </c>
      <c r="I1427" s="4" t="s">
        <v>55</v>
      </c>
      <c r="J1427" s="4" t="n">
        <f aca="false">INDEX('Master List'!$G$2:$G$2594,K1427)</f>
        <v>0</v>
      </c>
      <c r="K1427" s="4" t="n">
        <v>1716</v>
      </c>
    </row>
    <row r="1428" customFormat="false" ht="15" hidden="false" customHeight="false" outlineLevel="0" collapsed="false">
      <c r="A1428" s="4" t="n">
        <v>1427</v>
      </c>
      <c r="B1428" s="4" t="s">
        <v>2232</v>
      </c>
      <c r="C1428" s="4" t="n">
        <v>1973</v>
      </c>
      <c r="D1428" s="4" t="s">
        <v>2233</v>
      </c>
      <c r="E1428" s="25" t="str">
        <f aca="false">IF(J1428=1,"✓","")</f>
        <v/>
      </c>
      <c r="F1428" s="4" t="n">
        <v>2</v>
      </c>
      <c r="G1428" s="4" t="n">
        <v>1</v>
      </c>
      <c r="H1428" s="4" t="s">
        <v>213</v>
      </c>
      <c r="I1428" s="4" t="s">
        <v>55</v>
      </c>
      <c r="J1428" s="4" t="n">
        <f aca="false">INDEX('Master List'!$G$2:$G$2594,K1428)</f>
        <v>0</v>
      </c>
      <c r="K1428" s="4" t="n">
        <v>1714</v>
      </c>
    </row>
    <row r="1429" customFormat="false" ht="15" hidden="false" customHeight="false" outlineLevel="0" collapsed="false">
      <c r="A1429" s="4" t="n">
        <v>1428</v>
      </c>
      <c r="B1429" s="4" t="s">
        <v>2234</v>
      </c>
      <c r="C1429" s="4" t="n">
        <v>1973</v>
      </c>
      <c r="D1429" s="4" t="s">
        <v>1975</v>
      </c>
      <c r="E1429" s="25" t="str">
        <f aca="false">IF(J1429=1,"✓","")</f>
        <v/>
      </c>
      <c r="F1429" s="4" t="n">
        <v>2</v>
      </c>
      <c r="G1429" s="4" t="n">
        <v>1</v>
      </c>
      <c r="H1429" s="4" t="s">
        <v>213</v>
      </c>
      <c r="I1429" s="4" t="s">
        <v>57</v>
      </c>
      <c r="J1429" s="4" t="n">
        <f aca="false">INDEX('Master List'!$G$2:$G$2594,K1429)</f>
        <v>0</v>
      </c>
      <c r="K1429" s="4" t="n">
        <v>1912</v>
      </c>
    </row>
    <row r="1430" customFormat="false" ht="15" hidden="false" customHeight="false" outlineLevel="0" collapsed="false">
      <c r="A1430" s="4" t="n">
        <v>1429</v>
      </c>
      <c r="B1430" s="4" t="s">
        <v>2235</v>
      </c>
      <c r="C1430" s="4" t="n">
        <v>1974</v>
      </c>
      <c r="D1430" s="4" t="s">
        <v>2236</v>
      </c>
      <c r="E1430" s="25" t="str">
        <f aca="false">IF(J1430=1,"✓","")</f>
        <v/>
      </c>
      <c r="F1430" s="4" t="n">
        <v>2</v>
      </c>
      <c r="G1430" s="4" t="n">
        <v>1</v>
      </c>
      <c r="H1430" s="4" t="s">
        <v>213</v>
      </c>
      <c r="I1430" s="4" t="s">
        <v>51</v>
      </c>
      <c r="J1430" s="4" t="n">
        <f aca="false">INDEX('Master List'!$G$2:$G$2594,K1430)</f>
        <v>0</v>
      </c>
      <c r="K1430" s="4" t="n">
        <v>2475</v>
      </c>
    </row>
    <row r="1431" customFormat="false" ht="15" hidden="false" customHeight="false" outlineLevel="0" collapsed="false">
      <c r="A1431" s="4" t="n">
        <v>1430</v>
      </c>
      <c r="B1431" s="4" t="s">
        <v>2237</v>
      </c>
      <c r="C1431" s="4" t="n">
        <v>1974</v>
      </c>
      <c r="D1431" s="4" t="s">
        <v>761</v>
      </c>
      <c r="E1431" s="25" t="str">
        <f aca="false">IF(J1431=1,"✓","")</f>
        <v/>
      </c>
      <c r="F1431" s="4" t="n">
        <v>2</v>
      </c>
      <c r="G1431" s="4" t="n">
        <v>1</v>
      </c>
      <c r="H1431" s="4" t="s">
        <v>213</v>
      </c>
      <c r="I1431" s="4" t="s">
        <v>51</v>
      </c>
      <c r="J1431" s="4" t="n">
        <f aca="false">INDEX('Master List'!$G$2:$G$2594,K1431)</f>
        <v>0</v>
      </c>
      <c r="K1431" s="4" t="n">
        <v>1849</v>
      </c>
    </row>
    <row r="1432" customFormat="false" ht="15" hidden="false" customHeight="false" outlineLevel="0" collapsed="false">
      <c r="A1432" s="4" t="n">
        <v>1431</v>
      </c>
      <c r="B1432" s="4" t="s">
        <v>2238</v>
      </c>
      <c r="C1432" s="4" t="n">
        <v>1974</v>
      </c>
      <c r="D1432" s="4" t="s">
        <v>2239</v>
      </c>
      <c r="E1432" s="25" t="str">
        <f aca="false">IF(J1432=1,"✓","")</f>
        <v/>
      </c>
      <c r="F1432" s="4" t="n">
        <v>2</v>
      </c>
      <c r="G1432" s="4" t="n">
        <v>1</v>
      </c>
      <c r="H1432" s="4" t="s">
        <v>213</v>
      </c>
      <c r="I1432" s="4" t="s">
        <v>51</v>
      </c>
      <c r="J1432" s="4" t="n">
        <f aca="false">INDEX('Master List'!$G$2:$G$2594,K1432)</f>
        <v>0</v>
      </c>
      <c r="K1432" s="4" t="n">
        <v>2181</v>
      </c>
    </row>
    <row r="1433" customFormat="false" ht="15" hidden="false" customHeight="false" outlineLevel="0" collapsed="false">
      <c r="A1433" s="4" t="n">
        <v>1432</v>
      </c>
      <c r="B1433" s="4" t="s">
        <v>2240</v>
      </c>
      <c r="C1433" s="4" t="n">
        <v>1974</v>
      </c>
      <c r="D1433" s="4" t="s">
        <v>2241</v>
      </c>
      <c r="E1433" s="25" t="str">
        <f aca="false">IF(J1433=1,"✓","")</f>
        <v/>
      </c>
      <c r="F1433" s="4" t="n">
        <v>2</v>
      </c>
      <c r="G1433" s="4" t="n">
        <v>1</v>
      </c>
      <c r="H1433" s="4" t="s">
        <v>213</v>
      </c>
      <c r="I1433" s="4" t="s">
        <v>51</v>
      </c>
      <c r="J1433" s="4" t="n">
        <f aca="false">INDEX('Master List'!$G$2:$G$2594,K1433)</f>
        <v>0</v>
      </c>
      <c r="K1433" s="4" t="n">
        <v>110</v>
      </c>
    </row>
    <row r="1434" customFormat="false" ht="15" hidden="false" customHeight="false" outlineLevel="0" collapsed="false">
      <c r="A1434" s="4" t="n">
        <v>1433</v>
      </c>
      <c r="B1434" s="4" t="s">
        <v>2242</v>
      </c>
      <c r="C1434" s="4" t="n">
        <v>1974</v>
      </c>
      <c r="D1434" s="4" t="s">
        <v>1500</v>
      </c>
      <c r="E1434" s="25" t="str">
        <f aca="false">IF(J1434=1,"✓","")</f>
        <v/>
      </c>
      <c r="F1434" s="4" t="n">
        <v>2</v>
      </c>
      <c r="G1434" s="4" t="n">
        <v>1</v>
      </c>
      <c r="H1434" s="4" t="s">
        <v>213</v>
      </c>
      <c r="I1434" s="4" t="s">
        <v>52</v>
      </c>
      <c r="J1434" s="4" t="n">
        <f aca="false">INDEX('Master List'!$G$2:$G$2594,K1434)</f>
        <v>0</v>
      </c>
      <c r="K1434" s="4" t="n">
        <v>282</v>
      </c>
    </row>
    <row r="1435" customFormat="false" ht="15" hidden="false" customHeight="false" outlineLevel="0" collapsed="false">
      <c r="A1435" s="4" t="n">
        <v>1434</v>
      </c>
      <c r="B1435" s="4" t="s">
        <v>2243</v>
      </c>
      <c r="C1435" s="4" t="n">
        <v>1974</v>
      </c>
      <c r="D1435" s="4" t="s">
        <v>2244</v>
      </c>
      <c r="E1435" s="25" t="str">
        <f aca="false">IF(J1435=1,"✓","")</f>
        <v/>
      </c>
      <c r="F1435" s="4" t="n">
        <v>2</v>
      </c>
      <c r="G1435" s="4" t="n">
        <v>1</v>
      </c>
      <c r="H1435" s="4" t="s">
        <v>213</v>
      </c>
      <c r="I1435" s="4" t="s">
        <v>52</v>
      </c>
      <c r="J1435" s="4" t="n">
        <f aca="false">INDEX('Master List'!$G$2:$G$2594,K1435)</f>
        <v>0</v>
      </c>
      <c r="K1435" s="4" t="n">
        <v>1009</v>
      </c>
    </row>
    <row r="1436" customFormat="false" ht="15" hidden="false" customHeight="false" outlineLevel="0" collapsed="false">
      <c r="A1436" s="4" t="n">
        <v>1435</v>
      </c>
      <c r="B1436" s="4" t="s">
        <v>2245</v>
      </c>
      <c r="C1436" s="4" t="n">
        <v>1974</v>
      </c>
      <c r="D1436" s="4" t="s">
        <v>402</v>
      </c>
      <c r="E1436" s="25" t="str">
        <f aca="false">IF(J1436=1,"✓","")</f>
        <v/>
      </c>
      <c r="F1436" s="4" t="n">
        <v>2</v>
      </c>
      <c r="G1436" s="4" t="n">
        <v>1</v>
      </c>
      <c r="H1436" s="4" t="s">
        <v>213</v>
      </c>
      <c r="I1436" s="4" t="s">
        <v>52</v>
      </c>
      <c r="J1436" s="4" t="n">
        <f aca="false">INDEX('Master List'!$G$2:$G$2594,K1436)</f>
        <v>0</v>
      </c>
      <c r="K1436" s="4" t="n">
        <v>1752</v>
      </c>
    </row>
    <row r="1437" customFormat="false" ht="15" hidden="false" customHeight="false" outlineLevel="0" collapsed="false">
      <c r="A1437" s="4" t="n">
        <v>1436</v>
      </c>
      <c r="B1437" s="4" t="s">
        <v>2246</v>
      </c>
      <c r="C1437" s="4" t="n">
        <v>1974</v>
      </c>
      <c r="D1437" s="4" t="s">
        <v>164</v>
      </c>
      <c r="E1437" s="25" t="str">
        <f aca="false">IF(J1437=1,"✓","")</f>
        <v/>
      </c>
      <c r="F1437" s="4" t="n">
        <v>2</v>
      </c>
      <c r="G1437" s="4" t="n">
        <v>1</v>
      </c>
      <c r="H1437" s="4" t="s">
        <v>213</v>
      </c>
      <c r="I1437" s="4" t="s">
        <v>53</v>
      </c>
      <c r="J1437" s="4" t="n">
        <f aca="false">INDEX('Master List'!$G$2:$G$2594,K1437)</f>
        <v>0</v>
      </c>
      <c r="K1437" s="4" t="n">
        <v>64</v>
      </c>
    </row>
    <row r="1438" customFormat="false" ht="15" hidden="false" customHeight="false" outlineLevel="0" collapsed="false">
      <c r="A1438" s="4" t="n">
        <v>1437</v>
      </c>
      <c r="B1438" s="4" t="s">
        <v>2247</v>
      </c>
      <c r="C1438" s="4" t="n">
        <v>1974</v>
      </c>
      <c r="D1438" s="4" t="s">
        <v>197</v>
      </c>
      <c r="E1438" s="25" t="str">
        <f aca="false">IF(J1438=1,"✓","")</f>
        <v>✓</v>
      </c>
      <c r="F1438" s="4" t="n">
        <v>2</v>
      </c>
      <c r="G1438" s="4" t="n">
        <v>1</v>
      </c>
      <c r="H1438" s="4" t="s">
        <v>213</v>
      </c>
      <c r="I1438" s="4" t="s">
        <v>53</v>
      </c>
      <c r="J1438" s="4" t="n">
        <f aca="false">INDEX('Master List'!$G$2:$G$2594,K1438)</f>
        <v>1</v>
      </c>
      <c r="K1438" s="4" t="n">
        <v>381</v>
      </c>
    </row>
    <row r="1439" customFormat="false" ht="15" hidden="false" customHeight="false" outlineLevel="0" collapsed="false">
      <c r="A1439" s="4" t="n">
        <v>1438</v>
      </c>
      <c r="B1439" s="4" t="s">
        <v>2248</v>
      </c>
      <c r="C1439" s="4" t="n">
        <v>1974</v>
      </c>
      <c r="D1439" s="4" t="s">
        <v>197</v>
      </c>
      <c r="E1439" s="25" t="str">
        <f aca="false">IF(J1439=1,"✓","")</f>
        <v/>
      </c>
      <c r="F1439" s="4" t="n">
        <v>2</v>
      </c>
      <c r="G1439" s="4" t="n">
        <v>1</v>
      </c>
      <c r="H1439" s="4" t="s">
        <v>213</v>
      </c>
      <c r="I1439" s="4" t="s">
        <v>53</v>
      </c>
      <c r="J1439" s="4" t="n">
        <f aca="false">INDEX('Master List'!$G$2:$G$2594,K1439)</f>
        <v>0</v>
      </c>
      <c r="K1439" s="4" t="n">
        <v>2275</v>
      </c>
    </row>
    <row r="1440" customFormat="false" ht="15" hidden="false" customHeight="false" outlineLevel="0" collapsed="false">
      <c r="A1440" s="4" t="n">
        <v>1439</v>
      </c>
      <c r="B1440" s="4" t="s">
        <v>2249</v>
      </c>
      <c r="C1440" s="4" t="n">
        <v>1974</v>
      </c>
      <c r="D1440" s="4" t="s">
        <v>215</v>
      </c>
      <c r="E1440" s="25" t="str">
        <f aca="false">IF(J1440=1,"✓","")</f>
        <v/>
      </c>
      <c r="F1440" s="4" t="n">
        <v>2</v>
      </c>
      <c r="G1440" s="4" t="n">
        <v>1</v>
      </c>
      <c r="H1440" s="4" t="s">
        <v>213</v>
      </c>
      <c r="I1440" s="4" t="s">
        <v>53</v>
      </c>
      <c r="J1440" s="4" t="n">
        <f aca="false">INDEX('Master List'!$G$2:$G$2594,K1440)</f>
        <v>0</v>
      </c>
      <c r="K1440" s="4" t="n">
        <v>1288</v>
      </c>
    </row>
    <row r="1441" customFormat="false" ht="15" hidden="false" customHeight="false" outlineLevel="0" collapsed="false">
      <c r="A1441" s="4" t="n">
        <v>1440</v>
      </c>
      <c r="B1441" s="4" t="s">
        <v>2250</v>
      </c>
      <c r="C1441" s="4" t="n">
        <v>1974</v>
      </c>
      <c r="D1441" s="4" t="s">
        <v>185</v>
      </c>
      <c r="E1441" s="25" t="str">
        <f aca="false">IF(J1441=1,"✓","")</f>
        <v/>
      </c>
      <c r="F1441" s="4" t="n">
        <v>2</v>
      </c>
      <c r="G1441" s="4" t="n">
        <v>1</v>
      </c>
      <c r="H1441" s="4" t="s">
        <v>213</v>
      </c>
      <c r="I1441" s="4" t="s">
        <v>53</v>
      </c>
      <c r="J1441" s="4" t="n">
        <f aca="false">INDEX('Master List'!$G$2:$G$2594,K1441)</f>
        <v>0</v>
      </c>
      <c r="K1441" s="4" t="n">
        <v>1200</v>
      </c>
    </row>
    <row r="1442" customFormat="false" ht="15" hidden="false" customHeight="false" outlineLevel="0" collapsed="false">
      <c r="A1442" s="4" t="n">
        <v>1441</v>
      </c>
      <c r="B1442" s="4" t="s">
        <v>2251</v>
      </c>
      <c r="C1442" s="4" t="n">
        <v>1974</v>
      </c>
      <c r="D1442" s="4" t="s">
        <v>1022</v>
      </c>
      <c r="E1442" s="25" t="str">
        <f aca="false">IF(J1442=1,"✓","")</f>
        <v/>
      </c>
      <c r="F1442" s="4" t="n">
        <v>2</v>
      </c>
      <c r="G1442" s="4" t="n">
        <v>1</v>
      </c>
      <c r="H1442" s="4" t="s">
        <v>213</v>
      </c>
      <c r="I1442" s="4" t="s">
        <v>54</v>
      </c>
      <c r="J1442" s="4" t="n">
        <f aca="false">INDEX('Master List'!$G$2:$G$2594,K1442)</f>
        <v>0</v>
      </c>
      <c r="K1442" s="4" t="n">
        <v>844</v>
      </c>
    </row>
    <row r="1443" customFormat="false" ht="15" hidden="false" customHeight="false" outlineLevel="0" collapsed="false">
      <c r="A1443" s="4" t="n">
        <v>1442</v>
      </c>
      <c r="B1443" s="4" t="s">
        <v>2252</v>
      </c>
      <c r="C1443" s="4" t="n">
        <v>1974</v>
      </c>
      <c r="D1443" s="4" t="s">
        <v>765</v>
      </c>
      <c r="E1443" s="25" t="str">
        <f aca="false">IF(J1443=1,"✓","")</f>
        <v/>
      </c>
      <c r="F1443" s="4" t="n">
        <v>2</v>
      </c>
      <c r="G1443" s="4" t="n">
        <v>1</v>
      </c>
      <c r="H1443" s="4" t="s">
        <v>213</v>
      </c>
      <c r="I1443" s="4" t="s">
        <v>55</v>
      </c>
      <c r="J1443" s="4" t="n">
        <f aca="false">INDEX('Master List'!$G$2:$G$2594,K1443)</f>
        <v>0</v>
      </c>
      <c r="K1443" s="4" t="n">
        <v>954</v>
      </c>
    </row>
    <row r="1444" customFormat="false" ht="15" hidden="false" customHeight="false" outlineLevel="0" collapsed="false">
      <c r="A1444" s="4" t="n">
        <v>1443</v>
      </c>
      <c r="B1444" s="4" t="s">
        <v>2253</v>
      </c>
      <c r="C1444" s="4" t="n">
        <v>1974</v>
      </c>
      <c r="D1444" s="4" t="s">
        <v>1807</v>
      </c>
      <c r="E1444" s="25" t="str">
        <f aca="false">IF(J1444=1,"✓","")</f>
        <v/>
      </c>
      <c r="F1444" s="4" t="n">
        <v>2</v>
      </c>
      <c r="G1444" s="4" t="n">
        <v>1</v>
      </c>
      <c r="H1444" s="4" t="s">
        <v>213</v>
      </c>
      <c r="I1444" s="4" t="s">
        <v>56</v>
      </c>
      <c r="J1444" s="4" t="n">
        <f aca="false">INDEX('Master List'!$G$2:$G$2594,K1444)</f>
        <v>0</v>
      </c>
      <c r="K1444" s="4" t="n">
        <v>702</v>
      </c>
    </row>
    <row r="1445" customFormat="false" ht="15" hidden="false" customHeight="false" outlineLevel="0" collapsed="false">
      <c r="A1445" s="4" t="n">
        <v>1444</v>
      </c>
      <c r="B1445" s="4" t="s">
        <v>2254</v>
      </c>
      <c r="C1445" s="4" t="n">
        <v>1974</v>
      </c>
      <c r="D1445" s="4" t="s">
        <v>2255</v>
      </c>
      <c r="E1445" s="25" t="str">
        <f aca="false">IF(J1445=1,"✓","")</f>
        <v/>
      </c>
      <c r="F1445" s="4" t="n">
        <v>2</v>
      </c>
      <c r="G1445" s="4" t="n">
        <v>1</v>
      </c>
      <c r="H1445" s="4" t="s">
        <v>213</v>
      </c>
      <c r="I1445" s="4" t="s">
        <v>57</v>
      </c>
      <c r="J1445" s="4" t="n">
        <f aca="false">INDEX('Master List'!$G$2:$G$2594,K1445)</f>
        <v>0</v>
      </c>
      <c r="K1445" s="4" t="n">
        <v>2223</v>
      </c>
    </row>
    <row r="1446" customFormat="false" ht="15" hidden="false" customHeight="false" outlineLevel="0" collapsed="false">
      <c r="A1446" s="4" t="n">
        <v>1445</v>
      </c>
      <c r="B1446" s="4" t="s">
        <v>2256</v>
      </c>
      <c r="C1446" s="4" t="n">
        <v>1975</v>
      </c>
      <c r="D1446" s="4" t="s">
        <v>2257</v>
      </c>
      <c r="E1446" s="25" t="str">
        <f aca="false">IF(J1446=1,"✓","")</f>
        <v/>
      </c>
      <c r="F1446" s="4" t="n">
        <v>2</v>
      </c>
      <c r="G1446" s="4" t="n">
        <v>1</v>
      </c>
      <c r="H1446" s="4" t="s">
        <v>213</v>
      </c>
      <c r="I1446" s="4" t="s">
        <v>51</v>
      </c>
      <c r="J1446" s="4" t="n">
        <f aca="false">INDEX('Master List'!$G$2:$G$2594,K1446)</f>
        <v>0</v>
      </c>
      <c r="K1446" s="4" t="n">
        <v>2435</v>
      </c>
    </row>
    <row r="1447" customFormat="false" ht="15" hidden="false" customHeight="false" outlineLevel="0" collapsed="false">
      <c r="A1447" s="4" t="n">
        <v>1446</v>
      </c>
      <c r="B1447" s="4" t="s">
        <v>2258</v>
      </c>
      <c r="C1447" s="4" t="n">
        <v>1975</v>
      </c>
      <c r="D1447" s="4" t="s">
        <v>2259</v>
      </c>
      <c r="E1447" s="25" t="str">
        <f aca="false">IF(J1447=1,"✓","")</f>
        <v/>
      </c>
      <c r="F1447" s="4" t="n">
        <v>2</v>
      </c>
      <c r="G1447" s="4" t="n">
        <v>1</v>
      </c>
      <c r="H1447" s="4" t="s">
        <v>213</v>
      </c>
      <c r="I1447" s="4" t="s">
        <v>51</v>
      </c>
      <c r="J1447" s="4" t="n">
        <f aca="false">INDEX('Master List'!$G$2:$G$2594,K1447)</f>
        <v>0</v>
      </c>
      <c r="K1447" s="4" t="n">
        <v>196</v>
      </c>
    </row>
    <row r="1448" customFormat="false" ht="15" hidden="false" customHeight="false" outlineLevel="0" collapsed="false">
      <c r="A1448" s="4" t="n">
        <v>1447</v>
      </c>
      <c r="B1448" s="4" t="s">
        <v>2260</v>
      </c>
      <c r="C1448" s="4" t="n">
        <v>1975</v>
      </c>
      <c r="D1448" s="4" t="s">
        <v>2261</v>
      </c>
      <c r="E1448" s="25" t="str">
        <f aca="false">IF(J1448=1,"✓","")</f>
        <v/>
      </c>
      <c r="F1448" s="4" t="n">
        <v>2</v>
      </c>
      <c r="G1448" s="4" t="n">
        <v>1</v>
      </c>
      <c r="H1448" s="4" t="s">
        <v>213</v>
      </c>
      <c r="I1448" s="4" t="s">
        <v>51</v>
      </c>
      <c r="J1448" s="4" t="n">
        <f aca="false">INDEX('Master List'!$G$2:$G$2594,K1448)</f>
        <v>0</v>
      </c>
      <c r="K1448" s="4" t="n">
        <v>606</v>
      </c>
    </row>
    <row r="1449" customFormat="false" ht="15" hidden="false" customHeight="false" outlineLevel="0" collapsed="false">
      <c r="A1449" s="4" t="n">
        <v>1448</v>
      </c>
      <c r="B1449" s="4" t="s">
        <v>2262</v>
      </c>
      <c r="C1449" s="4" t="n">
        <v>1975</v>
      </c>
      <c r="D1449" s="4" t="s">
        <v>470</v>
      </c>
      <c r="E1449" s="25" t="str">
        <f aca="false">IF(J1449=1,"✓","")</f>
        <v/>
      </c>
      <c r="F1449" s="4" t="n">
        <v>2</v>
      </c>
      <c r="G1449" s="4" t="n">
        <v>1</v>
      </c>
      <c r="H1449" s="4" t="s">
        <v>213</v>
      </c>
      <c r="I1449" s="4" t="s">
        <v>51</v>
      </c>
      <c r="J1449" s="4" t="n">
        <f aca="false">INDEX('Master List'!$G$2:$G$2594,K1449)</f>
        <v>0</v>
      </c>
      <c r="K1449" s="4" t="n">
        <v>2561</v>
      </c>
    </row>
    <row r="1450" customFormat="false" ht="15" hidden="false" customHeight="false" outlineLevel="0" collapsed="false">
      <c r="A1450" s="4" t="n">
        <v>1449</v>
      </c>
      <c r="B1450" s="4" t="s">
        <v>2263</v>
      </c>
      <c r="C1450" s="4" t="n">
        <v>1975</v>
      </c>
      <c r="D1450" s="4" t="s">
        <v>301</v>
      </c>
      <c r="E1450" s="25" t="str">
        <f aca="false">IF(J1450=1,"✓","")</f>
        <v/>
      </c>
      <c r="F1450" s="4" t="n">
        <v>2</v>
      </c>
      <c r="G1450" s="4" t="n">
        <v>1</v>
      </c>
      <c r="H1450" s="4" t="s">
        <v>213</v>
      </c>
      <c r="I1450" s="4" t="s">
        <v>52</v>
      </c>
      <c r="J1450" s="4" t="n">
        <f aca="false">INDEX('Master List'!$G$2:$G$2594,K1450)</f>
        <v>0</v>
      </c>
      <c r="K1450" s="4" t="n">
        <v>1604</v>
      </c>
    </row>
    <row r="1451" customFormat="false" ht="15" hidden="false" customHeight="false" outlineLevel="0" collapsed="false">
      <c r="A1451" s="4" t="n">
        <v>1450</v>
      </c>
      <c r="B1451" s="4" t="s">
        <v>2264</v>
      </c>
      <c r="C1451" s="4" t="n">
        <v>1975</v>
      </c>
      <c r="D1451" s="4" t="s">
        <v>2265</v>
      </c>
      <c r="E1451" s="25" t="str">
        <f aca="false">IF(J1451=1,"✓","")</f>
        <v/>
      </c>
      <c r="F1451" s="4" t="n">
        <v>2</v>
      </c>
      <c r="G1451" s="4" t="n">
        <v>1</v>
      </c>
      <c r="H1451" s="4" t="s">
        <v>213</v>
      </c>
      <c r="I1451" s="4" t="s">
        <v>52</v>
      </c>
      <c r="J1451" s="4" t="n">
        <f aca="false">INDEX('Master List'!$G$2:$G$2594,K1451)</f>
        <v>0</v>
      </c>
      <c r="K1451" s="4" t="n">
        <v>1528</v>
      </c>
    </row>
    <row r="1452" customFormat="false" ht="15" hidden="false" customHeight="false" outlineLevel="0" collapsed="false">
      <c r="A1452" s="4" t="n">
        <v>1451</v>
      </c>
      <c r="B1452" s="4" t="s">
        <v>2266</v>
      </c>
      <c r="C1452" s="4" t="n">
        <v>1975</v>
      </c>
      <c r="D1452" s="4" t="s">
        <v>283</v>
      </c>
      <c r="E1452" s="25" t="str">
        <f aca="false">IF(J1452=1,"✓","")</f>
        <v/>
      </c>
      <c r="F1452" s="4" t="n">
        <v>2</v>
      </c>
      <c r="G1452" s="4" t="n">
        <v>1</v>
      </c>
      <c r="H1452" s="4" t="s">
        <v>213</v>
      </c>
      <c r="I1452" s="4" t="s">
        <v>52</v>
      </c>
      <c r="J1452" s="4" t="n">
        <f aca="false">INDEX('Master List'!$G$2:$G$2594,K1452)</f>
        <v>0</v>
      </c>
      <c r="K1452" s="4" t="n">
        <v>1433</v>
      </c>
    </row>
    <row r="1453" customFormat="false" ht="15" hidden="false" customHeight="false" outlineLevel="0" collapsed="false">
      <c r="A1453" s="4" t="n">
        <v>1452</v>
      </c>
      <c r="B1453" s="4" t="s">
        <v>2267</v>
      </c>
      <c r="C1453" s="4" t="n">
        <v>1975</v>
      </c>
      <c r="D1453" s="4" t="s">
        <v>310</v>
      </c>
      <c r="E1453" s="25" t="str">
        <f aca="false">IF(J1453=1,"✓","")</f>
        <v/>
      </c>
      <c r="F1453" s="4" t="n">
        <v>2</v>
      </c>
      <c r="G1453" s="4" t="n">
        <v>1</v>
      </c>
      <c r="H1453" s="4" t="s">
        <v>213</v>
      </c>
      <c r="I1453" s="4" t="s">
        <v>53</v>
      </c>
      <c r="J1453" s="4" t="n">
        <f aca="false">INDEX('Master List'!$G$2:$G$2594,K1453)</f>
        <v>0</v>
      </c>
      <c r="K1453" s="4" t="n">
        <v>2034</v>
      </c>
    </row>
    <row r="1454" customFormat="false" ht="15" hidden="false" customHeight="false" outlineLevel="0" collapsed="false">
      <c r="A1454" s="4" t="n">
        <v>1453</v>
      </c>
      <c r="B1454" s="4" t="s">
        <v>2268</v>
      </c>
      <c r="C1454" s="4" t="n">
        <v>1975</v>
      </c>
      <c r="D1454" s="4" t="s">
        <v>217</v>
      </c>
      <c r="E1454" s="25" t="str">
        <f aca="false">IF(J1454=1,"✓","")</f>
        <v/>
      </c>
      <c r="F1454" s="4" t="n">
        <v>2</v>
      </c>
      <c r="G1454" s="4" t="n">
        <v>1</v>
      </c>
      <c r="H1454" s="4" t="s">
        <v>213</v>
      </c>
      <c r="I1454" s="4" t="s">
        <v>53</v>
      </c>
      <c r="J1454" s="4" t="n">
        <f aca="false">INDEX('Master List'!$G$2:$G$2594,K1454)</f>
        <v>0</v>
      </c>
      <c r="K1454" s="4" t="n">
        <v>1727</v>
      </c>
    </row>
    <row r="1455" customFormat="false" ht="15" hidden="false" customHeight="false" outlineLevel="0" collapsed="false">
      <c r="A1455" s="4" t="n">
        <v>1454</v>
      </c>
      <c r="B1455" s="4" t="s">
        <v>2269</v>
      </c>
      <c r="C1455" s="4" t="n">
        <v>1975</v>
      </c>
      <c r="D1455" s="4" t="s">
        <v>150</v>
      </c>
      <c r="E1455" s="25" t="str">
        <f aca="false">IF(J1455=1,"✓","")</f>
        <v/>
      </c>
      <c r="F1455" s="4" t="n">
        <v>2</v>
      </c>
      <c r="G1455" s="4" t="n">
        <v>1</v>
      </c>
      <c r="H1455" s="4" t="s">
        <v>213</v>
      </c>
      <c r="I1455" s="4" t="s">
        <v>53</v>
      </c>
      <c r="J1455" s="4" t="n">
        <f aca="false">INDEX('Master List'!$G$2:$G$2594,K1455)</f>
        <v>0</v>
      </c>
      <c r="K1455" s="4" t="n">
        <v>2166</v>
      </c>
    </row>
    <row r="1456" customFormat="false" ht="15" hidden="false" customHeight="false" outlineLevel="0" collapsed="false">
      <c r="A1456" s="4" t="n">
        <v>1455</v>
      </c>
      <c r="B1456" s="4" t="s">
        <v>2270</v>
      </c>
      <c r="C1456" s="4" t="n">
        <v>1975</v>
      </c>
      <c r="D1456" s="4" t="s">
        <v>312</v>
      </c>
      <c r="E1456" s="25" t="str">
        <f aca="false">IF(J1456=1,"✓","")</f>
        <v/>
      </c>
      <c r="F1456" s="4" t="n">
        <v>2</v>
      </c>
      <c r="G1456" s="4" t="n">
        <v>1</v>
      </c>
      <c r="H1456" s="4" t="s">
        <v>213</v>
      </c>
      <c r="I1456" s="4" t="s">
        <v>53</v>
      </c>
      <c r="J1456" s="4" t="n">
        <f aca="false">INDEX('Master List'!$G$2:$G$2594,K1456)</f>
        <v>0</v>
      </c>
      <c r="K1456" s="4" t="n">
        <v>842</v>
      </c>
    </row>
    <row r="1457" customFormat="false" ht="15" hidden="false" customHeight="false" outlineLevel="0" collapsed="false">
      <c r="A1457" s="4" t="n">
        <v>1456</v>
      </c>
      <c r="B1457" s="4" t="s">
        <v>2271</v>
      </c>
      <c r="C1457" s="4" t="n">
        <v>1975</v>
      </c>
      <c r="D1457" s="4" t="s">
        <v>156</v>
      </c>
      <c r="E1457" s="25" t="str">
        <f aca="false">IF(J1457=1,"✓","")</f>
        <v>✓</v>
      </c>
      <c r="F1457" s="4" t="n">
        <v>2</v>
      </c>
      <c r="G1457" s="4" t="n">
        <v>1</v>
      </c>
      <c r="H1457" s="4" t="s">
        <v>213</v>
      </c>
      <c r="I1457" s="4" t="s">
        <v>53</v>
      </c>
      <c r="J1457" s="4" t="n">
        <f aca="false">INDEX('Master List'!$G$2:$G$2594,K1457)</f>
        <v>1</v>
      </c>
      <c r="K1457" s="4" t="n">
        <v>612</v>
      </c>
    </row>
    <row r="1458" customFormat="false" ht="15" hidden="false" customHeight="false" outlineLevel="0" collapsed="false">
      <c r="A1458" s="4" t="n">
        <v>1457</v>
      </c>
      <c r="B1458" s="4" t="s">
        <v>2272</v>
      </c>
      <c r="C1458" s="4" t="n">
        <v>1975</v>
      </c>
      <c r="D1458" s="4" t="s">
        <v>2273</v>
      </c>
      <c r="E1458" s="25" t="str">
        <f aca="false">IF(J1458=1,"✓","")</f>
        <v/>
      </c>
      <c r="F1458" s="4" t="n">
        <v>2</v>
      </c>
      <c r="G1458" s="4" t="n">
        <v>1</v>
      </c>
      <c r="H1458" s="4" t="s">
        <v>213</v>
      </c>
      <c r="I1458" s="4" t="s">
        <v>54</v>
      </c>
      <c r="J1458" s="4" t="n">
        <f aca="false">INDEX('Master List'!$G$2:$G$2594,K1458)</f>
        <v>0</v>
      </c>
      <c r="K1458" s="4" t="n">
        <v>372</v>
      </c>
    </row>
    <row r="1459" customFormat="false" ht="15" hidden="false" customHeight="false" outlineLevel="0" collapsed="false">
      <c r="A1459" s="4" t="n">
        <v>1458</v>
      </c>
      <c r="B1459" s="4" t="s">
        <v>2274</v>
      </c>
      <c r="C1459" s="4" t="n">
        <v>1975</v>
      </c>
      <c r="D1459" s="4" t="s">
        <v>2275</v>
      </c>
      <c r="E1459" s="25" t="str">
        <f aca="false">IF(J1459=1,"✓","")</f>
        <v/>
      </c>
      <c r="F1459" s="4" t="n">
        <v>2</v>
      </c>
      <c r="G1459" s="4" t="n">
        <v>1</v>
      </c>
      <c r="H1459" s="4" t="s">
        <v>213</v>
      </c>
      <c r="I1459" s="4" t="s">
        <v>54</v>
      </c>
      <c r="J1459" s="4" t="n">
        <f aca="false">INDEX('Master List'!$G$2:$G$2594,K1459)</f>
        <v>0</v>
      </c>
      <c r="K1459" s="4" t="n">
        <v>656</v>
      </c>
    </row>
    <row r="1460" customFormat="false" ht="15" hidden="false" customHeight="false" outlineLevel="0" collapsed="false">
      <c r="A1460" s="4" t="n">
        <v>1459</v>
      </c>
      <c r="B1460" s="4" t="s">
        <v>2276</v>
      </c>
      <c r="C1460" s="4" t="n">
        <v>1975</v>
      </c>
      <c r="D1460" s="4" t="s">
        <v>2277</v>
      </c>
      <c r="E1460" s="25" t="str">
        <f aca="false">IF(J1460=1,"✓","")</f>
        <v/>
      </c>
      <c r="F1460" s="4" t="n">
        <v>2</v>
      </c>
      <c r="G1460" s="4" t="n">
        <v>1</v>
      </c>
      <c r="H1460" s="4" t="s">
        <v>213</v>
      </c>
      <c r="I1460" s="4" t="s">
        <v>54</v>
      </c>
      <c r="J1460" s="4" t="n">
        <f aca="false">INDEX('Master List'!$G$2:$G$2594,K1460)</f>
        <v>0</v>
      </c>
      <c r="K1460" s="4" t="n">
        <v>596</v>
      </c>
    </row>
    <row r="1461" customFormat="false" ht="15" hidden="false" customHeight="false" outlineLevel="0" collapsed="false">
      <c r="A1461" s="4" t="n">
        <v>1460</v>
      </c>
      <c r="B1461" s="4" t="s">
        <v>2278</v>
      </c>
      <c r="C1461" s="4" t="n">
        <v>1975</v>
      </c>
      <c r="D1461" s="4" t="s">
        <v>829</v>
      </c>
      <c r="E1461" s="25" t="str">
        <f aca="false">IF(J1461=1,"✓","")</f>
        <v/>
      </c>
      <c r="F1461" s="4" t="n">
        <v>2</v>
      </c>
      <c r="G1461" s="4" t="n">
        <v>1</v>
      </c>
      <c r="H1461" s="4" t="s">
        <v>213</v>
      </c>
      <c r="I1461" s="4" t="s">
        <v>56</v>
      </c>
      <c r="J1461" s="4" t="n">
        <f aca="false">INDEX('Master List'!$G$2:$G$2594,K1461)</f>
        <v>0</v>
      </c>
      <c r="K1461" s="4" t="n">
        <v>712</v>
      </c>
    </row>
    <row r="1462" customFormat="false" ht="15" hidden="false" customHeight="false" outlineLevel="0" collapsed="false">
      <c r="A1462" s="4" t="n">
        <v>1461</v>
      </c>
      <c r="B1462" s="4" t="s">
        <v>2279</v>
      </c>
      <c r="C1462" s="4" t="n">
        <v>1975</v>
      </c>
      <c r="D1462" s="4" t="s">
        <v>2280</v>
      </c>
      <c r="E1462" s="25" t="str">
        <f aca="false">IF(J1462=1,"✓","")</f>
        <v/>
      </c>
      <c r="F1462" s="4" t="n">
        <v>2</v>
      </c>
      <c r="G1462" s="4" t="n">
        <v>1</v>
      </c>
      <c r="H1462" s="4" t="s">
        <v>213</v>
      </c>
      <c r="I1462" s="4" t="s">
        <v>57</v>
      </c>
      <c r="J1462" s="4" t="n">
        <f aca="false">INDEX('Master List'!$G$2:$G$2594,K1462)</f>
        <v>0</v>
      </c>
      <c r="K1462" s="4" t="n">
        <v>1890</v>
      </c>
    </row>
    <row r="1463" customFormat="false" ht="15" hidden="false" customHeight="false" outlineLevel="0" collapsed="false">
      <c r="A1463" s="4" t="n">
        <v>1462</v>
      </c>
      <c r="B1463" s="4" t="s">
        <v>2281</v>
      </c>
      <c r="C1463" s="4" t="n">
        <v>1976</v>
      </c>
      <c r="D1463" s="4" t="s">
        <v>995</v>
      </c>
      <c r="E1463" s="25" t="str">
        <f aca="false">IF(J1463=1,"✓","")</f>
        <v/>
      </c>
      <c r="F1463" s="4" t="n">
        <v>2</v>
      </c>
      <c r="G1463" s="4" t="n">
        <v>1</v>
      </c>
      <c r="H1463" s="4" t="s">
        <v>213</v>
      </c>
      <c r="I1463" s="4" t="s">
        <v>51</v>
      </c>
      <c r="J1463" s="4" t="n">
        <f aca="false">INDEX('Master List'!$G$2:$G$2594,K1463)</f>
        <v>0</v>
      </c>
      <c r="K1463" s="4" t="n">
        <v>1131</v>
      </c>
    </row>
    <row r="1464" customFormat="false" ht="15" hidden="false" customHeight="false" outlineLevel="0" collapsed="false">
      <c r="A1464" s="4" t="n">
        <v>1463</v>
      </c>
      <c r="B1464" s="4" t="s">
        <v>2282</v>
      </c>
      <c r="C1464" s="4" t="n">
        <v>1976</v>
      </c>
      <c r="D1464" s="4" t="s">
        <v>2283</v>
      </c>
      <c r="E1464" s="25" t="str">
        <f aca="false">IF(J1464=1,"✓","")</f>
        <v/>
      </c>
      <c r="F1464" s="4" t="n">
        <v>2</v>
      </c>
      <c r="G1464" s="4" t="n">
        <v>1</v>
      </c>
      <c r="H1464" s="4" t="s">
        <v>213</v>
      </c>
      <c r="I1464" s="4" t="s">
        <v>51</v>
      </c>
      <c r="J1464" s="4" t="n">
        <f aca="false">INDEX('Master List'!$G$2:$G$2594,K1464)</f>
        <v>0</v>
      </c>
      <c r="K1464" s="4" t="n">
        <v>534</v>
      </c>
    </row>
    <row r="1465" customFormat="false" ht="15" hidden="false" customHeight="false" outlineLevel="0" collapsed="false">
      <c r="A1465" s="4" t="n">
        <v>1464</v>
      </c>
      <c r="B1465" s="4" t="s">
        <v>2284</v>
      </c>
      <c r="C1465" s="4" t="n">
        <v>1976</v>
      </c>
      <c r="D1465" s="4" t="s">
        <v>829</v>
      </c>
      <c r="E1465" s="25" t="str">
        <f aca="false">IF(J1465=1,"✓","")</f>
        <v/>
      </c>
      <c r="F1465" s="4" t="n">
        <v>2</v>
      </c>
      <c r="G1465" s="4" t="n">
        <v>1</v>
      </c>
      <c r="H1465" s="4" t="s">
        <v>213</v>
      </c>
      <c r="I1465" s="4" t="s">
        <v>52</v>
      </c>
      <c r="J1465" s="4" t="n">
        <f aca="false">INDEX('Master List'!$G$2:$G$2594,K1465)</f>
        <v>0</v>
      </c>
      <c r="K1465" s="4" t="n">
        <v>1701</v>
      </c>
    </row>
    <row r="1466" customFormat="false" ht="15" hidden="false" customHeight="false" outlineLevel="0" collapsed="false">
      <c r="A1466" s="4" t="n">
        <v>1465</v>
      </c>
      <c r="B1466" s="4" t="s">
        <v>2285</v>
      </c>
      <c r="C1466" s="4" t="n">
        <v>1976</v>
      </c>
      <c r="D1466" s="4" t="s">
        <v>2286</v>
      </c>
      <c r="E1466" s="25" t="str">
        <f aca="false">IF(J1466=1,"✓","")</f>
        <v/>
      </c>
      <c r="F1466" s="4" t="n">
        <v>2</v>
      </c>
      <c r="G1466" s="4" t="n">
        <v>1</v>
      </c>
      <c r="H1466" s="4" t="s">
        <v>213</v>
      </c>
      <c r="I1466" s="4" t="s">
        <v>52</v>
      </c>
      <c r="J1466" s="4" t="n">
        <f aca="false">INDEX('Master List'!$G$2:$G$2594,K1466)</f>
        <v>0</v>
      </c>
      <c r="K1466" s="4" t="n">
        <v>1661</v>
      </c>
    </row>
    <row r="1467" customFormat="false" ht="15" hidden="false" customHeight="false" outlineLevel="0" collapsed="false">
      <c r="A1467" s="4" t="n">
        <v>1466</v>
      </c>
      <c r="B1467" s="4" t="s">
        <v>2287</v>
      </c>
      <c r="C1467" s="4" t="n">
        <v>1976</v>
      </c>
      <c r="D1467" s="4" t="s">
        <v>589</v>
      </c>
      <c r="E1467" s="25" t="str">
        <f aca="false">IF(J1467=1,"✓","")</f>
        <v>✓</v>
      </c>
      <c r="F1467" s="4" t="n">
        <v>2</v>
      </c>
      <c r="G1467" s="4" t="n">
        <v>1</v>
      </c>
      <c r="H1467" s="4" t="s">
        <v>213</v>
      </c>
      <c r="I1467" s="4" t="s">
        <v>52</v>
      </c>
      <c r="J1467" s="4" t="n">
        <f aca="false">INDEX('Master List'!$G$2:$G$2594,K1467)</f>
        <v>1</v>
      </c>
      <c r="K1467" s="4" t="n">
        <v>1443</v>
      </c>
    </row>
    <row r="1468" customFormat="false" ht="15" hidden="false" customHeight="false" outlineLevel="0" collapsed="false">
      <c r="A1468" s="4" t="n">
        <v>1467</v>
      </c>
      <c r="B1468" s="4" t="s">
        <v>2288</v>
      </c>
      <c r="C1468" s="4" t="n">
        <v>1976</v>
      </c>
      <c r="D1468" s="4" t="s">
        <v>310</v>
      </c>
      <c r="E1468" s="25" t="str">
        <f aca="false">IF(J1468=1,"✓","")</f>
        <v/>
      </c>
      <c r="F1468" s="4" t="n">
        <v>2</v>
      </c>
      <c r="G1468" s="4" t="n">
        <v>1</v>
      </c>
      <c r="H1468" s="4" t="s">
        <v>213</v>
      </c>
      <c r="I1468" s="4" t="s">
        <v>53</v>
      </c>
      <c r="J1468" s="4" t="n">
        <f aca="false">INDEX('Master List'!$G$2:$G$2594,K1468)</f>
        <v>0</v>
      </c>
      <c r="K1468" s="4" t="n">
        <v>324</v>
      </c>
    </row>
    <row r="1469" customFormat="false" ht="15" hidden="false" customHeight="false" outlineLevel="0" collapsed="false">
      <c r="A1469" s="4" t="n">
        <v>1468</v>
      </c>
      <c r="B1469" s="4" t="s">
        <v>2289</v>
      </c>
      <c r="C1469" s="4" t="n">
        <v>1976</v>
      </c>
      <c r="D1469" s="4" t="s">
        <v>266</v>
      </c>
      <c r="E1469" s="25" t="str">
        <f aca="false">IF(J1469=1,"✓","")</f>
        <v>✓</v>
      </c>
      <c r="F1469" s="4" t="n">
        <v>2</v>
      </c>
      <c r="G1469" s="4" t="n">
        <v>1</v>
      </c>
      <c r="H1469" s="4" t="s">
        <v>213</v>
      </c>
      <c r="I1469" s="4" t="s">
        <v>53</v>
      </c>
      <c r="J1469" s="4" t="n">
        <f aca="false">INDEX('Master List'!$G$2:$G$2594,K1469)</f>
        <v>1</v>
      </c>
      <c r="K1469" s="4" t="n">
        <v>142</v>
      </c>
    </row>
    <row r="1470" customFormat="false" ht="15" hidden="false" customHeight="false" outlineLevel="0" collapsed="false">
      <c r="A1470" s="4" t="n">
        <v>1469</v>
      </c>
      <c r="B1470" s="4" t="s">
        <v>2290</v>
      </c>
      <c r="C1470" s="4" t="n">
        <v>1976</v>
      </c>
      <c r="D1470" s="4" t="s">
        <v>253</v>
      </c>
      <c r="E1470" s="25" t="str">
        <f aca="false">IF(J1470=1,"✓","")</f>
        <v/>
      </c>
      <c r="F1470" s="4" t="n">
        <v>2</v>
      </c>
      <c r="G1470" s="4" t="n">
        <v>1</v>
      </c>
      <c r="H1470" s="4" t="s">
        <v>213</v>
      </c>
      <c r="I1470" s="4" t="s">
        <v>53</v>
      </c>
      <c r="J1470" s="4" t="n">
        <f aca="false">INDEX('Master List'!$G$2:$G$2594,K1470)</f>
        <v>0</v>
      </c>
      <c r="K1470" s="4" t="n">
        <v>1491</v>
      </c>
    </row>
    <row r="1471" customFormat="false" ht="15" hidden="false" customHeight="false" outlineLevel="0" collapsed="false">
      <c r="A1471" s="4" t="n">
        <v>1470</v>
      </c>
      <c r="B1471" s="4" t="s">
        <v>2291</v>
      </c>
      <c r="C1471" s="4" t="n">
        <v>1976</v>
      </c>
      <c r="D1471" s="4" t="s">
        <v>801</v>
      </c>
      <c r="E1471" s="25" t="str">
        <f aca="false">IF(J1471=1,"✓","")</f>
        <v/>
      </c>
      <c r="F1471" s="4" t="n">
        <v>2</v>
      </c>
      <c r="G1471" s="4" t="n">
        <v>1</v>
      </c>
      <c r="H1471" s="4" t="s">
        <v>213</v>
      </c>
      <c r="I1471" s="4" t="s">
        <v>53</v>
      </c>
      <c r="J1471" s="4" t="n">
        <f aca="false">INDEX('Master List'!$G$2:$G$2594,K1471)</f>
        <v>0</v>
      </c>
      <c r="K1471" s="4" t="n">
        <v>1253</v>
      </c>
    </row>
    <row r="1472" customFormat="false" ht="15" hidden="false" customHeight="false" outlineLevel="0" collapsed="false">
      <c r="A1472" s="4" t="n">
        <v>1471</v>
      </c>
      <c r="B1472" s="4" t="s">
        <v>2292</v>
      </c>
      <c r="C1472" s="4" t="n">
        <v>1977</v>
      </c>
      <c r="D1472" s="4" t="s">
        <v>365</v>
      </c>
      <c r="E1472" s="25" t="str">
        <f aca="false">IF(J1472=1,"✓","")</f>
        <v/>
      </c>
      <c r="F1472" s="4" t="n">
        <v>2</v>
      </c>
      <c r="G1472" s="4" t="n">
        <v>1</v>
      </c>
      <c r="H1472" s="4" t="s">
        <v>213</v>
      </c>
      <c r="I1472" s="4" t="s">
        <v>51</v>
      </c>
      <c r="J1472" s="4" t="n">
        <f aca="false">INDEX('Master List'!$G$2:$G$2594,K1472)</f>
        <v>0</v>
      </c>
      <c r="K1472" s="4" t="n">
        <v>88</v>
      </c>
    </row>
    <row r="1473" customFormat="false" ht="15" hidden="false" customHeight="false" outlineLevel="0" collapsed="false">
      <c r="A1473" s="4" t="n">
        <v>1472</v>
      </c>
      <c r="B1473" s="4" t="s">
        <v>2293</v>
      </c>
      <c r="C1473" s="4" t="n">
        <v>1977</v>
      </c>
      <c r="D1473" s="4" t="s">
        <v>753</v>
      </c>
      <c r="E1473" s="25" t="str">
        <f aca="false">IF(J1473=1,"✓","")</f>
        <v/>
      </c>
      <c r="F1473" s="4" t="n">
        <v>2</v>
      </c>
      <c r="G1473" s="4" t="n">
        <v>1</v>
      </c>
      <c r="H1473" s="4" t="s">
        <v>213</v>
      </c>
      <c r="I1473" s="4" t="s">
        <v>51</v>
      </c>
      <c r="J1473" s="4" t="n">
        <f aca="false">INDEX('Master List'!$G$2:$G$2594,K1473)</f>
        <v>0</v>
      </c>
      <c r="K1473" s="4" t="n">
        <v>1426</v>
      </c>
    </row>
    <row r="1474" customFormat="false" ht="15" hidden="false" customHeight="false" outlineLevel="0" collapsed="false">
      <c r="A1474" s="4" t="n">
        <v>1473</v>
      </c>
      <c r="B1474" s="4" t="s">
        <v>2294</v>
      </c>
      <c r="C1474" s="4" t="n">
        <v>1977</v>
      </c>
      <c r="D1474" s="4" t="s">
        <v>470</v>
      </c>
      <c r="E1474" s="25" t="str">
        <f aca="false">IF(J1474=1,"✓","")</f>
        <v/>
      </c>
      <c r="F1474" s="4" t="n">
        <v>2</v>
      </c>
      <c r="G1474" s="4" t="n">
        <v>1</v>
      </c>
      <c r="H1474" s="4" t="s">
        <v>213</v>
      </c>
      <c r="I1474" s="4" t="s">
        <v>51</v>
      </c>
      <c r="J1474" s="4" t="n">
        <f aca="false">INDEX('Master List'!$G$2:$G$2594,K1474)</f>
        <v>0</v>
      </c>
      <c r="K1474" s="4" t="n">
        <v>415</v>
      </c>
    </row>
    <row r="1475" customFormat="false" ht="15" hidden="false" customHeight="false" outlineLevel="0" collapsed="false">
      <c r="A1475" s="4" t="n">
        <v>1474</v>
      </c>
      <c r="B1475" s="4" t="s">
        <v>2295</v>
      </c>
      <c r="C1475" s="4" t="n">
        <v>1977</v>
      </c>
      <c r="D1475" s="4" t="s">
        <v>439</v>
      </c>
      <c r="E1475" s="25" t="str">
        <f aca="false">IF(J1475=1,"✓","")</f>
        <v>✓</v>
      </c>
      <c r="F1475" s="4" t="n">
        <v>2</v>
      </c>
      <c r="G1475" s="4" t="n">
        <v>1</v>
      </c>
      <c r="H1475" s="4" t="s">
        <v>213</v>
      </c>
      <c r="I1475" s="4" t="s">
        <v>51</v>
      </c>
      <c r="J1475" s="4" t="n">
        <f aca="false">INDEX('Master List'!$G$2:$G$2594,K1475)</f>
        <v>1</v>
      </c>
      <c r="K1475" s="4" t="n">
        <v>1304</v>
      </c>
    </row>
    <row r="1476" customFormat="false" ht="15" hidden="false" customHeight="false" outlineLevel="0" collapsed="false">
      <c r="A1476" s="4" t="n">
        <v>1475</v>
      </c>
      <c r="B1476" s="4" t="s">
        <v>2296</v>
      </c>
      <c r="C1476" s="4" t="n">
        <v>1977</v>
      </c>
      <c r="D1476" s="4" t="s">
        <v>2297</v>
      </c>
      <c r="E1476" s="25" t="str">
        <f aca="false">IF(J1476=1,"✓","")</f>
        <v>✓</v>
      </c>
      <c r="F1476" s="4" t="n">
        <v>2</v>
      </c>
      <c r="G1476" s="4" t="n">
        <v>1</v>
      </c>
      <c r="H1476" s="4" t="s">
        <v>213</v>
      </c>
      <c r="I1476" s="4" t="s">
        <v>52</v>
      </c>
      <c r="J1476" s="4" t="n">
        <f aca="false">INDEX('Master List'!$G$2:$G$2594,K1476)</f>
        <v>1</v>
      </c>
      <c r="K1476" s="4" t="n">
        <v>392</v>
      </c>
    </row>
    <row r="1477" customFormat="false" ht="15" hidden="false" customHeight="false" outlineLevel="0" collapsed="false">
      <c r="A1477" s="4" t="n">
        <v>1476</v>
      </c>
      <c r="B1477" s="4" t="s">
        <v>2298</v>
      </c>
      <c r="C1477" s="4" t="n">
        <v>1977</v>
      </c>
      <c r="D1477" s="4" t="s">
        <v>197</v>
      </c>
      <c r="E1477" s="25" t="str">
        <f aca="false">IF(J1477=1,"✓","")</f>
        <v/>
      </c>
      <c r="F1477" s="4" t="n">
        <v>2</v>
      </c>
      <c r="G1477" s="4" t="n">
        <v>1</v>
      </c>
      <c r="H1477" s="4" t="s">
        <v>213</v>
      </c>
      <c r="I1477" s="4" t="s">
        <v>53</v>
      </c>
      <c r="J1477" s="4" t="n">
        <f aca="false">INDEX('Master List'!$G$2:$G$2594,K1477)</f>
        <v>0</v>
      </c>
      <c r="K1477" s="4" t="n">
        <v>19</v>
      </c>
    </row>
    <row r="1478" customFormat="false" ht="15" hidden="false" customHeight="false" outlineLevel="0" collapsed="false">
      <c r="A1478" s="4" t="n">
        <v>1477</v>
      </c>
      <c r="B1478" s="4" t="s">
        <v>2299</v>
      </c>
      <c r="C1478" s="4" t="n">
        <v>1977</v>
      </c>
      <c r="D1478" s="4" t="s">
        <v>158</v>
      </c>
      <c r="E1478" s="25" t="str">
        <f aca="false">IF(J1478=1,"✓","")</f>
        <v/>
      </c>
      <c r="F1478" s="4" t="n">
        <v>2</v>
      </c>
      <c r="G1478" s="4" t="n">
        <v>1</v>
      </c>
      <c r="H1478" s="4" t="s">
        <v>213</v>
      </c>
      <c r="I1478" s="4" t="s">
        <v>53</v>
      </c>
      <c r="J1478" s="4" t="n">
        <f aca="false">INDEX('Master List'!$G$2:$G$2594,K1478)</f>
        <v>0</v>
      </c>
      <c r="K1478" s="4" t="n">
        <v>1680</v>
      </c>
    </row>
    <row r="1479" customFormat="false" ht="15" hidden="false" customHeight="false" outlineLevel="0" collapsed="false">
      <c r="A1479" s="4" t="n">
        <v>1478</v>
      </c>
      <c r="B1479" s="4" t="s">
        <v>2300</v>
      </c>
      <c r="C1479" s="4" t="n">
        <v>1977</v>
      </c>
      <c r="D1479" s="4" t="s">
        <v>402</v>
      </c>
      <c r="E1479" s="25" t="str">
        <f aca="false">IF(J1479=1,"✓","")</f>
        <v/>
      </c>
      <c r="F1479" s="4" t="n">
        <v>2</v>
      </c>
      <c r="G1479" s="4" t="n">
        <v>1</v>
      </c>
      <c r="H1479" s="4" t="s">
        <v>213</v>
      </c>
      <c r="I1479" s="4" t="s">
        <v>53</v>
      </c>
      <c r="J1479" s="4" t="n">
        <f aca="false">INDEX('Master List'!$G$2:$G$2594,K1479)</f>
        <v>0</v>
      </c>
      <c r="K1479" s="4" t="n">
        <v>2261</v>
      </c>
    </row>
    <row r="1480" customFormat="false" ht="15" hidden="false" customHeight="false" outlineLevel="0" collapsed="false">
      <c r="A1480" s="4" t="n">
        <v>1479</v>
      </c>
      <c r="B1480" s="4" t="s">
        <v>2301</v>
      </c>
      <c r="C1480" s="4" t="n">
        <v>1977</v>
      </c>
      <c r="D1480" s="4" t="s">
        <v>2302</v>
      </c>
      <c r="E1480" s="25" t="str">
        <f aca="false">IF(J1480=1,"✓","")</f>
        <v/>
      </c>
      <c r="F1480" s="4" t="n">
        <v>2</v>
      </c>
      <c r="G1480" s="4" t="n">
        <v>1</v>
      </c>
      <c r="H1480" s="4" t="s">
        <v>213</v>
      </c>
      <c r="I1480" s="4" t="s">
        <v>54</v>
      </c>
      <c r="J1480" s="4" t="n">
        <f aca="false">INDEX('Master List'!$G$2:$G$2594,K1480)</f>
        <v>0</v>
      </c>
      <c r="K1480" s="4" t="n">
        <v>1899</v>
      </c>
    </row>
    <row r="1481" customFormat="false" ht="15" hidden="false" customHeight="false" outlineLevel="0" collapsed="false">
      <c r="A1481" s="4" t="n">
        <v>1480</v>
      </c>
      <c r="B1481" s="4" t="s">
        <v>2303</v>
      </c>
      <c r="C1481" s="4" t="n">
        <v>1977</v>
      </c>
      <c r="D1481" s="4" t="s">
        <v>797</v>
      </c>
      <c r="E1481" s="25" t="str">
        <f aca="false">IF(J1481=1,"✓","")</f>
        <v/>
      </c>
      <c r="F1481" s="4" t="n">
        <v>2</v>
      </c>
      <c r="G1481" s="4" t="n">
        <v>1</v>
      </c>
      <c r="H1481" s="4" t="s">
        <v>213</v>
      </c>
      <c r="I1481" s="4" t="s">
        <v>55</v>
      </c>
      <c r="J1481" s="4" t="n">
        <f aca="false">INDEX('Master List'!$G$2:$G$2594,K1481)</f>
        <v>0</v>
      </c>
      <c r="K1481" s="4" t="n">
        <v>2087</v>
      </c>
    </row>
    <row r="1482" customFormat="false" ht="15" hidden="false" customHeight="false" outlineLevel="0" collapsed="false">
      <c r="A1482" s="4" t="n">
        <v>1481</v>
      </c>
      <c r="B1482" s="4" t="s">
        <v>2304</v>
      </c>
      <c r="C1482" s="4" t="n">
        <v>1978</v>
      </c>
      <c r="D1482" s="4" t="s">
        <v>2286</v>
      </c>
      <c r="E1482" s="25" t="str">
        <f aca="false">IF(J1482=1,"✓","")</f>
        <v/>
      </c>
      <c r="F1482" s="4" t="n">
        <v>2</v>
      </c>
      <c r="G1482" s="4" t="n">
        <v>1</v>
      </c>
      <c r="H1482" s="4" t="s">
        <v>213</v>
      </c>
      <c r="I1482" s="4" t="s">
        <v>50</v>
      </c>
      <c r="J1482" s="4" t="n">
        <f aca="false">INDEX('Master List'!$G$2:$G$2594,K1482)</f>
        <v>0</v>
      </c>
      <c r="K1482" s="4" t="n">
        <v>2206</v>
      </c>
    </row>
    <row r="1483" customFormat="false" ht="15" hidden="false" customHeight="false" outlineLevel="0" collapsed="false">
      <c r="A1483" s="4" t="n">
        <v>1482</v>
      </c>
      <c r="B1483" s="4" t="s">
        <v>2305</v>
      </c>
      <c r="C1483" s="4" t="n">
        <v>1978</v>
      </c>
      <c r="D1483" s="4" t="s">
        <v>2306</v>
      </c>
      <c r="E1483" s="25" t="str">
        <f aca="false">IF(J1483=1,"✓","")</f>
        <v/>
      </c>
      <c r="F1483" s="4" t="n">
        <v>2</v>
      </c>
      <c r="G1483" s="4" t="n">
        <v>1</v>
      </c>
      <c r="H1483" s="4" t="s">
        <v>213</v>
      </c>
      <c r="I1483" s="4" t="s">
        <v>51</v>
      </c>
      <c r="J1483" s="4" t="n">
        <f aca="false">INDEX('Master List'!$G$2:$G$2594,K1483)</f>
        <v>0</v>
      </c>
      <c r="K1483" s="4" t="n">
        <v>21</v>
      </c>
    </row>
    <row r="1484" customFormat="false" ht="15" hidden="false" customHeight="false" outlineLevel="0" collapsed="false">
      <c r="A1484" s="4" t="n">
        <v>1483</v>
      </c>
      <c r="B1484" s="4" t="s">
        <v>2307</v>
      </c>
      <c r="C1484" s="4" t="n">
        <v>1978</v>
      </c>
      <c r="D1484" s="4" t="s">
        <v>2308</v>
      </c>
      <c r="E1484" s="25" t="str">
        <f aca="false">IF(J1484=1,"✓","")</f>
        <v/>
      </c>
      <c r="F1484" s="4" t="n">
        <v>2</v>
      </c>
      <c r="G1484" s="4" t="n">
        <v>1</v>
      </c>
      <c r="H1484" s="4" t="s">
        <v>213</v>
      </c>
      <c r="I1484" s="4" t="s">
        <v>51</v>
      </c>
      <c r="J1484" s="4" t="n">
        <f aca="false">INDEX('Master List'!$G$2:$G$2594,K1484)</f>
        <v>0</v>
      </c>
      <c r="K1484" s="4" t="n">
        <v>429</v>
      </c>
    </row>
    <row r="1485" customFormat="false" ht="15" hidden="false" customHeight="false" outlineLevel="0" collapsed="false">
      <c r="A1485" s="4" t="n">
        <v>1484</v>
      </c>
      <c r="B1485" s="4" t="s">
        <v>2309</v>
      </c>
      <c r="C1485" s="4" t="n">
        <v>1978</v>
      </c>
      <c r="D1485" s="4" t="s">
        <v>1062</v>
      </c>
      <c r="E1485" s="25" t="str">
        <f aca="false">IF(J1485=1,"✓","")</f>
        <v>✓</v>
      </c>
      <c r="F1485" s="4" t="n">
        <v>2</v>
      </c>
      <c r="G1485" s="4" t="n">
        <v>1</v>
      </c>
      <c r="H1485" s="4" t="s">
        <v>213</v>
      </c>
      <c r="I1485" s="4" t="s">
        <v>52</v>
      </c>
      <c r="J1485" s="4" t="n">
        <f aca="false">INDEX('Master List'!$G$2:$G$2594,K1485)</f>
        <v>1</v>
      </c>
      <c r="K1485" s="4" t="n">
        <v>109</v>
      </c>
    </row>
    <row r="1486" customFormat="false" ht="15" hidden="false" customHeight="false" outlineLevel="0" collapsed="false">
      <c r="A1486" s="4" t="n">
        <v>1485</v>
      </c>
      <c r="B1486" s="4" t="s">
        <v>2310</v>
      </c>
      <c r="C1486" s="4" t="n">
        <v>1978</v>
      </c>
      <c r="D1486" s="4" t="s">
        <v>2311</v>
      </c>
      <c r="E1486" s="25" t="str">
        <f aca="false">IF(J1486=1,"✓","")</f>
        <v/>
      </c>
      <c r="F1486" s="4" t="n">
        <v>2</v>
      </c>
      <c r="G1486" s="4" t="n">
        <v>1</v>
      </c>
      <c r="H1486" s="4" t="s">
        <v>213</v>
      </c>
      <c r="I1486" s="4" t="s">
        <v>52</v>
      </c>
      <c r="J1486" s="4" t="n">
        <f aca="false">INDEX('Master List'!$G$2:$G$2594,K1486)</f>
        <v>0</v>
      </c>
      <c r="K1486" s="4" t="n">
        <v>2470</v>
      </c>
    </row>
    <row r="1487" customFormat="false" ht="15" hidden="false" customHeight="false" outlineLevel="0" collapsed="false">
      <c r="A1487" s="4" t="n">
        <v>1486</v>
      </c>
      <c r="B1487" s="4" t="s">
        <v>2312</v>
      </c>
      <c r="C1487" s="4" t="n">
        <v>1978</v>
      </c>
      <c r="D1487" s="4" t="s">
        <v>312</v>
      </c>
      <c r="E1487" s="25" t="str">
        <f aca="false">IF(J1487=1,"✓","")</f>
        <v/>
      </c>
      <c r="F1487" s="4" t="n">
        <v>2</v>
      </c>
      <c r="G1487" s="4" t="n">
        <v>1</v>
      </c>
      <c r="H1487" s="4" t="s">
        <v>213</v>
      </c>
      <c r="I1487" s="4" t="s">
        <v>53</v>
      </c>
      <c r="J1487" s="4" t="n">
        <f aca="false">INDEX('Master List'!$G$2:$G$2594,K1487)</f>
        <v>0</v>
      </c>
      <c r="K1487" s="4" t="n">
        <v>1125</v>
      </c>
    </row>
    <row r="1488" customFormat="false" ht="15" hidden="false" customHeight="false" outlineLevel="0" collapsed="false">
      <c r="A1488" s="4" t="n">
        <v>1487</v>
      </c>
      <c r="B1488" s="4" t="s">
        <v>2313</v>
      </c>
      <c r="C1488" s="4" t="n">
        <v>1978</v>
      </c>
      <c r="D1488" s="4" t="s">
        <v>185</v>
      </c>
      <c r="E1488" s="25" t="str">
        <f aca="false">IF(J1488=1,"✓","")</f>
        <v/>
      </c>
      <c r="F1488" s="4" t="n">
        <v>2</v>
      </c>
      <c r="G1488" s="4" t="n">
        <v>1</v>
      </c>
      <c r="H1488" s="4" t="s">
        <v>213</v>
      </c>
      <c r="I1488" s="4" t="s">
        <v>53</v>
      </c>
      <c r="J1488" s="4" t="n">
        <f aca="false">INDEX('Master List'!$G$2:$G$2594,K1488)</f>
        <v>0</v>
      </c>
      <c r="K1488" s="4" t="n">
        <v>1884</v>
      </c>
    </row>
    <row r="1489" customFormat="false" ht="15" hidden="false" customHeight="false" outlineLevel="0" collapsed="false">
      <c r="A1489" s="4" t="n">
        <v>1488</v>
      </c>
      <c r="B1489" s="4" t="s">
        <v>2314</v>
      </c>
      <c r="C1489" s="4" t="n">
        <v>1978</v>
      </c>
      <c r="D1489" s="4" t="s">
        <v>1417</v>
      </c>
      <c r="E1489" s="25" t="str">
        <f aca="false">IF(J1489=1,"✓","")</f>
        <v/>
      </c>
      <c r="F1489" s="4" t="n">
        <v>2</v>
      </c>
      <c r="G1489" s="4" t="n">
        <v>1</v>
      </c>
      <c r="H1489" s="4" t="s">
        <v>213</v>
      </c>
      <c r="I1489" s="4" t="s">
        <v>55</v>
      </c>
      <c r="J1489" s="4" t="n">
        <f aca="false">INDEX('Master List'!$G$2:$G$2594,K1489)</f>
        <v>0</v>
      </c>
      <c r="K1489" s="4" t="n">
        <v>298</v>
      </c>
    </row>
    <row r="1490" customFormat="false" ht="15" hidden="false" customHeight="false" outlineLevel="0" collapsed="false">
      <c r="A1490" s="4" t="n">
        <v>1489</v>
      </c>
      <c r="B1490" s="4" t="s">
        <v>2315</v>
      </c>
      <c r="C1490" s="4" t="n">
        <v>1978</v>
      </c>
      <c r="D1490" s="4" t="s">
        <v>2316</v>
      </c>
      <c r="E1490" s="25" t="str">
        <f aca="false">IF(J1490=1,"✓","")</f>
        <v/>
      </c>
      <c r="F1490" s="4" t="n">
        <v>2</v>
      </c>
      <c r="G1490" s="4" t="n">
        <v>1</v>
      </c>
      <c r="H1490" s="4" t="s">
        <v>213</v>
      </c>
      <c r="I1490" s="4" t="s">
        <v>55</v>
      </c>
      <c r="J1490" s="4" t="n">
        <f aca="false">INDEX('Master List'!$G$2:$G$2594,K1490)</f>
        <v>0</v>
      </c>
      <c r="K1490" s="4" t="n">
        <v>1494</v>
      </c>
    </row>
    <row r="1491" customFormat="false" ht="15" hidden="false" customHeight="false" outlineLevel="0" collapsed="false">
      <c r="A1491" s="4" t="n">
        <v>1490</v>
      </c>
      <c r="B1491" s="4" t="s">
        <v>408</v>
      </c>
      <c r="C1491" s="4" t="n">
        <v>1978</v>
      </c>
      <c r="D1491" s="4" t="s">
        <v>2317</v>
      </c>
      <c r="E1491" s="25" t="str">
        <f aca="false">IF(J1491=1,"✓","")</f>
        <v>✓</v>
      </c>
      <c r="F1491" s="4" t="n">
        <v>2</v>
      </c>
      <c r="G1491" s="4" t="n">
        <v>1</v>
      </c>
      <c r="H1491" s="4" t="s">
        <v>213</v>
      </c>
      <c r="I1491" s="4" t="s">
        <v>55</v>
      </c>
      <c r="J1491" s="4" t="n">
        <f aca="false">INDEX('Master List'!$G$2:$G$2594,K1491)</f>
        <v>1</v>
      </c>
      <c r="K1491" s="4" t="n">
        <v>1161</v>
      </c>
    </row>
    <row r="1492" customFormat="false" ht="15" hidden="false" customHeight="false" outlineLevel="0" collapsed="false">
      <c r="A1492" s="4" t="n">
        <v>1491</v>
      </c>
      <c r="B1492" s="4" t="s">
        <v>2318</v>
      </c>
      <c r="C1492" s="4" t="n">
        <v>1978</v>
      </c>
      <c r="D1492" s="4" t="s">
        <v>2319</v>
      </c>
      <c r="E1492" s="25" t="str">
        <f aca="false">IF(J1492=1,"✓","")</f>
        <v/>
      </c>
      <c r="F1492" s="4" t="n">
        <v>2</v>
      </c>
      <c r="G1492" s="4" t="n">
        <v>1</v>
      </c>
      <c r="H1492" s="4" t="s">
        <v>213</v>
      </c>
      <c r="I1492" s="4" t="s">
        <v>56</v>
      </c>
      <c r="J1492" s="4" t="n">
        <f aca="false">INDEX('Master List'!$G$2:$G$2594,K1492)</f>
        <v>0</v>
      </c>
      <c r="K1492" s="4" t="n">
        <v>251</v>
      </c>
    </row>
    <row r="1493" customFormat="false" ht="15" hidden="false" customHeight="false" outlineLevel="0" collapsed="false">
      <c r="A1493" s="4" t="n">
        <v>1492</v>
      </c>
      <c r="B1493" s="4" t="s">
        <v>2320</v>
      </c>
      <c r="C1493" s="4" t="n">
        <v>1978</v>
      </c>
      <c r="D1493" s="4" t="s">
        <v>2239</v>
      </c>
      <c r="E1493" s="25" t="str">
        <f aca="false">IF(J1493=1,"✓","")</f>
        <v/>
      </c>
      <c r="F1493" s="4" t="n">
        <v>2</v>
      </c>
      <c r="G1493" s="4" t="n">
        <v>1</v>
      </c>
      <c r="H1493" s="4" t="s">
        <v>213</v>
      </c>
      <c r="I1493" s="4" t="s">
        <v>56</v>
      </c>
      <c r="J1493" s="4" t="n">
        <f aca="false">INDEX('Master List'!$G$2:$G$2594,K1493)</f>
        <v>0</v>
      </c>
      <c r="K1493" s="4" t="n">
        <v>1138</v>
      </c>
    </row>
    <row r="1494" customFormat="false" ht="15" hidden="false" customHeight="false" outlineLevel="0" collapsed="false">
      <c r="A1494" s="4" t="n">
        <v>1493</v>
      </c>
      <c r="B1494" s="4" t="s">
        <v>2321</v>
      </c>
      <c r="C1494" s="4" t="n">
        <v>1978</v>
      </c>
      <c r="D1494" s="4" t="s">
        <v>1090</v>
      </c>
      <c r="E1494" s="25" t="str">
        <f aca="false">IF(J1494=1,"✓","")</f>
        <v/>
      </c>
      <c r="F1494" s="4" t="n">
        <v>2</v>
      </c>
      <c r="G1494" s="4" t="n">
        <v>1</v>
      </c>
      <c r="H1494" s="4" t="s">
        <v>213</v>
      </c>
      <c r="I1494" s="4" t="s">
        <v>57</v>
      </c>
      <c r="J1494" s="4" t="n">
        <f aca="false">INDEX('Master List'!$G$2:$G$2594,K1494)</f>
        <v>0</v>
      </c>
      <c r="K1494" s="4" t="n">
        <v>881</v>
      </c>
    </row>
    <row r="1495" customFormat="false" ht="15" hidden="false" customHeight="false" outlineLevel="0" collapsed="false">
      <c r="A1495" s="4" t="n">
        <v>1494</v>
      </c>
      <c r="B1495" s="4" t="s">
        <v>2322</v>
      </c>
      <c r="C1495" s="4" t="n">
        <v>1979</v>
      </c>
      <c r="D1495" s="4" t="s">
        <v>2323</v>
      </c>
      <c r="E1495" s="25" t="str">
        <f aca="false">IF(J1495=1,"✓","")</f>
        <v/>
      </c>
      <c r="F1495" s="4" t="n">
        <v>2</v>
      </c>
      <c r="G1495" s="4" t="n">
        <v>1</v>
      </c>
      <c r="H1495" s="4" t="s">
        <v>213</v>
      </c>
      <c r="I1495" s="4" t="s">
        <v>51</v>
      </c>
      <c r="J1495" s="4" t="n">
        <f aca="false">INDEX('Master List'!$G$2:$G$2594,K1495)</f>
        <v>0</v>
      </c>
      <c r="K1495" s="4" t="n">
        <v>2308</v>
      </c>
    </row>
    <row r="1496" customFormat="false" ht="15" hidden="false" customHeight="false" outlineLevel="0" collapsed="false">
      <c r="A1496" s="4" t="n">
        <v>1495</v>
      </c>
      <c r="B1496" s="4" t="s">
        <v>2324</v>
      </c>
      <c r="C1496" s="4" t="n">
        <v>1979</v>
      </c>
      <c r="D1496" s="4" t="s">
        <v>2325</v>
      </c>
      <c r="E1496" s="25" t="str">
        <f aca="false">IF(J1496=1,"✓","")</f>
        <v/>
      </c>
      <c r="F1496" s="4" t="n">
        <v>2</v>
      </c>
      <c r="G1496" s="4" t="n">
        <v>1</v>
      </c>
      <c r="H1496" s="4" t="s">
        <v>213</v>
      </c>
      <c r="I1496" s="4" t="s">
        <v>51</v>
      </c>
      <c r="J1496" s="4" t="n">
        <f aca="false">INDEX('Master List'!$G$2:$G$2594,K1496)</f>
        <v>0</v>
      </c>
      <c r="K1496" s="4" t="n">
        <v>2002</v>
      </c>
    </row>
    <row r="1497" customFormat="false" ht="15" hidden="false" customHeight="false" outlineLevel="0" collapsed="false">
      <c r="A1497" s="4" t="n">
        <v>1496</v>
      </c>
      <c r="B1497" s="4" t="s">
        <v>2326</v>
      </c>
      <c r="C1497" s="4" t="n">
        <v>1979</v>
      </c>
      <c r="D1497" s="4" t="s">
        <v>2327</v>
      </c>
      <c r="E1497" s="25" t="str">
        <f aca="false">IF(J1497=1,"✓","")</f>
        <v/>
      </c>
      <c r="F1497" s="4" t="n">
        <v>2</v>
      </c>
      <c r="G1497" s="4" t="n">
        <v>1</v>
      </c>
      <c r="H1497" s="4" t="s">
        <v>213</v>
      </c>
      <c r="I1497" s="4" t="s">
        <v>51</v>
      </c>
      <c r="J1497" s="4" t="n">
        <f aca="false">INDEX('Master List'!$G$2:$G$2594,K1497)</f>
        <v>0</v>
      </c>
      <c r="K1497" s="4" t="n">
        <v>1567</v>
      </c>
    </row>
    <row r="1498" customFormat="false" ht="15" hidden="false" customHeight="false" outlineLevel="0" collapsed="false">
      <c r="A1498" s="4" t="n">
        <v>1497</v>
      </c>
      <c r="B1498" s="4" t="s">
        <v>2328</v>
      </c>
      <c r="C1498" s="4" t="n">
        <v>1979</v>
      </c>
      <c r="D1498" s="4" t="s">
        <v>791</v>
      </c>
      <c r="E1498" s="25" t="str">
        <f aca="false">IF(J1498=1,"✓","")</f>
        <v/>
      </c>
      <c r="F1498" s="4" t="n">
        <v>2</v>
      </c>
      <c r="G1498" s="4" t="n">
        <v>1</v>
      </c>
      <c r="H1498" s="4" t="s">
        <v>213</v>
      </c>
      <c r="I1498" s="4" t="s">
        <v>52</v>
      </c>
      <c r="J1498" s="4" t="n">
        <f aca="false">INDEX('Master List'!$G$2:$G$2594,K1498)</f>
        <v>0</v>
      </c>
      <c r="K1498" s="4" t="n">
        <v>75</v>
      </c>
    </row>
    <row r="1499" customFormat="false" ht="15" hidden="false" customHeight="false" outlineLevel="0" collapsed="false">
      <c r="A1499" s="4" t="n">
        <v>1498</v>
      </c>
      <c r="B1499" s="4" t="s">
        <v>2329</v>
      </c>
      <c r="C1499" s="4" t="n">
        <v>1979</v>
      </c>
      <c r="D1499" s="4" t="s">
        <v>292</v>
      </c>
      <c r="E1499" s="25" t="str">
        <f aca="false">IF(J1499=1,"✓","")</f>
        <v/>
      </c>
      <c r="F1499" s="4" t="n">
        <v>2</v>
      </c>
      <c r="G1499" s="4" t="n">
        <v>1</v>
      </c>
      <c r="H1499" s="4" t="s">
        <v>213</v>
      </c>
      <c r="I1499" s="4" t="s">
        <v>53</v>
      </c>
      <c r="J1499" s="4" t="n">
        <f aca="false">INDEX('Master List'!$G$2:$G$2594,K1499)</f>
        <v>0</v>
      </c>
      <c r="K1499" s="4" t="n">
        <v>1633</v>
      </c>
    </row>
    <row r="1500" customFormat="false" ht="15" hidden="false" customHeight="false" outlineLevel="0" collapsed="false">
      <c r="A1500" s="4" t="n">
        <v>1499</v>
      </c>
      <c r="B1500" s="4" t="s">
        <v>2330</v>
      </c>
      <c r="C1500" s="4" t="n">
        <v>1979</v>
      </c>
      <c r="D1500" s="4" t="s">
        <v>2233</v>
      </c>
      <c r="E1500" s="25" t="str">
        <f aca="false">IF(J1500=1,"✓","")</f>
        <v/>
      </c>
      <c r="F1500" s="4" t="n">
        <v>2</v>
      </c>
      <c r="G1500" s="4" t="n">
        <v>1</v>
      </c>
      <c r="H1500" s="4" t="s">
        <v>213</v>
      </c>
      <c r="I1500" s="4" t="s">
        <v>55</v>
      </c>
      <c r="J1500" s="4" t="n">
        <f aca="false">INDEX('Master List'!$G$2:$G$2594,K1500)</f>
        <v>0</v>
      </c>
      <c r="K1500" s="4" t="n">
        <v>449</v>
      </c>
    </row>
    <row r="1501" customFormat="false" ht="15" hidden="false" customHeight="false" outlineLevel="0" collapsed="false">
      <c r="A1501" s="4" t="n">
        <v>1500</v>
      </c>
      <c r="B1501" s="4" t="s">
        <v>2331</v>
      </c>
      <c r="C1501" s="4" t="n">
        <v>1980</v>
      </c>
      <c r="D1501" s="4" t="s">
        <v>709</v>
      </c>
      <c r="E1501" s="25" t="str">
        <f aca="false">IF(J1501=1,"✓","")</f>
        <v/>
      </c>
      <c r="F1501" s="4" t="n">
        <v>2</v>
      </c>
      <c r="G1501" s="4" t="n">
        <v>1</v>
      </c>
      <c r="H1501" s="4" t="s">
        <v>213</v>
      </c>
      <c r="I1501" s="4" t="s">
        <v>51</v>
      </c>
      <c r="J1501" s="4" t="n">
        <f aca="false">INDEX('Master List'!$G$2:$G$2594,K1501)</f>
        <v>0</v>
      </c>
      <c r="K1501" s="4" t="n">
        <v>467</v>
      </c>
    </row>
    <row r="1502" customFormat="false" ht="15" hidden="false" customHeight="false" outlineLevel="0" collapsed="false">
      <c r="A1502" s="4" t="n">
        <v>1501</v>
      </c>
      <c r="B1502" s="4" t="s">
        <v>2332</v>
      </c>
      <c r="C1502" s="4" t="n">
        <v>1980</v>
      </c>
      <c r="D1502" s="4" t="s">
        <v>2333</v>
      </c>
      <c r="E1502" s="25" t="str">
        <f aca="false">IF(J1502=1,"✓","")</f>
        <v/>
      </c>
      <c r="F1502" s="4" t="n">
        <v>2</v>
      </c>
      <c r="G1502" s="4" t="n">
        <v>1</v>
      </c>
      <c r="H1502" s="4" t="s">
        <v>213</v>
      </c>
      <c r="I1502" s="4" t="s">
        <v>51</v>
      </c>
      <c r="J1502" s="4" t="n">
        <f aca="false">INDEX('Master List'!$G$2:$G$2594,K1502)</f>
        <v>0</v>
      </c>
      <c r="K1502" s="4" t="n">
        <v>1772</v>
      </c>
    </row>
    <row r="1503" customFormat="false" ht="15" hidden="false" customHeight="false" outlineLevel="0" collapsed="false">
      <c r="A1503" s="4" t="n">
        <v>1502</v>
      </c>
      <c r="B1503" s="4" t="s">
        <v>2334</v>
      </c>
      <c r="C1503" s="4" t="n">
        <v>1980</v>
      </c>
      <c r="D1503" s="4" t="s">
        <v>2335</v>
      </c>
      <c r="E1503" s="25" t="str">
        <f aca="false">IF(J1503=1,"✓","")</f>
        <v/>
      </c>
      <c r="F1503" s="4" t="n">
        <v>2</v>
      </c>
      <c r="G1503" s="4" t="n">
        <v>1</v>
      </c>
      <c r="H1503" s="4" t="s">
        <v>213</v>
      </c>
      <c r="I1503" s="4" t="s">
        <v>52</v>
      </c>
      <c r="J1503" s="4" t="n">
        <f aca="false">INDEX('Master List'!$G$2:$G$2594,K1503)</f>
        <v>0</v>
      </c>
      <c r="K1503" s="4" t="n">
        <v>1619</v>
      </c>
    </row>
    <row r="1504" customFormat="false" ht="15" hidden="false" customHeight="false" outlineLevel="0" collapsed="false">
      <c r="A1504" s="4" t="n">
        <v>1503</v>
      </c>
      <c r="B1504" s="4" t="s">
        <v>2336</v>
      </c>
      <c r="C1504" s="4" t="n">
        <v>1980</v>
      </c>
      <c r="D1504" s="4" t="s">
        <v>2337</v>
      </c>
      <c r="E1504" s="25" t="str">
        <f aca="false">IF(J1504=1,"✓","")</f>
        <v/>
      </c>
      <c r="F1504" s="4" t="n">
        <v>2</v>
      </c>
      <c r="G1504" s="4" t="n">
        <v>1</v>
      </c>
      <c r="H1504" s="4" t="s">
        <v>213</v>
      </c>
      <c r="I1504" s="4" t="s">
        <v>52</v>
      </c>
      <c r="J1504" s="4" t="n">
        <f aca="false">INDEX('Master List'!$G$2:$G$2594,K1504)</f>
        <v>0</v>
      </c>
      <c r="K1504" s="4" t="n">
        <v>858</v>
      </c>
    </row>
    <row r="1505" customFormat="false" ht="15" hidden="false" customHeight="false" outlineLevel="0" collapsed="false">
      <c r="A1505" s="4" t="n">
        <v>1504</v>
      </c>
      <c r="B1505" s="4" t="s">
        <v>2338</v>
      </c>
      <c r="C1505" s="4" t="n">
        <v>1980</v>
      </c>
      <c r="D1505" s="4" t="s">
        <v>2339</v>
      </c>
      <c r="E1505" s="25" t="str">
        <f aca="false">IF(J1505=1,"✓","")</f>
        <v>✓</v>
      </c>
      <c r="F1505" s="4" t="n">
        <v>2</v>
      </c>
      <c r="G1505" s="4" t="n">
        <v>1</v>
      </c>
      <c r="H1505" s="4" t="s">
        <v>213</v>
      </c>
      <c r="I1505" s="4" t="s">
        <v>52</v>
      </c>
      <c r="J1505" s="4" t="n">
        <f aca="false">INDEX('Master List'!$G$2:$G$2594,K1505)</f>
        <v>1</v>
      </c>
      <c r="K1505" s="4" t="n">
        <v>726</v>
      </c>
    </row>
    <row r="1506" customFormat="false" ht="15" hidden="false" customHeight="false" outlineLevel="0" collapsed="false">
      <c r="A1506" s="4" t="n">
        <v>1505</v>
      </c>
      <c r="B1506" s="4" t="s">
        <v>2340</v>
      </c>
      <c r="C1506" s="4" t="n">
        <v>1980</v>
      </c>
      <c r="D1506" s="4" t="s">
        <v>260</v>
      </c>
      <c r="E1506" s="25" t="str">
        <f aca="false">IF(J1506=1,"✓","")</f>
        <v>✓</v>
      </c>
      <c r="F1506" s="4" t="n">
        <v>2</v>
      </c>
      <c r="G1506" s="4" t="n">
        <v>1</v>
      </c>
      <c r="H1506" s="4" t="s">
        <v>213</v>
      </c>
      <c r="I1506" s="4" t="s">
        <v>52</v>
      </c>
      <c r="J1506" s="4" t="n">
        <f aca="false">INDEX('Master List'!$G$2:$G$2594,K1506)</f>
        <v>1</v>
      </c>
      <c r="K1506" s="4" t="n">
        <v>380</v>
      </c>
    </row>
    <row r="1507" customFormat="false" ht="15" hidden="false" customHeight="false" outlineLevel="0" collapsed="false">
      <c r="A1507" s="4" t="n">
        <v>1506</v>
      </c>
      <c r="B1507" s="4" t="s">
        <v>2341</v>
      </c>
      <c r="C1507" s="4" t="n">
        <v>1980</v>
      </c>
      <c r="D1507" s="4" t="s">
        <v>266</v>
      </c>
      <c r="E1507" s="25" t="str">
        <f aca="false">IF(J1507=1,"✓","")</f>
        <v>✓</v>
      </c>
      <c r="F1507" s="4" t="n">
        <v>2</v>
      </c>
      <c r="G1507" s="4" t="n">
        <v>1</v>
      </c>
      <c r="H1507" s="4" t="s">
        <v>213</v>
      </c>
      <c r="I1507" s="4" t="s">
        <v>53</v>
      </c>
      <c r="J1507" s="4" t="n">
        <f aca="false">INDEX('Master List'!$G$2:$G$2594,K1507)</f>
        <v>1</v>
      </c>
      <c r="K1507" s="4" t="n">
        <v>828</v>
      </c>
    </row>
    <row r="1508" customFormat="false" ht="15" hidden="false" customHeight="false" outlineLevel="0" collapsed="false">
      <c r="A1508" s="4" t="n">
        <v>1507</v>
      </c>
      <c r="B1508" s="4" t="s">
        <v>2342</v>
      </c>
      <c r="C1508" s="4" t="n">
        <v>1980</v>
      </c>
      <c r="D1508" s="4" t="s">
        <v>154</v>
      </c>
      <c r="E1508" s="25" t="str">
        <f aca="false">IF(J1508=1,"✓","")</f>
        <v>✓</v>
      </c>
      <c r="F1508" s="4" t="n">
        <v>2</v>
      </c>
      <c r="G1508" s="4" t="n">
        <v>1</v>
      </c>
      <c r="H1508" s="4" t="s">
        <v>213</v>
      </c>
      <c r="I1508" s="4" t="s">
        <v>53</v>
      </c>
      <c r="J1508" s="4" t="n">
        <f aca="false">INDEX('Master List'!$G$2:$G$2594,K1508)</f>
        <v>1</v>
      </c>
      <c r="K1508" s="4" t="n">
        <v>718</v>
      </c>
    </row>
    <row r="1509" customFormat="false" ht="15" hidden="false" customHeight="false" outlineLevel="0" collapsed="false">
      <c r="A1509" s="4" t="n">
        <v>1508</v>
      </c>
      <c r="B1509" s="4" t="s">
        <v>2343</v>
      </c>
      <c r="C1509" s="4" t="n">
        <v>1980</v>
      </c>
      <c r="D1509" s="4" t="s">
        <v>150</v>
      </c>
      <c r="E1509" s="25" t="str">
        <f aca="false">IF(J1509=1,"✓","")</f>
        <v/>
      </c>
      <c r="F1509" s="4" t="n">
        <v>2</v>
      </c>
      <c r="G1509" s="4" t="n">
        <v>1</v>
      </c>
      <c r="H1509" s="4" t="s">
        <v>213</v>
      </c>
      <c r="I1509" s="4" t="s">
        <v>53</v>
      </c>
      <c r="J1509" s="4" t="n">
        <f aca="false">INDEX('Master List'!$G$2:$G$2594,K1509)</f>
        <v>0</v>
      </c>
      <c r="K1509" s="4" t="n">
        <v>1297</v>
      </c>
    </row>
    <row r="1510" customFormat="false" ht="15" hidden="false" customHeight="false" outlineLevel="0" collapsed="false">
      <c r="A1510" s="4" t="n">
        <v>1509</v>
      </c>
      <c r="B1510" s="4" t="s">
        <v>2344</v>
      </c>
      <c r="C1510" s="4" t="n">
        <v>1980</v>
      </c>
      <c r="D1510" s="4" t="s">
        <v>156</v>
      </c>
      <c r="E1510" s="25" t="str">
        <f aca="false">IF(J1510=1,"✓","")</f>
        <v/>
      </c>
      <c r="F1510" s="4" t="n">
        <v>2</v>
      </c>
      <c r="G1510" s="4" t="n">
        <v>1</v>
      </c>
      <c r="H1510" s="4" t="s">
        <v>213</v>
      </c>
      <c r="I1510" s="4" t="s">
        <v>53</v>
      </c>
      <c r="J1510" s="4" t="n">
        <f aca="false">INDEX('Master List'!$G$2:$G$2594,K1510)</f>
        <v>0</v>
      </c>
      <c r="K1510" s="4" t="n">
        <v>1230</v>
      </c>
    </row>
    <row r="1511" customFormat="false" ht="15" hidden="false" customHeight="false" outlineLevel="0" collapsed="false">
      <c r="A1511" s="4" t="n">
        <v>1510</v>
      </c>
      <c r="B1511" s="4" t="s">
        <v>2345</v>
      </c>
      <c r="C1511" s="4" t="n">
        <v>1980</v>
      </c>
      <c r="D1511" s="4" t="s">
        <v>2346</v>
      </c>
      <c r="E1511" s="25" t="str">
        <f aca="false">IF(J1511=1,"✓","")</f>
        <v/>
      </c>
      <c r="F1511" s="4" t="n">
        <v>2</v>
      </c>
      <c r="G1511" s="4" t="n">
        <v>1</v>
      </c>
      <c r="H1511" s="4" t="s">
        <v>213</v>
      </c>
      <c r="I1511" s="4" t="s">
        <v>54</v>
      </c>
      <c r="J1511" s="4" t="n">
        <f aca="false">INDEX('Master List'!$G$2:$G$2594,K1511)</f>
        <v>0</v>
      </c>
      <c r="K1511" s="4" t="n">
        <v>2249</v>
      </c>
    </row>
    <row r="1512" customFormat="false" ht="15" hidden="false" customHeight="false" outlineLevel="0" collapsed="false">
      <c r="A1512" s="4" t="n">
        <v>1511</v>
      </c>
      <c r="B1512" s="4" t="s">
        <v>2347</v>
      </c>
      <c r="C1512" s="4" t="n">
        <v>1980</v>
      </c>
      <c r="D1512" s="4" t="s">
        <v>2348</v>
      </c>
      <c r="E1512" s="25" t="str">
        <f aca="false">IF(J1512=1,"✓","")</f>
        <v/>
      </c>
      <c r="F1512" s="4" t="n">
        <v>2</v>
      </c>
      <c r="G1512" s="4" t="n">
        <v>1</v>
      </c>
      <c r="H1512" s="4" t="s">
        <v>213</v>
      </c>
      <c r="I1512" s="4" t="s">
        <v>56</v>
      </c>
      <c r="J1512" s="4" t="n">
        <f aca="false">INDEX('Master List'!$G$2:$G$2594,K1512)</f>
        <v>0</v>
      </c>
      <c r="K1512" s="4" t="n">
        <v>1822</v>
      </c>
    </row>
    <row r="1513" customFormat="false" ht="15" hidden="false" customHeight="false" outlineLevel="0" collapsed="false">
      <c r="A1513" s="4" t="n">
        <v>1512</v>
      </c>
      <c r="B1513" s="4" t="s">
        <v>2349</v>
      </c>
      <c r="C1513" s="4" t="n">
        <v>1981</v>
      </c>
      <c r="D1513" s="4" t="s">
        <v>2350</v>
      </c>
      <c r="E1513" s="25" t="str">
        <f aca="false">IF(J1513=1,"✓","")</f>
        <v/>
      </c>
      <c r="F1513" s="4" t="n">
        <v>2</v>
      </c>
      <c r="G1513" s="4" t="n">
        <v>1</v>
      </c>
      <c r="H1513" s="4" t="s">
        <v>213</v>
      </c>
      <c r="I1513" s="4" t="s">
        <v>51</v>
      </c>
      <c r="J1513" s="4" t="n">
        <f aca="false">INDEX('Master List'!$G$2:$G$2594,K1513)</f>
        <v>0</v>
      </c>
      <c r="K1513" s="4" t="n">
        <v>1482</v>
      </c>
    </row>
    <row r="1514" customFormat="false" ht="15" hidden="false" customHeight="false" outlineLevel="0" collapsed="false">
      <c r="A1514" s="4" t="n">
        <v>1513</v>
      </c>
      <c r="B1514" s="4" t="s">
        <v>2351</v>
      </c>
      <c r="C1514" s="4" t="n">
        <v>1981</v>
      </c>
      <c r="D1514" s="4" t="s">
        <v>872</v>
      </c>
      <c r="E1514" s="25" t="str">
        <f aca="false">IF(J1514=1,"✓","")</f>
        <v/>
      </c>
      <c r="F1514" s="4" t="n">
        <v>2</v>
      </c>
      <c r="G1514" s="4" t="n">
        <v>1</v>
      </c>
      <c r="H1514" s="4" t="s">
        <v>213</v>
      </c>
      <c r="I1514" s="4" t="s">
        <v>51</v>
      </c>
      <c r="J1514" s="4" t="n">
        <f aca="false">INDEX('Master List'!$G$2:$G$2594,K1514)</f>
        <v>0</v>
      </c>
      <c r="K1514" s="4" t="n">
        <v>1406</v>
      </c>
    </row>
    <row r="1515" customFormat="false" ht="15" hidden="false" customHeight="false" outlineLevel="0" collapsed="false">
      <c r="A1515" s="4" t="n">
        <v>1514</v>
      </c>
      <c r="B1515" s="4" t="s">
        <v>2352</v>
      </c>
      <c r="C1515" s="4" t="n">
        <v>1981</v>
      </c>
      <c r="D1515" s="4" t="s">
        <v>266</v>
      </c>
      <c r="E1515" s="25" t="str">
        <f aca="false">IF(J1515=1,"✓","")</f>
        <v>✓</v>
      </c>
      <c r="F1515" s="4" t="n">
        <v>2</v>
      </c>
      <c r="G1515" s="4" t="n">
        <v>1</v>
      </c>
      <c r="H1515" s="4" t="s">
        <v>213</v>
      </c>
      <c r="I1515" s="4" t="s">
        <v>53</v>
      </c>
      <c r="J1515" s="4" t="n">
        <f aca="false">INDEX('Master List'!$G$2:$G$2594,K1515)</f>
        <v>1</v>
      </c>
      <c r="K1515" s="4" t="n">
        <v>744</v>
      </c>
    </row>
    <row r="1516" customFormat="false" ht="15" hidden="false" customHeight="false" outlineLevel="0" collapsed="false">
      <c r="A1516" s="4" t="n">
        <v>1515</v>
      </c>
      <c r="B1516" s="4" t="s">
        <v>1324</v>
      </c>
      <c r="C1516" s="4" t="n">
        <v>1981</v>
      </c>
      <c r="D1516" s="4" t="s">
        <v>312</v>
      </c>
      <c r="E1516" s="25" t="str">
        <f aca="false">IF(J1516=1,"✓","")</f>
        <v/>
      </c>
      <c r="F1516" s="4" t="n">
        <v>2</v>
      </c>
      <c r="G1516" s="4" t="n">
        <v>1</v>
      </c>
      <c r="H1516" s="4" t="s">
        <v>213</v>
      </c>
      <c r="I1516" s="4" t="s">
        <v>53</v>
      </c>
      <c r="J1516" s="4" t="n">
        <f aca="false">INDEX('Master List'!$G$2:$G$2594,K1516)</f>
        <v>0</v>
      </c>
      <c r="K1516" s="4" t="n">
        <v>1368</v>
      </c>
    </row>
    <row r="1517" customFormat="false" ht="15" hidden="false" customHeight="false" outlineLevel="0" collapsed="false">
      <c r="A1517" s="4" t="n">
        <v>1516</v>
      </c>
      <c r="B1517" s="4" t="s">
        <v>2353</v>
      </c>
      <c r="C1517" s="4" t="n">
        <v>1981</v>
      </c>
      <c r="D1517" s="4" t="s">
        <v>2354</v>
      </c>
      <c r="E1517" s="25" t="str">
        <f aca="false">IF(J1517=1,"✓","")</f>
        <v/>
      </c>
      <c r="F1517" s="4" t="n">
        <v>2</v>
      </c>
      <c r="G1517" s="4" t="n">
        <v>1</v>
      </c>
      <c r="H1517" s="4" t="s">
        <v>213</v>
      </c>
      <c r="I1517" s="4" t="s">
        <v>57</v>
      </c>
      <c r="J1517" s="4" t="n">
        <f aca="false">INDEX('Master List'!$G$2:$G$2594,K1517)</f>
        <v>0</v>
      </c>
      <c r="K1517" s="4" t="n">
        <v>2360</v>
      </c>
    </row>
    <row r="1518" customFormat="false" ht="15" hidden="false" customHeight="false" outlineLevel="0" collapsed="false">
      <c r="A1518" s="4" t="n">
        <v>1517</v>
      </c>
      <c r="B1518" s="4" t="s">
        <v>2355</v>
      </c>
      <c r="C1518" s="4" t="n">
        <v>1982</v>
      </c>
      <c r="D1518" s="4" t="s">
        <v>2356</v>
      </c>
      <c r="E1518" s="25" t="str">
        <f aca="false">IF(J1518=1,"✓","")</f>
        <v/>
      </c>
      <c r="F1518" s="4" t="n">
        <v>2</v>
      </c>
      <c r="G1518" s="4" t="n">
        <v>1</v>
      </c>
      <c r="H1518" s="4" t="s">
        <v>213</v>
      </c>
      <c r="I1518" s="4" t="s">
        <v>51</v>
      </c>
      <c r="J1518" s="4" t="n">
        <f aca="false">INDEX('Master List'!$G$2:$G$2594,K1518)</f>
        <v>0</v>
      </c>
      <c r="K1518" s="4" t="n">
        <v>1410</v>
      </c>
    </row>
    <row r="1519" customFormat="false" ht="15" hidden="false" customHeight="false" outlineLevel="0" collapsed="false">
      <c r="A1519" s="4" t="n">
        <v>1518</v>
      </c>
      <c r="B1519" s="4" t="s">
        <v>2357</v>
      </c>
      <c r="C1519" s="4" t="n">
        <v>1982</v>
      </c>
      <c r="D1519" s="4" t="s">
        <v>2325</v>
      </c>
      <c r="E1519" s="25" t="str">
        <f aca="false">IF(J1519=1,"✓","")</f>
        <v/>
      </c>
      <c r="F1519" s="4" t="n">
        <v>2</v>
      </c>
      <c r="G1519" s="4" t="n">
        <v>1</v>
      </c>
      <c r="H1519" s="4" t="s">
        <v>213</v>
      </c>
      <c r="I1519" s="4" t="s">
        <v>51</v>
      </c>
      <c r="J1519" s="4" t="n">
        <f aca="false">INDEX('Master List'!$G$2:$G$2594,K1519)</f>
        <v>0</v>
      </c>
      <c r="K1519" s="4" t="n">
        <v>304</v>
      </c>
    </row>
    <row r="1520" customFormat="false" ht="15" hidden="false" customHeight="false" outlineLevel="0" collapsed="false">
      <c r="A1520" s="4" t="n">
        <v>1519</v>
      </c>
      <c r="B1520" s="4" t="s">
        <v>2358</v>
      </c>
      <c r="C1520" s="4" t="n">
        <v>1982</v>
      </c>
      <c r="D1520" s="4" t="s">
        <v>435</v>
      </c>
      <c r="E1520" s="25" t="str">
        <f aca="false">IF(J1520=1,"✓","")</f>
        <v/>
      </c>
      <c r="F1520" s="4" t="n">
        <v>2</v>
      </c>
      <c r="G1520" s="4" t="n">
        <v>1</v>
      </c>
      <c r="H1520" s="4" t="s">
        <v>213</v>
      </c>
      <c r="I1520" s="4" t="s">
        <v>52</v>
      </c>
      <c r="J1520" s="4" t="n">
        <f aca="false">INDEX('Master List'!$G$2:$G$2594,K1520)</f>
        <v>0</v>
      </c>
      <c r="K1520" s="4" t="n">
        <v>1789</v>
      </c>
    </row>
    <row r="1521" customFormat="false" ht="15" hidden="false" customHeight="false" outlineLevel="0" collapsed="false">
      <c r="A1521" s="4" t="n">
        <v>1520</v>
      </c>
      <c r="B1521" s="4" t="s">
        <v>2359</v>
      </c>
      <c r="C1521" s="4" t="n">
        <v>1982</v>
      </c>
      <c r="D1521" s="4" t="s">
        <v>2360</v>
      </c>
      <c r="E1521" s="25" t="str">
        <f aca="false">IF(J1521=1,"✓","")</f>
        <v/>
      </c>
      <c r="F1521" s="4" t="n">
        <v>2</v>
      </c>
      <c r="G1521" s="4" t="n">
        <v>1</v>
      </c>
      <c r="H1521" s="4" t="s">
        <v>213</v>
      </c>
      <c r="I1521" s="4" t="s">
        <v>52</v>
      </c>
      <c r="J1521" s="4" t="n">
        <f aca="false">INDEX('Master List'!$G$2:$G$2594,K1521)</f>
        <v>0</v>
      </c>
      <c r="K1521" s="4" t="n">
        <v>2373</v>
      </c>
    </row>
    <row r="1522" customFormat="false" ht="15" hidden="false" customHeight="false" outlineLevel="0" collapsed="false">
      <c r="A1522" s="4" t="n">
        <v>1521</v>
      </c>
      <c r="B1522" s="4" t="s">
        <v>2361</v>
      </c>
      <c r="C1522" s="4" t="n">
        <v>1982</v>
      </c>
      <c r="D1522" s="4" t="s">
        <v>2170</v>
      </c>
      <c r="E1522" s="25" t="str">
        <f aca="false">IF(J1522=1,"✓","")</f>
        <v/>
      </c>
      <c r="F1522" s="4" t="n">
        <v>2</v>
      </c>
      <c r="G1522" s="4" t="n">
        <v>1</v>
      </c>
      <c r="H1522" s="4" t="s">
        <v>213</v>
      </c>
      <c r="I1522" s="4" t="s">
        <v>52</v>
      </c>
      <c r="J1522" s="4" t="n">
        <f aca="false">INDEX('Master List'!$G$2:$G$2594,K1522)</f>
        <v>0</v>
      </c>
      <c r="K1522" s="4" t="n">
        <v>808</v>
      </c>
    </row>
    <row r="1523" customFormat="false" ht="15" hidden="false" customHeight="false" outlineLevel="0" collapsed="false">
      <c r="A1523" s="4" t="n">
        <v>1522</v>
      </c>
      <c r="B1523" s="4" t="s">
        <v>2362</v>
      </c>
      <c r="C1523" s="4" t="n">
        <v>1982</v>
      </c>
      <c r="D1523" s="4" t="s">
        <v>2363</v>
      </c>
      <c r="E1523" s="25" t="str">
        <f aca="false">IF(J1523=1,"✓","")</f>
        <v>✓</v>
      </c>
      <c r="F1523" s="4" t="n">
        <v>2</v>
      </c>
      <c r="G1523" s="4" t="n">
        <v>1</v>
      </c>
      <c r="H1523" s="4" t="s">
        <v>213</v>
      </c>
      <c r="I1523" s="4" t="s">
        <v>52</v>
      </c>
      <c r="J1523" s="4" t="n">
        <f aca="false">INDEX('Master List'!$G$2:$G$2594,K1523)</f>
        <v>1</v>
      </c>
      <c r="K1523" s="4" t="n">
        <v>1270</v>
      </c>
    </row>
    <row r="1524" customFormat="false" ht="15" hidden="false" customHeight="false" outlineLevel="0" collapsed="false">
      <c r="A1524" s="4" t="n">
        <v>1523</v>
      </c>
      <c r="B1524" s="4" t="s">
        <v>2364</v>
      </c>
      <c r="C1524" s="4" t="n">
        <v>1982</v>
      </c>
      <c r="D1524" s="4" t="s">
        <v>940</v>
      </c>
      <c r="E1524" s="25" t="str">
        <f aca="false">IF(J1524=1,"✓","")</f>
        <v/>
      </c>
      <c r="F1524" s="4" t="n">
        <v>2</v>
      </c>
      <c r="G1524" s="4" t="n">
        <v>1</v>
      </c>
      <c r="H1524" s="4" t="s">
        <v>213</v>
      </c>
      <c r="I1524" s="4" t="s">
        <v>53</v>
      </c>
      <c r="J1524" s="4" t="n">
        <f aca="false">INDEX('Master List'!$G$2:$G$2594,K1524)</f>
        <v>0</v>
      </c>
      <c r="K1524" s="4" t="n">
        <v>2501</v>
      </c>
    </row>
    <row r="1525" customFormat="false" ht="15" hidden="false" customHeight="false" outlineLevel="0" collapsed="false">
      <c r="A1525" s="4" t="n">
        <v>1524</v>
      </c>
      <c r="B1525" s="4" t="s">
        <v>2365</v>
      </c>
      <c r="C1525" s="4" t="n">
        <v>1982</v>
      </c>
      <c r="D1525" s="4" t="s">
        <v>172</v>
      </c>
      <c r="E1525" s="25" t="str">
        <f aca="false">IF(J1525=1,"✓","")</f>
        <v>✓</v>
      </c>
      <c r="F1525" s="4" t="n">
        <v>2</v>
      </c>
      <c r="G1525" s="4" t="n">
        <v>1</v>
      </c>
      <c r="H1525" s="4" t="s">
        <v>213</v>
      </c>
      <c r="I1525" s="4" t="s">
        <v>53</v>
      </c>
      <c r="J1525" s="4" t="n">
        <f aca="false">INDEX('Master List'!$G$2:$G$2594,K1525)</f>
        <v>1</v>
      </c>
      <c r="K1525" s="4" t="n">
        <v>1679</v>
      </c>
    </row>
    <row r="1526" customFormat="false" ht="15" hidden="false" customHeight="false" outlineLevel="0" collapsed="false">
      <c r="A1526" s="4" t="n">
        <v>1525</v>
      </c>
      <c r="B1526" s="4" t="s">
        <v>2366</v>
      </c>
      <c r="C1526" s="4" t="n">
        <v>1982</v>
      </c>
      <c r="D1526" s="4" t="s">
        <v>312</v>
      </c>
      <c r="E1526" s="25" t="str">
        <f aca="false">IF(J1526=1,"✓","")</f>
        <v/>
      </c>
      <c r="F1526" s="4" t="n">
        <v>2</v>
      </c>
      <c r="G1526" s="4" t="n">
        <v>1</v>
      </c>
      <c r="H1526" s="4" t="s">
        <v>213</v>
      </c>
      <c r="I1526" s="4" t="s">
        <v>53</v>
      </c>
      <c r="J1526" s="4" t="n">
        <f aca="false">INDEX('Master List'!$G$2:$G$2594,K1526)</f>
        <v>0</v>
      </c>
      <c r="K1526" s="4" t="n">
        <v>2428</v>
      </c>
    </row>
    <row r="1527" customFormat="false" ht="15" hidden="false" customHeight="false" outlineLevel="0" collapsed="false">
      <c r="A1527" s="4" t="n">
        <v>1526</v>
      </c>
      <c r="B1527" s="4" t="s">
        <v>2367</v>
      </c>
      <c r="C1527" s="4" t="n">
        <v>1982</v>
      </c>
      <c r="D1527" s="4" t="s">
        <v>185</v>
      </c>
      <c r="E1527" s="25" t="str">
        <f aca="false">IF(J1527=1,"✓","")</f>
        <v/>
      </c>
      <c r="F1527" s="4" t="n">
        <v>2</v>
      </c>
      <c r="G1527" s="4" t="n">
        <v>1</v>
      </c>
      <c r="H1527" s="4" t="s">
        <v>213</v>
      </c>
      <c r="I1527" s="4" t="s">
        <v>53</v>
      </c>
      <c r="J1527" s="4" t="n">
        <f aca="false">INDEX('Master List'!$G$2:$G$2594,K1527)</f>
        <v>0</v>
      </c>
      <c r="K1527" s="4" t="n">
        <v>2351</v>
      </c>
    </row>
    <row r="1528" customFormat="false" ht="15" hidden="false" customHeight="false" outlineLevel="0" collapsed="false">
      <c r="A1528" s="4" t="n">
        <v>1527</v>
      </c>
      <c r="B1528" s="4" t="s">
        <v>2368</v>
      </c>
      <c r="C1528" s="4" t="n">
        <v>1982</v>
      </c>
      <c r="D1528" s="4" t="s">
        <v>2273</v>
      </c>
      <c r="E1528" s="25" t="str">
        <f aca="false">IF(J1528=1,"✓","")</f>
        <v/>
      </c>
      <c r="F1528" s="4" t="n">
        <v>2</v>
      </c>
      <c r="G1528" s="4" t="n">
        <v>1</v>
      </c>
      <c r="H1528" s="4" t="s">
        <v>213</v>
      </c>
      <c r="I1528" s="4" t="s">
        <v>54</v>
      </c>
      <c r="J1528" s="4" t="n">
        <f aca="false">INDEX('Master List'!$G$2:$G$2594,K1528)</f>
        <v>0</v>
      </c>
      <c r="K1528" s="4" t="n">
        <v>137</v>
      </c>
    </row>
    <row r="1529" customFormat="false" ht="15" hidden="false" customHeight="false" outlineLevel="0" collapsed="false">
      <c r="A1529" s="4" t="n">
        <v>1528</v>
      </c>
      <c r="B1529" s="4" t="s">
        <v>2369</v>
      </c>
      <c r="C1529" s="4" t="n">
        <v>1982</v>
      </c>
      <c r="D1529" s="4" t="s">
        <v>2370</v>
      </c>
      <c r="E1529" s="25" t="str">
        <f aca="false">IF(J1529=1,"✓","")</f>
        <v/>
      </c>
      <c r="F1529" s="4" t="n">
        <v>2</v>
      </c>
      <c r="G1529" s="4" t="n">
        <v>1</v>
      </c>
      <c r="H1529" s="4" t="s">
        <v>213</v>
      </c>
      <c r="I1529" s="4" t="s">
        <v>55</v>
      </c>
      <c r="J1529" s="4" t="n">
        <f aca="false">INDEX('Master List'!$G$2:$G$2594,K1529)</f>
        <v>0</v>
      </c>
      <c r="K1529" s="4" t="n">
        <v>147</v>
      </c>
    </row>
    <row r="1530" customFormat="false" ht="15" hidden="false" customHeight="false" outlineLevel="0" collapsed="false">
      <c r="A1530" s="4" t="n">
        <v>1529</v>
      </c>
      <c r="B1530" s="4" t="s">
        <v>2371</v>
      </c>
      <c r="C1530" s="4" t="n">
        <v>1982</v>
      </c>
      <c r="D1530" s="4" t="s">
        <v>2316</v>
      </c>
      <c r="E1530" s="25" t="str">
        <f aca="false">IF(J1530=1,"✓","")</f>
        <v/>
      </c>
      <c r="F1530" s="4" t="n">
        <v>2</v>
      </c>
      <c r="G1530" s="4" t="n">
        <v>1</v>
      </c>
      <c r="H1530" s="4" t="s">
        <v>213</v>
      </c>
      <c r="I1530" s="4" t="s">
        <v>55</v>
      </c>
      <c r="J1530" s="4" t="n">
        <f aca="false">INDEX('Master List'!$G$2:$G$2594,K1530)</f>
        <v>0</v>
      </c>
      <c r="K1530" s="4" t="n">
        <v>2052</v>
      </c>
    </row>
    <row r="1531" customFormat="false" ht="15" hidden="false" customHeight="false" outlineLevel="0" collapsed="false">
      <c r="A1531" s="4" t="n">
        <v>1530</v>
      </c>
      <c r="B1531" s="4" t="s">
        <v>2372</v>
      </c>
      <c r="C1531" s="4" t="n">
        <v>1982</v>
      </c>
      <c r="D1531" s="4" t="s">
        <v>475</v>
      </c>
      <c r="E1531" s="25" t="str">
        <f aca="false">IF(J1531=1,"✓","")</f>
        <v/>
      </c>
      <c r="F1531" s="4" t="n">
        <v>2</v>
      </c>
      <c r="G1531" s="4" t="n">
        <v>1</v>
      </c>
      <c r="H1531" s="4" t="s">
        <v>213</v>
      </c>
      <c r="I1531" s="4" t="s">
        <v>56</v>
      </c>
      <c r="J1531" s="4" t="n">
        <f aca="false">INDEX('Master List'!$G$2:$G$2594,K1531)</f>
        <v>0</v>
      </c>
      <c r="K1531" s="4" t="n">
        <v>532</v>
      </c>
    </row>
    <row r="1532" customFormat="false" ht="15" hidden="false" customHeight="false" outlineLevel="0" collapsed="false">
      <c r="A1532" s="4" t="n">
        <v>1531</v>
      </c>
      <c r="B1532" s="4" t="s">
        <v>2373</v>
      </c>
      <c r="C1532" s="4" t="n">
        <v>1982</v>
      </c>
      <c r="D1532" s="4" t="s">
        <v>2374</v>
      </c>
      <c r="E1532" s="25" t="str">
        <f aca="false">IF(J1532=1,"✓","")</f>
        <v/>
      </c>
      <c r="F1532" s="4" t="n">
        <v>2</v>
      </c>
      <c r="G1532" s="4" t="n">
        <v>1</v>
      </c>
      <c r="H1532" s="4" t="s">
        <v>213</v>
      </c>
      <c r="I1532" s="4" t="s">
        <v>56</v>
      </c>
      <c r="J1532" s="4" t="n">
        <f aca="false">INDEX('Master List'!$G$2:$G$2594,K1532)</f>
        <v>0</v>
      </c>
      <c r="K1532" s="4" t="n">
        <v>632</v>
      </c>
    </row>
    <row r="1533" customFormat="false" ht="15" hidden="false" customHeight="false" outlineLevel="0" collapsed="false">
      <c r="A1533" s="4" t="n">
        <v>1532</v>
      </c>
      <c r="B1533" s="4" t="s">
        <v>2375</v>
      </c>
      <c r="C1533" s="4" t="n">
        <v>1982</v>
      </c>
      <c r="D1533" s="4" t="s">
        <v>2376</v>
      </c>
      <c r="E1533" s="25" t="str">
        <f aca="false">IF(J1533=1,"✓","")</f>
        <v/>
      </c>
      <c r="F1533" s="4" t="n">
        <v>2</v>
      </c>
      <c r="G1533" s="4" t="n">
        <v>1</v>
      </c>
      <c r="H1533" s="4" t="s">
        <v>213</v>
      </c>
      <c r="I1533" s="4" t="s">
        <v>56</v>
      </c>
      <c r="J1533" s="4" t="n">
        <f aca="false">INDEX('Master List'!$G$2:$G$2594,K1533)</f>
        <v>0</v>
      </c>
      <c r="K1533" s="4" t="n">
        <v>1345</v>
      </c>
    </row>
    <row r="1534" customFormat="false" ht="15" hidden="false" customHeight="false" outlineLevel="0" collapsed="false">
      <c r="A1534" s="4" t="n">
        <v>1533</v>
      </c>
      <c r="B1534" s="4" t="s">
        <v>2377</v>
      </c>
      <c r="C1534" s="4" t="n">
        <v>1982</v>
      </c>
      <c r="D1534" s="4" t="s">
        <v>243</v>
      </c>
      <c r="E1534" s="25" t="str">
        <f aca="false">IF(J1534=1,"✓","")</f>
        <v/>
      </c>
      <c r="F1534" s="4" t="n">
        <v>2</v>
      </c>
      <c r="G1534" s="4" t="n">
        <v>1</v>
      </c>
      <c r="H1534" s="4" t="s">
        <v>213</v>
      </c>
      <c r="I1534" s="4" t="s">
        <v>57</v>
      </c>
      <c r="J1534" s="4" t="n">
        <f aca="false">INDEX('Master List'!$G$2:$G$2594,K1534)</f>
        <v>0</v>
      </c>
      <c r="K1534" s="4" t="n">
        <v>2116</v>
      </c>
    </row>
    <row r="1535" customFormat="false" ht="15" hidden="false" customHeight="false" outlineLevel="0" collapsed="false">
      <c r="A1535" s="4" t="n">
        <v>1534</v>
      </c>
      <c r="B1535" s="4" t="s">
        <v>2378</v>
      </c>
      <c r="C1535" s="4" t="n">
        <v>1983</v>
      </c>
      <c r="D1535" s="4" t="s">
        <v>1549</v>
      </c>
      <c r="E1535" s="25" t="str">
        <f aca="false">IF(J1535=1,"✓","")</f>
        <v/>
      </c>
      <c r="F1535" s="4" t="n">
        <v>2</v>
      </c>
      <c r="G1535" s="4" t="n">
        <v>1</v>
      </c>
      <c r="H1535" s="4" t="s">
        <v>213</v>
      </c>
      <c r="I1535" s="4" t="s">
        <v>51</v>
      </c>
      <c r="J1535" s="4" t="n">
        <f aca="false">INDEX('Master List'!$G$2:$G$2594,K1535)</f>
        <v>0</v>
      </c>
      <c r="K1535" s="4" t="n">
        <v>1469</v>
      </c>
    </row>
    <row r="1536" customFormat="false" ht="15" hidden="false" customHeight="false" outlineLevel="0" collapsed="false">
      <c r="A1536" s="4" t="n">
        <v>1535</v>
      </c>
      <c r="B1536" s="4" t="s">
        <v>2379</v>
      </c>
      <c r="C1536" s="4" t="n">
        <v>1983</v>
      </c>
      <c r="D1536" s="4" t="s">
        <v>1531</v>
      </c>
      <c r="E1536" s="25" t="str">
        <f aca="false">IF(J1536=1,"✓","")</f>
        <v/>
      </c>
      <c r="F1536" s="4" t="n">
        <v>2</v>
      </c>
      <c r="G1536" s="4" t="n">
        <v>1</v>
      </c>
      <c r="H1536" s="4" t="s">
        <v>213</v>
      </c>
      <c r="I1536" s="4" t="s">
        <v>51</v>
      </c>
      <c r="J1536" s="4" t="n">
        <f aca="false">INDEX('Master List'!$G$2:$G$2594,K1536)</f>
        <v>0</v>
      </c>
      <c r="K1536" s="4" t="n">
        <v>1821</v>
      </c>
    </row>
    <row r="1537" customFormat="false" ht="15" hidden="false" customHeight="false" outlineLevel="0" collapsed="false">
      <c r="A1537" s="4" t="n">
        <v>1536</v>
      </c>
      <c r="B1537" s="4" t="s">
        <v>2380</v>
      </c>
      <c r="C1537" s="4" t="n">
        <v>1983</v>
      </c>
      <c r="D1537" s="4" t="s">
        <v>2381</v>
      </c>
      <c r="E1537" s="25" t="str">
        <f aca="false">IF(J1537=1,"✓","")</f>
        <v/>
      </c>
      <c r="F1537" s="4" t="n">
        <v>2</v>
      </c>
      <c r="G1537" s="4" t="n">
        <v>1</v>
      </c>
      <c r="H1537" s="4" t="s">
        <v>213</v>
      </c>
      <c r="I1537" s="4" t="s">
        <v>52</v>
      </c>
      <c r="J1537" s="4" t="n">
        <f aca="false">INDEX('Master List'!$G$2:$G$2594,K1537)</f>
        <v>0</v>
      </c>
      <c r="K1537" s="4" t="n">
        <v>2089</v>
      </c>
    </row>
    <row r="1538" customFormat="false" ht="15" hidden="false" customHeight="false" outlineLevel="0" collapsed="false">
      <c r="A1538" s="4" t="n">
        <v>1537</v>
      </c>
      <c r="B1538" s="4" t="s">
        <v>2382</v>
      </c>
      <c r="C1538" s="4" t="n">
        <v>1983</v>
      </c>
      <c r="D1538" s="4" t="s">
        <v>604</v>
      </c>
      <c r="E1538" s="25" t="str">
        <f aca="false">IF(J1538=1,"✓","")</f>
        <v>✓</v>
      </c>
      <c r="F1538" s="4" t="n">
        <v>2</v>
      </c>
      <c r="G1538" s="4" t="n">
        <v>1</v>
      </c>
      <c r="H1538" s="4" t="s">
        <v>213</v>
      </c>
      <c r="I1538" s="4" t="s">
        <v>52</v>
      </c>
      <c r="J1538" s="4" t="n">
        <f aca="false">INDEX('Master List'!$G$2:$G$2594,K1538)</f>
        <v>1</v>
      </c>
      <c r="K1538" s="4" t="n">
        <v>2585</v>
      </c>
    </row>
    <row r="1539" customFormat="false" ht="15" hidden="false" customHeight="false" outlineLevel="0" collapsed="false">
      <c r="A1539" s="4" t="n">
        <v>1538</v>
      </c>
      <c r="B1539" s="4" t="s">
        <v>2383</v>
      </c>
      <c r="C1539" s="4" t="n">
        <v>1983</v>
      </c>
      <c r="D1539" s="4" t="s">
        <v>172</v>
      </c>
      <c r="E1539" s="25" t="str">
        <f aca="false">IF(J1539=1,"✓","")</f>
        <v/>
      </c>
      <c r="F1539" s="4" t="n">
        <v>2</v>
      </c>
      <c r="G1539" s="4" t="n">
        <v>1</v>
      </c>
      <c r="H1539" s="4" t="s">
        <v>213</v>
      </c>
      <c r="I1539" s="4" t="s">
        <v>53</v>
      </c>
      <c r="J1539" s="4" t="n">
        <f aca="false">INDEX('Master List'!$G$2:$G$2594,K1539)</f>
        <v>0</v>
      </c>
      <c r="K1539" s="4" t="n">
        <v>1702</v>
      </c>
    </row>
    <row r="1540" customFormat="false" ht="15" hidden="false" customHeight="false" outlineLevel="0" collapsed="false">
      <c r="A1540" s="4" t="n">
        <v>1539</v>
      </c>
      <c r="B1540" s="4" t="s">
        <v>2384</v>
      </c>
      <c r="C1540" s="4" t="n">
        <v>1983</v>
      </c>
      <c r="D1540" s="4" t="s">
        <v>172</v>
      </c>
      <c r="E1540" s="25" t="str">
        <f aca="false">IF(J1540=1,"✓","")</f>
        <v>✓</v>
      </c>
      <c r="F1540" s="4" t="n">
        <v>2</v>
      </c>
      <c r="G1540" s="4" t="n">
        <v>1</v>
      </c>
      <c r="H1540" s="4" t="s">
        <v>213</v>
      </c>
      <c r="I1540" s="4" t="s">
        <v>53</v>
      </c>
      <c r="J1540" s="4" t="n">
        <f aca="false">INDEX('Master List'!$G$2:$G$2594,K1540)</f>
        <v>1</v>
      </c>
      <c r="K1540" s="4" t="n">
        <v>1944</v>
      </c>
    </row>
    <row r="1541" customFormat="false" ht="15" hidden="false" customHeight="false" outlineLevel="0" collapsed="false">
      <c r="A1541" s="4" t="n">
        <v>1540</v>
      </c>
      <c r="B1541" s="4" t="s">
        <v>2385</v>
      </c>
      <c r="C1541" s="4" t="n">
        <v>1983</v>
      </c>
      <c r="D1541" s="4" t="s">
        <v>266</v>
      </c>
      <c r="E1541" s="25" t="str">
        <f aca="false">IF(J1541=1,"✓","")</f>
        <v/>
      </c>
      <c r="F1541" s="4" t="n">
        <v>2</v>
      </c>
      <c r="G1541" s="4" t="n">
        <v>1</v>
      </c>
      <c r="H1541" s="4" t="s">
        <v>213</v>
      </c>
      <c r="I1541" s="4" t="s">
        <v>53</v>
      </c>
      <c r="J1541" s="4" t="n">
        <f aca="false">INDEX('Master List'!$G$2:$G$2594,K1541)</f>
        <v>0</v>
      </c>
      <c r="K1541" s="4" t="n">
        <v>453</v>
      </c>
    </row>
    <row r="1542" customFormat="false" ht="15" hidden="false" customHeight="false" outlineLevel="0" collapsed="false">
      <c r="A1542" s="4" t="n">
        <v>1541</v>
      </c>
      <c r="B1542" s="4" t="s">
        <v>2386</v>
      </c>
      <c r="C1542" s="4" t="n">
        <v>1983</v>
      </c>
      <c r="D1542" s="4" t="s">
        <v>316</v>
      </c>
      <c r="E1542" s="25" t="str">
        <f aca="false">IF(J1542=1,"✓","")</f>
        <v>✓</v>
      </c>
      <c r="F1542" s="4" t="n">
        <v>2</v>
      </c>
      <c r="G1542" s="4" t="n">
        <v>1</v>
      </c>
      <c r="H1542" s="4" t="s">
        <v>213</v>
      </c>
      <c r="I1542" s="4" t="s">
        <v>53</v>
      </c>
      <c r="J1542" s="4" t="n">
        <f aca="false">INDEX('Master List'!$G$2:$G$2594,K1542)</f>
        <v>1</v>
      </c>
      <c r="K1542" s="4" t="n">
        <v>588</v>
      </c>
    </row>
    <row r="1543" customFormat="false" ht="15" hidden="false" customHeight="false" outlineLevel="0" collapsed="false">
      <c r="A1543" s="4" t="n">
        <v>1542</v>
      </c>
      <c r="B1543" s="4" t="s">
        <v>2387</v>
      </c>
      <c r="C1543" s="4" t="n">
        <v>1983</v>
      </c>
      <c r="D1543" s="4" t="s">
        <v>419</v>
      </c>
      <c r="E1543" s="25" t="str">
        <f aca="false">IF(J1543=1,"✓","")</f>
        <v/>
      </c>
      <c r="F1543" s="4" t="n">
        <v>2</v>
      </c>
      <c r="G1543" s="4" t="n">
        <v>1</v>
      </c>
      <c r="H1543" s="4" t="s">
        <v>213</v>
      </c>
      <c r="I1543" s="4" t="s">
        <v>53</v>
      </c>
      <c r="J1543" s="4" t="n">
        <f aca="false">INDEX('Master List'!$G$2:$G$2594,K1543)</f>
        <v>0</v>
      </c>
      <c r="K1543" s="4" t="n">
        <v>1737</v>
      </c>
    </row>
    <row r="1544" customFormat="false" ht="15" hidden="false" customHeight="false" outlineLevel="0" collapsed="false">
      <c r="A1544" s="4" t="n">
        <v>1543</v>
      </c>
      <c r="B1544" s="4" t="s">
        <v>2388</v>
      </c>
      <c r="C1544" s="4" t="n">
        <v>1983</v>
      </c>
      <c r="D1544" s="4" t="s">
        <v>210</v>
      </c>
      <c r="E1544" s="25" t="str">
        <f aca="false">IF(J1544=1,"✓","")</f>
        <v/>
      </c>
      <c r="F1544" s="4" t="n">
        <v>2</v>
      </c>
      <c r="G1544" s="4" t="n">
        <v>1</v>
      </c>
      <c r="H1544" s="4" t="s">
        <v>213</v>
      </c>
      <c r="I1544" s="4" t="s">
        <v>53</v>
      </c>
      <c r="J1544" s="4" t="n">
        <f aca="false">INDEX('Master List'!$G$2:$G$2594,K1544)</f>
        <v>0</v>
      </c>
      <c r="K1544" s="4" t="n">
        <v>1634</v>
      </c>
    </row>
    <row r="1545" customFormat="false" ht="15" hidden="false" customHeight="false" outlineLevel="0" collapsed="false">
      <c r="A1545" s="4" t="n">
        <v>1544</v>
      </c>
      <c r="B1545" s="4" t="s">
        <v>2389</v>
      </c>
      <c r="C1545" s="4" t="n">
        <v>1983</v>
      </c>
      <c r="D1545" s="4" t="s">
        <v>357</v>
      </c>
      <c r="E1545" s="25" t="str">
        <f aca="false">IF(J1545=1,"✓","")</f>
        <v/>
      </c>
      <c r="F1545" s="4" t="n">
        <v>2</v>
      </c>
      <c r="G1545" s="4" t="n">
        <v>1</v>
      </c>
      <c r="H1545" s="4" t="s">
        <v>213</v>
      </c>
      <c r="I1545" s="4" t="s">
        <v>53</v>
      </c>
      <c r="J1545" s="4" t="n">
        <f aca="false">INDEX('Master List'!$G$2:$G$2594,K1545)</f>
        <v>0</v>
      </c>
      <c r="K1545" s="4" t="n">
        <v>2073</v>
      </c>
    </row>
    <row r="1546" customFormat="false" ht="15" hidden="false" customHeight="false" outlineLevel="0" collapsed="false">
      <c r="A1546" s="4" t="n">
        <v>1545</v>
      </c>
      <c r="B1546" s="4" t="s">
        <v>2390</v>
      </c>
      <c r="C1546" s="4" t="n">
        <v>1983</v>
      </c>
      <c r="D1546" s="4" t="s">
        <v>2391</v>
      </c>
      <c r="E1546" s="25" t="str">
        <f aca="false">IF(J1546=1,"✓","")</f>
        <v/>
      </c>
      <c r="F1546" s="4" t="n">
        <v>2</v>
      </c>
      <c r="G1546" s="4" t="n">
        <v>1</v>
      </c>
      <c r="H1546" s="4" t="s">
        <v>213</v>
      </c>
      <c r="I1546" s="4" t="s">
        <v>54</v>
      </c>
      <c r="J1546" s="4" t="n">
        <f aca="false">INDEX('Master List'!$G$2:$G$2594,K1546)</f>
        <v>0</v>
      </c>
      <c r="K1546" s="4" t="n">
        <v>283</v>
      </c>
    </row>
    <row r="1547" customFormat="false" ht="15" hidden="false" customHeight="false" outlineLevel="0" collapsed="false">
      <c r="A1547" s="4" t="n">
        <v>1546</v>
      </c>
      <c r="B1547" s="4" t="s">
        <v>2392</v>
      </c>
      <c r="C1547" s="4" t="n">
        <v>1983</v>
      </c>
      <c r="D1547" s="4" t="s">
        <v>239</v>
      </c>
      <c r="E1547" s="25" t="str">
        <f aca="false">IF(J1547=1,"✓","")</f>
        <v/>
      </c>
      <c r="F1547" s="4" t="n">
        <v>2</v>
      </c>
      <c r="G1547" s="4" t="n">
        <v>1</v>
      </c>
      <c r="H1547" s="4" t="s">
        <v>213</v>
      </c>
      <c r="I1547" s="4" t="s">
        <v>54</v>
      </c>
      <c r="J1547" s="4" t="n">
        <f aca="false">INDEX('Master List'!$G$2:$G$2594,K1547)</f>
        <v>0</v>
      </c>
      <c r="K1547" s="4" t="n">
        <v>1568</v>
      </c>
    </row>
    <row r="1548" customFormat="false" ht="15" hidden="false" customHeight="false" outlineLevel="0" collapsed="false">
      <c r="A1548" s="4" t="n">
        <v>1547</v>
      </c>
      <c r="B1548" s="4" t="s">
        <v>2393</v>
      </c>
      <c r="C1548" s="4" t="n">
        <v>1983</v>
      </c>
      <c r="D1548" s="4" t="s">
        <v>2394</v>
      </c>
      <c r="E1548" s="25" t="str">
        <f aca="false">IF(J1548=1,"✓","")</f>
        <v/>
      </c>
      <c r="F1548" s="4" t="n">
        <v>2</v>
      </c>
      <c r="G1548" s="4" t="n">
        <v>1</v>
      </c>
      <c r="H1548" s="4" t="s">
        <v>213</v>
      </c>
      <c r="I1548" s="4" t="s">
        <v>55</v>
      </c>
      <c r="J1548" s="4" t="n">
        <f aca="false">INDEX('Master List'!$G$2:$G$2594,K1548)</f>
        <v>0</v>
      </c>
      <c r="K1548" s="4" t="n">
        <v>2467</v>
      </c>
    </row>
    <row r="1549" customFormat="false" ht="15" hidden="false" customHeight="false" outlineLevel="0" collapsed="false">
      <c r="A1549" s="4" t="n">
        <v>1548</v>
      </c>
      <c r="B1549" s="4" t="s">
        <v>2395</v>
      </c>
      <c r="C1549" s="4" t="n">
        <v>1983</v>
      </c>
      <c r="D1549" s="4" t="s">
        <v>2396</v>
      </c>
      <c r="E1549" s="25" t="str">
        <f aca="false">IF(J1549=1,"✓","")</f>
        <v/>
      </c>
      <c r="F1549" s="4" t="n">
        <v>2</v>
      </c>
      <c r="G1549" s="4" t="n">
        <v>1</v>
      </c>
      <c r="H1549" s="4" t="s">
        <v>213</v>
      </c>
      <c r="I1549" s="4" t="s">
        <v>55</v>
      </c>
      <c r="J1549" s="4" t="n">
        <f aca="false">INDEX('Master List'!$G$2:$G$2594,K1549)</f>
        <v>0</v>
      </c>
      <c r="K1549" s="4" t="n">
        <v>187</v>
      </c>
    </row>
    <row r="1550" customFormat="false" ht="15" hidden="false" customHeight="false" outlineLevel="0" collapsed="false">
      <c r="A1550" s="4" t="n">
        <v>1549</v>
      </c>
      <c r="B1550" s="4" t="s">
        <v>2397</v>
      </c>
      <c r="C1550" s="4" t="n">
        <v>1983</v>
      </c>
      <c r="D1550" s="4" t="s">
        <v>546</v>
      </c>
      <c r="E1550" s="25" t="str">
        <f aca="false">IF(J1550=1,"✓","")</f>
        <v>✓</v>
      </c>
      <c r="F1550" s="4" t="n">
        <v>2</v>
      </c>
      <c r="G1550" s="4" t="n">
        <v>1</v>
      </c>
      <c r="H1550" s="4" t="s">
        <v>213</v>
      </c>
      <c r="I1550" s="4" t="s">
        <v>56</v>
      </c>
      <c r="J1550" s="4" t="n">
        <f aca="false">INDEX('Master List'!$G$2:$G$2594,K1550)</f>
        <v>1</v>
      </c>
      <c r="K1550" s="4" t="n">
        <v>455</v>
      </c>
    </row>
    <row r="1551" customFormat="false" ht="15" hidden="false" customHeight="false" outlineLevel="0" collapsed="false">
      <c r="A1551" s="4" t="n">
        <v>1550</v>
      </c>
      <c r="B1551" s="4" t="s">
        <v>2398</v>
      </c>
      <c r="C1551" s="4" t="n">
        <v>1984</v>
      </c>
      <c r="D1551" s="4" t="s">
        <v>2399</v>
      </c>
      <c r="E1551" s="25" t="str">
        <f aca="false">IF(J1551=1,"✓","")</f>
        <v/>
      </c>
      <c r="F1551" s="4" t="n">
        <v>2</v>
      </c>
      <c r="G1551" s="4" t="n">
        <v>1</v>
      </c>
      <c r="H1551" s="4" t="s">
        <v>213</v>
      </c>
      <c r="I1551" s="4" t="s">
        <v>51</v>
      </c>
      <c r="J1551" s="4" t="n">
        <f aca="false">INDEX('Master List'!$G$2:$G$2594,K1551)</f>
        <v>0</v>
      </c>
      <c r="K1551" s="4" t="n">
        <v>1886</v>
      </c>
    </row>
    <row r="1552" customFormat="false" ht="15" hidden="false" customHeight="false" outlineLevel="0" collapsed="false">
      <c r="A1552" s="4" t="n">
        <v>1551</v>
      </c>
      <c r="B1552" s="4" t="s">
        <v>2400</v>
      </c>
      <c r="C1552" s="4" t="n">
        <v>1984</v>
      </c>
      <c r="D1552" s="4" t="s">
        <v>1551</v>
      </c>
      <c r="E1552" s="25" t="str">
        <f aca="false">IF(J1552=1,"✓","")</f>
        <v/>
      </c>
      <c r="F1552" s="4" t="n">
        <v>2</v>
      </c>
      <c r="G1552" s="4" t="n">
        <v>1</v>
      </c>
      <c r="H1552" s="4" t="s">
        <v>213</v>
      </c>
      <c r="I1552" s="4" t="s">
        <v>51</v>
      </c>
      <c r="J1552" s="4" t="n">
        <f aca="false">INDEX('Master List'!$G$2:$G$2594,K1552)</f>
        <v>0</v>
      </c>
      <c r="K1552" s="4" t="n">
        <v>2566</v>
      </c>
    </row>
    <row r="1553" customFormat="false" ht="15" hidden="false" customHeight="false" outlineLevel="0" collapsed="false">
      <c r="A1553" s="4" t="n">
        <v>1552</v>
      </c>
      <c r="B1553" s="4" t="s">
        <v>2401</v>
      </c>
      <c r="C1553" s="4" t="n">
        <v>1984</v>
      </c>
      <c r="D1553" s="4" t="s">
        <v>1496</v>
      </c>
      <c r="E1553" s="25" t="str">
        <f aca="false">IF(J1553=1,"✓","")</f>
        <v>✓</v>
      </c>
      <c r="F1553" s="4" t="n">
        <v>2</v>
      </c>
      <c r="G1553" s="4" t="n">
        <v>1</v>
      </c>
      <c r="H1553" s="4" t="s">
        <v>213</v>
      </c>
      <c r="I1553" s="4" t="s">
        <v>52</v>
      </c>
      <c r="J1553" s="4" t="n">
        <f aca="false">INDEX('Master List'!$G$2:$G$2594,K1553)</f>
        <v>1</v>
      </c>
      <c r="K1553" s="4" t="n">
        <v>1613</v>
      </c>
    </row>
    <row r="1554" customFormat="false" ht="15" hidden="false" customHeight="false" outlineLevel="0" collapsed="false">
      <c r="A1554" s="4" t="n">
        <v>1553</v>
      </c>
      <c r="B1554" s="4" t="s">
        <v>2402</v>
      </c>
      <c r="C1554" s="4" t="n">
        <v>1984</v>
      </c>
      <c r="D1554" s="4" t="s">
        <v>1521</v>
      </c>
      <c r="E1554" s="25" t="str">
        <f aca="false">IF(J1554=1,"✓","")</f>
        <v/>
      </c>
      <c r="F1554" s="4" t="n">
        <v>2</v>
      </c>
      <c r="G1554" s="4" t="n">
        <v>1</v>
      </c>
      <c r="H1554" s="4" t="s">
        <v>213</v>
      </c>
      <c r="I1554" s="4" t="s">
        <v>52</v>
      </c>
      <c r="J1554" s="4" t="n">
        <f aca="false">INDEX('Master List'!$G$2:$G$2594,K1554)</f>
        <v>0</v>
      </c>
      <c r="K1554" s="4" t="n">
        <v>2339</v>
      </c>
    </row>
    <row r="1555" customFormat="false" ht="15" hidden="false" customHeight="false" outlineLevel="0" collapsed="false">
      <c r="A1555" s="4" t="n">
        <v>1554</v>
      </c>
      <c r="B1555" s="4" t="s">
        <v>2403</v>
      </c>
      <c r="C1555" s="4" t="n">
        <v>1984</v>
      </c>
      <c r="D1555" s="4" t="s">
        <v>2404</v>
      </c>
      <c r="E1555" s="25" t="str">
        <f aca="false">IF(J1555=1,"✓","")</f>
        <v>✓</v>
      </c>
      <c r="F1555" s="4" t="n">
        <v>2</v>
      </c>
      <c r="G1555" s="4" t="n">
        <v>1</v>
      </c>
      <c r="H1555" s="4" t="s">
        <v>213</v>
      </c>
      <c r="I1555" s="4" t="s">
        <v>52</v>
      </c>
      <c r="J1555" s="4" t="n">
        <f aca="false">INDEX('Master List'!$G$2:$G$2594,K1555)</f>
        <v>1</v>
      </c>
      <c r="K1555" s="4" t="n">
        <v>894</v>
      </c>
    </row>
    <row r="1556" customFormat="false" ht="15" hidden="false" customHeight="false" outlineLevel="0" collapsed="false">
      <c r="A1556" s="4" t="n">
        <v>1555</v>
      </c>
      <c r="B1556" s="4" t="s">
        <v>2405</v>
      </c>
      <c r="C1556" s="4" t="n">
        <v>1984</v>
      </c>
      <c r="D1556" s="4" t="s">
        <v>266</v>
      </c>
      <c r="E1556" s="25" t="str">
        <f aca="false">IF(J1556=1,"✓","")</f>
        <v>✓</v>
      </c>
      <c r="F1556" s="4" t="n">
        <v>2</v>
      </c>
      <c r="G1556" s="4" t="n">
        <v>1</v>
      </c>
      <c r="H1556" s="4" t="s">
        <v>213</v>
      </c>
      <c r="I1556" s="4" t="s">
        <v>53</v>
      </c>
      <c r="J1556" s="4" t="n">
        <f aca="false">INDEX('Master List'!$G$2:$G$2594,K1556)</f>
        <v>1</v>
      </c>
      <c r="K1556" s="4" t="n">
        <v>2150</v>
      </c>
    </row>
    <row r="1557" customFormat="false" ht="15" hidden="false" customHeight="false" outlineLevel="0" collapsed="false">
      <c r="A1557" s="4" t="n">
        <v>1556</v>
      </c>
      <c r="B1557" s="4" t="s">
        <v>2406</v>
      </c>
      <c r="C1557" s="4" t="n">
        <v>1984</v>
      </c>
      <c r="D1557" s="4" t="s">
        <v>382</v>
      </c>
      <c r="E1557" s="25" t="str">
        <f aca="false">IF(J1557=1,"✓","")</f>
        <v/>
      </c>
      <c r="F1557" s="4" t="n">
        <v>2</v>
      </c>
      <c r="G1557" s="4" t="n">
        <v>1</v>
      </c>
      <c r="H1557" s="4" t="s">
        <v>213</v>
      </c>
      <c r="I1557" s="4" t="s">
        <v>53</v>
      </c>
      <c r="J1557" s="4" t="n">
        <f aca="false">INDEX('Master List'!$G$2:$G$2594,K1557)</f>
        <v>0</v>
      </c>
      <c r="K1557" s="4" t="n">
        <v>1588</v>
      </c>
    </row>
    <row r="1558" customFormat="false" ht="15" hidden="false" customHeight="false" outlineLevel="0" collapsed="false">
      <c r="A1558" s="4" t="n">
        <v>1557</v>
      </c>
      <c r="B1558" s="4" t="s">
        <v>2407</v>
      </c>
      <c r="C1558" s="4" t="n">
        <v>1984</v>
      </c>
      <c r="D1558" s="4" t="s">
        <v>801</v>
      </c>
      <c r="E1558" s="25" t="str">
        <f aca="false">IF(J1558=1,"✓","")</f>
        <v/>
      </c>
      <c r="F1558" s="4" t="n">
        <v>2</v>
      </c>
      <c r="G1558" s="4" t="n">
        <v>1</v>
      </c>
      <c r="H1558" s="4" t="s">
        <v>213</v>
      </c>
      <c r="I1558" s="4" t="s">
        <v>53</v>
      </c>
      <c r="J1558" s="4" t="n">
        <f aca="false">INDEX('Master List'!$G$2:$G$2594,K1558)</f>
        <v>0</v>
      </c>
      <c r="K1558" s="4" t="n">
        <v>1391</v>
      </c>
    </row>
    <row r="1559" customFormat="false" ht="15" hidden="false" customHeight="false" outlineLevel="0" collapsed="false">
      <c r="A1559" s="4" t="n">
        <v>1558</v>
      </c>
      <c r="B1559" s="4" t="s">
        <v>2408</v>
      </c>
      <c r="C1559" s="4" t="n">
        <v>1984</v>
      </c>
      <c r="D1559" s="4" t="s">
        <v>2409</v>
      </c>
      <c r="E1559" s="25" t="str">
        <f aca="false">IF(J1559=1,"✓","")</f>
        <v>✓</v>
      </c>
      <c r="F1559" s="4" t="n">
        <v>2</v>
      </c>
      <c r="G1559" s="4" t="n">
        <v>1</v>
      </c>
      <c r="H1559" s="4" t="s">
        <v>213</v>
      </c>
      <c r="I1559" s="4" t="s">
        <v>56</v>
      </c>
      <c r="J1559" s="4" t="n">
        <f aca="false">INDEX('Master List'!$G$2:$G$2594,K1559)</f>
        <v>1</v>
      </c>
      <c r="K1559" s="4" t="n">
        <v>963</v>
      </c>
    </row>
    <row r="1560" customFormat="false" ht="15" hidden="false" customHeight="false" outlineLevel="0" collapsed="false">
      <c r="A1560" s="4" t="n">
        <v>1559</v>
      </c>
      <c r="B1560" s="4" t="s">
        <v>2410</v>
      </c>
      <c r="C1560" s="4" t="n">
        <v>1985</v>
      </c>
      <c r="D1560" s="4" t="s">
        <v>439</v>
      </c>
      <c r="E1560" s="25" t="str">
        <f aca="false">IF(J1560=1,"✓","")</f>
        <v>✓</v>
      </c>
      <c r="F1560" s="4" t="n">
        <v>2</v>
      </c>
      <c r="G1560" s="4" t="n">
        <v>1</v>
      </c>
      <c r="H1560" s="4" t="s">
        <v>213</v>
      </c>
      <c r="I1560" s="4" t="s">
        <v>49</v>
      </c>
      <c r="J1560" s="4" t="n">
        <f aca="false">INDEX('Master List'!$G$2:$G$2594,K1560)</f>
        <v>1</v>
      </c>
      <c r="K1560" s="4" t="n">
        <v>2537</v>
      </c>
    </row>
    <row r="1561" customFormat="false" ht="15" hidden="false" customHeight="false" outlineLevel="0" collapsed="false">
      <c r="A1561" s="4" t="n">
        <v>1560</v>
      </c>
      <c r="B1561" s="4" t="s">
        <v>2411</v>
      </c>
      <c r="C1561" s="4" t="n">
        <v>1985</v>
      </c>
      <c r="D1561" s="4" t="s">
        <v>1558</v>
      </c>
      <c r="E1561" s="25" t="str">
        <f aca="false">IF(J1561=1,"✓","")</f>
        <v/>
      </c>
      <c r="F1561" s="4" t="n">
        <v>2</v>
      </c>
      <c r="G1561" s="4" t="n">
        <v>1</v>
      </c>
      <c r="H1561" s="4" t="s">
        <v>213</v>
      </c>
      <c r="I1561" s="4" t="s">
        <v>51</v>
      </c>
      <c r="J1561" s="4" t="n">
        <f aca="false">INDEX('Master List'!$G$2:$G$2594,K1561)</f>
        <v>0</v>
      </c>
      <c r="K1561" s="4" t="n">
        <v>2193</v>
      </c>
    </row>
    <row r="1562" customFormat="false" ht="15" hidden="false" customHeight="false" outlineLevel="0" collapsed="false">
      <c r="A1562" s="4" t="n">
        <v>1561</v>
      </c>
      <c r="B1562" s="4" t="s">
        <v>2412</v>
      </c>
      <c r="C1562" s="4" t="n">
        <v>1985</v>
      </c>
      <c r="D1562" s="4" t="s">
        <v>492</v>
      </c>
      <c r="E1562" s="25" t="str">
        <f aca="false">IF(J1562=1,"✓","")</f>
        <v/>
      </c>
      <c r="F1562" s="4" t="n">
        <v>2</v>
      </c>
      <c r="G1562" s="4" t="n">
        <v>1</v>
      </c>
      <c r="H1562" s="4" t="s">
        <v>213</v>
      </c>
      <c r="I1562" s="4" t="s">
        <v>51</v>
      </c>
      <c r="J1562" s="4" t="n">
        <f aca="false">INDEX('Master List'!$G$2:$G$2594,K1562)</f>
        <v>0</v>
      </c>
      <c r="K1562" s="4" t="n">
        <v>2305</v>
      </c>
    </row>
    <row r="1563" customFormat="false" ht="15" hidden="false" customHeight="false" outlineLevel="0" collapsed="false">
      <c r="A1563" s="4" t="n">
        <v>1562</v>
      </c>
      <c r="B1563" s="4" t="s">
        <v>2413</v>
      </c>
      <c r="C1563" s="4" t="n">
        <v>1985</v>
      </c>
      <c r="D1563" s="4" t="s">
        <v>475</v>
      </c>
      <c r="E1563" s="25" t="str">
        <f aca="false">IF(J1563=1,"✓","")</f>
        <v/>
      </c>
      <c r="F1563" s="4" t="n">
        <v>2</v>
      </c>
      <c r="G1563" s="4" t="n">
        <v>1</v>
      </c>
      <c r="H1563" s="4" t="s">
        <v>213</v>
      </c>
      <c r="I1563" s="4" t="s">
        <v>52</v>
      </c>
      <c r="J1563" s="4" t="n">
        <f aca="false">INDEX('Master List'!$G$2:$G$2594,K1563)</f>
        <v>0</v>
      </c>
      <c r="K1563" s="4" t="n">
        <v>574</v>
      </c>
    </row>
    <row r="1564" customFormat="false" ht="15" hidden="false" customHeight="false" outlineLevel="0" collapsed="false">
      <c r="A1564" s="4" t="n">
        <v>1563</v>
      </c>
      <c r="B1564" s="4" t="s">
        <v>2414</v>
      </c>
      <c r="C1564" s="4" t="n">
        <v>1985</v>
      </c>
      <c r="D1564" s="4" t="s">
        <v>2415</v>
      </c>
      <c r="E1564" s="25" t="str">
        <f aca="false">IF(J1564=1,"✓","")</f>
        <v/>
      </c>
      <c r="F1564" s="4" t="n">
        <v>2</v>
      </c>
      <c r="G1564" s="4" t="n">
        <v>1</v>
      </c>
      <c r="H1564" s="4" t="s">
        <v>213</v>
      </c>
      <c r="I1564" s="4" t="s">
        <v>52</v>
      </c>
      <c r="J1564" s="4" t="n">
        <f aca="false">INDEX('Master List'!$G$2:$G$2594,K1564)</f>
        <v>0</v>
      </c>
      <c r="K1564" s="4" t="n">
        <v>1895</v>
      </c>
    </row>
    <row r="1565" customFormat="false" ht="15" hidden="false" customHeight="false" outlineLevel="0" collapsed="false">
      <c r="A1565" s="4" t="n">
        <v>1564</v>
      </c>
      <c r="B1565" s="4" t="s">
        <v>2416</v>
      </c>
      <c r="C1565" s="4" t="n">
        <v>1985</v>
      </c>
      <c r="D1565" s="4" t="s">
        <v>2417</v>
      </c>
      <c r="E1565" s="25" t="str">
        <f aca="false">IF(J1565=1,"✓","")</f>
        <v/>
      </c>
      <c r="F1565" s="4" t="n">
        <v>2</v>
      </c>
      <c r="G1565" s="4" t="n">
        <v>1</v>
      </c>
      <c r="H1565" s="4" t="s">
        <v>213</v>
      </c>
      <c r="I1565" s="4" t="s">
        <v>52</v>
      </c>
      <c r="J1565" s="4" t="n">
        <f aca="false">INDEX('Master List'!$G$2:$G$2594,K1565)</f>
        <v>0</v>
      </c>
      <c r="K1565" s="4" t="n">
        <v>1192</v>
      </c>
    </row>
    <row r="1566" customFormat="false" ht="15" hidden="false" customHeight="false" outlineLevel="0" collapsed="false">
      <c r="A1566" s="4" t="n">
        <v>1565</v>
      </c>
      <c r="B1566" s="4" t="s">
        <v>2418</v>
      </c>
      <c r="C1566" s="4" t="n">
        <v>1985</v>
      </c>
      <c r="D1566" s="4" t="s">
        <v>2419</v>
      </c>
      <c r="E1566" s="25" t="str">
        <f aca="false">IF(J1566=1,"✓","")</f>
        <v/>
      </c>
      <c r="F1566" s="4" t="n">
        <v>2</v>
      </c>
      <c r="G1566" s="4" t="n">
        <v>1</v>
      </c>
      <c r="H1566" s="4" t="s">
        <v>213</v>
      </c>
      <c r="I1566" s="4" t="s">
        <v>52</v>
      </c>
      <c r="J1566" s="4" t="n">
        <f aca="false">INDEX('Master List'!$G$2:$G$2594,K1566)</f>
        <v>0</v>
      </c>
      <c r="K1566" s="4" t="n">
        <v>2044</v>
      </c>
    </row>
    <row r="1567" customFormat="false" ht="15" hidden="false" customHeight="false" outlineLevel="0" collapsed="false">
      <c r="A1567" s="4" t="n">
        <v>1566</v>
      </c>
      <c r="B1567" s="4" t="s">
        <v>2420</v>
      </c>
      <c r="C1567" s="4" t="n">
        <v>1985</v>
      </c>
      <c r="D1567" s="4" t="s">
        <v>1284</v>
      </c>
      <c r="E1567" s="25" t="str">
        <f aca="false">IF(J1567=1,"✓","")</f>
        <v/>
      </c>
      <c r="F1567" s="4" t="n">
        <v>2</v>
      </c>
      <c r="G1567" s="4" t="n">
        <v>1</v>
      </c>
      <c r="H1567" s="4" t="s">
        <v>213</v>
      </c>
      <c r="I1567" s="4" t="s">
        <v>54</v>
      </c>
      <c r="J1567" s="4" t="n">
        <f aca="false">INDEX('Master List'!$G$2:$G$2594,K1567)</f>
        <v>0</v>
      </c>
      <c r="K1567" s="4" t="n">
        <v>1564</v>
      </c>
    </row>
    <row r="1568" customFormat="false" ht="15" hidden="false" customHeight="false" outlineLevel="0" collapsed="false">
      <c r="A1568" s="4" t="n">
        <v>1567</v>
      </c>
      <c r="B1568" s="4" t="s">
        <v>2421</v>
      </c>
      <c r="C1568" s="4" t="n">
        <v>1985</v>
      </c>
      <c r="D1568" s="4" t="s">
        <v>2422</v>
      </c>
      <c r="E1568" s="25" t="str">
        <f aca="false">IF(J1568=1,"✓","")</f>
        <v/>
      </c>
      <c r="F1568" s="4" t="n">
        <v>2</v>
      </c>
      <c r="G1568" s="4" t="n">
        <v>1</v>
      </c>
      <c r="H1568" s="4" t="s">
        <v>213</v>
      </c>
      <c r="I1568" s="4" t="s">
        <v>55</v>
      </c>
      <c r="J1568" s="4" t="n">
        <f aca="false">INDEX('Master List'!$G$2:$G$2594,K1568)</f>
        <v>0</v>
      </c>
      <c r="K1568" s="4" t="n">
        <v>1572</v>
      </c>
    </row>
    <row r="1569" customFormat="false" ht="15" hidden="false" customHeight="false" outlineLevel="0" collapsed="false">
      <c r="A1569" s="4" t="n">
        <v>1568</v>
      </c>
      <c r="B1569" s="4" t="s">
        <v>2423</v>
      </c>
      <c r="C1569" s="4" t="n">
        <v>1985</v>
      </c>
      <c r="D1569" s="4" t="s">
        <v>2424</v>
      </c>
      <c r="E1569" s="25" t="str">
        <f aca="false">IF(J1569=1,"✓","")</f>
        <v/>
      </c>
      <c r="F1569" s="4" t="n">
        <v>2</v>
      </c>
      <c r="G1569" s="4" t="n">
        <v>1</v>
      </c>
      <c r="H1569" s="4" t="s">
        <v>213</v>
      </c>
      <c r="I1569" s="4" t="s">
        <v>56</v>
      </c>
      <c r="J1569" s="4" t="n">
        <f aca="false">INDEX('Master List'!$G$2:$G$2594,K1569)</f>
        <v>0</v>
      </c>
      <c r="K1569" s="4" t="n">
        <v>487</v>
      </c>
    </row>
    <row r="1570" customFormat="false" ht="15" hidden="false" customHeight="false" outlineLevel="0" collapsed="false">
      <c r="A1570" s="4" t="n">
        <v>1569</v>
      </c>
      <c r="B1570" s="4" t="s">
        <v>2425</v>
      </c>
      <c r="C1570" s="4" t="n">
        <v>1986</v>
      </c>
      <c r="D1570" s="4" t="s">
        <v>2426</v>
      </c>
      <c r="E1570" s="25" t="str">
        <f aca="false">IF(J1570=1,"✓","")</f>
        <v>✓</v>
      </c>
      <c r="F1570" s="4" t="n">
        <v>2</v>
      </c>
      <c r="G1570" s="4" t="n">
        <v>1</v>
      </c>
      <c r="H1570" s="4" t="s">
        <v>213</v>
      </c>
      <c r="I1570" s="4" t="s">
        <v>50</v>
      </c>
      <c r="J1570" s="4" t="n">
        <f aca="false">INDEX('Master List'!$G$2:$G$2594,K1570)</f>
        <v>1</v>
      </c>
      <c r="K1570" s="4" t="n">
        <v>2336</v>
      </c>
    </row>
    <row r="1571" customFormat="false" ht="15" hidden="false" customHeight="false" outlineLevel="0" collapsed="false">
      <c r="A1571" s="4" t="n">
        <v>1570</v>
      </c>
      <c r="B1571" s="4" t="s">
        <v>2427</v>
      </c>
      <c r="C1571" s="4" t="n">
        <v>1986</v>
      </c>
      <c r="D1571" s="4" t="s">
        <v>1525</v>
      </c>
      <c r="E1571" s="25" t="str">
        <f aca="false">IF(J1571=1,"✓","")</f>
        <v/>
      </c>
      <c r="F1571" s="4" t="n">
        <v>2</v>
      </c>
      <c r="G1571" s="4" t="n">
        <v>1</v>
      </c>
      <c r="H1571" s="4" t="s">
        <v>213</v>
      </c>
      <c r="I1571" s="4" t="s">
        <v>51</v>
      </c>
      <c r="J1571" s="4" t="n">
        <f aca="false">INDEX('Master List'!$G$2:$G$2594,K1571)</f>
        <v>0</v>
      </c>
      <c r="K1571" s="4" t="n">
        <v>233</v>
      </c>
    </row>
    <row r="1572" customFormat="false" ht="15" hidden="false" customHeight="false" outlineLevel="0" collapsed="false">
      <c r="A1572" s="4" t="n">
        <v>1571</v>
      </c>
      <c r="B1572" s="4" t="s">
        <v>2428</v>
      </c>
      <c r="C1572" s="4" t="n">
        <v>1986</v>
      </c>
      <c r="D1572" s="4" t="s">
        <v>1202</v>
      </c>
      <c r="E1572" s="25" t="str">
        <f aca="false">IF(J1572=1,"✓","")</f>
        <v/>
      </c>
      <c r="F1572" s="4" t="n">
        <v>2</v>
      </c>
      <c r="G1572" s="4" t="n">
        <v>1</v>
      </c>
      <c r="H1572" s="4" t="s">
        <v>213</v>
      </c>
      <c r="I1572" s="4" t="s">
        <v>51</v>
      </c>
      <c r="J1572" s="4" t="n">
        <f aca="false">INDEX('Master List'!$G$2:$G$2594,K1572)</f>
        <v>0</v>
      </c>
      <c r="K1572" s="4" t="n">
        <v>1466</v>
      </c>
    </row>
    <row r="1573" customFormat="false" ht="15" hidden="false" customHeight="false" outlineLevel="0" collapsed="false">
      <c r="A1573" s="4" t="n">
        <v>1572</v>
      </c>
      <c r="B1573" s="4" t="s">
        <v>2429</v>
      </c>
      <c r="C1573" s="4" t="n">
        <v>1986</v>
      </c>
      <c r="D1573" s="4" t="s">
        <v>1387</v>
      </c>
      <c r="E1573" s="25" t="str">
        <f aca="false">IF(J1573=1,"✓","")</f>
        <v/>
      </c>
      <c r="F1573" s="4" t="n">
        <v>2</v>
      </c>
      <c r="G1573" s="4" t="n">
        <v>1</v>
      </c>
      <c r="H1573" s="4" t="s">
        <v>213</v>
      </c>
      <c r="I1573" s="4" t="s">
        <v>51</v>
      </c>
      <c r="J1573" s="4" t="n">
        <f aca="false">INDEX('Master List'!$G$2:$G$2594,K1573)</f>
        <v>0</v>
      </c>
      <c r="K1573" s="4" t="n">
        <v>232</v>
      </c>
    </row>
    <row r="1574" customFormat="false" ht="15" hidden="false" customHeight="false" outlineLevel="0" collapsed="false">
      <c r="A1574" s="4" t="n">
        <v>1573</v>
      </c>
      <c r="B1574" s="4" t="s">
        <v>2430</v>
      </c>
      <c r="C1574" s="4" t="n">
        <v>1986</v>
      </c>
      <c r="D1574" s="4" t="s">
        <v>223</v>
      </c>
      <c r="E1574" s="25" t="str">
        <f aca="false">IF(J1574=1,"✓","")</f>
        <v/>
      </c>
      <c r="F1574" s="4" t="n">
        <v>2</v>
      </c>
      <c r="G1574" s="4" t="n">
        <v>1</v>
      </c>
      <c r="H1574" s="4" t="s">
        <v>213</v>
      </c>
      <c r="I1574" s="4" t="s">
        <v>51</v>
      </c>
      <c r="J1574" s="4" t="n">
        <f aca="false">INDEX('Master List'!$G$2:$G$2594,K1574)</f>
        <v>0</v>
      </c>
      <c r="K1574" s="4" t="n">
        <v>2257</v>
      </c>
    </row>
    <row r="1575" customFormat="false" ht="15" hidden="false" customHeight="false" outlineLevel="0" collapsed="false">
      <c r="A1575" s="4" t="n">
        <v>1574</v>
      </c>
      <c r="B1575" s="4" t="s">
        <v>2431</v>
      </c>
      <c r="C1575" s="4" t="n">
        <v>1986</v>
      </c>
      <c r="D1575" s="4" t="s">
        <v>2432</v>
      </c>
      <c r="E1575" s="25" t="str">
        <f aca="false">IF(J1575=1,"✓","")</f>
        <v/>
      </c>
      <c r="F1575" s="4" t="n">
        <v>2</v>
      </c>
      <c r="G1575" s="4" t="n">
        <v>1</v>
      </c>
      <c r="H1575" s="4" t="s">
        <v>213</v>
      </c>
      <c r="I1575" s="4" t="s">
        <v>51</v>
      </c>
      <c r="J1575" s="4" t="n">
        <f aca="false">INDEX('Master List'!$G$2:$G$2594,K1575)</f>
        <v>0</v>
      </c>
      <c r="K1575" s="4" t="n">
        <v>601</v>
      </c>
    </row>
    <row r="1576" customFormat="false" ht="15" hidden="false" customHeight="false" outlineLevel="0" collapsed="false">
      <c r="A1576" s="4" t="n">
        <v>1575</v>
      </c>
      <c r="B1576" s="4" t="s">
        <v>2433</v>
      </c>
      <c r="C1576" s="4" t="n">
        <v>1986</v>
      </c>
      <c r="D1576" s="4" t="s">
        <v>2434</v>
      </c>
      <c r="E1576" s="25" t="str">
        <f aca="false">IF(J1576=1,"✓","")</f>
        <v>✓</v>
      </c>
      <c r="F1576" s="4" t="n">
        <v>2</v>
      </c>
      <c r="G1576" s="4" t="n">
        <v>1</v>
      </c>
      <c r="H1576" s="4" t="s">
        <v>213</v>
      </c>
      <c r="I1576" s="4" t="s">
        <v>52</v>
      </c>
      <c r="J1576" s="4" t="n">
        <f aca="false">INDEX('Master List'!$G$2:$G$2594,K1576)</f>
        <v>1</v>
      </c>
      <c r="K1576" s="4" t="n">
        <v>1355</v>
      </c>
    </row>
    <row r="1577" customFormat="false" ht="15" hidden="false" customHeight="false" outlineLevel="0" collapsed="false">
      <c r="A1577" s="4" t="n">
        <v>1576</v>
      </c>
      <c r="B1577" s="4" t="s">
        <v>2435</v>
      </c>
      <c r="C1577" s="4" t="n">
        <v>1986</v>
      </c>
      <c r="D1577" s="4" t="s">
        <v>266</v>
      </c>
      <c r="E1577" s="25" t="str">
        <f aca="false">IF(J1577=1,"✓","")</f>
        <v>✓</v>
      </c>
      <c r="F1577" s="4" t="n">
        <v>2</v>
      </c>
      <c r="G1577" s="4" t="n">
        <v>1</v>
      </c>
      <c r="H1577" s="4" t="s">
        <v>213</v>
      </c>
      <c r="I1577" s="4" t="s">
        <v>53</v>
      </c>
      <c r="J1577" s="4" t="n">
        <f aca="false">INDEX('Master List'!$G$2:$G$2594,K1577)</f>
        <v>1</v>
      </c>
      <c r="K1577" s="4" t="n">
        <v>250</v>
      </c>
    </row>
    <row r="1578" customFormat="false" ht="15" hidden="false" customHeight="false" outlineLevel="0" collapsed="false">
      <c r="A1578" s="4" t="n">
        <v>1577</v>
      </c>
      <c r="B1578" s="4" t="s">
        <v>2436</v>
      </c>
      <c r="C1578" s="4" t="n">
        <v>1986</v>
      </c>
      <c r="D1578" s="4" t="s">
        <v>615</v>
      </c>
      <c r="E1578" s="25" t="str">
        <f aca="false">IF(J1578=1,"✓","")</f>
        <v/>
      </c>
      <c r="F1578" s="4" t="n">
        <v>2</v>
      </c>
      <c r="G1578" s="4" t="n">
        <v>1</v>
      </c>
      <c r="H1578" s="4" t="s">
        <v>213</v>
      </c>
      <c r="I1578" s="4" t="s">
        <v>53</v>
      </c>
      <c r="J1578" s="4" t="n">
        <f aca="false">INDEX('Master List'!$G$2:$G$2594,K1578)</f>
        <v>0</v>
      </c>
      <c r="K1578" s="4" t="n">
        <v>667</v>
      </c>
    </row>
    <row r="1579" customFormat="false" ht="15" hidden="false" customHeight="false" outlineLevel="0" collapsed="false">
      <c r="A1579" s="4" t="n">
        <v>1578</v>
      </c>
      <c r="B1579" s="4" t="s">
        <v>2437</v>
      </c>
      <c r="C1579" s="4" t="n">
        <v>1986</v>
      </c>
      <c r="D1579" s="4" t="s">
        <v>185</v>
      </c>
      <c r="E1579" s="25" t="str">
        <f aca="false">IF(J1579=1,"✓","")</f>
        <v/>
      </c>
      <c r="F1579" s="4" t="n">
        <v>2</v>
      </c>
      <c r="G1579" s="4" t="n">
        <v>1</v>
      </c>
      <c r="H1579" s="4" t="s">
        <v>213</v>
      </c>
      <c r="I1579" s="4" t="s">
        <v>53</v>
      </c>
      <c r="J1579" s="4" t="n">
        <f aca="false">INDEX('Master List'!$G$2:$G$2594,K1579)</f>
        <v>0</v>
      </c>
      <c r="K1579" s="4" t="n">
        <v>918</v>
      </c>
    </row>
    <row r="1580" customFormat="false" ht="15" hidden="false" customHeight="false" outlineLevel="0" collapsed="false">
      <c r="A1580" s="4" t="n">
        <v>1579</v>
      </c>
      <c r="B1580" s="4" t="s">
        <v>2438</v>
      </c>
      <c r="C1580" s="4" t="n">
        <v>1986</v>
      </c>
      <c r="D1580" s="4" t="s">
        <v>1155</v>
      </c>
      <c r="E1580" s="25" t="str">
        <f aca="false">IF(J1580=1,"✓","")</f>
        <v/>
      </c>
      <c r="F1580" s="4" t="n">
        <v>2</v>
      </c>
      <c r="G1580" s="4" t="n">
        <v>1</v>
      </c>
      <c r="H1580" s="4" t="s">
        <v>213</v>
      </c>
      <c r="I1580" s="4" t="s">
        <v>53</v>
      </c>
      <c r="J1580" s="4" t="n">
        <f aca="false">INDEX('Master List'!$G$2:$G$2594,K1580)</f>
        <v>0</v>
      </c>
      <c r="K1580" s="4" t="n">
        <v>2030</v>
      </c>
    </row>
    <row r="1581" customFormat="false" ht="15" hidden="false" customHeight="false" outlineLevel="0" collapsed="false">
      <c r="A1581" s="4" t="n">
        <v>1580</v>
      </c>
      <c r="B1581" s="4" t="s">
        <v>2439</v>
      </c>
      <c r="C1581" s="4" t="n">
        <v>1986</v>
      </c>
      <c r="D1581" s="4" t="s">
        <v>382</v>
      </c>
      <c r="E1581" s="25" t="str">
        <f aca="false">IF(J1581=1,"✓","")</f>
        <v/>
      </c>
      <c r="F1581" s="4" t="n">
        <v>2</v>
      </c>
      <c r="G1581" s="4" t="n">
        <v>1</v>
      </c>
      <c r="H1581" s="4" t="s">
        <v>213</v>
      </c>
      <c r="I1581" s="4" t="s">
        <v>53</v>
      </c>
      <c r="J1581" s="4" t="n">
        <f aca="false">INDEX('Master List'!$G$2:$G$2594,K1581)</f>
        <v>0</v>
      </c>
      <c r="K1581" s="4" t="n">
        <v>407</v>
      </c>
    </row>
    <row r="1582" customFormat="false" ht="15" hidden="false" customHeight="false" outlineLevel="0" collapsed="false">
      <c r="A1582" s="4" t="n">
        <v>1581</v>
      </c>
      <c r="B1582" s="4" t="s">
        <v>2440</v>
      </c>
      <c r="C1582" s="4" t="n">
        <v>1986</v>
      </c>
      <c r="D1582" s="4" t="s">
        <v>827</v>
      </c>
      <c r="E1582" s="25" t="str">
        <f aca="false">IF(J1582=1,"✓","")</f>
        <v/>
      </c>
      <c r="F1582" s="4" t="n">
        <v>2</v>
      </c>
      <c r="G1582" s="4" t="n">
        <v>1</v>
      </c>
      <c r="H1582" s="4" t="s">
        <v>213</v>
      </c>
      <c r="I1582" s="4" t="s">
        <v>54</v>
      </c>
      <c r="J1582" s="4" t="n">
        <f aca="false">INDEX('Master List'!$G$2:$G$2594,K1582)</f>
        <v>0</v>
      </c>
      <c r="K1582" s="4" t="n">
        <v>1417</v>
      </c>
    </row>
    <row r="1583" customFormat="false" ht="15" hidden="false" customHeight="false" outlineLevel="0" collapsed="false">
      <c r="A1583" s="4" t="n">
        <v>1582</v>
      </c>
      <c r="B1583" s="4" t="s">
        <v>2441</v>
      </c>
      <c r="C1583" s="4" t="n">
        <v>1986</v>
      </c>
      <c r="D1583" s="4" t="s">
        <v>496</v>
      </c>
      <c r="E1583" s="25" t="str">
        <f aca="false">IF(J1583=1,"✓","")</f>
        <v/>
      </c>
      <c r="F1583" s="4" t="n">
        <v>2</v>
      </c>
      <c r="G1583" s="4" t="n">
        <v>1</v>
      </c>
      <c r="H1583" s="4" t="s">
        <v>213</v>
      </c>
      <c r="I1583" s="4" t="s">
        <v>54</v>
      </c>
      <c r="J1583" s="4" t="n">
        <f aca="false">INDEX('Master List'!$G$2:$G$2594,K1583)</f>
        <v>0</v>
      </c>
      <c r="K1583" s="4" t="n">
        <v>2108</v>
      </c>
    </row>
    <row r="1584" customFormat="false" ht="15" hidden="false" customHeight="false" outlineLevel="0" collapsed="false">
      <c r="A1584" s="4" t="n">
        <v>1583</v>
      </c>
      <c r="B1584" s="4" t="s">
        <v>2442</v>
      </c>
      <c r="C1584" s="4" t="n">
        <v>1986</v>
      </c>
      <c r="D1584" s="4" t="s">
        <v>2443</v>
      </c>
      <c r="E1584" s="25" t="str">
        <f aca="false">IF(J1584=1,"✓","")</f>
        <v/>
      </c>
      <c r="F1584" s="4" t="n">
        <v>2</v>
      </c>
      <c r="G1584" s="4" t="n">
        <v>1</v>
      </c>
      <c r="H1584" s="4" t="s">
        <v>213</v>
      </c>
      <c r="I1584" s="4" t="s">
        <v>55</v>
      </c>
      <c r="J1584" s="4" t="n">
        <f aca="false">INDEX('Master List'!$G$2:$G$2594,K1584)</f>
        <v>0</v>
      </c>
      <c r="K1584" s="4" t="n">
        <v>1938</v>
      </c>
    </row>
    <row r="1585" customFormat="false" ht="15" hidden="false" customHeight="false" outlineLevel="0" collapsed="false">
      <c r="A1585" s="4" t="n">
        <v>1584</v>
      </c>
      <c r="B1585" s="4" t="s">
        <v>2444</v>
      </c>
      <c r="C1585" s="4" t="n">
        <v>1987</v>
      </c>
      <c r="D1585" s="4" t="s">
        <v>2445</v>
      </c>
      <c r="E1585" s="25" t="str">
        <f aca="false">IF(J1585=1,"✓","")</f>
        <v/>
      </c>
      <c r="F1585" s="4" t="n">
        <v>2</v>
      </c>
      <c r="G1585" s="4" t="n">
        <v>1</v>
      </c>
      <c r="H1585" s="4" t="s">
        <v>213</v>
      </c>
      <c r="I1585" s="4" t="s">
        <v>51</v>
      </c>
      <c r="J1585" s="4" t="n">
        <f aca="false">INDEX('Master List'!$G$2:$G$2594,K1585)</f>
        <v>0</v>
      </c>
      <c r="K1585" s="4" t="n">
        <v>451</v>
      </c>
    </row>
    <row r="1586" customFormat="false" ht="15" hidden="false" customHeight="false" outlineLevel="0" collapsed="false">
      <c r="A1586" s="4" t="n">
        <v>1585</v>
      </c>
      <c r="B1586" s="4" t="s">
        <v>2446</v>
      </c>
      <c r="C1586" s="4" t="n">
        <v>1987</v>
      </c>
      <c r="D1586" s="4" t="s">
        <v>2447</v>
      </c>
      <c r="E1586" s="25" t="str">
        <f aca="false">IF(J1586=1,"✓","")</f>
        <v/>
      </c>
      <c r="F1586" s="4" t="n">
        <v>2</v>
      </c>
      <c r="G1586" s="4" t="n">
        <v>1</v>
      </c>
      <c r="H1586" s="4" t="s">
        <v>213</v>
      </c>
      <c r="I1586" s="4" t="s">
        <v>51</v>
      </c>
      <c r="J1586" s="4" t="n">
        <f aca="false">INDEX('Master List'!$G$2:$G$2594,K1586)</f>
        <v>0</v>
      </c>
      <c r="K1586" s="4" t="n">
        <v>1937</v>
      </c>
    </row>
    <row r="1587" customFormat="false" ht="15" hidden="false" customHeight="false" outlineLevel="0" collapsed="false">
      <c r="A1587" s="4" t="n">
        <v>1586</v>
      </c>
      <c r="B1587" s="4" t="s">
        <v>2448</v>
      </c>
      <c r="C1587" s="4" t="n">
        <v>1987</v>
      </c>
      <c r="D1587" s="4" t="s">
        <v>2449</v>
      </c>
      <c r="E1587" s="25" t="str">
        <f aca="false">IF(J1587=1,"✓","")</f>
        <v/>
      </c>
      <c r="F1587" s="4" t="n">
        <v>2</v>
      </c>
      <c r="G1587" s="4" t="n">
        <v>1</v>
      </c>
      <c r="H1587" s="4" t="s">
        <v>213</v>
      </c>
      <c r="I1587" s="4" t="s">
        <v>51</v>
      </c>
      <c r="J1587" s="4" t="n">
        <f aca="false">INDEX('Master List'!$G$2:$G$2594,K1587)</f>
        <v>0</v>
      </c>
      <c r="K1587" s="4" t="n">
        <v>2565</v>
      </c>
    </row>
    <row r="1588" customFormat="false" ht="15" hidden="false" customHeight="false" outlineLevel="0" collapsed="false">
      <c r="A1588" s="4" t="n">
        <v>1587</v>
      </c>
      <c r="B1588" s="4" t="s">
        <v>2450</v>
      </c>
      <c r="C1588" s="4" t="n">
        <v>1987</v>
      </c>
      <c r="D1588" s="4" t="s">
        <v>2451</v>
      </c>
      <c r="E1588" s="25" t="str">
        <f aca="false">IF(J1588=1,"✓","")</f>
        <v/>
      </c>
      <c r="F1588" s="4" t="n">
        <v>2</v>
      </c>
      <c r="G1588" s="4" t="n">
        <v>1</v>
      </c>
      <c r="H1588" s="4" t="s">
        <v>213</v>
      </c>
      <c r="I1588" s="4" t="s">
        <v>52</v>
      </c>
      <c r="J1588" s="4" t="n">
        <f aca="false">INDEX('Master List'!$G$2:$G$2594,K1588)</f>
        <v>0</v>
      </c>
      <c r="K1588" s="4" t="n">
        <v>1075</v>
      </c>
    </row>
    <row r="1589" customFormat="false" ht="15" hidden="false" customHeight="false" outlineLevel="0" collapsed="false">
      <c r="A1589" s="4" t="n">
        <v>1588</v>
      </c>
      <c r="B1589" s="4" t="s">
        <v>2452</v>
      </c>
      <c r="C1589" s="4" t="n">
        <v>1987</v>
      </c>
      <c r="D1589" s="4" t="s">
        <v>2453</v>
      </c>
      <c r="E1589" s="25" t="str">
        <f aca="false">IF(J1589=1,"✓","")</f>
        <v/>
      </c>
      <c r="F1589" s="4" t="n">
        <v>2</v>
      </c>
      <c r="G1589" s="4" t="n">
        <v>1</v>
      </c>
      <c r="H1589" s="4" t="s">
        <v>213</v>
      </c>
      <c r="I1589" s="4" t="s">
        <v>52</v>
      </c>
      <c r="J1589" s="4" t="n">
        <f aca="false">INDEX('Master List'!$G$2:$G$2594,K1589)</f>
        <v>0</v>
      </c>
      <c r="K1589" s="4" t="n">
        <v>792</v>
      </c>
    </row>
    <row r="1590" customFormat="false" ht="15" hidden="false" customHeight="false" outlineLevel="0" collapsed="false">
      <c r="A1590" s="4" t="n">
        <v>1589</v>
      </c>
      <c r="B1590" s="4" t="s">
        <v>2454</v>
      </c>
      <c r="C1590" s="4" t="n">
        <v>1987</v>
      </c>
      <c r="D1590" s="4" t="s">
        <v>2116</v>
      </c>
      <c r="E1590" s="25" t="str">
        <f aca="false">IF(J1590=1,"✓","")</f>
        <v/>
      </c>
      <c r="F1590" s="4" t="n">
        <v>2</v>
      </c>
      <c r="G1590" s="4" t="n">
        <v>1</v>
      </c>
      <c r="H1590" s="4" t="s">
        <v>213</v>
      </c>
      <c r="I1590" s="4" t="s">
        <v>52</v>
      </c>
      <c r="J1590" s="4" t="n">
        <f aca="false">INDEX('Master List'!$G$2:$G$2594,K1590)</f>
        <v>0</v>
      </c>
      <c r="K1590" s="4" t="n">
        <v>1534</v>
      </c>
    </row>
    <row r="1591" customFormat="false" ht="15" hidden="false" customHeight="false" outlineLevel="0" collapsed="false">
      <c r="A1591" s="4" t="n">
        <v>1590</v>
      </c>
      <c r="B1591" s="4" t="s">
        <v>2455</v>
      </c>
      <c r="C1591" s="4" t="n">
        <v>1987</v>
      </c>
      <c r="D1591" s="4" t="s">
        <v>2286</v>
      </c>
      <c r="E1591" s="25" t="str">
        <f aca="false">IF(J1591=1,"✓","")</f>
        <v>✓</v>
      </c>
      <c r="F1591" s="4" t="n">
        <v>2</v>
      </c>
      <c r="G1591" s="4" t="n">
        <v>1</v>
      </c>
      <c r="H1591" s="4" t="s">
        <v>213</v>
      </c>
      <c r="I1591" s="4" t="s">
        <v>52</v>
      </c>
      <c r="J1591" s="4" t="n">
        <f aca="false">INDEX('Master List'!$G$2:$G$2594,K1591)</f>
        <v>1</v>
      </c>
      <c r="K1591" s="4" t="n">
        <v>1325</v>
      </c>
    </row>
    <row r="1592" customFormat="false" ht="15" hidden="false" customHeight="false" outlineLevel="0" collapsed="false">
      <c r="A1592" s="4" t="n">
        <v>1591</v>
      </c>
      <c r="B1592" s="4" t="s">
        <v>2456</v>
      </c>
      <c r="C1592" s="4" t="n">
        <v>1987</v>
      </c>
      <c r="D1592" s="4" t="s">
        <v>369</v>
      </c>
      <c r="E1592" s="25" t="str">
        <f aca="false">IF(J1592=1,"✓","")</f>
        <v/>
      </c>
      <c r="F1592" s="4" t="n">
        <v>2</v>
      </c>
      <c r="G1592" s="4" t="n">
        <v>1</v>
      </c>
      <c r="H1592" s="4" t="s">
        <v>213</v>
      </c>
      <c r="I1592" s="4" t="s">
        <v>52</v>
      </c>
      <c r="J1592" s="4" t="n">
        <f aca="false">INDEX('Master List'!$G$2:$G$2594,K1592)</f>
        <v>0</v>
      </c>
      <c r="K1592" s="4" t="n">
        <v>1807</v>
      </c>
    </row>
    <row r="1593" customFormat="false" ht="15" hidden="false" customHeight="false" outlineLevel="0" collapsed="false">
      <c r="A1593" s="4" t="n">
        <v>1592</v>
      </c>
      <c r="B1593" s="4" t="s">
        <v>2457</v>
      </c>
      <c r="C1593" s="4" t="n">
        <v>1987</v>
      </c>
      <c r="D1593" s="4" t="s">
        <v>183</v>
      </c>
      <c r="E1593" s="25" t="str">
        <f aca="false">IF(J1593=1,"✓","")</f>
        <v/>
      </c>
      <c r="F1593" s="4" t="n">
        <v>2</v>
      </c>
      <c r="G1593" s="4" t="n">
        <v>1</v>
      </c>
      <c r="H1593" s="4" t="s">
        <v>213</v>
      </c>
      <c r="I1593" s="4" t="s">
        <v>53</v>
      </c>
      <c r="J1593" s="4" t="n">
        <f aca="false">INDEX('Master List'!$G$2:$G$2594,K1593)</f>
        <v>0</v>
      </c>
      <c r="K1593" s="4" t="n">
        <v>725</v>
      </c>
    </row>
    <row r="1594" customFormat="false" ht="15" hidden="false" customHeight="false" outlineLevel="0" collapsed="false">
      <c r="A1594" s="4" t="n">
        <v>1593</v>
      </c>
      <c r="B1594" s="4" t="s">
        <v>2458</v>
      </c>
      <c r="C1594" s="4" t="n">
        <v>1987</v>
      </c>
      <c r="D1594" s="4" t="s">
        <v>397</v>
      </c>
      <c r="E1594" s="25" t="str">
        <f aca="false">IF(J1594=1,"✓","")</f>
        <v>✓</v>
      </c>
      <c r="F1594" s="4" t="n">
        <v>2</v>
      </c>
      <c r="G1594" s="4" t="n">
        <v>1</v>
      </c>
      <c r="H1594" s="4" t="s">
        <v>213</v>
      </c>
      <c r="I1594" s="4" t="s">
        <v>53</v>
      </c>
      <c r="J1594" s="4" t="n">
        <f aca="false">INDEX('Master List'!$G$2:$G$2594,K1594)</f>
        <v>1</v>
      </c>
      <c r="K1594" s="4" t="n">
        <v>1857</v>
      </c>
    </row>
    <row r="1595" customFormat="false" ht="15" hidden="false" customHeight="false" outlineLevel="0" collapsed="false">
      <c r="A1595" s="4" t="n">
        <v>1594</v>
      </c>
      <c r="B1595" s="4" t="s">
        <v>2459</v>
      </c>
      <c r="C1595" s="4" t="n">
        <v>1987</v>
      </c>
      <c r="D1595" s="4" t="s">
        <v>1042</v>
      </c>
      <c r="E1595" s="25" t="str">
        <f aca="false">IF(J1595=1,"✓","")</f>
        <v/>
      </c>
      <c r="F1595" s="4" t="n">
        <v>2</v>
      </c>
      <c r="G1595" s="4" t="n">
        <v>1</v>
      </c>
      <c r="H1595" s="4" t="s">
        <v>213</v>
      </c>
      <c r="I1595" s="4" t="s">
        <v>53</v>
      </c>
      <c r="J1595" s="4" t="n">
        <f aca="false">INDEX('Master List'!$G$2:$G$2594,K1595)</f>
        <v>0</v>
      </c>
      <c r="K1595" s="4" t="n">
        <v>285</v>
      </c>
    </row>
    <row r="1596" customFormat="false" ht="15" hidden="false" customHeight="false" outlineLevel="0" collapsed="false">
      <c r="A1596" s="4" t="n">
        <v>1595</v>
      </c>
      <c r="B1596" s="4" t="s">
        <v>2460</v>
      </c>
      <c r="C1596" s="4" t="n">
        <v>1987</v>
      </c>
      <c r="D1596" s="4" t="s">
        <v>1087</v>
      </c>
      <c r="E1596" s="25" t="str">
        <f aca="false">IF(J1596=1,"✓","")</f>
        <v/>
      </c>
      <c r="F1596" s="4" t="n">
        <v>2</v>
      </c>
      <c r="G1596" s="4" t="n">
        <v>1</v>
      </c>
      <c r="H1596" s="4" t="s">
        <v>213</v>
      </c>
      <c r="I1596" s="4" t="s">
        <v>53</v>
      </c>
      <c r="J1596" s="4" t="n">
        <f aca="false">INDEX('Master List'!$G$2:$G$2594,K1596)</f>
        <v>0</v>
      </c>
      <c r="K1596" s="4" t="n">
        <v>1312</v>
      </c>
    </row>
    <row r="1597" customFormat="false" ht="15" hidden="false" customHeight="false" outlineLevel="0" collapsed="false">
      <c r="A1597" s="4" t="n">
        <v>1596</v>
      </c>
      <c r="B1597" s="4" t="s">
        <v>2461</v>
      </c>
      <c r="C1597" s="4" t="n">
        <v>1987</v>
      </c>
      <c r="D1597" s="4" t="s">
        <v>2462</v>
      </c>
      <c r="E1597" s="25" t="str">
        <f aca="false">IF(J1597=1,"✓","")</f>
        <v/>
      </c>
      <c r="F1597" s="4" t="n">
        <v>2</v>
      </c>
      <c r="G1597" s="4" t="n">
        <v>1</v>
      </c>
      <c r="H1597" s="4" t="s">
        <v>213</v>
      </c>
      <c r="I1597" s="4" t="s">
        <v>54</v>
      </c>
      <c r="J1597" s="4" t="n">
        <f aca="false">INDEX('Master List'!$G$2:$G$2594,K1597)</f>
        <v>0</v>
      </c>
      <c r="K1597" s="4" t="n">
        <v>1052</v>
      </c>
    </row>
    <row r="1598" customFormat="false" ht="15" hidden="false" customHeight="false" outlineLevel="0" collapsed="false">
      <c r="A1598" s="4" t="n">
        <v>1597</v>
      </c>
      <c r="B1598" s="4" t="s">
        <v>2463</v>
      </c>
      <c r="C1598" s="4" t="n">
        <v>1987</v>
      </c>
      <c r="D1598" s="4" t="s">
        <v>2464</v>
      </c>
      <c r="E1598" s="25" t="str">
        <f aca="false">IF(J1598=1,"✓","")</f>
        <v/>
      </c>
      <c r="F1598" s="4" t="n">
        <v>2</v>
      </c>
      <c r="G1598" s="4" t="n">
        <v>1</v>
      </c>
      <c r="H1598" s="4" t="s">
        <v>213</v>
      </c>
      <c r="I1598" s="4" t="s">
        <v>57</v>
      </c>
      <c r="J1598" s="4" t="n">
        <f aca="false">INDEX('Master List'!$G$2:$G$2594,K1598)</f>
        <v>0</v>
      </c>
      <c r="K1598" s="4" t="n">
        <v>2536</v>
      </c>
    </row>
    <row r="1599" customFormat="false" ht="15" hidden="false" customHeight="false" outlineLevel="0" collapsed="false">
      <c r="A1599" s="4" t="n">
        <v>1598</v>
      </c>
      <c r="B1599" s="4" t="s">
        <v>2465</v>
      </c>
      <c r="C1599" s="4" t="n">
        <v>1988</v>
      </c>
      <c r="D1599" s="4" t="s">
        <v>1566</v>
      </c>
      <c r="E1599" s="25" t="str">
        <f aca="false">IF(J1599=1,"✓","")</f>
        <v/>
      </c>
      <c r="F1599" s="4" t="n">
        <v>2</v>
      </c>
      <c r="G1599" s="4" t="n">
        <v>1</v>
      </c>
      <c r="H1599" s="4" t="s">
        <v>213</v>
      </c>
      <c r="I1599" s="4" t="s">
        <v>51</v>
      </c>
      <c r="J1599" s="4" t="n">
        <f aca="false">INDEX('Master List'!$G$2:$G$2594,K1599)</f>
        <v>0</v>
      </c>
      <c r="K1599" s="4" t="n">
        <v>2303</v>
      </c>
    </row>
    <row r="1600" customFormat="false" ht="15" hidden="false" customHeight="false" outlineLevel="0" collapsed="false">
      <c r="A1600" s="4" t="n">
        <v>1599</v>
      </c>
      <c r="B1600" s="4" t="s">
        <v>2466</v>
      </c>
      <c r="C1600" s="4" t="n">
        <v>1988</v>
      </c>
      <c r="D1600" s="4" t="s">
        <v>1541</v>
      </c>
      <c r="E1600" s="25" t="str">
        <f aca="false">IF(J1600=1,"✓","")</f>
        <v/>
      </c>
      <c r="F1600" s="4" t="n">
        <v>2</v>
      </c>
      <c r="G1600" s="4" t="n">
        <v>1</v>
      </c>
      <c r="H1600" s="4" t="s">
        <v>213</v>
      </c>
      <c r="I1600" s="4" t="s">
        <v>51</v>
      </c>
      <c r="J1600" s="4" t="n">
        <f aca="false">INDEX('Master List'!$G$2:$G$2594,K1600)</f>
        <v>0</v>
      </c>
      <c r="K1600" s="4" t="n">
        <v>1878</v>
      </c>
    </row>
    <row r="1601" customFormat="false" ht="15" hidden="false" customHeight="false" outlineLevel="0" collapsed="false">
      <c r="A1601" s="4" t="n">
        <v>1600</v>
      </c>
      <c r="B1601" s="4" t="s">
        <v>2467</v>
      </c>
      <c r="C1601" s="4" t="n">
        <v>1988</v>
      </c>
      <c r="D1601" s="4" t="s">
        <v>2468</v>
      </c>
      <c r="E1601" s="25" t="str">
        <f aca="false">IF(J1601=1,"✓","")</f>
        <v>✓</v>
      </c>
      <c r="F1601" s="4" t="n">
        <v>2</v>
      </c>
      <c r="G1601" s="4" t="n">
        <v>1</v>
      </c>
      <c r="H1601" s="4" t="s">
        <v>213</v>
      </c>
      <c r="I1601" s="4" t="s">
        <v>52</v>
      </c>
      <c r="J1601" s="4" t="n">
        <f aca="false">INDEX('Master List'!$G$2:$G$2594,K1601)</f>
        <v>1</v>
      </c>
      <c r="K1601" s="4" t="n">
        <v>1579</v>
      </c>
    </row>
    <row r="1602" customFormat="false" ht="15" hidden="false" customHeight="false" outlineLevel="0" collapsed="false">
      <c r="A1602" s="4" t="n">
        <v>1601</v>
      </c>
      <c r="B1602" s="4" t="s">
        <v>2469</v>
      </c>
      <c r="C1602" s="4" t="n">
        <v>1988</v>
      </c>
      <c r="D1602" s="4" t="s">
        <v>1062</v>
      </c>
      <c r="E1602" s="25" t="str">
        <f aca="false">IF(J1602=1,"✓","")</f>
        <v/>
      </c>
      <c r="F1602" s="4" t="n">
        <v>2</v>
      </c>
      <c r="G1602" s="4" t="n">
        <v>1</v>
      </c>
      <c r="H1602" s="4" t="s">
        <v>213</v>
      </c>
      <c r="I1602" s="4" t="s">
        <v>52</v>
      </c>
      <c r="J1602" s="4" t="n">
        <f aca="false">INDEX('Master List'!$G$2:$G$2594,K1602)</f>
        <v>0</v>
      </c>
      <c r="K1602" s="4" t="n">
        <v>506</v>
      </c>
    </row>
    <row r="1603" customFormat="false" ht="15" hidden="false" customHeight="false" outlineLevel="0" collapsed="false">
      <c r="A1603" s="4" t="n">
        <v>1602</v>
      </c>
      <c r="B1603" s="4" t="s">
        <v>2470</v>
      </c>
      <c r="C1603" s="4" t="n">
        <v>1988</v>
      </c>
      <c r="D1603" s="4" t="s">
        <v>195</v>
      </c>
      <c r="E1603" s="25" t="str">
        <f aca="false">IF(J1603=1,"✓","")</f>
        <v/>
      </c>
      <c r="F1603" s="4" t="n">
        <v>2</v>
      </c>
      <c r="G1603" s="4" t="n">
        <v>1</v>
      </c>
      <c r="H1603" s="4" t="s">
        <v>213</v>
      </c>
      <c r="I1603" s="4" t="s">
        <v>52</v>
      </c>
      <c r="J1603" s="4" t="n">
        <f aca="false">INDEX('Master List'!$G$2:$G$2594,K1603)</f>
        <v>0</v>
      </c>
      <c r="K1603" s="4" t="n">
        <v>847</v>
      </c>
    </row>
    <row r="1604" customFormat="false" ht="15" hidden="false" customHeight="false" outlineLevel="0" collapsed="false">
      <c r="A1604" s="4" t="n">
        <v>1603</v>
      </c>
      <c r="B1604" s="4" t="s">
        <v>2471</v>
      </c>
      <c r="C1604" s="4" t="n">
        <v>1988</v>
      </c>
      <c r="D1604" s="4" t="s">
        <v>2472</v>
      </c>
      <c r="E1604" s="25" t="str">
        <f aca="false">IF(J1604=1,"✓","")</f>
        <v/>
      </c>
      <c r="F1604" s="4" t="n">
        <v>2</v>
      </c>
      <c r="G1604" s="4" t="n">
        <v>1</v>
      </c>
      <c r="H1604" s="4" t="s">
        <v>213</v>
      </c>
      <c r="I1604" s="4" t="s">
        <v>52</v>
      </c>
      <c r="J1604" s="4" t="n">
        <f aca="false">INDEX('Master List'!$G$2:$G$2594,K1604)</f>
        <v>0</v>
      </c>
      <c r="K1604" s="4" t="n">
        <v>63</v>
      </c>
    </row>
    <row r="1605" customFormat="false" ht="15" hidden="false" customHeight="false" outlineLevel="0" collapsed="false">
      <c r="A1605" s="4" t="n">
        <v>1604</v>
      </c>
      <c r="B1605" s="4" t="s">
        <v>2473</v>
      </c>
      <c r="C1605" s="4" t="n">
        <v>1988</v>
      </c>
      <c r="D1605" s="4" t="s">
        <v>189</v>
      </c>
      <c r="E1605" s="25" t="str">
        <f aca="false">IF(J1605=1,"✓","")</f>
        <v/>
      </c>
      <c r="F1605" s="4" t="n">
        <v>2</v>
      </c>
      <c r="G1605" s="4" t="n">
        <v>1</v>
      </c>
      <c r="H1605" s="4" t="s">
        <v>213</v>
      </c>
      <c r="I1605" s="4" t="s">
        <v>53</v>
      </c>
      <c r="J1605" s="4" t="n">
        <f aca="false">INDEX('Master List'!$G$2:$G$2594,K1605)</f>
        <v>0</v>
      </c>
      <c r="K1605" s="4" t="n">
        <v>1947</v>
      </c>
    </row>
    <row r="1606" customFormat="false" ht="15" hidden="false" customHeight="false" outlineLevel="0" collapsed="false">
      <c r="A1606" s="4" t="n">
        <v>1605</v>
      </c>
      <c r="B1606" s="4" t="s">
        <v>2474</v>
      </c>
      <c r="C1606" s="4" t="n">
        <v>1988</v>
      </c>
      <c r="D1606" s="4" t="s">
        <v>1042</v>
      </c>
      <c r="E1606" s="25" t="str">
        <f aca="false">IF(J1606=1,"✓","")</f>
        <v/>
      </c>
      <c r="F1606" s="4" t="n">
        <v>2</v>
      </c>
      <c r="G1606" s="4" t="n">
        <v>1</v>
      </c>
      <c r="H1606" s="4" t="s">
        <v>213</v>
      </c>
      <c r="I1606" s="4" t="s">
        <v>53</v>
      </c>
      <c r="J1606" s="4" t="n">
        <f aca="false">INDEX('Master List'!$G$2:$G$2594,K1606)</f>
        <v>0</v>
      </c>
      <c r="K1606" s="4" t="n">
        <v>2059</v>
      </c>
    </row>
    <row r="1607" customFormat="false" ht="15" hidden="false" customHeight="false" outlineLevel="0" collapsed="false">
      <c r="A1607" s="4" t="n">
        <v>1606</v>
      </c>
      <c r="B1607" s="4" t="s">
        <v>2475</v>
      </c>
      <c r="C1607" s="4" t="n">
        <v>1988</v>
      </c>
      <c r="D1607" s="4" t="s">
        <v>1042</v>
      </c>
      <c r="E1607" s="25" t="str">
        <f aca="false">IF(J1607=1,"✓","")</f>
        <v/>
      </c>
      <c r="F1607" s="4" t="n">
        <v>2</v>
      </c>
      <c r="G1607" s="4" t="n">
        <v>1</v>
      </c>
      <c r="H1607" s="4" t="s">
        <v>213</v>
      </c>
      <c r="I1607" s="4" t="s">
        <v>53</v>
      </c>
      <c r="J1607" s="4" t="n">
        <f aca="false">INDEX('Master List'!$G$2:$G$2594,K1607)</f>
        <v>0</v>
      </c>
      <c r="K1607" s="4" t="n">
        <v>2060</v>
      </c>
    </row>
    <row r="1608" customFormat="false" ht="15" hidden="false" customHeight="false" outlineLevel="0" collapsed="false">
      <c r="A1608" s="4" t="n">
        <v>1607</v>
      </c>
      <c r="B1608" s="4" t="s">
        <v>2476</v>
      </c>
      <c r="C1608" s="4" t="n">
        <v>1988</v>
      </c>
      <c r="D1608" s="4" t="s">
        <v>262</v>
      </c>
      <c r="E1608" s="25" t="str">
        <f aca="false">IF(J1608=1,"✓","")</f>
        <v/>
      </c>
      <c r="F1608" s="4" t="n">
        <v>2</v>
      </c>
      <c r="G1608" s="4" t="n">
        <v>1</v>
      </c>
      <c r="H1608" s="4" t="s">
        <v>213</v>
      </c>
      <c r="I1608" s="4" t="s">
        <v>53</v>
      </c>
      <c r="J1608" s="4" t="n">
        <f aca="false">INDEX('Master List'!$G$2:$G$2594,K1608)</f>
        <v>0</v>
      </c>
      <c r="K1608" s="4" t="n">
        <v>452</v>
      </c>
    </row>
    <row r="1609" customFormat="false" ht="15" hidden="false" customHeight="false" outlineLevel="0" collapsed="false">
      <c r="A1609" s="4" t="n">
        <v>1608</v>
      </c>
      <c r="B1609" s="4" t="s">
        <v>2477</v>
      </c>
      <c r="C1609" s="4" t="n">
        <v>1988</v>
      </c>
      <c r="D1609" s="4" t="s">
        <v>1155</v>
      </c>
      <c r="E1609" s="25" t="str">
        <f aca="false">IF(J1609=1,"✓","")</f>
        <v/>
      </c>
      <c r="F1609" s="4" t="n">
        <v>2</v>
      </c>
      <c r="G1609" s="4" t="n">
        <v>1</v>
      </c>
      <c r="H1609" s="4" t="s">
        <v>213</v>
      </c>
      <c r="I1609" s="4" t="s">
        <v>53</v>
      </c>
      <c r="J1609" s="4" t="n">
        <f aca="false">INDEX('Master List'!$G$2:$G$2594,K1609)</f>
        <v>0</v>
      </c>
      <c r="K1609" s="4" t="n">
        <v>128</v>
      </c>
    </row>
    <row r="1610" customFormat="false" ht="15" hidden="false" customHeight="false" outlineLevel="0" collapsed="false">
      <c r="A1610" s="4" t="n">
        <v>1609</v>
      </c>
      <c r="B1610" s="4" t="s">
        <v>2478</v>
      </c>
      <c r="C1610" s="4" t="n">
        <v>1988</v>
      </c>
      <c r="D1610" s="4" t="s">
        <v>193</v>
      </c>
      <c r="E1610" s="25" t="str">
        <f aca="false">IF(J1610=1,"✓","")</f>
        <v/>
      </c>
      <c r="F1610" s="4" t="n">
        <v>2</v>
      </c>
      <c r="G1610" s="4" t="n">
        <v>1</v>
      </c>
      <c r="H1610" s="4" t="s">
        <v>213</v>
      </c>
      <c r="I1610" s="4" t="s">
        <v>53</v>
      </c>
      <c r="J1610" s="4" t="n">
        <f aca="false">INDEX('Master List'!$G$2:$G$2594,K1610)</f>
        <v>0</v>
      </c>
      <c r="K1610" s="4" t="n">
        <v>133</v>
      </c>
    </row>
    <row r="1611" customFormat="false" ht="15" hidden="false" customHeight="false" outlineLevel="0" collapsed="false">
      <c r="A1611" s="4" t="n">
        <v>1610</v>
      </c>
      <c r="B1611" s="4" t="s">
        <v>2479</v>
      </c>
      <c r="C1611" s="4" t="n">
        <v>1988</v>
      </c>
      <c r="D1611" s="4" t="s">
        <v>357</v>
      </c>
      <c r="E1611" s="25" t="str">
        <f aca="false">IF(J1611=1,"✓","")</f>
        <v/>
      </c>
      <c r="F1611" s="4" t="n">
        <v>2</v>
      </c>
      <c r="G1611" s="4" t="n">
        <v>1</v>
      </c>
      <c r="H1611" s="4" t="s">
        <v>213</v>
      </c>
      <c r="I1611" s="4" t="s">
        <v>53</v>
      </c>
      <c r="J1611" s="4" t="n">
        <f aca="false">INDEX('Master List'!$G$2:$G$2594,K1611)</f>
        <v>0</v>
      </c>
      <c r="K1611" s="4" t="n">
        <v>2552</v>
      </c>
    </row>
    <row r="1612" customFormat="false" ht="15" hidden="false" customHeight="false" outlineLevel="0" collapsed="false">
      <c r="A1612" s="4" t="n">
        <v>1611</v>
      </c>
      <c r="B1612" s="4" t="s">
        <v>2480</v>
      </c>
      <c r="C1612" s="4" t="n">
        <v>1988</v>
      </c>
      <c r="D1612" s="4" t="s">
        <v>197</v>
      </c>
      <c r="E1612" s="25" t="str">
        <f aca="false">IF(J1612=1,"✓","")</f>
        <v/>
      </c>
      <c r="F1612" s="4" t="n">
        <v>2</v>
      </c>
      <c r="G1612" s="4" t="n">
        <v>2</v>
      </c>
      <c r="H1612" s="4" t="s">
        <v>1327</v>
      </c>
      <c r="I1612" s="4" t="s">
        <v>55</v>
      </c>
      <c r="J1612" s="4" t="n">
        <f aca="false">INDEX('Master List'!$G$2:$G$2594,K1612)</f>
        <v>0</v>
      </c>
      <c r="K1612" s="4" t="n">
        <v>2240</v>
      </c>
    </row>
    <row r="1613" customFormat="false" ht="15" hidden="false" customHeight="false" outlineLevel="0" collapsed="false">
      <c r="A1613" s="4" t="n">
        <v>1612</v>
      </c>
      <c r="B1613" s="4" t="s">
        <v>2481</v>
      </c>
      <c r="C1613" s="4" t="n">
        <v>1988</v>
      </c>
      <c r="D1613" s="4" t="s">
        <v>2482</v>
      </c>
      <c r="E1613" s="25" t="str">
        <f aca="false">IF(J1613=1,"✓","")</f>
        <v/>
      </c>
      <c r="F1613" s="4" t="n">
        <v>2</v>
      </c>
      <c r="G1613" s="4" t="n">
        <v>1</v>
      </c>
      <c r="H1613" s="4" t="s">
        <v>213</v>
      </c>
      <c r="I1613" s="4" t="s">
        <v>55</v>
      </c>
      <c r="J1613" s="4" t="n">
        <f aca="false">INDEX('Master List'!$G$2:$G$2594,K1613)</f>
        <v>0</v>
      </c>
      <c r="K1613" s="4" t="n">
        <v>2146</v>
      </c>
    </row>
    <row r="1614" customFormat="false" ht="15" hidden="false" customHeight="false" outlineLevel="0" collapsed="false">
      <c r="A1614" s="4" t="n">
        <v>1613</v>
      </c>
      <c r="B1614" s="4" t="s">
        <v>2483</v>
      </c>
      <c r="C1614" s="4" t="n">
        <v>1988</v>
      </c>
      <c r="D1614" s="4" t="s">
        <v>2484</v>
      </c>
      <c r="E1614" s="25" t="str">
        <f aca="false">IF(J1614=1,"✓","")</f>
        <v/>
      </c>
      <c r="F1614" s="4" t="n">
        <v>2</v>
      </c>
      <c r="G1614" s="4" t="n">
        <v>1</v>
      </c>
      <c r="H1614" s="4" t="s">
        <v>213</v>
      </c>
      <c r="I1614" s="4" t="s">
        <v>55</v>
      </c>
      <c r="J1614" s="4" t="n">
        <f aca="false">INDEX('Master List'!$G$2:$G$2594,K1614)</f>
        <v>0</v>
      </c>
      <c r="K1614" s="4" t="n">
        <v>365</v>
      </c>
    </row>
    <row r="1615" customFormat="false" ht="15" hidden="false" customHeight="false" outlineLevel="0" collapsed="false">
      <c r="A1615" s="4" t="n">
        <v>1614</v>
      </c>
      <c r="B1615" s="4" t="s">
        <v>2485</v>
      </c>
      <c r="C1615" s="4" t="n">
        <v>1988</v>
      </c>
      <c r="D1615" s="4" t="s">
        <v>829</v>
      </c>
      <c r="E1615" s="25" t="str">
        <f aca="false">IF(J1615=1,"✓","")</f>
        <v/>
      </c>
      <c r="F1615" s="4" t="n">
        <v>2</v>
      </c>
      <c r="G1615" s="4" t="n">
        <v>1</v>
      </c>
      <c r="H1615" s="4" t="s">
        <v>213</v>
      </c>
      <c r="I1615" s="4" t="s">
        <v>55</v>
      </c>
      <c r="J1615" s="4" t="n">
        <f aca="false">INDEX('Master List'!$G$2:$G$2594,K1615)</f>
        <v>0</v>
      </c>
      <c r="K1615" s="4" t="n">
        <v>253</v>
      </c>
    </row>
    <row r="1616" customFormat="false" ht="15" hidden="false" customHeight="false" outlineLevel="0" collapsed="false">
      <c r="A1616" s="4" t="n">
        <v>1615</v>
      </c>
      <c r="B1616" s="4" t="s">
        <v>2486</v>
      </c>
      <c r="C1616" s="4" t="n">
        <v>1988</v>
      </c>
      <c r="D1616" s="4" t="s">
        <v>2487</v>
      </c>
      <c r="E1616" s="25" t="str">
        <f aca="false">IF(J1616=1,"✓","")</f>
        <v/>
      </c>
      <c r="F1616" s="4" t="n">
        <v>2</v>
      </c>
      <c r="G1616" s="4" t="n">
        <v>1</v>
      </c>
      <c r="H1616" s="4" t="s">
        <v>213</v>
      </c>
      <c r="I1616" s="4" t="s">
        <v>55</v>
      </c>
      <c r="J1616" s="4" t="n">
        <f aca="false">INDEX('Master List'!$G$2:$G$2594,K1616)</f>
        <v>0</v>
      </c>
      <c r="K1616" s="4" t="n">
        <v>460</v>
      </c>
    </row>
    <row r="1617" customFormat="false" ht="15" hidden="false" customHeight="false" outlineLevel="0" collapsed="false">
      <c r="A1617" s="4" t="n">
        <v>1616</v>
      </c>
      <c r="B1617" s="4" t="s">
        <v>2488</v>
      </c>
      <c r="C1617" s="4" t="n">
        <v>1989</v>
      </c>
      <c r="D1617" s="4" t="s">
        <v>1111</v>
      </c>
      <c r="E1617" s="25" t="str">
        <f aca="false">IF(J1617=1,"✓","")</f>
        <v>✓</v>
      </c>
      <c r="F1617" s="4" t="n">
        <v>2</v>
      </c>
      <c r="G1617" s="4" t="n">
        <v>1</v>
      </c>
      <c r="H1617" s="4" t="s">
        <v>213</v>
      </c>
      <c r="I1617" s="4" t="s">
        <v>50</v>
      </c>
      <c r="J1617" s="4" t="n">
        <f aca="false">INDEX('Master List'!$G$2:$G$2594,K1617)</f>
        <v>1</v>
      </c>
      <c r="K1617" s="4" t="n">
        <v>194</v>
      </c>
    </row>
    <row r="1618" customFormat="false" ht="15" hidden="false" customHeight="false" outlineLevel="0" collapsed="false">
      <c r="A1618" s="4" t="n">
        <v>1617</v>
      </c>
      <c r="B1618" s="4" t="s">
        <v>2489</v>
      </c>
      <c r="C1618" s="4" t="n">
        <v>1989</v>
      </c>
      <c r="D1618" s="4" t="s">
        <v>1387</v>
      </c>
      <c r="E1618" s="25" t="str">
        <f aca="false">IF(J1618=1,"✓","")</f>
        <v/>
      </c>
      <c r="F1618" s="4" t="n">
        <v>2</v>
      </c>
      <c r="G1618" s="4" t="n">
        <v>1</v>
      </c>
      <c r="H1618" s="4" t="s">
        <v>213</v>
      </c>
      <c r="I1618" s="4" t="s">
        <v>51</v>
      </c>
      <c r="J1618" s="4" t="n">
        <f aca="false">INDEX('Master List'!$G$2:$G$2594,K1618)</f>
        <v>0</v>
      </c>
      <c r="K1618" s="4" t="n">
        <v>1245</v>
      </c>
    </row>
    <row r="1619" customFormat="false" ht="15" hidden="false" customHeight="false" outlineLevel="0" collapsed="false">
      <c r="A1619" s="4" t="n">
        <v>1618</v>
      </c>
      <c r="B1619" s="4" t="s">
        <v>2490</v>
      </c>
      <c r="C1619" s="4" t="n">
        <v>1989</v>
      </c>
      <c r="D1619" s="4" t="s">
        <v>2432</v>
      </c>
      <c r="E1619" s="25" t="str">
        <f aca="false">IF(J1619=1,"✓","")</f>
        <v/>
      </c>
      <c r="F1619" s="4" t="n">
        <v>2</v>
      </c>
      <c r="G1619" s="4" t="n">
        <v>1</v>
      </c>
      <c r="H1619" s="4" t="s">
        <v>213</v>
      </c>
      <c r="I1619" s="4" t="s">
        <v>51</v>
      </c>
      <c r="J1619" s="4" t="n">
        <f aca="false">INDEX('Master List'!$G$2:$G$2594,K1619)</f>
        <v>0</v>
      </c>
      <c r="K1619" s="4" t="n">
        <v>1204</v>
      </c>
    </row>
    <row r="1620" customFormat="false" ht="15" hidden="false" customHeight="false" outlineLevel="0" collapsed="false">
      <c r="A1620" s="4" t="n">
        <v>1619</v>
      </c>
      <c r="B1620" s="4" t="s">
        <v>2491</v>
      </c>
      <c r="C1620" s="4" t="n">
        <v>1989</v>
      </c>
      <c r="D1620" s="4" t="s">
        <v>2492</v>
      </c>
      <c r="E1620" s="25" t="str">
        <f aca="false">IF(J1620=1,"✓","")</f>
        <v/>
      </c>
      <c r="F1620" s="4" t="n">
        <v>2</v>
      </c>
      <c r="G1620" s="4" t="n">
        <v>1</v>
      </c>
      <c r="H1620" s="4" t="s">
        <v>213</v>
      </c>
      <c r="I1620" s="4" t="s">
        <v>52</v>
      </c>
      <c r="J1620" s="4" t="n">
        <f aca="false">INDEX('Master List'!$G$2:$G$2594,K1620)</f>
        <v>0</v>
      </c>
      <c r="K1620" s="4" t="n">
        <v>1012</v>
      </c>
    </row>
    <row r="1621" customFormat="false" ht="15" hidden="false" customHeight="false" outlineLevel="0" collapsed="false">
      <c r="A1621" s="4" t="n">
        <v>1620</v>
      </c>
      <c r="B1621" s="4" t="s">
        <v>2493</v>
      </c>
      <c r="C1621" s="4" t="n">
        <v>1989</v>
      </c>
      <c r="D1621" s="4" t="s">
        <v>2494</v>
      </c>
      <c r="E1621" s="25" t="str">
        <f aca="false">IF(J1621=1,"✓","")</f>
        <v/>
      </c>
      <c r="F1621" s="4" t="n">
        <v>2</v>
      </c>
      <c r="G1621" s="4" t="n">
        <v>1</v>
      </c>
      <c r="H1621" s="4" t="s">
        <v>213</v>
      </c>
      <c r="I1621" s="4" t="s">
        <v>52</v>
      </c>
      <c r="J1621" s="4" t="n">
        <f aca="false">INDEX('Master List'!$G$2:$G$2594,K1621)</f>
        <v>0</v>
      </c>
      <c r="K1621" s="4" t="n">
        <v>1997</v>
      </c>
    </row>
    <row r="1622" customFormat="false" ht="15" hidden="false" customHeight="false" outlineLevel="0" collapsed="false">
      <c r="A1622" s="4" t="n">
        <v>1621</v>
      </c>
      <c r="B1622" s="4" t="s">
        <v>2495</v>
      </c>
      <c r="C1622" s="4" t="n">
        <v>1989</v>
      </c>
      <c r="D1622" s="4" t="s">
        <v>816</v>
      </c>
      <c r="E1622" s="25" t="str">
        <f aca="false">IF(J1622=1,"✓","")</f>
        <v/>
      </c>
      <c r="F1622" s="4" t="n">
        <v>2</v>
      </c>
      <c r="G1622" s="4" t="n">
        <v>1</v>
      </c>
      <c r="H1622" s="4" t="s">
        <v>213</v>
      </c>
      <c r="I1622" s="4" t="s">
        <v>52</v>
      </c>
      <c r="J1622" s="4" t="n">
        <f aca="false">INDEX('Master List'!$G$2:$G$2594,K1622)</f>
        <v>0</v>
      </c>
      <c r="K1622" s="4" t="n">
        <v>318</v>
      </c>
    </row>
    <row r="1623" customFormat="false" ht="15" hidden="false" customHeight="false" outlineLevel="0" collapsed="false">
      <c r="A1623" s="4" t="n">
        <v>1622</v>
      </c>
      <c r="B1623" s="4" t="s">
        <v>2496</v>
      </c>
      <c r="C1623" s="4" t="n">
        <v>1989</v>
      </c>
      <c r="D1623" s="4" t="s">
        <v>2497</v>
      </c>
      <c r="E1623" s="25" t="str">
        <f aca="false">IF(J1623=1,"✓","")</f>
        <v/>
      </c>
      <c r="F1623" s="4" t="n">
        <v>2</v>
      </c>
      <c r="G1623" s="4" t="n">
        <v>1</v>
      </c>
      <c r="H1623" s="4" t="s">
        <v>213</v>
      </c>
      <c r="I1623" s="4" t="s">
        <v>52</v>
      </c>
      <c r="J1623" s="4" t="n">
        <f aca="false">INDEX('Master List'!$G$2:$G$2594,K1623)</f>
        <v>0</v>
      </c>
      <c r="K1623" s="4" t="n">
        <v>1352</v>
      </c>
    </row>
    <row r="1624" customFormat="false" ht="15" hidden="false" customHeight="false" outlineLevel="0" collapsed="false">
      <c r="A1624" s="4" t="n">
        <v>1623</v>
      </c>
      <c r="B1624" s="4" t="s">
        <v>2498</v>
      </c>
      <c r="C1624" s="4" t="n">
        <v>1989</v>
      </c>
      <c r="D1624" s="4" t="s">
        <v>1042</v>
      </c>
      <c r="E1624" s="25" t="str">
        <f aca="false">IF(J1624=1,"✓","")</f>
        <v/>
      </c>
      <c r="F1624" s="4" t="n">
        <v>2</v>
      </c>
      <c r="G1624" s="4" t="n">
        <v>1</v>
      </c>
      <c r="H1624" s="4" t="s">
        <v>213</v>
      </c>
      <c r="I1624" s="4" t="s">
        <v>53</v>
      </c>
      <c r="J1624" s="4" t="n">
        <f aca="false">INDEX('Master List'!$G$2:$G$2594,K1624)</f>
        <v>0</v>
      </c>
      <c r="K1624" s="4" t="n">
        <v>608</v>
      </c>
    </row>
    <row r="1625" customFormat="false" ht="15" hidden="false" customHeight="false" outlineLevel="0" collapsed="false">
      <c r="A1625" s="4" t="n">
        <v>1624</v>
      </c>
      <c r="B1625" s="4" t="s">
        <v>2499</v>
      </c>
      <c r="C1625" s="4" t="n">
        <v>1989</v>
      </c>
      <c r="D1625" s="4" t="s">
        <v>2500</v>
      </c>
      <c r="E1625" s="25" t="str">
        <f aca="false">IF(J1625=1,"✓","")</f>
        <v/>
      </c>
      <c r="F1625" s="4" t="n">
        <v>2</v>
      </c>
      <c r="G1625" s="4" t="n">
        <v>1</v>
      </c>
      <c r="H1625" s="4" t="s">
        <v>213</v>
      </c>
      <c r="I1625" s="4" t="s">
        <v>54</v>
      </c>
      <c r="J1625" s="4" t="n">
        <f aca="false">INDEX('Master List'!$G$2:$G$2594,K1625)</f>
        <v>0</v>
      </c>
      <c r="K1625" s="4" t="n">
        <v>2331</v>
      </c>
    </row>
    <row r="1626" customFormat="false" ht="15" hidden="false" customHeight="false" outlineLevel="0" collapsed="false">
      <c r="A1626" s="4" t="n">
        <v>1625</v>
      </c>
      <c r="B1626" s="4" t="s">
        <v>2501</v>
      </c>
      <c r="C1626" s="4" t="n">
        <v>1989</v>
      </c>
      <c r="D1626" s="4" t="s">
        <v>604</v>
      </c>
      <c r="E1626" s="25" t="str">
        <f aca="false">IF(J1626=1,"✓","")</f>
        <v/>
      </c>
      <c r="F1626" s="4" t="n">
        <v>2</v>
      </c>
      <c r="G1626" s="4" t="n">
        <v>1</v>
      </c>
      <c r="H1626" s="4" t="s">
        <v>213</v>
      </c>
      <c r="I1626" s="4" t="s">
        <v>55</v>
      </c>
      <c r="J1626" s="4" t="n">
        <f aca="false">INDEX('Master List'!$G$2:$G$2594,K1626)</f>
        <v>0</v>
      </c>
      <c r="K1626" s="4" t="n">
        <v>537</v>
      </c>
    </row>
    <row r="1627" customFormat="false" ht="15" hidden="false" customHeight="false" outlineLevel="0" collapsed="false">
      <c r="A1627" s="4" t="n">
        <v>1626</v>
      </c>
      <c r="B1627" s="4" t="s">
        <v>2502</v>
      </c>
      <c r="C1627" s="4" t="n">
        <v>1989</v>
      </c>
      <c r="D1627" s="4" t="s">
        <v>2503</v>
      </c>
      <c r="E1627" s="25" t="str">
        <f aca="false">IF(J1627=1,"✓","")</f>
        <v/>
      </c>
      <c r="F1627" s="4" t="n">
        <v>2</v>
      </c>
      <c r="G1627" s="4" t="n">
        <v>1</v>
      </c>
      <c r="H1627" s="4" t="s">
        <v>213</v>
      </c>
      <c r="I1627" s="4" t="s">
        <v>55</v>
      </c>
      <c r="J1627" s="4" t="n">
        <f aca="false">INDEX('Master List'!$G$2:$G$2594,K1627)</f>
        <v>0</v>
      </c>
      <c r="K1627" s="4" t="n">
        <v>791</v>
      </c>
    </row>
    <row r="1628" customFormat="false" ht="15" hidden="false" customHeight="false" outlineLevel="0" collapsed="false">
      <c r="A1628" s="4" t="n">
        <v>1627</v>
      </c>
      <c r="B1628" s="4" t="s">
        <v>2504</v>
      </c>
      <c r="C1628" s="4" t="n">
        <v>1989</v>
      </c>
      <c r="D1628" s="4" t="s">
        <v>2505</v>
      </c>
      <c r="E1628" s="25" t="str">
        <f aca="false">IF(J1628=1,"✓","")</f>
        <v/>
      </c>
      <c r="F1628" s="4" t="n">
        <v>2</v>
      </c>
      <c r="G1628" s="4" t="n">
        <v>1</v>
      </c>
      <c r="H1628" s="4" t="s">
        <v>213</v>
      </c>
      <c r="I1628" s="4" t="s">
        <v>55</v>
      </c>
      <c r="J1628" s="4" t="n">
        <f aca="false">INDEX('Master List'!$G$2:$G$2594,K1628)</f>
        <v>0</v>
      </c>
      <c r="K1628" s="4" t="n">
        <v>2463</v>
      </c>
    </row>
    <row r="1629" customFormat="false" ht="15" hidden="false" customHeight="false" outlineLevel="0" collapsed="false">
      <c r="A1629" s="4" t="n">
        <v>1628</v>
      </c>
      <c r="B1629" s="4" t="s">
        <v>2506</v>
      </c>
      <c r="C1629" s="4" t="n">
        <v>1989</v>
      </c>
      <c r="D1629" s="4" t="s">
        <v>2507</v>
      </c>
      <c r="E1629" s="25" t="str">
        <f aca="false">IF(J1629=1,"✓","")</f>
        <v/>
      </c>
      <c r="F1629" s="4" t="n">
        <v>2</v>
      </c>
      <c r="G1629" s="4" t="n">
        <v>1</v>
      </c>
      <c r="H1629" s="4" t="s">
        <v>213</v>
      </c>
      <c r="I1629" s="4" t="s">
        <v>55</v>
      </c>
      <c r="J1629" s="4" t="n">
        <f aca="false">INDEX('Master List'!$G$2:$G$2594,K1629)</f>
        <v>0</v>
      </c>
      <c r="K1629" s="4" t="n">
        <v>906</v>
      </c>
    </row>
    <row r="1630" customFormat="false" ht="15" hidden="false" customHeight="false" outlineLevel="0" collapsed="false">
      <c r="A1630" s="4" t="n">
        <v>1629</v>
      </c>
      <c r="B1630" s="4" t="s">
        <v>2508</v>
      </c>
      <c r="C1630" s="4" t="n">
        <v>1990</v>
      </c>
      <c r="D1630" s="4" t="s">
        <v>1558</v>
      </c>
      <c r="E1630" s="25" t="str">
        <f aca="false">IF(J1630=1,"✓","")</f>
        <v/>
      </c>
      <c r="F1630" s="4" t="n">
        <v>2</v>
      </c>
      <c r="G1630" s="4" t="n">
        <v>1</v>
      </c>
      <c r="H1630" s="4" t="s">
        <v>213</v>
      </c>
      <c r="I1630" s="4" t="s">
        <v>51</v>
      </c>
      <c r="J1630" s="4" t="n">
        <f aca="false">INDEX('Master List'!$G$2:$G$2594,K1630)</f>
        <v>0</v>
      </c>
      <c r="K1630" s="4" t="n">
        <v>1615</v>
      </c>
    </row>
    <row r="1631" customFormat="false" ht="15" hidden="false" customHeight="false" outlineLevel="0" collapsed="false">
      <c r="A1631" s="4" t="n">
        <v>1630</v>
      </c>
      <c r="B1631" s="4" t="s">
        <v>2509</v>
      </c>
      <c r="C1631" s="4" t="n">
        <v>1990</v>
      </c>
      <c r="D1631" s="4" t="s">
        <v>833</v>
      </c>
      <c r="E1631" s="25" t="str">
        <f aca="false">IF(J1631=1,"✓","")</f>
        <v/>
      </c>
      <c r="F1631" s="4" t="n">
        <v>2</v>
      </c>
      <c r="G1631" s="4" t="n">
        <v>1</v>
      </c>
      <c r="H1631" s="4" t="s">
        <v>213</v>
      </c>
      <c r="I1631" s="4" t="s">
        <v>51</v>
      </c>
      <c r="J1631" s="4" t="n">
        <f aca="false">INDEX('Master List'!$G$2:$G$2594,K1631)</f>
        <v>0</v>
      </c>
      <c r="K1631" s="4" t="n">
        <v>105</v>
      </c>
    </row>
    <row r="1632" customFormat="false" ht="15" hidden="false" customHeight="false" outlineLevel="0" collapsed="false">
      <c r="A1632" s="4" t="n">
        <v>1631</v>
      </c>
      <c r="B1632" s="4" t="s">
        <v>2510</v>
      </c>
      <c r="C1632" s="4" t="n">
        <v>1990</v>
      </c>
      <c r="D1632" s="4" t="s">
        <v>2511</v>
      </c>
      <c r="E1632" s="25" t="str">
        <f aca="false">IF(J1632=1,"✓","")</f>
        <v/>
      </c>
      <c r="F1632" s="4" t="n">
        <v>2</v>
      </c>
      <c r="G1632" s="4" t="n">
        <v>1</v>
      </c>
      <c r="H1632" s="4" t="s">
        <v>213</v>
      </c>
      <c r="I1632" s="4" t="s">
        <v>52</v>
      </c>
      <c r="J1632" s="4" t="n">
        <f aca="false">INDEX('Master List'!$G$2:$G$2594,K1632)</f>
        <v>0</v>
      </c>
      <c r="K1632" s="4" t="n">
        <v>560</v>
      </c>
    </row>
    <row r="1633" customFormat="false" ht="15" hidden="false" customHeight="false" outlineLevel="0" collapsed="false">
      <c r="A1633" s="4" t="n">
        <v>1632</v>
      </c>
      <c r="B1633" s="4" t="s">
        <v>2512</v>
      </c>
      <c r="C1633" s="4" t="n">
        <v>1990</v>
      </c>
      <c r="D1633" s="4" t="s">
        <v>148</v>
      </c>
      <c r="E1633" s="25" t="str">
        <f aca="false">IF(J1633=1,"✓","")</f>
        <v/>
      </c>
      <c r="F1633" s="4" t="n">
        <v>2</v>
      </c>
      <c r="G1633" s="4" t="n">
        <v>1</v>
      </c>
      <c r="H1633" s="4" t="s">
        <v>213</v>
      </c>
      <c r="I1633" s="4" t="s">
        <v>53</v>
      </c>
      <c r="J1633" s="4" t="n">
        <f aca="false">INDEX('Master List'!$G$2:$G$2594,K1633)</f>
        <v>0</v>
      </c>
      <c r="K1633" s="4" t="n">
        <v>1518</v>
      </c>
    </row>
    <row r="1634" customFormat="false" ht="15" hidden="false" customHeight="false" outlineLevel="0" collapsed="false">
      <c r="A1634" s="4" t="n">
        <v>1633</v>
      </c>
      <c r="B1634" s="4" t="s">
        <v>2513</v>
      </c>
      <c r="C1634" s="4" t="n">
        <v>1990</v>
      </c>
      <c r="D1634" s="4" t="s">
        <v>1155</v>
      </c>
      <c r="E1634" s="25" t="str">
        <f aca="false">IF(J1634=1,"✓","")</f>
        <v/>
      </c>
      <c r="F1634" s="4" t="n">
        <v>2</v>
      </c>
      <c r="G1634" s="4" t="n">
        <v>1</v>
      </c>
      <c r="H1634" s="4" t="s">
        <v>213</v>
      </c>
      <c r="I1634" s="4" t="s">
        <v>53</v>
      </c>
      <c r="J1634" s="4" t="n">
        <f aca="false">INDEX('Master List'!$G$2:$G$2594,K1634)</f>
        <v>0</v>
      </c>
      <c r="K1634" s="4" t="n">
        <v>1461</v>
      </c>
    </row>
    <row r="1635" customFormat="false" ht="15" hidden="false" customHeight="false" outlineLevel="0" collapsed="false">
      <c r="A1635" s="4" t="n">
        <v>1634</v>
      </c>
      <c r="B1635" s="4" t="s">
        <v>2514</v>
      </c>
      <c r="C1635" s="4" t="n">
        <v>1990</v>
      </c>
      <c r="D1635" s="4" t="s">
        <v>239</v>
      </c>
      <c r="E1635" s="25" t="str">
        <f aca="false">IF(J1635=1,"✓","")</f>
        <v/>
      </c>
      <c r="F1635" s="4" t="n">
        <v>2</v>
      </c>
      <c r="G1635" s="4" t="n">
        <v>1</v>
      </c>
      <c r="H1635" s="4" t="s">
        <v>213</v>
      </c>
      <c r="I1635" s="4" t="s">
        <v>54</v>
      </c>
      <c r="J1635" s="4" t="n">
        <f aca="false">INDEX('Master List'!$G$2:$G$2594,K1635)</f>
        <v>0</v>
      </c>
      <c r="K1635" s="4" t="n">
        <v>2322</v>
      </c>
    </row>
    <row r="1636" customFormat="false" ht="15" hidden="false" customHeight="false" outlineLevel="0" collapsed="false">
      <c r="A1636" s="4" t="n">
        <v>1635</v>
      </c>
      <c r="B1636" s="4" t="s">
        <v>2515</v>
      </c>
      <c r="C1636" s="4" t="n">
        <v>1990</v>
      </c>
      <c r="D1636" s="4" t="s">
        <v>2453</v>
      </c>
      <c r="E1636" s="25" t="str">
        <f aca="false">IF(J1636=1,"✓","")</f>
        <v>✓</v>
      </c>
      <c r="F1636" s="4" t="n">
        <v>2</v>
      </c>
      <c r="G1636" s="4" t="n">
        <v>1</v>
      </c>
      <c r="H1636" s="4" t="s">
        <v>213</v>
      </c>
      <c r="I1636" s="4" t="s">
        <v>54</v>
      </c>
      <c r="J1636" s="4" t="n">
        <f aca="false">INDEX('Master List'!$G$2:$G$2594,K1636)</f>
        <v>1</v>
      </c>
      <c r="K1636" s="4" t="n">
        <v>1191</v>
      </c>
    </row>
    <row r="1637" customFormat="false" ht="15" hidden="false" customHeight="false" outlineLevel="0" collapsed="false">
      <c r="A1637" s="4" t="n">
        <v>1636</v>
      </c>
      <c r="B1637" s="4" t="s">
        <v>2516</v>
      </c>
      <c r="C1637" s="4" t="n">
        <v>1990</v>
      </c>
      <c r="D1637" s="4" t="s">
        <v>2517</v>
      </c>
      <c r="E1637" s="25" t="str">
        <f aca="false">IF(J1637=1,"✓","")</f>
        <v>✓</v>
      </c>
      <c r="F1637" s="4" t="n">
        <v>2</v>
      </c>
      <c r="G1637" s="4" t="n">
        <v>1</v>
      </c>
      <c r="H1637" s="4" t="s">
        <v>213</v>
      </c>
      <c r="I1637" s="4" t="s">
        <v>56</v>
      </c>
      <c r="J1637" s="4" t="n">
        <f aca="false">INDEX('Master List'!$G$2:$G$2594,K1637)</f>
        <v>1</v>
      </c>
      <c r="K1637" s="4" t="n">
        <v>1057</v>
      </c>
    </row>
    <row r="1638" customFormat="false" ht="15" hidden="false" customHeight="false" outlineLevel="0" collapsed="false">
      <c r="A1638" s="4" t="n">
        <v>1637</v>
      </c>
      <c r="B1638" s="4" t="s">
        <v>2518</v>
      </c>
      <c r="C1638" s="4" t="n">
        <v>1991</v>
      </c>
      <c r="D1638" s="4" t="s">
        <v>1202</v>
      </c>
      <c r="E1638" s="25" t="str">
        <f aca="false">IF(J1638=1,"✓","")</f>
        <v/>
      </c>
      <c r="F1638" s="4" t="n">
        <v>2</v>
      </c>
      <c r="G1638" s="4" t="n">
        <v>1</v>
      </c>
      <c r="H1638" s="4" t="s">
        <v>213</v>
      </c>
      <c r="I1638" s="4" t="s">
        <v>51</v>
      </c>
      <c r="J1638" s="4" t="n">
        <f aca="false">INDEX('Master List'!$G$2:$G$2594,K1638)</f>
        <v>0</v>
      </c>
      <c r="K1638" s="4" t="n">
        <v>1393</v>
      </c>
    </row>
    <row r="1639" customFormat="false" ht="15" hidden="false" customHeight="false" outlineLevel="0" collapsed="false">
      <c r="A1639" s="4" t="n">
        <v>1638</v>
      </c>
      <c r="B1639" s="4" t="s">
        <v>2519</v>
      </c>
      <c r="C1639" s="4" t="n">
        <v>1991</v>
      </c>
      <c r="D1639" s="4" t="s">
        <v>2520</v>
      </c>
      <c r="E1639" s="25" t="str">
        <f aca="false">IF(J1639=1,"✓","")</f>
        <v/>
      </c>
      <c r="F1639" s="4" t="n">
        <v>2</v>
      </c>
      <c r="G1639" s="4" t="n">
        <v>1</v>
      </c>
      <c r="H1639" s="4" t="s">
        <v>213</v>
      </c>
      <c r="I1639" s="4" t="s">
        <v>51</v>
      </c>
      <c r="J1639" s="4" t="n">
        <f aca="false">INDEX('Master List'!$G$2:$G$2594,K1639)</f>
        <v>0</v>
      </c>
      <c r="K1639" s="4" t="n">
        <v>609</v>
      </c>
    </row>
    <row r="1640" customFormat="false" ht="15" hidden="false" customHeight="false" outlineLevel="0" collapsed="false">
      <c r="A1640" s="4" t="n">
        <v>1639</v>
      </c>
      <c r="B1640" s="4" t="s">
        <v>2521</v>
      </c>
      <c r="C1640" s="4" t="n">
        <v>1991</v>
      </c>
      <c r="D1640" s="4" t="s">
        <v>359</v>
      </c>
      <c r="E1640" s="25" t="str">
        <f aca="false">IF(J1640=1,"✓","")</f>
        <v/>
      </c>
      <c r="F1640" s="4" t="n">
        <v>2</v>
      </c>
      <c r="G1640" s="4" t="n">
        <v>1</v>
      </c>
      <c r="H1640" s="4" t="s">
        <v>213</v>
      </c>
      <c r="I1640" s="4" t="s">
        <v>51</v>
      </c>
      <c r="J1640" s="4" t="n">
        <f aca="false">INDEX('Master List'!$G$2:$G$2594,K1640)</f>
        <v>0</v>
      </c>
      <c r="K1640" s="4" t="n">
        <v>1904</v>
      </c>
    </row>
    <row r="1641" customFormat="false" ht="15" hidden="false" customHeight="false" outlineLevel="0" collapsed="false">
      <c r="A1641" s="4" t="n">
        <v>1640</v>
      </c>
      <c r="B1641" s="4" t="s">
        <v>2522</v>
      </c>
      <c r="C1641" s="4" t="n">
        <v>1991</v>
      </c>
      <c r="D1641" s="4" t="s">
        <v>2523</v>
      </c>
      <c r="E1641" s="25" t="str">
        <f aca="false">IF(J1641=1,"✓","")</f>
        <v/>
      </c>
      <c r="F1641" s="4" t="n">
        <v>2</v>
      </c>
      <c r="G1641" s="4" t="n">
        <v>1</v>
      </c>
      <c r="H1641" s="4" t="s">
        <v>213</v>
      </c>
      <c r="I1641" s="4" t="s">
        <v>51</v>
      </c>
      <c r="J1641" s="4" t="n">
        <f aca="false">INDEX('Master List'!$G$2:$G$2594,K1641)</f>
        <v>0</v>
      </c>
      <c r="K1641" s="4" t="n">
        <v>1671</v>
      </c>
    </row>
    <row r="1642" customFormat="false" ht="15" hidden="false" customHeight="false" outlineLevel="0" collapsed="false">
      <c r="A1642" s="4" t="n">
        <v>1641</v>
      </c>
      <c r="B1642" s="4" t="s">
        <v>2524</v>
      </c>
      <c r="C1642" s="4" t="n">
        <v>1991</v>
      </c>
      <c r="D1642" s="4" t="s">
        <v>2447</v>
      </c>
      <c r="E1642" s="25" t="str">
        <f aca="false">IF(J1642=1,"✓","")</f>
        <v/>
      </c>
      <c r="F1642" s="4" t="n">
        <v>2</v>
      </c>
      <c r="G1642" s="4" t="n">
        <v>1</v>
      </c>
      <c r="H1642" s="4" t="s">
        <v>213</v>
      </c>
      <c r="I1642" s="4" t="s">
        <v>51</v>
      </c>
      <c r="J1642" s="4" t="n">
        <f aca="false">INDEX('Master List'!$G$2:$G$2594,K1642)</f>
        <v>0</v>
      </c>
      <c r="K1642" s="4" t="n">
        <v>421</v>
      </c>
    </row>
    <row r="1643" customFormat="false" ht="15" hidden="false" customHeight="false" outlineLevel="0" collapsed="false">
      <c r="A1643" s="4" t="n">
        <v>1642</v>
      </c>
      <c r="B1643" s="4" t="s">
        <v>2525</v>
      </c>
      <c r="C1643" s="4" t="n">
        <v>1991</v>
      </c>
      <c r="D1643" s="4" t="s">
        <v>2526</v>
      </c>
      <c r="E1643" s="25" t="str">
        <f aca="false">IF(J1643=1,"✓","")</f>
        <v>✓</v>
      </c>
      <c r="F1643" s="4" t="n">
        <v>2</v>
      </c>
      <c r="G1643" s="4" t="n">
        <v>1</v>
      </c>
      <c r="H1643" s="4" t="s">
        <v>213</v>
      </c>
      <c r="I1643" s="4" t="s">
        <v>52</v>
      </c>
      <c r="J1643" s="4" t="n">
        <f aca="false">INDEX('Master List'!$G$2:$G$2594,K1643)</f>
        <v>1</v>
      </c>
      <c r="K1643" s="4" t="n">
        <v>1066</v>
      </c>
    </row>
    <row r="1644" customFormat="false" ht="15" hidden="false" customHeight="false" outlineLevel="0" collapsed="false">
      <c r="A1644" s="4" t="n">
        <v>1643</v>
      </c>
      <c r="B1644" s="4" t="s">
        <v>2527</v>
      </c>
      <c r="C1644" s="4" t="n">
        <v>1991</v>
      </c>
      <c r="D1644" s="4" t="s">
        <v>865</v>
      </c>
      <c r="E1644" s="25" t="str">
        <f aca="false">IF(J1644=1,"✓","")</f>
        <v/>
      </c>
      <c r="F1644" s="4" t="n">
        <v>2</v>
      </c>
      <c r="G1644" s="4" t="n">
        <v>1</v>
      </c>
      <c r="H1644" s="4" t="s">
        <v>213</v>
      </c>
      <c r="I1644" s="4" t="s">
        <v>52</v>
      </c>
      <c r="J1644" s="4" t="n">
        <f aca="false">INDEX('Master List'!$G$2:$G$2594,K1644)</f>
        <v>0</v>
      </c>
      <c r="K1644" s="4" t="n">
        <v>1784</v>
      </c>
    </row>
    <row r="1645" customFormat="false" ht="15" hidden="false" customHeight="false" outlineLevel="0" collapsed="false">
      <c r="A1645" s="4" t="n">
        <v>1644</v>
      </c>
      <c r="B1645" s="4" t="s">
        <v>2528</v>
      </c>
      <c r="C1645" s="4" t="n">
        <v>1991</v>
      </c>
      <c r="D1645" s="4" t="s">
        <v>2529</v>
      </c>
      <c r="E1645" s="25" t="str">
        <f aca="false">IF(J1645=1,"✓","")</f>
        <v/>
      </c>
      <c r="F1645" s="4" t="n">
        <v>2</v>
      </c>
      <c r="G1645" s="4" t="n">
        <v>1</v>
      </c>
      <c r="H1645" s="4" t="s">
        <v>213</v>
      </c>
      <c r="I1645" s="4" t="s">
        <v>52</v>
      </c>
      <c r="J1645" s="4" t="n">
        <f aca="false">INDEX('Master List'!$G$2:$G$2594,K1645)</f>
        <v>0</v>
      </c>
      <c r="K1645" s="4" t="n">
        <v>209</v>
      </c>
    </row>
    <row r="1646" customFormat="false" ht="15" hidden="false" customHeight="false" outlineLevel="0" collapsed="false">
      <c r="A1646" s="4" t="n">
        <v>1645</v>
      </c>
      <c r="B1646" s="4" t="s">
        <v>2530</v>
      </c>
      <c r="C1646" s="4" t="n">
        <v>1991</v>
      </c>
      <c r="D1646" s="4" t="s">
        <v>316</v>
      </c>
      <c r="E1646" s="25" t="str">
        <f aca="false">IF(J1646=1,"✓","")</f>
        <v/>
      </c>
      <c r="F1646" s="4" t="n">
        <v>2</v>
      </c>
      <c r="G1646" s="4" t="n">
        <v>1</v>
      </c>
      <c r="H1646" s="4" t="s">
        <v>213</v>
      </c>
      <c r="I1646" s="4" t="s">
        <v>53</v>
      </c>
      <c r="J1646" s="4" t="n">
        <f aca="false">INDEX('Master List'!$G$2:$G$2594,K1646)</f>
        <v>0</v>
      </c>
      <c r="K1646" s="4" t="n">
        <v>1581</v>
      </c>
    </row>
    <row r="1647" customFormat="false" ht="15" hidden="false" customHeight="false" outlineLevel="0" collapsed="false">
      <c r="A1647" s="4" t="n">
        <v>1646</v>
      </c>
      <c r="B1647" s="4" t="s">
        <v>2531</v>
      </c>
      <c r="C1647" s="4" t="n">
        <v>1991</v>
      </c>
      <c r="D1647" s="4" t="s">
        <v>148</v>
      </c>
      <c r="E1647" s="25" t="str">
        <f aca="false">IF(J1647=1,"✓","")</f>
        <v/>
      </c>
      <c r="F1647" s="4" t="n">
        <v>2</v>
      </c>
      <c r="G1647" s="4" t="n">
        <v>1</v>
      </c>
      <c r="H1647" s="4" t="s">
        <v>213</v>
      </c>
      <c r="I1647" s="4" t="s">
        <v>53</v>
      </c>
      <c r="J1647" s="4" t="n">
        <f aca="false">INDEX('Master List'!$G$2:$G$2594,K1647)</f>
        <v>0</v>
      </c>
      <c r="K1647" s="4" t="n">
        <v>1226</v>
      </c>
    </row>
    <row r="1648" customFormat="false" ht="15" hidden="false" customHeight="false" outlineLevel="0" collapsed="false">
      <c r="A1648" s="4" t="n">
        <v>1647</v>
      </c>
      <c r="B1648" s="4" t="s">
        <v>2532</v>
      </c>
      <c r="C1648" s="4" t="n">
        <v>1991</v>
      </c>
      <c r="D1648" s="4" t="s">
        <v>611</v>
      </c>
      <c r="E1648" s="25" t="str">
        <f aca="false">IF(J1648=1,"✓","")</f>
        <v/>
      </c>
      <c r="F1648" s="4" t="n">
        <v>2</v>
      </c>
      <c r="G1648" s="4" t="n">
        <v>1</v>
      </c>
      <c r="H1648" s="4" t="s">
        <v>213</v>
      </c>
      <c r="I1648" s="4" t="s">
        <v>53</v>
      </c>
      <c r="J1648" s="4" t="n">
        <f aca="false">INDEX('Master List'!$G$2:$G$2594,K1648)</f>
        <v>0</v>
      </c>
      <c r="K1648" s="4" t="n">
        <v>1687</v>
      </c>
    </row>
    <row r="1649" customFormat="false" ht="15" hidden="false" customHeight="false" outlineLevel="0" collapsed="false">
      <c r="A1649" s="4" t="n">
        <v>1648</v>
      </c>
      <c r="B1649" s="4" t="s">
        <v>2533</v>
      </c>
      <c r="C1649" s="4" t="n">
        <v>1991</v>
      </c>
      <c r="D1649" s="4" t="s">
        <v>2534</v>
      </c>
      <c r="E1649" s="25" t="str">
        <f aca="false">IF(J1649=1,"✓","")</f>
        <v/>
      </c>
      <c r="F1649" s="4" t="n">
        <v>2</v>
      </c>
      <c r="G1649" s="4" t="n">
        <v>1</v>
      </c>
      <c r="H1649" s="4" t="s">
        <v>213</v>
      </c>
      <c r="I1649" s="4" t="s">
        <v>54</v>
      </c>
      <c r="J1649" s="4" t="n">
        <f aca="false">INDEX('Master List'!$G$2:$G$2594,K1649)</f>
        <v>0</v>
      </c>
      <c r="K1649" s="4" t="n">
        <v>1516</v>
      </c>
    </row>
    <row r="1650" customFormat="false" ht="15" hidden="false" customHeight="false" outlineLevel="0" collapsed="false">
      <c r="A1650" s="4" t="n">
        <v>1649</v>
      </c>
      <c r="B1650" s="4" t="s">
        <v>2535</v>
      </c>
      <c r="C1650" s="4" t="n">
        <v>1991</v>
      </c>
      <c r="D1650" s="4" t="s">
        <v>174</v>
      </c>
      <c r="E1650" s="25" t="str">
        <f aca="false">IF(J1650=1,"✓","")</f>
        <v/>
      </c>
      <c r="F1650" s="4" t="n">
        <v>2</v>
      </c>
      <c r="G1650" s="4" t="n">
        <v>1</v>
      </c>
      <c r="H1650" s="4" t="s">
        <v>213</v>
      </c>
      <c r="I1650" s="4" t="s">
        <v>55</v>
      </c>
      <c r="J1650" s="4" t="n">
        <f aca="false">INDEX('Master List'!$G$2:$G$2594,K1650)</f>
        <v>0</v>
      </c>
      <c r="K1650" s="4" t="n">
        <v>2264</v>
      </c>
    </row>
    <row r="1651" customFormat="false" ht="15" hidden="false" customHeight="false" outlineLevel="0" collapsed="false">
      <c r="A1651" s="4" t="n">
        <v>1650</v>
      </c>
      <c r="B1651" s="4" t="s">
        <v>2536</v>
      </c>
      <c r="C1651" s="4" t="n">
        <v>1991</v>
      </c>
      <c r="D1651" s="4" t="s">
        <v>2316</v>
      </c>
      <c r="E1651" s="25" t="str">
        <f aca="false">IF(J1651=1,"✓","")</f>
        <v/>
      </c>
      <c r="F1651" s="4" t="n">
        <v>2</v>
      </c>
      <c r="G1651" s="4" t="n">
        <v>1</v>
      </c>
      <c r="H1651" s="4" t="s">
        <v>213</v>
      </c>
      <c r="I1651" s="4" t="s">
        <v>55</v>
      </c>
      <c r="J1651" s="4" t="n">
        <f aca="false">INDEX('Master List'!$G$2:$G$2594,K1651)</f>
        <v>0</v>
      </c>
      <c r="K1651" s="4" t="n">
        <v>507</v>
      </c>
    </row>
    <row r="1652" customFormat="false" ht="15" hidden="false" customHeight="false" outlineLevel="0" collapsed="false">
      <c r="A1652" s="4" t="n">
        <v>1651</v>
      </c>
      <c r="B1652" s="4" t="s">
        <v>2537</v>
      </c>
      <c r="C1652" s="4" t="n">
        <v>1991</v>
      </c>
      <c r="D1652" s="4" t="s">
        <v>2538</v>
      </c>
      <c r="E1652" s="25" t="str">
        <f aca="false">IF(J1652=1,"✓","")</f>
        <v/>
      </c>
      <c r="F1652" s="4" t="n">
        <v>2</v>
      </c>
      <c r="G1652" s="4" t="n">
        <v>1</v>
      </c>
      <c r="H1652" s="4" t="s">
        <v>213</v>
      </c>
      <c r="I1652" s="4" t="s">
        <v>56</v>
      </c>
      <c r="J1652" s="4" t="n">
        <f aca="false">INDEX('Master List'!$G$2:$G$2594,K1652)</f>
        <v>0</v>
      </c>
      <c r="K1652" s="4" t="n">
        <v>1595</v>
      </c>
    </row>
    <row r="1653" customFormat="false" ht="15" hidden="false" customHeight="false" outlineLevel="0" collapsed="false">
      <c r="A1653" s="4" t="n">
        <v>1652</v>
      </c>
      <c r="B1653" s="4" t="s">
        <v>2539</v>
      </c>
      <c r="C1653" s="4" t="n">
        <v>1991</v>
      </c>
      <c r="D1653" s="4" t="s">
        <v>2540</v>
      </c>
      <c r="E1653" s="25" t="str">
        <f aca="false">IF(J1653=1,"✓","")</f>
        <v/>
      </c>
      <c r="F1653" s="4" t="n">
        <v>2</v>
      </c>
      <c r="G1653" s="4" t="n">
        <v>1</v>
      </c>
      <c r="H1653" s="4" t="s">
        <v>213</v>
      </c>
      <c r="I1653" s="4" t="s">
        <v>56</v>
      </c>
      <c r="J1653" s="4" t="n">
        <f aca="false">INDEX('Master List'!$G$2:$G$2594,K1653)</f>
        <v>0</v>
      </c>
      <c r="K1653" s="4" t="n">
        <v>2170</v>
      </c>
    </row>
    <row r="1654" customFormat="false" ht="15" hidden="false" customHeight="false" outlineLevel="0" collapsed="false">
      <c r="A1654" s="4" t="n">
        <v>1653</v>
      </c>
      <c r="B1654" s="4" t="s">
        <v>2541</v>
      </c>
      <c r="C1654" s="4" t="n">
        <v>1992</v>
      </c>
      <c r="D1654" s="4" t="s">
        <v>340</v>
      </c>
      <c r="E1654" s="25" t="str">
        <f aca="false">IF(J1654=1,"✓","")</f>
        <v/>
      </c>
      <c r="F1654" s="4" t="n">
        <v>2</v>
      </c>
      <c r="G1654" s="4" t="n">
        <v>1</v>
      </c>
      <c r="H1654" s="4" t="s">
        <v>213</v>
      </c>
      <c r="I1654" s="4" t="s">
        <v>51</v>
      </c>
      <c r="J1654" s="4" t="n">
        <f aca="false">INDEX('Master List'!$G$2:$G$2594,K1654)</f>
        <v>0</v>
      </c>
      <c r="K1654" s="4" t="n">
        <v>1096</v>
      </c>
    </row>
    <row r="1655" customFormat="false" ht="15" hidden="false" customHeight="false" outlineLevel="0" collapsed="false">
      <c r="A1655" s="4" t="n">
        <v>1654</v>
      </c>
      <c r="B1655" s="4" t="s">
        <v>2542</v>
      </c>
      <c r="C1655" s="4" t="n">
        <v>1992</v>
      </c>
      <c r="D1655" s="4" t="s">
        <v>1560</v>
      </c>
      <c r="E1655" s="25" t="str">
        <f aca="false">IF(J1655=1,"✓","")</f>
        <v/>
      </c>
      <c r="F1655" s="4" t="n">
        <v>2</v>
      </c>
      <c r="G1655" s="4" t="n">
        <v>1</v>
      </c>
      <c r="H1655" s="4" t="s">
        <v>213</v>
      </c>
      <c r="I1655" s="4" t="s">
        <v>52</v>
      </c>
      <c r="J1655" s="4" t="n">
        <f aca="false">INDEX('Master List'!$G$2:$G$2594,K1655)</f>
        <v>0</v>
      </c>
      <c r="K1655" s="4" t="n">
        <v>334</v>
      </c>
    </row>
    <row r="1656" customFormat="false" ht="15" hidden="false" customHeight="false" outlineLevel="0" collapsed="false">
      <c r="A1656" s="4" t="n">
        <v>1655</v>
      </c>
      <c r="B1656" s="4" t="s">
        <v>2543</v>
      </c>
      <c r="C1656" s="4" t="n">
        <v>1992</v>
      </c>
      <c r="D1656" s="4" t="s">
        <v>172</v>
      </c>
      <c r="E1656" s="25" t="str">
        <f aca="false">IF(J1656=1,"✓","")</f>
        <v/>
      </c>
      <c r="F1656" s="4" t="n">
        <v>2</v>
      </c>
      <c r="G1656" s="4" t="n">
        <v>1</v>
      </c>
      <c r="H1656" s="4" t="s">
        <v>213</v>
      </c>
      <c r="I1656" s="4" t="s">
        <v>53</v>
      </c>
      <c r="J1656" s="4" t="n">
        <f aca="false">INDEX('Master List'!$G$2:$G$2594,K1656)</f>
        <v>0</v>
      </c>
      <c r="K1656" s="4" t="n">
        <v>335</v>
      </c>
    </row>
    <row r="1657" customFormat="false" ht="15" hidden="false" customHeight="false" outlineLevel="0" collapsed="false">
      <c r="A1657" s="4" t="n">
        <v>1656</v>
      </c>
      <c r="B1657" s="4" t="s">
        <v>2544</v>
      </c>
      <c r="C1657" s="4" t="n">
        <v>1992</v>
      </c>
      <c r="D1657" s="4" t="s">
        <v>154</v>
      </c>
      <c r="E1657" s="25" t="str">
        <f aca="false">IF(J1657=1,"✓","")</f>
        <v/>
      </c>
      <c r="F1657" s="4" t="n">
        <v>2</v>
      </c>
      <c r="G1657" s="4" t="n">
        <v>1</v>
      </c>
      <c r="H1657" s="4" t="s">
        <v>213</v>
      </c>
      <c r="I1657" s="4" t="s">
        <v>53</v>
      </c>
      <c r="J1657" s="4" t="n">
        <f aca="false">INDEX('Master List'!$G$2:$G$2594,K1657)</f>
        <v>0</v>
      </c>
      <c r="K1657" s="4" t="n">
        <v>2387</v>
      </c>
    </row>
    <row r="1658" customFormat="false" ht="15" hidden="false" customHeight="false" outlineLevel="0" collapsed="false">
      <c r="A1658" s="4" t="n">
        <v>1657</v>
      </c>
      <c r="B1658" s="4" t="s">
        <v>2545</v>
      </c>
      <c r="C1658" s="4" t="n">
        <v>1992</v>
      </c>
      <c r="D1658" s="4" t="s">
        <v>292</v>
      </c>
      <c r="E1658" s="25" t="str">
        <f aca="false">IF(J1658=1,"✓","")</f>
        <v/>
      </c>
      <c r="F1658" s="4" t="n">
        <v>2</v>
      </c>
      <c r="G1658" s="4" t="n">
        <v>1</v>
      </c>
      <c r="H1658" s="4" t="s">
        <v>213</v>
      </c>
      <c r="I1658" s="4" t="s">
        <v>53</v>
      </c>
      <c r="J1658" s="4" t="n">
        <f aca="false">INDEX('Master List'!$G$2:$G$2594,K1658)</f>
        <v>0</v>
      </c>
      <c r="K1658" s="4" t="n">
        <v>1323</v>
      </c>
    </row>
    <row r="1659" customFormat="false" ht="15" hidden="false" customHeight="false" outlineLevel="0" collapsed="false">
      <c r="A1659" s="4" t="n">
        <v>1658</v>
      </c>
      <c r="B1659" s="4" t="s">
        <v>2546</v>
      </c>
      <c r="C1659" s="4" t="n">
        <v>1992</v>
      </c>
      <c r="D1659" s="4" t="s">
        <v>516</v>
      </c>
      <c r="E1659" s="25" t="str">
        <f aca="false">IF(J1659=1,"✓","")</f>
        <v/>
      </c>
      <c r="F1659" s="4" t="n">
        <v>2</v>
      </c>
      <c r="G1659" s="4" t="n">
        <v>1</v>
      </c>
      <c r="H1659" s="4" t="s">
        <v>213</v>
      </c>
      <c r="I1659" s="4" t="s">
        <v>53</v>
      </c>
      <c r="J1659" s="4" t="n">
        <f aca="false">INDEX('Master List'!$G$2:$G$2594,K1659)</f>
        <v>0</v>
      </c>
      <c r="K1659" s="4" t="n">
        <v>225</v>
      </c>
    </row>
    <row r="1660" customFormat="false" ht="15" hidden="false" customHeight="false" outlineLevel="0" collapsed="false">
      <c r="A1660" s="4" t="n">
        <v>1659</v>
      </c>
      <c r="B1660" s="4" t="s">
        <v>2547</v>
      </c>
      <c r="C1660" s="4" t="n">
        <v>1992</v>
      </c>
      <c r="D1660" s="4" t="s">
        <v>382</v>
      </c>
      <c r="E1660" s="25" t="str">
        <f aca="false">IF(J1660=1,"✓","")</f>
        <v/>
      </c>
      <c r="F1660" s="4" t="n">
        <v>2</v>
      </c>
      <c r="G1660" s="4" t="n">
        <v>1</v>
      </c>
      <c r="H1660" s="4" t="s">
        <v>213</v>
      </c>
      <c r="I1660" s="4" t="s">
        <v>53</v>
      </c>
      <c r="J1660" s="4" t="n">
        <f aca="false">INDEX('Master List'!$G$2:$G$2594,K1660)</f>
        <v>0</v>
      </c>
      <c r="K1660" s="4" t="n">
        <v>1797</v>
      </c>
    </row>
    <row r="1661" customFormat="false" ht="15" hidden="false" customHeight="false" outlineLevel="0" collapsed="false">
      <c r="A1661" s="4" t="n">
        <v>1660</v>
      </c>
      <c r="B1661" s="4" t="s">
        <v>2548</v>
      </c>
      <c r="C1661" s="4" t="n">
        <v>1992</v>
      </c>
      <c r="D1661" s="4" t="s">
        <v>1165</v>
      </c>
      <c r="E1661" s="25" t="str">
        <f aca="false">IF(J1661=1,"✓","")</f>
        <v/>
      </c>
      <c r="F1661" s="4" t="n">
        <v>2</v>
      </c>
      <c r="G1661" s="4" t="n">
        <v>1</v>
      </c>
      <c r="H1661" s="4" t="s">
        <v>213</v>
      </c>
      <c r="I1661" s="4" t="s">
        <v>53</v>
      </c>
      <c r="J1661" s="4" t="n">
        <f aca="false">INDEX('Master List'!$G$2:$G$2594,K1661)</f>
        <v>0</v>
      </c>
      <c r="K1661" s="4" t="n">
        <v>1869</v>
      </c>
    </row>
    <row r="1662" customFormat="false" ht="15" hidden="false" customHeight="false" outlineLevel="0" collapsed="false">
      <c r="A1662" s="4" t="n">
        <v>1661</v>
      </c>
      <c r="B1662" s="4" t="s">
        <v>2549</v>
      </c>
      <c r="C1662" s="4" t="n">
        <v>1992</v>
      </c>
      <c r="D1662" s="4" t="s">
        <v>2550</v>
      </c>
      <c r="E1662" s="25" t="str">
        <f aca="false">IF(J1662=1,"✓","")</f>
        <v/>
      </c>
      <c r="F1662" s="4" t="n">
        <v>2</v>
      </c>
      <c r="G1662" s="4" t="n">
        <v>1</v>
      </c>
      <c r="H1662" s="4" t="s">
        <v>213</v>
      </c>
      <c r="I1662" s="4" t="s">
        <v>54</v>
      </c>
      <c r="J1662" s="4" t="n">
        <f aca="false">INDEX('Master List'!$G$2:$G$2594,K1662)</f>
        <v>0</v>
      </c>
      <c r="K1662" s="4" t="n">
        <v>1360</v>
      </c>
    </row>
    <row r="1663" customFormat="false" ht="15" hidden="false" customHeight="false" outlineLevel="0" collapsed="false">
      <c r="A1663" s="4" t="n">
        <v>1662</v>
      </c>
      <c r="B1663" s="4" t="s">
        <v>2551</v>
      </c>
      <c r="C1663" s="4" t="n">
        <v>1992</v>
      </c>
      <c r="D1663" s="4" t="s">
        <v>2552</v>
      </c>
      <c r="E1663" s="25" t="str">
        <f aca="false">IF(J1663=1,"✓","")</f>
        <v/>
      </c>
      <c r="F1663" s="4" t="n">
        <v>2</v>
      </c>
      <c r="G1663" s="4" t="n">
        <v>1</v>
      </c>
      <c r="H1663" s="4" t="s">
        <v>213</v>
      </c>
      <c r="I1663" s="4" t="s">
        <v>54</v>
      </c>
      <c r="J1663" s="4" t="n">
        <f aca="false">INDEX('Master List'!$G$2:$G$2594,K1663)</f>
        <v>0</v>
      </c>
      <c r="K1663" s="4" t="n">
        <v>2220</v>
      </c>
    </row>
    <row r="1664" customFormat="false" ht="15" hidden="false" customHeight="false" outlineLevel="0" collapsed="false">
      <c r="A1664" s="4" t="n">
        <v>1663</v>
      </c>
      <c r="B1664" s="4" t="s">
        <v>2553</v>
      </c>
      <c r="C1664" s="4" t="n">
        <v>1992</v>
      </c>
      <c r="D1664" s="4" t="s">
        <v>2554</v>
      </c>
      <c r="E1664" s="25" t="str">
        <f aca="false">IF(J1664=1,"✓","")</f>
        <v/>
      </c>
      <c r="F1664" s="4" t="n">
        <v>2</v>
      </c>
      <c r="G1664" s="4" t="n">
        <v>1</v>
      </c>
      <c r="H1664" s="4" t="s">
        <v>213</v>
      </c>
      <c r="I1664" s="4" t="s">
        <v>55</v>
      </c>
      <c r="J1664" s="4" t="n">
        <f aca="false">INDEX('Master List'!$G$2:$G$2594,K1664)</f>
        <v>0</v>
      </c>
      <c r="K1664" s="4" t="n">
        <v>904</v>
      </c>
    </row>
    <row r="1665" customFormat="false" ht="15" hidden="false" customHeight="false" outlineLevel="0" collapsed="false">
      <c r="A1665" s="4" t="n">
        <v>1664</v>
      </c>
      <c r="B1665" s="4" t="s">
        <v>2555</v>
      </c>
      <c r="C1665" s="4" t="n">
        <v>1992</v>
      </c>
      <c r="D1665" s="4" t="s">
        <v>2424</v>
      </c>
      <c r="E1665" s="25" t="str">
        <f aca="false">IF(J1665=1,"✓","")</f>
        <v/>
      </c>
      <c r="F1665" s="4" t="n">
        <v>2</v>
      </c>
      <c r="G1665" s="4" t="n">
        <v>1</v>
      </c>
      <c r="H1665" s="4" t="s">
        <v>213</v>
      </c>
      <c r="I1665" s="4" t="s">
        <v>55</v>
      </c>
      <c r="J1665" s="4" t="n">
        <f aca="false">INDEX('Master List'!$G$2:$G$2594,K1665)</f>
        <v>0</v>
      </c>
      <c r="K1665" s="4" t="n">
        <v>1569</v>
      </c>
    </row>
    <row r="1666" customFormat="false" ht="15" hidden="false" customHeight="false" outlineLevel="0" collapsed="false">
      <c r="A1666" s="4" t="n">
        <v>1665</v>
      </c>
      <c r="B1666" s="4" t="s">
        <v>2556</v>
      </c>
      <c r="C1666" s="4" t="n">
        <v>1992</v>
      </c>
      <c r="D1666" s="4" t="s">
        <v>604</v>
      </c>
      <c r="E1666" s="25" t="str">
        <f aca="false">IF(J1666=1,"✓","")</f>
        <v/>
      </c>
      <c r="F1666" s="4" t="n">
        <v>2</v>
      </c>
      <c r="G1666" s="4" t="n">
        <v>1</v>
      </c>
      <c r="H1666" s="4" t="s">
        <v>213</v>
      </c>
      <c r="I1666" s="4" t="s">
        <v>55</v>
      </c>
      <c r="J1666" s="4" t="n">
        <f aca="false">INDEX('Master List'!$G$2:$G$2594,K1666)</f>
        <v>0</v>
      </c>
      <c r="K1666" s="4" t="n">
        <v>1093</v>
      </c>
    </row>
    <row r="1667" customFormat="false" ht="15" hidden="false" customHeight="false" outlineLevel="0" collapsed="false">
      <c r="A1667" s="4" t="n">
        <v>1666</v>
      </c>
      <c r="B1667" s="4" t="s">
        <v>2557</v>
      </c>
      <c r="C1667" s="4" t="n">
        <v>1992</v>
      </c>
      <c r="D1667" s="4" t="s">
        <v>2484</v>
      </c>
      <c r="E1667" s="25" t="str">
        <f aca="false">IF(J1667=1,"✓","")</f>
        <v/>
      </c>
      <c r="F1667" s="4" t="n">
        <v>2</v>
      </c>
      <c r="G1667" s="4" t="n">
        <v>1</v>
      </c>
      <c r="H1667" s="4" t="s">
        <v>213</v>
      </c>
      <c r="I1667" s="4" t="s">
        <v>55</v>
      </c>
      <c r="J1667" s="4" t="n">
        <f aca="false">INDEX('Master List'!$G$2:$G$2594,K1667)</f>
        <v>0</v>
      </c>
      <c r="K1667" s="4" t="n">
        <v>2505</v>
      </c>
    </row>
    <row r="1668" customFormat="false" ht="15" hidden="false" customHeight="false" outlineLevel="0" collapsed="false">
      <c r="A1668" s="4" t="n">
        <v>1667</v>
      </c>
      <c r="B1668" s="4" t="s">
        <v>2558</v>
      </c>
      <c r="C1668" s="4" t="n">
        <v>1992</v>
      </c>
      <c r="D1668" s="4" t="s">
        <v>2559</v>
      </c>
      <c r="E1668" s="25" t="str">
        <f aca="false">IF(J1668=1,"✓","")</f>
        <v/>
      </c>
      <c r="F1668" s="4" t="n">
        <v>2</v>
      </c>
      <c r="G1668" s="4" t="n">
        <v>1</v>
      </c>
      <c r="H1668" s="4" t="s">
        <v>213</v>
      </c>
      <c r="I1668" s="4" t="s">
        <v>55</v>
      </c>
      <c r="J1668" s="4" t="n">
        <f aca="false">INDEX('Master List'!$G$2:$G$2594,K1668)</f>
        <v>0</v>
      </c>
      <c r="K1668" s="4" t="n">
        <v>1340</v>
      </c>
    </row>
    <row r="1669" customFormat="false" ht="15" hidden="false" customHeight="false" outlineLevel="0" collapsed="false">
      <c r="A1669" s="4" t="n">
        <v>1668</v>
      </c>
      <c r="B1669" s="4" t="s">
        <v>2560</v>
      </c>
      <c r="C1669" s="4" t="n">
        <v>1992</v>
      </c>
      <c r="D1669" s="4" t="s">
        <v>1417</v>
      </c>
      <c r="E1669" s="25" t="str">
        <f aca="false">IF(J1669=1,"✓","")</f>
        <v/>
      </c>
      <c r="F1669" s="4" t="n">
        <v>2</v>
      </c>
      <c r="G1669" s="4" t="n">
        <v>1</v>
      </c>
      <c r="H1669" s="4" t="s">
        <v>213</v>
      </c>
      <c r="I1669" s="4" t="s">
        <v>58</v>
      </c>
      <c r="J1669" s="4" t="n">
        <f aca="false">INDEX('Master List'!$G$2:$G$2594,K1669)</f>
        <v>0</v>
      </c>
      <c r="K1669" s="4" t="n">
        <v>1336</v>
      </c>
    </row>
    <row r="1670" customFormat="false" ht="15" hidden="false" customHeight="false" outlineLevel="0" collapsed="false">
      <c r="A1670" s="4" t="n">
        <v>1669</v>
      </c>
      <c r="B1670" s="4" t="s">
        <v>2561</v>
      </c>
      <c r="C1670" s="4" t="n">
        <v>1993</v>
      </c>
      <c r="D1670" s="4" t="s">
        <v>2562</v>
      </c>
      <c r="E1670" s="25" t="str">
        <f aca="false">IF(J1670=1,"✓","")</f>
        <v/>
      </c>
      <c r="F1670" s="4" t="n">
        <v>2</v>
      </c>
      <c r="G1670" s="4" t="n">
        <v>1</v>
      </c>
      <c r="H1670" s="4" t="s">
        <v>213</v>
      </c>
      <c r="I1670" s="4" t="s">
        <v>51</v>
      </c>
      <c r="J1670" s="4" t="n">
        <f aca="false">INDEX('Master List'!$G$2:$G$2594,K1670)</f>
        <v>0</v>
      </c>
      <c r="K1670" s="4" t="n">
        <v>2178</v>
      </c>
    </row>
    <row r="1671" customFormat="false" ht="15" hidden="false" customHeight="false" outlineLevel="0" collapsed="false">
      <c r="A1671" s="4" t="n">
        <v>1670</v>
      </c>
      <c r="B1671" s="4" t="s">
        <v>2563</v>
      </c>
      <c r="C1671" s="4" t="n">
        <v>1993</v>
      </c>
      <c r="D1671" s="4" t="s">
        <v>492</v>
      </c>
      <c r="E1671" s="25" t="str">
        <f aca="false">IF(J1671=1,"✓","")</f>
        <v/>
      </c>
      <c r="F1671" s="4" t="n">
        <v>2</v>
      </c>
      <c r="G1671" s="4" t="n">
        <v>1</v>
      </c>
      <c r="H1671" s="4" t="s">
        <v>213</v>
      </c>
      <c r="I1671" s="4" t="s">
        <v>51</v>
      </c>
      <c r="J1671" s="4" t="n">
        <f aca="false">INDEX('Master List'!$G$2:$G$2594,K1671)</f>
        <v>0</v>
      </c>
      <c r="K1671" s="4" t="n">
        <v>1834</v>
      </c>
    </row>
    <row r="1672" customFormat="false" ht="15" hidden="false" customHeight="false" outlineLevel="0" collapsed="false">
      <c r="A1672" s="4" t="n">
        <v>1671</v>
      </c>
      <c r="B1672" s="4" t="s">
        <v>2564</v>
      </c>
      <c r="C1672" s="4" t="n">
        <v>1993</v>
      </c>
      <c r="D1672" s="4" t="s">
        <v>2565</v>
      </c>
      <c r="E1672" s="25" t="str">
        <f aca="false">IF(J1672=1,"✓","")</f>
        <v/>
      </c>
      <c r="F1672" s="4" t="n">
        <v>2</v>
      </c>
      <c r="G1672" s="4" t="n">
        <v>1</v>
      </c>
      <c r="H1672" s="4" t="s">
        <v>213</v>
      </c>
      <c r="I1672" s="4" t="s">
        <v>51</v>
      </c>
      <c r="J1672" s="4" t="n">
        <f aca="false">INDEX('Master List'!$G$2:$G$2594,K1672)</f>
        <v>0</v>
      </c>
      <c r="K1672" s="4" t="n">
        <v>299</v>
      </c>
    </row>
    <row r="1673" customFormat="false" ht="15" hidden="false" customHeight="false" outlineLevel="0" collapsed="false">
      <c r="A1673" s="4" t="n">
        <v>1672</v>
      </c>
      <c r="B1673" s="4" t="s">
        <v>2566</v>
      </c>
      <c r="C1673" s="4" t="n">
        <v>1993</v>
      </c>
      <c r="D1673" s="4" t="s">
        <v>2567</v>
      </c>
      <c r="E1673" s="25" t="str">
        <f aca="false">IF(J1673=1,"✓","")</f>
        <v>✓</v>
      </c>
      <c r="F1673" s="4" t="n">
        <v>2</v>
      </c>
      <c r="G1673" s="4" t="n">
        <v>1</v>
      </c>
      <c r="H1673" s="4" t="s">
        <v>213</v>
      </c>
      <c r="I1673" s="4" t="s">
        <v>52</v>
      </c>
      <c r="J1673" s="4" t="n">
        <f aca="false">INDEX('Master List'!$G$2:$G$2594,K1673)</f>
        <v>1</v>
      </c>
      <c r="K1673" s="4" t="n">
        <v>2091</v>
      </c>
    </row>
    <row r="1674" customFormat="false" ht="15" hidden="false" customHeight="false" outlineLevel="0" collapsed="false">
      <c r="A1674" s="4" t="n">
        <v>1673</v>
      </c>
      <c r="B1674" s="4" t="s">
        <v>2568</v>
      </c>
      <c r="C1674" s="4" t="n">
        <v>1993</v>
      </c>
      <c r="D1674" s="4" t="s">
        <v>2569</v>
      </c>
      <c r="E1674" s="25" t="str">
        <f aca="false">IF(J1674=1,"✓","")</f>
        <v/>
      </c>
      <c r="F1674" s="4" t="n">
        <v>2</v>
      </c>
      <c r="G1674" s="4" t="n">
        <v>1</v>
      </c>
      <c r="H1674" s="4" t="s">
        <v>213</v>
      </c>
      <c r="I1674" s="4" t="s">
        <v>52</v>
      </c>
      <c r="J1674" s="4" t="n">
        <f aca="false">INDEX('Master List'!$G$2:$G$2594,K1674)</f>
        <v>0</v>
      </c>
      <c r="K1674" s="4" t="n">
        <v>2459</v>
      </c>
    </row>
    <row r="1675" customFormat="false" ht="15" hidden="false" customHeight="false" outlineLevel="0" collapsed="false">
      <c r="A1675" s="4" t="n">
        <v>1674</v>
      </c>
      <c r="B1675" s="4" t="s">
        <v>2570</v>
      </c>
      <c r="C1675" s="4" t="n">
        <v>1993</v>
      </c>
      <c r="D1675" s="4" t="s">
        <v>488</v>
      </c>
      <c r="E1675" s="25" t="str">
        <f aca="false">IF(J1675=1,"✓","")</f>
        <v/>
      </c>
      <c r="F1675" s="4" t="n">
        <v>2</v>
      </c>
      <c r="G1675" s="4" t="n">
        <v>1</v>
      </c>
      <c r="H1675" s="4" t="s">
        <v>213</v>
      </c>
      <c r="I1675" s="4" t="s">
        <v>53</v>
      </c>
      <c r="J1675" s="4" t="n">
        <f aca="false">INDEX('Master List'!$G$2:$G$2594,K1675)</f>
        <v>0</v>
      </c>
      <c r="K1675" s="4" t="n">
        <v>396</v>
      </c>
    </row>
    <row r="1676" customFormat="false" ht="15" hidden="false" customHeight="false" outlineLevel="0" collapsed="false">
      <c r="A1676" s="4" t="n">
        <v>1675</v>
      </c>
      <c r="B1676" s="4" t="s">
        <v>2571</v>
      </c>
      <c r="C1676" s="4" t="n">
        <v>1993</v>
      </c>
      <c r="D1676" s="4" t="s">
        <v>490</v>
      </c>
      <c r="E1676" s="25" t="str">
        <f aca="false">IF(J1676=1,"✓","")</f>
        <v/>
      </c>
      <c r="F1676" s="4" t="n">
        <v>2</v>
      </c>
      <c r="G1676" s="4" t="n">
        <v>1</v>
      </c>
      <c r="H1676" s="4" t="s">
        <v>213</v>
      </c>
      <c r="I1676" s="4" t="s">
        <v>53</v>
      </c>
      <c r="J1676" s="4" t="n">
        <f aca="false">INDEX('Master List'!$G$2:$G$2594,K1676)</f>
        <v>0</v>
      </c>
      <c r="K1676" s="4" t="n">
        <v>1261</v>
      </c>
    </row>
    <row r="1677" customFormat="false" ht="15" hidden="false" customHeight="false" outlineLevel="0" collapsed="false">
      <c r="A1677" s="4" t="n">
        <v>1676</v>
      </c>
      <c r="B1677" s="4" t="s">
        <v>2572</v>
      </c>
      <c r="C1677" s="4" t="n">
        <v>1993</v>
      </c>
      <c r="D1677" s="4" t="s">
        <v>185</v>
      </c>
      <c r="E1677" s="25" t="str">
        <f aca="false">IF(J1677=1,"✓","")</f>
        <v/>
      </c>
      <c r="F1677" s="4" t="n">
        <v>2</v>
      </c>
      <c r="G1677" s="4" t="n">
        <v>1</v>
      </c>
      <c r="H1677" s="4" t="s">
        <v>213</v>
      </c>
      <c r="I1677" s="4" t="s">
        <v>53</v>
      </c>
      <c r="J1677" s="4" t="n">
        <f aca="false">INDEX('Master List'!$G$2:$G$2594,K1677)</f>
        <v>0</v>
      </c>
      <c r="K1677" s="4" t="n">
        <v>551</v>
      </c>
    </row>
    <row r="1678" customFormat="false" ht="15" hidden="false" customHeight="false" outlineLevel="0" collapsed="false">
      <c r="A1678" s="4" t="n">
        <v>1677</v>
      </c>
      <c r="B1678" s="4" t="s">
        <v>2573</v>
      </c>
      <c r="C1678" s="4" t="n">
        <v>1993</v>
      </c>
      <c r="D1678" s="4" t="s">
        <v>2574</v>
      </c>
      <c r="E1678" s="25" t="str">
        <f aca="false">IF(J1678=1,"✓","")</f>
        <v/>
      </c>
      <c r="F1678" s="4" t="n">
        <v>2</v>
      </c>
      <c r="G1678" s="4" t="n">
        <v>1</v>
      </c>
      <c r="H1678" s="4" t="s">
        <v>213</v>
      </c>
      <c r="I1678" s="4" t="s">
        <v>55</v>
      </c>
      <c r="J1678" s="4" t="n">
        <f aca="false">INDEX('Master List'!$G$2:$G$2594,K1678)</f>
        <v>0</v>
      </c>
      <c r="K1678" s="4" t="n">
        <v>2465</v>
      </c>
    </row>
    <row r="1679" customFormat="false" ht="15" hidden="false" customHeight="false" outlineLevel="0" collapsed="false">
      <c r="A1679" s="4" t="n">
        <v>1678</v>
      </c>
      <c r="B1679" s="4" t="s">
        <v>2575</v>
      </c>
      <c r="C1679" s="4" t="n">
        <v>1993</v>
      </c>
      <c r="D1679" s="4" t="s">
        <v>496</v>
      </c>
      <c r="E1679" s="25" t="str">
        <f aca="false">IF(J1679=1,"✓","")</f>
        <v/>
      </c>
      <c r="F1679" s="4" t="n">
        <v>2</v>
      </c>
      <c r="G1679" s="4" t="n">
        <v>1</v>
      </c>
      <c r="H1679" s="4" t="s">
        <v>213</v>
      </c>
      <c r="I1679" s="4" t="s">
        <v>55</v>
      </c>
      <c r="J1679" s="4" t="n">
        <f aca="false">INDEX('Master List'!$G$2:$G$2594,K1679)</f>
        <v>0</v>
      </c>
      <c r="K1679" s="4" t="n">
        <v>1756</v>
      </c>
    </row>
    <row r="1680" customFormat="false" ht="15" hidden="false" customHeight="false" outlineLevel="0" collapsed="false">
      <c r="A1680" s="4" t="n">
        <v>1679</v>
      </c>
      <c r="B1680" s="4" t="s">
        <v>2576</v>
      </c>
      <c r="C1680" s="4" t="n">
        <v>1993</v>
      </c>
      <c r="D1680" s="4" t="s">
        <v>2577</v>
      </c>
      <c r="E1680" s="25" t="str">
        <f aca="false">IF(J1680=1,"✓","")</f>
        <v>✓</v>
      </c>
      <c r="F1680" s="4" t="n">
        <v>2</v>
      </c>
      <c r="G1680" s="4" t="n">
        <v>1</v>
      </c>
      <c r="H1680" s="4" t="s">
        <v>213</v>
      </c>
      <c r="I1680" s="4" t="s">
        <v>56</v>
      </c>
      <c r="J1680" s="4" t="n">
        <f aca="false">INDEX('Master List'!$G$2:$G$2594,K1680)</f>
        <v>1</v>
      </c>
      <c r="K1680" s="4" t="n">
        <v>2330</v>
      </c>
    </row>
    <row r="1681" customFormat="false" ht="15" hidden="false" customHeight="false" outlineLevel="0" collapsed="false">
      <c r="A1681" s="4" t="n">
        <v>1680</v>
      </c>
      <c r="B1681" s="4" t="s">
        <v>2578</v>
      </c>
      <c r="C1681" s="4" t="n">
        <v>1993</v>
      </c>
      <c r="D1681" s="4" t="s">
        <v>391</v>
      </c>
      <c r="E1681" s="25" t="str">
        <f aca="false">IF(J1681=1,"✓","")</f>
        <v/>
      </c>
      <c r="F1681" s="4" t="n">
        <v>2</v>
      </c>
      <c r="G1681" s="4" t="n">
        <v>1</v>
      </c>
      <c r="H1681" s="4" t="s">
        <v>213</v>
      </c>
      <c r="I1681" s="4" t="s">
        <v>58</v>
      </c>
      <c r="J1681" s="4" t="n">
        <f aca="false">INDEX('Master List'!$G$2:$G$2594,K1681)</f>
        <v>0</v>
      </c>
      <c r="K1681" s="4" t="n">
        <v>1006</v>
      </c>
    </row>
    <row r="1682" customFormat="false" ht="15" hidden="false" customHeight="false" outlineLevel="0" collapsed="false">
      <c r="A1682" s="4" t="n">
        <v>1681</v>
      </c>
      <c r="B1682" s="4" t="s">
        <v>2579</v>
      </c>
      <c r="C1682" s="4" t="n">
        <v>1994</v>
      </c>
      <c r="D1682" s="4" t="s">
        <v>2306</v>
      </c>
      <c r="E1682" s="25" t="str">
        <f aca="false">IF(J1682=1,"✓","")</f>
        <v/>
      </c>
      <c r="F1682" s="4" t="n">
        <v>2</v>
      </c>
      <c r="G1682" s="4" t="n">
        <v>1</v>
      </c>
      <c r="H1682" s="4" t="s">
        <v>213</v>
      </c>
      <c r="I1682" s="4" t="s">
        <v>51</v>
      </c>
      <c r="J1682" s="4" t="n">
        <f aca="false">INDEX('Master List'!$G$2:$G$2594,K1682)</f>
        <v>0</v>
      </c>
      <c r="K1682" s="4" t="n">
        <v>684</v>
      </c>
    </row>
    <row r="1683" customFormat="false" ht="15" hidden="false" customHeight="false" outlineLevel="0" collapsed="false">
      <c r="A1683" s="4" t="n">
        <v>1682</v>
      </c>
      <c r="B1683" s="4" t="s">
        <v>2580</v>
      </c>
      <c r="C1683" s="4" t="n">
        <v>1994</v>
      </c>
      <c r="D1683" s="4" t="s">
        <v>1165</v>
      </c>
      <c r="E1683" s="25" t="str">
        <f aca="false">IF(J1683=1,"✓","")</f>
        <v/>
      </c>
      <c r="F1683" s="4" t="n">
        <v>2</v>
      </c>
      <c r="G1683" s="4" t="n">
        <v>1</v>
      </c>
      <c r="H1683" s="4" t="s">
        <v>213</v>
      </c>
      <c r="I1683" s="4" t="s">
        <v>51</v>
      </c>
      <c r="J1683" s="4" t="n">
        <f aca="false">INDEX('Master List'!$G$2:$G$2594,K1683)</f>
        <v>0</v>
      </c>
      <c r="K1683" s="4" t="n">
        <v>2439</v>
      </c>
    </row>
    <row r="1684" customFormat="false" ht="15" hidden="false" customHeight="false" outlineLevel="0" collapsed="false">
      <c r="A1684" s="4" t="n">
        <v>1683</v>
      </c>
      <c r="B1684" s="4" t="s">
        <v>2581</v>
      </c>
      <c r="C1684" s="4" t="n">
        <v>1994</v>
      </c>
      <c r="D1684" s="4" t="s">
        <v>1541</v>
      </c>
      <c r="E1684" s="25" t="str">
        <f aca="false">IF(J1684=1,"✓","")</f>
        <v/>
      </c>
      <c r="F1684" s="4" t="n">
        <v>2</v>
      </c>
      <c r="G1684" s="4" t="n">
        <v>1</v>
      </c>
      <c r="H1684" s="4" t="s">
        <v>213</v>
      </c>
      <c r="I1684" s="4" t="s">
        <v>51</v>
      </c>
      <c r="J1684" s="4" t="n">
        <f aca="false">INDEX('Master List'!$G$2:$G$2594,K1684)</f>
        <v>0</v>
      </c>
      <c r="K1684" s="4" t="n">
        <v>2319</v>
      </c>
    </row>
    <row r="1685" customFormat="false" ht="15" hidden="false" customHeight="false" outlineLevel="0" collapsed="false">
      <c r="A1685" s="4" t="n">
        <v>1684</v>
      </c>
      <c r="B1685" s="4" t="s">
        <v>2582</v>
      </c>
      <c r="C1685" s="4" t="n">
        <v>1994</v>
      </c>
      <c r="D1685" s="4" t="s">
        <v>2583</v>
      </c>
      <c r="E1685" s="25" t="str">
        <f aca="false">IF(J1685=1,"✓","")</f>
        <v>✓</v>
      </c>
      <c r="F1685" s="4" t="n">
        <v>2</v>
      </c>
      <c r="G1685" s="4" t="n">
        <v>1</v>
      </c>
      <c r="H1685" s="4" t="s">
        <v>213</v>
      </c>
      <c r="I1685" s="4" t="s">
        <v>52</v>
      </c>
      <c r="J1685" s="4" t="n">
        <f aca="false">INDEX('Master List'!$G$2:$G$2594,K1685)</f>
        <v>1</v>
      </c>
      <c r="K1685" s="4" t="n">
        <v>690</v>
      </c>
    </row>
    <row r="1686" customFormat="false" ht="15" hidden="false" customHeight="false" outlineLevel="0" collapsed="false">
      <c r="A1686" s="4" t="n">
        <v>1685</v>
      </c>
      <c r="B1686" s="4" t="s">
        <v>2584</v>
      </c>
      <c r="C1686" s="4" t="n">
        <v>1994</v>
      </c>
      <c r="D1686" s="4" t="s">
        <v>2585</v>
      </c>
      <c r="E1686" s="25" t="str">
        <f aca="false">IF(J1686=1,"✓","")</f>
        <v>✓</v>
      </c>
      <c r="F1686" s="4" t="n">
        <v>2</v>
      </c>
      <c r="G1686" s="4" t="n">
        <v>1</v>
      </c>
      <c r="H1686" s="4" t="s">
        <v>213</v>
      </c>
      <c r="I1686" s="4" t="s">
        <v>52</v>
      </c>
      <c r="J1686" s="4" t="n">
        <f aca="false">INDEX('Master List'!$G$2:$G$2594,K1686)</f>
        <v>1</v>
      </c>
      <c r="K1686" s="4" t="n">
        <v>2129</v>
      </c>
    </row>
    <row r="1687" customFormat="false" ht="15" hidden="false" customHeight="false" outlineLevel="0" collapsed="false">
      <c r="A1687" s="4" t="n">
        <v>1686</v>
      </c>
      <c r="B1687" s="4" t="s">
        <v>2586</v>
      </c>
      <c r="C1687" s="4" t="n">
        <v>1994</v>
      </c>
      <c r="D1687" s="4" t="s">
        <v>2587</v>
      </c>
      <c r="E1687" s="25" t="str">
        <f aca="false">IF(J1687=1,"✓","")</f>
        <v/>
      </c>
      <c r="F1687" s="4" t="n">
        <v>2</v>
      </c>
      <c r="G1687" s="4" t="n">
        <v>1</v>
      </c>
      <c r="H1687" s="4" t="s">
        <v>213</v>
      </c>
      <c r="I1687" s="4" t="s">
        <v>52</v>
      </c>
      <c r="J1687" s="4" t="n">
        <f aca="false">INDEX('Master List'!$G$2:$G$2594,K1687)</f>
        <v>0</v>
      </c>
      <c r="K1687" s="4" t="n">
        <v>1344</v>
      </c>
    </row>
    <row r="1688" customFormat="false" ht="15" hidden="false" customHeight="false" outlineLevel="0" collapsed="false">
      <c r="A1688" s="4" t="n">
        <v>1687</v>
      </c>
      <c r="B1688" s="4" t="s">
        <v>2588</v>
      </c>
      <c r="C1688" s="4" t="n">
        <v>1994</v>
      </c>
      <c r="D1688" s="4" t="s">
        <v>148</v>
      </c>
      <c r="E1688" s="25" t="str">
        <f aca="false">IF(J1688=1,"✓","")</f>
        <v/>
      </c>
      <c r="F1688" s="4" t="n">
        <v>2</v>
      </c>
      <c r="G1688" s="4" t="n">
        <v>1</v>
      </c>
      <c r="H1688" s="4" t="s">
        <v>213</v>
      </c>
      <c r="I1688" s="4" t="s">
        <v>53</v>
      </c>
      <c r="J1688" s="4" t="n">
        <f aca="false">INDEX('Master List'!$G$2:$G$2594,K1688)</f>
        <v>0</v>
      </c>
      <c r="K1688" s="4" t="n">
        <v>542</v>
      </c>
    </row>
    <row r="1689" customFormat="false" ht="15" hidden="false" customHeight="false" outlineLevel="0" collapsed="false">
      <c r="A1689" s="4" t="n">
        <v>1688</v>
      </c>
      <c r="B1689" s="4" t="s">
        <v>2589</v>
      </c>
      <c r="C1689" s="4" t="n">
        <v>1994</v>
      </c>
      <c r="D1689" s="4" t="s">
        <v>1042</v>
      </c>
      <c r="E1689" s="25" t="str">
        <f aca="false">IF(J1689=1,"✓","")</f>
        <v/>
      </c>
      <c r="F1689" s="4" t="n">
        <v>2</v>
      </c>
      <c r="G1689" s="4" t="n">
        <v>1</v>
      </c>
      <c r="H1689" s="4" t="s">
        <v>213</v>
      </c>
      <c r="I1689" s="4" t="s">
        <v>53</v>
      </c>
      <c r="J1689" s="4" t="n">
        <f aca="false">INDEX('Master List'!$G$2:$G$2594,K1689)</f>
        <v>0</v>
      </c>
      <c r="K1689" s="4" t="n">
        <v>2292</v>
      </c>
    </row>
    <row r="1690" customFormat="false" ht="15" hidden="false" customHeight="false" outlineLevel="0" collapsed="false">
      <c r="A1690" s="4" t="n">
        <v>1689</v>
      </c>
      <c r="B1690" s="4" t="s">
        <v>2590</v>
      </c>
      <c r="C1690" s="4" t="n">
        <v>1994</v>
      </c>
      <c r="D1690" s="4" t="s">
        <v>1042</v>
      </c>
      <c r="E1690" s="25" t="str">
        <f aca="false">IF(J1690=1,"✓","")</f>
        <v/>
      </c>
      <c r="F1690" s="4" t="n">
        <v>2</v>
      </c>
      <c r="G1690" s="4" t="n">
        <v>1</v>
      </c>
      <c r="H1690" s="4" t="s">
        <v>213</v>
      </c>
      <c r="I1690" s="4" t="s">
        <v>53</v>
      </c>
      <c r="J1690" s="4" t="n">
        <f aca="false">INDEX('Master List'!$G$2:$G$2594,K1690)</f>
        <v>0</v>
      </c>
      <c r="K1690" s="4" t="n">
        <v>2291</v>
      </c>
    </row>
    <row r="1691" customFormat="false" ht="15" hidden="false" customHeight="false" outlineLevel="0" collapsed="false">
      <c r="A1691" s="4" t="n">
        <v>1690</v>
      </c>
      <c r="B1691" s="4" t="s">
        <v>2591</v>
      </c>
      <c r="C1691" s="4" t="n">
        <v>1994</v>
      </c>
      <c r="D1691" s="4" t="s">
        <v>262</v>
      </c>
      <c r="E1691" s="25" t="str">
        <f aca="false">IF(J1691=1,"✓","")</f>
        <v/>
      </c>
      <c r="F1691" s="4" t="n">
        <v>2</v>
      </c>
      <c r="G1691" s="4" t="n">
        <v>1</v>
      </c>
      <c r="H1691" s="4" t="s">
        <v>213</v>
      </c>
      <c r="I1691" s="4" t="s">
        <v>53</v>
      </c>
      <c r="J1691" s="4" t="n">
        <f aca="false">INDEX('Master List'!$G$2:$G$2594,K1691)</f>
        <v>0</v>
      </c>
      <c r="K1691" s="4" t="n">
        <v>1101</v>
      </c>
    </row>
    <row r="1692" customFormat="false" ht="15" hidden="false" customHeight="false" outlineLevel="0" collapsed="false">
      <c r="A1692" s="4" t="n">
        <v>1691</v>
      </c>
      <c r="B1692" s="4" t="s">
        <v>2592</v>
      </c>
      <c r="C1692" s="4" t="n">
        <v>1994</v>
      </c>
      <c r="D1692" s="4" t="s">
        <v>611</v>
      </c>
      <c r="E1692" s="25" t="str">
        <f aca="false">IF(J1692=1,"✓","")</f>
        <v/>
      </c>
      <c r="F1692" s="4" t="n">
        <v>2</v>
      </c>
      <c r="G1692" s="4" t="n">
        <v>1</v>
      </c>
      <c r="H1692" s="4" t="s">
        <v>213</v>
      </c>
      <c r="I1692" s="4" t="s">
        <v>53</v>
      </c>
      <c r="J1692" s="4" t="n">
        <f aca="false">INDEX('Master List'!$G$2:$G$2594,K1692)</f>
        <v>0</v>
      </c>
      <c r="K1692" s="4" t="n">
        <v>1791</v>
      </c>
    </row>
    <row r="1693" customFormat="false" ht="15" hidden="false" customHeight="false" outlineLevel="0" collapsed="false">
      <c r="A1693" s="4" t="n">
        <v>1692</v>
      </c>
      <c r="B1693" s="4" t="s">
        <v>2593</v>
      </c>
      <c r="C1693" s="4" t="n">
        <v>1994</v>
      </c>
      <c r="D1693" s="4" t="s">
        <v>223</v>
      </c>
      <c r="E1693" s="25" t="str">
        <f aca="false">IF(J1693=1,"✓","")</f>
        <v/>
      </c>
      <c r="F1693" s="4" t="n">
        <v>2</v>
      </c>
      <c r="G1693" s="4" t="n">
        <v>1</v>
      </c>
      <c r="H1693" s="4" t="s">
        <v>213</v>
      </c>
      <c r="I1693" s="4" t="s">
        <v>53</v>
      </c>
      <c r="J1693" s="4" t="n">
        <f aca="false">INDEX('Master List'!$G$2:$G$2594,K1693)</f>
        <v>0</v>
      </c>
      <c r="K1693" s="4" t="n">
        <v>514</v>
      </c>
    </row>
    <row r="1694" customFormat="false" ht="15" hidden="false" customHeight="false" outlineLevel="0" collapsed="false">
      <c r="A1694" s="4" t="n">
        <v>1693</v>
      </c>
      <c r="B1694" s="4" t="s">
        <v>2594</v>
      </c>
      <c r="C1694" s="4" t="n">
        <v>1994</v>
      </c>
      <c r="D1694" s="4" t="s">
        <v>1523</v>
      </c>
      <c r="E1694" s="25" t="str">
        <f aca="false">IF(J1694=1,"✓","")</f>
        <v>✓</v>
      </c>
      <c r="F1694" s="4" t="n">
        <v>2</v>
      </c>
      <c r="G1694" s="4" t="n">
        <v>1</v>
      </c>
      <c r="H1694" s="4" t="s">
        <v>213</v>
      </c>
      <c r="I1694" s="4" t="s">
        <v>55</v>
      </c>
      <c r="J1694" s="4" t="n">
        <f aca="false">INDEX('Master List'!$G$2:$G$2594,K1694)</f>
        <v>1</v>
      </c>
      <c r="K1694" s="4" t="n">
        <v>1846</v>
      </c>
    </row>
    <row r="1695" customFormat="false" ht="15" hidden="false" customHeight="false" outlineLevel="0" collapsed="false">
      <c r="A1695" s="4" t="n">
        <v>1694</v>
      </c>
      <c r="B1695" s="4" t="s">
        <v>2595</v>
      </c>
      <c r="C1695" s="4" t="n">
        <v>1994</v>
      </c>
      <c r="D1695" s="4" t="s">
        <v>2596</v>
      </c>
      <c r="E1695" s="25" t="str">
        <f aca="false">IF(J1695=1,"✓","")</f>
        <v/>
      </c>
      <c r="F1695" s="4" t="n">
        <v>2</v>
      </c>
      <c r="G1695" s="4" t="n">
        <v>1</v>
      </c>
      <c r="H1695" s="4" t="s">
        <v>213</v>
      </c>
      <c r="I1695" s="4" t="s">
        <v>55</v>
      </c>
      <c r="J1695" s="4" t="n">
        <f aca="false">INDEX('Master List'!$G$2:$G$2594,K1695)</f>
        <v>0</v>
      </c>
      <c r="K1695" s="4" t="n">
        <v>360</v>
      </c>
    </row>
    <row r="1696" customFormat="false" ht="15" hidden="false" customHeight="false" outlineLevel="0" collapsed="false">
      <c r="A1696" s="4" t="n">
        <v>1695</v>
      </c>
      <c r="B1696" s="4" t="s">
        <v>2597</v>
      </c>
      <c r="C1696" s="4" t="n">
        <v>1994</v>
      </c>
      <c r="D1696" s="4" t="s">
        <v>1169</v>
      </c>
      <c r="E1696" s="25" t="str">
        <f aca="false">IF(J1696=1,"✓","")</f>
        <v/>
      </c>
      <c r="F1696" s="4" t="n">
        <v>2</v>
      </c>
      <c r="G1696" s="4" t="n">
        <v>1</v>
      </c>
      <c r="H1696" s="4" t="s">
        <v>213</v>
      </c>
      <c r="I1696" s="4" t="s">
        <v>55</v>
      </c>
      <c r="J1696" s="4" t="n">
        <f aca="false">INDEX('Master List'!$G$2:$G$2594,K1696)</f>
        <v>0</v>
      </c>
      <c r="K1696" s="4" t="n">
        <v>707</v>
      </c>
    </row>
    <row r="1697" customFormat="false" ht="15" hidden="false" customHeight="false" outlineLevel="0" collapsed="false">
      <c r="A1697" s="4" t="n">
        <v>1696</v>
      </c>
      <c r="B1697" s="4" t="s">
        <v>2598</v>
      </c>
      <c r="C1697" s="4" t="n">
        <v>1994</v>
      </c>
      <c r="D1697" s="4" t="s">
        <v>2599</v>
      </c>
      <c r="E1697" s="25" t="str">
        <f aca="false">IF(J1697=1,"✓","")</f>
        <v>✓</v>
      </c>
      <c r="F1697" s="4" t="n">
        <v>2</v>
      </c>
      <c r="G1697" s="4" t="n">
        <v>1</v>
      </c>
      <c r="H1697" s="4" t="s">
        <v>213</v>
      </c>
      <c r="I1697" s="4" t="s">
        <v>57</v>
      </c>
      <c r="J1697" s="4" t="n">
        <f aca="false">INDEX('Master List'!$G$2:$G$2594,K1697)</f>
        <v>1</v>
      </c>
      <c r="K1697" s="4" t="n">
        <v>2039</v>
      </c>
    </row>
    <row r="1698" customFormat="false" ht="15" hidden="false" customHeight="false" outlineLevel="0" collapsed="false">
      <c r="A1698" s="4" t="n">
        <v>1697</v>
      </c>
      <c r="B1698" s="4" t="s">
        <v>2600</v>
      </c>
      <c r="C1698" s="4" t="n">
        <v>1994</v>
      </c>
      <c r="D1698" s="4" t="s">
        <v>1070</v>
      </c>
      <c r="E1698" s="25" t="str">
        <f aca="false">IF(J1698=1,"✓","")</f>
        <v>✓</v>
      </c>
      <c r="F1698" s="4" t="n">
        <v>2</v>
      </c>
      <c r="G1698" s="4" t="n">
        <v>1</v>
      </c>
      <c r="H1698" s="4" t="s">
        <v>213</v>
      </c>
      <c r="I1698" s="4" t="s">
        <v>57</v>
      </c>
      <c r="J1698" s="4" t="n">
        <f aca="false">INDEX('Master List'!$G$2:$G$2594,K1698)</f>
        <v>1</v>
      </c>
      <c r="K1698" s="4" t="n">
        <v>837</v>
      </c>
    </row>
    <row r="1699" customFormat="false" ht="15" hidden="false" customHeight="false" outlineLevel="0" collapsed="false">
      <c r="A1699" s="4" t="n">
        <v>1698</v>
      </c>
      <c r="B1699" s="4" t="s">
        <v>2601</v>
      </c>
      <c r="C1699" s="4" t="n">
        <v>1995</v>
      </c>
      <c r="D1699" s="4" t="s">
        <v>2602</v>
      </c>
      <c r="E1699" s="25" t="str">
        <f aca="false">IF(J1699=1,"✓","")</f>
        <v/>
      </c>
      <c r="F1699" s="4" t="n">
        <v>2</v>
      </c>
      <c r="G1699" s="4" t="n">
        <v>1</v>
      </c>
      <c r="H1699" s="4" t="s">
        <v>213</v>
      </c>
      <c r="I1699" s="4" t="s">
        <v>49</v>
      </c>
      <c r="J1699" s="4" t="n">
        <f aca="false">INDEX('Master List'!$G$2:$G$2594,K1699)</f>
        <v>0</v>
      </c>
      <c r="K1699" s="4" t="n">
        <v>2416</v>
      </c>
    </row>
    <row r="1700" customFormat="false" ht="15" hidden="false" customHeight="false" outlineLevel="0" collapsed="false">
      <c r="A1700" s="4" t="n">
        <v>1699</v>
      </c>
      <c r="B1700" s="4" t="s">
        <v>2603</v>
      </c>
      <c r="C1700" s="4" t="n">
        <v>1995</v>
      </c>
      <c r="D1700" s="4" t="s">
        <v>718</v>
      </c>
      <c r="E1700" s="25" t="str">
        <f aca="false">IF(J1700=1,"✓","")</f>
        <v/>
      </c>
      <c r="F1700" s="4" t="n">
        <v>2</v>
      </c>
      <c r="G1700" s="4" t="n">
        <v>1</v>
      </c>
      <c r="H1700" s="4" t="s">
        <v>213</v>
      </c>
      <c r="I1700" s="4" t="s">
        <v>50</v>
      </c>
      <c r="J1700" s="4" t="n">
        <f aca="false">INDEX('Master List'!$G$2:$G$2594,K1700)</f>
        <v>0</v>
      </c>
      <c r="K1700" s="4" t="n">
        <v>1954</v>
      </c>
    </row>
    <row r="1701" customFormat="false" ht="15" hidden="false" customHeight="false" outlineLevel="0" collapsed="false">
      <c r="A1701" s="4" t="n">
        <v>1700</v>
      </c>
      <c r="B1701" s="4" t="s">
        <v>2604</v>
      </c>
      <c r="C1701" s="4" t="n">
        <v>1995</v>
      </c>
      <c r="D1701" s="4" t="s">
        <v>1205</v>
      </c>
      <c r="E1701" s="25" t="str">
        <f aca="false">IF(J1701=1,"✓","")</f>
        <v/>
      </c>
      <c r="F1701" s="4" t="n">
        <v>2</v>
      </c>
      <c r="G1701" s="4" t="n">
        <v>1</v>
      </c>
      <c r="H1701" s="4" t="s">
        <v>213</v>
      </c>
      <c r="I1701" s="4" t="s">
        <v>51</v>
      </c>
      <c r="J1701" s="4" t="n">
        <f aca="false">INDEX('Master List'!$G$2:$G$2594,K1701)</f>
        <v>0</v>
      </c>
      <c r="K1701" s="4" t="n">
        <v>1400</v>
      </c>
    </row>
    <row r="1702" customFormat="false" ht="15" hidden="false" customHeight="false" outlineLevel="0" collapsed="false">
      <c r="A1702" s="4" t="n">
        <v>1701</v>
      </c>
      <c r="B1702" s="4" t="s">
        <v>2605</v>
      </c>
      <c r="C1702" s="4" t="n">
        <v>1995</v>
      </c>
      <c r="D1702" s="4" t="s">
        <v>2606</v>
      </c>
      <c r="E1702" s="25" t="str">
        <f aca="false">IF(J1702=1,"✓","")</f>
        <v/>
      </c>
      <c r="F1702" s="4" t="n">
        <v>2</v>
      </c>
      <c r="G1702" s="4" t="n">
        <v>1</v>
      </c>
      <c r="H1702" s="4" t="s">
        <v>213</v>
      </c>
      <c r="I1702" s="4" t="s">
        <v>51</v>
      </c>
      <c r="J1702" s="4" t="n">
        <f aca="false">INDEX('Master List'!$G$2:$G$2594,K1702)</f>
        <v>0</v>
      </c>
      <c r="K1702" s="4" t="n">
        <v>631</v>
      </c>
    </row>
    <row r="1703" customFormat="false" ht="15" hidden="false" customHeight="false" outlineLevel="0" collapsed="false">
      <c r="A1703" s="4" t="n">
        <v>1702</v>
      </c>
      <c r="B1703" s="4" t="s">
        <v>2607</v>
      </c>
      <c r="C1703" s="4" t="n">
        <v>1995</v>
      </c>
      <c r="D1703" s="4" t="s">
        <v>2608</v>
      </c>
      <c r="E1703" s="25" t="str">
        <f aca="false">IF(J1703=1,"✓","")</f>
        <v/>
      </c>
      <c r="F1703" s="4" t="n">
        <v>2</v>
      </c>
      <c r="G1703" s="4" t="n">
        <v>1</v>
      </c>
      <c r="H1703" s="4" t="s">
        <v>213</v>
      </c>
      <c r="I1703" s="4" t="s">
        <v>51</v>
      </c>
      <c r="J1703" s="4" t="n">
        <f aca="false">INDEX('Master List'!$G$2:$G$2594,K1703)</f>
        <v>0</v>
      </c>
      <c r="K1703" s="4" t="n">
        <v>2500</v>
      </c>
    </row>
    <row r="1704" customFormat="false" ht="15" hidden="false" customHeight="false" outlineLevel="0" collapsed="false">
      <c r="A1704" s="4" t="n">
        <v>1703</v>
      </c>
      <c r="B1704" s="4" t="s">
        <v>2609</v>
      </c>
      <c r="C1704" s="4" t="n">
        <v>1995</v>
      </c>
      <c r="D1704" s="4" t="s">
        <v>2610</v>
      </c>
      <c r="E1704" s="25" t="str">
        <f aca="false">IF(J1704=1,"✓","")</f>
        <v/>
      </c>
      <c r="F1704" s="4" t="n">
        <v>2</v>
      </c>
      <c r="G1704" s="4" t="n">
        <v>1</v>
      </c>
      <c r="H1704" s="4" t="s">
        <v>213</v>
      </c>
      <c r="I1704" s="4" t="s">
        <v>52</v>
      </c>
      <c r="J1704" s="4" t="n">
        <f aca="false">INDEX('Master List'!$G$2:$G$2594,K1704)</f>
        <v>0</v>
      </c>
      <c r="K1704" s="4" t="n">
        <v>620</v>
      </c>
    </row>
    <row r="1705" customFormat="false" ht="15" hidden="false" customHeight="false" outlineLevel="0" collapsed="false">
      <c r="A1705" s="4" t="n">
        <v>1704</v>
      </c>
      <c r="B1705" s="4" t="s">
        <v>2611</v>
      </c>
      <c r="C1705" s="4" t="n">
        <v>1995</v>
      </c>
      <c r="D1705" s="4" t="s">
        <v>2612</v>
      </c>
      <c r="E1705" s="25" t="str">
        <f aca="false">IF(J1705=1,"✓","")</f>
        <v/>
      </c>
      <c r="F1705" s="4" t="n">
        <v>2</v>
      </c>
      <c r="G1705" s="4" t="n">
        <v>1</v>
      </c>
      <c r="H1705" s="4" t="s">
        <v>213</v>
      </c>
      <c r="I1705" s="4" t="s">
        <v>52</v>
      </c>
      <c r="J1705" s="4" t="n">
        <f aca="false">INDEX('Master List'!$G$2:$G$2594,K1705)</f>
        <v>0</v>
      </c>
      <c r="K1705" s="4" t="n">
        <v>488</v>
      </c>
    </row>
    <row r="1706" customFormat="false" ht="15" hidden="false" customHeight="false" outlineLevel="0" collapsed="false">
      <c r="A1706" s="4" t="n">
        <v>1705</v>
      </c>
      <c r="B1706" s="4" t="s">
        <v>2613</v>
      </c>
      <c r="C1706" s="4" t="n">
        <v>1995</v>
      </c>
      <c r="D1706" s="4" t="s">
        <v>2614</v>
      </c>
      <c r="E1706" s="25" t="str">
        <f aca="false">IF(J1706=1,"✓","")</f>
        <v/>
      </c>
      <c r="F1706" s="4" t="n">
        <v>2</v>
      </c>
      <c r="G1706" s="4" t="n">
        <v>1</v>
      </c>
      <c r="H1706" s="4" t="s">
        <v>213</v>
      </c>
      <c r="I1706" s="4" t="s">
        <v>54</v>
      </c>
      <c r="J1706" s="4" t="n">
        <f aca="false">INDEX('Master List'!$G$2:$G$2594,K1706)</f>
        <v>0</v>
      </c>
      <c r="K1706" s="4" t="n">
        <v>418</v>
      </c>
    </row>
    <row r="1707" customFormat="false" ht="15" hidden="false" customHeight="false" outlineLevel="0" collapsed="false">
      <c r="A1707" s="4" t="n">
        <v>1706</v>
      </c>
      <c r="B1707" s="4" t="s">
        <v>2615</v>
      </c>
      <c r="C1707" s="4" t="n">
        <v>1995</v>
      </c>
      <c r="D1707" s="4" t="s">
        <v>816</v>
      </c>
      <c r="E1707" s="25" t="str">
        <f aca="false">IF(J1707=1,"✓","")</f>
        <v/>
      </c>
      <c r="F1707" s="4" t="n">
        <v>2</v>
      </c>
      <c r="G1707" s="4" t="n">
        <v>1</v>
      </c>
      <c r="H1707" s="4" t="s">
        <v>213</v>
      </c>
      <c r="I1707" s="4" t="s">
        <v>55</v>
      </c>
      <c r="J1707" s="4" t="n">
        <f aca="false">INDEX('Master List'!$G$2:$G$2594,K1707)</f>
        <v>0</v>
      </c>
      <c r="K1707" s="4" t="n">
        <v>1620</v>
      </c>
    </row>
    <row r="1708" customFormat="false" ht="15" hidden="false" customHeight="false" outlineLevel="0" collapsed="false">
      <c r="A1708" s="4" t="n">
        <v>1707</v>
      </c>
      <c r="B1708" s="4" t="s">
        <v>2616</v>
      </c>
      <c r="C1708" s="4" t="n">
        <v>1995</v>
      </c>
      <c r="D1708" s="4" t="s">
        <v>827</v>
      </c>
      <c r="E1708" s="25" t="str">
        <f aca="false">IF(J1708=1,"✓","")</f>
        <v/>
      </c>
      <c r="F1708" s="4" t="n">
        <v>2</v>
      </c>
      <c r="G1708" s="4" t="n">
        <v>1</v>
      </c>
      <c r="H1708" s="4" t="s">
        <v>213</v>
      </c>
      <c r="I1708" s="4" t="s">
        <v>55</v>
      </c>
      <c r="J1708" s="4" t="n">
        <f aca="false">INDEX('Master List'!$G$2:$G$2594,K1708)</f>
        <v>0</v>
      </c>
      <c r="K1708" s="4" t="n">
        <v>2316</v>
      </c>
    </row>
    <row r="1709" customFormat="false" ht="15" hidden="false" customHeight="false" outlineLevel="0" collapsed="false">
      <c r="A1709" s="4" t="n">
        <v>1708</v>
      </c>
      <c r="B1709" s="4" t="s">
        <v>2617</v>
      </c>
      <c r="C1709" s="4" t="n">
        <v>1995</v>
      </c>
      <c r="D1709" s="4" t="s">
        <v>367</v>
      </c>
      <c r="E1709" s="25" t="str">
        <f aca="false">IF(J1709=1,"✓","")</f>
        <v/>
      </c>
      <c r="F1709" s="4" t="n">
        <v>2</v>
      </c>
      <c r="G1709" s="4" t="n">
        <v>1</v>
      </c>
      <c r="H1709" s="4" t="s">
        <v>213</v>
      </c>
      <c r="I1709" s="4" t="s">
        <v>55</v>
      </c>
      <c r="J1709" s="4" t="n">
        <f aca="false">INDEX('Master List'!$G$2:$G$2594,K1709)</f>
        <v>0</v>
      </c>
      <c r="K1709" s="4" t="n">
        <v>4</v>
      </c>
    </row>
    <row r="1710" customFormat="false" ht="15" hidden="false" customHeight="false" outlineLevel="0" collapsed="false">
      <c r="A1710" s="4" t="n">
        <v>1709</v>
      </c>
      <c r="B1710" s="4" t="s">
        <v>2618</v>
      </c>
      <c r="C1710" s="4" t="n">
        <v>1995</v>
      </c>
      <c r="D1710" s="4" t="s">
        <v>2619</v>
      </c>
      <c r="E1710" s="25" t="str">
        <f aca="false">IF(J1710=1,"✓","")</f>
        <v/>
      </c>
      <c r="F1710" s="4" t="n">
        <v>2</v>
      </c>
      <c r="G1710" s="4" t="n">
        <v>1</v>
      </c>
      <c r="H1710" s="4" t="s">
        <v>213</v>
      </c>
      <c r="I1710" s="4" t="s">
        <v>55</v>
      </c>
      <c r="J1710" s="4" t="n">
        <f aca="false">INDEX('Master List'!$G$2:$G$2594,K1710)</f>
        <v>0</v>
      </c>
      <c r="K1710" s="4" t="n">
        <v>974</v>
      </c>
    </row>
    <row r="1711" customFormat="false" ht="15" hidden="false" customHeight="false" outlineLevel="0" collapsed="false">
      <c r="A1711" s="4" t="n">
        <v>1710</v>
      </c>
      <c r="B1711" s="4" t="s">
        <v>2620</v>
      </c>
      <c r="C1711" s="4" t="n">
        <v>1995</v>
      </c>
      <c r="D1711" s="4" t="s">
        <v>2621</v>
      </c>
      <c r="E1711" s="25" t="str">
        <f aca="false">IF(J1711=1,"✓","")</f>
        <v/>
      </c>
      <c r="F1711" s="4" t="n">
        <v>2</v>
      </c>
      <c r="G1711" s="4" t="n">
        <v>1</v>
      </c>
      <c r="H1711" s="4" t="s">
        <v>213</v>
      </c>
      <c r="I1711" s="4" t="s">
        <v>55</v>
      </c>
      <c r="J1711" s="4" t="n">
        <f aca="false">INDEX('Master List'!$G$2:$G$2594,K1711)</f>
        <v>0</v>
      </c>
      <c r="K1711" s="4" t="n">
        <v>1361</v>
      </c>
    </row>
    <row r="1712" customFormat="false" ht="15" hidden="false" customHeight="false" outlineLevel="0" collapsed="false">
      <c r="A1712" s="4" t="n">
        <v>1711</v>
      </c>
      <c r="B1712" s="4" t="s">
        <v>2622</v>
      </c>
      <c r="C1712" s="4" t="n">
        <v>1995</v>
      </c>
      <c r="D1712" s="4" t="s">
        <v>2394</v>
      </c>
      <c r="E1712" s="25" t="str">
        <f aca="false">IF(J1712=1,"✓","")</f>
        <v/>
      </c>
      <c r="F1712" s="4" t="n">
        <v>2</v>
      </c>
      <c r="G1712" s="4" t="n">
        <v>1</v>
      </c>
      <c r="H1712" s="4" t="s">
        <v>213</v>
      </c>
      <c r="I1712" s="4" t="s">
        <v>56</v>
      </c>
      <c r="J1712" s="4" t="n">
        <f aca="false">INDEX('Master List'!$G$2:$G$2594,K1712)</f>
        <v>0</v>
      </c>
      <c r="K1712" s="4" t="n">
        <v>1599</v>
      </c>
    </row>
    <row r="1713" customFormat="false" ht="15" hidden="false" customHeight="false" outlineLevel="0" collapsed="false">
      <c r="A1713" s="4" t="n">
        <v>1712</v>
      </c>
      <c r="B1713" s="4" t="s">
        <v>2623</v>
      </c>
      <c r="C1713" s="4" t="n">
        <v>1995</v>
      </c>
      <c r="D1713" s="4" t="s">
        <v>2624</v>
      </c>
      <c r="E1713" s="25" t="str">
        <f aca="false">IF(J1713=1,"✓","")</f>
        <v/>
      </c>
      <c r="F1713" s="4" t="n">
        <v>2</v>
      </c>
      <c r="G1713" s="4" t="n">
        <v>1</v>
      </c>
      <c r="H1713" s="4" t="s">
        <v>213</v>
      </c>
      <c r="I1713" s="4" t="s">
        <v>56</v>
      </c>
      <c r="J1713" s="4" t="n">
        <f aca="false">INDEX('Master List'!$G$2:$G$2594,K1713)</f>
        <v>0</v>
      </c>
      <c r="K1713" s="4" t="n">
        <v>841</v>
      </c>
    </row>
    <row r="1714" customFormat="false" ht="15" hidden="false" customHeight="false" outlineLevel="0" collapsed="false">
      <c r="A1714" s="4" t="n">
        <v>1713</v>
      </c>
      <c r="B1714" s="4" t="s">
        <v>2625</v>
      </c>
      <c r="C1714" s="4" t="n">
        <v>1995</v>
      </c>
      <c r="D1714" s="4" t="s">
        <v>2426</v>
      </c>
      <c r="E1714" s="25" t="str">
        <f aca="false">IF(J1714=1,"✓","")</f>
        <v/>
      </c>
      <c r="F1714" s="4" t="n">
        <v>2</v>
      </c>
      <c r="G1714" s="4" t="n">
        <v>1</v>
      </c>
      <c r="H1714" s="4" t="s">
        <v>213</v>
      </c>
      <c r="I1714" s="4" t="s">
        <v>56</v>
      </c>
      <c r="J1714" s="4" t="n">
        <f aca="false">INDEX('Master List'!$G$2:$G$2594,K1714)</f>
        <v>0</v>
      </c>
      <c r="K1714" s="4" t="n">
        <v>540</v>
      </c>
    </row>
    <row r="1715" customFormat="false" ht="15" hidden="false" customHeight="false" outlineLevel="0" collapsed="false">
      <c r="A1715" s="4" t="n">
        <v>1714</v>
      </c>
      <c r="B1715" s="4" t="s">
        <v>2626</v>
      </c>
      <c r="C1715" s="4" t="n">
        <v>1995</v>
      </c>
      <c r="D1715" s="4" t="s">
        <v>2627</v>
      </c>
      <c r="E1715" s="25" t="str">
        <f aca="false">IF(J1715=1,"✓","")</f>
        <v/>
      </c>
      <c r="F1715" s="4" t="n">
        <v>2</v>
      </c>
      <c r="G1715" s="4" t="n">
        <v>1</v>
      </c>
      <c r="H1715" s="4" t="s">
        <v>213</v>
      </c>
      <c r="I1715" s="4" t="s">
        <v>56</v>
      </c>
      <c r="J1715" s="4" t="n">
        <f aca="false">INDEX('Master List'!$G$2:$G$2594,K1715)</f>
        <v>0</v>
      </c>
      <c r="K1715" s="4" t="n">
        <v>875</v>
      </c>
    </row>
    <row r="1716" customFormat="false" ht="15" hidden="false" customHeight="false" outlineLevel="0" collapsed="false">
      <c r="A1716" s="4" t="n">
        <v>1715</v>
      </c>
      <c r="B1716" s="4" t="s">
        <v>2628</v>
      </c>
      <c r="C1716" s="4" t="n">
        <v>1995</v>
      </c>
      <c r="D1716" s="4" t="s">
        <v>2629</v>
      </c>
      <c r="E1716" s="25" t="str">
        <f aca="false">IF(J1716=1,"✓","")</f>
        <v/>
      </c>
      <c r="F1716" s="4" t="n">
        <v>2</v>
      </c>
      <c r="G1716" s="4" t="n">
        <v>1</v>
      </c>
      <c r="H1716" s="4" t="s">
        <v>213</v>
      </c>
      <c r="I1716" s="4" t="s">
        <v>56</v>
      </c>
      <c r="J1716" s="4" t="n">
        <f aca="false">INDEX('Master List'!$G$2:$G$2594,K1716)</f>
        <v>0</v>
      </c>
      <c r="K1716" s="4" t="n">
        <v>1238</v>
      </c>
    </row>
    <row r="1717" customFormat="false" ht="15" hidden="false" customHeight="false" outlineLevel="0" collapsed="false">
      <c r="A1717" s="4" t="n">
        <v>1716</v>
      </c>
      <c r="B1717" s="4" t="s">
        <v>2630</v>
      </c>
      <c r="C1717" s="4" t="n">
        <v>1996</v>
      </c>
      <c r="D1717" s="4" t="s">
        <v>1135</v>
      </c>
      <c r="E1717" s="25" t="str">
        <f aca="false">IF(J1717=1,"✓","")</f>
        <v/>
      </c>
      <c r="F1717" s="4" t="n">
        <v>2</v>
      </c>
      <c r="G1717" s="4" t="n">
        <v>1</v>
      </c>
      <c r="H1717" s="4" t="s">
        <v>213</v>
      </c>
      <c r="I1717" s="4" t="s">
        <v>51</v>
      </c>
      <c r="J1717" s="4" t="n">
        <f aca="false">INDEX('Master List'!$G$2:$G$2594,K1717)</f>
        <v>0</v>
      </c>
      <c r="K1717" s="4" t="n">
        <v>341</v>
      </c>
    </row>
    <row r="1718" customFormat="false" ht="15" hidden="false" customHeight="false" outlineLevel="0" collapsed="false">
      <c r="A1718" s="4" t="n">
        <v>1717</v>
      </c>
      <c r="B1718" s="4" t="s">
        <v>2631</v>
      </c>
      <c r="C1718" s="4" t="n">
        <v>1996</v>
      </c>
      <c r="D1718" s="4" t="s">
        <v>2632</v>
      </c>
      <c r="E1718" s="25" t="str">
        <f aca="false">IF(J1718=1,"✓","")</f>
        <v/>
      </c>
      <c r="F1718" s="4" t="n">
        <v>2</v>
      </c>
      <c r="G1718" s="4" t="n">
        <v>1</v>
      </c>
      <c r="H1718" s="4" t="s">
        <v>213</v>
      </c>
      <c r="I1718" s="4" t="s">
        <v>51</v>
      </c>
      <c r="J1718" s="4" t="n">
        <f aca="false">INDEX('Master List'!$G$2:$G$2594,K1718)</f>
        <v>0</v>
      </c>
      <c r="K1718" s="4" t="n">
        <v>1520</v>
      </c>
    </row>
    <row r="1719" customFormat="false" ht="15" hidden="false" customHeight="false" outlineLevel="0" collapsed="false">
      <c r="A1719" s="4" t="n">
        <v>1718</v>
      </c>
      <c r="B1719" s="4" t="s">
        <v>2633</v>
      </c>
      <c r="C1719" s="4" t="n">
        <v>1996</v>
      </c>
      <c r="D1719" s="4" t="s">
        <v>1280</v>
      </c>
      <c r="E1719" s="25" t="str">
        <f aca="false">IF(J1719=1,"✓","")</f>
        <v/>
      </c>
      <c r="F1719" s="4" t="n">
        <v>2</v>
      </c>
      <c r="G1719" s="4" t="n">
        <v>1</v>
      </c>
      <c r="H1719" s="4" t="s">
        <v>213</v>
      </c>
      <c r="I1719" s="4" t="s">
        <v>52</v>
      </c>
      <c r="J1719" s="4" t="n">
        <f aca="false">INDEX('Master List'!$G$2:$G$2594,K1719)</f>
        <v>0</v>
      </c>
      <c r="K1719" s="4" t="n">
        <v>1371</v>
      </c>
    </row>
    <row r="1720" customFormat="false" ht="15" hidden="false" customHeight="false" outlineLevel="0" collapsed="false">
      <c r="A1720" s="4" t="n">
        <v>1719</v>
      </c>
      <c r="B1720" s="4" t="s">
        <v>2634</v>
      </c>
      <c r="C1720" s="4" t="n">
        <v>1996</v>
      </c>
      <c r="D1720" s="4" t="s">
        <v>1496</v>
      </c>
      <c r="E1720" s="25" t="str">
        <f aca="false">IF(J1720=1,"✓","")</f>
        <v/>
      </c>
      <c r="F1720" s="4" t="n">
        <v>2</v>
      </c>
      <c r="G1720" s="4" t="n">
        <v>1</v>
      </c>
      <c r="H1720" s="4" t="s">
        <v>213</v>
      </c>
      <c r="I1720" s="4" t="s">
        <v>52</v>
      </c>
      <c r="J1720" s="4" t="n">
        <f aca="false">INDEX('Master List'!$G$2:$G$2594,K1720)</f>
        <v>0</v>
      </c>
      <c r="K1720" s="4" t="n">
        <v>1994</v>
      </c>
    </row>
    <row r="1721" customFormat="false" ht="15" hidden="false" customHeight="false" outlineLevel="0" collapsed="false">
      <c r="A1721" s="4" t="n">
        <v>1720</v>
      </c>
      <c r="B1721" s="4" t="s">
        <v>2635</v>
      </c>
      <c r="C1721" s="4" t="n">
        <v>1996</v>
      </c>
      <c r="D1721" s="4" t="s">
        <v>2636</v>
      </c>
      <c r="E1721" s="25" t="str">
        <f aca="false">IF(J1721=1,"✓","")</f>
        <v/>
      </c>
      <c r="F1721" s="4" t="n">
        <v>2</v>
      </c>
      <c r="G1721" s="4" t="n">
        <v>1</v>
      </c>
      <c r="H1721" s="4" t="s">
        <v>213</v>
      </c>
      <c r="I1721" s="4" t="s">
        <v>52</v>
      </c>
      <c r="J1721" s="4" t="n">
        <f aca="false">INDEX('Master List'!$G$2:$G$2594,K1721)</f>
        <v>0</v>
      </c>
      <c r="K1721" s="4" t="n">
        <v>2451</v>
      </c>
    </row>
    <row r="1722" customFormat="false" ht="15" hidden="false" customHeight="false" outlineLevel="0" collapsed="false">
      <c r="A1722" s="4" t="n">
        <v>1721</v>
      </c>
      <c r="B1722" s="4" t="s">
        <v>2637</v>
      </c>
      <c r="C1722" s="4" t="n">
        <v>1996</v>
      </c>
      <c r="D1722" s="4" t="s">
        <v>848</v>
      </c>
      <c r="E1722" s="25" t="str">
        <f aca="false">IF(J1722=1,"✓","")</f>
        <v/>
      </c>
      <c r="F1722" s="4" t="n">
        <v>2</v>
      </c>
      <c r="G1722" s="4" t="n">
        <v>1</v>
      </c>
      <c r="H1722" s="4" t="s">
        <v>213</v>
      </c>
      <c r="I1722" s="4" t="s">
        <v>52</v>
      </c>
      <c r="J1722" s="4" t="n">
        <f aca="false">INDEX('Master List'!$G$2:$G$2594,K1722)</f>
        <v>0</v>
      </c>
      <c r="K1722" s="4" t="n">
        <v>323</v>
      </c>
    </row>
    <row r="1723" customFormat="false" ht="15" hidden="false" customHeight="false" outlineLevel="0" collapsed="false">
      <c r="A1723" s="4" t="n">
        <v>1722</v>
      </c>
      <c r="B1723" s="4" t="s">
        <v>2638</v>
      </c>
      <c r="C1723" s="4" t="n">
        <v>1996</v>
      </c>
      <c r="D1723" s="4" t="s">
        <v>488</v>
      </c>
      <c r="E1723" s="25" t="str">
        <f aca="false">IF(J1723=1,"✓","")</f>
        <v/>
      </c>
      <c r="F1723" s="4" t="n">
        <v>2</v>
      </c>
      <c r="G1723" s="4" t="n">
        <v>1</v>
      </c>
      <c r="H1723" s="4" t="s">
        <v>213</v>
      </c>
      <c r="I1723" s="4" t="s">
        <v>53</v>
      </c>
      <c r="J1723" s="4" t="n">
        <f aca="false">INDEX('Master List'!$G$2:$G$2594,K1723)</f>
        <v>0</v>
      </c>
      <c r="K1723" s="4" t="n">
        <v>1514</v>
      </c>
    </row>
    <row r="1724" customFormat="false" ht="15" hidden="false" customHeight="false" outlineLevel="0" collapsed="false">
      <c r="A1724" s="4" t="n">
        <v>1723</v>
      </c>
      <c r="B1724" s="4" t="s">
        <v>2639</v>
      </c>
      <c r="C1724" s="4" t="n">
        <v>1996</v>
      </c>
      <c r="D1724" s="4" t="s">
        <v>316</v>
      </c>
      <c r="E1724" s="25" t="str">
        <f aca="false">IF(J1724=1,"✓","")</f>
        <v/>
      </c>
      <c r="F1724" s="4" t="n">
        <v>2</v>
      </c>
      <c r="G1724" s="4" t="n">
        <v>1</v>
      </c>
      <c r="H1724" s="4" t="s">
        <v>213</v>
      </c>
      <c r="I1724" s="4" t="s">
        <v>53</v>
      </c>
      <c r="J1724" s="4" t="n">
        <f aca="false">INDEX('Master List'!$G$2:$G$2594,K1724)</f>
        <v>0</v>
      </c>
      <c r="K1724" s="4" t="n">
        <v>527</v>
      </c>
    </row>
    <row r="1725" customFormat="false" ht="15" hidden="false" customHeight="false" outlineLevel="0" collapsed="false">
      <c r="A1725" s="4" t="n">
        <v>1724</v>
      </c>
      <c r="B1725" s="4" t="s">
        <v>2640</v>
      </c>
      <c r="C1725" s="4" t="n">
        <v>1996</v>
      </c>
      <c r="D1725" s="4" t="s">
        <v>320</v>
      </c>
      <c r="E1725" s="25" t="str">
        <f aca="false">IF(J1725=1,"✓","")</f>
        <v/>
      </c>
      <c r="F1725" s="4" t="n">
        <v>2</v>
      </c>
      <c r="G1725" s="4" t="n">
        <v>1</v>
      </c>
      <c r="H1725" s="4" t="s">
        <v>213</v>
      </c>
      <c r="I1725" s="4" t="s">
        <v>53</v>
      </c>
      <c r="J1725" s="4" t="n">
        <f aca="false">INDEX('Master List'!$G$2:$G$2594,K1725)</f>
        <v>0</v>
      </c>
      <c r="K1725" s="4" t="n">
        <v>2192</v>
      </c>
    </row>
    <row r="1726" customFormat="false" ht="15" hidden="false" customHeight="false" outlineLevel="0" collapsed="false">
      <c r="A1726" s="4" t="n">
        <v>1725</v>
      </c>
      <c r="B1726" s="4" t="s">
        <v>2641</v>
      </c>
      <c r="C1726" s="4" t="n">
        <v>1996</v>
      </c>
      <c r="D1726" s="4" t="s">
        <v>274</v>
      </c>
      <c r="E1726" s="25" t="str">
        <f aca="false">IF(J1726=1,"✓","")</f>
        <v>✓</v>
      </c>
      <c r="F1726" s="4" t="n">
        <v>2</v>
      </c>
      <c r="G1726" s="4" t="n">
        <v>1</v>
      </c>
      <c r="H1726" s="4" t="s">
        <v>213</v>
      </c>
      <c r="I1726" s="4" t="s">
        <v>53</v>
      </c>
      <c r="J1726" s="4" t="n">
        <f aca="false">INDEX('Master List'!$G$2:$G$2594,K1726)</f>
        <v>1</v>
      </c>
      <c r="K1726" s="4" t="n">
        <v>321</v>
      </c>
    </row>
    <row r="1727" customFormat="false" ht="15" hidden="false" customHeight="false" outlineLevel="0" collapsed="false">
      <c r="A1727" s="4" t="n">
        <v>1726</v>
      </c>
      <c r="B1727" s="4" t="s">
        <v>2642</v>
      </c>
      <c r="C1727" s="4" t="n">
        <v>1996</v>
      </c>
      <c r="D1727" s="4" t="s">
        <v>419</v>
      </c>
      <c r="E1727" s="25" t="str">
        <f aca="false">IF(J1727=1,"✓","")</f>
        <v/>
      </c>
      <c r="F1727" s="4" t="n">
        <v>2</v>
      </c>
      <c r="G1727" s="4" t="n">
        <v>1</v>
      </c>
      <c r="H1727" s="4" t="s">
        <v>213</v>
      </c>
      <c r="I1727" s="4" t="s">
        <v>53</v>
      </c>
      <c r="J1727" s="4" t="n">
        <f aca="false">INDEX('Master List'!$G$2:$G$2594,K1727)</f>
        <v>0</v>
      </c>
      <c r="K1727" s="4" t="n">
        <v>2198</v>
      </c>
    </row>
    <row r="1728" customFormat="false" ht="15" hidden="false" customHeight="false" outlineLevel="0" collapsed="false">
      <c r="A1728" s="4" t="n">
        <v>1727</v>
      </c>
      <c r="B1728" s="4" t="s">
        <v>2643</v>
      </c>
      <c r="C1728" s="4" t="n">
        <v>1996</v>
      </c>
      <c r="D1728" s="4" t="s">
        <v>262</v>
      </c>
      <c r="E1728" s="25" t="str">
        <f aca="false">IF(J1728=1,"✓","")</f>
        <v/>
      </c>
      <c r="F1728" s="4" t="n">
        <v>2</v>
      </c>
      <c r="G1728" s="4" t="n">
        <v>1</v>
      </c>
      <c r="H1728" s="4" t="s">
        <v>213</v>
      </c>
      <c r="I1728" s="4" t="s">
        <v>53</v>
      </c>
      <c r="J1728" s="4" t="n">
        <f aca="false">INDEX('Master List'!$G$2:$G$2594,K1728)</f>
        <v>0</v>
      </c>
      <c r="K1728" s="4" t="n">
        <v>1592</v>
      </c>
    </row>
    <row r="1729" customFormat="false" ht="15" hidden="false" customHeight="false" outlineLevel="0" collapsed="false">
      <c r="A1729" s="4" t="n">
        <v>1728</v>
      </c>
      <c r="B1729" s="4" t="s">
        <v>2644</v>
      </c>
      <c r="C1729" s="4" t="n">
        <v>1996</v>
      </c>
      <c r="D1729" s="4" t="s">
        <v>1155</v>
      </c>
      <c r="E1729" s="25" t="str">
        <f aca="false">IF(J1729=1,"✓","")</f>
        <v/>
      </c>
      <c r="F1729" s="4" t="n">
        <v>2</v>
      </c>
      <c r="G1729" s="4" t="n">
        <v>1</v>
      </c>
      <c r="H1729" s="4" t="s">
        <v>213</v>
      </c>
      <c r="I1729" s="4" t="s">
        <v>53</v>
      </c>
      <c r="J1729" s="4" t="n">
        <f aca="false">INDEX('Master List'!$G$2:$G$2594,K1729)</f>
        <v>0</v>
      </c>
      <c r="K1729" s="4" t="n">
        <v>678</v>
      </c>
    </row>
    <row r="1730" customFormat="false" ht="15" hidden="false" customHeight="false" outlineLevel="0" collapsed="false">
      <c r="A1730" s="4" t="n">
        <v>1729</v>
      </c>
      <c r="B1730" s="4" t="s">
        <v>2645</v>
      </c>
      <c r="C1730" s="4" t="n">
        <v>1996</v>
      </c>
      <c r="D1730" s="4" t="s">
        <v>1628</v>
      </c>
      <c r="E1730" s="25" t="str">
        <f aca="false">IF(J1730=1,"✓","")</f>
        <v/>
      </c>
      <c r="F1730" s="4" t="n">
        <v>2</v>
      </c>
      <c r="G1730" s="4" t="n">
        <v>1</v>
      </c>
      <c r="H1730" s="4" t="s">
        <v>213</v>
      </c>
      <c r="I1730" s="4" t="s">
        <v>53</v>
      </c>
      <c r="J1730" s="4" t="n">
        <f aca="false">INDEX('Master List'!$G$2:$G$2594,K1730)</f>
        <v>0</v>
      </c>
      <c r="K1730" s="4" t="n">
        <v>570</v>
      </c>
    </row>
    <row r="1731" customFormat="false" ht="15" hidden="false" customHeight="false" outlineLevel="0" collapsed="false">
      <c r="A1731" s="4" t="n">
        <v>1730</v>
      </c>
      <c r="B1731" s="4" t="s">
        <v>2646</v>
      </c>
      <c r="C1731" s="4" t="n">
        <v>1996</v>
      </c>
      <c r="D1731" s="4" t="s">
        <v>357</v>
      </c>
      <c r="E1731" s="25" t="str">
        <f aca="false">IF(J1731=1,"✓","")</f>
        <v>✓</v>
      </c>
      <c r="F1731" s="4" t="n">
        <v>2</v>
      </c>
      <c r="G1731" s="4" t="n">
        <v>1</v>
      </c>
      <c r="H1731" s="4" t="s">
        <v>213</v>
      </c>
      <c r="I1731" s="4" t="s">
        <v>53</v>
      </c>
      <c r="J1731" s="4" t="n">
        <f aca="false">INDEX('Master List'!$G$2:$G$2594,K1731)</f>
        <v>1</v>
      </c>
      <c r="K1731" s="4" t="n">
        <v>255</v>
      </c>
    </row>
    <row r="1732" customFormat="false" ht="15" hidden="false" customHeight="false" outlineLevel="0" collapsed="false">
      <c r="A1732" s="4" t="n">
        <v>1731</v>
      </c>
      <c r="B1732" s="4" t="s">
        <v>2647</v>
      </c>
      <c r="C1732" s="4" t="n">
        <v>1996</v>
      </c>
      <c r="D1732" s="4" t="s">
        <v>2648</v>
      </c>
      <c r="E1732" s="25" t="str">
        <f aca="false">IF(J1732=1,"✓","")</f>
        <v/>
      </c>
      <c r="F1732" s="4" t="n">
        <v>2</v>
      </c>
      <c r="G1732" s="4" t="n">
        <v>1</v>
      </c>
      <c r="H1732" s="4" t="s">
        <v>213</v>
      </c>
      <c r="I1732" s="4" t="s">
        <v>54</v>
      </c>
      <c r="J1732" s="4" t="n">
        <f aca="false">INDEX('Master List'!$G$2:$G$2594,K1732)</f>
        <v>0</v>
      </c>
      <c r="K1732" s="4" t="n">
        <v>2469</v>
      </c>
    </row>
    <row r="1733" customFormat="false" ht="15" hidden="false" customHeight="false" outlineLevel="0" collapsed="false">
      <c r="A1733" s="4" t="n">
        <v>1732</v>
      </c>
      <c r="B1733" s="4" t="s">
        <v>2649</v>
      </c>
      <c r="C1733" s="4" t="n">
        <v>1996</v>
      </c>
      <c r="D1733" s="4" t="s">
        <v>2650</v>
      </c>
      <c r="E1733" s="25" t="str">
        <f aca="false">IF(J1733=1,"✓","")</f>
        <v/>
      </c>
      <c r="F1733" s="4" t="n">
        <v>2</v>
      </c>
      <c r="G1733" s="4" t="n">
        <v>1</v>
      </c>
      <c r="H1733" s="4" t="s">
        <v>213</v>
      </c>
      <c r="I1733" s="4" t="s">
        <v>55</v>
      </c>
      <c r="J1733" s="4" t="n">
        <f aca="false">INDEX('Master List'!$G$2:$G$2594,K1733)</f>
        <v>0</v>
      </c>
      <c r="K1733" s="4" t="n">
        <v>1810</v>
      </c>
    </row>
    <row r="1734" customFormat="false" ht="15" hidden="false" customHeight="false" outlineLevel="0" collapsed="false">
      <c r="A1734" s="4" t="n">
        <v>1733</v>
      </c>
      <c r="B1734" s="4" t="s">
        <v>2651</v>
      </c>
      <c r="C1734" s="4" t="n">
        <v>1996</v>
      </c>
      <c r="D1734" s="4" t="s">
        <v>1376</v>
      </c>
      <c r="E1734" s="25" t="str">
        <f aca="false">IF(J1734=1,"✓","")</f>
        <v/>
      </c>
      <c r="F1734" s="4" t="n">
        <v>2</v>
      </c>
      <c r="G1734" s="4" t="n">
        <v>1</v>
      </c>
      <c r="H1734" s="4" t="s">
        <v>213</v>
      </c>
      <c r="I1734" s="4" t="s">
        <v>55</v>
      </c>
      <c r="J1734" s="4" t="n">
        <f aca="false">INDEX('Master List'!$G$2:$G$2594,K1734)</f>
        <v>0</v>
      </c>
      <c r="K1734" s="4" t="n">
        <v>1203</v>
      </c>
    </row>
    <row r="1735" customFormat="false" ht="15" hidden="false" customHeight="false" outlineLevel="0" collapsed="false">
      <c r="A1735" s="4" t="n">
        <v>1734</v>
      </c>
      <c r="B1735" s="4" t="s">
        <v>2652</v>
      </c>
      <c r="C1735" s="4" t="n">
        <v>1996</v>
      </c>
      <c r="D1735" s="4" t="s">
        <v>2653</v>
      </c>
      <c r="E1735" s="25" t="str">
        <f aca="false">IF(J1735=1,"✓","")</f>
        <v>✓</v>
      </c>
      <c r="F1735" s="4" t="n">
        <v>2</v>
      </c>
      <c r="G1735" s="4" t="n">
        <v>1</v>
      </c>
      <c r="H1735" s="4" t="s">
        <v>213</v>
      </c>
      <c r="I1735" s="4" t="s">
        <v>55</v>
      </c>
      <c r="J1735" s="4" t="n">
        <f aca="false">INDEX('Master List'!$G$2:$G$2594,K1735)</f>
        <v>1</v>
      </c>
      <c r="K1735" s="4" t="n">
        <v>2262</v>
      </c>
    </row>
    <row r="1736" customFormat="false" ht="15" hidden="false" customHeight="false" outlineLevel="0" collapsed="false">
      <c r="A1736" s="4" t="n">
        <v>1735</v>
      </c>
      <c r="B1736" s="4" t="s">
        <v>2654</v>
      </c>
      <c r="C1736" s="4" t="n">
        <v>1996</v>
      </c>
      <c r="D1736" s="4" t="s">
        <v>2655</v>
      </c>
      <c r="E1736" s="25" t="str">
        <f aca="false">IF(J1736=1,"✓","")</f>
        <v/>
      </c>
      <c r="F1736" s="4" t="n">
        <v>2</v>
      </c>
      <c r="G1736" s="4" t="n">
        <v>1</v>
      </c>
      <c r="H1736" s="4" t="s">
        <v>213</v>
      </c>
      <c r="I1736" s="4" t="s">
        <v>55</v>
      </c>
      <c r="J1736" s="4" t="n">
        <f aca="false">INDEX('Master List'!$G$2:$G$2594,K1736)</f>
        <v>0</v>
      </c>
      <c r="K1736" s="4" t="n">
        <v>245</v>
      </c>
    </row>
    <row r="1737" customFormat="false" ht="15" hidden="false" customHeight="false" outlineLevel="0" collapsed="false">
      <c r="A1737" s="4" t="n">
        <v>1736</v>
      </c>
      <c r="B1737" s="4" t="s">
        <v>2656</v>
      </c>
      <c r="C1737" s="4" t="n">
        <v>1996</v>
      </c>
      <c r="D1737" s="4" t="s">
        <v>2585</v>
      </c>
      <c r="E1737" s="25" t="str">
        <f aca="false">IF(J1737=1,"✓","")</f>
        <v>✓</v>
      </c>
      <c r="F1737" s="4" t="n">
        <v>2</v>
      </c>
      <c r="G1737" s="4" t="n">
        <v>1</v>
      </c>
      <c r="H1737" s="4" t="s">
        <v>213</v>
      </c>
      <c r="I1737" s="4" t="s">
        <v>56</v>
      </c>
      <c r="J1737" s="4" t="n">
        <f aca="false">INDEX('Master List'!$G$2:$G$2594,K1737)</f>
        <v>1</v>
      </c>
      <c r="K1737" s="4" t="n">
        <v>2388</v>
      </c>
    </row>
    <row r="1738" customFormat="false" ht="15" hidden="false" customHeight="false" outlineLevel="0" collapsed="false">
      <c r="A1738" s="4" t="n">
        <v>1737</v>
      </c>
      <c r="B1738" s="4" t="s">
        <v>2657</v>
      </c>
      <c r="C1738" s="4" t="n">
        <v>1996</v>
      </c>
      <c r="D1738" s="4" t="s">
        <v>2658</v>
      </c>
      <c r="E1738" s="25" t="str">
        <f aca="false">IF(J1738=1,"✓","")</f>
        <v/>
      </c>
      <c r="F1738" s="4" t="n">
        <v>2</v>
      </c>
      <c r="G1738" s="4" t="n">
        <v>1</v>
      </c>
      <c r="H1738" s="4" t="s">
        <v>213</v>
      </c>
      <c r="I1738" s="4" t="s">
        <v>56</v>
      </c>
      <c r="J1738" s="4" t="n">
        <f aca="false">INDEX('Master List'!$G$2:$G$2594,K1738)</f>
        <v>0</v>
      </c>
      <c r="K1738" s="4" t="n">
        <v>2094</v>
      </c>
    </row>
    <row r="1739" customFormat="false" ht="15" hidden="false" customHeight="false" outlineLevel="0" collapsed="false">
      <c r="A1739" s="4" t="n">
        <v>1738</v>
      </c>
      <c r="B1739" s="4" t="s">
        <v>2659</v>
      </c>
      <c r="C1739" s="4" t="n">
        <v>1996</v>
      </c>
      <c r="D1739" s="4" t="s">
        <v>1287</v>
      </c>
      <c r="E1739" s="25" t="str">
        <f aca="false">IF(J1739=1,"✓","")</f>
        <v/>
      </c>
      <c r="F1739" s="4" t="n">
        <v>2</v>
      </c>
      <c r="G1739" s="4" t="n">
        <v>1</v>
      </c>
      <c r="H1739" s="4" t="s">
        <v>213</v>
      </c>
      <c r="I1739" s="4" t="s">
        <v>56</v>
      </c>
      <c r="J1739" s="4" t="n">
        <f aca="false">INDEX('Master List'!$G$2:$G$2594,K1739)</f>
        <v>0</v>
      </c>
      <c r="K1739" s="4" t="n">
        <v>2015</v>
      </c>
    </row>
    <row r="1740" customFormat="false" ht="15" hidden="false" customHeight="false" outlineLevel="0" collapsed="false">
      <c r="A1740" s="4" t="n">
        <v>1739</v>
      </c>
      <c r="B1740" s="4" t="s">
        <v>2660</v>
      </c>
      <c r="C1740" s="4" t="n">
        <v>1996</v>
      </c>
      <c r="D1740" s="4" t="s">
        <v>2661</v>
      </c>
      <c r="E1740" s="25" t="str">
        <f aca="false">IF(J1740=1,"✓","")</f>
        <v>✓</v>
      </c>
      <c r="F1740" s="4" t="n">
        <v>2</v>
      </c>
      <c r="G1740" s="4" t="n">
        <v>1</v>
      </c>
      <c r="H1740" s="4" t="s">
        <v>213</v>
      </c>
      <c r="I1740" s="4" t="s">
        <v>56</v>
      </c>
      <c r="J1740" s="4" t="n">
        <f aca="false">INDEX('Master List'!$G$2:$G$2594,K1740)</f>
        <v>1</v>
      </c>
      <c r="K1740" s="4" t="n">
        <v>581</v>
      </c>
    </row>
    <row r="1741" customFormat="false" ht="15" hidden="false" customHeight="false" outlineLevel="0" collapsed="false">
      <c r="A1741" s="4" t="n">
        <v>1740</v>
      </c>
      <c r="B1741" s="4" t="s">
        <v>2662</v>
      </c>
      <c r="C1741" s="4" t="n">
        <v>1996</v>
      </c>
      <c r="D1741" s="4" t="s">
        <v>1161</v>
      </c>
      <c r="E1741" s="25" t="str">
        <f aca="false">IF(J1741=1,"✓","")</f>
        <v>✓</v>
      </c>
      <c r="F1741" s="4" t="n">
        <v>2</v>
      </c>
      <c r="G1741" s="4" t="n">
        <v>1</v>
      </c>
      <c r="H1741" s="4" t="s">
        <v>213</v>
      </c>
      <c r="I1741" s="4" t="s">
        <v>57</v>
      </c>
      <c r="J1741" s="4" t="n">
        <f aca="false">INDEX('Master List'!$G$2:$G$2594,K1741)</f>
        <v>1</v>
      </c>
      <c r="K1741" s="4" t="n">
        <v>2359</v>
      </c>
    </row>
    <row r="1742" customFormat="false" ht="15" hidden="false" customHeight="false" outlineLevel="0" collapsed="false">
      <c r="A1742" s="4" t="n">
        <v>1741</v>
      </c>
      <c r="B1742" s="4" t="s">
        <v>2663</v>
      </c>
      <c r="C1742" s="4" t="n">
        <v>1997</v>
      </c>
      <c r="D1742" s="4" t="s">
        <v>635</v>
      </c>
      <c r="E1742" s="25" t="str">
        <f aca="false">IF(J1742=1,"✓","")</f>
        <v/>
      </c>
      <c r="F1742" s="4" t="n">
        <v>2</v>
      </c>
      <c r="G1742" s="4" t="n">
        <v>1</v>
      </c>
      <c r="H1742" s="4" t="s">
        <v>213</v>
      </c>
      <c r="I1742" s="4" t="s">
        <v>51</v>
      </c>
      <c r="J1742" s="4" t="n">
        <f aca="false">INDEX('Master List'!$G$2:$G$2594,K1742)</f>
        <v>0</v>
      </c>
      <c r="K1742" s="4" t="n">
        <v>1744</v>
      </c>
    </row>
    <row r="1743" customFormat="false" ht="15" hidden="false" customHeight="false" outlineLevel="0" collapsed="false">
      <c r="A1743" s="4" t="n">
        <v>1742</v>
      </c>
      <c r="B1743" s="4" t="s">
        <v>2664</v>
      </c>
      <c r="C1743" s="4" t="n">
        <v>1997</v>
      </c>
      <c r="D1743" s="4" t="s">
        <v>2665</v>
      </c>
      <c r="E1743" s="25" t="str">
        <f aca="false">IF(J1743=1,"✓","")</f>
        <v/>
      </c>
      <c r="F1743" s="4" t="n">
        <v>2</v>
      </c>
      <c r="G1743" s="4" t="n">
        <v>1</v>
      </c>
      <c r="H1743" s="4" t="s">
        <v>213</v>
      </c>
      <c r="I1743" s="4" t="s">
        <v>51</v>
      </c>
      <c r="J1743" s="4" t="n">
        <f aca="false">INDEX('Master List'!$G$2:$G$2594,K1743)</f>
        <v>0</v>
      </c>
      <c r="K1743" s="4" t="n">
        <v>1616</v>
      </c>
    </row>
    <row r="1744" customFormat="false" ht="15" hidden="false" customHeight="false" outlineLevel="0" collapsed="false">
      <c r="A1744" s="4" t="n">
        <v>1743</v>
      </c>
      <c r="B1744" s="4" t="s">
        <v>2666</v>
      </c>
      <c r="C1744" s="4" t="n">
        <v>1997</v>
      </c>
      <c r="D1744" s="4" t="s">
        <v>2667</v>
      </c>
      <c r="E1744" s="25" t="str">
        <f aca="false">IF(J1744=1,"✓","")</f>
        <v/>
      </c>
      <c r="F1744" s="4" t="n">
        <v>2</v>
      </c>
      <c r="G1744" s="4" t="n">
        <v>1</v>
      </c>
      <c r="H1744" s="4" t="s">
        <v>213</v>
      </c>
      <c r="I1744" s="4" t="s">
        <v>51</v>
      </c>
      <c r="J1744" s="4" t="n">
        <f aca="false">INDEX('Master List'!$G$2:$G$2594,K1744)</f>
        <v>0</v>
      </c>
      <c r="K1744" s="4" t="n">
        <v>443</v>
      </c>
    </row>
    <row r="1745" customFormat="false" ht="15" hidden="false" customHeight="false" outlineLevel="0" collapsed="false">
      <c r="A1745" s="4" t="n">
        <v>1744</v>
      </c>
      <c r="B1745" s="4" t="s">
        <v>2668</v>
      </c>
      <c r="C1745" s="4" t="n">
        <v>1997</v>
      </c>
      <c r="D1745" s="4" t="s">
        <v>2669</v>
      </c>
      <c r="E1745" s="25" t="str">
        <f aca="false">IF(J1745=1,"✓","")</f>
        <v/>
      </c>
      <c r="F1745" s="4" t="n">
        <v>2</v>
      </c>
      <c r="G1745" s="4" t="n">
        <v>1</v>
      </c>
      <c r="H1745" s="4" t="s">
        <v>213</v>
      </c>
      <c r="I1745" s="4" t="s">
        <v>51</v>
      </c>
      <c r="J1745" s="4" t="n">
        <f aca="false">INDEX('Master List'!$G$2:$G$2594,K1745)</f>
        <v>0</v>
      </c>
      <c r="K1745" s="4" t="n">
        <v>2213</v>
      </c>
    </row>
    <row r="1746" customFormat="false" ht="15" hidden="false" customHeight="false" outlineLevel="0" collapsed="false">
      <c r="A1746" s="4" t="n">
        <v>1745</v>
      </c>
      <c r="B1746" s="4" t="s">
        <v>2670</v>
      </c>
      <c r="C1746" s="4" t="n">
        <v>1997</v>
      </c>
      <c r="D1746" s="4" t="s">
        <v>699</v>
      </c>
      <c r="E1746" s="25" t="str">
        <f aca="false">IF(J1746=1,"✓","")</f>
        <v/>
      </c>
      <c r="F1746" s="4" t="n">
        <v>2</v>
      </c>
      <c r="G1746" s="4" t="n">
        <v>1</v>
      </c>
      <c r="H1746" s="4" t="s">
        <v>213</v>
      </c>
      <c r="I1746" s="4" t="s">
        <v>52</v>
      </c>
      <c r="J1746" s="4" t="n">
        <f aca="false">INDEX('Master List'!$G$2:$G$2594,K1746)</f>
        <v>0</v>
      </c>
      <c r="K1746" s="4" t="n">
        <v>2152</v>
      </c>
    </row>
    <row r="1747" customFormat="false" ht="15" hidden="false" customHeight="false" outlineLevel="0" collapsed="false">
      <c r="A1747" s="4" t="n">
        <v>1746</v>
      </c>
      <c r="B1747" s="4" t="s">
        <v>2671</v>
      </c>
      <c r="C1747" s="4" t="n">
        <v>1997</v>
      </c>
      <c r="D1747" s="4" t="s">
        <v>2374</v>
      </c>
      <c r="E1747" s="25" t="str">
        <f aca="false">IF(J1747=1,"✓","")</f>
        <v>✓</v>
      </c>
      <c r="F1747" s="4" t="n">
        <v>2</v>
      </c>
      <c r="G1747" s="4" t="n">
        <v>1</v>
      </c>
      <c r="H1747" s="4" t="s">
        <v>213</v>
      </c>
      <c r="I1747" s="4" t="s">
        <v>52</v>
      </c>
      <c r="J1747" s="4" t="n">
        <f aca="false">INDEX('Master List'!$G$2:$G$2594,K1747)</f>
        <v>1</v>
      </c>
      <c r="K1747" s="4" t="n">
        <v>2447</v>
      </c>
    </row>
    <row r="1748" customFormat="false" ht="15" hidden="false" customHeight="false" outlineLevel="0" collapsed="false">
      <c r="A1748" s="4" t="n">
        <v>1747</v>
      </c>
      <c r="B1748" s="4" t="s">
        <v>2672</v>
      </c>
      <c r="C1748" s="4" t="n">
        <v>1997</v>
      </c>
      <c r="D1748" s="4" t="s">
        <v>1387</v>
      </c>
      <c r="E1748" s="25" t="str">
        <f aca="false">IF(J1748=1,"✓","")</f>
        <v/>
      </c>
      <c r="F1748" s="4" t="n">
        <v>2</v>
      </c>
      <c r="G1748" s="4" t="n">
        <v>1</v>
      </c>
      <c r="H1748" s="4" t="s">
        <v>213</v>
      </c>
      <c r="I1748" s="4" t="s">
        <v>52</v>
      </c>
      <c r="J1748" s="4" t="n">
        <f aca="false">INDEX('Master List'!$G$2:$G$2594,K1748)</f>
        <v>0</v>
      </c>
      <c r="K1748" s="4" t="n">
        <v>772</v>
      </c>
    </row>
    <row r="1749" customFormat="false" ht="15" hidden="false" customHeight="false" outlineLevel="0" collapsed="false">
      <c r="A1749" s="4" t="n">
        <v>1748</v>
      </c>
      <c r="B1749" s="4" t="s">
        <v>2673</v>
      </c>
      <c r="C1749" s="4" t="n">
        <v>1997</v>
      </c>
      <c r="D1749" s="4" t="s">
        <v>164</v>
      </c>
      <c r="E1749" s="25" t="str">
        <f aca="false">IF(J1749=1,"✓","")</f>
        <v/>
      </c>
      <c r="F1749" s="4" t="n">
        <v>2</v>
      </c>
      <c r="G1749" s="4" t="n">
        <v>1</v>
      </c>
      <c r="H1749" s="4" t="s">
        <v>213</v>
      </c>
      <c r="I1749" s="4" t="s">
        <v>53</v>
      </c>
      <c r="J1749" s="4" t="n">
        <f aca="false">INDEX('Master List'!$G$2:$G$2594,K1749)</f>
        <v>0</v>
      </c>
      <c r="K1749" s="4" t="n">
        <v>1273</v>
      </c>
    </row>
    <row r="1750" customFormat="false" ht="15" hidden="false" customHeight="false" outlineLevel="0" collapsed="false">
      <c r="A1750" s="4" t="n">
        <v>1749</v>
      </c>
      <c r="B1750" s="4" t="s">
        <v>2674</v>
      </c>
      <c r="C1750" s="4" t="n">
        <v>1997</v>
      </c>
      <c r="D1750" s="4" t="s">
        <v>148</v>
      </c>
      <c r="E1750" s="25" t="str">
        <f aca="false">IF(J1750=1,"✓","")</f>
        <v/>
      </c>
      <c r="F1750" s="4" t="n">
        <v>2</v>
      </c>
      <c r="G1750" s="4" t="n">
        <v>1</v>
      </c>
      <c r="H1750" s="4" t="s">
        <v>213</v>
      </c>
      <c r="I1750" s="4" t="s">
        <v>53</v>
      </c>
      <c r="J1750" s="4" t="n">
        <f aca="false">INDEX('Master List'!$G$2:$G$2594,K1750)</f>
        <v>0</v>
      </c>
      <c r="K1750" s="4" t="n">
        <v>23</v>
      </c>
    </row>
    <row r="1751" customFormat="false" ht="15" hidden="false" customHeight="false" outlineLevel="0" collapsed="false">
      <c r="A1751" s="4" t="n">
        <v>1750</v>
      </c>
      <c r="B1751" s="4" t="s">
        <v>2675</v>
      </c>
      <c r="C1751" s="4" t="n">
        <v>1997</v>
      </c>
      <c r="D1751" s="4" t="s">
        <v>292</v>
      </c>
      <c r="E1751" s="25" t="str">
        <f aca="false">IF(J1751=1,"✓","")</f>
        <v/>
      </c>
      <c r="F1751" s="4" t="n">
        <v>2</v>
      </c>
      <c r="G1751" s="4" t="n">
        <v>1</v>
      </c>
      <c r="H1751" s="4" t="s">
        <v>213</v>
      </c>
      <c r="I1751" s="4" t="s">
        <v>53</v>
      </c>
      <c r="J1751" s="4" t="n">
        <f aca="false">INDEX('Master List'!$G$2:$G$2594,K1751)</f>
        <v>0</v>
      </c>
      <c r="K1751" s="4" t="n">
        <v>1350</v>
      </c>
    </row>
    <row r="1752" customFormat="false" ht="15" hidden="false" customHeight="false" outlineLevel="0" collapsed="false">
      <c r="A1752" s="4" t="n">
        <v>1751</v>
      </c>
      <c r="B1752" s="4" t="s">
        <v>2676</v>
      </c>
      <c r="C1752" s="4" t="n">
        <v>1997</v>
      </c>
      <c r="D1752" s="4" t="s">
        <v>1087</v>
      </c>
      <c r="E1752" s="25" t="str">
        <f aca="false">IF(J1752=1,"✓","")</f>
        <v/>
      </c>
      <c r="F1752" s="4" t="n">
        <v>2</v>
      </c>
      <c r="G1752" s="4" t="n">
        <v>1</v>
      </c>
      <c r="H1752" s="4" t="s">
        <v>213</v>
      </c>
      <c r="I1752" s="4" t="s">
        <v>53</v>
      </c>
      <c r="J1752" s="4" t="n">
        <f aca="false">INDEX('Master List'!$G$2:$G$2594,K1752)</f>
        <v>0</v>
      </c>
      <c r="K1752" s="4" t="n">
        <v>1357</v>
      </c>
    </row>
    <row r="1753" customFormat="false" ht="15" hidden="false" customHeight="false" outlineLevel="0" collapsed="false">
      <c r="A1753" s="4" t="n">
        <v>1752</v>
      </c>
      <c r="B1753" s="4" t="s">
        <v>2677</v>
      </c>
      <c r="C1753" s="4" t="n">
        <v>1997</v>
      </c>
      <c r="D1753" s="4" t="s">
        <v>382</v>
      </c>
      <c r="E1753" s="25" t="str">
        <f aca="false">IF(J1753=1,"✓","")</f>
        <v/>
      </c>
      <c r="F1753" s="4" t="n">
        <v>2</v>
      </c>
      <c r="G1753" s="4" t="n">
        <v>1</v>
      </c>
      <c r="H1753" s="4" t="s">
        <v>213</v>
      </c>
      <c r="I1753" s="4" t="s">
        <v>53</v>
      </c>
      <c r="J1753" s="4" t="n">
        <f aca="false">INDEX('Master List'!$G$2:$G$2594,K1753)</f>
        <v>0</v>
      </c>
      <c r="K1753" s="4" t="n">
        <v>1818</v>
      </c>
    </row>
    <row r="1754" customFormat="false" ht="15" hidden="false" customHeight="false" outlineLevel="0" collapsed="false">
      <c r="A1754" s="4" t="n">
        <v>1753</v>
      </c>
      <c r="B1754" s="4" t="s">
        <v>1885</v>
      </c>
      <c r="C1754" s="4" t="n">
        <v>1997</v>
      </c>
      <c r="D1754" s="4" t="s">
        <v>1165</v>
      </c>
      <c r="E1754" s="25" t="str">
        <f aca="false">IF(J1754=1,"✓","")</f>
        <v/>
      </c>
      <c r="F1754" s="4" t="n">
        <v>2</v>
      </c>
      <c r="G1754" s="4" t="n">
        <v>1</v>
      </c>
      <c r="H1754" s="4" t="s">
        <v>213</v>
      </c>
      <c r="I1754" s="4" t="s">
        <v>53</v>
      </c>
      <c r="J1754" s="4" t="n">
        <f aca="false">INDEX('Master List'!$G$2:$G$2594,K1754)</f>
        <v>0</v>
      </c>
      <c r="K1754" s="4" t="n">
        <v>1911</v>
      </c>
    </row>
    <row r="1755" customFormat="false" ht="15" hidden="false" customHeight="false" outlineLevel="0" collapsed="false">
      <c r="A1755" s="4" t="n">
        <v>1754</v>
      </c>
      <c r="B1755" s="4" t="s">
        <v>2678</v>
      </c>
      <c r="C1755" s="4" t="n">
        <v>1997</v>
      </c>
      <c r="D1755" s="4" t="s">
        <v>859</v>
      </c>
      <c r="E1755" s="25" t="str">
        <f aca="false">IF(J1755=1,"✓","")</f>
        <v/>
      </c>
      <c r="F1755" s="4" t="n">
        <v>2</v>
      </c>
      <c r="G1755" s="4" t="n">
        <v>1</v>
      </c>
      <c r="H1755" s="4" t="s">
        <v>213</v>
      </c>
      <c r="I1755" s="4" t="s">
        <v>53</v>
      </c>
      <c r="J1755" s="4" t="n">
        <f aca="false">INDEX('Master List'!$G$2:$G$2594,K1755)</f>
        <v>0</v>
      </c>
      <c r="K1755" s="4" t="n">
        <v>2562</v>
      </c>
    </row>
    <row r="1756" customFormat="false" ht="15" hidden="false" customHeight="false" outlineLevel="0" collapsed="false">
      <c r="A1756" s="4" t="n">
        <v>1755</v>
      </c>
      <c r="B1756" s="4" t="s">
        <v>2679</v>
      </c>
      <c r="C1756" s="4" t="n">
        <v>1997</v>
      </c>
      <c r="D1756" s="4" t="s">
        <v>2680</v>
      </c>
      <c r="E1756" s="25" t="str">
        <f aca="false">IF(J1756=1,"✓","")</f>
        <v/>
      </c>
      <c r="F1756" s="4" t="n">
        <v>2</v>
      </c>
      <c r="G1756" s="4" t="n">
        <v>1</v>
      </c>
      <c r="H1756" s="4" t="s">
        <v>213</v>
      </c>
      <c r="I1756" s="4" t="s">
        <v>55</v>
      </c>
      <c r="J1756" s="4" t="n">
        <f aca="false">INDEX('Master List'!$G$2:$G$2594,K1756)</f>
        <v>0</v>
      </c>
      <c r="K1756" s="4" t="n">
        <v>123</v>
      </c>
    </row>
    <row r="1757" customFormat="false" ht="15" hidden="false" customHeight="false" outlineLevel="0" collapsed="false">
      <c r="A1757" s="4" t="n">
        <v>1756</v>
      </c>
      <c r="B1757" s="4" t="s">
        <v>2681</v>
      </c>
      <c r="C1757" s="4" t="n">
        <v>1998</v>
      </c>
      <c r="D1757" s="4" t="s">
        <v>1205</v>
      </c>
      <c r="E1757" s="25" t="str">
        <f aca="false">IF(J1757=1,"✓","")</f>
        <v/>
      </c>
      <c r="F1757" s="4" t="n">
        <v>2</v>
      </c>
      <c r="G1757" s="4" t="n">
        <v>1</v>
      </c>
      <c r="H1757" s="4" t="s">
        <v>213</v>
      </c>
      <c r="I1757" s="4" t="s">
        <v>51</v>
      </c>
      <c r="J1757" s="4" t="n">
        <f aca="false">INDEX('Master List'!$G$2:$G$2594,K1757)</f>
        <v>0</v>
      </c>
      <c r="K1757" s="4" t="n">
        <v>50</v>
      </c>
    </row>
    <row r="1758" customFormat="false" ht="15" hidden="false" customHeight="false" outlineLevel="0" collapsed="false">
      <c r="A1758" s="4" t="n">
        <v>1757</v>
      </c>
      <c r="B1758" s="4" t="s">
        <v>2682</v>
      </c>
      <c r="C1758" s="4" t="n">
        <v>1998</v>
      </c>
      <c r="D1758" s="4" t="s">
        <v>2683</v>
      </c>
      <c r="E1758" s="25" t="str">
        <f aca="false">IF(J1758=1,"✓","")</f>
        <v/>
      </c>
      <c r="F1758" s="4" t="n">
        <v>2</v>
      </c>
      <c r="G1758" s="4" t="n">
        <v>1</v>
      </c>
      <c r="H1758" s="4" t="s">
        <v>213</v>
      </c>
      <c r="I1758" s="4" t="s">
        <v>52</v>
      </c>
      <c r="J1758" s="4" t="n">
        <f aca="false">INDEX('Master List'!$G$2:$G$2594,K1758)</f>
        <v>0</v>
      </c>
      <c r="K1758" s="4" t="n">
        <v>562</v>
      </c>
    </row>
    <row r="1759" customFormat="false" ht="15" hidden="false" customHeight="false" outlineLevel="0" collapsed="false">
      <c r="A1759" s="4" t="n">
        <v>1758</v>
      </c>
      <c r="B1759" s="4" t="s">
        <v>2684</v>
      </c>
      <c r="C1759" s="4" t="n">
        <v>1998</v>
      </c>
      <c r="D1759" s="4" t="s">
        <v>2567</v>
      </c>
      <c r="E1759" s="25" t="str">
        <f aca="false">IF(J1759=1,"✓","")</f>
        <v>✓</v>
      </c>
      <c r="F1759" s="4" t="n">
        <v>2</v>
      </c>
      <c r="G1759" s="4" t="n">
        <v>1</v>
      </c>
      <c r="H1759" s="4" t="s">
        <v>213</v>
      </c>
      <c r="I1759" s="4" t="s">
        <v>52</v>
      </c>
      <c r="J1759" s="4" t="n">
        <f aca="false">INDEX('Master List'!$G$2:$G$2594,K1759)</f>
        <v>1</v>
      </c>
      <c r="K1759" s="4" t="n">
        <v>2573</v>
      </c>
    </row>
    <row r="1760" customFormat="false" ht="15" hidden="false" customHeight="false" outlineLevel="0" collapsed="false">
      <c r="A1760" s="4" t="n">
        <v>1759</v>
      </c>
      <c r="B1760" s="4" t="s">
        <v>2685</v>
      </c>
      <c r="C1760" s="4" t="n">
        <v>1998</v>
      </c>
      <c r="D1760" s="4" t="s">
        <v>492</v>
      </c>
      <c r="E1760" s="25" t="str">
        <f aca="false">IF(J1760=1,"✓","")</f>
        <v/>
      </c>
      <c r="F1760" s="4" t="n">
        <v>2</v>
      </c>
      <c r="G1760" s="4" t="n">
        <v>1</v>
      </c>
      <c r="H1760" s="4" t="s">
        <v>213</v>
      </c>
      <c r="I1760" s="4" t="s">
        <v>53</v>
      </c>
      <c r="J1760" s="4" t="n">
        <f aca="false">INDEX('Master List'!$G$2:$G$2594,K1760)</f>
        <v>0</v>
      </c>
      <c r="K1760" s="4" t="n">
        <v>825</v>
      </c>
    </row>
    <row r="1761" customFormat="false" ht="15" hidden="false" customHeight="false" outlineLevel="0" collapsed="false">
      <c r="A1761" s="4" t="n">
        <v>1760</v>
      </c>
      <c r="B1761" s="4" t="s">
        <v>2686</v>
      </c>
      <c r="C1761" s="4" t="n">
        <v>1998</v>
      </c>
      <c r="D1761" s="4" t="s">
        <v>357</v>
      </c>
      <c r="E1761" s="25" t="str">
        <f aca="false">IF(J1761=1,"✓","")</f>
        <v/>
      </c>
      <c r="F1761" s="4" t="n">
        <v>2</v>
      </c>
      <c r="G1761" s="4" t="n">
        <v>1</v>
      </c>
      <c r="H1761" s="4" t="s">
        <v>213</v>
      </c>
      <c r="I1761" s="4" t="s">
        <v>55</v>
      </c>
      <c r="J1761" s="4" t="n">
        <f aca="false">INDEX('Master List'!$G$2:$G$2594,K1761)</f>
        <v>0</v>
      </c>
      <c r="K1761" s="4" t="n">
        <v>1812</v>
      </c>
    </row>
    <row r="1762" customFormat="false" ht="15" hidden="false" customHeight="false" outlineLevel="0" collapsed="false">
      <c r="A1762" s="4" t="n">
        <v>1761</v>
      </c>
      <c r="B1762" s="4" t="s">
        <v>2687</v>
      </c>
      <c r="C1762" s="4" t="n">
        <v>1998</v>
      </c>
      <c r="D1762" s="4" t="s">
        <v>2688</v>
      </c>
      <c r="E1762" s="25" t="str">
        <f aca="false">IF(J1762=1,"✓","")</f>
        <v/>
      </c>
      <c r="F1762" s="4" t="n">
        <v>2</v>
      </c>
      <c r="G1762" s="4" t="n">
        <v>1</v>
      </c>
      <c r="H1762" s="4" t="s">
        <v>213</v>
      </c>
      <c r="I1762" s="4" t="s">
        <v>55</v>
      </c>
      <c r="J1762" s="4" t="n">
        <f aca="false">INDEX('Master List'!$G$2:$G$2594,K1762)</f>
        <v>0</v>
      </c>
      <c r="K1762" s="4" t="n">
        <v>469</v>
      </c>
    </row>
    <row r="1763" customFormat="false" ht="15" hidden="false" customHeight="false" outlineLevel="0" collapsed="false">
      <c r="A1763" s="4" t="n">
        <v>1762</v>
      </c>
      <c r="B1763" s="4" t="s">
        <v>2689</v>
      </c>
      <c r="C1763" s="4" t="n">
        <v>1998</v>
      </c>
      <c r="D1763" s="4" t="s">
        <v>718</v>
      </c>
      <c r="E1763" s="25" t="str">
        <f aca="false">IF(J1763=1,"✓","")</f>
        <v/>
      </c>
      <c r="F1763" s="4" t="n">
        <v>2</v>
      </c>
      <c r="G1763" s="4" t="n">
        <v>1</v>
      </c>
      <c r="H1763" s="4" t="s">
        <v>213</v>
      </c>
      <c r="I1763" s="4" t="s">
        <v>55</v>
      </c>
      <c r="J1763" s="4" t="n">
        <f aca="false">INDEX('Master List'!$G$2:$G$2594,K1763)</f>
        <v>0</v>
      </c>
      <c r="K1763" s="4" t="n">
        <v>2425</v>
      </c>
    </row>
    <row r="1764" customFormat="false" ht="15" hidden="false" customHeight="false" outlineLevel="0" collapsed="false">
      <c r="A1764" s="4" t="n">
        <v>1763</v>
      </c>
      <c r="B1764" s="4" t="s">
        <v>2690</v>
      </c>
      <c r="C1764" s="4" t="n">
        <v>1998</v>
      </c>
      <c r="D1764" s="4" t="s">
        <v>2691</v>
      </c>
      <c r="E1764" s="25" t="str">
        <f aca="false">IF(J1764=1,"✓","")</f>
        <v/>
      </c>
      <c r="F1764" s="4" t="n">
        <v>2</v>
      </c>
      <c r="G1764" s="4" t="n">
        <v>1</v>
      </c>
      <c r="H1764" s="4" t="s">
        <v>213</v>
      </c>
      <c r="I1764" s="4" t="s">
        <v>56</v>
      </c>
      <c r="J1764" s="4" t="n">
        <f aca="false">INDEX('Master List'!$G$2:$G$2594,K1764)</f>
        <v>0</v>
      </c>
      <c r="K1764" s="4" t="n">
        <v>221</v>
      </c>
    </row>
    <row r="1765" customFormat="false" ht="15" hidden="false" customHeight="false" outlineLevel="0" collapsed="false">
      <c r="A1765" s="4" t="n">
        <v>1764</v>
      </c>
      <c r="B1765" s="4" t="s">
        <v>2692</v>
      </c>
      <c r="C1765" s="4" t="n">
        <v>1998</v>
      </c>
      <c r="D1765" s="4" t="s">
        <v>965</v>
      </c>
      <c r="E1765" s="25" t="str">
        <f aca="false">IF(J1765=1,"✓","")</f>
        <v/>
      </c>
      <c r="F1765" s="4" t="n">
        <v>2</v>
      </c>
      <c r="G1765" s="4" t="n">
        <v>1</v>
      </c>
      <c r="H1765" s="4" t="s">
        <v>213</v>
      </c>
      <c r="I1765" s="4" t="s">
        <v>56</v>
      </c>
      <c r="J1765" s="4" t="n">
        <f aca="false">INDEX('Master List'!$G$2:$G$2594,K1765)</f>
        <v>0</v>
      </c>
      <c r="K1765" s="4" t="n">
        <v>1929</v>
      </c>
    </row>
    <row r="1766" customFormat="false" ht="15" hidden="false" customHeight="false" outlineLevel="0" collapsed="false">
      <c r="A1766" s="4" t="n">
        <v>1765</v>
      </c>
      <c r="B1766" s="4" t="s">
        <v>2693</v>
      </c>
      <c r="C1766" s="4" t="n">
        <v>1998</v>
      </c>
      <c r="D1766" s="4" t="s">
        <v>1527</v>
      </c>
      <c r="E1766" s="25" t="str">
        <f aca="false">IF(J1766=1,"✓","")</f>
        <v/>
      </c>
      <c r="F1766" s="4" t="n">
        <v>2</v>
      </c>
      <c r="G1766" s="4" t="n">
        <v>1</v>
      </c>
      <c r="H1766" s="4" t="s">
        <v>213</v>
      </c>
      <c r="I1766" s="4" t="s">
        <v>56</v>
      </c>
      <c r="J1766" s="4" t="n">
        <f aca="false">INDEX('Master List'!$G$2:$G$2594,K1766)</f>
        <v>0</v>
      </c>
      <c r="K1766" s="4" t="n">
        <v>2077</v>
      </c>
    </row>
    <row r="1767" customFormat="false" ht="15" hidden="false" customHeight="false" outlineLevel="0" collapsed="false">
      <c r="A1767" s="4" t="n">
        <v>1766</v>
      </c>
      <c r="B1767" s="4" t="s">
        <v>2694</v>
      </c>
      <c r="C1767" s="4" t="n">
        <v>1999</v>
      </c>
      <c r="D1767" s="4" t="s">
        <v>1127</v>
      </c>
      <c r="E1767" s="25" t="str">
        <f aca="false">IF(J1767=1,"✓","")</f>
        <v/>
      </c>
      <c r="F1767" s="4" t="n">
        <v>2</v>
      </c>
      <c r="G1767" s="4" t="n">
        <v>1</v>
      </c>
      <c r="H1767" s="4" t="s">
        <v>213</v>
      </c>
      <c r="I1767" s="4" t="s">
        <v>51</v>
      </c>
      <c r="J1767" s="4" t="n">
        <f aca="false">INDEX('Master List'!$G$2:$G$2594,K1767)</f>
        <v>0</v>
      </c>
      <c r="K1767" s="4" t="n">
        <v>585</v>
      </c>
    </row>
    <row r="1768" customFormat="false" ht="15" hidden="false" customHeight="false" outlineLevel="0" collapsed="false">
      <c r="A1768" s="4" t="n">
        <v>1767</v>
      </c>
      <c r="B1768" s="4" t="s">
        <v>2695</v>
      </c>
      <c r="C1768" s="4" t="n">
        <v>1999</v>
      </c>
      <c r="D1768" s="4" t="s">
        <v>2696</v>
      </c>
      <c r="E1768" s="25" t="str">
        <f aca="false">IF(J1768=1,"✓","")</f>
        <v/>
      </c>
      <c r="F1768" s="4" t="n">
        <v>2</v>
      </c>
      <c r="G1768" s="4" t="n">
        <v>1</v>
      </c>
      <c r="H1768" s="4" t="s">
        <v>213</v>
      </c>
      <c r="I1768" s="4" t="s">
        <v>51</v>
      </c>
      <c r="J1768" s="4" t="n">
        <f aca="false">INDEX('Master List'!$G$2:$G$2594,K1768)</f>
        <v>0</v>
      </c>
      <c r="K1768" s="4" t="n">
        <v>1496</v>
      </c>
    </row>
    <row r="1769" customFormat="false" ht="15" hidden="false" customHeight="false" outlineLevel="0" collapsed="false">
      <c r="A1769" s="4" t="n">
        <v>1768</v>
      </c>
      <c r="B1769" s="4" t="s">
        <v>2697</v>
      </c>
      <c r="C1769" s="4" t="n">
        <v>1999</v>
      </c>
      <c r="D1769" s="4" t="s">
        <v>2698</v>
      </c>
      <c r="E1769" s="25" t="str">
        <f aca="false">IF(J1769=1,"✓","")</f>
        <v/>
      </c>
      <c r="F1769" s="4" t="n">
        <v>2</v>
      </c>
      <c r="G1769" s="4" t="n">
        <v>1</v>
      </c>
      <c r="H1769" s="4" t="s">
        <v>213</v>
      </c>
      <c r="I1769" s="4" t="s">
        <v>51</v>
      </c>
      <c r="J1769" s="4" t="n">
        <f aca="false">INDEX('Master List'!$G$2:$G$2594,K1769)</f>
        <v>0</v>
      </c>
      <c r="K1769" s="4" t="n">
        <v>1224</v>
      </c>
    </row>
    <row r="1770" customFormat="false" ht="15" hidden="false" customHeight="false" outlineLevel="0" collapsed="false">
      <c r="A1770" s="4" t="n">
        <v>1769</v>
      </c>
      <c r="B1770" s="4" t="s">
        <v>2699</v>
      </c>
      <c r="C1770" s="4" t="n">
        <v>1999</v>
      </c>
      <c r="D1770" s="4" t="s">
        <v>1243</v>
      </c>
      <c r="E1770" s="25" t="str">
        <f aca="false">IF(J1770=1,"✓","")</f>
        <v/>
      </c>
      <c r="F1770" s="4" t="n">
        <v>2</v>
      </c>
      <c r="G1770" s="4" t="n">
        <v>1</v>
      </c>
      <c r="H1770" s="4" t="s">
        <v>213</v>
      </c>
      <c r="I1770" s="4" t="s">
        <v>51</v>
      </c>
      <c r="J1770" s="4" t="n">
        <f aca="false">INDEX('Master List'!$G$2:$G$2594,K1770)</f>
        <v>0</v>
      </c>
      <c r="K1770" s="4" t="n">
        <v>1743</v>
      </c>
    </row>
    <row r="1771" customFormat="false" ht="15" hidden="false" customHeight="false" outlineLevel="0" collapsed="false">
      <c r="A1771" s="4" t="n">
        <v>1770</v>
      </c>
      <c r="B1771" s="4" t="s">
        <v>2700</v>
      </c>
      <c r="C1771" s="4" t="n">
        <v>1999</v>
      </c>
      <c r="D1771" s="4" t="s">
        <v>316</v>
      </c>
      <c r="E1771" s="25" t="str">
        <f aca="false">IF(J1771=1,"✓","")</f>
        <v/>
      </c>
      <c r="F1771" s="4" t="n">
        <v>2</v>
      </c>
      <c r="G1771" s="4" t="n">
        <v>1</v>
      </c>
      <c r="H1771" s="4" t="s">
        <v>213</v>
      </c>
      <c r="I1771" s="4" t="s">
        <v>52</v>
      </c>
      <c r="J1771" s="4" t="n">
        <f aca="false">INDEX('Master List'!$G$2:$G$2594,K1771)</f>
        <v>0</v>
      </c>
      <c r="K1771" s="4" t="n">
        <v>761</v>
      </c>
    </row>
    <row r="1772" customFormat="false" ht="15" hidden="false" customHeight="false" outlineLevel="0" collapsed="false">
      <c r="A1772" s="4" t="n">
        <v>1771</v>
      </c>
      <c r="B1772" s="4" t="s">
        <v>2701</v>
      </c>
      <c r="C1772" s="4" t="n">
        <v>1999</v>
      </c>
      <c r="D1772" s="4" t="s">
        <v>2702</v>
      </c>
      <c r="E1772" s="25" t="str">
        <f aca="false">IF(J1772=1,"✓","")</f>
        <v>✓</v>
      </c>
      <c r="F1772" s="4" t="n">
        <v>2</v>
      </c>
      <c r="G1772" s="4" t="n">
        <v>1</v>
      </c>
      <c r="H1772" s="4" t="s">
        <v>213</v>
      </c>
      <c r="I1772" s="4" t="s">
        <v>52</v>
      </c>
      <c r="J1772" s="4" t="n">
        <f aca="false">INDEX('Master List'!$G$2:$G$2594,K1772)</f>
        <v>1</v>
      </c>
      <c r="K1772" s="4" t="n">
        <v>1652</v>
      </c>
    </row>
    <row r="1773" customFormat="false" ht="15" hidden="false" customHeight="false" outlineLevel="0" collapsed="false">
      <c r="A1773" s="4" t="n">
        <v>1772</v>
      </c>
      <c r="B1773" s="4" t="s">
        <v>2703</v>
      </c>
      <c r="C1773" s="4" t="n">
        <v>1999</v>
      </c>
      <c r="D1773" s="4" t="s">
        <v>2704</v>
      </c>
      <c r="E1773" s="25" t="str">
        <f aca="false">IF(J1773=1,"✓","")</f>
        <v/>
      </c>
      <c r="F1773" s="4" t="n">
        <v>2</v>
      </c>
      <c r="G1773" s="4" t="n">
        <v>1</v>
      </c>
      <c r="H1773" s="4" t="s">
        <v>213</v>
      </c>
      <c r="I1773" s="4" t="s">
        <v>52</v>
      </c>
      <c r="J1773" s="4" t="n">
        <f aca="false">INDEX('Master List'!$G$2:$G$2594,K1773)</f>
        <v>0</v>
      </c>
      <c r="K1773" s="4" t="n">
        <v>2294</v>
      </c>
    </row>
    <row r="1774" customFormat="false" ht="15" hidden="false" customHeight="false" outlineLevel="0" collapsed="false">
      <c r="A1774" s="4" t="n">
        <v>1773</v>
      </c>
      <c r="B1774" s="4" t="s">
        <v>2705</v>
      </c>
      <c r="C1774" s="4" t="n">
        <v>1999</v>
      </c>
      <c r="D1774" s="4" t="s">
        <v>379</v>
      </c>
      <c r="E1774" s="25" t="str">
        <f aca="false">IF(J1774=1,"✓","")</f>
        <v>✓</v>
      </c>
      <c r="F1774" s="4" t="n">
        <v>2</v>
      </c>
      <c r="G1774" s="4" t="n">
        <v>1</v>
      </c>
      <c r="H1774" s="4" t="s">
        <v>213</v>
      </c>
      <c r="I1774" s="4" t="s">
        <v>52</v>
      </c>
      <c r="J1774" s="4" t="n">
        <f aca="false">INDEX('Master List'!$G$2:$G$2594,K1774)</f>
        <v>1</v>
      </c>
      <c r="K1774" s="4" t="n">
        <v>2354</v>
      </c>
    </row>
    <row r="1775" customFormat="false" ht="15" hidden="false" customHeight="false" outlineLevel="0" collapsed="false">
      <c r="A1775" s="4" t="n">
        <v>1774</v>
      </c>
      <c r="B1775" s="4" t="s">
        <v>2706</v>
      </c>
      <c r="C1775" s="4" t="n">
        <v>1999</v>
      </c>
      <c r="D1775" s="4" t="s">
        <v>365</v>
      </c>
      <c r="E1775" s="25" t="str">
        <f aca="false">IF(J1775=1,"✓","")</f>
        <v/>
      </c>
      <c r="F1775" s="4" t="n">
        <v>2</v>
      </c>
      <c r="G1775" s="4" t="n">
        <v>1</v>
      </c>
      <c r="H1775" s="4" t="s">
        <v>213</v>
      </c>
      <c r="I1775" s="4" t="s">
        <v>52</v>
      </c>
      <c r="J1775" s="4" t="n">
        <f aca="false">INDEX('Master List'!$G$2:$G$2594,K1775)</f>
        <v>0</v>
      </c>
      <c r="K1775" s="4" t="n">
        <v>364</v>
      </c>
    </row>
    <row r="1776" customFormat="false" ht="15" hidden="false" customHeight="false" outlineLevel="0" collapsed="false">
      <c r="A1776" s="4" t="n">
        <v>1775</v>
      </c>
      <c r="B1776" s="4" t="s">
        <v>2707</v>
      </c>
      <c r="C1776" s="4" t="n">
        <v>1999</v>
      </c>
      <c r="D1776" s="4" t="s">
        <v>2708</v>
      </c>
      <c r="E1776" s="25" t="str">
        <f aca="false">IF(J1776=1,"✓","")</f>
        <v/>
      </c>
      <c r="F1776" s="4" t="n">
        <v>2</v>
      </c>
      <c r="G1776" s="4" t="n">
        <v>1</v>
      </c>
      <c r="H1776" s="4" t="s">
        <v>213</v>
      </c>
      <c r="I1776" s="4" t="s">
        <v>54</v>
      </c>
      <c r="J1776" s="4" t="n">
        <f aca="false">INDEX('Master List'!$G$2:$G$2594,K1776)</f>
        <v>0</v>
      </c>
      <c r="K1776" s="4" t="n">
        <v>331</v>
      </c>
    </row>
    <row r="1777" customFormat="false" ht="15" hidden="false" customHeight="false" outlineLevel="0" collapsed="false">
      <c r="A1777" s="4" t="n">
        <v>1776</v>
      </c>
      <c r="B1777" s="4" t="s">
        <v>2709</v>
      </c>
      <c r="C1777" s="4" t="n">
        <v>1999</v>
      </c>
      <c r="D1777" s="4" t="s">
        <v>548</v>
      </c>
      <c r="E1777" s="25" t="str">
        <f aca="false">IF(J1777=1,"✓","")</f>
        <v>✓</v>
      </c>
      <c r="F1777" s="4" t="n">
        <v>2</v>
      </c>
      <c r="G1777" s="4" t="n">
        <v>1</v>
      </c>
      <c r="H1777" s="4" t="s">
        <v>213</v>
      </c>
      <c r="I1777" s="4" t="s">
        <v>55</v>
      </c>
      <c r="J1777" s="4" t="n">
        <f aca="false">INDEX('Master List'!$G$2:$G$2594,K1777)</f>
        <v>1</v>
      </c>
      <c r="K1777" s="4" t="n">
        <v>1429</v>
      </c>
    </row>
    <row r="1778" customFormat="false" ht="15" hidden="false" customHeight="false" outlineLevel="0" collapsed="false">
      <c r="A1778" s="4" t="n">
        <v>1777</v>
      </c>
      <c r="B1778" s="4" t="s">
        <v>2710</v>
      </c>
      <c r="C1778" s="4" t="n">
        <v>1999</v>
      </c>
      <c r="D1778" s="4" t="s">
        <v>2711</v>
      </c>
      <c r="E1778" s="25" t="str">
        <f aca="false">IF(J1778=1,"✓","")</f>
        <v/>
      </c>
      <c r="F1778" s="4" t="n">
        <v>2</v>
      </c>
      <c r="G1778" s="4" t="n">
        <v>1</v>
      </c>
      <c r="H1778" s="4" t="s">
        <v>213</v>
      </c>
      <c r="I1778" s="4" t="s">
        <v>55</v>
      </c>
      <c r="J1778" s="4" t="n">
        <f aca="false">INDEX('Master List'!$G$2:$G$2594,K1778)</f>
        <v>0</v>
      </c>
      <c r="K1778" s="4" t="n">
        <v>899</v>
      </c>
    </row>
    <row r="1779" customFormat="false" ht="15" hidden="false" customHeight="false" outlineLevel="0" collapsed="false">
      <c r="A1779" s="4" t="n">
        <v>1778</v>
      </c>
      <c r="B1779" s="4" t="s">
        <v>2712</v>
      </c>
      <c r="C1779" s="4" t="n">
        <v>1999</v>
      </c>
      <c r="D1779" s="4" t="s">
        <v>2713</v>
      </c>
      <c r="E1779" s="25" t="str">
        <f aca="false">IF(J1779=1,"✓","")</f>
        <v/>
      </c>
      <c r="F1779" s="4" t="n">
        <v>2</v>
      </c>
      <c r="G1779" s="4" t="n">
        <v>1</v>
      </c>
      <c r="H1779" s="4" t="s">
        <v>213</v>
      </c>
      <c r="I1779" s="4" t="s">
        <v>55</v>
      </c>
      <c r="J1779" s="4" t="n">
        <f aca="false">INDEX('Master List'!$G$2:$G$2594,K1779)</f>
        <v>0</v>
      </c>
      <c r="K1779" s="4" t="n">
        <v>1647</v>
      </c>
    </row>
    <row r="1780" customFormat="false" ht="15" hidden="false" customHeight="false" outlineLevel="0" collapsed="false">
      <c r="A1780" s="4" t="n">
        <v>1779</v>
      </c>
      <c r="B1780" s="4" t="s">
        <v>2714</v>
      </c>
      <c r="C1780" s="4" t="n">
        <v>1999</v>
      </c>
      <c r="D1780" s="4" t="s">
        <v>1111</v>
      </c>
      <c r="E1780" s="25" t="str">
        <f aca="false">IF(J1780=1,"✓","")</f>
        <v/>
      </c>
      <c r="F1780" s="4" t="n">
        <v>2</v>
      </c>
      <c r="G1780" s="4" t="n">
        <v>1</v>
      </c>
      <c r="H1780" s="4" t="s">
        <v>213</v>
      </c>
      <c r="I1780" s="4" t="s">
        <v>56</v>
      </c>
      <c r="J1780" s="4" t="n">
        <f aca="false">INDEX('Master List'!$G$2:$G$2594,K1780)</f>
        <v>0</v>
      </c>
      <c r="K1780" s="4" t="n">
        <v>2092</v>
      </c>
    </row>
    <row r="1781" customFormat="false" ht="15" hidden="false" customHeight="false" outlineLevel="0" collapsed="false">
      <c r="A1781" s="4" t="n">
        <v>1780</v>
      </c>
      <c r="B1781" s="4" t="s">
        <v>2715</v>
      </c>
      <c r="C1781" s="4" t="n">
        <v>2000</v>
      </c>
      <c r="D1781" s="4" t="s">
        <v>2716</v>
      </c>
      <c r="E1781" s="25" t="str">
        <f aca="false">IF(J1781=1,"✓","")</f>
        <v/>
      </c>
      <c r="F1781" s="4" t="n">
        <v>2</v>
      </c>
      <c r="G1781" s="4" t="n">
        <v>1</v>
      </c>
      <c r="H1781" s="4" t="s">
        <v>213</v>
      </c>
      <c r="I1781" s="4" t="s">
        <v>51</v>
      </c>
      <c r="J1781" s="4" t="n">
        <f aca="false">INDEX('Master List'!$G$2:$G$2594,K1781)</f>
        <v>0</v>
      </c>
      <c r="K1781" s="4" t="n">
        <v>1183</v>
      </c>
    </row>
    <row r="1782" customFormat="false" ht="15" hidden="false" customHeight="false" outlineLevel="0" collapsed="false">
      <c r="A1782" s="4" t="n">
        <v>1781</v>
      </c>
      <c r="B1782" s="4" t="s">
        <v>2717</v>
      </c>
      <c r="C1782" s="4" t="n">
        <v>2000</v>
      </c>
      <c r="D1782" s="4" t="s">
        <v>2608</v>
      </c>
      <c r="E1782" s="25" t="str">
        <f aca="false">IF(J1782=1,"✓","")</f>
        <v/>
      </c>
      <c r="F1782" s="4" t="n">
        <v>2</v>
      </c>
      <c r="G1782" s="4" t="n">
        <v>1</v>
      </c>
      <c r="H1782" s="4" t="s">
        <v>213</v>
      </c>
      <c r="I1782" s="4" t="s">
        <v>51</v>
      </c>
      <c r="J1782" s="4" t="n">
        <f aca="false">INDEX('Master List'!$G$2:$G$2594,K1782)</f>
        <v>0</v>
      </c>
      <c r="K1782" s="4" t="n">
        <v>461</v>
      </c>
    </row>
    <row r="1783" customFormat="false" ht="15" hidden="false" customHeight="false" outlineLevel="0" collapsed="false">
      <c r="A1783" s="4" t="n">
        <v>1782</v>
      </c>
      <c r="B1783" s="4" t="s">
        <v>2718</v>
      </c>
      <c r="C1783" s="4" t="n">
        <v>2000</v>
      </c>
      <c r="D1783" s="4" t="s">
        <v>2636</v>
      </c>
      <c r="E1783" s="25" t="str">
        <f aca="false">IF(J1783=1,"✓","")</f>
        <v/>
      </c>
      <c r="F1783" s="4" t="n">
        <v>2</v>
      </c>
      <c r="G1783" s="4" t="n">
        <v>1</v>
      </c>
      <c r="H1783" s="4" t="s">
        <v>213</v>
      </c>
      <c r="I1783" s="4" t="s">
        <v>52</v>
      </c>
      <c r="J1783" s="4" t="n">
        <f aca="false">INDEX('Master List'!$G$2:$G$2594,K1783)</f>
        <v>0</v>
      </c>
      <c r="K1783" s="4" t="n">
        <v>229</v>
      </c>
    </row>
    <row r="1784" customFormat="false" ht="15" hidden="false" customHeight="false" outlineLevel="0" collapsed="false">
      <c r="A1784" s="4" t="n">
        <v>1783</v>
      </c>
      <c r="B1784" s="4" t="s">
        <v>2719</v>
      </c>
      <c r="C1784" s="4" t="n">
        <v>2000</v>
      </c>
      <c r="D1784" s="4" t="s">
        <v>1070</v>
      </c>
      <c r="E1784" s="25" t="str">
        <f aca="false">IF(J1784=1,"✓","")</f>
        <v>✓</v>
      </c>
      <c r="F1784" s="4" t="n">
        <v>2</v>
      </c>
      <c r="G1784" s="4" t="n">
        <v>1</v>
      </c>
      <c r="H1784" s="4" t="s">
        <v>213</v>
      </c>
      <c r="I1784" s="4" t="s">
        <v>52</v>
      </c>
      <c r="J1784" s="4" t="n">
        <f aca="false">INDEX('Master List'!$G$2:$G$2594,K1784)</f>
        <v>1</v>
      </c>
      <c r="K1784" s="4" t="n">
        <v>406</v>
      </c>
    </row>
    <row r="1785" customFormat="false" ht="15" hidden="false" customHeight="false" outlineLevel="0" collapsed="false">
      <c r="A1785" s="4" t="n">
        <v>1784</v>
      </c>
      <c r="B1785" s="4" t="s">
        <v>2720</v>
      </c>
      <c r="C1785" s="4" t="n">
        <v>2000</v>
      </c>
      <c r="D1785" s="4" t="s">
        <v>2721</v>
      </c>
      <c r="E1785" s="25" t="str">
        <f aca="false">IF(J1785=1,"✓","")</f>
        <v/>
      </c>
      <c r="F1785" s="4" t="n">
        <v>2</v>
      </c>
      <c r="G1785" s="4" t="n">
        <v>1</v>
      </c>
      <c r="H1785" s="4" t="s">
        <v>213</v>
      </c>
      <c r="I1785" s="4" t="s">
        <v>52</v>
      </c>
      <c r="J1785" s="4" t="n">
        <f aca="false">INDEX('Master List'!$G$2:$G$2594,K1785)</f>
        <v>0</v>
      </c>
      <c r="K1785" s="4" t="n">
        <v>440</v>
      </c>
    </row>
    <row r="1786" customFormat="false" ht="15" hidden="false" customHeight="false" outlineLevel="0" collapsed="false">
      <c r="A1786" s="4" t="n">
        <v>1785</v>
      </c>
      <c r="B1786" s="4" t="s">
        <v>2722</v>
      </c>
      <c r="C1786" s="4" t="n">
        <v>2000</v>
      </c>
      <c r="D1786" s="4" t="s">
        <v>397</v>
      </c>
      <c r="E1786" s="25" t="str">
        <f aca="false">IF(J1786=1,"✓","")</f>
        <v>✓</v>
      </c>
      <c r="F1786" s="4" t="n">
        <v>2</v>
      </c>
      <c r="G1786" s="4" t="n">
        <v>1</v>
      </c>
      <c r="H1786" s="4" t="s">
        <v>213</v>
      </c>
      <c r="I1786" s="4" t="s">
        <v>53</v>
      </c>
      <c r="J1786" s="4" t="n">
        <f aca="false">INDEX('Master List'!$G$2:$G$2594,K1786)</f>
        <v>1</v>
      </c>
      <c r="K1786" s="4" t="n">
        <v>1642</v>
      </c>
    </row>
    <row r="1787" customFormat="false" ht="15" hidden="false" customHeight="false" outlineLevel="0" collapsed="false">
      <c r="A1787" s="4" t="n">
        <v>1786</v>
      </c>
      <c r="B1787" s="4" t="s">
        <v>2723</v>
      </c>
      <c r="C1787" s="4" t="n">
        <v>2000</v>
      </c>
      <c r="D1787" s="4" t="s">
        <v>490</v>
      </c>
      <c r="E1787" s="25" t="str">
        <f aca="false">IF(J1787=1,"✓","")</f>
        <v>✓</v>
      </c>
      <c r="F1787" s="4" t="n">
        <v>2</v>
      </c>
      <c r="G1787" s="4" t="n">
        <v>1</v>
      </c>
      <c r="H1787" s="4" t="s">
        <v>213</v>
      </c>
      <c r="I1787" s="4" t="s">
        <v>53</v>
      </c>
      <c r="J1787" s="4" t="n">
        <f aca="false">INDEX('Master List'!$G$2:$G$2594,K1787)</f>
        <v>1</v>
      </c>
      <c r="K1787" s="4" t="n">
        <v>741</v>
      </c>
    </row>
    <row r="1788" customFormat="false" ht="15" hidden="false" customHeight="false" outlineLevel="0" collapsed="false">
      <c r="A1788" s="4" t="n">
        <v>1787</v>
      </c>
      <c r="B1788" s="4" t="s">
        <v>2724</v>
      </c>
      <c r="C1788" s="4" t="n">
        <v>2000</v>
      </c>
      <c r="D1788" s="4" t="s">
        <v>276</v>
      </c>
      <c r="E1788" s="25" t="str">
        <f aca="false">IF(J1788=1,"✓","")</f>
        <v/>
      </c>
      <c r="F1788" s="4" t="n">
        <v>2</v>
      </c>
      <c r="G1788" s="4" t="n">
        <v>1</v>
      </c>
      <c r="H1788" s="4" t="s">
        <v>213</v>
      </c>
      <c r="I1788" s="4" t="s">
        <v>53</v>
      </c>
      <c r="J1788" s="4" t="n">
        <f aca="false">INDEX('Master List'!$G$2:$G$2594,K1788)</f>
        <v>0</v>
      </c>
      <c r="K1788" s="4" t="n">
        <v>188</v>
      </c>
    </row>
    <row r="1789" customFormat="false" ht="15" hidden="false" customHeight="false" outlineLevel="0" collapsed="false">
      <c r="A1789" s="4" t="n">
        <v>1788</v>
      </c>
      <c r="B1789" s="4" t="s">
        <v>2725</v>
      </c>
      <c r="C1789" s="4" t="n">
        <v>2000</v>
      </c>
      <c r="D1789" s="4" t="s">
        <v>2726</v>
      </c>
      <c r="E1789" s="25" t="str">
        <f aca="false">IF(J1789=1,"✓","")</f>
        <v/>
      </c>
      <c r="F1789" s="4" t="n">
        <v>2</v>
      </c>
      <c r="G1789" s="4" t="n">
        <v>1</v>
      </c>
      <c r="H1789" s="4" t="s">
        <v>213</v>
      </c>
      <c r="I1789" s="4" t="s">
        <v>54</v>
      </c>
      <c r="J1789" s="4" t="n">
        <f aca="false">INDEX('Master List'!$G$2:$G$2594,K1789)</f>
        <v>0</v>
      </c>
      <c r="K1789" s="4" t="n">
        <v>1388</v>
      </c>
    </row>
    <row r="1790" customFormat="false" ht="15" hidden="false" customHeight="false" outlineLevel="0" collapsed="false">
      <c r="A1790" s="4" t="n">
        <v>1789</v>
      </c>
      <c r="B1790" s="4" t="s">
        <v>2727</v>
      </c>
      <c r="C1790" s="4" t="n">
        <v>2000</v>
      </c>
      <c r="D1790" s="4" t="s">
        <v>2728</v>
      </c>
      <c r="E1790" s="25" t="str">
        <f aca="false">IF(J1790=1,"✓","")</f>
        <v/>
      </c>
      <c r="F1790" s="4" t="n">
        <v>2</v>
      </c>
      <c r="G1790" s="4" t="n">
        <v>1</v>
      </c>
      <c r="H1790" s="4" t="s">
        <v>213</v>
      </c>
      <c r="I1790" s="4" t="s">
        <v>55</v>
      </c>
      <c r="J1790" s="4" t="n">
        <f aca="false">INDEX('Master List'!$G$2:$G$2594,K1790)</f>
        <v>0</v>
      </c>
      <c r="K1790" s="4" t="n">
        <v>311</v>
      </c>
    </row>
    <row r="1791" customFormat="false" ht="15" hidden="false" customHeight="false" outlineLevel="0" collapsed="false">
      <c r="A1791" s="4" t="n">
        <v>1790</v>
      </c>
      <c r="B1791" s="4" t="s">
        <v>2729</v>
      </c>
      <c r="C1791" s="4" t="n">
        <v>2000</v>
      </c>
      <c r="D1791" s="4" t="s">
        <v>1284</v>
      </c>
      <c r="E1791" s="25" t="str">
        <f aca="false">IF(J1791=1,"✓","")</f>
        <v>✓</v>
      </c>
      <c r="F1791" s="4" t="n">
        <v>2</v>
      </c>
      <c r="G1791" s="4" t="n">
        <v>1</v>
      </c>
      <c r="H1791" s="4" t="s">
        <v>213</v>
      </c>
      <c r="I1791" s="4" t="s">
        <v>55</v>
      </c>
      <c r="J1791" s="4" t="n">
        <f aca="false">INDEX('Master List'!$G$2:$G$2594,K1791)</f>
        <v>1</v>
      </c>
      <c r="K1791" s="4" t="n">
        <v>1033</v>
      </c>
    </row>
    <row r="1792" customFormat="false" ht="15" hidden="false" customHeight="false" outlineLevel="0" collapsed="false">
      <c r="A1792" s="4" t="n">
        <v>1791</v>
      </c>
      <c r="B1792" s="4" t="s">
        <v>2730</v>
      </c>
      <c r="C1792" s="4" t="n">
        <v>2000</v>
      </c>
      <c r="D1792" s="4" t="s">
        <v>2596</v>
      </c>
      <c r="E1792" s="25" t="str">
        <f aca="false">IF(J1792=1,"✓","")</f>
        <v/>
      </c>
      <c r="F1792" s="4" t="n">
        <v>2</v>
      </c>
      <c r="G1792" s="4" t="n">
        <v>1</v>
      </c>
      <c r="H1792" s="4" t="s">
        <v>213</v>
      </c>
      <c r="I1792" s="4" t="s">
        <v>56</v>
      </c>
      <c r="J1792" s="4" t="n">
        <f aca="false">INDEX('Master List'!$G$2:$G$2594,K1792)</f>
        <v>0</v>
      </c>
      <c r="K1792" s="4" t="n">
        <v>2306</v>
      </c>
    </row>
    <row r="1793" customFormat="false" ht="15" hidden="false" customHeight="false" outlineLevel="0" collapsed="false">
      <c r="A1793" s="4" t="n">
        <v>1792</v>
      </c>
      <c r="B1793" s="4" t="s">
        <v>2731</v>
      </c>
      <c r="C1793" s="4" t="n">
        <v>2000</v>
      </c>
      <c r="D1793" s="4" t="s">
        <v>2732</v>
      </c>
      <c r="E1793" s="25" t="str">
        <f aca="false">IF(J1793=1,"✓","")</f>
        <v/>
      </c>
      <c r="F1793" s="4" t="n">
        <v>2</v>
      </c>
      <c r="G1793" s="4" t="n">
        <v>1</v>
      </c>
      <c r="H1793" s="4" t="s">
        <v>213</v>
      </c>
      <c r="I1793" s="4" t="s">
        <v>56</v>
      </c>
      <c r="J1793" s="4" t="n">
        <f aca="false">INDEX('Master List'!$G$2:$G$2594,K1793)</f>
        <v>0</v>
      </c>
      <c r="K1793" s="4" t="n">
        <v>898</v>
      </c>
    </row>
    <row r="1794" customFormat="false" ht="15" hidden="false" customHeight="false" outlineLevel="0" collapsed="false">
      <c r="A1794" s="4" t="n">
        <v>1793</v>
      </c>
      <c r="B1794" s="4" t="s">
        <v>2733</v>
      </c>
      <c r="C1794" s="4" t="n">
        <v>2000</v>
      </c>
      <c r="D1794" s="4" t="s">
        <v>673</v>
      </c>
      <c r="E1794" s="25" t="str">
        <f aca="false">IF(J1794=1,"✓","")</f>
        <v/>
      </c>
      <c r="F1794" s="4" t="n">
        <v>2</v>
      </c>
      <c r="G1794" s="4" t="n">
        <v>1</v>
      </c>
      <c r="H1794" s="4" t="s">
        <v>213</v>
      </c>
      <c r="I1794" s="4" t="s">
        <v>56</v>
      </c>
      <c r="J1794" s="4" t="n">
        <f aca="false">INDEX('Master List'!$G$2:$G$2594,K1794)</f>
        <v>0</v>
      </c>
      <c r="K1794" s="4" t="n">
        <v>197</v>
      </c>
    </row>
    <row r="1795" customFormat="false" ht="15" hidden="false" customHeight="false" outlineLevel="0" collapsed="false">
      <c r="A1795" s="4" t="n">
        <v>1794</v>
      </c>
      <c r="B1795" s="4" t="s">
        <v>2734</v>
      </c>
      <c r="C1795" s="4" t="n">
        <v>2001</v>
      </c>
      <c r="D1795" s="4" t="s">
        <v>635</v>
      </c>
      <c r="E1795" s="25" t="str">
        <f aca="false">IF(J1795=1,"✓","")</f>
        <v/>
      </c>
      <c r="F1795" s="4" t="n">
        <v>2</v>
      </c>
      <c r="G1795" s="4" t="n">
        <v>1</v>
      </c>
      <c r="H1795" s="4" t="s">
        <v>213</v>
      </c>
      <c r="I1795" s="4" t="s">
        <v>51</v>
      </c>
      <c r="J1795" s="4" t="n">
        <f aca="false">INDEX('Master List'!$G$2:$G$2594,K1795)</f>
        <v>0</v>
      </c>
      <c r="K1795" s="4" t="n">
        <v>1502</v>
      </c>
    </row>
    <row r="1796" customFormat="false" ht="15" hidden="false" customHeight="false" outlineLevel="0" collapsed="false">
      <c r="A1796" s="4" t="n">
        <v>1795</v>
      </c>
      <c r="B1796" s="4" t="s">
        <v>2735</v>
      </c>
      <c r="C1796" s="4" t="n">
        <v>2001</v>
      </c>
      <c r="D1796" s="4" t="s">
        <v>2736</v>
      </c>
      <c r="E1796" s="25" t="str">
        <f aca="false">IF(J1796=1,"✓","")</f>
        <v/>
      </c>
      <c r="F1796" s="4" t="n">
        <v>2</v>
      </c>
      <c r="G1796" s="4" t="n">
        <v>1</v>
      </c>
      <c r="H1796" s="4" t="s">
        <v>213</v>
      </c>
      <c r="I1796" s="4" t="s">
        <v>51</v>
      </c>
      <c r="J1796" s="4" t="n">
        <f aca="false">INDEX('Master List'!$G$2:$G$2594,K1796)</f>
        <v>0</v>
      </c>
      <c r="K1796" s="4" t="n">
        <v>2111</v>
      </c>
    </row>
    <row r="1797" customFormat="false" ht="15" hidden="false" customHeight="false" outlineLevel="0" collapsed="false">
      <c r="A1797" s="4" t="n">
        <v>1796</v>
      </c>
      <c r="B1797" s="4" t="s">
        <v>2737</v>
      </c>
      <c r="C1797" s="4" t="n">
        <v>2001</v>
      </c>
      <c r="D1797" s="4" t="s">
        <v>2738</v>
      </c>
      <c r="E1797" s="25" t="str">
        <f aca="false">IF(J1797=1,"✓","")</f>
        <v/>
      </c>
      <c r="F1797" s="4" t="n">
        <v>2</v>
      </c>
      <c r="G1797" s="4" t="n">
        <v>1</v>
      </c>
      <c r="H1797" s="4" t="s">
        <v>213</v>
      </c>
      <c r="I1797" s="4" t="s">
        <v>51</v>
      </c>
      <c r="J1797" s="4" t="n">
        <f aca="false">INDEX('Master List'!$G$2:$G$2594,K1797)</f>
        <v>0</v>
      </c>
      <c r="K1797" s="4" t="n">
        <v>1624</v>
      </c>
    </row>
    <row r="1798" customFormat="false" ht="15" hidden="false" customHeight="false" outlineLevel="0" collapsed="false">
      <c r="A1798" s="4" t="n">
        <v>1797</v>
      </c>
      <c r="B1798" s="4" t="s">
        <v>2739</v>
      </c>
      <c r="C1798" s="4" t="n">
        <v>2001</v>
      </c>
      <c r="D1798" s="4" t="s">
        <v>2740</v>
      </c>
      <c r="E1798" s="25" t="str">
        <f aca="false">IF(J1798=1,"✓","")</f>
        <v/>
      </c>
      <c r="F1798" s="4" t="n">
        <v>2</v>
      </c>
      <c r="G1798" s="4" t="n">
        <v>1</v>
      </c>
      <c r="H1798" s="4" t="s">
        <v>213</v>
      </c>
      <c r="I1798" s="4" t="s">
        <v>51</v>
      </c>
      <c r="J1798" s="4" t="n">
        <f aca="false">INDEX('Master List'!$G$2:$G$2594,K1798)</f>
        <v>0</v>
      </c>
      <c r="K1798" s="4" t="n">
        <v>216</v>
      </c>
    </row>
    <row r="1799" customFormat="false" ht="15" hidden="false" customHeight="false" outlineLevel="0" collapsed="false">
      <c r="A1799" s="4" t="n">
        <v>1798</v>
      </c>
      <c r="B1799" s="4" t="s">
        <v>2741</v>
      </c>
      <c r="C1799" s="4" t="n">
        <v>2001</v>
      </c>
      <c r="D1799" s="4" t="s">
        <v>2742</v>
      </c>
      <c r="E1799" s="25" t="str">
        <f aca="false">IF(J1799=1,"✓","")</f>
        <v/>
      </c>
      <c r="F1799" s="4" t="n">
        <v>2</v>
      </c>
      <c r="G1799" s="4" t="n">
        <v>1</v>
      </c>
      <c r="H1799" s="4" t="s">
        <v>213</v>
      </c>
      <c r="I1799" s="4" t="s">
        <v>51</v>
      </c>
      <c r="J1799" s="4" t="n">
        <f aca="false">INDEX('Master List'!$G$2:$G$2594,K1799)</f>
        <v>0</v>
      </c>
      <c r="K1799" s="4" t="n">
        <v>1286</v>
      </c>
    </row>
    <row r="1800" customFormat="false" ht="15" hidden="false" customHeight="false" outlineLevel="0" collapsed="false">
      <c r="A1800" s="4" t="n">
        <v>1799</v>
      </c>
      <c r="B1800" s="4" t="s">
        <v>2743</v>
      </c>
      <c r="C1800" s="4" t="n">
        <v>2001</v>
      </c>
      <c r="D1800" s="4" t="s">
        <v>2744</v>
      </c>
      <c r="E1800" s="25" t="str">
        <f aca="false">IF(J1800=1,"✓","")</f>
        <v>✓</v>
      </c>
      <c r="F1800" s="4" t="n">
        <v>2</v>
      </c>
      <c r="G1800" s="4" t="n">
        <v>1</v>
      </c>
      <c r="H1800" s="4" t="s">
        <v>213</v>
      </c>
      <c r="I1800" s="4" t="s">
        <v>52</v>
      </c>
      <c r="J1800" s="4" t="n">
        <f aca="false">INDEX('Master List'!$G$2:$G$2594,K1800)</f>
        <v>1</v>
      </c>
      <c r="K1800" s="4" t="n">
        <v>2592</v>
      </c>
    </row>
    <row r="1801" customFormat="false" ht="15" hidden="false" customHeight="false" outlineLevel="0" collapsed="false">
      <c r="A1801" s="4" t="n">
        <v>1800</v>
      </c>
      <c r="B1801" s="4" t="s">
        <v>2745</v>
      </c>
      <c r="C1801" s="4" t="n">
        <v>2001</v>
      </c>
      <c r="D1801" s="4" t="s">
        <v>2746</v>
      </c>
      <c r="E1801" s="25" t="str">
        <f aca="false">IF(J1801=1,"✓","")</f>
        <v>✓</v>
      </c>
      <c r="F1801" s="4" t="n">
        <v>2</v>
      </c>
      <c r="G1801" s="4" t="n">
        <v>1</v>
      </c>
      <c r="H1801" s="4" t="s">
        <v>213</v>
      </c>
      <c r="I1801" s="4" t="s">
        <v>52</v>
      </c>
      <c r="J1801" s="4" t="n">
        <f aca="false">INDEX('Master List'!$G$2:$G$2594,K1801)</f>
        <v>1</v>
      </c>
      <c r="K1801" s="4" t="n">
        <v>1544</v>
      </c>
    </row>
    <row r="1802" customFormat="false" ht="15" hidden="false" customHeight="false" outlineLevel="0" collapsed="false">
      <c r="A1802" s="4" t="n">
        <v>1801</v>
      </c>
      <c r="B1802" s="4" t="s">
        <v>2747</v>
      </c>
      <c r="C1802" s="4" t="n">
        <v>2001</v>
      </c>
      <c r="D1802" s="4" t="s">
        <v>2748</v>
      </c>
      <c r="E1802" s="25" t="str">
        <f aca="false">IF(J1802=1,"✓","")</f>
        <v/>
      </c>
      <c r="F1802" s="4" t="n">
        <v>2</v>
      </c>
      <c r="G1802" s="4" t="n">
        <v>1</v>
      </c>
      <c r="H1802" s="4" t="s">
        <v>213</v>
      </c>
      <c r="I1802" s="4" t="s">
        <v>52</v>
      </c>
      <c r="J1802" s="4" t="n">
        <f aca="false">INDEX('Master List'!$G$2:$G$2594,K1802)</f>
        <v>0</v>
      </c>
      <c r="K1802" s="4" t="n">
        <v>1017</v>
      </c>
    </row>
    <row r="1803" customFormat="false" ht="15" hidden="false" customHeight="false" outlineLevel="0" collapsed="false">
      <c r="A1803" s="4" t="n">
        <v>1802</v>
      </c>
      <c r="B1803" s="4" t="s">
        <v>2749</v>
      </c>
      <c r="C1803" s="4" t="n">
        <v>2001</v>
      </c>
      <c r="D1803" s="4" t="s">
        <v>174</v>
      </c>
      <c r="E1803" s="25" t="str">
        <f aca="false">IF(J1803=1,"✓","")</f>
        <v/>
      </c>
      <c r="F1803" s="4" t="n">
        <v>2</v>
      </c>
      <c r="G1803" s="4" t="n">
        <v>1</v>
      </c>
      <c r="H1803" s="4" t="s">
        <v>213</v>
      </c>
      <c r="I1803" s="4" t="s">
        <v>52</v>
      </c>
      <c r="J1803" s="4" t="n">
        <f aca="false">INDEX('Master List'!$G$2:$G$2594,K1803)</f>
        <v>0</v>
      </c>
      <c r="K1803" s="4" t="n">
        <v>268</v>
      </c>
    </row>
    <row r="1804" customFormat="false" ht="15" hidden="false" customHeight="false" outlineLevel="0" collapsed="false">
      <c r="A1804" s="4" t="n">
        <v>1803</v>
      </c>
      <c r="B1804" s="4" t="s">
        <v>2750</v>
      </c>
      <c r="C1804" s="4" t="n">
        <v>2001</v>
      </c>
      <c r="D1804" s="4" t="s">
        <v>2751</v>
      </c>
      <c r="E1804" s="25" t="str">
        <f aca="false">IF(J1804=1,"✓","")</f>
        <v>✓</v>
      </c>
      <c r="F1804" s="4" t="n">
        <v>2</v>
      </c>
      <c r="G1804" s="4" t="n">
        <v>1</v>
      </c>
      <c r="H1804" s="4" t="s">
        <v>213</v>
      </c>
      <c r="I1804" s="4" t="s">
        <v>52</v>
      </c>
      <c r="J1804" s="4" t="n">
        <f aca="false">INDEX('Master List'!$G$2:$G$2594,K1804)</f>
        <v>1</v>
      </c>
      <c r="K1804" s="4" t="n">
        <v>1526</v>
      </c>
    </row>
    <row r="1805" customFormat="false" ht="15" hidden="false" customHeight="false" outlineLevel="0" collapsed="false">
      <c r="A1805" s="4" t="n">
        <v>1804</v>
      </c>
      <c r="B1805" s="4" t="s">
        <v>2752</v>
      </c>
      <c r="C1805" s="4" t="n">
        <v>2001</v>
      </c>
      <c r="D1805" s="4" t="s">
        <v>197</v>
      </c>
      <c r="E1805" s="25" t="str">
        <f aca="false">IF(J1805=1,"✓","")</f>
        <v/>
      </c>
      <c r="F1805" s="4" t="n">
        <v>2</v>
      </c>
      <c r="G1805" s="4" t="n">
        <v>1</v>
      </c>
      <c r="H1805" s="4" t="s">
        <v>213</v>
      </c>
      <c r="I1805" s="4" t="s">
        <v>53</v>
      </c>
      <c r="J1805" s="4" t="n">
        <f aca="false">INDEX('Master List'!$G$2:$G$2594,K1805)</f>
        <v>0</v>
      </c>
      <c r="K1805" s="4" t="n">
        <v>937</v>
      </c>
    </row>
    <row r="1806" customFormat="false" ht="15" hidden="false" customHeight="false" outlineLevel="0" collapsed="false">
      <c r="A1806" s="4" t="n">
        <v>1805</v>
      </c>
      <c r="B1806" s="4" t="s">
        <v>2753</v>
      </c>
      <c r="C1806" s="4" t="n">
        <v>2001</v>
      </c>
      <c r="D1806" s="4" t="s">
        <v>183</v>
      </c>
      <c r="E1806" s="25" t="str">
        <f aca="false">IF(J1806=1,"✓","")</f>
        <v>✓</v>
      </c>
      <c r="F1806" s="4" t="n">
        <v>2</v>
      </c>
      <c r="G1806" s="4" t="n">
        <v>1</v>
      </c>
      <c r="H1806" s="4" t="s">
        <v>213</v>
      </c>
      <c r="I1806" s="4" t="s">
        <v>53</v>
      </c>
      <c r="J1806" s="4" t="n">
        <f aca="false">INDEX('Master List'!$G$2:$G$2594,K1806)</f>
        <v>1</v>
      </c>
      <c r="K1806" s="4" t="n">
        <v>1100</v>
      </c>
    </row>
    <row r="1807" customFormat="false" ht="15" hidden="false" customHeight="false" outlineLevel="0" collapsed="false">
      <c r="A1807" s="4" t="n">
        <v>1806</v>
      </c>
      <c r="B1807" s="4" t="s">
        <v>2754</v>
      </c>
      <c r="C1807" s="4" t="n">
        <v>2001</v>
      </c>
      <c r="D1807" s="4" t="s">
        <v>274</v>
      </c>
      <c r="E1807" s="25" t="str">
        <f aca="false">IF(J1807=1,"✓","")</f>
        <v>✓</v>
      </c>
      <c r="F1807" s="4" t="n">
        <v>2</v>
      </c>
      <c r="G1807" s="4" t="n">
        <v>1</v>
      </c>
      <c r="H1807" s="4" t="s">
        <v>213</v>
      </c>
      <c r="I1807" s="4" t="s">
        <v>53</v>
      </c>
      <c r="J1807" s="4" t="n">
        <f aca="false">INDEX('Master List'!$G$2:$G$2594,K1807)</f>
        <v>1</v>
      </c>
      <c r="K1807" s="4" t="n">
        <v>1941</v>
      </c>
    </row>
    <row r="1808" customFormat="false" ht="15" hidden="false" customHeight="false" outlineLevel="0" collapsed="false">
      <c r="A1808" s="4" t="n">
        <v>1807</v>
      </c>
      <c r="B1808" s="4" t="s">
        <v>2755</v>
      </c>
      <c r="C1808" s="4" t="n">
        <v>2001</v>
      </c>
      <c r="D1808" s="4" t="s">
        <v>1165</v>
      </c>
      <c r="E1808" s="25" t="str">
        <f aca="false">IF(J1808=1,"✓","")</f>
        <v/>
      </c>
      <c r="F1808" s="4" t="n">
        <v>2</v>
      </c>
      <c r="G1808" s="4" t="n">
        <v>1</v>
      </c>
      <c r="H1808" s="4" t="s">
        <v>213</v>
      </c>
      <c r="I1808" s="4" t="s">
        <v>53</v>
      </c>
      <c r="J1808" s="4" t="n">
        <f aca="false">INDEX('Master List'!$G$2:$G$2594,K1808)</f>
        <v>0</v>
      </c>
      <c r="K1808" s="4" t="n">
        <v>2489</v>
      </c>
    </row>
    <row r="1809" customFormat="false" ht="15" hidden="false" customHeight="false" outlineLevel="0" collapsed="false">
      <c r="A1809" s="4" t="n">
        <v>1808</v>
      </c>
      <c r="B1809" s="4" t="s">
        <v>2756</v>
      </c>
      <c r="C1809" s="4" t="n">
        <v>2001</v>
      </c>
      <c r="D1809" s="4" t="s">
        <v>1115</v>
      </c>
      <c r="E1809" s="25" t="str">
        <f aca="false">IF(J1809=1,"✓","")</f>
        <v/>
      </c>
      <c r="F1809" s="4" t="n">
        <v>2</v>
      </c>
      <c r="G1809" s="4" t="n">
        <v>1</v>
      </c>
      <c r="H1809" s="4" t="s">
        <v>213</v>
      </c>
      <c r="I1809" s="4" t="s">
        <v>55</v>
      </c>
      <c r="J1809" s="4" t="n">
        <f aca="false">INDEX('Master List'!$G$2:$G$2594,K1809)</f>
        <v>0</v>
      </c>
      <c r="K1809" s="4" t="n">
        <v>208</v>
      </c>
    </row>
    <row r="1810" customFormat="false" ht="15" hidden="false" customHeight="false" outlineLevel="0" collapsed="false">
      <c r="A1810" s="4" t="n">
        <v>1809</v>
      </c>
      <c r="B1810" s="4" t="s">
        <v>2757</v>
      </c>
      <c r="C1810" s="4" t="n">
        <v>2001</v>
      </c>
      <c r="D1810" s="4" t="s">
        <v>2758</v>
      </c>
      <c r="E1810" s="25" t="str">
        <f aca="false">IF(J1810=1,"✓","")</f>
        <v/>
      </c>
      <c r="F1810" s="4" t="n">
        <v>2</v>
      </c>
      <c r="G1810" s="4" t="n">
        <v>1</v>
      </c>
      <c r="H1810" s="4" t="s">
        <v>213</v>
      </c>
      <c r="I1810" s="4" t="s">
        <v>55</v>
      </c>
      <c r="J1810" s="4" t="n">
        <f aca="false">INDEX('Master List'!$G$2:$G$2594,K1810)</f>
        <v>0</v>
      </c>
      <c r="K1810" s="4" t="n">
        <v>1536</v>
      </c>
    </row>
    <row r="1811" customFormat="false" ht="15" hidden="false" customHeight="false" outlineLevel="0" collapsed="false">
      <c r="A1811" s="4" t="n">
        <v>1810</v>
      </c>
      <c r="B1811" s="4" t="s">
        <v>2759</v>
      </c>
      <c r="C1811" s="4" t="n">
        <v>2001</v>
      </c>
      <c r="D1811" s="4" t="s">
        <v>2760</v>
      </c>
      <c r="E1811" s="25" t="str">
        <f aca="false">IF(J1811=1,"✓","")</f>
        <v/>
      </c>
      <c r="F1811" s="4" t="n">
        <v>2</v>
      </c>
      <c r="G1811" s="4" t="n">
        <v>1</v>
      </c>
      <c r="H1811" s="4" t="s">
        <v>213</v>
      </c>
      <c r="I1811" s="4" t="s">
        <v>56</v>
      </c>
      <c r="J1811" s="4" t="n">
        <f aca="false">INDEX('Master List'!$G$2:$G$2594,K1811)</f>
        <v>0</v>
      </c>
      <c r="K1811" s="4" t="n">
        <v>654</v>
      </c>
    </row>
    <row r="1812" customFormat="false" ht="15" hidden="false" customHeight="false" outlineLevel="0" collapsed="false">
      <c r="A1812" s="4" t="n">
        <v>1811</v>
      </c>
      <c r="B1812" s="4" t="s">
        <v>2761</v>
      </c>
      <c r="C1812" s="4" t="n">
        <v>2001</v>
      </c>
      <c r="D1812" s="4" t="s">
        <v>1127</v>
      </c>
      <c r="E1812" s="25" t="str">
        <f aca="false">IF(J1812=1,"✓","")</f>
        <v/>
      </c>
      <c r="F1812" s="4" t="n">
        <v>2</v>
      </c>
      <c r="G1812" s="4" t="n">
        <v>1</v>
      </c>
      <c r="H1812" s="4" t="s">
        <v>213</v>
      </c>
      <c r="I1812" s="4" t="s">
        <v>56</v>
      </c>
      <c r="J1812" s="4" t="n">
        <f aca="false">INDEX('Master List'!$G$2:$G$2594,K1812)</f>
        <v>0</v>
      </c>
      <c r="K1812" s="4" t="n">
        <v>2438</v>
      </c>
    </row>
    <row r="1813" customFormat="false" ht="15" hidden="false" customHeight="false" outlineLevel="0" collapsed="false">
      <c r="A1813" s="4" t="n">
        <v>1812</v>
      </c>
      <c r="B1813" s="4" t="s">
        <v>2762</v>
      </c>
      <c r="C1813" s="4" t="n">
        <v>2002</v>
      </c>
      <c r="D1813" s="4" t="s">
        <v>2763</v>
      </c>
      <c r="E1813" s="25" t="str">
        <f aca="false">IF(J1813=1,"✓","")</f>
        <v/>
      </c>
      <c r="F1813" s="4" t="n">
        <v>2</v>
      </c>
      <c r="G1813" s="4" t="n">
        <v>1</v>
      </c>
      <c r="H1813" s="4" t="s">
        <v>213</v>
      </c>
      <c r="I1813" s="4" t="s">
        <v>51</v>
      </c>
      <c r="J1813" s="4" t="n">
        <f aca="false">INDEX('Master List'!$G$2:$G$2594,K1813)</f>
        <v>0</v>
      </c>
      <c r="K1813" s="4" t="n">
        <v>2386</v>
      </c>
    </row>
    <row r="1814" customFormat="false" ht="15" hidden="false" customHeight="false" outlineLevel="0" collapsed="false">
      <c r="A1814" s="4" t="n">
        <v>1813</v>
      </c>
      <c r="B1814" s="4" t="s">
        <v>2764</v>
      </c>
      <c r="C1814" s="4" t="n">
        <v>2002</v>
      </c>
      <c r="D1814" s="4" t="s">
        <v>359</v>
      </c>
      <c r="E1814" s="25" t="str">
        <f aca="false">IF(J1814=1,"✓","")</f>
        <v/>
      </c>
      <c r="F1814" s="4" t="n">
        <v>2</v>
      </c>
      <c r="G1814" s="4" t="n">
        <v>1</v>
      </c>
      <c r="H1814" s="4" t="s">
        <v>213</v>
      </c>
      <c r="I1814" s="4" t="s">
        <v>51</v>
      </c>
      <c r="J1814" s="4" t="n">
        <f aca="false">INDEX('Master List'!$G$2:$G$2594,K1814)</f>
        <v>0</v>
      </c>
      <c r="K1814" s="4" t="n">
        <v>2214</v>
      </c>
    </row>
    <row r="1815" customFormat="false" ht="15" hidden="false" customHeight="false" outlineLevel="0" collapsed="false">
      <c r="A1815" s="4" t="n">
        <v>1814</v>
      </c>
      <c r="B1815" s="4" t="s">
        <v>2765</v>
      </c>
      <c r="C1815" s="4" t="n">
        <v>2002</v>
      </c>
      <c r="D1815" s="4" t="s">
        <v>2766</v>
      </c>
      <c r="E1815" s="25" t="str">
        <f aca="false">IF(J1815=1,"✓","")</f>
        <v/>
      </c>
      <c r="F1815" s="4" t="n">
        <v>2</v>
      </c>
      <c r="G1815" s="4" t="n">
        <v>1</v>
      </c>
      <c r="H1815" s="4" t="s">
        <v>213</v>
      </c>
      <c r="I1815" s="4" t="s">
        <v>51</v>
      </c>
      <c r="J1815" s="4" t="n">
        <f aca="false">INDEX('Master List'!$G$2:$G$2594,K1815)</f>
        <v>0</v>
      </c>
      <c r="K1815" s="4" t="n">
        <v>465</v>
      </c>
    </row>
    <row r="1816" customFormat="false" ht="15" hidden="false" customHeight="false" outlineLevel="0" collapsed="false">
      <c r="A1816" s="4" t="n">
        <v>1815</v>
      </c>
      <c r="B1816" s="4" t="s">
        <v>2767</v>
      </c>
      <c r="C1816" s="4" t="n">
        <v>2002</v>
      </c>
      <c r="D1816" s="4" t="s">
        <v>1541</v>
      </c>
      <c r="E1816" s="25" t="str">
        <f aca="false">IF(J1816=1,"✓","")</f>
        <v/>
      </c>
      <c r="F1816" s="4" t="n">
        <v>2</v>
      </c>
      <c r="G1816" s="4" t="n">
        <v>1</v>
      </c>
      <c r="H1816" s="4" t="s">
        <v>213</v>
      </c>
      <c r="I1816" s="4" t="s">
        <v>51</v>
      </c>
      <c r="J1816" s="4" t="n">
        <f aca="false">INDEX('Master List'!$G$2:$G$2594,K1816)</f>
        <v>0</v>
      </c>
      <c r="K1816" s="4" t="n">
        <v>1026</v>
      </c>
    </row>
    <row r="1817" customFormat="false" ht="15" hidden="false" customHeight="false" outlineLevel="0" collapsed="false">
      <c r="A1817" s="4" t="n">
        <v>1816</v>
      </c>
      <c r="B1817" s="4" t="s">
        <v>2768</v>
      </c>
      <c r="C1817" s="4" t="n">
        <v>2002</v>
      </c>
      <c r="D1817" s="4" t="s">
        <v>1243</v>
      </c>
      <c r="E1817" s="25" t="str">
        <f aca="false">IF(J1817=1,"✓","")</f>
        <v/>
      </c>
      <c r="F1817" s="4" t="n">
        <v>2</v>
      </c>
      <c r="G1817" s="4" t="n">
        <v>1</v>
      </c>
      <c r="H1817" s="4" t="s">
        <v>213</v>
      </c>
      <c r="I1817" s="4" t="s">
        <v>51</v>
      </c>
      <c r="J1817" s="4" t="n">
        <f aca="false">INDEX('Master List'!$G$2:$G$2594,K1817)</f>
        <v>0</v>
      </c>
      <c r="K1817" s="4" t="n">
        <v>1643</v>
      </c>
    </row>
    <row r="1818" customFormat="false" ht="15" hidden="false" customHeight="false" outlineLevel="0" collapsed="false">
      <c r="A1818" s="4" t="n">
        <v>1817</v>
      </c>
      <c r="B1818" s="4" t="s">
        <v>2769</v>
      </c>
      <c r="C1818" s="4" t="n">
        <v>2002</v>
      </c>
      <c r="D1818" s="4" t="s">
        <v>2770</v>
      </c>
      <c r="E1818" s="25" t="str">
        <f aca="false">IF(J1818=1,"✓","")</f>
        <v/>
      </c>
      <c r="F1818" s="4" t="n">
        <v>2</v>
      </c>
      <c r="G1818" s="4" t="n">
        <v>1</v>
      </c>
      <c r="H1818" s="4" t="s">
        <v>213</v>
      </c>
      <c r="I1818" s="4" t="s">
        <v>51</v>
      </c>
      <c r="J1818" s="4" t="n">
        <f aca="false">INDEX('Master List'!$G$2:$G$2594,K1818)</f>
        <v>0</v>
      </c>
      <c r="K1818" s="4" t="n">
        <v>640</v>
      </c>
    </row>
    <row r="1819" customFormat="false" ht="15" hidden="false" customHeight="false" outlineLevel="0" collapsed="false">
      <c r="A1819" s="4" t="n">
        <v>1818</v>
      </c>
      <c r="B1819" s="4" t="s">
        <v>2771</v>
      </c>
      <c r="C1819" s="4" t="n">
        <v>2002</v>
      </c>
      <c r="D1819" s="4" t="s">
        <v>845</v>
      </c>
      <c r="E1819" s="25" t="str">
        <f aca="false">IF(J1819=1,"✓","")</f>
        <v/>
      </c>
      <c r="F1819" s="4" t="n">
        <v>2</v>
      </c>
      <c r="G1819" s="4" t="n">
        <v>1</v>
      </c>
      <c r="H1819" s="4" t="s">
        <v>213</v>
      </c>
      <c r="I1819" s="4" t="s">
        <v>52</v>
      </c>
      <c r="J1819" s="4" t="n">
        <f aca="false">INDEX('Master List'!$G$2:$G$2594,K1819)</f>
        <v>0</v>
      </c>
      <c r="K1819" s="4" t="n">
        <v>566</v>
      </c>
    </row>
    <row r="1820" customFormat="false" ht="15" hidden="false" customHeight="false" outlineLevel="0" collapsed="false">
      <c r="A1820" s="4" t="n">
        <v>1819</v>
      </c>
      <c r="B1820" s="4" t="s">
        <v>2772</v>
      </c>
      <c r="C1820" s="4" t="n">
        <v>2002</v>
      </c>
      <c r="D1820" s="4" t="s">
        <v>2773</v>
      </c>
      <c r="E1820" s="25" t="str">
        <f aca="false">IF(J1820=1,"✓","")</f>
        <v/>
      </c>
      <c r="F1820" s="4" t="n">
        <v>2</v>
      </c>
      <c r="G1820" s="4" t="n">
        <v>1</v>
      </c>
      <c r="H1820" s="4" t="s">
        <v>213</v>
      </c>
      <c r="I1820" s="4" t="s">
        <v>52</v>
      </c>
      <c r="J1820" s="4" t="n">
        <f aca="false">INDEX('Master List'!$G$2:$G$2594,K1820)</f>
        <v>0</v>
      </c>
      <c r="K1820" s="4" t="n">
        <v>1220</v>
      </c>
    </row>
    <row r="1821" customFormat="false" ht="15" hidden="false" customHeight="false" outlineLevel="0" collapsed="false">
      <c r="A1821" s="4" t="n">
        <v>1820</v>
      </c>
      <c r="B1821" s="4" t="s">
        <v>2774</v>
      </c>
      <c r="C1821" s="4" t="n">
        <v>2002</v>
      </c>
      <c r="D1821" s="4" t="s">
        <v>2775</v>
      </c>
      <c r="E1821" s="25" t="str">
        <f aca="false">IF(J1821=1,"✓","")</f>
        <v/>
      </c>
      <c r="F1821" s="4" t="n">
        <v>2</v>
      </c>
      <c r="G1821" s="4" t="n">
        <v>1</v>
      </c>
      <c r="H1821" s="4" t="s">
        <v>213</v>
      </c>
      <c r="I1821" s="4" t="s">
        <v>52</v>
      </c>
      <c r="J1821" s="4" t="n">
        <f aca="false">INDEX('Master List'!$G$2:$G$2594,K1821)</f>
        <v>0</v>
      </c>
      <c r="K1821" s="4" t="n">
        <v>31</v>
      </c>
    </row>
    <row r="1822" customFormat="false" ht="15" hidden="false" customHeight="false" outlineLevel="0" collapsed="false">
      <c r="A1822" s="4" t="n">
        <v>1821</v>
      </c>
      <c r="B1822" s="4" t="s">
        <v>2776</v>
      </c>
      <c r="C1822" s="4" t="n">
        <v>2002</v>
      </c>
      <c r="D1822" s="4" t="s">
        <v>183</v>
      </c>
      <c r="E1822" s="25" t="str">
        <f aca="false">IF(J1822=1,"✓","")</f>
        <v>✓</v>
      </c>
      <c r="F1822" s="4" t="n">
        <v>2</v>
      </c>
      <c r="G1822" s="4" t="n">
        <v>1</v>
      </c>
      <c r="H1822" s="4" t="s">
        <v>213</v>
      </c>
      <c r="I1822" s="4" t="s">
        <v>52</v>
      </c>
      <c r="J1822" s="4" t="n">
        <f aca="false">INDEX('Master List'!$G$2:$G$2594,K1822)</f>
        <v>1</v>
      </c>
      <c r="K1822" s="4" t="n">
        <v>413</v>
      </c>
    </row>
    <row r="1823" customFormat="false" ht="15" hidden="false" customHeight="false" outlineLevel="0" collapsed="false">
      <c r="A1823" s="4" t="n">
        <v>1822</v>
      </c>
      <c r="B1823" s="4" t="s">
        <v>2777</v>
      </c>
      <c r="C1823" s="4" t="n">
        <v>2002</v>
      </c>
      <c r="D1823" s="4" t="s">
        <v>2778</v>
      </c>
      <c r="E1823" s="25" t="str">
        <f aca="false">IF(J1823=1,"✓","")</f>
        <v>✓</v>
      </c>
      <c r="F1823" s="4" t="n">
        <v>2</v>
      </c>
      <c r="G1823" s="4" t="n">
        <v>1</v>
      </c>
      <c r="H1823" s="4" t="s">
        <v>213</v>
      </c>
      <c r="I1823" s="4" t="s">
        <v>52</v>
      </c>
      <c r="J1823" s="4" t="n">
        <f aca="false">INDEX('Master List'!$G$2:$G$2594,K1823)</f>
        <v>1</v>
      </c>
      <c r="K1823" s="4" t="n">
        <v>325</v>
      </c>
    </row>
    <row r="1824" customFormat="false" ht="15" hidden="false" customHeight="false" outlineLevel="0" collapsed="false">
      <c r="A1824" s="4" t="n">
        <v>1823</v>
      </c>
      <c r="B1824" s="4" t="s">
        <v>2779</v>
      </c>
      <c r="C1824" s="4" t="n">
        <v>2002</v>
      </c>
      <c r="D1824" s="4" t="s">
        <v>148</v>
      </c>
      <c r="E1824" s="25" t="str">
        <f aca="false">IF(J1824=1,"✓","")</f>
        <v/>
      </c>
      <c r="F1824" s="4" t="n">
        <v>2</v>
      </c>
      <c r="G1824" s="4" t="n">
        <v>1</v>
      </c>
      <c r="H1824" s="4" t="s">
        <v>213</v>
      </c>
      <c r="I1824" s="4" t="s">
        <v>53</v>
      </c>
      <c r="J1824" s="4" t="n">
        <f aca="false">INDEX('Master List'!$G$2:$G$2594,K1824)</f>
        <v>0</v>
      </c>
      <c r="K1824" s="4" t="n">
        <v>16</v>
      </c>
    </row>
    <row r="1825" customFormat="false" ht="15" hidden="false" customHeight="false" outlineLevel="0" collapsed="false">
      <c r="A1825" s="4" t="n">
        <v>1824</v>
      </c>
      <c r="B1825" s="4" t="s">
        <v>2780</v>
      </c>
      <c r="C1825" s="4" t="n">
        <v>2002</v>
      </c>
      <c r="D1825" s="4" t="s">
        <v>2781</v>
      </c>
      <c r="E1825" s="25" t="str">
        <f aca="false">IF(J1825=1,"✓","")</f>
        <v/>
      </c>
      <c r="F1825" s="4" t="n">
        <v>2</v>
      </c>
      <c r="G1825" s="4" t="n">
        <v>1</v>
      </c>
      <c r="H1825" s="4" t="s">
        <v>213</v>
      </c>
      <c r="I1825" s="4" t="s">
        <v>53</v>
      </c>
      <c r="J1825" s="4" t="n">
        <f aca="false">INDEX('Master List'!$G$2:$G$2594,K1825)</f>
        <v>0</v>
      </c>
      <c r="K1825" s="4" t="n">
        <v>512</v>
      </c>
    </row>
    <row r="1826" customFormat="false" ht="15" hidden="false" customHeight="false" outlineLevel="0" collapsed="false">
      <c r="A1826" s="4" t="n">
        <v>1825</v>
      </c>
      <c r="B1826" s="4" t="s">
        <v>2782</v>
      </c>
      <c r="C1826" s="4" t="n">
        <v>2002</v>
      </c>
      <c r="D1826" s="4" t="s">
        <v>325</v>
      </c>
      <c r="E1826" s="25" t="str">
        <f aca="false">IF(J1826=1,"✓","")</f>
        <v/>
      </c>
      <c r="F1826" s="4" t="n">
        <v>2</v>
      </c>
      <c r="G1826" s="4" t="n">
        <v>1</v>
      </c>
      <c r="H1826" s="4" t="s">
        <v>213</v>
      </c>
      <c r="I1826" s="4" t="s">
        <v>53</v>
      </c>
      <c r="J1826" s="4" t="n">
        <f aca="false">INDEX('Master List'!$G$2:$G$2594,K1826)</f>
        <v>0</v>
      </c>
      <c r="K1826" s="4" t="n">
        <v>1713</v>
      </c>
    </row>
    <row r="1827" customFormat="false" ht="15" hidden="false" customHeight="false" outlineLevel="0" collapsed="false">
      <c r="A1827" s="4" t="n">
        <v>1826</v>
      </c>
      <c r="B1827" s="4" t="s">
        <v>2783</v>
      </c>
      <c r="C1827" s="4" t="n">
        <v>2002</v>
      </c>
      <c r="D1827" s="4" t="s">
        <v>262</v>
      </c>
      <c r="E1827" s="25" t="str">
        <f aca="false">IF(J1827=1,"✓","")</f>
        <v/>
      </c>
      <c r="F1827" s="4" t="n">
        <v>2</v>
      </c>
      <c r="G1827" s="4" t="n">
        <v>1</v>
      </c>
      <c r="H1827" s="4" t="s">
        <v>213</v>
      </c>
      <c r="I1827" s="4" t="s">
        <v>53</v>
      </c>
      <c r="J1827" s="4" t="n">
        <f aca="false">INDEX('Master List'!$G$2:$G$2594,K1827)</f>
        <v>0</v>
      </c>
      <c r="K1827" s="4" t="n">
        <v>856</v>
      </c>
    </row>
    <row r="1828" customFormat="false" ht="15" hidden="false" customHeight="false" outlineLevel="0" collapsed="false">
      <c r="A1828" s="4" t="n">
        <v>1827</v>
      </c>
      <c r="B1828" s="4" t="s">
        <v>2784</v>
      </c>
      <c r="C1828" s="4" t="n">
        <v>2002</v>
      </c>
      <c r="D1828" s="4" t="s">
        <v>203</v>
      </c>
      <c r="E1828" s="25" t="str">
        <f aca="false">IF(J1828=1,"✓","")</f>
        <v/>
      </c>
      <c r="F1828" s="4" t="n">
        <v>2</v>
      </c>
      <c r="G1828" s="4" t="n">
        <v>1</v>
      </c>
      <c r="H1828" s="4" t="s">
        <v>213</v>
      </c>
      <c r="I1828" s="4" t="s">
        <v>53</v>
      </c>
      <c r="J1828" s="4" t="n">
        <f aca="false">INDEX('Master List'!$G$2:$G$2594,K1828)</f>
        <v>0</v>
      </c>
      <c r="K1828" s="4" t="n">
        <v>2250</v>
      </c>
    </row>
    <row r="1829" customFormat="false" ht="15" hidden="false" customHeight="false" outlineLevel="0" collapsed="false">
      <c r="A1829" s="4" t="n">
        <v>1828</v>
      </c>
      <c r="B1829" s="4" t="s">
        <v>2785</v>
      </c>
      <c r="C1829" s="4" t="n">
        <v>2002</v>
      </c>
      <c r="D1829" s="4" t="s">
        <v>859</v>
      </c>
      <c r="E1829" s="25" t="str">
        <f aca="false">IF(J1829=1,"✓","")</f>
        <v/>
      </c>
      <c r="F1829" s="4" t="n">
        <v>2</v>
      </c>
      <c r="G1829" s="4" t="n">
        <v>1</v>
      </c>
      <c r="H1829" s="4" t="s">
        <v>213</v>
      </c>
      <c r="I1829" s="4" t="s">
        <v>53</v>
      </c>
      <c r="J1829" s="4" t="n">
        <f aca="false">INDEX('Master List'!$G$2:$G$2594,K1829)</f>
        <v>0</v>
      </c>
      <c r="K1829" s="4" t="n">
        <v>2411</v>
      </c>
    </row>
    <row r="1830" customFormat="false" ht="15" hidden="false" customHeight="false" outlineLevel="0" collapsed="false">
      <c r="A1830" s="4" t="n">
        <v>1829</v>
      </c>
      <c r="B1830" s="4" t="s">
        <v>2786</v>
      </c>
      <c r="C1830" s="4" t="n">
        <v>2002</v>
      </c>
      <c r="D1830" s="4" t="s">
        <v>2787</v>
      </c>
      <c r="E1830" s="25" t="str">
        <f aca="false">IF(J1830=1,"✓","")</f>
        <v/>
      </c>
      <c r="F1830" s="4" t="n">
        <v>2</v>
      </c>
      <c r="G1830" s="4" t="n">
        <v>1</v>
      </c>
      <c r="H1830" s="4" t="s">
        <v>213</v>
      </c>
      <c r="I1830" s="4" t="s">
        <v>54</v>
      </c>
      <c r="J1830" s="4" t="n">
        <f aca="false">INDEX('Master List'!$G$2:$G$2594,K1830)</f>
        <v>0</v>
      </c>
      <c r="K1830" s="4" t="n">
        <v>1847</v>
      </c>
    </row>
    <row r="1831" customFormat="false" ht="15" hidden="false" customHeight="false" outlineLevel="0" collapsed="false">
      <c r="A1831" s="4" t="n">
        <v>1830</v>
      </c>
      <c r="B1831" s="4" t="s">
        <v>2788</v>
      </c>
      <c r="C1831" s="4" t="n">
        <v>2002</v>
      </c>
      <c r="D1831" s="4" t="s">
        <v>429</v>
      </c>
      <c r="E1831" s="25" t="str">
        <f aca="false">IF(J1831=1,"✓","")</f>
        <v/>
      </c>
      <c r="F1831" s="4" t="n">
        <v>2</v>
      </c>
      <c r="G1831" s="4" t="n">
        <v>1</v>
      </c>
      <c r="H1831" s="4" t="s">
        <v>213</v>
      </c>
      <c r="I1831" s="4" t="s">
        <v>55</v>
      </c>
      <c r="J1831" s="4" t="n">
        <f aca="false">INDEX('Master List'!$G$2:$G$2594,K1831)</f>
        <v>0</v>
      </c>
      <c r="K1831" s="4" t="n">
        <v>34</v>
      </c>
    </row>
    <row r="1832" customFormat="false" ht="15" hidden="false" customHeight="false" outlineLevel="0" collapsed="false">
      <c r="A1832" s="4" t="n">
        <v>1831</v>
      </c>
      <c r="B1832" s="4" t="s">
        <v>2789</v>
      </c>
      <c r="C1832" s="4" t="n">
        <v>2002</v>
      </c>
      <c r="D1832" s="4" t="s">
        <v>2790</v>
      </c>
      <c r="E1832" s="25" t="str">
        <f aca="false">IF(J1832=1,"✓","")</f>
        <v/>
      </c>
      <c r="F1832" s="4" t="n">
        <v>2</v>
      </c>
      <c r="G1832" s="4" t="n">
        <v>1</v>
      </c>
      <c r="H1832" s="4" t="s">
        <v>213</v>
      </c>
      <c r="I1832" s="4" t="s">
        <v>55</v>
      </c>
      <c r="J1832" s="4" t="n">
        <f aca="false">INDEX('Master List'!$G$2:$G$2594,K1832)</f>
        <v>0</v>
      </c>
      <c r="K1832" s="4" t="n">
        <v>15</v>
      </c>
    </row>
    <row r="1833" customFormat="false" ht="15" hidden="false" customHeight="false" outlineLevel="0" collapsed="false">
      <c r="A1833" s="4" t="n">
        <v>1832</v>
      </c>
      <c r="B1833" s="4" t="s">
        <v>2791</v>
      </c>
      <c r="C1833" s="4" t="n">
        <v>2002</v>
      </c>
      <c r="D1833" s="4" t="s">
        <v>164</v>
      </c>
      <c r="E1833" s="25" t="str">
        <f aca="false">IF(J1833=1,"✓","")</f>
        <v>✓</v>
      </c>
      <c r="F1833" s="4" t="n">
        <v>2</v>
      </c>
      <c r="G1833" s="4" t="n">
        <v>1</v>
      </c>
      <c r="H1833" s="4" t="s">
        <v>213</v>
      </c>
      <c r="I1833" s="4" t="s">
        <v>55</v>
      </c>
      <c r="J1833" s="4" t="n">
        <f aca="false">INDEX('Master List'!$G$2:$G$2594,K1833)</f>
        <v>1</v>
      </c>
      <c r="K1833" s="4" t="n">
        <v>876</v>
      </c>
    </row>
    <row r="1834" customFormat="false" ht="15" hidden="false" customHeight="false" outlineLevel="0" collapsed="false">
      <c r="A1834" s="4" t="n">
        <v>1833</v>
      </c>
      <c r="B1834" s="4" t="s">
        <v>2792</v>
      </c>
      <c r="C1834" s="4" t="n">
        <v>2002</v>
      </c>
      <c r="D1834" s="4" t="s">
        <v>2793</v>
      </c>
      <c r="E1834" s="25" t="str">
        <f aca="false">IF(J1834=1,"✓","")</f>
        <v>✓</v>
      </c>
      <c r="F1834" s="4" t="n">
        <v>2</v>
      </c>
      <c r="G1834" s="4" t="n">
        <v>1</v>
      </c>
      <c r="H1834" s="4" t="s">
        <v>213</v>
      </c>
      <c r="I1834" s="4" t="s">
        <v>56</v>
      </c>
      <c r="J1834" s="4" t="n">
        <f aca="false">INDEX('Master List'!$G$2:$G$2594,K1834)</f>
        <v>1</v>
      </c>
      <c r="K1834" s="4" t="n">
        <v>1759</v>
      </c>
    </row>
    <row r="1835" customFormat="false" ht="15" hidden="false" customHeight="false" outlineLevel="0" collapsed="false">
      <c r="A1835" s="4" t="n">
        <v>1834</v>
      </c>
      <c r="B1835" s="4" t="s">
        <v>2794</v>
      </c>
      <c r="C1835" s="4" t="n">
        <v>2002</v>
      </c>
      <c r="D1835" s="4" t="s">
        <v>865</v>
      </c>
      <c r="E1835" s="25" t="str">
        <f aca="false">IF(J1835=1,"✓","")</f>
        <v/>
      </c>
      <c r="F1835" s="4" t="n">
        <v>2</v>
      </c>
      <c r="G1835" s="4" t="n">
        <v>1</v>
      </c>
      <c r="H1835" s="4" t="s">
        <v>213</v>
      </c>
      <c r="I1835" s="4" t="s">
        <v>56</v>
      </c>
      <c r="J1835" s="4" t="n">
        <f aca="false">INDEX('Master List'!$G$2:$G$2594,K1835)</f>
        <v>0</v>
      </c>
      <c r="K1835" s="4" t="n">
        <v>1227</v>
      </c>
    </row>
    <row r="1836" customFormat="false" ht="15" hidden="false" customHeight="false" outlineLevel="0" collapsed="false">
      <c r="A1836" s="4" t="n">
        <v>1835</v>
      </c>
      <c r="B1836" s="4" t="s">
        <v>2795</v>
      </c>
      <c r="C1836" s="4" t="n">
        <v>2002</v>
      </c>
      <c r="D1836" s="4" t="s">
        <v>2796</v>
      </c>
      <c r="E1836" s="25" t="str">
        <f aca="false">IF(J1836=1,"✓","")</f>
        <v/>
      </c>
      <c r="F1836" s="4" t="n">
        <v>2</v>
      </c>
      <c r="G1836" s="4" t="n">
        <v>1</v>
      </c>
      <c r="H1836" s="4" t="s">
        <v>213</v>
      </c>
      <c r="I1836" s="4" t="s">
        <v>56</v>
      </c>
      <c r="J1836" s="4" t="n">
        <f aca="false">INDEX('Master List'!$G$2:$G$2594,K1836)</f>
        <v>0</v>
      </c>
      <c r="K1836" s="4" t="n">
        <v>222</v>
      </c>
    </row>
    <row r="1837" customFormat="false" ht="15" hidden="false" customHeight="false" outlineLevel="0" collapsed="false">
      <c r="A1837" s="4" t="n">
        <v>1836</v>
      </c>
      <c r="B1837" s="4" t="s">
        <v>2797</v>
      </c>
      <c r="C1837" s="4" t="n">
        <v>2002</v>
      </c>
      <c r="D1837" s="4" t="s">
        <v>2798</v>
      </c>
      <c r="E1837" s="25" t="str">
        <f aca="false">IF(J1837=1,"✓","")</f>
        <v/>
      </c>
      <c r="F1837" s="4" t="n">
        <v>2</v>
      </c>
      <c r="G1837" s="4" t="n">
        <v>1</v>
      </c>
      <c r="H1837" s="4" t="s">
        <v>213</v>
      </c>
      <c r="I1837" s="4" t="s">
        <v>56</v>
      </c>
      <c r="J1837" s="4" t="n">
        <f aca="false">INDEX('Master List'!$G$2:$G$2594,K1837)</f>
        <v>0</v>
      </c>
      <c r="K1837" s="4" t="n">
        <v>1908</v>
      </c>
    </row>
    <row r="1838" customFormat="false" ht="15" hidden="false" customHeight="false" outlineLevel="0" collapsed="false">
      <c r="A1838" s="4" t="n">
        <v>1837</v>
      </c>
      <c r="B1838" s="4" t="s">
        <v>2799</v>
      </c>
      <c r="C1838" s="4" t="n">
        <v>2003</v>
      </c>
      <c r="D1838" s="4" t="s">
        <v>2800</v>
      </c>
      <c r="E1838" s="25" t="str">
        <f aca="false">IF(J1838=1,"✓","")</f>
        <v/>
      </c>
      <c r="F1838" s="4" t="n">
        <v>2</v>
      </c>
      <c r="G1838" s="4" t="n">
        <v>1</v>
      </c>
      <c r="H1838" s="4" t="s">
        <v>213</v>
      </c>
      <c r="I1838" s="4" t="s">
        <v>51</v>
      </c>
      <c r="J1838" s="4" t="n">
        <f aca="false">INDEX('Master List'!$G$2:$G$2594,K1838)</f>
        <v>0</v>
      </c>
      <c r="K1838" s="4" t="n">
        <v>2140</v>
      </c>
    </row>
    <row r="1839" customFormat="false" ht="15" hidden="false" customHeight="false" outlineLevel="0" collapsed="false">
      <c r="A1839" s="4" t="n">
        <v>1838</v>
      </c>
      <c r="B1839" s="4" t="s">
        <v>2801</v>
      </c>
      <c r="C1839" s="4" t="n">
        <v>2003</v>
      </c>
      <c r="D1839" s="4" t="s">
        <v>2636</v>
      </c>
      <c r="E1839" s="25" t="str">
        <f aca="false">IF(J1839=1,"✓","")</f>
        <v/>
      </c>
      <c r="F1839" s="4" t="n">
        <v>2</v>
      </c>
      <c r="G1839" s="4" t="n">
        <v>1</v>
      </c>
      <c r="H1839" s="4" t="s">
        <v>213</v>
      </c>
      <c r="I1839" s="4" t="s">
        <v>52</v>
      </c>
      <c r="J1839" s="4" t="n">
        <f aca="false">INDEX('Master List'!$G$2:$G$2594,K1839)</f>
        <v>0</v>
      </c>
      <c r="K1839" s="4" t="n">
        <v>1497</v>
      </c>
    </row>
    <row r="1840" customFormat="false" ht="15" hidden="false" customHeight="false" outlineLevel="0" collapsed="false">
      <c r="A1840" s="4" t="n">
        <v>1839</v>
      </c>
      <c r="B1840" s="4" t="s">
        <v>2802</v>
      </c>
      <c r="C1840" s="4" t="n">
        <v>2003</v>
      </c>
      <c r="D1840" s="4" t="s">
        <v>174</v>
      </c>
      <c r="E1840" s="25" t="str">
        <f aca="false">IF(J1840=1,"✓","")</f>
        <v/>
      </c>
      <c r="F1840" s="4" t="n">
        <v>2</v>
      </c>
      <c r="G1840" s="4" t="n">
        <v>1</v>
      </c>
      <c r="H1840" s="4" t="s">
        <v>213</v>
      </c>
      <c r="I1840" s="4" t="s">
        <v>52</v>
      </c>
      <c r="J1840" s="4" t="n">
        <f aca="false">INDEX('Master List'!$G$2:$G$2594,K1840)</f>
        <v>0</v>
      </c>
      <c r="K1840" s="4" t="n">
        <v>1462</v>
      </c>
    </row>
    <row r="1841" customFormat="false" ht="15" hidden="false" customHeight="false" outlineLevel="0" collapsed="false">
      <c r="A1841" s="4" t="n">
        <v>1840</v>
      </c>
      <c r="B1841" s="4" t="s">
        <v>2803</v>
      </c>
      <c r="C1841" s="4" t="n">
        <v>2003</v>
      </c>
      <c r="D1841" s="4" t="s">
        <v>2804</v>
      </c>
      <c r="E1841" s="25" t="str">
        <f aca="false">IF(J1841=1,"✓","")</f>
        <v/>
      </c>
      <c r="F1841" s="4" t="n">
        <v>2</v>
      </c>
      <c r="G1841" s="4" t="n">
        <v>1</v>
      </c>
      <c r="H1841" s="4" t="s">
        <v>213</v>
      </c>
      <c r="I1841" s="4" t="s">
        <v>52</v>
      </c>
      <c r="J1841" s="4" t="n">
        <f aca="false">INDEX('Master List'!$G$2:$G$2594,K1841)</f>
        <v>0</v>
      </c>
      <c r="K1841" s="4" t="n">
        <v>2369</v>
      </c>
    </row>
    <row r="1842" customFormat="false" ht="15" hidden="false" customHeight="false" outlineLevel="0" collapsed="false">
      <c r="A1842" s="4" t="n">
        <v>1841</v>
      </c>
      <c r="B1842" s="4" t="s">
        <v>2805</v>
      </c>
      <c r="C1842" s="4" t="n">
        <v>2003</v>
      </c>
      <c r="D1842" s="4" t="s">
        <v>1605</v>
      </c>
      <c r="E1842" s="25" t="str">
        <f aca="false">IF(J1842=1,"✓","")</f>
        <v/>
      </c>
      <c r="F1842" s="4" t="n">
        <v>2</v>
      </c>
      <c r="G1842" s="4" t="n">
        <v>1</v>
      </c>
      <c r="H1842" s="4" t="s">
        <v>213</v>
      </c>
      <c r="I1842" s="4" t="s">
        <v>52</v>
      </c>
      <c r="J1842" s="4" t="n">
        <f aca="false">INDEX('Master List'!$G$2:$G$2594,K1842)</f>
        <v>0</v>
      </c>
      <c r="K1842" s="4" t="n">
        <v>805</v>
      </c>
    </row>
    <row r="1843" customFormat="false" ht="15" hidden="false" customHeight="false" outlineLevel="0" collapsed="false">
      <c r="A1843" s="4" t="n">
        <v>1842</v>
      </c>
      <c r="B1843" s="4" t="s">
        <v>2806</v>
      </c>
      <c r="C1843" s="4" t="n">
        <v>2003</v>
      </c>
      <c r="D1843" s="4" t="s">
        <v>2807</v>
      </c>
      <c r="E1843" s="25" t="str">
        <f aca="false">IF(J1843=1,"✓","")</f>
        <v/>
      </c>
      <c r="F1843" s="4" t="n">
        <v>2</v>
      </c>
      <c r="G1843" s="4" t="n">
        <v>1</v>
      </c>
      <c r="H1843" s="4" t="s">
        <v>213</v>
      </c>
      <c r="I1843" s="4" t="s">
        <v>52</v>
      </c>
      <c r="J1843" s="4" t="n">
        <f aca="false">INDEX('Master List'!$G$2:$G$2594,K1843)</f>
        <v>0</v>
      </c>
      <c r="K1843" s="4" t="n">
        <v>2243</v>
      </c>
    </row>
    <row r="1844" customFormat="false" ht="15" hidden="false" customHeight="false" outlineLevel="0" collapsed="false">
      <c r="A1844" s="4" t="n">
        <v>1843</v>
      </c>
      <c r="B1844" s="4" t="s">
        <v>2808</v>
      </c>
      <c r="C1844" s="4" t="n">
        <v>2003</v>
      </c>
      <c r="D1844" s="4" t="s">
        <v>208</v>
      </c>
      <c r="E1844" s="25" t="str">
        <f aca="false">IF(J1844=1,"✓","")</f>
        <v>✓</v>
      </c>
      <c r="F1844" s="4" t="n">
        <v>2</v>
      </c>
      <c r="G1844" s="4" t="n">
        <v>1</v>
      </c>
      <c r="H1844" s="4" t="s">
        <v>213</v>
      </c>
      <c r="I1844" s="4" t="s">
        <v>53</v>
      </c>
      <c r="J1844" s="4" t="n">
        <f aca="false">INDEX('Master List'!$G$2:$G$2594,K1844)</f>
        <v>1</v>
      </c>
      <c r="K1844" s="4" t="n">
        <v>1242</v>
      </c>
    </row>
    <row r="1845" customFormat="false" ht="15" hidden="false" customHeight="false" outlineLevel="0" collapsed="false">
      <c r="A1845" s="4" t="n">
        <v>1844</v>
      </c>
      <c r="B1845" s="4" t="s">
        <v>2809</v>
      </c>
      <c r="C1845" s="4" t="n">
        <v>2003</v>
      </c>
      <c r="D1845" s="4" t="s">
        <v>1111</v>
      </c>
      <c r="E1845" s="25" t="str">
        <f aca="false">IF(J1845=1,"✓","")</f>
        <v>✓</v>
      </c>
      <c r="F1845" s="4" t="n">
        <v>2</v>
      </c>
      <c r="G1845" s="4" t="n">
        <v>1</v>
      </c>
      <c r="H1845" s="4" t="s">
        <v>213</v>
      </c>
      <c r="I1845" s="4" t="s">
        <v>55</v>
      </c>
      <c r="J1845" s="4" t="n">
        <f aca="false">INDEX('Master List'!$G$2:$G$2594,K1845)</f>
        <v>1</v>
      </c>
      <c r="K1845" s="4" t="n">
        <v>241</v>
      </c>
    </row>
    <row r="1846" customFormat="false" ht="15" hidden="false" customHeight="false" outlineLevel="0" collapsed="false">
      <c r="A1846" s="4" t="n">
        <v>1845</v>
      </c>
      <c r="B1846" s="4" t="s">
        <v>2810</v>
      </c>
      <c r="C1846" s="4" t="n">
        <v>2003</v>
      </c>
      <c r="D1846" s="4" t="s">
        <v>439</v>
      </c>
      <c r="E1846" s="25" t="str">
        <f aca="false">IF(J1846=1,"✓","")</f>
        <v/>
      </c>
      <c r="F1846" s="4" t="n">
        <v>2</v>
      </c>
      <c r="G1846" s="4" t="n">
        <v>1</v>
      </c>
      <c r="H1846" s="4" t="s">
        <v>213</v>
      </c>
      <c r="I1846" s="4" t="s">
        <v>56</v>
      </c>
      <c r="J1846" s="4" t="n">
        <f aca="false">INDEX('Master List'!$G$2:$G$2594,K1846)</f>
        <v>0</v>
      </c>
      <c r="K1846" s="4" t="n">
        <v>1459</v>
      </c>
    </row>
    <row r="1847" customFormat="false" ht="15" hidden="false" customHeight="false" outlineLevel="0" collapsed="false">
      <c r="A1847" s="4" t="n">
        <v>1846</v>
      </c>
      <c r="B1847" s="4" t="s">
        <v>2811</v>
      </c>
      <c r="C1847" s="4" t="n">
        <v>2004</v>
      </c>
      <c r="D1847" s="4" t="s">
        <v>1549</v>
      </c>
      <c r="E1847" s="25" t="str">
        <f aca="false">IF(J1847=1,"✓","")</f>
        <v/>
      </c>
      <c r="F1847" s="4" t="n">
        <v>2</v>
      </c>
      <c r="G1847" s="4" t="n">
        <v>1</v>
      </c>
      <c r="H1847" s="4" t="s">
        <v>213</v>
      </c>
      <c r="I1847" s="4" t="s">
        <v>51</v>
      </c>
      <c r="J1847" s="4" t="n">
        <f aca="false">INDEX('Master List'!$G$2:$G$2594,K1847)</f>
        <v>0</v>
      </c>
      <c r="K1847" s="4" t="n">
        <v>2426</v>
      </c>
    </row>
    <row r="1848" customFormat="false" ht="15" hidden="false" customHeight="false" outlineLevel="0" collapsed="false">
      <c r="A1848" s="4" t="n">
        <v>1847</v>
      </c>
      <c r="B1848" s="4" t="s">
        <v>2812</v>
      </c>
      <c r="C1848" s="4" t="n">
        <v>2004</v>
      </c>
      <c r="D1848" s="4" t="s">
        <v>1579</v>
      </c>
      <c r="E1848" s="25" t="str">
        <f aca="false">IF(J1848=1,"✓","")</f>
        <v/>
      </c>
      <c r="F1848" s="4" t="n">
        <v>2</v>
      </c>
      <c r="G1848" s="4" t="n">
        <v>1</v>
      </c>
      <c r="H1848" s="4" t="s">
        <v>213</v>
      </c>
      <c r="I1848" s="4" t="s">
        <v>51</v>
      </c>
      <c r="J1848" s="4" t="n">
        <f aca="false">INDEX('Master List'!$G$2:$G$2594,K1848)</f>
        <v>0</v>
      </c>
      <c r="K1848" s="4" t="n">
        <v>1053</v>
      </c>
    </row>
    <row r="1849" customFormat="false" ht="15" hidden="false" customHeight="false" outlineLevel="0" collapsed="false">
      <c r="A1849" s="4" t="n">
        <v>1848</v>
      </c>
      <c r="B1849" s="4" t="s">
        <v>2813</v>
      </c>
      <c r="C1849" s="4" t="n">
        <v>2004</v>
      </c>
      <c r="D1849" s="4" t="s">
        <v>1541</v>
      </c>
      <c r="E1849" s="25" t="str">
        <f aca="false">IF(J1849=1,"✓","")</f>
        <v/>
      </c>
      <c r="F1849" s="4" t="n">
        <v>2</v>
      </c>
      <c r="G1849" s="4" t="n">
        <v>1</v>
      </c>
      <c r="H1849" s="4" t="s">
        <v>213</v>
      </c>
      <c r="I1849" s="4" t="s">
        <v>51</v>
      </c>
      <c r="J1849" s="4" t="n">
        <f aca="false">INDEX('Master List'!$G$2:$G$2594,K1849)</f>
        <v>0</v>
      </c>
      <c r="K1849" s="4" t="n">
        <v>1074</v>
      </c>
    </row>
    <row r="1850" customFormat="false" ht="15" hidden="false" customHeight="false" outlineLevel="0" collapsed="false">
      <c r="A1850" s="4" t="n">
        <v>1849</v>
      </c>
      <c r="B1850" s="4" t="s">
        <v>2814</v>
      </c>
      <c r="C1850" s="4" t="n">
        <v>2004</v>
      </c>
      <c r="D1850" s="4" t="s">
        <v>470</v>
      </c>
      <c r="E1850" s="25" t="str">
        <f aca="false">IF(J1850=1,"✓","")</f>
        <v/>
      </c>
      <c r="F1850" s="4" t="n">
        <v>2</v>
      </c>
      <c r="G1850" s="4" t="n">
        <v>1</v>
      </c>
      <c r="H1850" s="4" t="s">
        <v>213</v>
      </c>
      <c r="I1850" s="4" t="s">
        <v>51</v>
      </c>
      <c r="J1850" s="4" t="n">
        <f aca="false">INDEX('Master List'!$G$2:$G$2594,K1850)</f>
        <v>0</v>
      </c>
      <c r="K1850" s="4" t="n">
        <v>1529</v>
      </c>
    </row>
    <row r="1851" customFormat="false" ht="15" hidden="false" customHeight="false" outlineLevel="0" collapsed="false">
      <c r="A1851" s="4" t="n">
        <v>1850</v>
      </c>
      <c r="B1851" s="4" t="s">
        <v>2815</v>
      </c>
      <c r="C1851" s="4" t="n">
        <v>2004</v>
      </c>
      <c r="D1851" s="4" t="s">
        <v>2816</v>
      </c>
      <c r="E1851" s="25" t="str">
        <f aca="false">IF(J1851=1,"✓","")</f>
        <v>✓</v>
      </c>
      <c r="F1851" s="4" t="n">
        <v>2</v>
      </c>
      <c r="G1851" s="4" t="n">
        <v>1</v>
      </c>
      <c r="H1851" s="4" t="s">
        <v>213</v>
      </c>
      <c r="I1851" s="4" t="s">
        <v>52</v>
      </c>
      <c r="J1851" s="4" t="n">
        <f aca="false">INDEX('Master List'!$G$2:$G$2594,K1851)</f>
        <v>1</v>
      </c>
      <c r="K1851" s="4" t="n">
        <v>2038</v>
      </c>
    </row>
    <row r="1852" customFormat="false" ht="15" hidden="false" customHeight="false" outlineLevel="0" collapsed="false">
      <c r="A1852" s="4" t="n">
        <v>1851</v>
      </c>
      <c r="B1852" s="4" t="s">
        <v>2817</v>
      </c>
      <c r="C1852" s="4" t="n">
        <v>2004</v>
      </c>
      <c r="D1852" s="4" t="s">
        <v>2818</v>
      </c>
      <c r="E1852" s="25" t="str">
        <f aca="false">IF(J1852=1,"✓","")</f>
        <v/>
      </c>
      <c r="F1852" s="4" t="n">
        <v>2</v>
      </c>
      <c r="G1852" s="4" t="n">
        <v>1</v>
      </c>
      <c r="H1852" s="4" t="s">
        <v>213</v>
      </c>
      <c r="I1852" s="4" t="s">
        <v>52</v>
      </c>
      <c r="J1852" s="4" t="n">
        <f aca="false">INDEX('Master List'!$G$2:$G$2594,K1852)</f>
        <v>0</v>
      </c>
      <c r="K1852" s="4" t="n">
        <v>2063</v>
      </c>
    </row>
    <row r="1853" customFormat="false" ht="15" hidden="false" customHeight="false" outlineLevel="0" collapsed="false">
      <c r="A1853" s="4" t="n">
        <v>1852</v>
      </c>
      <c r="B1853" s="4" t="s">
        <v>2819</v>
      </c>
      <c r="C1853" s="4" t="n">
        <v>2004</v>
      </c>
      <c r="D1853" s="4" t="s">
        <v>2820</v>
      </c>
      <c r="E1853" s="25" t="str">
        <f aca="false">IF(J1853=1,"✓","")</f>
        <v>✓</v>
      </c>
      <c r="F1853" s="4" t="n">
        <v>2</v>
      </c>
      <c r="G1853" s="4" t="n">
        <v>1</v>
      </c>
      <c r="H1853" s="4" t="s">
        <v>213</v>
      </c>
      <c r="I1853" s="4" t="s">
        <v>52</v>
      </c>
      <c r="J1853" s="4" t="n">
        <f aca="false">INDEX('Master List'!$G$2:$G$2594,K1853)</f>
        <v>1</v>
      </c>
      <c r="K1853" s="4" t="n">
        <v>1586</v>
      </c>
    </row>
    <row r="1854" customFormat="false" ht="15" hidden="false" customHeight="false" outlineLevel="0" collapsed="false">
      <c r="A1854" s="4" t="n">
        <v>1853</v>
      </c>
      <c r="B1854" s="4" t="s">
        <v>2821</v>
      </c>
      <c r="C1854" s="4" t="n">
        <v>2004</v>
      </c>
      <c r="D1854" s="4" t="s">
        <v>1179</v>
      </c>
      <c r="E1854" s="25" t="str">
        <f aca="false">IF(J1854=1,"✓","")</f>
        <v>✓</v>
      </c>
      <c r="F1854" s="4" t="n">
        <v>2</v>
      </c>
      <c r="G1854" s="4" t="n">
        <v>1</v>
      </c>
      <c r="H1854" s="4" t="s">
        <v>213</v>
      </c>
      <c r="I1854" s="4" t="s">
        <v>52</v>
      </c>
      <c r="J1854" s="4" t="n">
        <f aca="false">INDEX('Master List'!$G$2:$G$2594,K1854)</f>
        <v>1</v>
      </c>
      <c r="K1854" s="4" t="n">
        <v>1135</v>
      </c>
    </row>
    <row r="1855" customFormat="false" ht="15" hidden="false" customHeight="false" outlineLevel="0" collapsed="false">
      <c r="A1855" s="4" t="n">
        <v>1854</v>
      </c>
      <c r="B1855" s="4" t="s">
        <v>2822</v>
      </c>
      <c r="C1855" s="4" t="n">
        <v>2004</v>
      </c>
      <c r="D1855" s="4" t="s">
        <v>274</v>
      </c>
      <c r="E1855" s="25" t="str">
        <f aca="false">IF(J1855=1,"✓","")</f>
        <v>✓</v>
      </c>
      <c r="F1855" s="4" t="n">
        <v>2</v>
      </c>
      <c r="G1855" s="4" t="n">
        <v>1</v>
      </c>
      <c r="H1855" s="4" t="s">
        <v>213</v>
      </c>
      <c r="I1855" s="4" t="s">
        <v>53</v>
      </c>
      <c r="J1855" s="4" t="n">
        <f aca="false">INDEX('Master List'!$G$2:$G$2594,K1855)</f>
        <v>1</v>
      </c>
      <c r="K1855" s="4" t="n">
        <v>1332</v>
      </c>
    </row>
    <row r="1856" customFormat="false" ht="15" hidden="false" customHeight="false" outlineLevel="0" collapsed="false">
      <c r="A1856" s="4" t="n">
        <v>1855</v>
      </c>
      <c r="B1856" s="4" t="s">
        <v>2823</v>
      </c>
      <c r="C1856" s="4" t="n">
        <v>2004</v>
      </c>
      <c r="D1856" s="4" t="s">
        <v>1087</v>
      </c>
      <c r="E1856" s="25" t="str">
        <f aca="false">IF(J1856=1,"✓","")</f>
        <v/>
      </c>
      <c r="F1856" s="4" t="n">
        <v>2</v>
      </c>
      <c r="G1856" s="4" t="n">
        <v>1</v>
      </c>
      <c r="H1856" s="4" t="s">
        <v>213</v>
      </c>
      <c r="I1856" s="4" t="s">
        <v>53</v>
      </c>
      <c r="J1856" s="4" t="n">
        <f aca="false">INDEX('Master List'!$G$2:$G$2594,K1856)</f>
        <v>0</v>
      </c>
      <c r="K1856" s="4" t="n">
        <v>168</v>
      </c>
    </row>
    <row r="1857" customFormat="false" ht="15" hidden="false" customHeight="false" outlineLevel="0" collapsed="false">
      <c r="A1857" s="4" t="n">
        <v>1856</v>
      </c>
      <c r="B1857" s="4" t="s">
        <v>2824</v>
      </c>
      <c r="C1857" s="4" t="n">
        <v>2004</v>
      </c>
      <c r="D1857" s="4" t="s">
        <v>382</v>
      </c>
      <c r="E1857" s="25" t="str">
        <f aca="false">IF(J1857=1,"✓","")</f>
        <v/>
      </c>
      <c r="F1857" s="4" t="n">
        <v>2</v>
      </c>
      <c r="G1857" s="4" t="n">
        <v>1</v>
      </c>
      <c r="H1857" s="4" t="s">
        <v>213</v>
      </c>
      <c r="I1857" s="4" t="s">
        <v>53</v>
      </c>
      <c r="J1857" s="4" t="n">
        <f aca="false">INDEX('Master List'!$G$2:$G$2594,K1857)</f>
        <v>0</v>
      </c>
      <c r="K1857" s="4" t="n">
        <v>1080</v>
      </c>
    </row>
    <row r="1858" customFormat="false" ht="15" hidden="false" customHeight="false" outlineLevel="0" collapsed="false">
      <c r="A1858" s="4" t="n">
        <v>1857</v>
      </c>
      <c r="B1858" s="4" t="s">
        <v>2825</v>
      </c>
      <c r="C1858" s="4" t="n">
        <v>2004</v>
      </c>
      <c r="D1858" s="4" t="s">
        <v>193</v>
      </c>
      <c r="E1858" s="25" t="str">
        <f aca="false">IF(J1858=1,"✓","")</f>
        <v>✓</v>
      </c>
      <c r="F1858" s="4" t="n">
        <v>2</v>
      </c>
      <c r="G1858" s="4" t="n">
        <v>1</v>
      </c>
      <c r="H1858" s="4" t="s">
        <v>213</v>
      </c>
      <c r="I1858" s="4" t="s">
        <v>53</v>
      </c>
      <c r="J1858" s="4" t="n">
        <f aca="false">INDEX('Master List'!$G$2:$G$2594,K1858)</f>
        <v>1</v>
      </c>
      <c r="K1858" s="4" t="n">
        <v>13</v>
      </c>
    </row>
    <row r="1859" customFormat="false" ht="15" hidden="false" customHeight="false" outlineLevel="0" collapsed="false">
      <c r="A1859" s="4" t="n">
        <v>1858</v>
      </c>
      <c r="B1859" s="4" t="s">
        <v>2826</v>
      </c>
      <c r="C1859" s="4" t="n">
        <v>2004</v>
      </c>
      <c r="D1859" s="4" t="s">
        <v>1628</v>
      </c>
      <c r="E1859" s="25" t="str">
        <f aca="false">IF(J1859=1,"✓","")</f>
        <v/>
      </c>
      <c r="F1859" s="4" t="n">
        <v>2</v>
      </c>
      <c r="G1859" s="4" t="n">
        <v>1</v>
      </c>
      <c r="H1859" s="4" t="s">
        <v>213</v>
      </c>
      <c r="I1859" s="4" t="s">
        <v>53</v>
      </c>
      <c r="J1859" s="4" t="n">
        <f aca="false">INDEX('Master List'!$G$2:$G$2594,K1859)</f>
        <v>0</v>
      </c>
      <c r="K1859" s="4" t="n">
        <v>2544</v>
      </c>
    </row>
    <row r="1860" customFormat="false" ht="15" hidden="false" customHeight="false" outlineLevel="0" collapsed="false">
      <c r="A1860" s="4" t="n">
        <v>1859</v>
      </c>
      <c r="B1860" s="4" t="s">
        <v>2827</v>
      </c>
      <c r="C1860" s="4" t="n">
        <v>2004</v>
      </c>
      <c r="D1860" s="4" t="s">
        <v>859</v>
      </c>
      <c r="E1860" s="25" t="str">
        <f aca="false">IF(J1860=1,"✓","")</f>
        <v/>
      </c>
      <c r="F1860" s="4" t="n">
        <v>2</v>
      </c>
      <c r="G1860" s="4" t="n">
        <v>1</v>
      </c>
      <c r="H1860" s="4" t="s">
        <v>213</v>
      </c>
      <c r="I1860" s="4" t="s">
        <v>53</v>
      </c>
      <c r="J1860" s="4" t="n">
        <f aca="false">INDEX('Master List'!$G$2:$G$2594,K1860)</f>
        <v>0</v>
      </c>
      <c r="K1860" s="4" t="n">
        <v>2553</v>
      </c>
    </row>
    <row r="1861" customFormat="false" ht="15" hidden="false" customHeight="false" outlineLevel="0" collapsed="false">
      <c r="A1861" s="4" t="n">
        <v>1860</v>
      </c>
      <c r="B1861" s="4" t="s">
        <v>2828</v>
      </c>
      <c r="C1861" s="4" t="n">
        <v>2004</v>
      </c>
      <c r="D1861" s="4" t="s">
        <v>208</v>
      </c>
      <c r="E1861" s="25" t="str">
        <f aca="false">IF(J1861=1,"✓","")</f>
        <v>✓</v>
      </c>
      <c r="F1861" s="4" t="n">
        <v>2</v>
      </c>
      <c r="G1861" s="4" t="n">
        <v>1</v>
      </c>
      <c r="H1861" s="4" t="s">
        <v>213</v>
      </c>
      <c r="I1861" s="4" t="s">
        <v>53</v>
      </c>
      <c r="J1861" s="4" t="n">
        <f aca="false">INDEX('Master List'!$G$2:$G$2594,K1861)</f>
        <v>1</v>
      </c>
      <c r="K1861" s="4" t="n">
        <v>1243</v>
      </c>
    </row>
    <row r="1862" customFormat="false" ht="15" hidden="false" customHeight="false" outlineLevel="0" collapsed="false">
      <c r="A1862" s="4" t="n">
        <v>1861</v>
      </c>
      <c r="B1862" s="4" t="s">
        <v>2829</v>
      </c>
      <c r="C1862" s="4" t="n">
        <v>2004</v>
      </c>
      <c r="D1862" s="4" t="s">
        <v>2830</v>
      </c>
      <c r="E1862" s="25" t="str">
        <f aca="false">IF(J1862=1,"✓","")</f>
        <v/>
      </c>
      <c r="F1862" s="4" t="n">
        <v>2</v>
      </c>
      <c r="G1862" s="4" t="n">
        <v>1</v>
      </c>
      <c r="H1862" s="4" t="s">
        <v>213</v>
      </c>
      <c r="I1862" s="4" t="s">
        <v>55</v>
      </c>
      <c r="J1862" s="4" t="n">
        <f aca="false">INDEX('Master List'!$G$2:$G$2594,K1862)</f>
        <v>0</v>
      </c>
      <c r="K1862" s="4" t="n">
        <v>857</v>
      </c>
    </row>
    <row r="1863" customFormat="false" ht="15" hidden="false" customHeight="false" outlineLevel="0" collapsed="false">
      <c r="A1863" s="4" t="n">
        <v>1862</v>
      </c>
      <c r="B1863" s="4" t="s">
        <v>2831</v>
      </c>
      <c r="C1863" s="4" t="n">
        <v>2004</v>
      </c>
      <c r="D1863" s="4" t="s">
        <v>429</v>
      </c>
      <c r="E1863" s="25" t="str">
        <f aca="false">IF(J1863=1,"✓","")</f>
        <v>✓</v>
      </c>
      <c r="F1863" s="4" t="n">
        <v>2</v>
      </c>
      <c r="G1863" s="4" t="n">
        <v>1</v>
      </c>
      <c r="H1863" s="4" t="s">
        <v>213</v>
      </c>
      <c r="I1863" s="4" t="s">
        <v>58</v>
      </c>
      <c r="J1863" s="4" t="n">
        <f aca="false">INDEX('Master List'!$G$2:$G$2594,K1863)</f>
        <v>1</v>
      </c>
      <c r="K1863" s="4" t="n">
        <v>2066</v>
      </c>
    </row>
    <row r="1864" customFormat="false" ht="15" hidden="false" customHeight="false" outlineLevel="0" collapsed="false">
      <c r="A1864" s="4" t="n">
        <v>1863</v>
      </c>
      <c r="B1864" s="4" t="s">
        <v>2832</v>
      </c>
      <c r="C1864" s="4" t="n">
        <v>2005</v>
      </c>
      <c r="D1864" s="4" t="s">
        <v>2833</v>
      </c>
      <c r="E1864" s="25" t="str">
        <f aca="false">IF(J1864=1,"✓","")</f>
        <v>✓</v>
      </c>
      <c r="F1864" s="4" t="n">
        <v>2</v>
      </c>
      <c r="G1864" s="4" t="n">
        <v>1</v>
      </c>
      <c r="H1864" s="4" t="s">
        <v>213</v>
      </c>
      <c r="I1864" s="4" t="s">
        <v>52</v>
      </c>
      <c r="J1864" s="4" t="n">
        <f aca="false">INDEX('Master List'!$G$2:$G$2594,K1864)</f>
        <v>1</v>
      </c>
      <c r="K1864" s="4" t="n">
        <v>344</v>
      </c>
    </row>
    <row r="1865" customFormat="false" ht="15" hidden="false" customHeight="false" outlineLevel="0" collapsed="false">
      <c r="A1865" s="4" t="n">
        <v>1864</v>
      </c>
      <c r="B1865" s="4" t="s">
        <v>2834</v>
      </c>
      <c r="C1865" s="4" t="n">
        <v>2005</v>
      </c>
      <c r="D1865" s="4" t="s">
        <v>2835</v>
      </c>
      <c r="E1865" s="25" t="str">
        <f aca="false">IF(J1865=1,"✓","")</f>
        <v/>
      </c>
      <c r="F1865" s="4" t="n">
        <v>2</v>
      </c>
      <c r="G1865" s="4" t="n">
        <v>1</v>
      </c>
      <c r="H1865" s="4" t="s">
        <v>213</v>
      </c>
      <c r="I1865" s="4" t="s">
        <v>52</v>
      </c>
      <c r="J1865" s="4" t="n">
        <f aca="false">INDEX('Master List'!$G$2:$G$2594,K1865)</f>
        <v>0</v>
      </c>
      <c r="K1865" s="4" t="n">
        <v>2289</v>
      </c>
    </row>
    <row r="1866" customFormat="false" ht="15" hidden="false" customHeight="false" outlineLevel="0" collapsed="false">
      <c r="A1866" s="4" t="n">
        <v>1865</v>
      </c>
      <c r="B1866" s="4" t="s">
        <v>2836</v>
      </c>
      <c r="C1866" s="4" t="n">
        <v>2005</v>
      </c>
      <c r="D1866" s="4" t="s">
        <v>1251</v>
      </c>
      <c r="E1866" s="25" t="str">
        <f aca="false">IF(J1866=1,"✓","")</f>
        <v/>
      </c>
      <c r="F1866" s="4" t="n">
        <v>2</v>
      </c>
      <c r="G1866" s="4" t="n">
        <v>1</v>
      </c>
      <c r="H1866" s="4" t="s">
        <v>213</v>
      </c>
      <c r="I1866" s="4" t="s">
        <v>52</v>
      </c>
      <c r="J1866" s="4" t="n">
        <f aca="false">INDEX('Master List'!$G$2:$G$2594,K1866)</f>
        <v>0</v>
      </c>
      <c r="K1866" s="4" t="n">
        <v>1193</v>
      </c>
    </row>
    <row r="1867" customFormat="false" ht="15" hidden="false" customHeight="false" outlineLevel="0" collapsed="false">
      <c r="A1867" s="4" t="n">
        <v>1866</v>
      </c>
      <c r="B1867" s="4" t="s">
        <v>2837</v>
      </c>
      <c r="C1867" s="4" t="n">
        <v>2005</v>
      </c>
      <c r="D1867" s="4" t="s">
        <v>316</v>
      </c>
      <c r="E1867" s="25" t="str">
        <f aca="false">IF(J1867=1,"✓","")</f>
        <v/>
      </c>
      <c r="F1867" s="4" t="n">
        <v>2</v>
      </c>
      <c r="G1867" s="4" t="n">
        <v>1</v>
      </c>
      <c r="H1867" s="4" t="s">
        <v>213</v>
      </c>
      <c r="I1867" s="4" t="s">
        <v>53</v>
      </c>
      <c r="J1867" s="4" t="n">
        <f aca="false">INDEX('Master List'!$G$2:$G$2594,K1867)</f>
        <v>0</v>
      </c>
      <c r="K1867" s="4" t="n">
        <v>1044</v>
      </c>
    </row>
    <row r="1868" customFormat="false" ht="15" hidden="false" customHeight="false" outlineLevel="0" collapsed="false">
      <c r="A1868" s="4" t="n">
        <v>1867</v>
      </c>
      <c r="B1868" s="4" t="s">
        <v>2838</v>
      </c>
      <c r="C1868" s="4" t="n">
        <v>2005</v>
      </c>
      <c r="D1868" s="4" t="s">
        <v>615</v>
      </c>
      <c r="E1868" s="25" t="str">
        <f aca="false">IF(J1868=1,"✓","")</f>
        <v>✓</v>
      </c>
      <c r="F1868" s="4" t="n">
        <v>2</v>
      </c>
      <c r="G1868" s="4" t="n">
        <v>1</v>
      </c>
      <c r="H1868" s="4" t="s">
        <v>213</v>
      </c>
      <c r="I1868" s="4" t="s">
        <v>53</v>
      </c>
      <c r="J1868" s="4" t="n">
        <f aca="false">INDEX('Master List'!$G$2:$G$2594,K1868)</f>
        <v>1</v>
      </c>
      <c r="K1868" s="4" t="n">
        <v>357</v>
      </c>
    </row>
    <row r="1869" customFormat="false" ht="15" hidden="false" customHeight="false" outlineLevel="0" collapsed="false">
      <c r="A1869" s="4" t="n">
        <v>1868</v>
      </c>
      <c r="B1869" s="4" t="s">
        <v>2839</v>
      </c>
      <c r="C1869" s="4" t="n">
        <v>2005</v>
      </c>
      <c r="D1869" s="4" t="s">
        <v>361</v>
      </c>
      <c r="E1869" s="25" t="str">
        <f aca="false">IF(J1869=1,"✓","")</f>
        <v/>
      </c>
      <c r="F1869" s="4" t="n">
        <v>2</v>
      </c>
      <c r="G1869" s="4" t="n">
        <v>1</v>
      </c>
      <c r="H1869" s="4" t="s">
        <v>213</v>
      </c>
      <c r="I1869" s="4" t="s">
        <v>53</v>
      </c>
      <c r="J1869" s="4" t="n">
        <f aca="false">INDEX('Master List'!$G$2:$G$2594,K1869)</f>
        <v>0</v>
      </c>
      <c r="K1869" s="4" t="n">
        <v>1597</v>
      </c>
    </row>
    <row r="1870" customFormat="false" ht="15" hidden="false" customHeight="false" outlineLevel="0" collapsed="false">
      <c r="A1870" s="4" t="n">
        <v>1869</v>
      </c>
      <c r="B1870" s="4" t="s">
        <v>2840</v>
      </c>
      <c r="C1870" s="4" t="n">
        <v>2005</v>
      </c>
      <c r="D1870" s="4" t="s">
        <v>492</v>
      </c>
      <c r="E1870" s="25" t="str">
        <f aca="false">IF(J1870=1,"✓","")</f>
        <v/>
      </c>
      <c r="F1870" s="4" t="n">
        <v>2</v>
      </c>
      <c r="G1870" s="4" t="n">
        <v>1</v>
      </c>
      <c r="H1870" s="4" t="s">
        <v>213</v>
      </c>
      <c r="I1870" s="4" t="s">
        <v>53</v>
      </c>
      <c r="J1870" s="4" t="n">
        <f aca="false">INDEX('Master List'!$G$2:$G$2594,K1870)</f>
        <v>0</v>
      </c>
      <c r="K1870" s="4" t="n">
        <v>2297</v>
      </c>
    </row>
    <row r="1871" customFormat="false" ht="15" hidden="false" customHeight="false" outlineLevel="0" collapsed="false">
      <c r="A1871" s="4" t="n">
        <v>1870</v>
      </c>
      <c r="B1871" s="4" t="s">
        <v>2841</v>
      </c>
      <c r="C1871" s="4" t="n">
        <v>2005</v>
      </c>
      <c r="D1871" s="4" t="s">
        <v>2426</v>
      </c>
      <c r="E1871" s="25" t="str">
        <f aca="false">IF(J1871=1,"✓","")</f>
        <v/>
      </c>
      <c r="F1871" s="4" t="n">
        <v>2</v>
      </c>
      <c r="G1871" s="4" t="n">
        <v>1</v>
      </c>
      <c r="H1871" s="4" t="s">
        <v>213</v>
      </c>
      <c r="I1871" s="4" t="s">
        <v>54</v>
      </c>
      <c r="J1871" s="4" t="n">
        <f aca="false">INDEX('Master List'!$G$2:$G$2594,K1871)</f>
        <v>0</v>
      </c>
      <c r="K1871" s="4" t="n">
        <v>657</v>
      </c>
    </row>
    <row r="1872" customFormat="false" ht="15" hidden="false" customHeight="false" outlineLevel="0" collapsed="false">
      <c r="A1872" s="4" t="n">
        <v>1871</v>
      </c>
      <c r="B1872" s="4" t="s">
        <v>2842</v>
      </c>
      <c r="C1872" s="4" t="n">
        <v>2005</v>
      </c>
      <c r="D1872" s="4" t="s">
        <v>1584</v>
      </c>
      <c r="E1872" s="25" t="str">
        <f aca="false">IF(J1872=1,"✓","")</f>
        <v/>
      </c>
      <c r="F1872" s="4" t="n">
        <v>2</v>
      </c>
      <c r="G1872" s="4" t="n">
        <v>1</v>
      </c>
      <c r="H1872" s="4" t="s">
        <v>213</v>
      </c>
      <c r="I1872" s="4" t="s">
        <v>54</v>
      </c>
      <c r="J1872" s="4" t="n">
        <f aca="false">INDEX('Master List'!$G$2:$G$2594,K1872)</f>
        <v>0</v>
      </c>
      <c r="K1872" s="4" t="n">
        <v>1563</v>
      </c>
    </row>
    <row r="1873" customFormat="false" ht="15" hidden="false" customHeight="false" outlineLevel="0" collapsed="false">
      <c r="A1873" s="4" t="n">
        <v>1872</v>
      </c>
      <c r="B1873" s="4" t="s">
        <v>2843</v>
      </c>
      <c r="C1873" s="4" t="n">
        <v>2005</v>
      </c>
      <c r="D1873" s="4" t="s">
        <v>2844</v>
      </c>
      <c r="E1873" s="25" t="str">
        <f aca="false">IF(J1873=1,"✓","")</f>
        <v/>
      </c>
      <c r="F1873" s="4" t="n">
        <v>2</v>
      </c>
      <c r="G1873" s="4" t="n">
        <v>1</v>
      </c>
      <c r="H1873" s="4" t="s">
        <v>213</v>
      </c>
      <c r="I1873" s="4" t="s">
        <v>54</v>
      </c>
      <c r="J1873" s="4" t="n">
        <f aca="false">INDEX('Master List'!$G$2:$G$2594,K1873)</f>
        <v>0</v>
      </c>
      <c r="K1873" s="4" t="n">
        <v>1829</v>
      </c>
    </row>
    <row r="1874" customFormat="false" ht="15" hidden="false" customHeight="false" outlineLevel="0" collapsed="false">
      <c r="A1874" s="4" t="n">
        <v>1873</v>
      </c>
      <c r="B1874" s="4" t="s">
        <v>2845</v>
      </c>
      <c r="C1874" s="4" t="n">
        <v>2005</v>
      </c>
      <c r="D1874" s="4" t="s">
        <v>2781</v>
      </c>
      <c r="E1874" s="25" t="str">
        <f aca="false">IF(J1874=1,"✓","")</f>
        <v/>
      </c>
      <c r="F1874" s="4" t="n">
        <v>2</v>
      </c>
      <c r="G1874" s="4" t="n">
        <v>1</v>
      </c>
      <c r="H1874" s="4" t="s">
        <v>213</v>
      </c>
      <c r="I1874" s="4" t="s">
        <v>55</v>
      </c>
      <c r="J1874" s="4" t="n">
        <f aca="false">INDEX('Master List'!$G$2:$G$2594,K1874)</f>
        <v>0</v>
      </c>
      <c r="K1874" s="4" t="n">
        <v>926</v>
      </c>
    </row>
    <row r="1875" customFormat="false" ht="15" hidden="false" customHeight="false" outlineLevel="0" collapsed="false">
      <c r="A1875" s="4" t="n">
        <v>1874</v>
      </c>
      <c r="B1875" s="4" t="s">
        <v>2846</v>
      </c>
      <c r="C1875" s="4" t="n">
        <v>2005</v>
      </c>
      <c r="D1875" s="4" t="s">
        <v>2847</v>
      </c>
      <c r="E1875" s="25" t="str">
        <f aca="false">IF(J1875=1,"✓","")</f>
        <v/>
      </c>
      <c r="F1875" s="4" t="n">
        <v>2</v>
      </c>
      <c r="G1875" s="4" t="n">
        <v>1</v>
      </c>
      <c r="H1875" s="4" t="s">
        <v>213</v>
      </c>
      <c r="I1875" s="4" t="s">
        <v>56</v>
      </c>
      <c r="J1875" s="4" t="n">
        <f aca="false">INDEX('Master List'!$G$2:$G$2594,K1875)</f>
        <v>0</v>
      </c>
      <c r="K1875" s="4" t="n">
        <v>1381</v>
      </c>
    </row>
    <row r="1876" customFormat="false" ht="15" hidden="false" customHeight="false" outlineLevel="0" collapsed="false">
      <c r="A1876" s="4" t="n">
        <v>1875</v>
      </c>
      <c r="B1876" s="4" t="s">
        <v>2848</v>
      </c>
      <c r="C1876" s="4" t="n">
        <v>2006</v>
      </c>
      <c r="D1876" s="4" t="s">
        <v>2849</v>
      </c>
      <c r="E1876" s="25" t="str">
        <f aca="false">IF(J1876=1,"✓","")</f>
        <v/>
      </c>
      <c r="F1876" s="4" t="n">
        <v>2</v>
      </c>
      <c r="G1876" s="4" t="n">
        <v>1</v>
      </c>
      <c r="H1876" s="4" t="s">
        <v>213</v>
      </c>
      <c r="I1876" s="4" t="s">
        <v>51</v>
      </c>
      <c r="J1876" s="4" t="n">
        <f aca="false">INDEX('Master List'!$G$2:$G$2594,K1876)</f>
        <v>0</v>
      </c>
      <c r="K1876" s="4" t="n">
        <v>2</v>
      </c>
    </row>
    <row r="1877" customFormat="false" ht="15" hidden="false" customHeight="false" outlineLevel="0" collapsed="false">
      <c r="A1877" s="4" t="n">
        <v>1876</v>
      </c>
      <c r="B1877" s="4" t="s">
        <v>2850</v>
      </c>
      <c r="C1877" s="4" t="n">
        <v>2006</v>
      </c>
      <c r="D1877" s="4" t="s">
        <v>1147</v>
      </c>
      <c r="E1877" s="25" t="str">
        <f aca="false">IF(J1877=1,"✓","")</f>
        <v/>
      </c>
      <c r="F1877" s="4" t="n">
        <v>2</v>
      </c>
      <c r="G1877" s="4" t="n">
        <v>1</v>
      </c>
      <c r="H1877" s="4" t="s">
        <v>213</v>
      </c>
      <c r="I1877" s="4" t="s">
        <v>51</v>
      </c>
      <c r="J1877" s="4" t="n">
        <f aca="false">INDEX('Master List'!$G$2:$G$2594,K1877)</f>
        <v>0</v>
      </c>
      <c r="K1877" s="4" t="n">
        <v>1711</v>
      </c>
    </row>
    <row r="1878" customFormat="false" ht="15" hidden="false" customHeight="false" outlineLevel="0" collapsed="false">
      <c r="A1878" s="4" t="n">
        <v>1877</v>
      </c>
      <c r="B1878" s="4" t="s">
        <v>2851</v>
      </c>
      <c r="C1878" s="4" t="n">
        <v>2006</v>
      </c>
      <c r="D1878" s="4" t="s">
        <v>2608</v>
      </c>
      <c r="E1878" s="25" t="str">
        <f aca="false">IF(J1878=1,"✓","")</f>
        <v/>
      </c>
      <c r="F1878" s="4" t="n">
        <v>2</v>
      </c>
      <c r="G1878" s="4" t="n">
        <v>1</v>
      </c>
      <c r="H1878" s="4" t="s">
        <v>213</v>
      </c>
      <c r="I1878" s="4" t="s">
        <v>51</v>
      </c>
      <c r="J1878" s="4" t="n">
        <f aca="false">INDEX('Master List'!$G$2:$G$2594,K1878)</f>
        <v>0</v>
      </c>
      <c r="K1878" s="4" t="n">
        <v>1654</v>
      </c>
    </row>
    <row r="1879" customFormat="false" ht="15" hidden="false" customHeight="false" outlineLevel="0" collapsed="false">
      <c r="A1879" s="4" t="n">
        <v>1878</v>
      </c>
      <c r="B1879" s="4" t="s">
        <v>2852</v>
      </c>
      <c r="C1879" s="4" t="n">
        <v>2006</v>
      </c>
      <c r="D1879" s="4" t="s">
        <v>2853</v>
      </c>
      <c r="E1879" s="25" t="str">
        <f aca="false">IF(J1879=1,"✓","")</f>
        <v/>
      </c>
      <c r="F1879" s="4" t="n">
        <v>2</v>
      </c>
      <c r="G1879" s="4" t="n">
        <v>1</v>
      </c>
      <c r="H1879" s="4" t="s">
        <v>213</v>
      </c>
      <c r="I1879" s="4" t="s">
        <v>52</v>
      </c>
      <c r="J1879" s="4" t="n">
        <f aca="false">INDEX('Master List'!$G$2:$G$2594,K1879)</f>
        <v>0</v>
      </c>
      <c r="K1879" s="4" t="n">
        <v>317</v>
      </c>
    </row>
    <row r="1880" customFormat="false" ht="15" hidden="false" customHeight="false" outlineLevel="0" collapsed="false">
      <c r="A1880" s="4" t="n">
        <v>1879</v>
      </c>
      <c r="B1880" s="4" t="s">
        <v>2854</v>
      </c>
      <c r="C1880" s="4" t="n">
        <v>2006</v>
      </c>
      <c r="D1880" s="4" t="s">
        <v>829</v>
      </c>
      <c r="E1880" s="25" t="str">
        <f aca="false">IF(J1880=1,"✓","")</f>
        <v/>
      </c>
      <c r="F1880" s="4" t="n">
        <v>2</v>
      </c>
      <c r="G1880" s="4" t="n">
        <v>1</v>
      </c>
      <c r="H1880" s="4" t="s">
        <v>213</v>
      </c>
      <c r="I1880" s="4" t="s">
        <v>52</v>
      </c>
      <c r="J1880" s="4" t="n">
        <f aca="false">INDEX('Master List'!$G$2:$G$2594,K1880)</f>
        <v>0</v>
      </c>
      <c r="K1880" s="4" t="n">
        <v>1328</v>
      </c>
    </row>
    <row r="1881" customFormat="false" ht="15" hidden="false" customHeight="false" outlineLevel="0" collapsed="false">
      <c r="A1881" s="4" t="n">
        <v>1880</v>
      </c>
      <c r="B1881" s="4" t="s">
        <v>2855</v>
      </c>
      <c r="C1881" s="4" t="n">
        <v>2006</v>
      </c>
      <c r="D1881" s="4" t="s">
        <v>2856</v>
      </c>
      <c r="E1881" s="25" t="str">
        <f aca="false">IF(J1881=1,"✓","")</f>
        <v/>
      </c>
      <c r="F1881" s="4" t="n">
        <v>2</v>
      </c>
      <c r="G1881" s="4" t="n">
        <v>1</v>
      </c>
      <c r="H1881" s="4" t="s">
        <v>213</v>
      </c>
      <c r="I1881" s="4" t="s">
        <v>52</v>
      </c>
      <c r="J1881" s="4" t="n">
        <f aca="false">INDEX('Master List'!$G$2:$G$2594,K1881)</f>
        <v>0</v>
      </c>
      <c r="K1881" s="4" t="n">
        <v>405</v>
      </c>
    </row>
    <row r="1882" customFormat="false" ht="15" hidden="false" customHeight="false" outlineLevel="0" collapsed="false">
      <c r="A1882" s="4" t="n">
        <v>1881</v>
      </c>
      <c r="B1882" s="4" t="s">
        <v>2857</v>
      </c>
      <c r="C1882" s="4" t="n">
        <v>2006</v>
      </c>
      <c r="D1882" s="4" t="s">
        <v>154</v>
      </c>
      <c r="E1882" s="25" t="str">
        <f aca="false">IF(J1882=1,"✓","")</f>
        <v>✓</v>
      </c>
      <c r="F1882" s="4" t="n">
        <v>2</v>
      </c>
      <c r="G1882" s="4" t="n">
        <v>1</v>
      </c>
      <c r="H1882" s="4" t="s">
        <v>213</v>
      </c>
      <c r="I1882" s="4" t="s">
        <v>53</v>
      </c>
      <c r="J1882" s="4" t="n">
        <f aca="false">INDEX('Master List'!$G$2:$G$2594,K1882)</f>
        <v>1</v>
      </c>
      <c r="K1882" s="4" t="n">
        <v>1142</v>
      </c>
    </row>
    <row r="1883" customFormat="false" ht="15" hidden="false" customHeight="false" outlineLevel="0" collapsed="false">
      <c r="A1883" s="4" t="n">
        <v>1882</v>
      </c>
      <c r="B1883" s="4" t="s">
        <v>2858</v>
      </c>
      <c r="C1883" s="4" t="n">
        <v>2006</v>
      </c>
      <c r="D1883" s="4" t="s">
        <v>148</v>
      </c>
      <c r="E1883" s="25" t="str">
        <f aca="false">IF(J1883=1,"✓","")</f>
        <v/>
      </c>
      <c r="F1883" s="4" t="n">
        <v>2</v>
      </c>
      <c r="G1883" s="4" t="n">
        <v>1</v>
      </c>
      <c r="H1883" s="4" t="s">
        <v>213</v>
      </c>
      <c r="I1883" s="4" t="s">
        <v>53</v>
      </c>
      <c r="J1883" s="4" t="n">
        <f aca="false">INDEX('Master List'!$G$2:$G$2594,K1883)</f>
        <v>0</v>
      </c>
      <c r="K1883" s="4" t="n">
        <v>2494</v>
      </c>
    </row>
    <row r="1884" customFormat="false" ht="15" hidden="false" customHeight="false" outlineLevel="0" collapsed="false">
      <c r="A1884" s="4" t="n">
        <v>1883</v>
      </c>
      <c r="B1884" s="4" t="s">
        <v>2859</v>
      </c>
      <c r="C1884" s="4" t="n">
        <v>2006</v>
      </c>
      <c r="D1884" s="4" t="s">
        <v>867</v>
      </c>
      <c r="E1884" s="25" t="str">
        <f aca="false">IF(J1884=1,"✓","")</f>
        <v>✓</v>
      </c>
      <c r="F1884" s="4" t="n">
        <v>2</v>
      </c>
      <c r="G1884" s="4" t="n">
        <v>1</v>
      </c>
      <c r="H1884" s="4" t="s">
        <v>213</v>
      </c>
      <c r="I1884" s="4" t="s">
        <v>53</v>
      </c>
      <c r="J1884" s="4" t="n">
        <f aca="false">INDEX('Master List'!$G$2:$G$2594,K1884)</f>
        <v>1</v>
      </c>
      <c r="K1884" s="4" t="n">
        <v>1657</v>
      </c>
    </row>
    <row r="1885" customFormat="false" ht="15" hidden="false" customHeight="false" outlineLevel="0" collapsed="false">
      <c r="A1885" s="4" t="n">
        <v>1884</v>
      </c>
      <c r="B1885" s="4" t="s">
        <v>2860</v>
      </c>
      <c r="C1885" s="4" t="n">
        <v>2006</v>
      </c>
      <c r="D1885" s="4" t="s">
        <v>1087</v>
      </c>
      <c r="E1885" s="25" t="str">
        <f aca="false">IF(J1885=1,"✓","")</f>
        <v/>
      </c>
      <c r="F1885" s="4" t="n">
        <v>2</v>
      </c>
      <c r="G1885" s="4" t="n">
        <v>1</v>
      </c>
      <c r="H1885" s="4" t="s">
        <v>213</v>
      </c>
      <c r="I1885" s="4" t="s">
        <v>53</v>
      </c>
      <c r="J1885" s="4" t="n">
        <f aca="false">INDEX('Master List'!$G$2:$G$2594,K1885)</f>
        <v>0</v>
      </c>
      <c r="K1885" s="4" t="n">
        <v>2443</v>
      </c>
    </row>
    <row r="1886" customFormat="false" ht="15" hidden="false" customHeight="false" outlineLevel="0" collapsed="false">
      <c r="A1886" s="4" t="n">
        <v>1885</v>
      </c>
      <c r="B1886" s="4" t="s">
        <v>2861</v>
      </c>
      <c r="C1886" s="4" t="n">
        <v>2006</v>
      </c>
      <c r="D1886" s="4" t="s">
        <v>1628</v>
      </c>
      <c r="E1886" s="25" t="str">
        <f aca="false">IF(J1886=1,"✓","")</f>
        <v/>
      </c>
      <c r="F1886" s="4" t="n">
        <v>2</v>
      </c>
      <c r="G1886" s="4" t="n">
        <v>1</v>
      </c>
      <c r="H1886" s="4" t="s">
        <v>213</v>
      </c>
      <c r="I1886" s="4" t="s">
        <v>53</v>
      </c>
      <c r="J1886" s="4" t="n">
        <f aca="false">INDEX('Master List'!$G$2:$G$2594,K1886)</f>
        <v>0</v>
      </c>
      <c r="K1886" s="4" t="n">
        <v>2545</v>
      </c>
    </row>
    <row r="1887" customFormat="false" ht="15" hidden="false" customHeight="false" outlineLevel="0" collapsed="false">
      <c r="A1887" s="4" t="n">
        <v>1886</v>
      </c>
      <c r="B1887" s="4" t="s">
        <v>2862</v>
      </c>
      <c r="C1887" s="4" t="n">
        <v>2006</v>
      </c>
      <c r="D1887" s="4" t="s">
        <v>2534</v>
      </c>
      <c r="E1887" s="25" t="str">
        <f aca="false">IF(J1887=1,"✓","")</f>
        <v/>
      </c>
      <c r="F1887" s="4" t="n">
        <v>2</v>
      </c>
      <c r="G1887" s="4" t="n">
        <v>1</v>
      </c>
      <c r="H1887" s="4" t="s">
        <v>213</v>
      </c>
      <c r="I1887" s="4" t="s">
        <v>54</v>
      </c>
      <c r="J1887" s="4" t="n">
        <f aca="false">INDEX('Master List'!$G$2:$G$2594,K1887)</f>
        <v>0</v>
      </c>
      <c r="K1887" s="4" t="n">
        <v>1583</v>
      </c>
    </row>
    <row r="1888" customFormat="false" ht="15" hidden="false" customHeight="false" outlineLevel="0" collapsed="false">
      <c r="A1888" s="4" t="n">
        <v>1887</v>
      </c>
      <c r="B1888" s="4" t="s">
        <v>2863</v>
      </c>
      <c r="C1888" s="4" t="n">
        <v>2006</v>
      </c>
      <c r="D1888" s="4" t="s">
        <v>1137</v>
      </c>
      <c r="E1888" s="25" t="str">
        <f aca="false">IF(J1888=1,"✓","")</f>
        <v/>
      </c>
      <c r="F1888" s="4" t="n">
        <v>2</v>
      </c>
      <c r="G1888" s="4" t="n">
        <v>1</v>
      </c>
      <c r="H1888" s="4" t="s">
        <v>213</v>
      </c>
      <c r="I1888" s="4" t="s">
        <v>54</v>
      </c>
      <c r="J1888" s="4" t="n">
        <f aca="false">INDEX('Master List'!$G$2:$G$2594,K1888)</f>
        <v>0</v>
      </c>
      <c r="K1888" s="4" t="n">
        <v>158</v>
      </c>
    </row>
    <row r="1889" customFormat="false" ht="15" hidden="false" customHeight="false" outlineLevel="0" collapsed="false">
      <c r="A1889" s="4" t="n">
        <v>1888</v>
      </c>
      <c r="B1889" s="4" t="s">
        <v>2864</v>
      </c>
      <c r="C1889" s="4" t="n">
        <v>2006</v>
      </c>
      <c r="D1889" s="4" t="s">
        <v>2426</v>
      </c>
      <c r="E1889" s="25" t="str">
        <f aca="false">IF(J1889=1,"✓","")</f>
        <v>✓</v>
      </c>
      <c r="F1889" s="4" t="n">
        <v>2</v>
      </c>
      <c r="G1889" s="4" t="n">
        <v>1</v>
      </c>
      <c r="H1889" s="4" t="s">
        <v>213</v>
      </c>
      <c r="I1889" s="4" t="s">
        <v>54</v>
      </c>
      <c r="J1889" s="4" t="n">
        <f aca="false">INDEX('Master List'!$G$2:$G$2594,K1889)</f>
        <v>1</v>
      </c>
      <c r="K1889" s="4" t="n">
        <v>607</v>
      </c>
    </row>
    <row r="1890" customFormat="false" ht="15" hidden="false" customHeight="false" outlineLevel="0" collapsed="false">
      <c r="A1890" s="4" t="n">
        <v>1889</v>
      </c>
      <c r="B1890" s="4" t="s">
        <v>2865</v>
      </c>
      <c r="C1890" s="4" t="n">
        <v>2006</v>
      </c>
      <c r="D1890" s="4" t="s">
        <v>2866</v>
      </c>
      <c r="E1890" s="25" t="str">
        <f aca="false">IF(J1890=1,"✓","")</f>
        <v>✓</v>
      </c>
      <c r="F1890" s="4" t="n">
        <v>2</v>
      </c>
      <c r="G1890" s="4" t="n">
        <v>1</v>
      </c>
      <c r="H1890" s="4" t="s">
        <v>213</v>
      </c>
      <c r="I1890" s="4" t="s">
        <v>55</v>
      </c>
      <c r="J1890" s="4" t="n">
        <f aca="false">INDEX('Master List'!$G$2:$G$2594,K1890)</f>
        <v>1</v>
      </c>
      <c r="K1890" s="4" t="n">
        <v>1353</v>
      </c>
    </row>
    <row r="1891" customFormat="false" ht="15" hidden="false" customHeight="false" outlineLevel="0" collapsed="false">
      <c r="A1891" s="4" t="n">
        <v>1890</v>
      </c>
      <c r="B1891" s="4" t="s">
        <v>2867</v>
      </c>
      <c r="C1891" s="4" t="n">
        <v>2006</v>
      </c>
      <c r="D1891" s="4" t="s">
        <v>2868</v>
      </c>
      <c r="E1891" s="25" t="str">
        <f aca="false">IF(J1891=1,"✓","")</f>
        <v/>
      </c>
      <c r="F1891" s="4" t="n">
        <v>2</v>
      </c>
      <c r="G1891" s="4" t="n">
        <v>1</v>
      </c>
      <c r="H1891" s="4" t="s">
        <v>213</v>
      </c>
      <c r="I1891" s="4" t="s">
        <v>56</v>
      </c>
      <c r="J1891" s="4" t="n">
        <f aca="false">INDEX('Master List'!$G$2:$G$2594,K1891)</f>
        <v>0</v>
      </c>
      <c r="K1891" s="4" t="n">
        <v>2283</v>
      </c>
    </row>
    <row r="1892" customFormat="false" ht="15" hidden="false" customHeight="false" outlineLevel="0" collapsed="false">
      <c r="A1892" s="4" t="n">
        <v>1891</v>
      </c>
      <c r="B1892" s="4" t="s">
        <v>2869</v>
      </c>
      <c r="C1892" s="4" t="n">
        <v>2007</v>
      </c>
      <c r="D1892" s="4" t="s">
        <v>2870</v>
      </c>
      <c r="E1892" s="25" t="str">
        <f aca="false">IF(J1892=1,"✓","")</f>
        <v/>
      </c>
      <c r="F1892" s="4" t="n">
        <v>2</v>
      </c>
      <c r="G1892" s="4" t="n">
        <v>1</v>
      </c>
      <c r="H1892" s="4" t="s">
        <v>213</v>
      </c>
      <c r="I1892" s="4" t="s">
        <v>51</v>
      </c>
      <c r="J1892" s="4" t="n">
        <f aca="false">INDEX('Master List'!$G$2:$G$2594,K1892)</f>
        <v>0</v>
      </c>
      <c r="K1892" s="4" t="n">
        <v>1147</v>
      </c>
    </row>
    <row r="1893" customFormat="false" ht="15" hidden="false" customHeight="false" outlineLevel="0" collapsed="false">
      <c r="A1893" s="4" t="n">
        <v>1892</v>
      </c>
      <c r="B1893" s="4" t="s">
        <v>2871</v>
      </c>
      <c r="C1893" s="4" t="n">
        <v>2007</v>
      </c>
      <c r="D1893" s="4" t="s">
        <v>2872</v>
      </c>
      <c r="E1893" s="25" t="str">
        <f aca="false">IF(J1893=1,"✓","")</f>
        <v/>
      </c>
      <c r="F1893" s="4" t="n">
        <v>2</v>
      </c>
      <c r="G1893" s="4" t="n">
        <v>1</v>
      </c>
      <c r="H1893" s="4" t="s">
        <v>213</v>
      </c>
      <c r="I1893" s="4" t="s">
        <v>52</v>
      </c>
      <c r="J1893" s="4" t="n">
        <f aca="false">INDEX('Master List'!$G$2:$G$2594,K1893)</f>
        <v>0</v>
      </c>
      <c r="K1893" s="4" t="n">
        <v>1719</v>
      </c>
    </row>
    <row r="1894" customFormat="false" ht="15" hidden="false" customHeight="false" outlineLevel="0" collapsed="false">
      <c r="A1894" s="4" t="n">
        <v>1893</v>
      </c>
      <c r="B1894" s="4" t="s">
        <v>2873</v>
      </c>
      <c r="C1894" s="4" t="n">
        <v>2007</v>
      </c>
      <c r="D1894" s="4" t="s">
        <v>2599</v>
      </c>
      <c r="E1894" s="25" t="str">
        <f aca="false">IF(J1894=1,"✓","")</f>
        <v/>
      </c>
      <c r="F1894" s="4" t="n">
        <v>2</v>
      </c>
      <c r="G1894" s="4" t="n">
        <v>1</v>
      </c>
      <c r="H1894" s="4" t="s">
        <v>213</v>
      </c>
      <c r="I1894" s="4" t="s">
        <v>52</v>
      </c>
      <c r="J1894" s="4" t="n">
        <f aca="false">INDEX('Master List'!$G$2:$G$2594,K1894)</f>
        <v>0</v>
      </c>
      <c r="K1894" s="4" t="n">
        <v>1517</v>
      </c>
    </row>
    <row r="1895" customFormat="false" ht="15" hidden="false" customHeight="false" outlineLevel="0" collapsed="false">
      <c r="A1895" s="4" t="n">
        <v>1894</v>
      </c>
      <c r="B1895" s="4" t="s">
        <v>2874</v>
      </c>
      <c r="C1895" s="4" t="n">
        <v>2007</v>
      </c>
      <c r="D1895" s="4" t="s">
        <v>2875</v>
      </c>
      <c r="E1895" s="25" t="str">
        <f aca="false">IF(J1895=1,"✓","")</f>
        <v/>
      </c>
      <c r="F1895" s="4" t="n">
        <v>2</v>
      </c>
      <c r="G1895" s="4" t="n">
        <v>1</v>
      </c>
      <c r="H1895" s="4" t="s">
        <v>213</v>
      </c>
      <c r="I1895" s="4" t="s">
        <v>52</v>
      </c>
      <c r="J1895" s="4" t="n">
        <f aca="false">INDEX('Master List'!$G$2:$G$2594,K1895)</f>
        <v>0</v>
      </c>
      <c r="K1895" s="4" t="n">
        <v>1692</v>
      </c>
    </row>
    <row r="1896" customFormat="false" ht="15" hidden="false" customHeight="false" outlineLevel="0" collapsed="false">
      <c r="A1896" s="4" t="n">
        <v>1895</v>
      </c>
      <c r="B1896" s="4" t="s">
        <v>2876</v>
      </c>
      <c r="C1896" s="4" t="n">
        <v>2007</v>
      </c>
      <c r="D1896" s="4" t="s">
        <v>2877</v>
      </c>
      <c r="E1896" s="25" t="str">
        <f aca="false">IF(J1896=1,"✓","")</f>
        <v/>
      </c>
      <c r="F1896" s="4" t="n">
        <v>2</v>
      </c>
      <c r="G1896" s="4" t="n">
        <v>1</v>
      </c>
      <c r="H1896" s="4" t="s">
        <v>213</v>
      </c>
      <c r="I1896" s="4" t="s">
        <v>52</v>
      </c>
      <c r="J1896" s="4" t="n">
        <f aca="false">INDEX('Master List'!$G$2:$G$2594,K1896)</f>
        <v>0</v>
      </c>
      <c r="K1896" s="4" t="n">
        <v>2454</v>
      </c>
    </row>
    <row r="1897" customFormat="false" ht="15" hidden="false" customHeight="false" outlineLevel="0" collapsed="false">
      <c r="A1897" s="4" t="n">
        <v>1896</v>
      </c>
      <c r="B1897" s="4" t="s">
        <v>2878</v>
      </c>
      <c r="C1897" s="4" t="n">
        <v>2007</v>
      </c>
      <c r="D1897" s="4" t="s">
        <v>2816</v>
      </c>
      <c r="E1897" s="25" t="str">
        <f aca="false">IF(J1897=1,"✓","")</f>
        <v>✓</v>
      </c>
      <c r="F1897" s="4" t="n">
        <v>2</v>
      </c>
      <c r="G1897" s="4" t="n">
        <v>1</v>
      </c>
      <c r="H1897" s="4" t="s">
        <v>213</v>
      </c>
      <c r="I1897" s="4" t="s">
        <v>52</v>
      </c>
      <c r="J1897" s="4" t="n">
        <f aca="false">INDEX('Master List'!$G$2:$G$2594,K1897)</f>
        <v>1</v>
      </c>
      <c r="K1897" s="4" t="n">
        <v>1065</v>
      </c>
    </row>
    <row r="1898" customFormat="false" ht="15" hidden="false" customHeight="false" outlineLevel="0" collapsed="false">
      <c r="A1898" s="4" t="n">
        <v>1897</v>
      </c>
      <c r="B1898" s="4" t="s">
        <v>2879</v>
      </c>
      <c r="C1898" s="4" t="n">
        <v>2007</v>
      </c>
      <c r="D1898" s="4" t="s">
        <v>2661</v>
      </c>
      <c r="E1898" s="25" t="str">
        <f aca="false">IF(J1898=1,"✓","")</f>
        <v/>
      </c>
      <c r="F1898" s="4" t="n">
        <v>2</v>
      </c>
      <c r="G1898" s="4" t="n">
        <v>1</v>
      </c>
      <c r="H1898" s="4" t="s">
        <v>213</v>
      </c>
      <c r="I1898" s="4" t="s">
        <v>52</v>
      </c>
      <c r="J1898" s="4" t="n">
        <f aca="false">INDEX('Master List'!$G$2:$G$2594,K1898)</f>
        <v>0</v>
      </c>
      <c r="K1898" s="4" t="n">
        <v>2205</v>
      </c>
    </row>
    <row r="1899" customFormat="false" ht="15" hidden="false" customHeight="false" outlineLevel="0" collapsed="false">
      <c r="A1899" s="4" t="n">
        <v>1898</v>
      </c>
      <c r="B1899" s="4" t="s">
        <v>2880</v>
      </c>
      <c r="C1899" s="4" t="n">
        <v>2007</v>
      </c>
      <c r="D1899" s="4" t="s">
        <v>2881</v>
      </c>
      <c r="E1899" s="25" t="str">
        <f aca="false">IF(J1899=1,"✓","")</f>
        <v/>
      </c>
      <c r="F1899" s="4" t="n">
        <v>2</v>
      </c>
      <c r="G1899" s="4" t="n">
        <v>1</v>
      </c>
      <c r="H1899" s="4" t="s">
        <v>213</v>
      </c>
      <c r="I1899" s="4" t="s">
        <v>52</v>
      </c>
      <c r="J1899" s="4" t="n">
        <f aca="false">INDEX('Master List'!$G$2:$G$2594,K1899)</f>
        <v>0</v>
      </c>
      <c r="K1899" s="4" t="n">
        <v>326</v>
      </c>
    </row>
    <row r="1900" customFormat="false" ht="15" hidden="false" customHeight="false" outlineLevel="0" collapsed="false">
      <c r="A1900" s="4" t="n">
        <v>1899</v>
      </c>
      <c r="B1900" s="4" t="s">
        <v>2882</v>
      </c>
      <c r="C1900" s="4" t="n">
        <v>2007</v>
      </c>
      <c r="D1900" s="4" t="s">
        <v>189</v>
      </c>
      <c r="E1900" s="25" t="str">
        <f aca="false">IF(J1900=1,"✓","")</f>
        <v/>
      </c>
      <c r="F1900" s="4" t="n">
        <v>2</v>
      </c>
      <c r="G1900" s="4" t="n">
        <v>1</v>
      </c>
      <c r="H1900" s="4" t="s">
        <v>213</v>
      </c>
      <c r="I1900" s="4" t="s">
        <v>53</v>
      </c>
      <c r="J1900" s="4" t="n">
        <f aca="false">INDEX('Master List'!$G$2:$G$2594,K1900)</f>
        <v>0</v>
      </c>
      <c r="K1900" s="4" t="n">
        <v>214</v>
      </c>
    </row>
    <row r="1901" customFormat="false" ht="15" hidden="false" customHeight="false" outlineLevel="0" collapsed="false">
      <c r="A1901" s="4" t="n">
        <v>1900</v>
      </c>
      <c r="B1901" s="4" t="s">
        <v>2883</v>
      </c>
      <c r="C1901" s="4" t="n">
        <v>2007</v>
      </c>
      <c r="D1901" s="4" t="s">
        <v>316</v>
      </c>
      <c r="E1901" s="25" t="str">
        <f aca="false">IF(J1901=1,"✓","")</f>
        <v>✓</v>
      </c>
      <c r="F1901" s="4" t="n">
        <v>2</v>
      </c>
      <c r="G1901" s="4" t="n">
        <v>1</v>
      </c>
      <c r="H1901" s="4" t="s">
        <v>213</v>
      </c>
      <c r="I1901" s="4" t="s">
        <v>53</v>
      </c>
      <c r="J1901" s="4" t="n">
        <f aca="false">INDEX('Master List'!$G$2:$G$2594,K1901)</f>
        <v>1</v>
      </c>
      <c r="K1901" s="4" t="n">
        <v>704</v>
      </c>
    </row>
    <row r="1902" customFormat="false" ht="15" hidden="false" customHeight="false" outlineLevel="0" collapsed="false">
      <c r="A1902" s="4" t="n">
        <v>1901</v>
      </c>
      <c r="B1902" s="4" t="s">
        <v>2884</v>
      </c>
      <c r="C1902" s="4" t="n">
        <v>2007</v>
      </c>
      <c r="D1902" s="4" t="s">
        <v>274</v>
      </c>
      <c r="E1902" s="25" t="str">
        <f aca="false">IF(J1902=1,"✓","")</f>
        <v>✓</v>
      </c>
      <c r="F1902" s="4" t="n">
        <v>2</v>
      </c>
      <c r="G1902" s="4" t="n">
        <v>1</v>
      </c>
      <c r="H1902" s="4" t="s">
        <v>213</v>
      </c>
      <c r="I1902" s="4" t="s">
        <v>53</v>
      </c>
      <c r="J1902" s="4" t="n">
        <f aca="false">INDEX('Master List'!$G$2:$G$2594,K1902)</f>
        <v>1</v>
      </c>
      <c r="K1902" s="4" t="n">
        <v>561</v>
      </c>
    </row>
    <row r="1903" customFormat="false" ht="15" hidden="false" customHeight="false" outlineLevel="0" collapsed="false">
      <c r="A1903" s="4" t="n">
        <v>1902</v>
      </c>
      <c r="B1903" s="4" t="s">
        <v>2885</v>
      </c>
      <c r="C1903" s="4" t="n">
        <v>2007</v>
      </c>
      <c r="D1903" s="4" t="s">
        <v>292</v>
      </c>
      <c r="E1903" s="25" t="str">
        <f aca="false">IF(J1903=1,"✓","")</f>
        <v/>
      </c>
      <c r="F1903" s="4" t="n">
        <v>2</v>
      </c>
      <c r="G1903" s="4" t="n">
        <v>1</v>
      </c>
      <c r="H1903" s="4" t="s">
        <v>213</v>
      </c>
      <c r="I1903" s="4" t="s">
        <v>53</v>
      </c>
      <c r="J1903" s="4" t="n">
        <f aca="false">INDEX('Master List'!$G$2:$G$2594,K1903)</f>
        <v>0</v>
      </c>
      <c r="K1903" s="4" t="n">
        <v>729</v>
      </c>
    </row>
    <row r="1904" customFormat="false" ht="15" hidden="false" customHeight="false" outlineLevel="0" collapsed="false">
      <c r="A1904" s="4" t="n">
        <v>1903</v>
      </c>
      <c r="B1904" s="4" t="s">
        <v>2886</v>
      </c>
      <c r="C1904" s="4" t="n">
        <v>2007</v>
      </c>
      <c r="D1904" s="4" t="s">
        <v>2887</v>
      </c>
      <c r="E1904" s="25" t="str">
        <f aca="false">IF(J1904=1,"✓","")</f>
        <v/>
      </c>
      <c r="F1904" s="4" t="n">
        <v>2</v>
      </c>
      <c r="G1904" s="4" t="n">
        <v>1</v>
      </c>
      <c r="H1904" s="4" t="s">
        <v>213</v>
      </c>
      <c r="I1904" s="4" t="s">
        <v>54</v>
      </c>
      <c r="J1904" s="4" t="n">
        <f aca="false">INDEX('Master List'!$G$2:$G$2594,K1904)</f>
        <v>0</v>
      </c>
      <c r="K1904" s="4" t="n">
        <v>968</v>
      </c>
    </row>
    <row r="1905" customFormat="false" ht="15" hidden="false" customHeight="false" outlineLevel="0" collapsed="false">
      <c r="A1905" s="4" t="n">
        <v>1904</v>
      </c>
      <c r="B1905" s="4" t="s">
        <v>2888</v>
      </c>
      <c r="C1905" s="4" t="n">
        <v>2007</v>
      </c>
      <c r="D1905" s="4" t="s">
        <v>2889</v>
      </c>
      <c r="E1905" s="25" t="str">
        <f aca="false">IF(J1905=1,"✓","")</f>
        <v/>
      </c>
      <c r="F1905" s="4" t="n">
        <v>2</v>
      </c>
      <c r="G1905" s="4" t="n">
        <v>1</v>
      </c>
      <c r="H1905" s="4" t="s">
        <v>213</v>
      </c>
      <c r="I1905" s="4" t="s">
        <v>54</v>
      </c>
      <c r="J1905" s="4" t="n">
        <f aca="false">INDEX('Master List'!$G$2:$G$2594,K1905)</f>
        <v>0</v>
      </c>
      <c r="K1905" s="4" t="n">
        <v>985</v>
      </c>
    </row>
    <row r="1906" customFormat="false" ht="15" hidden="false" customHeight="false" outlineLevel="0" collapsed="false">
      <c r="A1906" s="4" t="n">
        <v>1905</v>
      </c>
      <c r="B1906" s="4" t="s">
        <v>2890</v>
      </c>
      <c r="C1906" s="4" t="n">
        <v>2007</v>
      </c>
      <c r="D1906" s="4" t="s">
        <v>2891</v>
      </c>
      <c r="E1906" s="25" t="str">
        <f aca="false">IF(J1906=1,"✓","")</f>
        <v/>
      </c>
      <c r="F1906" s="4" t="n">
        <v>2</v>
      </c>
      <c r="G1906" s="4" t="n">
        <v>1</v>
      </c>
      <c r="H1906" s="4" t="s">
        <v>213</v>
      </c>
      <c r="I1906" s="4" t="s">
        <v>55</v>
      </c>
      <c r="J1906" s="4" t="n">
        <f aca="false">INDEX('Master List'!$G$2:$G$2594,K1906)</f>
        <v>0</v>
      </c>
      <c r="K1906" s="4" t="n">
        <v>1157</v>
      </c>
    </row>
    <row r="1907" customFormat="false" ht="15" hidden="false" customHeight="false" outlineLevel="0" collapsed="false">
      <c r="A1907" s="4" t="n">
        <v>1906</v>
      </c>
      <c r="B1907" s="4" t="s">
        <v>2892</v>
      </c>
      <c r="C1907" s="4" t="n">
        <v>2007</v>
      </c>
      <c r="D1907" s="4" t="s">
        <v>2893</v>
      </c>
      <c r="E1907" s="25" t="str">
        <f aca="false">IF(J1907=1,"✓","")</f>
        <v/>
      </c>
      <c r="F1907" s="4" t="n">
        <v>2</v>
      </c>
      <c r="G1907" s="4" t="n">
        <v>1</v>
      </c>
      <c r="H1907" s="4" t="s">
        <v>213</v>
      </c>
      <c r="I1907" s="4" t="s">
        <v>55</v>
      </c>
      <c r="J1907" s="4" t="n">
        <f aca="false">INDEX('Master List'!$G$2:$G$2594,K1907)</f>
        <v>0</v>
      </c>
      <c r="K1907" s="4" t="n">
        <v>2307</v>
      </c>
    </row>
    <row r="1908" customFormat="false" ht="15" hidden="false" customHeight="false" outlineLevel="0" collapsed="false">
      <c r="A1908" s="4" t="n">
        <v>1907</v>
      </c>
      <c r="B1908" s="4" t="s">
        <v>2894</v>
      </c>
      <c r="C1908" s="4" t="n">
        <v>2007</v>
      </c>
      <c r="D1908" s="4" t="s">
        <v>718</v>
      </c>
      <c r="E1908" s="25" t="str">
        <f aca="false">IF(J1908=1,"✓","")</f>
        <v/>
      </c>
      <c r="F1908" s="4" t="n">
        <v>2</v>
      </c>
      <c r="G1908" s="4" t="n">
        <v>1</v>
      </c>
      <c r="H1908" s="4" t="s">
        <v>213</v>
      </c>
      <c r="I1908" s="4" t="s">
        <v>55</v>
      </c>
      <c r="J1908" s="4" t="n">
        <f aca="false">INDEX('Master List'!$G$2:$G$2594,K1908)</f>
        <v>0</v>
      </c>
      <c r="K1908" s="4" t="n">
        <v>1105</v>
      </c>
    </row>
    <row r="1909" customFormat="false" ht="15" hidden="false" customHeight="false" outlineLevel="0" collapsed="false">
      <c r="A1909" s="4" t="n">
        <v>1908</v>
      </c>
      <c r="B1909" s="4" t="s">
        <v>2895</v>
      </c>
      <c r="C1909" s="4" t="n">
        <v>2007</v>
      </c>
      <c r="D1909" s="4" t="s">
        <v>2896</v>
      </c>
      <c r="E1909" s="25" t="str">
        <f aca="false">IF(J1909=1,"✓","")</f>
        <v/>
      </c>
      <c r="F1909" s="4" t="n">
        <v>2</v>
      </c>
      <c r="G1909" s="4" t="n">
        <v>1</v>
      </c>
      <c r="H1909" s="4" t="s">
        <v>213</v>
      </c>
      <c r="I1909" s="4" t="s">
        <v>56</v>
      </c>
      <c r="J1909" s="4" t="n">
        <f aca="false">INDEX('Master List'!$G$2:$G$2594,K1909)</f>
        <v>0</v>
      </c>
      <c r="K1909" s="4" t="n">
        <v>1423</v>
      </c>
    </row>
    <row r="1910" customFormat="false" ht="15" hidden="false" customHeight="false" outlineLevel="0" collapsed="false">
      <c r="A1910" s="4" t="n">
        <v>1909</v>
      </c>
      <c r="B1910" s="4" t="s">
        <v>2897</v>
      </c>
      <c r="C1910" s="4" t="n">
        <v>2008</v>
      </c>
      <c r="D1910" s="4" t="s">
        <v>1620</v>
      </c>
      <c r="E1910" s="25" t="str">
        <f aca="false">IF(J1910=1,"✓","")</f>
        <v/>
      </c>
      <c r="F1910" s="4" t="n">
        <v>2</v>
      </c>
      <c r="G1910" s="4" t="n">
        <v>1</v>
      </c>
      <c r="H1910" s="4" t="s">
        <v>213</v>
      </c>
      <c r="I1910" s="4" t="s">
        <v>51</v>
      </c>
      <c r="J1910" s="4" t="n">
        <f aca="false">INDEX('Master List'!$G$2:$G$2594,K1910)</f>
        <v>0</v>
      </c>
      <c r="K1910" s="4" t="n">
        <v>641</v>
      </c>
    </row>
    <row r="1911" customFormat="false" ht="15" hidden="false" customHeight="false" outlineLevel="0" collapsed="false">
      <c r="A1911" s="4" t="n">
        <v>1910</v>
      </c>
      <c r="B1911" s="4" t="s">
        <v>2898</v>
      </c>
      <c r="C1911" s="4" t="n">
        <v>2008</v>
      </c>
      <c r="D1911" s="4" t="s">
        <v>2899</v>
      </c>
      <c r="E1911" s="25" t="str">
        <f aca="false">IF(J1911=1,"✓","")</f>
        <v/>
      </c>
      <c r="F1911" s="4" t="n">
        <v>2</v>
      </c>
      <c r="G1911" s="4" t="n">
        <v>1</v>
      </c>
      <c r="H1911" s="4" t="s">
        <v>213</v>
      </c>
      <c r="I1911" s="4" t="s">
        <v>51</v>
      </c>
      <c r="J1911" s="4" t="n">
        <f aca="false">INDEX('Master List'!$G$2:$G$2594,K1911)</f>
        <v>0</v>
      </c>
      <c r="K1911" s="4" t="n">
        <v>1454</v>
      </c>
    </row>
    <row r="1912" customFormat="false" ht="15" hidden="false" customHeight="false" outlineLevel="0" collapsed="false">
      <c r="A1912" s="4" t="n">
        <v>1911</v>
      </c>
      <c r="B1912" s="4" t="s">
        <v>2900</v>
      </c>
      <c r="C1912" s="4" t="n">
        <v>2008</v>
      </c>
      <c r="D1912" s="4" t="s">
        <v>2901</v>
      </c>
      <c r="E1912" s="25" t="str">
        <f aca="false">IF(J1912=1,"✓","")</f>
        <v/>
      </c>
      <c r="F1912" s="4" t="n">
        <v>2</v>
      </c>
      <c r="G1912" s="4" t="n">
        <v>1</v>
      </c>
      <c r="H1912" s="4" t="s">
        <v>213</v>
      </c>
      <c r="I1912" s="4" t="s">
        <v>51</v>
      </c>
      <c r="J1912" s="4" t="n">
        <f aca="false">INDEX('Master List'!$G$2:$G$2594,K1912)</f>
        <v>0</v>
      </c>
      <c r="K1912" s="4" t="n">
        <v>456</v>
      </c>
    </row>
    <row r="1913" customFormat="false" ht="15" hidden="false" customHeight="false" outlineLevel="0" collapsed="false">
      <c r="A1913" s="4" t="n">
        <v>1912</v>
      </c>
      <c r="B1913" s="4" t="s">
        <v>2902</v>
      </c>
      <c r="C1913" s="4" t="n">
        <v>2008</v>
      </c>
      <c r="D1913" s="4" t="s">
        <v>2903</v>
      </c>
      <c r="E1913" s="25" t="str">
        <f aca="false">IF(J1913=1,"✓","")</f>
        <v/>
      </c>
      <c r="F1913" s="4" t="n">
        <v>2</v>
      </c>
      <c r="G1913" s="4" t="n">
        <v>1</v>
      </c>
      <c r="H1913" s="4" t="s">
        <v>213</v>
      </c>
      <c r="I1913" s="4" t="s">
        <v>52</v>
      </c>
      <c r="J1913" s="4" t="n">
        <f aca="false">INDEX('Master List'!$G$2:$G$2594,K1913)</f>
        <v>0</v>
      </c>
      <c r="K1913" s="4" t="n">
        <v>1287</v>
      </c>
    </row>
    <row r="1914" customFormat="false" ht="15" hidden="false" customHeight="false" outlineLevel="0" collapsed="false">
      <c r="A1914" s="4" t="n">
        <v>1913</v>
      </c>
      <c r="B1914" s="4" t="s">
        <v>2904</v>
      </c>
      <c r="C1914" s="4" t="n">
        <v>2008</v>
      </c>
      <c r="D1914" s="4" t="s">
        <v>856</v>
      </c>
      <c r="E1914" s="25" t="str">
        <f aca="false">IF(J1914=1,"✓","")</f>
        <v>✓</v>
      </c>
      <c r="F1914" s="4" t="n">
        <v>2</v>
      </c>
      <c r="G1914" s="4" t="n">
        <v>1</v>
      </c>
      <c r="H1914" s="4" t="s">
        <v>213</v>
      </c>
      <c r="I1914" s="4" t="s">
        <v>52</v>
      </c>
      <c r="J1914" s="4" t="n">
        <f aca="false">INDEX('Master List'!$G$2:$G$2594,K1914)</f>
        <v>1</v>
      </c>
      <c r="K1914" s="4" t="n">
        <v>2156</v>
      </c>
    </row>
    <row r="1915" customFormat="false" ht="15" hidden="false" customHeight="false" outlineLevel="0" collapsed="false">
      <c r="A1915" s="4" t="n">
        <v>1914</v>
      </c>
      <c r="B1915" s="4" t="s">
        <v>2905</v>
      </c>
      <c r="C1915" s="4" t="n">
        <v>2008</v>
      </c>
      <c r="D1915" s="4" t="s">
        <v>2906</v>
      </c>
      <c r="E1915" s="25" t="str">
        <f aca="false">IF(J1915=1,"✓","")</f>
        <v/>
      </c>
      <c r="F1915" s="4" t="n">
        <v>2</v>
      </c>
      <c r="G1915" s="4" t="n">
        <v>1</v>
      </c>
      <c r="H1915" s="4" t="s">
        <v>213</v>
      </c>
      <c r="I1915" s="4" t="s">
        <v>52</v>
      </c>
      <c r="J1915" s="4" t="n">
        <f aca="false">INDEX('Master List'!$G$2:$G$2594,K1915)</f>
        <v>0</v>
      </c>
      <c r="K1915" s="4" t="n">
        <v>1430</v>
      </c>
    </row>
    <row r="1916" customFormat="false" ht="15" hidden="false" customHeight="false" outlineLevel="0" collapsed="false">
      <c r="A1916" s="4" t="n">
        <v>1915</v>
      </c>
      <c r="B1916" s="4" t="s">
        <v>2907</v>
      </c>
      <c r="C1916" s="4" t="n">
        <v>2008</v>
      </c>
      <c r="D1916" s="4" t="s">
        <v>490</v>
      </c>
      <c r="E1916" s="25" t="str">
        <f aca="false">IF(J1916=1,"✓","")</f>
        <v/>
      </c>
      <c r="F1916" s="4" t="n">
        <v>2</v>
      </c>
      <c r="G1916" s="4" t="n">
        <v>1</v>
      </c>
      <c r="H1916" s="4" t="s">
        <v>213</v>
      </c>
      <c r="I1916" s="4" t="s">
        <v>53</v>
      </c>
      <c r="J1916" s="4" t="n">
        <f aca="false">INDEX('Master List'!$G$2:$G$2594,K1916)</f>
        <v>0</v>
      </c>
      <c r="K1916" s="4" t="n">
        <v>434</v>
      </c>
    </row>
    <row r="1917" customFormat="false" ht="15" hidden="false" customHeight="false" outlineLevel="0" collapsed="false">
      <c r="A1917" s="4" t="n">
        <v>1916</v>
      </c>
      <c r="B1917" s="4" t="s">
        <v>2908</v>
      </c>
      <c r="C1917" s="4" t="n">
        <v>2008</v>
      </c>
      <c r="D1917" s="4" t="s">
        <v>2909</v>
      </c>
      <c r="E1917" s="25" t="str">
        <f aca="false">IF(J1917=1,"✓","")</f>
        <v/>
      </c>
      <c r="F1917" s="4" t="n">
        <v>2</v>
      </c>
      <c r="G1917" s="4" t="n">
        <v>1</v>
      </c>
      <c r="H1917" s="4" t="s">
        <v>213</v>
      </c>
      <c r="I1917" s="4" t="s">
        <v>53</v>
      </c>
      <c r="J1917" s="4" t="n">
        <f aca="false">INDEX('Master List'!$G$2:$G$2594,K1917)</f>
        <v>0</v>
      </c>
      <c r="K1917" s="4" t="n">
        <v>177</v>
      </c>
    </row>
    <row r="1918" customFormat="false" ht="15" hidden="false" customHeight="false" outlineLevel="0" collapsed="false">
      <c r="A1918" s="4" t="n">
        <v>1917</v>
      </c>
      <c r="B1918" s="4" t="s">
        <v>2910</v>
      </c>
      <c r="C1918" s="4" t="n">
        <v>2008</v>
      </c>
      <c r="D1918" s="4" t="s">
        <v>158</v>
      </c>
      <c r="E1918" s="25" t="str">
        <f aca="false">IF(J1918=1,"✓","")</f>
        <v/>
      </c>
      <c r="F1918" s="4" t="n">
        <v>2</v>
      </c>
      <c r="G1918" s="4" t="n">
        <v>1</v>
      </c>
      <c r="H1918" s="4" t="s">
        <v>213</v>
      </c>
      <c r="I1918" s="4" t="s">
        <v>53</v>
      </c>
      <c r="J1918" s="4" t="n">
        <f aca="false">INDEX('Master List'!$G$2:$G$2594,K1918)</f>
        <v>0</v>
      </c>
      <c r="K1918" s="4" t="n">
        <v>201</v>
      </c>
    </row>
    <row r="1919" customFormat="false" ht="15" hidden="false" customHeight="false" outlineLevel="0" collapsed="false">
      <c r="A1919" s="4" t="n">
        <v>1918</v>
      </c>
      <c r="B1919" s="4" t="s">
        <v>2911</v>
      </c>
      <c r="C1919" s="4" t="n">
        <v>2008</v>
      </c>
      <c r="D1919" s="4" t="s">
        <v>1115</v>
      </c>
      <c r="E1919" s="25" t="str">
        <f aca="false">IF(J1919=1,"✓","")</f>
        <v/>
      </c>
      <c r="F1919" s="4" t="n">
        <v>2</v>
      </c>
      <c r="G1919" s="4" t="n">
        <v>1</v>
      </c>
      <c r="H1919" s="4" t="s">
        <v>213</v>
      </c>
      <c r="I1919" s="4" t="s">
        <v>55</v>
      </c>
      <c r="J1919" s="4" t="n">
        <f aca="false">INDEX('Master List'!$G$2:$G$2594,K1919)</f>
        <v>0</v>
      </c>
      <c r="K1919" s="4" t="n">
        <v>863</v>
      </c>
    </row>
    <row r="1920" customFormat="false" ht="15" hidden="false" customHeight="false" outlineLevel="0" collapsed="false">
      <c r="A1920" s="4" t="n">
        <v>1919</v>
      </c>
      <c r="B1920" s="4" t="s">
        <v>2912</v>
      </c>
      <c r="C1920" s="4" t="n">
        <v>2008</v>
      </c>
      <c r="D1920" s="4" t="s">
        <v>2913</v>
      </c>
      <c r="E1920" s="25" t="str">
        <f aca="false">IF(J1920=1,"✓","")</f>
        <v/>
      </c>
      <c r="F1920" s="4" t="n">
        <v>2</v>
      </c>
      <c r="G1920" s="4" t="n">
        <v>1</v>
      </c>
      <c r="H1920" s="4" t="s">
        <v>213</v>
      </c>
      <c r="I1920" s="4" t="s">
        <v>55</v>
      </c>
      <c r="J1920" s="4" t="n">
        <f aca="false">INDEX('Master List'!$G$2:$G$2594,K1920)</f>
        <v>0</v>
      </c>
      <c r="K1920" s="4" t="n">
        <v>1087</v>
      </c>
    </row>
    <row r="1921" customFormat="false" ht="15" hidden="false" customHeight="false" outlineLevel="0" collapsed="false">
      <c r="A1921" s="4" t="n">
        <v>1920</v>
      </c>
      <c r="B1921" s="4" t="s">
        <v>2914</v>
      </c>
      <c r="C1921" s="4" t="n">
        <v>2008</v>
      </c>
      <c r="D1921" s="4" t="s">
        <v>1251</v>
      </c>
      <c r="E1921" s="25" t="str">
        <f aca="false">IF(J1921=1,"✓","")</f>
        <v/>
      </c>
      <c r="F1921" s="4" t="n">
        <v>2</v>
      </c>
      <c r="G1921" s="4" t="n">
        <v>1</v>
      </c>
      <c r="H1921" s="4" t="s">
        <v>213</v>
      </c>
      <c r="I1921" s="4" t="s">
        <v>55</v>
      </c>
      <c r="J1921" s="4" t="n">
        <f aca="false">INDEX('Master List'!$G$2:$G$2594,K1921)</f>
        <v>0</v>
      </c>
      <c r="K1921" s="4" t="n">
        <v>1897</v>
      </c>
    </row>
    <row r="1922" customFormat="false" ht="15" hidden="false" customHeight="false" outlineLevel="0" collapsed="false">
      <c r="A1922" s="4" t="n">
        <v>1921</v>
      </c>
      <c r="B1922" s="4" t="s">
        <v>2915</v>
      </c>
      <c r="C1922" s="4" t="n">
        <v>2008</v>
      </c>
      <c r="D1922" s="4" t="s">
        <v>827</v>
      </c>
      <c r="E1922" s="25" t="str">
        <f aca="false">IF(J1922=1,"✓","")</f>
        <v/>
      </c>
      <c r="F1922" s="4" t="n">
        <v>2</v>
      </c>
      <c r="G1922" s="4" t="n">
        <v>1</v>
      </c>
      <c r="H1922" s="4" t="s">
        <v>213</v>
      </c>
      <c r="I1922" s="4" t="s">
        <v>55</v>
      </c>
      <c r="J1922" s="4" t="n">
        <f aca="false">INDEX('Master List'!$G$2:$G$2594,K1922)</f>
        <v>0</v>
      </c>
      <c r="K1922" s="4" t="n">
        <v>1501</v>
      </c>
    </row>
    <row r="1923" customFormat="false" ht="15" hidden="false" customHeight="false" outlineLevel="0" collapsed="false">
      <c r="A1923" s="4" t="n">
        <v>1922</v>
      </c>
      <c r="B1923" s="4" t="s">
        <v>2916</v>
      </c>
      <c r="C1923" s="4" t="n">
        <v>2008</v>
      </c>
      <c r="D1923" s="4" t="s">
        <v>2917</v>
      </c>
      <c r="E1923" s="25" t="str">
        <f aca="false">IF(J1923=1,"✓","")</f>
        <v>✓</v>
      </c>
      <c r="F1923" s="4" t="n">
        <v>2</v>
      </c>
      <c r="G1923" s="4" t="n">
        <v>1</v>
      </c>
      <c r="H1923" s="4" t="s">
        <v>213</v>
      </c>
      <c r="I1923" s="4" t="s">
        <v>55</v>
      </c>
      <c r="J1923" s="4" t="n">
        <f aca="false">INDEX('Master List'!$G$2:$G$2594,K1923)</f>
        <v>1</v>
      </c>
      <c r="K1923" s="4" t="n">
        <v>2557</v>
      </c>
    </row>
    <row r="1924" customFormat="false" ht="15" hidden="false" customHeight="false" outlineLevel="0" collapsed="false">
      <c r="A1924" s="4" t="n">
        <v>1923</v>
      </c>
      <c r="B1924" s="4" t="s">
        <v>2918</v>
      </c>
      <c r="C1924" s="4" t="n">
        <v>2008</v>
      </c>
      <c r="D1924" s="4" t="s">
        <v>2919</v>
      </c>
      <c r="E1924" s="25" t="str">
        <f aca="false">IF(J1924=1,"✓","")</f>
        <v/>
      </c>
      <c r="F1924" s="4" t="n">
        <v>2</v>
      </c>
      <c r="G1924" s="4" t="n">
        <v>1</v>
      </c>
      <c r="H1924" s="4" t="s">
        <v>213</v>
      </c>
      <c r="I1924" s="4" t="s">
        <v>56</v>
      </c>
      <c r="J1924" s="4" t="n">
        <f aca="false">INDEX('Master List'!$G$2:$G$2594,K1924)</f>
        <v>0</v>
      </c>
      <c r="K1924" s="4" t="n">
        <v>1631</v>
      </c>
    </row>
    <row r="1925" customFormat="false" ht="15" hidden="false" customHeight="false" outlineLevel="0" collapsed="false">
      <c r="A1925" s="4" t="n">
        <v>1924</v>
      </c>
      <c r="B1925" s="4" t="s">
        <v>2920</v>
      </c>
      <c r="C1925" s="4" t="n">
        <v>2008</v>
      </c>
      <c r="D1925" s="4" t="s">
        <v>1611</v>
      </c>
      <c r="E1925" s="25" t="str">
        <f aca="false">IF(J1925=1,"✓","")</f>
        <v/>
      </c>
      <c r="F1925" s="4" t="n">
        <v>2</v>
      </c>
      <c r="G1925" s="4" t="n">
        <v>1</v>
      </c>
      <c r="H1925" s="4" t="s">
        <v>213</v>
      </c>
      <c r="I1925" s="4" t="s">
        <v>56</v>
      </c>
      <c r="J1925" s="4" t="n">
        <f aca="false">INDEX('Master List'!$G$2:$G$2594,K1925)</f>
        <v>0</v>
      </c>
      <c r="K1925" s="4" t="n">
        <v>1324</v>
      </c>
    </row>
    <row r="1926" customFormat="false" ht="15" hidden="false" customHeight="false" outlineLevel="0" collapsed="false">
      <c r="A1926" s="4" t="n">
        <v>1925</v>
      </c>
      <c r="B1926" s="4" t="s">
        <v>2921</v>
      </c>
      <c r="C1926" s="4" t="n">
        <v>2009</v>
      </c>
      <c r="D1926" s="4" t="s">
        <v>2849</v>
      </c>
      <c r="E1926" s="25" t="str">
        <f aca="false">IF(J1926=1,"✓","")</f>
        <v/>
      </c>
      <c r="F1926" s="4" t="n">
        <v>2</v>
      </c>
      <c r="G1926" s="4" t="n">
        <v>1</v>
      </c>
      <c r="H1926" s="4" t="s">
        <v>213</v>
      </c>
      <c r="I1926" s="4" t="s">
        <v>51</v>
      </c>
      <c r="J1926" s="4" t="n">
        <f aca="false">INDEX('Master List'!$G$2:$G$2594,K1926)</f>
        <v>0</v>
      </c>
      <c r="K1926" s="4" t="n">
        <v>1787</v>
      </c>
    </row>
    <row r="1927" customFormat="false" ht="15" hidden="false" customHeight="false" outlineLevel="0" collapsed="false">
      <c r="A1927" s="4" t="n">
        <v>1926</v>
      </c>
      <c r="B1927" s="4" t="s">
        <v>2922</v>
      </c>
      <c r="C1927" s="4" t="n">
        <v>2009</v>
      </c>
      <c r="D1927" s="4" t="s">
        <v>2923</v>
      </c>
      <c r="E1927" s="25" t="str">
        <f aca="false">IF(J1927=1,"✓","")</f>
        <v/>
      </c>
      <c r="F1927" s="4" t="n">
        <v>2</v>
      </c>
      <c r="G1927" s="4" t="n">
        <v>1</v>
      </c>
      <c r="H1927" s="4" t="s">
        <v>213</v>
      </c>
      <c r="I1927" s="4" t="s">
        <v>52</v>
      </c>
      <c r="J1927" s="4" t="n">
        <f aca="false">INDEX('Master List'!$G$2:$G$2594,K1927)</f>
        <v>0</v>
      </c>
      <c r="K1927" s="4" t="n">
        <v>1128</v>
      </c>
    </row>
    <row r="1928" customFormat="false" ht="15" hidden="false" customHeight="false" outlineLevel="0" collapsed="false">
      <c r="A1928" s="4" t="n">
        <v>1927</v>
      </c>
      <c r="B1928" s="4" t="s">
        <v>2924</v>
      </c>
      <c r="C1928" s="4" t="n">
        <v>2009</v>
      </c>
      <c r="D1928" s="4" t="s">
        <v>1553</v>
      </c>
      <c r="E1928" s="25" t="str">
        <f aca="false">IF(J1928=1,"✓","")</f>
        <v>✓</v>
      </c>
      <c r="F1928" s="4" t="n">
        <v>2</v>
      </c>
      <c r="G1928" s="4" t="n">
        <v>1</v>
      </c>
      <c r="H1928" s="4" t="s">
        <v>213</v>
      </c>
      <c r="I1928" s="4" t="s">
        <v>52</v>
      </c>
      <c r="J1928" s="4" t="n">
        <f aca="false">INDEX('Master List'!$G$2:$G$2594,K1928)</f>
        <v>1</v>
      </c>
      <c r="K1928" s="4" t="n">
        <v>522</v>
      </c>
    </row>
    <row r="1929" customFormat="false" ht="15" hidden="false" customHeight="false" outlineLevel="0" collapsed="false">
      <c r="A1929" s="4" t="n">
        <v>1928</v>
      </c>
      <c r="B1929" s="4" t="s">
        <v>2925</v>
      </c>
      <c r="C1929" s="4" t="n">
        <v>2009</v>
      </c>
      <c r="D1929" s="4" t="s">
        <v>2926</v>
      </c>
      <c r="E1929" s="25" t="str">
        <f aca="false">IF(J1929=1,"✓","")</f>
        <v>✓</v>
      </c>
      <c r="F1929" s="4" t="n">
        <v>2</v>
      </c>
      <c r="G1929" s="4" t="n">
        <v>1</v>
      </c>
      <c r="H1929" s="4" t="s">
        <v>213</v>
      </c>
      <c r="I1929" s="4" t="s">
        <v>52</v>
      </c>
      <c r="J1929" s="4" t="n">
        <f aca="false">INDEX('Master List'!$G$2:$G$2594,K1929)</f>
        <v>1</v>
      </c>
      <c r="K1929" s="4" t="n">
        <v>1455</v>
      </c>
    </row>
    <row r="1930" customFormat="false" ht="15" hidden="false" customHeight="false" outlineLevel="0" collapsed="false">
      <c r="A1930" s="4" t="n">
        <v>1929</v>
      </c>
      <c r="B1930" s="4" t="s">
        <v>2927</v>
      </c>
      <c r="C1930" s="4" t="n">
        <v>2009</v>
      </c>
      <c r="D1930" s="4" t="s">
        <v>2751</v>
      </c>
      <c r="E1930" s="25" t="str">
        <f aca="false">IF(J1930=1,"✓","")</f>
        <v>✓</v>
      </c>
      <c r="F1930" s="4" t="n">
        <v>2</v>
      </c>
      <c r="G1930" s="4" t="n">
        <v>1</v>
      </c>
      <c r="H1930" s="4" t="s">
        <v>213</v>
      </c>
      <c r="I1930" s="4" t="s">
        <v>52</v>
      </c>
      <c r="J1930" s="4" t="n">
        <f aca="false">INDEX('Master List'!$G$2:$G$2594,K1930)</f>
        <v>1</v>
      </c>
      <c r="K1930" s="4" t="n">
        <v>2413</v>
      </c>
    </row>
    <row r="1931" customFormat="false" ht="15" hidden="false" customHeight="false" outlineLevel="0" collapsed="false">
      <c r="A1931" s="4" t="n">
        <v>1930</v>
      </c>
      <c r="B1931" s="4" t="s">
        <v>2928</v>
      </c>
      <c r="C1931" s="4" t="n">
        <v>2009</v>
      </c>
      <c r="D1931" s="4" t="s">
        <v>292</v>
      </c>
      <c r="E1931" s="25" t="str">
        <f aca="false">IF(J1931=1,"✓","")</f>
        <v>✓</v>
      </c>
      <c r="F1931" s="4" t="n">
        <v>2</v>
      </c>
      <c r="G1931" s="4" t="n">
        <v>1</v>
      </c>
      <c r="H1931" s="4" t="s">
        <v>213</v>
      </c>
      <c r="I1931" s="4" t="s">
        <v>53</v>
      </c>
      <c r="J1931" s="4" t="n">
        <f aca="false">INDEX('Master List'!$G$2:$G$2594,K1931)</f>
        <v>1</v>
      </c>
      <c r="K1931" s="4" t="n">
        <v>169</v>
      </c>
    </row>
    <row r="1932" customFormat="false" ht="15" hidden="false" customHeight="false" outlineLevel="0" collapsed="false">
      <c r="A1932" s="4" t="n">
        <v>1931</v>
      </c>
      <c r="B1932" s="4" t="s">
        <v>2929</v>
      </c>
      <c r="C1932" s="4" t="n">
        <v>2009</v>
      </c>
      <c r="D1932" s="4" t="s">
        <v>262</v>
      </c>
      <c r="E1932" s="25" t="str">
        <f aca="false">IF(J1932=1,"✓","")</f>
        <v/>
      </c>
      <c r="F1932" s="4" t="n">
        <v>2</v>
      </c>
      <c r="G1932" s="4" t="n">
        <v>1</v>
      </c>
      <c r="H1932" s="4" t="s">
        <v>213</v>
      </c>
      <c r="I1932" s="4" t="s">
        <v>53</v>
      </c>
      <c r="J1932" s="4" t="n">
        <f aca="false">INDEX('Master List'!$G$2:$G$2594,K1932)</f>
        <v>0</v>
      </c>
      <c r="K1932" s="4" t="n">
        <v>2504</v>
      </c>
    </row>
    <row r="1933" customFormat="false" ht="15" hidden="false" customHeight="false" outlineLevel="0" collapsed="false">
      <c r="A1933" s="4" t="n">
        <v>1932</v>
      </c>
      <c r="B1933" s="4" t="s">
        <v>2930</v>
      </c>
      <c r="C1933" s="4" t="n">
        <v>2009</v>
      </c>
      <c r="D1933" s="4" t="s">
        <v>208</v>
      </c>
      <c r="E1933" s="25" t="str">
        <f aca="false">IF(J1933=1,"✓","")</f>
        <v>✓</v>
      </c>
      <c r="F1933" s="4" t="n">
        <v>2</v>
      </c>
      <c r="G1933" s="4" t="n">
        <v>1</v>
      </c>
      <c r="H1933" s="4" t="s">
        <v>213</v>
      </c>
      <c r="I1933" s="4" t="s">
        <v>53</v>
      </c>
      <c r="J1933" s="4" t="n">
        <f aca="false">INDEX('Master List'!$G$2:$G$2594,K1933)</f>
        <v>1</v>
      </c>
      <c r="K1933" s="4" t="n">
        <v>1139</v>
      </c>
    </row>
    <row r="1934" customFormat="false" ht="15" hidden="false" customHeight="false" outlineLevel="0" collapsed="false">
      <c r="A1934" s="4" t="n">
        <v>1933</v>
      </c>
      <c r="B1934" s="4" t="s">
        <v>2931</v>
      </c>
      <c r="C1934" s="4" t="n">
        <v>2009</v>
      </c>
      <c r="D1934" s="4" t="s">
        <v>2932</v>
      </c>
      <c r="E1934" s="25" t="str">
        <f aca="false">IF(J1934=1,"✓","")</f>
        <v/>
      </c>
      <c r="F1934" s="4" t="n">
        <v>2</v>
      </c>
      <c r="G1934" s="4" t="n">
        <v>1</v>
      </c>
      <c r="H1934" s="4" t="s">
        <v>213</v>
      </c>
      <c r="I1934" s="4" t="s">
        <v>54</v>
      </c>
      <c r="J1934" s="4" t="n">
        <f aca="false">INDEX('Master List'!$G$2:$G$2594,K1934)</f>
        <v>0</v>
      </c>
      <c r="K1934" s="4" t="n">
        <v>1202</v>
      </c>
    </row>
    <row r="1935" customFormat="false" ht="15" hidden="false" customHeight="false" outlineLevel="0" collapsed="false">
      <c r="A1935" s="4" t="n">
        <v>1934</v>
      </c>
      <c r="B1935" s="4" t="s">
        <v>2933</v>
      </c>
      <c r="C1935" s="4" t="n">
        <v>2009</v>
      </c>
      <c r="D1935" s="4" t="s">
        <v>2934</v>
      </c>
      <c r="E1935" s="25" t="str">
        <f aca="false">IF(J1935=1,"✓","")</f>
        <v/>
      </c>
      <c r="F1935" s="4" t="n">
        <v>2</v>
      </c>
      <c r="G1935" s="4" t="n">
        <v>1</v>
      </c>
      <c r="H1935" s="4" t="s">
        <v>213</v>
      </c>
      <c r="I1935" s="4" t="s">
        <v>54</v>
      </c>
      <c r="J1935" s="4" t="n">
        <f aca="false">INDEX('Master List'!$G$2:$G$2594,K1935)</f>
        <v>0</v>
      </c>
      <c r="K1935" s="4" t="n">
        <v>1965</v>
      </c>
    </row>
    <row r="1936" customFormat="false" ht="15" hidden="false" customHeight="false" outlineLevel="0" collapsed="false">
      <c r="A1936" s="4" t="n">
        <v>1935</v>
      </c>
      <c r="B1936" s="4" t="s">
        <v>2935</v>
      </c>
      <c r="C1936" s="4" t="n">
        <v>2009</v>
      </c>
      <c r="D1936" s="4" t="s">
        <v>2936</v>
      </c>
      <c r="E1936" s="25" t="str">
        <f aca="false">IF(J1936=1,"✓","")</f>
        <v/>
      </c>
      <c r="F1936" s="4" t="n">
        <v>2</v>
      </c>
      <c r="G1936" s="4" t="n">
        <v>1</v>
      </c>
      <c r="H1936" s="4" t="s">
        <v>213</v>
      </c>
      <c r="I1936" s="4" t="s">
        <v>54</v>
      </c>
      <c r="J1936" s="4" t="n">
        <f aca="false">INDEX('Master List'!$G$2:$G$2594,K1936)</f>
        <v>0</v>
      </c>
      <c r="K1936" s="4" t="n">
        <v>1086</v>
      </c>
    </row>
    <row r="1937" customFormat="false" ht="15" hidden="false" customHeight="false" outlineLevel="0" collapsed="false">
      <c r="A1937" s="4" t="n">
        <v>1936</v>
      </c>
      <c r="B1937" s="4" t="s">
        <v>2937</v>
      </c>
      <c r="C1937" s="4" t="n">
        <v>2009</v>
      </c>
      <c r="D1937" s="4" t="s">
        <v>2938</v>
      </c>
      <c r="E1937" s="25" t="str">
        <f aca="false">IF(J1937=1,"✓","")</f>
        <v>✓</v>
      </c>
      <c r="F1937" s="4" t="n">
        <v>2</v>
      </c>
      <c r="G1937" s="4" t="n">
        <v>1</v>
      </c>
      <c r="H1937" s="4" t="s">
        <v>213</v>
      </c>
      <c r="I1937" s="4" t="s">
        <v>55</v>
      </c>
      <c r="J1937" s="4" t="n">
        <f aca="false">INDEX('Master List'!$G$2:$G$2594,K1937)</f>
        <v>1</v>
      </c>
      <c r="K1937" s="4" t="n">
        <v>1914</v>
      </c>
    </row>
    <row r="1938" customFormat="false" ht="15" hidden="false" customHeight="false" outlineLevel="0" collapsed="false">
      <c r="A1938" s="4" t="n">
        <v>1937</v>
      </c>
      <c r="B1938" s="4" t="s">
        <v>2939</v>
      </c>
      <c r="C1938" s="4" t="n">
        <v>2009</v>
      </c>
      <c r="D1938" s="4" t="s">
        <v>1399</v>
      </c>
      <c r="E1938" s="25" t="str">
        <f aca="false">IF(J1938=1,"✓","")</f>
        <v/>
      </c>
      <c r="F1938" s="4" t="n">
        <v>2</v>
      </c>
      <c r="G1938" s="4" t="n">
        <v>1</v>
      </c>
      <c r="H1938" s="4" t="s">
        <v>213</v>
      </c>
      <c r="I1938" s="4" t="s">
        <v>56</v>
      </c>
      <c r="J1938" s="4" t="n">
        <f aca="false">INDEX('Master List'!$G$2:$G$2594,K1938)</f>
        <v>0</v>
      </c>
      <c r="K1938" s="4" t="n">
        <v>735</v>
      </c>
    </row>
    <row r="1939" customFormat="false" ht="15" hidden="false" customHeight="false" outlineLevel="0" collapsed="false">
      <c r="A1939" s="4" t="n">
        <v>1938</v>
      </c>
      <c r="B1939" s="4" t="s">
        <v>2940</v>
      </c>
      <c r="C1939" s="4" t="n">
        <v>2010</v>
      </c>
      <c r="D1939" s="4" t="s">
        <v>1127</v>
      </c>
      <c r="E1939" s="25" t="str">
        <f aca="false">IF(J1939=1,"✓","")</f>
        <v/>
      </c>
      <c r="F1939" s="4" t="n">
        <v>2</v>
      </c>
      <c r="G1939" s="4" t="n">
        <v>1</v>
      </c>
      <c r="H1939" s="4" t="s">
        <v>213</v>
      </c>
      <c r="I1939" s="4" t="s">
        <v>51</v>
      </c>
      <c r="J1939" s="4" t="n">
        <f aca="false">INDEX('Master List'!$G$2:$G$2594,K1939)</f>
        <v>0</v>
      </c>
      <c r="K1939" s="4" t="n">
        <v>7</v>
      </c>
    </row>
    <row r="1940" customFormat="false" ht="15" hidden="false" customHeight="false" outlineLevel="0" collapsed="false">
      <c r="A1940" s="4" t="n">
        <v>1939</v>
      </c>
      <c r="B1940" s="4" t="s">
        <v>2941</v>
      </c>
      <c r="C1940" s="4" t="n">
        <v>2010</v>
      </c>
      <c r="D1940" s="4" t="s">
        <v>1549</v>
      </c>
      <c r="E1940" s="25" t="str">
        <f aca="false">IF(J1940=1,"✓","")</f>
        <v/>
      </c>
      <c r="F1940" s="4" t="n">
        <v>2</v>
      </c>
      <c r="G1940" s="4" t="n">
        <v>1</v>
      </c>
      <c r="H1940" s="4" t="s">
        <v>213</v>
      </c>
      <c r="I1940" s="4" t="s">
        <v>51</v>
      </c>
      <c r="J1940" s="4" t="n">
        <f aca="false">INDEX('Master List'!$G$2:$G$2594,K1940)</f>
        <v>0</v>
      </c>
      <c r="K1940" s="4" t="n">
        <v>117</v>
      </c>
    </row>
    <row r="1941" customFormat="false" ht="15" hidden="false" customHeight="false" outlineLevel="0" collapsed="false">
      <c r="A1941" s="4" t="n">
        <v>1940</v>
      </c>
      <c r="B1941" s="4" t="s">
        <v>2942</v>
      </c>
      <c r="C1941" s="4" t="n">
        <v>2010</v>
      </c>
      <c r="D1941" s="4" t="s">
        <v>1243</v>
      </c>
      <c r="E1941" s="25" t="str">
        <f aca="false">IF(J1941=1,"✓","")</f>
        <v/>
      </c>
      <c r="F1941" s="4" t="n">
        <v>2</v>
      </c>
      <c r="G1941" s="4" t="n">
        <v>1</v>
      </c>
      <c r="H1941" s="4" t="s">
        <v>213</v>
      </c>
      <c r="I1941" s="4" t="s">
        <v>51</v>
      </c>
      <c r="J1941" s="4" t="n">
        <f aca="false">INDEX('Master List'!$G$2:$G$2594,K1941)</f>
        <v>0</v>
      </c>
      <c r="K1941" s="4" t="n">
        <v>1782</v>
      </c>
    </row>
    <row r="1942" customFormat="false" ht="15" hidden="false" customHeight="false" outlineLevel="0" collapsed="false">
      <c r="A1942" s="4" t="n">
        <v>1941</v>
      </c>
      <c r="B1942" s="4" t="s">
        <v>2943</v>
      </c>
      <c r="C1942" s="4" t="n">
        <v>2010</v>
      </c>
      <c r="D1942" s="4" t="s">
        <v>1401</v>
      </c>
      <c r="E1942" s="25" t="str">
        <f aca="false">IF(J1942=1,"✓","")</f>
        <v/>
      </c>
      <c r="F1942" s="4" t="n">
        <v>2</v>
      </c>
      <c r="G1942" s="4" t="n">
        <v>1</v>
      </c>
      <c r="H1942" s="4" t="s">
        <v>213</v>
      </c>
      <c r="I1942" s="4" t="s">
        <v>51</v>
      </c>
      <c r="J1942" s="4" t="n">
        <f aca="false">INDEX('Master List'!$G$2:$G$2594,K1942)</f>
        <v>0</v>
      </c>
      <c r="K1942" s="4" t="n">
        <v>1107</v>
      </c>
    </row>
    <row r="1943" customFormat="false" ht="15" hidden="false" customHeight="false" outlineLevel="0" collapsed="false">
      <c r="A1943" s="4" t="n">
        <v>1942</v>
      </c>
      <c r="B1943" s="4" t="s">
        <v>2944</v>
      </c>
      <c r="C1943" s="4" t="n">
        <v>2010</v>
      </c>
      <c r="D1943" s="4" t="s">
        <v>861</v>
      </c>
      <c r="E1943" s="25" t="str">
        <f aca="false">IF(J1943=1,"✓","")</f>
        <v/>
      </c>
      <c r="F1943" s="4" t="n">
        <v>2</v>
      </c>
      <c r="G1943" s="4" t="n">
        <v>1</v>
      </c>
      <c r="H1943" s="4" t="s">
        <v>213</v>
      </c>
      <c r="I1943" s="4" t="s">
        <v>51</v>
      </c>
      <c r="J1943" s="4" t="n">
        <f aca="false">INDEX('Master List'!$G$2:$G$2594,K1943)</f>
        <v>0</v>
      </c>
      <c r="K1943" s="4" t="n">
        <v>2567</v>
      </c>
    </row>
    <row r="1944" customFormat="false" ht="15" hidden="false" customHeight="false" outlineLevel="0" collapsed="false">
      <c r="A1944" s="4" t="n">
        <v>1943</v>
      </c>
      <c r="B1944" s="4" t="s">
        <v>2945</v>
      </c>
      <c r="C1944" s="4" t="n">
        <v>2010</v>
      </c>
      <c r="D1944" s="4" t="s">
        <v>1161</v>
      </c>
      <c r="E1944" s="25" t="str">
        <f aca="false">IF(J1944=1,"✓","")</f>
        <v/>
      </c>
      <c r="F1944" s="4" t="n">
        <v>2</v>
      </c>
      <c r="G1944" s="4" t="n">
        <v>1</v>
      </c>
      <c r="H1944" s="4" t="s">
        <v>213</v>
      </c>
      <c r="I1944" s="4" t="s">
        <v>52</v>
      </c>
      <c r="J1944" s="4" t="n">
        <f aca="false">INDEX('Master List'!$G$2:$G$2594,K1944)</f>
        <v>0</v>
      </c>
      <c r="K1944" s="4" t="n">
        <v>6</v>
      </c>
    </row>
    <row r="1945" customFormat="false" ht="15" hidden="false" customHeight="false" outlineLevel="0" collapsed="false">
      <c r="A1945" s="4" t="n">
        <v>1944</v>
      </c>
      <c r="B1945" s="4" t="s">
        <v>2946</v>
      </c>
      <c r="C1945" s="4" t="n">
        <v>2010</v>
      </c>
      <c r="D1945" s="4" t="s">
        <v>2947</v>
      </c>
      <c r="E1945" s="25" t="str">
        <f aca="false">IF(J1945=1,"✓","")</f>
        <v/>
      </c>
      <c r="F1945" s="4" t="n">
        <v>2</v>
      </c>
      <c r="G1945" s="4" t="n">
        <v>1</v>
      </c>
      <c r="H1945" s="4" t="s">
        <v>213</v>
      </c>
      <c r="I1945" s="4" t="s">
        <v>52</v>
      </c>
      <c r="J1945" s="4" t="n">
        <f aca="false">INDEX('Master List'!$G$2:$G$2594,K1945)</f>
        <v>0</v>
      </c>
      <c r="K1945" s="4" t="n">
        <v>1894</v>
      </c>
    </row>
    <row r="1946" customFormat="false" ht="15" hidden="false" customHeight="false" outlineLevel="0" collapsed="false">
      <c r="A1946" s="4" t="n">
        <v>1945</v>
      </c>
      <c r="B1946" s="4" t="s">
        <v>2948</v>
      </c>
      <c r="C1946" s="4" t="n">
        <v>2010</v>
      </c>
      <c r="D1946" s="4" t="s">
        <v>2949</v>
      </c>
      <c r="E1946" s="25" t="str">
        <f aca="false">IF(J1946=1,"✓","")</f>
        <v/>
      </c>
      <c r="F1946" s="4" t="n">
        <v>2</v>
      </c>
      <c r="G1946" s="4" t="n">
        <v>1</v>
      </c>
      <c r="H1946" s="4" t="s">
        <v>213</v>
      </c>
      <c r="I1946" s="4" t="s">
        <v>52</v>
      </c>
      <c r="J1946" s="4" t="n">
        <f aca="false">INDEX('Master List'!$G$2:$G$2594,K1946)</f>
        <v>0</v>
      </c>
      <c r="K1946" s="4" t="n">
        <v>762</v>
      </c>
    </row>
    <row r="1947" customFormat="false" ht="15" hidden="false" customHeight="false" outlineLevel="0" collapsed="false">
      <c r="A1947" s="4" t="n">
        <v>1946</v>
      </c>
      <c r="B1947" s="4" t="s">
        <v>2950</v>
      </c>
      <c r="C1947" s="4" t="n">
        <v>2010</v>
      </c>
      <c r="D1947" s="4" t="s">
        <v>2259</v>
      </c>
      <c r="E1947" s="25" t="str">
        <f aca="false">IF(J1947=1,"✓","")</f>
        <v/>
      </c>
      <c r="F1947" s="4" t="n">
        <v>2</v>
      </c>
      <c r="G1947" s="4" t="n">
        <v>1</v>
      </c>
      <c r="H1947" s="4" t="s">
        <v>213</v>
      </c>
      <c r="I1947" s="4" t="s">
        <v>52</v>
      </c>
      <c r="J1947" s="4" t="n">
        <f aca="false">INDEX('Master List'!$G$2:$G$2594,K1947)</f>
        <v>0</v>
      </c>
      <c r="K1947" s="4" t="n">
        <v>1635</v>
      </c>
    </row>
    <row r="1948" customFormat="false" ht="15" hidden="false" customHeight="false" outlineLevel="0" collapsed="false">
      <c r="A1948" s="4" t="n">
        <v>1947</v>
      </c>
      <c r="B1948" s="4" t="s">
        <v>2951</v>
      </c>
      <c r="C1948" s="4" t="n">
        <v>2010</v>
      </c>
      <c r="D1948" s="4" t="s">
        <v>323</v>
      </c>
      <c r="E1948" s="25" t="str">
        <f aca="false">IF(J1948=1,"✓","")</f>
        <v/>
      </c>
      <c r="F1948" s="4" t="n">
        <v>2</v>
      </c>
      <c r="G1948" s="4" t="n">
        <v>1</v>
      </c>
      <c r="H1948" s="4" t="s">
        <v>213</v>
      </c>
      <c r="I1948" s="4" t="s">
        <v>53</v>
      </c>
      <c r="J1948" s="4" t="n">
        <f aca="false">INDEX('Master List'!$G$2:$G$2594,K1948)</f>
        <v>0</v>
      </c>
      <c r="K1948" s="4" t="n">
        <v>2379</v>
      </c>
    </row>
    <row r="1949" customFormat="false" ht="15" hidden="false" customHeight="false" outlineLevel="0" collapsed="false">
      <c r="A1949" s="4" t="n">
        <v>1948</v>
      </c>
      <c r="B1949" s="4" t="s">
        <v>2952</v>
      </c>
      <c r="C1949" s="4" t="n">
        <v>2010</v>
      </c>
      <c r="D1949" s="4" t="s">
        <v>1420</v>
      </c>
      <c r="E1949" s="25" t="str">
        <f aca="false">IF(J1949=1,"✓","")</f>
        <v/>
      </c>
      <c r="F1949" s="4" t="n">
        <v>2</v>
      </c>
      <c r="G1949" s="4" t="n">
        <v>1</v>
      </c>
      <c r="H1949" s="4" t="s">
        <v>213</v>
      </c>
      <c r="I1949" s="4" t="s">
        <v>53</v>
      </c>
      <c r="J1949" s="4" t="n">
        <f aca="false">INDEX('Master List'!$G$2:$G$2594,K1949)</f>
        <v>0</v>
      </c>
      <c r="K1949" s="4" t="n">
        <v>2530</v>
      </c>
    </row>
    <row r="1950" customFormat="false" ht="15" hidden="false" customHeight="false" outlineLevel="0" collapsed="false">
      <c r="A1950" s="4" t="n">
        <v>1949</v>
      </c>
      <c r="B1950" s="4" t="s">
        <v>2953</v>
      </c>
      <c r="C1950" s="4" t="n">
        <v>2010</v>
      </c>
      <c r="D1950" s="4" t="s">
        <v>2954</v>
      </c>
      <c r="E1950" s="25" t="str">
        <f aca="false">IF(J1950=1,"✓","")</f>
        <v/>
      </c>
      <c r="F1950" s="4" t="n">
        <v>2</v>
      </c>
      <c r="G1950" s="4" t="n">
        <v>1</v>
      </c>
      <c r="H1950" s="4" t="s">
        <v>213</v>
      </c>
      <c r="I1950" s="4" t="s">
        <v>53</v>
      </c>
      <c r="J1950" s="4" t="n">
        <f aca="false">INDEX('Master List'!$G$2:$G$2594,K1950)</f>
        <v>0</v>
      </c>
      <c r="K1950" s="4" t="n">
        <v>148</v>
      </c>
    </row>
    <row r="1951" customFormat="false" ht="15" hidden="false" customHeight="false" outlineLevel="0" collapsed="false">
      <c r="A1951" s="4" t="n">
        <v>1950</v>
      </c>
      <c r="B1951" s="4" t="s">
        <v>2955</v>
      </c>
      <c r="C1951" s="4" t="n">
        <v>2010</v>
      </c>
      <c r="D1951" s="4" t="s">
        <v>1628</v>
      </c>
      <c r="E1951" s="25" t="str">
        <f aca="false">IF(J1951=1,"✓","")</f>
        <v/>
      </c>
      <c r="F1951" s="4" t="n">
        <v>2</v>
      </c>
      <c r="G1951" s="4" t="n">
        <v>1</v>
      </c>
      <c r="H1951" s="4" t="s">
        <v>213</v>
      </c>
      <c r="I1951" s="4" t="s">
        <v>53</v>
      </c>
      <c r="J1951" s="4" t="n">
        <f aca="false">INDEX('Master List'!$G$2:$G$2594,K1951)</f>
        <v>0</v>
      </c>
      <c r="K1951" s="4" t="n">
        <v>975</v>
      </c>
    </row>
    <row r="1952" customFormat="false" ht="15" hidden="false" customHeight="false" outlineLevel="0" collapsed="false">
      <c r="A1952" s="4" t="n">
        <v>1951</v>
      </c>
      <c r="B1952" s="4" t="s">
        <v>2956</v>
      </c>
      <c r="C1952" s="4" t="n">
        <v>2010</v>
      </c>
      <c r="D1952" s="4" t="s">
        <v>2426</v>
      </c>
      <c r="E1952" s="25" t="str">
        <f aca="false">IF(J1952=1,"✓","")</f>
        <v/>
      </c>
      <c r="F1952" s="4" t="n">
        <v>2</v>
      </c>
      <c r="G1952" s="4" t="n">
        <v>1</v>
      </c>
      <c r="H1952" s="4" t="s">
        <v>213</v>
      </c>
      <c r="I1952" s="4" t="s">
        <v>54</v>
      </c>
      <c r="J1952" s="4" t="n">
        <f aca="false">INDEX('Master List'!$G$2:$G$2594,K1952)</f>
        <v>0</v>
      </c>
      <c r="K1952" s="4" t="n">
        <v>2412</v>
      </c>
    </row>
    <row r="1953" customFormat="false" ht="15" hidden="false" customHeight="false" outlineLevel="0" collapsed="false">
      <c r="A1953" s="4" t="n">
        <v>1952</v>
      </c>
      <c r="B1953" s="4" t="s">
        <v>2957</v>
      </c>
      <c r="C1953" s="4" t="n">
        <v>2010</v>
      </c>
      <c r="D1953" s="4" t="s">
        <v>2958</v>
      </c>
      <c r="E1953" s="25" t="str">
        <f aca="false">IF(J1953=1,"✓","")</f>
        <v/>
      </c>
      <c r="F1953" s="4" t="n">
        <v>2</v>
      </c>
      <c r="G1953" s="4" t="n">
        <v>1</v>
      </c>
      <c r="H1953" s="4" t="s">
        <v>213</v>
      </c>
      <c r="I1953" s="4" t="s">
        <v>54</v>
      </c>
      <c r="J1953" s="4" t="n">
        <f aca="false">INDEX('Master List'!$G$2:$G$2594,K1953)</f>
        <v>0</v>
      </c>
      <c r="K1953" s="4" t="n">
        <v>2310</v>
      </c>
    </row>
    <row r="1954" customFormat="false" ht="15" hidden="false" customHeight="false" outlineLevel="0" collapsed="false">
      <c r="A1954" s="4" t="n">
        <v>1953</v>
      </c>
      <c r="B1954" s="4" t="s">
        <v>2959</v>
      </c>
      <c r="C1954" s="4" t="n">
        <v>2010</v>
      </c>
      <c r="D1954" s="4" t="s">
        <v>2960</v>
      </c>
      <c r="E1954" s="25" t="str">
        <f aca="false">IF(J1954=1,"✓","")</f>
        <v/>
      </c>
      <c r="F1954" s="4" t="n">
        <v>2</v>
      </c>
      <c r="G1954" s="4" t="n">
        <v>1</v>
      </c>
      <c r="H1954" s="4" t="s">
        <v>213</v>
      </c>
      <c r="I1954" s="4" t="s">
        <v>55</v>
      </c>
      <c r="J1954" s="4" t="n">
        <f aca="false">INDEX('Master List'!$G$2:$G$2594,K1954)</f>
        <v>0</v>
      </c>
      <c r="K1954" s="4" t="n">
        <v>1148</v>
      </c>
    </row>
    <row r="1955" customFormat="false" ht="15" hidden="false" customHeight="false" outlineLevel="0" collapsed="false">
      <c r="A1955" s="4" t="n">
        <v>1954</v>
      </c>
      <c r="B1955" s="4" t="s">
        <v>2961</v>
      </c>
      <c r="C1955" s="4" t="n">
        <v>2010</v>
      </c>
      <c r="D1955" s="4" t="s">
        <v>2962</v>
      </c>
      <c r="E1955" s="25" t="str">
        <f aca="false">IF(J1955=1,"✓","")</f>
        <v/>
      </c>
      <c r="F1955" s="4" t="n">
        <v>2</v>
      </c>
      <c r="G1955" s="4" t="n">
        <v>1</v>
      </c>
      <c r="H1955" s="4" t="s">
        <v>213</v>
      </c>
      <c r="I1955" s="4" t="s">
        <v>55</v>
      </c>
      <c r="J1955" s="4" t="n">
        <f aca="false">INDEX('Master List'!$G$2:$G$2594,K1955)</f>
        <v>0</v>
      </c>
      <c r="K1955" s="4" t="n">
        <v>1650</v>
      </c>
    </row>
    <row r="1956" customFormat="false" ht="15" hidden="false" customHeight="false" outlineLevel="0" collapsed="false">
      <c r="A1956" s="4" t="n">
        <v>1955</v>
      </c>
      <c r="B1956" s="4" t="s">
        <v>2963</v>
      </c>
      <c r="C1956" s="4" t="n">
        <v>2010</v>
      </c>
      <c r="D1956" s="4" t="s">
        <v>2964</v>
      </c>
      <c r="E1956" s="25" t="str">
        <f aca="false">IF(J1956=1,"✓","")</f>
        <v/>
      </c>
      <c r="F1956" s="4" t="n">
        <v>2</v>
      </c>
      <c r="G1956" s="4" t="n">
        <v>1</v>
      </c>
      <c r="H1956" s="4" t="s">
        <v>213</v>
      </c>
      <c r="I1956" s="4" t="s">
        <v>55</v>
      </c>
      <c r="J1956" s="4" t="n">
        <f aca="false">INDEX('Master List'!$G$2:$G$2594,K1956)</f>
        <v>0</v>
      </c>
      <c r="K1956" s="4" t="n">
        <v>301</v>
      </c>
    </row>
    <row r="1957" customFormat="false" ht="15" hidden="false" customHeight="false" outlineLevel="0" collapsed="false">
      <c r="A1957" s="4" t="n">
        <v>1956</v>
      </c>
      <c r="B1957" s="4" t="s">
        <v>2965</v>
      </c>
      <c r="C1957" s="4" t="n">
        <v>2010</v>
      </c>
      <c r="D1957" s="4" t="s">
        <v>2816</v>
      </c>
      <c r="E1957" s="25" t="str">
        <f aca="false">IF(J1957=1,"✓","")</f>
        <v>✓</v>
      </c>
      <c r="F1957" s="4" t="n">
        <v>2</v>
      </c>
      <c r="G1957" s="4" t="n">
        <v>1</v>
      </c>
      <c r="H1957" s="4" t="s">
        <v>213</v>
      </c>
      <c r="I1957" s="4" t="s">
        <v>58</v>
      </c>
      <c r="J1957" s="4" t="n">
        <f aca="false">INDEX('Master List'!$G$2:$G$2594,K1957)</f>
        <v>1</v>
      </c>
      <c r="K1957" s="4" t="n">
        <v>1993</v>
      </c>
    </row>
    <row r="1958" customFormat="false" ht="15" hidden="false" customHeight="false" outlineLevel="0" collapsed="false">
      <c r="A1958" s="4" t="n">
        <v>1957</v>
      </c>
      <c r="B1958" s="4" t="s">
        <v>2966</v>
      </c>
      <c r="C1958" s="4" t="n">
        <v>2011</v>
      </c>
      <c r="D1958" s="4" t="s">
        <v>2325</v>
      </c>
      <c r="E1958" s="25" t="str">
        <f aca="false">IF(J1958=1,"✓","")</f>
        <v/>
      </c>
      <c r="F1958" s="4" t="n">
        <v>2</v>
      </c>
      <c r="G1958" s="4" t="n">
        <v>1</v>
      </c>
      <c r="H1958" s="4" t="s">
        <v>213</v>
      </c>
      <c r="I1958" s="4" t="s">
        <v>51</v>
      </c>
      <c r="J1958" s="4" t="n">
        <f aca="false">INDEX('Master List'!$G$2:$G$2594,K1958)</f>
        <v>0</v>
      </c>
      <c r="K1958" s="4" t="n">
        <v>2076</v>
      </c>
    </row>
    <row r="1959" customFormat="false" ht="15" hidden="false" customHeight="false" outlineLevel="0" collapsed="false">
      <c r="A1959" s="4" t="n">
        <v>1958</v>
      </c>
      <c r="B1959" s="4" t="s">
        <v>2967</v>
      </c>
      <c r="C1959" s="4" t="n">
        <v>2011</v>
      </c>
      <c r="D1959" s="4" t="s">
        <v>2968</v>
      </c>
      <c r="E1959" s="25" t="str">
        <f aca="false">IF(J1959=1,"✓","")</f>
        <v/>
      </c>
      <c r="F1959" s="4" t="n">
        <v>2</v>
      </c>
      <c r="G1959" s="4" t="n">
        <v>1</v>
      </c>
      <c r="H1959" s="4" t="s">
        <v>213</v>
      </c>
      <c r="I1959" s="4" t="s">
        <v>51</v>
      </c>
      <c r="J1959" s="4" t="n">
        <f aca="false">INDEX('Master List'!$G$2:$G$2594,K1959)</f>
        <v>0</v>
      </c>
      <c r="K1959" s="4" t="n">
        <v>2284</v>
      </c>
    </row>
    <row r="1960" customFormat="false" ht="15" hidden="false" customHeight="false" outlineLevel="0" collapsed="false">
      <c r="A1960" s="4" t="n">
        <v>1959</v>
      </c>
      <c r="B1960" s="4" t="s">
        <v>2969</v>
      </c>
      <c r="C1960" s="4" t="n">
        <v>2011</v>
      </c>
      <c r="D1960" s="4" t="s">
        <v>1213</v>
      </c>
      <c r="E1960" s="25" t="str">
        <f aca="false">IF(J1960=1,"✓","")</f>
        <v/>
      </c>
      <c r="F1960" s="4" t="n">
        <v>2</v>
      </c>
      <c r="G1960" s="4" t="n">
        <v>1</v>
      </c>
      <c r="H1960" s="4" t="s">
        <v>213</v>
      </c>
      <c r="I1960" s="4" t="s">
        <v>51</v>
      </c>
      <c r="J1960" s="4" t="n">
        <f aca="false">INDEX('Master List'!$G$2:$G$2594,K1960)</f>
        <v>0</v>
      </c>
      <c r="K1960" s="4" t="n">
        <v>1670</v>
      </c>
    </row>
    <row r="1961" customFormat="false" ht="15" hidden="false" customHeight="false" outlineLevel="0" collapsed="false">
      <c r="A1961" s="4" t="n">
        <v>1960</v>
      </c>
      <c r="B1961" s="4" t="s">
        <v>2970</v>
      </c>
      <c r="C1961" s="4" t="n">
        <v>2011</v>
      </c>
      <c r="D1961" s="4" t="s">
        <v>2971</v>
      </c>
      <c r="E1961" s="25" t="str">
        <f aca="false">IF(J1961=1,"✓","")</f>
        <v/>
      </c>
      <c r="F1961" s="4" t="n">
        <v>2</v>
      </c>
      <c r="G1961" s="4" t="n">
        <v>1</v>
      </c>
      <c r="H1961" s="4" t="s">
        <v>213</v>
      </c>
      <c r="I1961" s="4" t="s">
        <v>52</v>
      </c>
      <c r="J1961" s="4" t="n">
        <f aca="false">INDEX('Master List'!$G$2:$G$2594,K1961)</f>
        <v>0</v>
      </c>
      <c r="K1961" s="4" t="n">
        <v>1244</v>
      </c>
    </row>
    <row r="1962" customFormat="false" ht="15" hidden="false" customHeight="false" outlineLevel="0" collapsed="false">
      <c r="A1962" s="4" t="n">
        <v>1961</v>
      </c>
      <c r="B1962" s="4" t="s">
        <v>2972</v>
      </c>
      <c r="C1962" s="4" t="n">
        <v>2011</v>
      </c>
      <c r="D1962" s="4" t="s">
        <v>2973</v>
      </c>
      <c r="E1962" s="25" t="str">
        <f aca="false">IF(J1962=1,"✓","")</f>
        <v/>
      </c>
      <c r="F1962" s="4" t="n">
        <v>2</v>
      </c>
      <c r="G1962" s="4" t="n">
        <v>1</v>
      </c>
      <c r="H1962" s="4" t="s">
        <v>213</v>
      </c>
      <c r="I1962" s="4" t="s">
        <v>52</v>
      </c>
      <c r="J1962" s="4" t="n">
        <f aca="false">INDEX('Master List'!$G$2:$G$2594,K1962)</f>
        <v>0</v>
      </c>
      <c r="K1962" s="4" t="n">
        <v>346</v>
      </c>
    </row>
    <row r="1963" customFormat="false" ht="15" hidden="false" customHeight="false" outlineLevel="0" collapsed="false">
      <c r="A1963" s="4" t="n">
        <v>1962</v>
      </c>
      <c r="B1963" s="4" t="s">
        <v>2974</v>
      </c>
      <c r="C1963" s="4" t="n">
        <v>2011</v>
      </c>
      <c r="D1963" s="4" t="s">
        <v>320</v>
      </c>
      <c r="E1963" s="25" t="str">
        <f aca="false">IF(J1963=1,"✓","")</f>
        <v>✓</v>
      </c>
      <c r="F1963" s="4" t="n">
        <v>2</v>
      </c>
      <c r="G1963" s="4" t="n">
        <v>1</v>
      </c>
      <c r="H1963" s="4" t="s">
        <v>213</v>
      </c>
      <c r="I1963" s="4" t="s">
        <v>53</v>
      </c>
      <c r="J1963" s="4" t="n">
        <f aca="false">INDEX('Master List'!$G$2:$G$2594,K1963)</f>
        <v>1</v>
      </c>
      <c r="K1963" s="4" t="n">
        <v>228</v>
      </c>
    </row>
    <row r="1964" customFormat="false" ht="15" hidden="false" customHeight="false" outlineLevel="0" collapsed="false">
      <c r="A1964" s="4" t="n">
        <v>1963</v>
      </c>
      <c r="B1964" s="4" t="s">
        <v>2975</v>
      </c>
      <c r="C1964" s="4" t="n">
        <v>2011</v>
      </c>
      <c r="D1964" s="4" t="s">
        <v>325</v>
      </c>
      <c r="E1964" s="25" t="str">
        <f aca="false">IF(J1964=1,"✓","")</f>
        <v/>
      </c>
      <c r="F1964" s="4" t="n">
        <v>2</v>
      </c>
      <c r="G1964" s="4" t="n">
        <v>1</v>
      </c>
      <c r="H1964" s="4" t="s">
        <v>213</v>
      </c>
      <c r="I1964" s="4" t="s">
        <v>53</v>
      </c>
      <c r="J1964" s="4" t="n">
        <f aca="false">INDEX('Master List'!$G$2:$G$2594,K1964)</f>
        <v>0</v>
      </c>
      <c r="K1964" s="4" t="n">
        <v>901</v>
      </c>
    </row>
    <row r="1965" customFormat="false" ht="15" hidden="false" customHeight="false" outlineLevel="0" collapsed="false">
      <c r="A1965" s="4" t="n">
        <v>1964</v>
      </c>
      <c r="B1965" s="4" t="s">
        <v>2976</v>
      </c>
      <c r="C1965" s="4" t="n">
        <v>2011</v>
      </c>
      <c r="D1965" s="4" t="s">
        <v>1087</v>
      </c>
      <c r="E1965" s="25" t="str">
        <f aca="false">IF(J1965=1,"✓","")</f>
        <v/>
      </c>
      <c r="F1965" s="4" t="n">
        <v>2</v>
      </c>
      <c r="G1965" s="4" t="n">
        <v>1</v>
      </c>
      <c r="H1965" s="4" t="s">
        <v>213</v>
      </c>
      <c r="I1965" s="4" t="s">
        <v>53</v>
      </c>
      <c r="J1965" s="4" t="n">
        <f aca="false">INDEX('Master List'!$G$2:$G$2594,K1965)</f>
        <v>0</v>
      </c>
      <c r="K1965" s="4" t="n">
        <v>2085</v>
      </c>
    </row>
    <row r="1966" customFormat="false" ht="15" hidden="false" customHeight="false" outlineLevel="0" collapsed="false">
      <c r="A1966" s="4" t="n">
        <v>1965</v>
      </c>
      <c r="B1966" s="4" t="s">
        <v>2977</v>
      </c>
      <c r="C1966" s="4" t="n">
        <v>2011</v>
      </c>
      <c r="D1966" s="4" t="s">
        <v>1155</v>
      </c>
      <c r="E1966" s="25" t="str">
        <f aca="false">IF(J1966=1,"✓","")</f>
        <v/>
      </c>
      <c r="F1966" s="4" t="n">
        <v>2</v>
      </c>
      <c r="G1966" s="4" t="n">
        <v>1</v>
      </c>
      <c r="H1966" s="4" t="s">
        <v>213</v>
      </c>
      <c r="I1966" s="4" t="s">
        <v>53</v>
      </c>
      <c r="J1966" s="4" t="n">
        <f aca="false">INDEX('Master List'!$G$2:$G$2594,K1966)</f>
        <v>0</v>
      </c>
      <c r="K1966" s="4" t="n">
        <v>1003</v>
      </c>
    </row>
    <row r="1967" customFormat="false" ht="15" hidden="false" customHeight="false" outlineLevel="0" collapsed="false">
      <c r="A1967" s="4" t="n">
        <v>1966</v>
      </c>
      <c r="B1967" s="4" t="s">
        <v>2978</v>
      </c>
      <c r="C1967" s="4" t="n">
        <v>2011</v>
      </c>
      <c r="D1967" s="4" t="s">
        <v>874</v>
      </c>
      <c r="E1967" s="25" t="str">
        <f aca="false">IF(J1967=1,"✓","")</f>
        <v/>
      </c>
      <c r="F1967" s="4" t="n">
        <v>2</v>
      </c>
      <c r="G1967" s="4" t="n">
        <v>1</v>
      </c>
      <c r="H1967" s="4" t="s">
        <v>213</v>
      </c>
      <c r="I1967" s="4" t="s">
        <v>53</v>
      </c>
      <c r="J1967" s="4" t="n">
        <f aca="false">INDEX('Master List'!$G$2:$G$2594,K1967)</f>
        <v>0</v>
      </c>
      <c r="K1967" s="4" t="n">
        <v>83</v>
      </c>
    </row>
    <row r="1968" customFormat="false" ht="15" hidden="false" customHeight="false" outlineLevel="0" collapsed="false">
      <c r="A1968" s="4" t="n">
        <v>1967</v>
      </c>
      <c r="B1968" s="4" t="s">
        <v>2979</v>
      </c>
      <c r="C1968" s="4" t="n">
        <v>2011</v>
      </c>
      <c r="D1968" s="4" t="s">
        <v>1135</v>
      </c>
      <c r="E1968" s="25" t="str">
        <f aca="false">IF(J1968=1,"✓","")</f>
        <v/>
      </c>
      <c r="F1968" s="4" t="n">
        <v>2</v>
      </c>
      <c r="G1968" s="4" t="n">
        <v>1</v>
      </c>
      <c r="H1968" s="4" t="s">
        <v>213</v>
      </c>
      <c r="I1968" s="4" t="s">
        <v>55</v>
      </c>
      <c r="J1968" s="4" t="n">
        <f aca="false">INDEX('Master List'!$G$2:$G$2594,K1968)</f>
        <v>0</v>
      </c>
      <c r="K1968" s="4" t="n">
        <v>1474</v>
      </c>
    </row>
    <row r="1969" customFormat="false" ht="15" hidden="false" customHeight="false" outlineLevel="0" collapsed="false">
      <c r="A1969" s="4" t="n">
        <v>1968</v>
      </c>
      <c r="B1969" s="4" t="s">
        <v>2980</v>
      </c>
      <c r="C1969" s="4" t="n">
        <v>2011</v>
      </c>
      <c r="D1969" s="4" t="s">
        <v>2981</v>
      </c>
      <c r="E1969" s="25" t="str">
        <f aca="false">IF(J1969=1,"✓","")</f>
        <v>✓</v>
      </c>
      <c r="F1969" s="4" t="n">
        <v>2</v>
      </c>
      <c r="G1969" s="4" t="n">
        <v>1</v>
      </c>
      <c r="H1969" s="4" t="s">
        <v>213</v>
      </c>
      <c r="I1969" s="4" t="s">
        <v>55</v>
      </c>
      <c r="J1969" s="4" t="n">
        <f aca="false">INDEX('Master List'!$G$2:$G$2594,K1969)</f>
        <v>1</v>
      </c>
      <c r="K1969" s="4" t="n">
        <v>615</v>
      </c>
    </row>
    <row r="1970" customFormat="false" ht="15" hidden="false" customHeight="false" outlineLevel="0" collapsed="false">
      <c r="A1970" s="4" t="n">
        <v>1969</v>
      </c>
      <c r="B1970" s="4" t="s">
        <v>2982</v>
      </c>
      <c r="C1970" s="4" t="n">
        <v>2011</v>
      </c>
      <c r="D1970" s="4" t="s">
        <v>2983</v>
      </c>
      <c r="E1970" s="25" t="str">
        <f aca="false">IF(J1970=1,"✓","")</f>
        <v>✓</v>
      </c>
      <c r="F1970" s="4" t="n">
        <v>2</v>
      </c>
      <c r="G1970" s="4" t="n">
        <v>1</v>
      </c>
      <c r="H1970" s="4" t="s">
        <v>213</v>
      </c>
      <c r="I1970" s="4" t="s">
        <v>55</v>
      </c>
      <c r="J1970" s="4" t="n">
        <f aca="false">INDEX('Master List'!$G$2:$G$2594,K1970)</f>
        <v>1</v>
      </c>
      <c r="K1970" s="4" t="n">
        <v>1525</v>
      </c>
    </row>
    <row r="1971" customFormat="false" ht="15" hidden="false" customHeight="false" outlineLevel="0" collapsed="false">
      <c r="A1971" s="4" t="n">
        <v>1970</v>
      </c>
      <c r="B1971" s="4" t="s">
        <v>2984</v>
      </c>
      <c r="C1971" s="4" t="n">
        <v>2011</v>
      </c>
      <c r="D1971" s="4" t="s">
        <v>2985</v>
      </c>
      <c r="E1971" s="25" t="str">
        <f aca="false">IF(J1971=1,"✓","")</f>
        <v/>
      </c>
      <c r="F1971" s="4" t="n">
        <v>2</v>
      </c>
      <c r="G1971" s="4" t="n">
        <v>1</v>
      </c>
      <c r="H1971" s="4" t="s">
        <v>213</v>
      </c>
      <c r="I1971" s="4" t="s">
        <v>55</v>
      </c>
      <c r="J1971" s="4" t="n">
        <f aca="false">INDEX('Master List'!$G$2:$G$2594,K1971)</f>
        <v>0</v>
      </c>
      <c r="K1971" s="4" t="n">
        <v>1209</v>
      </c>
    </row>
    <row r="1972" customFormat="false" ht="15" hidden="false" customHeight="false" outlineLevel="0" collapsed="false">
      <c r="A1972" s="4" t="n">
        <v>1971</v>
      </c>
      <c r="B1972" s="4" t="s">
        <v>2986</v>
      </c>
      <c r="C1972" s="4" t="n">
        <v>2011</v>
      </c>
      <c r="D1972" s="4" t="s">
        <v>195</v>
      </c>
      <c r="E1972" s="25" t="str">
        <f aca="false">IF(J1972=1,"✓","")</f>
        <v/>
      </c>
      <c r="F1972" s="4" t="n">
        <v>2</v>
      </c>
      <c r="G1972" s="4" t="n">
        <v>1</v>
      </c>
      <c r="H1972" s="4" t="s">
        <v>213</v>
      </c>
      <c r="I1972" s="4" t="s">
        <v>56</v>
      </c>
      <c r="J1972" s="4" t="n">
        <f aca="false">INDEX('Master List'!$G$2:$G$2594,K1972)</f>
        <v>0</v>
      </c>
      <c r="K1972" s="4" t="n">
        <v>398</v>
      </c>
    </row>
    <row r="1973" customFormat="false" ht="15" hidden="false" customHeight="false" outlineLevel="0" collapsed="false">
      <c r="A1973" s="4" t="n">
        <v>1972</v>
      </c>
      <c r="B1973" s="4" t="s">
        <v>2987</v>
      </c>
      <c r="C1973" s="4" t="n">
        <v>2011</v>
      </c>
      <c r="D1973" s="4" t="s">
        <v>479</v>
      </c>
      <c r="E1973" s="25" t="str">
        <f aca="false">IF(J1973=1,"✓","")</f>
        <v/>
      </c>
      <c r="F1973" s="4" t="n">
        <v>2</v>
      </c>
      <c r="G1973" s="4" t="n">
        <v>1</v>
      </c>
      <c r="H1973" s="4" t="s">
        <v>213</v>
      </c>
      <c r="I1973" s="4" t="s">
        <v>56</v>
      </c>
      <c r="J1973" s="4" t="n">
        <f aca="false">INDEX('Master List'!$G$2:$G$2594,K1973)</f>
        <v>0</v>
      </c>
      <c r="K1973" s="4" t="n">
        <v>1247</v>
      </c>
    </row>
    <row r="1974" customFormat="false" ht="15" hidden="false" customHeight="false" outlineLevel="0" collapsed="false">
      <c r="A1974" s="4" t="n">
        <v>1973</v>
      </c>
      <c r="B1974" s="4" t="s">
        <v>2988</v>
      </c>
      <c r="C1974" s="4" t="n">
        <v>2012</v>
      </c>
      <c r="D1974" s="4" t="s">
        <v>2989</v>
      </c>
      <c r="E1974" s="25" t="str">
        <f aca="false">IF(J1974=1,"✓","")</f>
        <v/>
      </c>
      <c r="F1974" s="4" t="n">
        <v>2</v>
      </c>
      <c r="G1974" s="4" t="n">
        <v>1</v>
      </c>
      <c r="H1974" s="4" t="s">
        <v>213</v>
      </c>
      <c r="I1974" s="4" t="s">
        <v>49</v>
      </c>
      <c r="J1974" s="4" t="n">
        <f aca="false">INDEX('Master List'!$G$2:$G$2594,K1974)</f>
        <v>0</v>
      </c>
      <c r="K1974" s="4" t="n">
        <v>226</v>
      </c>
    </row>
    <row r="1975" customFormat="false" ht="15" hidden="false" customHeight="false" outlineLevel="0" collapsed="false">
      <c r="A1975" s="4" t="n">
        <v>1974</v>
      </c>
      <c r="B1975" s="4" t="s">
        <v>2990</v>
      </c>
      <c r="C1975" s="4" t="n">
        <v>2012</v>
      </c>
      <c r="D1975" s="4" t="s">
        <v>2991</v>
      </c>
      <c r="E1975" s="25" t="str">
        <f aca="false">IF(J1975=1,"✓","")</f>
        <v/>
      </c>
      <c r="F1975" s="4" t="n">
        <v>2</v>
      </c>
      <c r="G1975" s="4" t="n">
        <v>1</v>
      </c>
      <c r="H1975" s="4" t="s">
        <v>213</v>
      </c>
      <c r="I1975" s="4" t="s">
        <v>51</v>
      </c>
      <c r="J1975" s="4" t="n">
        <f aca="false">INDEX('Master List'!$G$2:$G$2594,K1975)</f>
        <v>0</v>
      </c>
      <c r="K1975" s="4" t="n">
        <v>185</v>
      </c>
    </row>
    <row r="1976" customFormat="false" ht="15" hidden="false" customHeight="false" outlineLevel="0" collapsed="false">
      <c r="A1976" s="4" t="n">
        <v>1975</v>
      </c>
      <c r="B1976" s="4" t="s">
        <v>2992</v>
      </c>
      <c r="C1976" s="4" t="n">
        <v>2012</v>
      </c>
      <c r="D1976" s="4" t="s">
        <v>843</v>
      </c>
      <c r="E1976" s="25" t="str">
        <f aca="false">IF(J1976=1,"✓","")</f>
        <v>✓</v>
      </c>
      <c r="F1976" s="4" t="n">
        <v>2</v>
      </c>
      <c r="G1976" s="4" t="n">
        <v>1</v>
      </c>
      <c r="H1976" s="4" t="s">
        <v>213</v>
      </c>
      <c r="I1976" s="4" t="s">
        <v>51</v>
      </c>
      <c r="J1976" s="4" t="n">
        <f aca="false">INDEX('Master List'!$G$2:$G$2594,K1976)</f>
        <v>1</v>
      </c>
      <c r="K1976" s="4" t="n">
        <v>1088</v>
      </c>
    </row>
    <row r="1977" customFormat="false" ht="15" hidden="false" customHeight="false" outlineLevel="0" collapsed="false">
      <c r="A1977" s="4" t="n">
        <v>1976</v>
      </c>
      <c r="B1977" s="4" t="s">
        <v>2993</v>
      </c>
      <c r="C1977" s="4" t="n">
        <v>2012</v>
      </c>
      <c r="D1977" s="4" t="s">
        <v>1599</v>
      </c>
      <c r="E1977" s="25" t="str">
        <f aca="false">IF(J1977=1,"✓","")</f>
        <v/>
      </c>
      <c r="F1977" s="4" t="n">
        <v>2</v>
      </c>
      <c r="G1977" s="4" t="n">
        <v>1</v>
      </c>
      <c r="H1977" s="4" t="s">
        <v>213</v>
      </c>
      <c r="I1977" s="4" t="s">
        <v>51</v>
      </c>
      <c r="J1977" s="4" t="n">
        <f aca="false">INDEX('Master List'!$G$2:$G$2594,K1977)</f>
        <v>0</v>
      </c>
      <c r="K1977" s="4" t="n">
        <v>236</v>
      </c>
    </row>
    <row r="1978" customFormat="false" ht="15" hidden="false" customHeight="false" outlineLevel="0" collapsed="false">
      <c r="A1978" s="4" t="n">
        <v>1977</v>
      </c>
      <c r="B1978" s="4" t="s">
        <v>2994</v>
      </c>
      <c r="C1978" s="4" t="n">
        <v>2012</v>
      </c>
      <c r="D1978" s="4" t="s">
        <v>2995</v>
      </c>
      <c r="E1978" s="25" t="str">
        <f aca="false">IF(J1978=1,"✓","")</f>
        <v/>
      </c>
      <c r="F1978" s="4" t="n">
        <v>2</v>
      </c>
      <c r="G1978" s="4" t="n">
        <v>1</v>
      </c>
      <c r="H1978" s="4" t="s">
        <v>213</v>
      </c>
      <c r="I1978" s="4" t="s">
        <v>51</v>
      </c>
      <c r="J1978" s="4" t="n">
        <f aca="false">INDEX('Master List'!$G$2:$G$2594,K1978)</f>
        <v>0</v>
      </c>
      <c r="K1978" s="4" t="n">
        <v>1621</v>
      </c>
    </row>
    <row r="1979" customFormat="false" ht="15" hidden="false" customHeight="false" outlineLevel="0" collapsed="false">
      <c r="A1979" s="4" t="n">
        <v>1978</v>
      </c>
      <c r="B1979" s="4" t="s">
        <v>2996</v>
      </c>
      <c r="C1979" s="4" t="n">
        <v>2012</v>
      </c>
      <c r="D1979" s="4" t="s">
        <v>2997</v>
      </c>
      <c r="E1979" s="25" t="str">
        <f aca="false">IF(J1979=1,"✓","")</f>
        <v/>
      </c>
      <c r="F1979" s="4" t="n">
        <v>2</v>
      </c>
      <c r="G1979" s="4" t="n">
        <v>1</v>
      </c>
      <c r="H1979" s="4" t="s">
        <v>213</v>
      </c>
      <c r="I1979" s="4" t="s">
        <v>51</v>
      </c>
      <c r="J1979" s="4" t="n">
        <f aca="false">INDEX('Master List'!$G$2:$G$2594,K1979)</f>
        <v>0</v>
      </c>
      <c r="K1979" s="4" t="n">
        <v>877</v>
      </c>
    </row>
    <row r="1980" customFormat="false" ht="15" hidden="false" customHeight="false" outlineLevel="0" collapsed="false">
      <c r="A1980" s="4" t="n">
        <v>1979</v>
      </c>
      <c r="B1980" s="4" t="s">
        <v>2998</v>
      </c>
      <c r="C1980" s="4" t="n">
        <v>2012</v>
      </c>
      <c r="D1980" s="4" t="s">
        <v>2999</v>
      </c>
      <c r="E1980" s="25" t="str">
        <f aca="false">IF(J1980=1,"✓","")</f>
        <v/>
      </c>
      <c r="F1980" s="4" t="n">
        <v>2</v>
      </c>
      <c r="G1980" s="4" t="n">
        <v>1</v>
      </c>
      <c r="H1980" s="4" t="s">
        <v>213</v>
      </c>
      <c r="I1980" s="4" t="s">
        <v>51</v>
      </c>
      <c r="J1980" s="4" t="n">
        <f aca="false">INDEX('Master List'!$G$2:$G$2594,K1980)</f>
        <v>0</v>
      </c>
      <c r="K1980" s="4" t="n">
        <v>2446</v>
      </c>
    </row>
    <row r="1981" customFormat="false" ht="15" hidden="false" customHeight="false" outlineLevel="0" collapsed="false">
      <c r="A1981" s="4" t="n">
        <v>1980</v>
      </c>
      <c r="B1981" s="4" t="s">
        <v>3000</v>
      </c>
      <c r="C1981" s="4" t="n">
        <v>2012</v>
      </c>
      <c r="D1981" s="4" t="s">
        <v>3001</v>
      </c>
      <c r="E1981" s="25" t="str">
        <f aca="false">IF(J1981=1,"✓","")</f>
        <v/>
      </c>
      <c r="F1981" s="4" t="n">
        <v>2</v>
      </c>
      <c r="G1981" s="4" t="n">
        <v>1</v>
      </c>
      <c r="H1981" s="4" t="s">
        <v>213</v>
      </c>
      <c r="I1981" s="4" t="s">
        <v>52</v>
      </c>
      <c r="J1981" s="4" t="n">
        <f aca="false">INDEX('Master List'!$G$2:$G$2594,K1981)</f>
        <v>0</v>
      </c>
      <c r="K1981" s="4" t="n">
        <v>504</v>
      </c>
    </row>
    <row r="1982" customFormat="false" ht="15" hidden="false" customHeight="false" outlineLevel="0" collapsed="false">
      <c r="A1982" s="4" t="n">
        <v>1981</v>
      </c>
      <c r="B1982" s="4" t="s">
        <v>3002</v>
      </c>
      <c r="C1982" s="4" t="n">
        <v>2012</v>
      </c>
      <c r="D1982" s="4" t="s">
        <v>3003</v>
      </c>
      <c r="E1982" s="25" t="str">
        <f aca="false">IF(J1982=1,"✓","")</f>
        <v/>
      </c>
      <c r="F1982" s="4" t="n">
        <v>2</v>
      </c>
      <c r="G1982" s="4" t="n">
        <v>1</v>
      </c>
      <c r="H1982" s="4" t="s">
        <v>213</v>
      </c>
      <c r="I1982" s="4" t="s">
        <v>52</v>
      </c>
      <c r="J1982" s="4" t="n">
        <f aca="false">INDEX('Master List'!$G$2:$G$2594,K1982)</f>
        <v>0</v>
      </c>
      <c r="K1982" s="4" t="n">
        <v>1999</v>
      </c>
    </row>
    <row r="1983" customFormat="false" ht="15" hidden="false" customHeight="false" outlineLevel="0" collapsed="false">
      <c r="A1983" s="4" t="n">
        <v>1982</v>
      </c>
      <c r="B1983" s="4" t="s">
        <v>3004</v>
      </c>
      <c r="C1983" s="4" t="n">
        <v>2012</v>
      </c>
      <c r="D1983" s="4" t="s">
        <v>274</v>
      </c>
      <c r="E1983" s="25" t="str">
        <f aca="false">IF(J1983=1,"✓","")</f>
        <v>✓</v>
      </c>
      <c r="F1983" s="4" t="n">
        <v>2</v>
      </c>
      <c r="G1983" s="4" t="n">
        <v>1</v>
      </c>
      <c r="H1983" s="4" t="s">
        <v>213</v>
      </c>
      <c r="I1983" s="4" t="s">
        <v>53</v>
      </c>
      <c r="J1983" s="4" t="n">
        <f aca="false">INDEX('Master List'!$G$2:$G$2594,K1983)</f>
        <v>1</v>
      </c>
      <c r="K1983" s="4" t="n">
        <v>1533</v>
      </c>
    </row>
    <row r="1984" customFormat="false" ht="15" hidden="false" customHeight="false" outlineLevel="0" collapsed="false">
      <c r="A1984" s="4" t="n">
        <v>1983</v>
      </c>
      <c r="B1984" s="4" t="s">
        <v>3005</v>
      </c>
      <c r="C1984" s="4" t="n">
        <v>2012</v>
      </c>
      <c r="D1984" s="4" t="s">
        <v>203</v>
      </c>
      <c r="E1984" s="25" t="str">
        <f aca="false">IF(J1984=1,"✓","")</f>
        <v/>
      </c>
      <c r="F1984" s="4" t="n">
        <v>2</v>
      </c>
      <c r="G1984" s="4" t="n">
        <v>1</v>
      </c>
      <c r="H1984" s="4" t="s">
        <v>213</v>
      </c>
      <c r="I1984" s="4" t="s">
        <v>53</v>
      </c>
      <c r="J1984" s="4" t="n">
        <f aca="false">INDEX('Master List'!$G$2:$G$2594,K1984)</f>
        <v>0</v>
      </c>
      <c r="K1984" s="4" t="n">
        <v>1339</v>
      </c>
    </row>
    <row r="1985" customFormat="false" ht="15" hidden="false" customHeight="false" outlineLevel="0" collapsed="false">
      <c r="A1985" s="4" t="n">
        <v>1984</v>
      </c>
      <c r="B1985" s="4" t="s">
        <v>3006</v>
      </c>
      <c r="C1985" s="4" t="n">
        <v>2012</v>
      </c>
      <c r="D1985" s="4" t="s">
        <v>208</v>
      </c>
      <c r="E1985" s="25" t="str">
        <f aca="false">IF(J1985=1,"✓","")</f>
        <v>✓</v>
      </c>
      <c r="F1985" s="4" t="n">
        <v>2</v>
      </c>
      <c r="G1985" s="4" t="n">
        <v>1</v>
      </c>
      <c r="H1985" s="4" t="s">
        <v>213</v>
      </c>
      <c r="I1985" s="4" t="s">
        <v>53</v>
      </c>
      <c r="J1985" s="4" t="n">
        <f aca="false">INDEX('Master List'!$G$2:$G$2594,K1985)</f>
        <v>1</v>
      </c>
      <c r="K1985" s="4" t="n">
        <v>644</v>
      </c>
    </row>
    <row r="1986" customFormat="false" ht="15" hidden="false" customHeight="false" outlineLevel="0" collapsed="false">
      <c r="A1986" s="4" t="n">
        <v>1985</v>
      </c>
      <c r="B1986" s="4" t="s">
        <v>3007</v>
      </c>
      <c r="C1986" s="4" t="n">
        <v>2012</v>
      </c>
      <c r="D1986" s="4" t="s">
        <v>3008</v>
      </c>
      <c r="E1986" s="25" t="str">
        <f aca="false">IF(J1986=1,"✓","")</f>
        <v/>
      </c>
      <c r="F1986" s="4" t="n">
        <v>2</v>
      </c>
      <c r="G1986" s="4" t="n">
        <v>1</v>
      </c>
      <c r="H1986" s="4" t="s">
        <v>213</v>
      </c>
      <c r="I1986" s="4" t="s">
        <v>54</v>
      </c>
      <c r="J1986" s="4" t="n">
        <f aca="false">INDEX('Master List'!$G$2:$G$2594,K1986)</f>
        <v>0</v>
      </c>
      <c r="K1986" s="4" t="n">
        <v>484</v>
      </c>
    </row>
    <row r="1987" customFormat="false" ht="15" hidden="false" customHeight="false" outlineLevel="0" collapsed="false">
      <c r="A1987" s="4" t="n">
        <v>1986</v>
      </c>
      <c r="B1987" s="4" t="s">
        <v>3009</v>
      </c>
      <c r="C1987" s="4" t="n">
        <v>2012</v>
      </c>
      <c r="D1987" s="4" t="s">
        <v>1119</v>
      </c>
      <c r="E1987" s="25" t="str">
        <f aca="false">IF(J1987=1,"✓","")</f>
        <v/>
      </c>
      <c r="F1987" s="4" t="n">
        <v>2</v>
      </c>
      <c r="G1987" s="4" t="n">
        <v>1</v>
      </c>
      <c r="H1987" s="4" t="s">
        <v>213</v>
      </c>
      <c r="I1987" s="4" t="s">
        <v>54</v>
      </c>
      <c r="J1987" s="4" t="n">
        <f aca="false">INDEX('Master List'!$G$2:$G$2594,K1987)</f>
        <v>0</v>
      </c>
      <c r="K1987" s="4" t="n">
        <v>1893</v>
      </c>
    </row>
    <row r="1988" customFormat="false" ht="15" hidden="false" customHeight="false" outlineLevel="0" collapsed="false">
      <c r="A1988" s="4" t="n">
        <v>1987</v>
      </c>
      <c r="B1988" s="4" t="s">
        <v>3010</v>
      </c>
      <c r="C1988" s="4" t="n">
        <v>2012</v>
      </c>
      <c r="D1988" s="4" t="s">
        <v>3011</v>
      </c>
      <c r="E1988" s="25" t="str">
        <f aca="false">IF(J1988=1,"✓","")</f>
        <v/>
      </c>
      <c r="F1988" s="4" t="n">
        <v>2</v>
      </c>
      <c r="G1988" s="4" t="n">
        <v>1</v>
      </c>
      <c r="H1988" s="4" t="s">
        <v>213</v>
      </c>
      <c r="I1988" s="4" t="s">
        <v>54</v>
      </c>
      <c r="J1988" s="4" t="n">
        <f aca="false">INDEX('Master List'!$G$2:$G$2594,K1988)</f>
        <v>0</v>
      </c>
      <c r="K1988" s="4" t="n">
        <v>2410</v>
      </c>
    </row>
    <row r="1989" customFormat="false" ht="15" hidden="false" customHeight="false" outlineLevel="0" collapsed="false">
      <c r="A1989" s="4" t="n">
        <v>1988</v>
      </c>
      <c r="B1989" s="4" t="s">
        <v>3012</v>
      </c>
      <c r="C1989" s="4" t="n">
        <v>2012</v>
      </c>
      <c r="D1989" s="4" t="s">
        <v>2704</v>
      </c>
      <c r="E1989" s="25" t="str">
        <f aca="false">IF(J1989=1,"✓","")</f>
        <v>✓</v>
      </c>
      <c r="F1989" s="4" t="n">
        <v>2</v>
      </c>
      <c r="G1989" s="4" t="n">
        <v>1</v>
      </c>
      <c r="H1989" s="4" t="s">
        <v>213</v>
      </c>
      <c r="I1989" s="4" t="s">
        <v>55</v>
      </c>
      <c r="J1989" s="4" t="n">
        <f aca="false">INDEX('Master List'!$G$2:$G$2594,K1989)</f>
        <v>1</v>
      </c>
      <c r="K1989" s="4" t="n">
        <v>2074</v>
      </c>
    </row>
    <row r="1990" customFormat="false" ht="15" hidden="false" customHeight="false" outlineLevel="0" collapsed="false">
      <c r="A1990" s="4" t="n">
        <v>1989</v>
      </c>
      <c r="B1990" s="4" t="s">
        <v>3013</v>
      </c>
      <c r="C1990" s="4" t="n">
        <v>2012</v>
      </c>
      <c r="D1990" s="4" t="s">
        <v>2833</v>
      </c>
      <c r="E1990" s="25" t="str">
        <f aca="false">IF(J1990=1,"✓","")</f>
        <v/>
      </c>
      <c r="F1990" s="4" t="n">
        <v>2</v>
      </c>
      <c r="G1990" s="4" t="n">
        <v>1</v>
      </c>
      <c r="H1990" s="4" t="s">
        <v>213</v>
      </c>
      <c r="I1990" s="4" t="s">
        <v>55</v>
      </c>
      <c r="J1990" s="4" t="n">
        <f aca="false">INDEX('Master List'!$G$2:$G$2594,K1990)</f>
        <v>0</v>
      </c>
      <c r="K1990" s="4" t="n">
        <v>1380</v>
      </c>
    </row>
    <row r="1991" customFormat="false" ht="15" hidden="false" customHeight="false" outlineLevel="0" collapsed="false">
      <c r="A1991" s="4" t="n">
        <v>1990</v>
      </c>
      <c r="B1991" s="4" t="s">
        <v>3014</v>
      </c>
      <c r="C1991" s="4" t="n">
        <v>2012</v>
      </c>
      <c r="D1991" s="4" t="s">
        <v>2875</v>
      </c>
      <c r="E1991" s="25" t="str">
        <f aca="false">IF(J1991=1,"✓","")</f>
        <v/>
      </c>
      <c r="F1991" s="4" t="n">
        <v>2</v>
      </c>
      <c r="G1991" s="4" t="n">
        <v>1</v>
      </c>
      <c r="H1991" s="4" t="s">
        <v>213</v>
      </c>
      <c r="I1991" s="4" t="s">
        <v>56</v>
      </c>
      <c r="J1991" s="4" t="n">
        <f aca="false">INDEX('Master List'!$G$2:$G$2594,K1991)</f>
        <v>0</v>
      </c>
      <c r="K1991" s="4" t="n">
        <v>1123</v>
      </c>
    </row>
    <row r="1992" customFormat="false" ht="15" hidden="false" customHeight="false" outlineLevel="0" collapsed="false">
      <c r="A1992" s="4" t="n">
        <v>1991</v>
      </c>
      <c r="B1992" s="4" t="s">
        <v>3015</v>
      </c>
      <c r="C1992" s="4" t="n">
        <v>2012</v>
      </c>
      <c r="D1992" s="4" t="s">
        <v>1412</v>
      </c>
      <c r="E1992" s="25" t="str">
        <f aca="false">IF(J1992=1,"✓","")</f>
        <v/>
      </c>
      <c r="F1992" s="4" t="n">
        <v>2</v>
      </c>
      <c r="G1992" s="4" t="n">
        <v>1</v>
      </c>
      <c r="H1992" s="4" t="s">
        <v>213</v>
      </c>
      <c r="I1992" s="4" t="s">
        <v>56</v>
      </c>
      <c r="J1992" s="4" t="n">
        <f aca="false">INDEX('Master List'!$G$2:$G$2594,K1992)</f>
        <v>0</v>
      </c>
      <c r="K1992" s="4" t="n">
        <v>1552</v>
      </c>
    </row>
    <row r="1993" customFormat="false" ht="15" hidden="false" customHeight="false" outlineLevel="0" collapsed="false">
      <c r="A1993" s="4" t="n">
        <v>1992</v>
      </c>
      <c r="B1993" s="4" t="s">
        <v>3016</v>
      </c>
      <c r="C1993" s="4" t="n">
        <v>2012</v>
      </c>
      <c r="D1993" s="4" t="s">
        <v>3017</v>
      </c>
      <c r="E1993" s="25" t="str">
        <f aca="false">IF(J1993=1,"✓","")</f>
        <v/>
      </c>
      <c r="F1993" s="4" t="n">
        <v>2</v>
      </c>
      <c r="G1993" s="4" t="n">
        <v>1</v>
      </c>
      <c r="H1993" s="4" t="s">
        <v>213</v>
      </c>
      <c r="I1993" s="4" t="s">
        <v>56</v>
      </c>
      <c r="J1993" s="4" t="n">
        <f aca="false">INDEX('Master List'!$G$2:$G$2594,K1993)</f>
        <v>0</v>
      </c>
      <c r="K1993" s="4" t="n">
        <v>203</v>
      </c>
    </row>
    <row r="1994" customFormat="false" ht="15" hidden="false" customHeight="false" outlineLevel="0" collapsed="false">
      <c r="A1994" s="4" t="n">
        <v>1993</v>
      </c>
      <c r="B1994" s="4" t="s">
        <v>3018</v>
      </c>
      <c r="C1994" s="4" t="n">
        <v>2012</v>
      </c>
      <c r="D1994" s="4" t="s">
        <v>2698</v>
      </c>
      <c r="E1994" s="25" t="str">
        <f aca="false">IF(J1994=1,"✓","")</f>
        <v/>
      </c>
      <c r="F1994" s="4" t="n">
        <v>2</v>
      </c>
      <c r="G1994" s="4" t="n">
        <v>1</v>
      </c>
      <c r="H1994" s="4" t="s">
        <v>213</v>
      </c>
      <c r="I1994" s="4" t="s">
        <v>57</v>
      </c>
      <c r="J1994" s="4" t="n">
        <f aca="false">INDEX('Master List'!$G$2:$G$2594,K1994)</f>
        <v>0</v>
      </c>
      <c r="K1994" s="4" t="n">
        <v>2138</v>
      </c>
    </row>
    <row r="1995" customFormat="false" ht="15" hidden="false" customHeight="false" outlineLevel="0" collapsed="false">
      <c r="A1995" s="4" t="n">
        <v>1994</v>
      </c>
      <c r="B1995" s="4" t="s">
        <v>3019</v>
      </c>
      <c r="C1995" s="4" t="n">
        <v>2013</v>
      </c>
      <c r="D1995" s="4" t="s">
        <v>611</v>
      </c>
      <c r="E1995" s="25" t="str">
        <f aca="false">IF(J1995=1,"✓","")</f>
        <v/>
      </c>
      <c r="F1995" s="4" t="n">
        <v>2</v>
      </c>
      <c r="G1995" s="4" t="n">
        <v>1</v>
      </c>
      <c r="H1995" s="4" t="s">
        <v>213</v>
      </c>
      <c r="I1995" s="4" t="s">
        <v>51</v>
      </c>
      <c r="J1995" s="4" t="n">
        <f aca="false">INDEX('Master List'!$G$2:$G$2594,K1995)</f>
        <v>0</v>
      </c>
      <c r="K1995" s="4" t="n">
        <v>2233</v>
      </c>
    </row>
    <row r="1996" customFormat="false" ht="15" hidden="false" customHeight="false" outlineLevel="0" collapsed="false">
      <c r="A1996" s="4" t="n">
        <v>1995</v>
      </c>
      <c r="B1996" s="4" t="s">
        <v>3020</v>
      </c>
      <c r="C1996" s="4" t="n">
        <v>2013</v>
      </c>
      <c r="D1996" s="4" t="s">
        <v>3021</v>
      </c>
      <c r="E1996" s="25" t="str">
        <f aca="false">IF(J1996=1,"✓","")</f>
        <v/>
      </c>
      <c r="F1996" s="4" t="n">
        <v>2</v>
      </c>
      <c r="G1996" s="4" t="n">
        <v>1</v>
      </c>
      <c r="H1996" s="4" t="s">
        <v>213</v>
      </c>
      <c r="I1996" s="4" t="s">
        <v>51</v>
      </c>
      <c r="J1996" s="4" t="n">
        <f aca="false">INDEX('Master List'!$G$2:$G$2594,K1996)</f>
        <v>0</v>
      </c>
      <c r="K1996" s="4" t="n">
        <v>442</v>
      </c>
    </row>
    <row r="1997" customFormat="false" ht="15" hidden="false" customHeight="false" outlineLevel="0" collapsed="false">
      <c r="A1997" s="4" t="n">
        <v>1996</v>
      </c>
      <c r="B1997" s="4" t="s">
        <v>3022</v>
      </c>
      <c r="C1997" s="4" t="n">
        <v>2013</v>
      </c>
      <c r="D1997" s="4" t="s">
        <v>3023</v>
      </c>
      <c r="E1997" s="25" t="str">
        <f aca="false">IF(J1997=1,"✓","")</f>
        <v/>
      </c>
      <c r="F1997" s="4" t="n">
        <v>2</v>
      </c>
      <c r="G1997" s="4" t="n">
        <v>1</v>
      </c>
      <c r="H1997" s="4" t="s">
        <v>213</v>
      </c>
      <c r="I1997" s="4" t="s">
        <v>51</v>
      </c>
      <c r="J1997" s="4" t="n">
        <f aca="false">INDEX('Master List'!$G$2:$G$2594,K1997)</f>
        <v>0</v>
      </c>
      <c r="K1997" s="4" t="n">
        <v>1397</v>
      </c>
    </row>
    <row r="1998" customFormat="false" ht="15" hidden="false" customHeight="false" outlineLevel="0" collapsed="false">
      <c r="A1998" s="4" t="n">
        <v>1997</v>
      </c>
      <c r="B1998" s="4" t="s">
        <v>3024</v>
      </c>
      <c r="C1998" s="4" t="n">
        <v>2013</v>
      </c>
      <c r="D1998" s="4" t="s">
        <v>3025</v>
      </c>
      <c r="E1998" s="25" t="str">
        <f aca="false">IF(J1998=1,"✓","")</f>
        <v/>
      </c>
      <c r="F1998" s="4" t="n">
        <v>2</v>
      </c>
      <c r="G1998" s="4" t="n">
        <v>1</v>
      </c>
      <c r="H1998" s="4" t="s">
        <v>213</v>
      </c>
      <c r="I1998" s="4" t="s">
        <v>51</v>
      </c>
      <c r="J1998" s="4" t="n">
        <f aca="false">INDEX('Master List'!$G$2:$G$2594,K1998)</f>
        <v>0</v>
      </c>
      <c r="K1998" s="4" t="n">
        <v>1513</v>
      </c>
    </row>
    <row r="1999" customFormat="false" ht="15" hidden="false" customHeight="false" outlineLevel="0" collapsed="false">
      <c r="A1999" s="4" t="n">
        <v>1998</v>
      </c>
      <c r="B1999" s="4" t="s">
        <v>3026</v>
      </c>
      <c r="C1999" s="4" t="n">
        <v>2013</v>
      </c>
      <c r="D1999" s="4" t="s">
        <v>2971</v>
      </c>
      <c r="E1999" s="25" t="str">
        <f aca="false">IF(J1999=1,"✓","")</f>
        <v/>
      </c>
      <c r="F1999" s="4" t="n">
        <v>2</v>
      </c>
      <c r="G1999" s="4" t="n">
        <v>1</v>
      </c>
      <c r="H1999" s="4" t="s">
        <v>213</v>
      </c>
      <c r="I1999" s="4" t="s">
        <v>52</v>
      </c>
      <c r="J1999" s="4" t="n">
        <f aca="false">INDEX('Master List'!$G$2:$G$2594,K1999)</f>
        <v>0</v>
      </c>
      <c r="K1999" s="4" t="n">
        <v>802</v>
      </c>
    </row>
    <row r="2000" customFormat="false" ht="15" hidden="false" customHeight="false" outlineLevel="0" collapsed="false">
      <c r="A2000" s="4" t="n">
        <v>1999</v>
      </c>
      <c r="B2000" s="4" t="s">
        <v>3027</v>
      </c>
      <c r="C2000" s="4" t="n">
        <v>2013</v>
      </c>
      <c r="D2000" s="4" t="s">
        <v>3028</v>
      </c>
      <c r="E2000" s="25" t="str">
        <f aca="false">IF(J2000=1,"✓","")</f>
        <v/>
      </c>
      <c r="F2000" s="4" t="n">
        <v>2</v>
      </c>
      <c r="G2000" s="4" t="n">
        <v>1</v>
      </c>
      <c r="H2000" s="4" t="s">
        <v>213</v>
      </c>
      <c r="I2000" s="4" t="s">
        <v>52</v>
      </c>
      <c r="J2000" s="4" t="n">
        <f aca="false">INDEX('Master List'!$G$2:$G$2594,K2000)</f>
        <v>0</v>
      </c>
      <c r="K2000" s="4" t="n">
        <v>515</v>
      </c>
    </row>
    <row r="2001" customFormat="false" ht="15" hidden="false" customHeight="false" outlineLevel="0" collapsed="false">
      <c r="A2001" s="4" t="n">
        <v>2000</v>
      </c>
      <c r="B2001" s="4" t="s">
        <v>3029</v>
      </c>
      <c r="C2001" s="4" t="n">
        <v>2013</v>
      </c>
      <c r="D2001" s="4" t="s">
        <v>513</v>
      </c>
      <c r="E2001" s="25" t="str">
        <f aca="false">IF(J2001=1,"✓","")</f>
        <v/>
      </c>
      <c r="F2001" s="4" t="n">
        <v>2</v>
      </c>
      <c r="G2001" s="4" t="n">
        <v>1</v>
      </c>
      <c r="H2001" s="4" t="s">
        <v>213</v>
      </c>
      <c r="I2001" s="4" t="s">
        <v>52</v>
      </c>
      <c r="J2001" s="4" t="n">
        <f aca="false">INDEX('Master List'!$G$2:$G$2594,K2001)</f>
        <v>0</v>
      </c>
      <c r="K2001" s="4" t="n">
        <v>2414</v>
      </c>
    </row>
    <row r="2002" customFormat="false" ht="15" hidden="false" customHeight="false" outlineLevel="0" collapsed="false">
      <c r="A2002" s="4" t="n">
        <v>2001</v>
      </c>
      <c r="B2002" s="4" t="s">
        <v>3030</v>
      </c>
      <c r="C2002" s="4" t="n">
        <v>2013</v>
      </c>
      <c r="D2002" s="4" t="s">
        <v>2704</v>
      </c>
      <c r="E2002" s="25" t="str">
        <f aca="false">IF(J2002=1,"✓","")</f>
        <v/>
      </c>
      <c r="F2002" s="4" t="n">
        <v>2</v>
      </c>
      <c r="G2002" s="4" t="n">
        <v>1</v>
      </c>
      <c r="H2002" s="4" t="s">
        <v>213</v>
      </c>
      <c r="I2002" s="4" t="s">
        <v>52</v>
      </c>
      <c r="J2002" s="4" t="n">
        <f aca="false">INDEX('Master List'!$G$2:$G$2594,K2002)</f>
        <v>0</v>
      </c>
      <c r="K2002" s="4" t="n">
        <v>90</v>
      </c>
    </row>
    <row r="2003" customFormat="false" ht="15" hidden="false" customHeight="false" outlineLevel="0" collapsed="false">
      <c r="A2003" s="4" t="n">
        <v>2002</v>
      </c>
      <c r="B2003" s="4" t="s">
        <v>3031</v>
      </c>
      <c r="C2003" s="4" t="n">
        <v>2013</v>
      </c>
      <c r="D2003" s="4" t="s">
        <v>1615</v>
      </c>
      <c r="E2003" s="25" t="str">
        <f aca="false">IF(J2003=1,"✓","")</f>
        <v/>
      </c>
      <c r="F2003" s="4" t="n">
        <v>2</v>
      </c>
      <c r="G2003" s="4" t="n">
        <v>1</v>
      </c>
      <c r="H2003" s="4" t="s">
        <v>213</v>
      </c>
      <c r="I2003" s="4" t="s">
        <v>52</v>
      </c>
      <c r="J2003" s="4" t="n">
        <f aca="false">INDEX('Master List'!$G$2:$G$2594,K2003)</f>
        <v>0</v>
      </c>
      <c r="K2003" s="4" t="n">
        <v>71</v>
      </c>
    </row>
    <row r="2004" customFormat="false" ht="15" hidden="false" customHeight="false" outlineLevel="0" collapsed="false">
      <c r="A2004" s="4" t="n">
        <v>2003</v>
      </c>
      <c r="B2004" s="4" t="s">
        <v>3032</v>
      </c>
      <c r="C2004" s="4" t="n">
        <v>2013</v>
      </c>
      <c r="D2004" s="4" t="s">
        <v>164</v>
      </c>
      <c r="E2004" s="25" t="str">
        <f aca="false">IF(J2004=1,"✓","")</f>
        <v>✓</v>
      </c>
      <c r="F2004" s="4" t="n">
        <v>2</v>
      </c>
      <c r="G2004" s="4" t="n">
        <v>1</v>
      </c>
      <c r="H2004" s="4" t="s">
        <v>213</v>
      </c>
      <c r="I2004" s="4" t="s">
        <v>53</v>
      </c>
      <c r="J2004" s="4" t="n">
        <f aca="false">INDEX('Master List'!$G$2:$G$2594,K2004)</f>
        <v>1</v>
      </c>
      <c r="K2004" s="4" t="n">
        <v>2542</v>
      </c>
    </row>
    <row r="2005" customFormat="false" ht="15" hidden="false" customHeight="false" outlineLevel="0" collapsed="false">
      <c r="A2005" s="4" t="n">
        <v>2004</v>
      </c>
      <c r="B2005" s="4" t="s">
        <v>3033</v>
      </c>
      <c r="C2005" s="4" t="n">
        <v>2013</v>
      </c>
      <c r="D2005" s="4" t="s">
        <v>615</v>
      </c>
      <c r="E2005" s="25" t="str">
        <f aca="false">IF(J2005=1,"✓","")</f>
        <v/>
      </c>
      <c r="F2005" s="4" t="n">
        <v>2</v>
      </c>
      <c r="G2005" s="4" t="n">
        <v>1</v>
      </c>
      <c r="H2005" s="4" t="s">
        <v>213</v>
      </c>
      <c r="I2005" s="4" t="s">
        <v>53</v>
      </c>
      <c r="J2005" s="4" t="n">
        <f aca="false">INDEX('Master List'!$G$2:$G$2594,K2005)</f>
        <v>0</v>
      </c>
      <c r="K2005" s="4" t="n">
        <v>1685</v>
      </c>
    </row>
    <row r="2006" customFormat="false" ht="15" hidden="false" customHeight="false" outlineLevel="0" collapsed="false">
      <c r="A2006" s="4" t="n">
        <v>2005</v>
      </c>
      <c r="B2006" s="4" t="s">
        <v>3034</v>
      </c>
      <c r="C2006" s="4" t="n">
        <v>2013</v>
      </c>
      <c r="D2006" s="4" t="s">
        <v>490</v>
      </c>
      <c r="E2006" s="25" t="str">
        <f aca="false">IF(J2006=1,"✓","")</f>
        <v/>
      </c>
      <c r="F2006" s="4" t="n">
        <v>2</v>
      </c>
      <c r="G2006" s="4" t="n">
        <v>1</v>
      </c>
      <c r="H2006" s="4" t="s">
        <v>213</v>
      </c>
      <c r="I2006" s="4" t="s">
        <v>53</v>
      </c>
      <c r="J2006" s="4" t="n">
        <f aca="false">INDEX('Master List'!$G$2:$G$2594,K2006)</f>
        <v>0</v>
      </c>
      <c r="K2006" s="4" t="n">
        <v>2065</v>
      </c>
    </row>
    <row r="2007" customFormat="false" ht="15" hidden="false" customHeight="false" outlineLevel="0" collapsed="false">
      <c r="A2007" s="4" t="n">
        <v>2006</v>
      </c>
      <c r="B2007" s="4" t="s">
        <v>3035</v>
      </c>
      <c r="C2007" s="4" t="n">
        <v>2013</v>
      </c>
      <c r="D2007" s="4" t="s">
        <v>262</v>
      </c>
      <c r="E2007" s="25" t="str">
        <f aca="false">IF(J2007=1,"✓","")</f>
        <v/>
      </c>
      <c r="F2007" s="4" t="n">
        <v>2</v>
      </c>
      <c r="G2007" s="4" t="n">
        <v>1</v>
      </c>
      <c r="H2007" s="4" t="s">
        <v>213</v>
      </c>
      <c r="I2007" s="4" t="s">
        <v>53</v>
      </c>
      <c r="J2007" s="4" t="n">
        <f aca="false">INDEX('Master List'!$G$2:$G$2594,K2007)</f>
        <v>0</v>
      </c>
      <c r="K2007" s="4" t="n">
        <v>193</v>
      </c>
    </row>
    <row r="2008" customFormat="false" ht="15" hidden="false" customHeight="false" outlineLevel="0" collapsed="false">
      <c r="A2008" s="4" t="n">
        <v>2007</v>
      </c>
      <c r="B2008" s="4" t="s">
        <v>3036</v>
      </c>
      <c r="C2008" s="4" t="n">
        <v>2013</v>
      </c>
      <c r="D2008" s="4" t="s">
        <v>382</v>
      </c>
      <c r="E2008" s="25" t="str">
        <f aca="false">IF(J2008=1,"✓","")</f>
        <v/>
      </c>
      <c r="F2008" s="4" t="n">
        <v>2</v>
      </c>
      <c r="G2008" s="4" t="n">
        <v>1</v>
      </c>
      <c r="H2008" s="4" t="s">
        <v>213</v>
      </c>
      <c r="I2008" s="4" t="s">
        <v>53</v>
      </c>
      <c r="J2008" s="4" t="n">
        <f aca="false">INDEX('Master List'!$G$2:$G$2594,K2008)</f>
        <v>0</v>
      </c>
      <c r="K2008" s="4" t="n">
        <v>2521</v>
      </c>
    </row>
    <row r="2009" customFormat="false" ht="15" hidden="false" customHeight="false" outlineLevel="0" collapsed="false">
      <c r="A2009" s="4" t="n">
        <v>2008</v>
      </c>
      <c r="B2009" s="4" t="s">
        <v>3037</v>
      </c>
      <c r="C2009" s="4" t="n">
        <v>2013</v>
      </c>
      <c r="D2009" s="4" t="s">
        <v>1165</v>
      </c>
      <c r="E2009" s="25" t="str">
        <f aca="false">IF(J2009=1,"✓","")</f>
        <v/>
      </c>
      <c r="F2009" s="4" t="n">
        <v>2</v>
      </c>
      <c r="G2009" s="4" t="n">
        <v>1</v>
      </c>
      <c r="H2009" s="4" t="s">
        <v>213</v>
      </c>
      <c r="I2009" s="4" t="s">
        <v>53</v>
      </c>
      <c r="J2009" s="4" t="n">
        <f aca="false">INDEX('Master List'!$G$2:$G$2594,K2009)</f>
        <v>0</v>
      </c>
      <c r="K2009" s="4" t="n">
        <v>2180</v>
      </c>
    </row>
    <row r="2010" customFormat="false" ht="15" hidden="false" customHeight="false" outlineLevel="0" collapsed="false">
      <c r="A2010" s="4" t="n">
        <v>2009</v>
      </c>
      <c r="B2010" s="4" t="s">
        <v>3038</v>
      </c>
      <c r="C2010" s="4" t="n">
        <v>2013</v>
      </c>
      <c r="D2010" s="4" t="s">
        <v>3039</v>
      </c>
      <c r="E2010" s="25" t="str">
        <f aca="false">IF(J2010=1,"✓","")</f>
        <v>✓</v>
      </c>
      <c r="F2010" s="4" t="n">
        <v>2</v>
      </c>
      <c r="G2010" s="4" t="n">
        <v>1</v>
      </c>
      <c r="H2010" s="4" t="s">
        <v>213</v>
      </c>
      <c r="I2010" s="4" t="s">
        <v>54</v>
      </c>
      <c r="J2010" s="4" t="n">
        <f aca="false">INDEX('Master List'!$G$2:$G$2594,K2010)</f>
        <v>1</v>
      </c>
      <c r="K2010" s="4" t="n">
        <v>864</v>
      </c>
    </row>
    <row r="2011" customFormat="false" ht="15" hidden="false" customHeight="false" outlineLevel="0" collapsed="false">
      <c r="A2011" s="4" t="n">
        <v>2010</v>
      </c>
      <c r="B2011" s="4" t="s">
        <v>3040</v>
      </c>
      <c r="C2011" s="4" t="n">
        <v>2013</v>
      </c>
      <c r="D2011" s="4" t="s">
        <v>1584</v>
      </c>
      <c r="E2011" s="25" t="str">
        <f aca="false">IF(J2011=1,"✓","")</f>
        <v/>
      </c>
      <c r="F2011" s="4" t="n">
        <v>2</v>
      </c>
      <c r="G2011" s="4" t="n">
        <v>1</v>
      </c>
      <c r="H2011" s="4" t="s">
        <v>213</v>
      </c>
      <c r="I2011" s="4" t="s">
        <v>54</v>
      </c>
      <c r="J2011" s="4" t="n">
        <f aca="false">INDEX('Master List'!$G$2:$G$2594,K2011)</f>
        <v>0</v>
      </c>
      <c r="K2011" s="4" t="n">
        <v>510</v>
      </c>
    </row>
    <row r="2012" customFormat="false" ht="15" hidden="false" customHeight="false" outlineLevel="0" collapsed="false">
      <c r="A2012" s="4" t="n">
        <v>2011</v>
      </c>
      <c r="B2012" s="4" t="s">
        <v>3041</v>
      </c>
      <c r="C2012" s="4" t="n">
        <v>2013</v>
      </c>
      <c r="D2012" s="4" t="s">
        <v>1632</v>
      </c>
      <c r="E2012" s="25" t="str">
        <f aca="false">IF(J2012=1,"✓","")</f>
        <v/>
      </c>
      <c r="F2012" s="4" t="n">
        <v>2</v>
      </c>
      <c r="G2012" s="4" t="n">
        <v>1</v>
      </c>
      <c r="H2012" s="4" t="s">
        <v>213</v>
      </c>
      <c r="I2012" s="4" t="s">
        <v>55</v>
      </c>
      <c r="J2012" s="4" t="n">
        <f aca="false">INDEX('Master List'!$G$2:$G$2594,K2012)</f>
        <v>0</v>
      </c>
      <c r="K2012" s="4" t="n">
        <v>2151</v>
      </c>
    </row>
    <row r="2013" customFormat="false" ht="15" hidden="false" customHeight="false" outlineLevel="0" collapsed="false">
      <c r="A2013" s="4" t="n">
        <v>2012</v>
      </c>
      <c r="B2013" s="4" t="s">
        <v>3042</v>
      </c>
      <c r="C2013" s="4" t="n">
        <v>2013</v>
      </c>
      <c r="D2013" s="4" t="s">
        <v>2913</v>
      </c>
      <c r="E2013" s="25" t="str">
        <f aca="false">IF(J2013=1,"✓","")</f>
        <v/>
      </c>
      <c r="F2013" s="4" t="n">
        <v>2</v>
      </c>
      <c r="G2013" s="4" t="n">
        <v>1</v>
      </c>
      <c r="H2013" s="4" t="s">
        <v>213</v>
      </c>
      <c r="I2013" s="4" t="s">
        <v>55</v>
      </c>
      <c r="J2013" s="4" t="n">
        <f aca="false">INDEX('Master List'!$G$2:$G$2594,K2013)</f>
        <v>0</v>
      </c>
      <c r="K2013" s="4" t="n">
        <v>5</v>
      </c>
    </row>
    <row r="2014" customFormat="false" ht="15" hidden="false" customHeight="false" outlineLevel="0" collapsed="false">
      <c r="A2014" s="4" t="n">
        <v>2013</v>
      </c>
      <c r="B2014" s="4" t="s">
        <v>3043</v>
      </c>
      <c r="C2014" s="4" t="n">
        <v>2013</v>
      </c>
      <c r="D2014" s="4" t="s">
        <v>3044</v>
      </c>
      <c r="E2014" s="25" t="str">
        <f aca="false">IF(J2014=1,"✓","")</f>
        <v/>
      </c>
      <c r="F2014" s="4" t="n">
        <v>2</v>
      </c>
      <c r="G2014" s="4" t="n">
        <v>1</v>
      </c>
      <c r="H2014" s="4" t="s">
        <v>213</v>
      </c>
      <c r="I2014" s="4" t="s">
        <v>56</v>
      </c>
      <c r="J2014" s="4" t="n">
        <f aca="false">INDEX('Master List'!$G$2:$G$2594,K2014)</f>
        <v>0</v>
      </c>
      <c r="K2014" s="4" t="n">
        <v>1364</v>
      </c>
    </row>
    <row r="2015" customFormat="false" ht="15" hidden="false" customHeight="false" outlineLevel="0" collapsed="false">
      <c r="A2015" s="4" t="n">
        <v>2014</v>
      </c>
      <c r="B2015" s="4" t="s">
        <v>3045</v>
      </c>
      <c r="C2015" s="4" t="n">
        <v>2014</v>
      </c>
      <c r="D2015" s="4" t="s">
        <v>1137</v>
      </c>
      <c r="E2015" s="25" t="str">
        <f aca="false">IF(J2015=1,"✓","")</f>
        <v>✓</v>
      </c>
      <c r="F2015" s="4" t="n">
        <v>2</v>
      </c>
      <c r="G2015" s="4" t="n">
        <v>1</v>
      </c>
      <c r="H2015" s="4" t="s">
        <v>213</v>
      </c>
      <c r="I2015" s="4" t="s">
        <v>49</v>
      </c>
      <c r="J2015" s="4" t="n">
        <f aca="false">INDEX('Master List'!$G$2:$G$2594,K2015)</f>
        <v>1</v>
      </c>
      <c r="K2015" s="4" t="n">
        <v>257</v>
      </c>
    </row>
    <row r="2016" customFormat="false" ht="15" hidden="false" customHeight="false" outlineLevel="0" collapsed="false">
      <c r="A2016" s="4" t="n">
        <v>2015</v>
      </c>
      <c r="B2016" s="4" t="s">
        <v>3046</v>
      </c>
      <c r="C2016" s="4" t="n">
        <v>2014</v>
      </c>
      <c r="D2016" s="4" t="s">
        <v>241</v>
      </c>
      <c r="E2016" s="25" t="str">
        <f aca="false">IF(J2016=1,"✓","")</f>
        <v/>
      </c>
      <c r="F2016" s="4" t="n">
        <v>2</v>
      </c>
      <c r="G2016" s="4" t="n">
        <v>1</v>
      </c>
      <c r="H2016" s="4" t="s">
        <v>213</v>
      </c>
      <c r="I2016" s="4" t="s">
        <v>51</v>
      </c>
      <c r="J2016" s="4" t="n">
        <f aca="false">INDEX('Master List'!$G$2:$G$2594,K2016)</f>
        <v>0</v>
      </c>
      <c r="K2016" s="4" t="n">
        <v>902</v>
      </c>
    </row>
    <row r="2017" customFormat="false" ht="15" hidden="false" customHeight="false" outlineLevel="0" collapsed="false">
      <c r="A2017" s="4" t="n">
        <v>2016</v>
      </c>
      <c r="B2017" s="4" t="s">
        <v>3047</v>
      </c>
      <c r="C2017" s="4" t="n">
        <v>2014</v>
      </c>
      <c r="D2017" s="4" t="s">
        <v>2991</v>
      </c>
      <c r="E2017" s="25" t="str">
        <f aca="false">IF(J2017=1,"✓","")</f>
        <v/>
      </c>
      <c r="F2017" s="4" t="n">
        <v>2</v>
      </c>
      <c r="G2017" s="4" t="n">
        <v>1</v>
      </c>
      <c r="H2017" s="4" t="s">
        <v>213</v>
      </c>
      <c r="I2017" s="4" t="s">
        <v>51</v>
      </c>
      <c r="J2017" s="4" t="n">
        <f aca="false">INDEX('Master List'!$G$2:$G$2594,K2017)</f>
        <v>0</v>
      </c>
      <c r="K2017" s="4" t="n">
        <v>1758</v>
      </c>
    </row>
    <row r="2018" customFormat="false" ht="15" hidden="false" customHeight="false" outlineLevel="0" collapsed="false">
      <c r="A2018" s="4" t="n">
        <v>2017</v>
      </c>
      <c r="B2018" s="4" t="s">
        <v>3048</v>
      </c>
      <c r="C2018" s="4" t="n">
        <v>2014</v>
      </c>
      <c r="D2018" s="4" t="s">
        <v>3049</v>
      </c>
      <c r="E2018" s="25" t="str">
        <f aca="false">IF(J2018=1,"✓","")</f>
        <v/>
      </c>
      <c r="F2018" s="4" t="n">
        <v>2</v>
      </c>
      <c r="G2018" s="4" t="n">
        <v>1</v>
      </c>
      <c r="H2018" s="4" t="s">
        <v>213</v>
      </c>
      <c r="I2018" s="4" t="s">
        <v>51</v>
      </c>
      <c r="J2018" s="4" t="n">
        <f aca="false">INDEX('Master List'!$G$2:$G$2594,K2018)</f>
        <v>0</v>
      </c>
      <c r="K2018" s="4" t="n">
        <v>2302</v>
      </c>
    </row>
    <row r="2019" customFormat="false" ht="15" hidden="false" customHeight="false" outlineLevel="0" collapsed="false">
      <c r="A2019" s="4" t="n">
        <v>2018</v>
      </c>
      <c r="B2019" s="4" t="s">
        <v>3050</v>
      </c>
      <c r="C2019" s="4" t="n">
        <v>2014</v>
      </c>
      <c r="D2019" s="4" t="s">
        <v>3051</v>
      </c>
      <c r="E2019" s="25" t="str">
        <f aca="false">IF(J2019=1,"✓","")</f>
        <v/>
      </c>
      <c r="F2019" s="4" t="n">
        <v>2</v>
      </c>
      <c r="G2019" s="4" t="n">
        <v>1</v>
      </c>
      <c r="H2019" s="4" t="s">
        <v>213</v>
      </c>
      <c r="I2019" s="4" t="s">
        <v>51</v>
      </c>
      <c r="J2019" s="4" t="n">
        <f aca="false">INDEX('Master List'!$G$2:$G$2594,K2019)</f>
        <v>0</v>
      </c>
      <c r="K2019" s="4" t="n">
        <v>1522</v>
      </c>
    </row>
    <row r="2020" customFormat="false" ht="15" hidden="false" customHeight="false" outlineLevel="0" collapsed="false">
      <c r="A2020" s="4" t="n">
        <v>2019</v>
      </c>
      <c r="B2020" s="4" t="s">
        <v>3052</v>
      </c>
      <c r="C2020" s="4" t="n">
        <v>2014</v>
      </c>
      <c r="D2020" s="4" t="s">
        <v>3053</v>
      </c>
      <c r="E2020" s="25" t="str">
        <f aca="false">IF(J2020=1,"✓","")</f>
        <v>✓</v>
      </c>
      <c r="F2020" s="4" t="n">
        <v>2</v>
      </c>
      <c r="G2020" s="4" t="n">
        <v>1</v>
      </c>
      <c r="H2020" s="4" t="s">
        <v>213</v>
      </c>
      <c r="I2020" s="4" t="s">
        <v>52</v>
      </c>
      <c r="J2020" s="4" t="n">
        <f aca="false">INDEX('Master List'!$G$2:$G$2594,K2020)</f>
        <v>1</v>
      </c>
      <c r="K2020" s="4" t="n">
        <v>531</v>
      </c>
    </row>
    <row r="2021" customFormat="false" ht="15" hidden="false" customHeight="false" outlineLevel="0" collapsed="false">
      <c r="A2021" s="4" t="n">
        <v>2020</v>
      </c>
      <c r="B2021" s="4" t="s">
        <v>3054</v>
      </c>
      <c r="C2021" s="4" t="n">
        <v>2014</v>
      </c>
      <c r="D2021" s="4" t="s">
        <v>3055</v>
      </c>
      <c r="E2021" s="25" t="str">
        <f aca="false">IF(J2021=1,"✓","")</f>
        <v/>
      </c>
      <c r="F2021" s="4" t="n">
        <v>2</v>
      </c>
      <c r="G2021" s="4" t="n">
        <v>1</v>
      </c>
      <c r="H2021" s="4" t="s">
        <v>213</v>
      </c>
      <c r="I2021" s="4" t="s">
        <v>52</v>
      </c>
      <c r="J2021" s="4" t="n">
        <f aca="false">INDEX('Master List'!$G$2:$G$2594,K2021)</f>
        <v>0</v>
      </c>
      <c r="K2021" s="4" t="n">
        <v>2409</v>
      </c>
    </row>
    <row r="2022" customFormat="false" ht="15" hidden="false" customHeight="false" outlineLevel="0" collapsed="false">
      <c r="A2022" s="4" t="n">
        <v>2021</v>
      </c>
      <c r="B2022" s="4" t="s">
        <v>3056</v>
      </c>
      <c r="C2022" s="4" t="n">
        <v>2014</v>
      </c>
      <c r="D2022" s="4" t="s">
        <v>1613</v>
      </c>
      <c r="E2022" s="25" t="str">
        <f aca="false">IF(J2022=1,"✓","")</f>
        <v/>
      </c>
      <c r="F2022" s="4" t="n">
        <v>2</v>
      </c>
      <c r="G2022" s="4" t="n">
        <v>1</v>
      </c>
      <c r="H2022" s="4" t="s">
        <v>213</v>
      </c>
      <c r="I2022" s="4" t="s">
        <v>52</v>
      </c>
      <c r="J2022" s="4" t="n">
        <f aca="false">INDEX('Master List'!$G$2:$G$2594,K2022)</f>
        <v>0</v>
      </c>
      <c r="K2022" s="4" t="n">
        <v>1852</v>
      </c>
    </row>
    <row r="2023" customFormat="false" ht="15" hidden="false" customHeight="false" outlineLevel="0" collapsed="false">
      <c r="A2023" s="4" t="n">
        <v>2022</v>
      </c>
      <c r="B2023" s="4" t="s">
        <v>3057</v>
      </c>
      <c r="C2023" s="4" t="n">
        <v>2014</v>
      </c>
      <c r="D2023" s="4" t="s">
        <v>3058</v>
      </c>
      <c r="E2023" s="25" t="str">
        <f aca="false">IF(J2023=1,"✓","")</f>
        <v/>
      </c>
      <c r="F2023" s="4" t="n">
        <v>2</v>
      </c>
      <c r="G2023" s="4" t="n">
        <v>1</v>
      </c>
      <c r="H2023" s="4" t="s">
        <v>213</v>
      </c>
      <c r="I2023" s="4" t="s">
        <v>52</v>
      </c>
      <c r="J2023" s="4" t="n">
        <f aca="false">INDEX('Master List'!$G$2:$G$2594,K2023)</f>
        <v>0</v>
      </c>
      <c r="K2023" s="4" t="n">
        <v>1211</v>
      </c>
    </row>
    <row r="2024" customFormat="false" ht="15" hidden="false" customHeight="false" outlineLevel="0" collapsed="false">
      <c r="A2024" s="4" t="n">
        <v>2023</v>
      </c>
      <c r="B2024" s="4" t="s">
        <v>3059</v>
      </c>
      <c r="C2024" s="4" t="n">
        <v>2014</v>
      </c>
      <c r="D2024" s="4" t="s">
        <v>631</v>
      </c>
      <c r="E2024" s="25" t="str">
        <f aca="false">IF(J2024=1,"✓","")</f>
        <v/>
      </c>
      <c r="F2024" s="4" t="n">
        <v>2</v>
      </c>
      <c r="G2024" s="4" t="n">
        <v>1</v>
      </c>
      <c r="H2024" s="4" t="s">
        <v>213</v>
      </c>
      <c r="I2024" s="4" t="s">
        <v>53</v>
      </c>
      <c r="J2024" s="4" t="n">
        <f aca="false">INDEX('Master List'!$G$2:$G$2594,K2024)</f>
        <v>0</v>
      </c>
      <c r="K2024" s="4" t="n">
        <v>1767</v>
      </c>
    </row>
    <row r="2025" customFormat="false" ht="15" hidden="false" customHeight="false" outlineLevel="0" collapsed="false">
      <c r="A2025" s="4" t="n">
        <v>2024</v>
      </c>
      <c r="B2025" s="4" t="s">
        <v>3060</v>
      </c>
      <c r="C2025" s="4" t="n">
        <v>2014</v>
      </c>
      <c r="D2025" s="4" t="s">
        <v>2906</v>
      </c>
      <c r="E2025" s="25" t="str">
        <f aca="false">IF(J2025=1,"✓","")</f>
        <v/>
      </c>
      <c r="F2025" s="4" t="n">
        <v>2</v>
      </c>
      <c r="G2025" s="4" t="n">
        <v>1</v>
      </c>
      <c r="H2025" s="4" t="s">
        <v>213</v>
      </c>
      <c r="I2025" s="4" t="s">
        <v>55</v>
      </c>
      <c r="J2025" s="4" t="n">
        <f aca="false">INDEX('Master List'!$G$2:$G$2594,K2025)</f>
        <v>0</v>
      </c>
      <c r="K2025" s="4" t="n">
        <v>2266</v>
      </c>
    </row>
    <row r="2026" customFormat="false" ht="15" hidden="false" customHeight="false" outlineLevel="0" collapsed="false">
      <c r="A2026" s="4" t="n">
        <v>2025</v>
      </c>
      <c r="B2026" s="4" t="s">
        <v>3061</v>
      </c>
      <c r="C2026" s="4" t="n">
        <v>2014</v>
      </c>
      <c r="D2026" s="4" t="s">
        <v>3062</v>
      </c>
      <c r="E2026" s="25" t="str">
        <f aca="false">IF(J2026=1,"✓","")</f>
        <v/>
      </c>
      <c r="F2026" s="4" t="n">
        <v>2</v>
      </c>
      <c r="G2026" s="4" t="n">
        <v>1</v>
      </c>
      <c r="H2026" s="4" t="s">
        <v>213</v>
      </c>
      <c r="I2026" s="4" t="s">
        <v>55</v>
      </c>
      <c r="J2026" s="4" t="n">
        <f aca="false">INDEX('Master List'!$G$2:$G$2594,K2026)</f>
        <v>0</v>
      </c>
      <c r="K2026" s="4" t="n">
        <v>1120</v>
      </c>
    </row>
    <row r="2027" customFormat="false" ht="15" hidden="false" customHeight="false" outlineLevel="0" collapsed="false">
      <c r="A2027" s="4" t="n">
        <v>2026</v>
      </c>
      <c r="B2027" s="4" t="s">
        <v>3063</v>
      </c>
      <c r="C2027" s="4" t="n">
        <v>2014</v>
      </c>
      <c r="D2027" s="4" t="s">
        <v>3064</v>
      </c>
      <c r="E2027" s="25" t="str">
        <f aca="false">IF(J2027=1,"✓","")</f>
        <v/>
      </c>
      <c r="F2027" s="4" t="n">
        <v>2</v>
      </c>
      <c r="G2027" s="4" t="n">
        <v>1</v>
      </c>
      <c r="H2027" s="4" t="s">
        <v>213</v>
      </c>
      <c r="I2027" s="4" t="s">
        <v>55</v>
      </c>
      <c r="J2027" s="4" t="n">
        <f aca="false">INDEX('Master List'!$G$2:$G$2594,K2027)</f>
        <v>0</v>
      </c>
      <c r="K2027" s="4" t="n">
        <v>463</v>
      </c>
    </row>
    <row r="2028" customFormat="false" ht="15" hidden="false" customHeight="false" outlineLevel="0" collapsed="false">
      <c r="A2028" s="4" t="n">
        <v>2027</v>
      </c>
      <c r="B2028" s="4" t="s">
        <v>3065</v>
      </c>
      <c r="C2028" s="4" t="n">
        <v>2014</v>
      </c>
      <c r="D2028" s="4" t="s">
        <v>2983</v>
      </c>
      <c r="E2028" s="25" t="str">
        <f aca="false">IF(J2028=1,"✓","")</f>
        <v>✓</v>
      </c>
      <c r="F2028" s="4" t="n">
        <v>2</v>
      </c>
      <c r="G2028" s="4" t="n">
        <v>1</v>
      </c>
      <c r="H2028" s="4" t="s">
        <v>213</v>
      </c>
      <c r="I2028" s="4" t="s">
        <v>55</v>
      </c>
      <c r="J2028" s="4" t="n">
        <f aca="false">INDEX('Master List'!$G$2:$G$2594,K2028)</f>
        <v>1</v>
      </c>
      <c r="K2028" s="4" t="n">
        <v>843</v>
      </c>
    </row>
    <row r="2029" customFormat="false" ht="15" hidden="false" customHeight="false" outlineLevel="0" collapsed="false">
      <c r="A2029" s="4" t="n">
        <v>2028</v>
      </c>
      <c r="B2029" s="4" t="s">
        <v>3066</v>
      </c>
      <c r="C2029" s="4" t="n">
        <v>2015</v>
      </c>
      <c r="D2029" s="4" t="s">
        <v>3067</v>
      </c>
      <c r="E2029" s="25" t="str">
        <f aca="false">IF(J2029=1,"✓","")</f>
        <v/>
      </c>
      <c r="F2029" s="4" t="n">
        <v>2</v>
      </c>
      <c r="G2029" s="4" t="n">
        <v>1</v>
      </c>
      <c r="H2029" s="4" t="s">
        <v>213</v>
      </c>
      <c r="I2029" s="4" t="s">
        <v>51</v>
      </c>
      <c r="J2029" s="4" t="n">
        <f aca="false">INDEX('Master List'!$G$2:$G$2594,K2029)</f>
        <v>0</v>
      </c>
      <c r="K2029" s="4" t="n">
        <v>2110</v>
      </c>
    </row>
    <row r="2030" customFormat="false" ht="15" hidden="false" customHeight="false" outlineLevel="0" collapsed="false">
      <c r="A2030" s="4" t="n">
        <v>2029</v>
      </c>
      <c r="B2030" s="4" t="s">
        <v>3068</v>
      </c>
      <c r="C2030" s="4" t="n">
        <v>2015</v>
      </c>
      <c r="D2030" s="4" t="s">
        <v>3069</v>
      </c>
      <c r="E2030" s="25" t="str">
        <f aca="false">IF(J2030=1,"✓","")</f>
        <v/>
      </c>
      <c r="F2030" s="4" t="n">
        <v>2</v>
      </c>
      <c r="G2030" s="4" t="n">
        <v>1</v>
      </c>
      <c r="H2030" s="4" t="s">
        <v>213</v>
      </c>
      <c r="I2030" s="4" t="s">
        <v>51</v>
      </c>
      <c r="J2030" s="4" t="n">
        <f aca="false">INDEX('Master List'!$G$2:$G$2594,K2030)</f>
        <v>0</v>
      </c>
      <c r="K2030" s="4" t="n">
        <v>722</v>
      </c>
    </row>
    <row r="2031" customFormat="false" ht="15" hidden="false" customHeight="false" outlineLevel="0" collapsed="false">
      <c r="A2031" s="4" t="n">
        <v>2030</v>
      </c>
      <c r="B2031" s="4" t="s">
        <v>3070</v>
      </c>
      <c r="C2031" s="4" t="n">
        <v>2015</v>
      </c>
      <c r="D2031" s="4" t="s">
        <v>492</v>
      </c>
      <c r="E2031" s="25" t="str">
        <f aca="false">IF(J2031=1,"✓","")</f>
        <v/>
      </c>
      <c r="F2031" s="4" t="n">
        <v>2</v>
      </c>
      <c r="G2031" s="4" t="n">
        <v>1</v>
      </c>
      <c r="H2031" s="4" t="s">
        <v>213</v>
      </c>
      <c r="I2031" s="4" t="s">
        <v>51</v>
      </c>
      <c r="J2031" s="4" t="n">
        <f aca="false">INDEX('Master List'!$G$2:$G$2594,K2031)</f>
        <v>0</v>
      </c>
      <c r="K2031" s="4" t="n">
        <v>140</v>
      </c>
    </row>
    <row r="2032" customFormat="false" ht="15" hidden="false" customHeight="false" outlineLevel="0" collapsed="false">
      <c r="A2032" s="4" t="n">
        <v>2031</v>
      </c>
      <c r="B2032" s="4" t="s">
        <v>3071</v>
      </c>
      <c r="C2032" s="4" t="n">
        <v>2015</v>
      </c>
      <c r="D2032" s="4" t="s">
        <v>3072</v>
      </c>
      <c r="E2032" s="25" t="str">
        <f aca="false">IF(J2032=1,"✓","")</f>
        <v>✓</v>
      </c>
      <c r="F2032" s="4" t="n">
        <v>2</v>
      </c>
      <c r="G2032" s="4" t="n">
        <v>1</v>
      </c>
      <c r="H2032" s="4" t="s">
        <v>213</v>
      </c>
      <c r="I2032" s="4" t="s">
        <v>52</v>
      </c>
      <c r="J2032" s="4" t="n">
        <f aca="false">INDEX('Master List'!$G$2:$G$2594,K2032)</f>
        <v>1</v>
      </c>
      <c r="K2032" s="4" t="n">
        <v>312</v>
      </c>
    </row>
    <row r="2033" customFormat="false" ht="15" hidden="false" customHeight="false" outlineLevel="0" collapsed="false">
      <c r="A2033" s="4" t="n">
        <v>2032</v>
      </c>
      <c r="B2033" s="4" t="s">
        <v>3073</v>
      </c>
      <c r="C2033" s="4" t="n">
        <v>2015</v>
      </c>
      <c r="D2033" s="4" t="s">
        <v>183</v>
      </c>
      <c r="E2033" s="25" t="str">
        <f aca="false">IF(J2033=1,"✓","")</f>
        <v>✓</v>
      </c>
      <c r="F2033" s="4" t="n">
        <v>2</v>
      </c>
      <c r="G2033" s="4" t="n">
        <v>1</v>
      </c>
      <c r="H2033" s="4" t="s">
        <v>213</v>
      </c>
      <c r="I2033" s="4" t="s">
        <v>52</v>
      </c>
      <c r="J2033" s="4" t="n">
        <f aca="false">INDEX('Master List'!$G$2:$G$2594,K2033)</f>
        <v>1</v>
      </c>
      <c r="K2033" s="4" t="n">
        <v>347</v>
      </c>
    </row>
    <row r="2034" customFormat="false" ht="15" hidden="false" customHeight="false" outlineLevel="0" collapsed="false">
      <c r="A2034" s="4" t="n">
        <v>2033</v>
      </c>
      <c r="B2034" s="4" t="s">
        <v>3074</v>
      </c>
      <c r="C2034" s="4" t="n">
        <v>2015</v>
      </c>
      <c r="D2034" s="4" t="s">
        <v>1137</v>
      </c>
      <c r="E2034" s="25" t="str">
        <f aca="false">IF(J2034=1,"✓","")</f>
        <v>✓</v>
      </c>
      <c r="F2034" s="4" t="n">
        <v>2</v>
      </c>
      <c r="G2034" s="4" t="n">
        <v>1</v>
      </c>
      <c r="H2034" s="4" t="s">
        <v>213</v>
      </c>
      <c r="I2034" s="4" t="s">
        <v>52</v>
      </c>
      <c r="J2034" s="4" t="n">
        <f aca="false">INDEX('Master List'!$G$2:$G$2594,K2034)</f>
        <v>1</v>
      </c>
      <c r="K2034" s="4" t="n">
        <v>1896</v>
      </c>
    </row>
    <row r="2035" customFormat="false" ht="15" hidden="false" customHeight="false" outlineLevel="0" collapsed="false">
      <c r="A2035" s="4" t="n">
        <v>2034</v>
      </c>
      <c r="B2035" s="4" t="s">
        <v>3075</v>
      </c>
      <c r="C2035" s="4" t="n">
        <v>2015</v>
      </c>
      <c r="D2035" s="4" t="s">
        <v>3076</v>
      </c>
      <c r="E2035" s="25" t="str">
        <f aca="false">IF(J2035=1,"✓","")</f>
        <v/>
      </c>
      <c r="F2035" s="4" t="n">
        <v>2</v>
      </c>
      <c r="G2035" s="4" t="n">
        <v>1</v>
      </c>
      <c r="H2035" s="4" t="s">
        <v>213</v>
      </c>
      <c r="I2035" s="4" t="s">
        <v>52</v>
      </c>
      <c r="J2035" s="4" t="n">
        <f aca="false">INDEX('Master List'!$G$2:$G$2594,K2035)</f>
        <v>0</v>
      </c>
      <c r="K2035" s="4" t="n">
        <v>202</v>
      </c>
    </row>
    <row r="2036" customFormat="false" ht="15" hidden="false" customHeight="false" outlineLevel="0" collapsed="false">
      <c r="A2036" s="4" t="n">
        <v>2035</v>
      </c>
      <c r="B2036" s="4" t="s">
        <v>3077</v>
      </c>
      <c r="C2036" s="4" t="n">
        <v>2015</v>
      </c>
      <c r="D2036" s="4" t="s">
        <v>2751</v>
      </c>
      <c r="E2036" s="25" t="str">
        <f aca="false">IF(J2036=1,"✓","")</f>
        <v/>
      </c>
      <c r="F2036" s="4" t="n">
        <v>2</v>
      </c>
      <c r="G2036" s="4" t="n">
        <v>1</v>
      </c>
      <c r="H2036" s="4" t="s">
        <v>213</v>
      </c>
      <c r="I2036" s="4" t="s">
        <v>52</v>
      </c>
      <c r="J2036" s="4" t="n">
        <f aca="false">INDEX('Master List'!$G$2:$G$2594,K2036)</f>
        <v>0</v>
      </c>
      <c r="K2036" s="4" t="n">
        <v>1151</v>
      </c>
    </row>
    <row r="2037" customFormat="false" ht="15" hidden="false" customHeight="false" outlineLevel="0" collapsed="false">
      <c r="A2037" s="4" t="n">
        <v>2036</v>
      </c>
      <c r="B2037" s="4" t="s">
        <v>3078</v>
      </c>
      <c r="C2037" s="4" t="n">
        <v>2015</v>
      </c>
      <c r="D2037" s="4" t="s">
        <v>3079</v>
      </c>
      <c r="E2037" s="25" t="str">
        <f aca="false">IF(J2037=1,"✓","")</f>
        <v/>
      </c>
      <c r="F2037" s="4" t="n">
        <v>2</v>
      </c>
      <c r="G2037" s="4" t="n">
        <v>1</v>
      </c>
      <c r="H2037" s="4" t="s">
        <v>213</v>
      </c>
      <c r="I2037" s="4" t="s">
        <v>52</v>
      </c>
      <c r="J2037" s="4" t="n">
        <f aca="false">INDEX('Master List'!$G$2:$G$2594,K2037)</f>
        <v>0</v>
      </c>
      <c r="K2037" s="4" t="n">
        <v>97</v>
      </c>
    </row>
    <row r="2038" customFormat="false" ht="15" hidden="false" customHeight="false" outlineLevel="0" collapsed="false">
      <c r="A2038" s="4" t="n">
        <v>2037</v>
      </c>
      <c r="B2038" s="4" t="s">
        <v>3080</v>
      </c>
      <c r="C2038" s="4" t="n">
        <v>2015</v>
      </c>
      <c r="D2038" s="4" t="s">
        <v>1588</v>
      </c>
      <c r="E2038" s="25" t="str">
        <f aca="false">IF(J2038=1,"✓","")</f>
        <v/>
      </c>
      <c r="F2038" s="4" t="n">
        <v>2</v>
      </c>
      <c r="G2038" s="4" t="n">
        <v>1</v>
      </c>
      <c r="H2038" s="4" t="s">
        <v>213</v>
      </c>
      <c r="I2038" s="4" t="s">
        <v>52</v>
      </c>
      <c r="J2038" s="4" t="n">
        <f aca="false">INDEX('Master List'!$G$2:$G$2594,K2038)</f>
        <v>0</v>
      </c>
      <c r="K2038" s="4" t="n">
        <v>1208</v>
      </c>
    </row>
    <row r="2039" customFormat="false" ht="15" hidden="false" customHeight="false" outlineLevel="0" collapsed="false">
      <c r="A2039" s="4" t="n">
        <v>2038</v>
      </c>
      <c r="B2039" s="4" t="s">
        <v>3081</v>
      </c>
      <c r="C2039" s="4" t="n">
        <v>2015</v>
      </c>
      <c r="D2039" s="4" t="s">
        <v>444</v>
      </c>
      <c r="E2039" s="25" t="str">
        <f aca="false">IF(J2039=1,"✓","")</f>
        <v/>
      </c>
      <c r="F2039" s="4" t="n">
        <v>2</v>
      </c>
      <c r="G2039" s="4" t="n">
        <v>1</v>
      </c>
      <c r="H2039" s="4" t="s">
        <v>213</v>
      </c>
      <c r="I2039" s="4" t="s">
        <v>53</v>
      </c>
      <c r="J2039" s="4" t="n">
        <f aca="false">INDEX('Master List'!$G$2:$G$2594,K2039)</f>
        <v>0</v>
      </c>
      <c r="K2039" s="4" t="n">
        <v>420</v>
      </c>
    </row>
    <row r="2040" customFormat="false" ht="15" hidden="false" customHeight="false" outlineLevel="0" collapsed="false">
      <c r="A2040" s="4" t="n">
        <v>2039</v>
      </c>
      <c r="B2040" s="4" t="s">
        <v>3082</v>
      </c>
      <c r="C2040" s="4" t="n">
        <v>2015</v>
      </c>
      <c r="D2040" s="4" t="s">
        <v>859</v>
      </c>
      <c r="E2040" s="25" t="str">
        <f aca="false">IF(J2040=1,"✓","")</f>
        <v/>
      </c>
      <c r="F2040" s="4" t="n">
        <v>2</v>
      </c>
      <c r="G2040" s="4" t="n">
        <v>1</v>
      </c>
      <c r="H2040" s="4" t="s">
        <v>213</v>
      </c>
      <c r="I2040" s="4" t="s">
        <v>53</v>
      </c>
      <c r="J2040" s="4" t="n">
        <f aca="false">INDEX('Master List'!$G$2:$G$2594,K2040)</f>
        <v>0</v>
      </c>
      <c r="K2040" s="4" t="n">
        <v>1545</v>
      </c>
    </row>
    <row r="2041" customFormat="false" ht="15" hidden="false" customHeight="false" outlineLevel="0" collapsed="false">
      <c r="A2041" s="4" t="n">
        <v>2040</v>
      </c>
      <c r="B2041" s="4" t="s">
        <v>3083</v>
      </c>
      <c r="C2041" s="4" t="n">
        <v>2015</v>
      </c>
      <c r="D2041" s="4" t="s">
        <v>856</v>
      </c>
      <c r="E2041" s="25" t="str">
        <f aca="false">IF(J2041=1,"✓","")</f>
        <v/>
      </c>
      <c r="F2041" s="4" t="n">
        <v>2</v>
      </c>
      <c r="G2041" s="4" t="n">
        <v>1</v>
      </c>
      <c r="H2041" s="4" t="s">
        <v>213</v>
      </c>
      <c r="I2041" s="4" t="s">
        <v>55</v>
      </c>
      <c r="J2041" s="4" t="n">
        <f aca="false">INDEX('Master List'!$G$2:$G$2594,K2041)</f>
        <v>0</v>
      </c>
      <c r="K2041" s="4" t="n">
        <v>247</v>
      </c>
    </row>
    <row r="2042" customFormat="false" ht="15" hidden="false" customHeight="false" outlineLevel="0" collapsed="false">
      <c r="A2042" s="4" t="n">
        <v>2041</v>
      </c>
      <c r="B2042" s="4" t="s">
        <v>3084</v>
      </c>
      <c r="C2042" s="4" t="n">
        <v>2015</v>
      </c>
      <c r="D2042" s="4" t="s">
        <v>3085</v>
      </c>
      <c r="E2042" s="25" t="str">
        <f aca="false">IF(J2042=1,"✓","")</f>
        <v/>
      </c>
      <c r="F2042" s="4" t="n">
        <v>2</v>
      </c>
      <c r="G2042" s="4" t="n">
        <v>1</v>
      </c>
      <c r="H2042" s="4" t="s">
        <v>213</v>
      </c>
      <c r="I2042" s="4" t="s">
        <v>56</v>
      </c>
      <c r="J2042" s="4" t="n">
        <f aca="false">INDEX('Master List'!$G$2:$G$2594,K2042)</f>
        <v>0</v>
      </c>
      <c r="K2042" s="4" t="n">
        <v>1485</v>
      </c>
    </row>
    <row r="2043" customFormat="false" ht="15" hidden="false" customHeight="false" outlineLevel="0" collapsed="false">
      <c r="A2043" s="4" t="n">
        <v>2042</v>
      </c>
      <c r="B2043" s="4" t="s">
        <v>3086</v>
      </c>
      <c r="C2043" s="4" t="n">
        <v>2015</v>
      </c>
      <c r="D2043" s="4" t="s">
        <v>3087</v>
      </c>
      <c r="E2043" s="25" t="str">
        <f aca="false">IF(J2043=1,"✓","")</f>
        <v>✓</v>
      </c>
      <c r="F2043" s="4" t="n">
        <v>2</v>
      </c>
      <c r="G2043" s="4" t="n">
        <v>1</v>
      </c>
      <c r="H2043" s="4" t="s">
        <v>213</v>
      </c>
      <c r="I2043" s="4" t="s">
        <v>57</v>
      </c>
      <c r="J2043" s="4" t="n">
        <f aca="false">INDEX('Master List'!$G$2:$G$2594,K2043)</f>
        <v>1</v>
      </c>
      <c r="K2043" s="4" t="n">
        <v>1931</v>
      </c>
    </row>
    <row r="2044" customFormat="false" ht="15" hidden="false" customHeight="false" outlineLevel="0" collapsed="false">
      <c r="A2044" s="4" t="n">
        <v>2043</v>
      </c>
      <c r="B2044" s="4" t="s">
        <v>3088</v>
      </c>
      <c r="C2044" s="4" t="n">
        <v>2016</v>
      </c>
      <c r="D2044" s="4" t="s">
        <v>3089</v>
      </c>
      <c r="E2044" s="25" t="str">
        <f aca="false">IF(J2044=1,"✓","")</f>
        <v/>
      </c>
      <c r="F2044" s="4" t="n">
        <v>2</v>
      </c>
      <c r="G2044" s="4" t="n">
        <v>1</v>
      </c>
      <c r="H2044" s="4" t="s">
        <v>213</v>
      </c>
      <c r="I2044" s="4" t="s">
        <v>51</v>
      </c>
      <c r="J2044" s="4" t="n">
        <f aca="false">INDEX('Master List'!$G$2:$G$2594,K2044)</f>
        <v>0</v>
      </c>
      <c r="K2044" s="4" t="n">
        <v>2577</v>
      </c>
    </row>
    <row r="2045" customFormat="false" ht="15" hidden="false" customHeight="false" outlineLevel="0" collapsed="false">
      <c r="A2045" s="4" t="n">
        <v>2044</v>
      </c>
      <c r="B2045" s="4" t="s">
        <v>3090</v>
      </c>
      <c r="C2045" s="4" t="n">
        <v>2016</v>
      </c>
      <c r="D2045" s="4" t="s">
        <v>3091</v>
      </c>
      <c r="E2045" s="25" t="str">
        <f aca="false">IF(J2045=1,"✓","")</f>
        <v/>
      </c>
      <c r="F2045" s="4" t="n">
        <v>2</v>
      </c>
      <c r="G2045" s="4" t="n">
        <v>1</v>
      </c>
      <c r="H2045" s="4" t="s">
        <v>213</v>
      </c>
      <c r="I2045" s="4" t="s">
        <v>51</v>
      </c>
      <c r="J2045" s="4" t="n">
        <f aca="false">INDEX('Master List'!$G$2:$G$2594,K2045)</f>
        <v>0</v>
      </c>
      <c r="K2045" s="4" t="n">
        <v>2072</v>
      </c>
    </row>
    <row r="2046" customFormat="false" ht="15" hidden="false" customHeight="false" outlineLevel="0" collapsed="false">
      <c r="A2046" s="4" t="n">
        <v>2045</v>
      </c>
      <c r="B2046" s="4" t="s">
        <v>3092</v>
      </c>
      <c r="C2046" s="4" t="n">
        <v>2016</v>
      </c>
      <c r="D2046" s="4" t="s">
        <v>1391</v>
      </c>
      <c r="E2046" s="25" t="str">
        <f aca="false">IF(J2046=1,"✓","")</f>
        <v/>
      </c>
      <c r="F2046" s="4" t="n">
        <v>2</v>
      </c>
      <c r="G2046" s="4" t="n">
        <v>1</v>
      </c>
      <c r="H2046" s="4" t="s">
        <v>213</v>
      </c>
      <c r="I2046" s="4" t="s">
        <v>51</v>
      </c>
      <c r="J2046" s="4" t="n">
        <f aca="false">INDEX('Master List'!$G$2:$G$2594,K2046)</f>
        <v>0</v>
      </c>
      <c r="K2046" s="4" t="n">
        <v>1750</v>
      </c>
    </row>
    <row r="2047" customFormat="false" ht="15" hidden="false" customHeight="false" outlineLevel="0" collapsed="false">
      <c r="A2047" s="4" t="n">
        <v>2046</v>
      </c>
      <c r="B2047" s="4" t="s">
        <v>3093</v>
      </c>
      <c r="C2047" s="4" t="n">
        <v>2016</v>
      </c>
      <c r="D2047" s="4" t="s">
        <v>359</v>
      </c>
      <c r="E2047" s="25" t="str">
        <f aca="false">IF(J2047=1,"✓","")</f>
        <v>✓</v>
      </c>
      <c r="F2047" s="4" t="n">
        <v>2</v>
      </c>
      <c r="G2047" s="4" t="n">
        <v>1</v>
      </c>
      <c r="H2047" s="4" t="s">
        <v>213</v>
      </c>
      <c r="I2047" s="4" t="s">
        <v>51</v>
      </c>
      <c r="J2047" s="4" t="n">
        <f aca="false">INDEX('Master List'!$G$2:$G$2594,K2047)</f>
        <v>1</v>
      </c>
      <c r="K2047" s="4" t="n">
        <v>1102</v>
      </c>
    </row>
    <row r="2048" customFormat="false" ht="15" hidden="false" customHeight="false" outlineLevel="0" collapsed="false">
      <c r="A2048" s="4" t="n">
        <v>2047</v>
      </c>
      <c r="B2048" s="4" t="s">
        <v>3094</v>
      </c>
      <c r="C2048" s="4" t="n">
        <v>2016</v>
      </c>
      <c r="D2048" s="4" t="s">
        <v>1599</v>
      </c>
      <c r="E2048" s="25" t="str">
        <f aca="false">IF(J2048=1,"✓","")</f>
        <v/>
      </c>
      <c r="F2048" s="4" t="n">
        <v>2</v>
      </c>
      <c r="G2048" s="4" t="n">
        <v>1</v>
      </c>
      <c r="H2048" s="4" t="s">
        <v>213</v>
      </c>
      <c r="I2048" s="4" t="s">
        <v>51</v>
      </c>
      <c r="J2048" s="4" t="n">
        <f aca="false">INDEX('Master List'!$G$2:$G$2594,K2048)</f>
        <v>0</v>
      </c>
      <c r="K2048" s="4" t="n">
        <v>940</v>
      </c>
    </row>
    <row r="2049" customFormat="false" ht="15" hidden="false" customHeight="false" outlineLevel="0" collapsed="false">
      <c r="A2049" s="4" t="n">
        <v>2048</v>
      </c>
      <c r="B2049" s="4" t="s">
        <v>3095</v>
      </c>
      <c r="C2049" s="4" t="n">
        <v>2016</v>
      </c>
      <c r="D2049" s="4" t="s">
        <v>519</v>
      </c>
      <c r="E2049" s="25" t="str">
        <f aca="false">IF(J2049=1,"✓","")</f>
        <v/>
      </c>
      <c r="F2049" s="4" t="n">
        <v>2</v>
      </c>
      <c r="G2049" s="4" t="n">
        <v>1</v>
      </c>
      <c r="H2049" s="4" t="s">
        <v>213</v>
      </c>
      <c r="I2049" s="4" t="s">
        <v>51</v>
      </c>
      <c r="J2049" s="4" t="n">
        <f aca="false">INDEX('Master List'!$G$2:$G$2594,K2049)</f>
        <v>0</v>
      </c>
      <c r="K2049" s="4" t="n">
        <v>1960</v>
      </c>
    </row>
    <row r="2050" customFormat="false" ht="15" hidden="false" customHeight="false" outlineLevel="0" collapsed="false">
      <c r="A2050" s="4" t="n">
        <v>2049</v>
      </c>
      <c r="B2050" s="4" t="s">
        <v>3096</v>
      </c>
      <c r="C2050" s="4" t="n">
        <v>2016</v>
      </c>
      <c r="D2050" s="4" t="s">
        <v>1410</v>
      </c>
      <c r="E2050" s="25" t="str">
        <f aca="false">IF(J2050=1,"✓","")</f>
        <v>✓</v>
      </c>
      <c r="F2050" s="4" t="n">
        <v>2</v>
      </c>
      <c r="G2050" s="4" t="n">
        <v>1</v>
      </c>
      <c r="H2050" s="4" t="s">
        <v>213</v>
      </c>
      <c r="I2050" s="4" t="s">
        <v>51</v>
      </c>
      <c r="J2050" s="4" t="n">
        <f aca="false">INDEX('Master List'!$G$2:$G$2594,K2050)</f>
        <v>1</v>
      </c>
      <c r="K2050" s="4" t="n">
        <v>1090</v>
      </c>
    </row>
    <row r="2051" customFormat="false" ht="15" hidden="false" customHeight="false" outlineLevel="0" collapsed="false">
      <c r="A2051" s="4" t="n">
        <v>2050</v>
      </c>
      <c r="B2051" s="4" t="s">
        <v>3097</v>
      </c>
      <c r="C2051" s="4" t="n">
        <v>2016</v>
      </c>
      <c r="D2051" s="4" t="s">
        <v>3098</v>
      </c>
      <c r="E2051" s="25" t="str">
        <f aca="false">IF(J2051=1,"✓","")</f>
        <v/>
      </c>
      <c r="F2051" s="4" t="n">
        <v>2</v>
      </c>
      <c r="G2051" s="4" t="n">
        <v>1</v>
      </c>
      <c r="H2051" s="4" t="s">
        <v>213</v>
      </c>
      <c r="I2051" s="4" t="s">
        <v>52</v>
      </c>
      <c r="J2051" s="4" t="n">
        <f aca="false">INDEX('Master List'!$G$2:$G$2594,K2051)</f>
        <v>0</v>
      </c>
      <c r="K2051" s="4" t="n">
        <v>2442</v>
      </c>
    </row>
    <row r="2052" customFormat="false" ht="15" hidden="false" customHeight="false" outlineLevel="0" collapsed="false">
      <c r="A2052" s="4" t="n">
        <v>2051</v>
      </c>
      <c r="B2052" s="4" t="s">
        <v>3099</v>
      </c>
      <c r="C2052" s="4" t="n">
        <v>2016</v>
      </c>
      <c r="D2052" s="4" t="s">
        <v>3100</v>
      </c>
      <c r="E2052" s="25" t="str">
        <f aca="false">IF(J2052=1,"✓","")</f>
        <v/>
      </c>
      <c r="F2052" s="4" t="n">
        <v>2</v>
      </c>
      <c r="G2052" s="4" t="n">
        <v>1</v>
      </c>
      <c r="H2052" s="4" t="s">
        <v>213</v>
      </c>
      <c r="I2052" s="4" t="s">
        <v>52</v>
      </c>
      <c r="J2052" s="4" t="n">
        <f aca="false">INDEX('Master List'!$G$2:$G$2594,K2052)</f>
        <v>0</v>
      </c>
      <c r="K2052" s="4" t="n">
        <v>1796</v>
      </c>
    </row>
    <row r="2053" customFormat="false" ht="15" hidden="false" customHeight="false" outlineLevel="0" collapsed="false">
      <c r="A2053" s="4" t="n">
        <v>2052</v>
      </c>
      <c r="B2053" s="4" t="s">
        <v>3101</v>
      </c>
      <c r="C2053" s="4" t="n">
        <v>2016</v>
      </c>
      <c r="D2053" s="4" t="s">
        <v>1293</v>
      </c>
      <c r="E2053" s="25" t="str">
        <f aca="false">IF(J2053=1,"✓","")</f>
        <v>✓</v>
      </c>
      <c r="F2053" s="4" t="n">
        <v>2</v>
      </c>
      <c r="G2053" s="4" t="n">
        <v>1</v>
      </c>
      <c r="H2053" s="4" t="s">
        <v>213</v>
      </c>
      <c r="I2053" s="4" t="s">
        <v>52</v>
      </c>
      <c r="J2053" s="4" t="n">
        <f aca="false">INDEX('Master List'!$G$2:$G$2594,K2053)</f>
        <v>1</v>
      </c>
      <c r="K2053" s="4" t="n">
        <v>1276</v>
      </c>
    </row>
    <row r="2054" customFormat="false" ht="15" hidden="false" customHeight="false" outlineLevel="0" collapsed="false">
      <c r="A2054" s="4" t="n">
        <v>2053</v>
      </c>
      <c r="B2054" s="4" t="s">
        <v>3102</v>
      </c>
      <c r="C2054" s="4" t="n">
        <v>2016</v>
      </c>
      <c r="D2054" s="4" t="s">
        <v>3103</v>
      </c>
      <c r="E2054" s="25" t="str">
        <f aca="false">IF(J2054=1,"✓","")</f>
        <v/>
      </c>
      <c r="F2054" s="4" t="n">
        <v>2</v>
      </c>
      <c r="G2054" s="4" t="n">
        <v>1</v>
      </c>
      <c r="H2054" s="4" t="s">
        <v>213</v>
      </c>
      <c r="I2054" s="4" t="s">
        <v>52</v>
      </c>
      <c r="J2054" s="4" t="n">
        <f aca="false">INDEX('Master List'!$G$2:$G$2594,K2054)</f>
        <v>0</v>
      </c>
      <c r="K2054" s="4" t="n">
        <v>1272</v>
      </c>
    </row>
    <row r="2055" customFormat="false" ht="15" hidden="false" customHeight="false" outlineLevel="0" collapsed="false">
      <c r="A2055" s="4" t="n">
        <v>2054</v>
      </c>
      <c r="B2055" s="4" t="s">
        <v>3104</v>
      </c>
      <c r="C2055" s="4" t="n">
        <v>2016</v>
      </c>
      <c r="D2055" s="4" t="s">
        <v>3105</v>
      </c>
      <c r="E2055" s="25" t="str">
        <f aca="false">IF(J2055=1,"✓","")</f>
        <v/>
      </c>
      <c r="F2055" s="4" t="n">
        <v>2</v>
      </c>
      <c r="G2055" s="4" t="n">
        <v>1</v>
      </c>
      <c r="H2055" s="4" t="s">
        <v>213</v>
      </c>
      <c r="I2055" s="4" t="s">
        <v>52</v>
      </c>
      <c r="J2055" s="4" t="n">
        <f aca="false">INDEX('Master List'!$G$2:$G$2594,K2055)</f>
        <v>0</v>
      </c>
      <c r="K2055" s="4" t="n">
        <v>385</v>
      </c>
    </row>
    <row r="2056" customFormat="false" ht="15" hidden="false" customHeight="false" outlineLevel="0" collapsed="false">
      <c r="A2056" s="4" t="n">
        <v>2055</v>
      </c>
      <c r="B2056" s="4" t="s">
        <v>3106</v>
      </c>
      <c r="C2056" s="4" t="n">
        <v>2016</v>
      </c>
      <c r="D2056" s="4" t="s">
        <v>3107</v>
      </c>
      <c r="E2056" s="25" t="str">
        <f aca="false">IF(J2056=1,"✓","")</f>
        <v/>
      </c>
      <c r="F2056" s="4" t="n">
        <v>2</v>
      </c>
      <c r="G2056" s="4" t="n">
        <v>1</v>
      </c>
      <c r="H2056" s="4" t="s">
        <v>213</v>
      </c>
      <c r="I2056" s="4" t="s">
        <v>52</v>
      </c>
      <c r="J2056" s="4" t="n">
        <f aca="false">INDEX('Master List'!$G$2:$G$2594,K2056)</f>
        <v>0</v>
      </c>
      <c r="K2056" s="4" t="n">
        <v>1099</v>
      </c>
    </row>
    <row r="2057" customFormat="false" ht="15" hidden="false" customHeight="false" outlineLevel="0" collapsed="false">
      <c r="A2057" s="4" t="n">
        <v>2056</v>
      </c>
      <c r="B2057" s="4" t="s">
        <v>3108</v>
      </c>
      <c r="C2057" s="4" t="n">
        <v>2016</v>
      </c>
      <c r="D2057" s="4" t="s">
        <v>867</v>
      </c>
      <c r="E2057" s="25" t="str">
        <f aca="false">IF(J2057=1,"✓","")</f>
        <v/>
      </c>
      <c r="F2057" s="4" t="n">
        <v>2</v>
      </c>
      <c r="G2057" s="4" t="n">
        <v>1</v>
      </c>
      <c r="H2057" s="4" t="s">
        <v>213</v>
      </c>
      <c r="I2057" s="4" t="s">
        <v>53</v>
      </c>
      <c r="J2057" s="4" t="n">
        <f aca="false">INDEX('Master List'!$G$2:$G$2594,K2057)</f>
        <v>0</v>
      </c>
      <c r="K2057" s="4" t="n">
        <v>423</v>
      </c>
    </row>
    <row r="2058" customFormat="false" ht="15" hidden="false" customHeight="false" outlineLevel="0" collapsed="false">
      <c r="A2058" s="4" t="n">
        <v>2057</v>
      </c>
      <c r="B2058" s="4" t="s">
        <v>3109</v>
      </c>
      <c r="C2058" s="4" t="n">
        <v>2016</v>
      </c>
      <c r="D2058" s="4" t="s">
        <v>1219</v>
      </c>
      <c r="E2058" s="25" t="str">
        <f aca="false">IF(J2058=1,"✓","")</f>
        <v/>
      </c>
      <c r="F2058" s="4" t="n">
        <v>2</v>
      </c>
      <c r="G2058" s="4" t="n">
        <v>1</v>
      </c>
      <c r="H2058" s="4" t="s">
        <v>213</v>
      </c>
      <c r="I2058" s="4" t="s">
        <v>54</v>
      </c>
      <c r="J2058" s="4" t="n">
        <f aca="false">INDEX('Master List'!$G$2:$G$2594,K2058)</f>
        <v>0</v>
      </c>
      <c r="K2058" s="4" t="n">
        <v>8</v>
      </c>
    </row>
    <row r="2059" customFormat="false" ht="15" hidden="false" customHeight="false" outlineLevel="0" collapsed="false">
      <c r="A2059" s="4" t="n">
        <v>2058</v>
      </c>
      <c r="B2059" s="4" t="s">
        <v>3110</v>
      </c>
      <c r="C2059" s="4" t="n">
        <v>2016</v>
      </c>
      <c r="D2059" s="4" t="s">
        <v>3111</v>
      </c>
      <c r="E2059" s="25" t="str">
        <f aca="false">IF(J2059=1,"✓","")</f>
        <v/>
      </c>
      <c r="F2059" s="4" t="n">
        <v>2</v>
      </c>
      <c r="G2059" s="4" t="n">
        <v>1</v>
      </c>
      <c r="H2059" s="4" t="s">
        <v>213</v>
      </c>
      <c r="I2059" s="4" t="s">
        <v>55</v>
      </c>
      <c r="J2059" s="4" t="n">
        <f aca="false">INDEX('Master List'!$G$2:$G$2594,K2059)</f>
        <v>0</v>
      </c>
      <c r="K2059" s="4" t="n">
        <v>1029</v>
      </c>
    </row>
    <row r="2060" customFormat="false" ht="15" hidden="false" customHeight="false" outlineLevel="0" collapsed="false">
      <c r="A2060" s="4" t="n">
        <v>2059</v>
      </c>
      <c r="B2060" s="4" t="s">
        <v>3112</v>
      </c>
      <c r="C2060" s="4" t="n">
        <v>2016</v>
      </c>
      <c r="D2060" s="4" t="s">
        <v>3113</v>
      </c>
      <c r="E2060" s="25" t="str">
        <f aca="false">IF(J2060=1,"✓","")</f>
        <v/>
      </c>
      <c r="F2060" s="4" t="n">
        <v>2</v>
      </c>
      <c r="G2060" s="4" t="n">
        <v>1</v>
      </c>
      <c r="H2060" s="4" t="s">
        <v>213</v>
      </c>
      <c r="I2060" s="4" t="s">
        <v>55</v>
      </c>
      <c r="J2060" s="4" t="n">
        <f aca="false">INDEX('Master List'!$G$2:$G$2594,K2060)</f>
        <v>0</v>
      </c>
      <c r="K2060" s="4" t="n">
        <v>1436</v>
      </c>
    </row>
    <row r="2061" customFormat="false" ht="15" hidden="false" customHeight="false" outlineLevel="0" collapsed="false">
      <c r="A2061" s="4" t="n">
        <v>2060</v>
      </c>
      <c r="B2061" s="4" t="s">
        <v>3114</v>
      </c>
      <c r="C2061" s="4" t="n">
        <v>2017</v>
      </c>
      <c r="D2061" s="4" t="s">
        <v>3115</v>
      </c>
      <c r="E2061" s="25" t="str">
        <f aca="false">IF(J2061=1,"✓","")</f>
        <v>✓</v>
      </c>
      <c r="F2061" s="4" t="n">
        <v>2</v>
      </c>
      <c r="G2061" s="4" t="n">
        <v>1</v>
      </c>
      <c r="H2061" s="4" t="s">
        <v>213</v>
      </c>
      <c r="I2061" s="4" t="s">
        <v>51</v>
      </c>
      <c r="J2061" s="4" t="n">
        <f aca="false">INDEX('Master List'!$G$2:$G$2594,K2061)</f>
        <v>1</v>
      </c>
      <c r="K2061" s="4" t="n">
        <v>382</v>
      </c>
    </row>
    <row r="2062" customFormat="false" ht="15" hidden="false" customHeight="false" outlineLevel="0" collapsed="false">
      <c r="A2062" s="4" t="n">
        <v>2061</v>
      </c>
      <c r="B2062" s="4" t="s">
        <v>3116</v>
      </c>
      <c r="C2062" s="4" t="n">
        <v>2017</v>
      </c>
      <c r="D2062" s="4" t="s">
        <v>1579</v>
      </c>
      <c r="E2062" s="25" t="str">
        <f aca="false">IF(J2062=1,"✓","")</f>
        <v/>
      </c>
      <c r="F2062" s="4" t="n">
        <v>2</v>
      </c>
      <c r="G2062" s="4" t="n">
        <v>1</v>
      </c>
      <c r="H2062" s="4" t="s">
        <v>213</v>
      </c>
      <c r="I2062" s="4" t="s">
        <v>51</v>
      </c>
      <c r="J2062" s="4" t="n">
        <f aca="false">INDEX('Master List'!$G$2:$G$2594,K2062)</f>
        <v>0</v>
      </c>
      <c r="K2062" s="4" t="n">
        <v>2582</v>
      </c>
    </row>
    <row r="2063" customFormat="false" ht="15" hidden="false" customHeight="false" outlineLevel="0" collapsed="false">
      <c r="A2063" s="4" t="n">
        <v>2062</v>
      </c>
      <c r="B2063" s="4" t="s">
        <v>3117</v>
      </c>
      <c r="C2063" s="4" t="n">
        <v>2017</v>
      </c>
      <c r="D2063" s="4" t="s">
        <v>1258</v>
      </c>
      <c r="E2063" s="25" t="str">
        <f aca="false">IF(J2063=1,"✓","")</f>
        <v/>
      </c>
      <c r="F2063" s="4" t="n">
        <v>2</v>
      </c>
      <c r="G2063" s="4" t="n">
        <v>1</v>
      </c>
      <c r="H2063" s="4" t="s">
        <v>213</v>
      </c>
      <c r="I2063" s="4" t="s">
        <v>52</v>
      </c>
      <c r="J2063" s="4" t="n">
        <f aca="false">INDEX('Master List'!$G$2:$G$2594,K2063)</f>
        <v>0</v>
      </c>
      <c r="K2063" s="4" t="n">
        <v>1903</v>
      </c>
    </row>
    <row r="2064" customFormat="false" ht="15" hidden="false" customHeight="false" outlineLevel="0" collapsed="false">
      <c r="A2064" s="4" t="n">
        <v>2063</v>
      </c>
      <c r="B2064" s="4" t="s">
        <v>3118</v>
      </c>
      <c r="C2064" s="4" t="n">
        <v>2017</v>
      </c>
      <c r="D2064" s="4" t="s">
        <v>3119</v>
      </c>
      <c r="E2064" s="25" t="str">
        <f aca="false">IF(J2064=1,"✓","")</f>
        <v/>
      </c>
      <c r="F2064" s="4" t="n">
        <v>2</v>
      </c>
      <c r="G2064" s="4" t="n">
        <v>1</v>
      </c>
      <c r="H2064" s="4" t="s">
        <v>213</v>
      </c>
      <c r="I2064" s="4" t="s">
        <v>52</v>
      </c>
      <c r="J2064" s="4" t="n">
        <f aca="false">INDEX('Master List'!$G$2:$G$2594,K2064)</f>
        <v>0</v>
      </c>
      <c r="K2064" s="4" t="n">
        <v>1677</v>
      </c>
    </row>
    <row r="2065" customFormat="false" ht="15" hidden="false" customHeight="false" outlineLevel="0" collapsed="false">
      <c r="A2065" s="4" t="n">
        <v>2064</v>
      </c>
      <c r="B2065" s="4" t="s">
        <v>3120</v>
      </c>
      <c r="C2065" s="4" t="n">
        <v>2017</v>
      </c>
      <c r="D2065" s="4" t="s">
        <v>3121</v>
      </c>
      <c r="E2065" s="25" t="str">
        <f aca="false">IF(J2065=1,"✓","")</f>
        <v/>
      </c>
      <c r="F2065" s="4" t="n">
        <v>2</v>
      </c>
      <c r="G2065" s="4" t="n">
        <v>1</v>
      </c>
      <c r="H2065" s="4" t="s">
        <v>213</v>
      </c>
      <c r="I2065" s="4" t="s">
        <v>52</v>
      </c>
      <c r="J2065" s="4" t="n">
        <f aca="false">INDEX('Master List'!$G$2:$G$2594,K2065)</f>
        <v>0</v>
      </c>
      <c r="K2065" s="4" t="n">
        <v>1174</v>
      </c>
    </row>
    <row r="2066" customFormat="false" ht="15" hidden="false" customHeight="false" outlineLevel="0" collapsed="false">
      <c r="A2066" s="4" t="n">
        <v>2065</v>
      </c>
      <c r="B2066" s="4" t="s">
        <v>3122</v>
      </c>
      <c r="C2066" s="4" t="n">
        <v>2017</v>
      </c>
      <c r="D2066" s="4" t="s">
        <v>3123</v>
      </c>
      <c r="E2066" s="25" t="str">
        <f aca="false">IF(J2066=1,"✓","")</f>
        <v/>
      </c>
      <c r="F2066" s="4" t="n">
        <v>2</v>
      </c>
      <c r="G2066" s="4" t="n">
        <v>1</v>
      </c>
      <c r="H2066" s="4" t="s">
        <v>213</v>
      </c>
      <c r="I2066" s="4" t="s">
        <v>52</v>
      </c>
      <c r="J2066" s="4" t="n">
        <f aca="false">INDEX('Master List'!$G$2:$G$2594,K2066)</f>
        <v>0</v>
      </c>
      <c r="K2066" s="4" t="n">
        <v>730</v>
      </c>
    </row>
    <row r="2067" customFormat="false" ht="15" hidden="false" customHeight="false" outlineLevel="0" collapsed="false">
      <c r="A2067" s="4" t="n">
        <v>2066</v>
      </c>
      <c r="B2067" s="4" t="s">
        <v>3124</v>
      </c>
      <c r="C2067" s="4" t="n">
        <v>2017</v>
      </c>
      <c r="D2067" s="4" t="s">
        <v>2923</v>
      </c>
      <c r="E2067" s="25" t="str">
        <f aca="false">IF(J2067=1,"✓","")</f>
        <v>✓</v>
      </c>
      <c r="F2067" s="4" t="n">
        <v>2</v>
      </c>
      <c r="G2067" s="4" t="n">
        <v>1</v>
      </c>
      <c r="H2067" s="4" t="s">
        <v>213</v>
      </c>
      <c r="I2067" s="4" t="s">
        <v>52</v>
      </c>
      <c r="J2067" s="4" t="n">
        <f aca="false">INDEX('Master List'!$G$2:$G$2594,K2067)</f>
        <v>1</v>
      </c>
      <c r="K2067" s="4" t="n">
        <v>594</v>
      </c>
    </row>
    <row r="2068" customFormat="false" ht="15" hidden="false" customHeight="false" outlineLevel="0" collapsed="false">
      <c r="A2068" s="4" t="n">
        <v>2067</v>
      </c>
      <c r="B2068" s="4" t="s">
        <v>3125</v>
      </c>
      <c r="C2068" s="4" t="n">
        <v>2017</v>
      </c>
      <c r="D2068" s="4" t="s">
        <v>3126</v>
      </c>
      <c r="E2068" s="25" t="str">
        <f aca="false">IF(J2068=1,"✓","")</f>
        <v/>
      </c>
      <c r="F2068" s="4" t="n">
        <v>2</v>
      </c>
      <c r="G2068" s="4" t="n">
        <v>1</v>
      </c>
      <c r="H2068" s="4" t="s">
        <v>213</v>
      </c>
      <c r="I2068" s="4" t="s">
        <v>53</v>
      </c>
      <c r="J2068" s="4" t="n">
        <f aca="false">INDEX('Master List'!$G$2:$G$2594,K2068)</f>
        <v>0</v>
      </c>
      <c r="K2068" s="4" t="n">
        <v>774</v>
      </c>
    </row>
    <row r="2069" customFormat="false" ht="15" hidden="false" customHeight="false" outlineLevel="0" collapsed="false">
      <c r="A2069" s="4" t="n">
        <v>2068</v>
      </c>
      <c r="B2069" s="4" t="s">
        <v>3127</v>
      </c>
      <c r="C2069" s="4" t="n">
        <v>2017</v>
      </c>
      <c r="D2069" s="4" t="s">
        <v>874</v>
      </c>
      <c r="E2069" s="25" t="str">
        <f aca="false">IF(J2069=1,"✓","")</f>
        <v>✓</v>
      </c>
      <c r="F2069" s="4" t="n">
        <v>2</v>
      </c>
      <c r="G2069" s="4" t="n">
        <v>1</v>
      </c>
      <c r="H2069" s="4" t="s">
        <v>213</v>
      </c>
      <c r="I2069" s="4" t="s">
        <v>53</v>
      </c>
      <c r="J2069" s="4" t="n">
        <f aca="false">INDEX('Master List'!$G$2:$G$2594,K2069)</f>
        <v>1</v>
      </c>
      <c r="K2069" s="4" t="n">
        <v>1254</v>
      </c>
    </row>
    <row r="2070" customFormat="false" ht="15" hidden="false" customHeight="false" outlineLevel="0" collapsed="false">
      <c r="A2070" s="4" t="n">
        <v>2069</v>
      </c>
      <c r="B2070" s="4" t="s">
        <v>3128</v>
      </c>
      <c r="C2070" s="4" t="n">
        <v>2017</v>
      </c>
      <c r="D2070" s="4" t="s">
        <v>1628</v>
      </c>
      <c r="E2070" s="25" t="str">
        <f aca="false">IF(J2070=1,"✓","")</f>
        <v/>
      </c>
      <c r="F2070" s="4" t="n">
        <v>2</v>
      </c>
      <c r="G2070" s="4" t="n">
        <v>1</v>
      </c>
      <c r="H2070" s="4" t="s">
        <v>213</v>
      </c>
      <c r="I2070" s="4" t="s">
        <v>53</v>
      </c>
      <c r="J2070" s="4" t="n">
        <f aca="false">INDEX('Master List'!$G$2:$G$2594,K2070)</f>
        <v>0</v>
      </c>
      <c r="K2070" s="4" t="n">
        <v>571</v>
      </c>
    </row>
    <row r="2071" customFormat="false" ht="15" hidden="false" customHeight="false" outlineLevel="0" collapsed="false">
      <c r="A2071" s="4" t="n">
        <v>2070</v>
      </c>
      <c r="B2071" s="4" t="s">
        <v>3129</v>
      </c>
      <c r="C2071" s="4" t="n">
        <v>2017</v>
      </c>
      <c r="D2071" s="4" t="s">
        <v>2934</v>
      </c>
      <c r="E2071" s="25" t="str">
        <f aca="false">IF(J2071=1,"✓","")</f>
        <v/>
      </c>
      <c r="F2071" s="4" t="n">
        <v>2</v>
      </c>
      <c r="G2071" s="4" t="n">
        <v>1</v>
      </c>
      <c r="H2071" s="4" t="s">
        <v>213</v>
      </c>
      <c r="I2071" s="4" t="s">
        <v>54</v>
      </c>
      <c r="J2071" s="4" t="n">
        <f aca="false">INDEX('Master List'!$G$2:$G$2594,K2071)</f>
        <v>0</v>
      </c>
      <c r="K2071" s="4" t="n">
        <v>2212</v>
      </c>
    </row>
    <row r="2072" customFormat="false" ht="15" hidden="false" customHeight="false" outlineLevel="0" collapsed="false">
      <c r="A2072" s="4" t="n">
        <v>2071</v>
      </c>
      <c r="B2072" s="4" t="s">
        <v>3130</v>
      </c>
      <c r="C2072" s="4" t="n">
        <v>2017</v>
      </c>
      <c r="D2072" s="4" t="s">
        <v>3131</v>
      </c>
      <c r="E2072" s="25" t="str">
        <f aca="false">IF(J2072=1,"✓","")</f>
        <v>✓</v>
      </c>
      <c r="F2072" s="4" t="n">
        <v>2</v>
      </c>
      <c r="G2072" s="4" t="n">
        <v>1</v>
      </c>
      <c r="H2072" s="4" t="s">
        <v>213</v>
      </c>
      <c r="I2072" s="4" t="s">
        <v>54</v>
      </c>
      <c r="J2072" s="4" t="n">
        <f aca="false">INDEX('Master List'!$G$2:$G$2594,K2072)</f>
        <v>1</v>
      </c>
      <c r="K2072" s="4" t="n">
        <v>635</v>
      </c>
    </row>
    <row r="2073" customFormat="false" ht="15" hidden="false" customHeight="false" outlineLevel="0" collapsed="false">
      <c r="A2073" s="4" t="n">
        <v>2072</v>
      </c>
      <c r="B2073" s="4" t="s">
        <v>3132</v>
      </c>
      <c r="C2073" s="4" t="n">
        <v>2017</v>
      </c>
      <c r="D2073" s="4" t="s">
        <v>865</v>
      </c>
      <c r="E2073" s="25" t="str">
        <f aca="false">IF(J2073=1,"✓","")</f>
        <v/>
      </c>
      <c r="F2073" s="4" t="n">
        <v>2</v>
      </c>
      <c r="G2073" s="4" t="n">
        <v>1</v>
      </c>
      <c r="H2073" s="4" t="s">
        <v>213</v>
      </c>
      <c r="I2073" s="4" t="s">
        <v>55</v>
      </c>
      <c r="J2073" s="4" t="n">
        <f aca="false">INDEX('Master List'!$G$2:$G$2594,K2073)</f>
        <v>0</v>
      </c>
      <c r="K2073" s="4" t="n">
        <v>617</v>
      </c>
    </row>
    <row r="2074" customFormat="false" ht="15" hidden="false" customHeight="false" outlineLevel="0" collapsed="false">
      <c r="A2074" s="4" t="n">
        <v>2073</v>
      </c>
      <c r="B2074" s="4" t="s">
        <v>3133</v>
      </c>
      <c r="C2074" s="4" t="n">
        <v>2018</v>
      </c>
      <c r="D2074" s="4" t="s">
        <v>3134</v>
      </c>
      <c r="E2074" s="25" t="str">
        <f aca="false">IF(J2074=1,"✓","")</f>
        <v/>
      </c>
      <c r="F2074" s="4" t="n">
        <v>2</v>
      </c>
      <c r="G2074" s="4" t="n">
        <v>1</v>
      </c>
      <c r="H2074" s="4" t="s">
        <v>213</v>
      </c>
      <c r="I2074" s="4" t="s">
        <v>51</v>
      </c>
      <c r="J2074" s="4" t="n">
        <f aca="false">INDEX('Master List'!$G$2:$G$2594,K2074)</f>
        <v>0</v>
      </c>
      <c r="K2074" s="4" t="n">
        <v>987</v>
      </c>
    </row>
    <row r="2075" customFormat="false" ht="15" hidden="false" customHeight="false" outlineLevel="0" collapsed="false">
      <c r="A2075" s="4" t="n">
        <v>2074</v>
      </c>
      <c r="B2075" s="4" t="s">
        <v>3135</v>
      </c>
      <c r="C2075" s="4" t="n">
        <v>2018</v>
      </c>
      <c r="D2075" s="4" t="s">
        <v>1603</v>
      </c>
      <c r="E2075" s="25" t="str">
        <f aca="false">IF(J2075=1,"✓","")</f>
        <v/>
      </c>
      <c r="F2075" s="4" t="n">
        <v>2</v>
      </c>
      <c r="G2075" s="4" t="n">
        <v>1</v>
      </c>
      <c r="H2075" s="4" t="s">
        <v>213</v>
      </c>
      <c r="I2075" s="4" t="s">
        <v>51</v>
      </c>
      <c r="J2075" s="4" t="n">
        <f aca="false">INDEX('Master List'!$G$2:$G$2594,K2075)</f>
        <v>0</v>
      </c>
      <c r="K2075" s="4" t="n">
        <v>652</v>
      </c>
    </row>
    <row r="2076" customFormat="false" ht="15" hidden="false" customHeight="false" outlineLevel="0" collapsed="false">
      <c r="A2076" s="4" t="n">
        <v>2075</v>
      </c>
      <c r="B2076" s="4" t="s">
        <v>3136</v>
      </c>
      <c r="C2076" s="4" t="n">
        <v>2018</v>
      </c>
      <c r="D2076" s="4" t="s">
        <v>2991</v>
      </c>
      <c r="E2076" s="25" t="str">
        <f aca="false">IF(J2076=1,"✓","")</f>
        <v/>
      </c>
      <c r="F2076" s="4" t="n">
        <v>2</v>
      </c>
      <c r="G2076" s="4" t="n">
        <v>1</v>
      </c>
      <c r="H2076" s="4" t="s">
        <v>213</v>
      </c>
      <c r="I2076" s="4" t="s">
        <v>51</v>
      </c>
      <c r="J2076" s="4" t="n">
        <f aca="false">INDEX('Master List'!$G$2:$G$2594,K2076)</f>
        <v>0</v>
      </c>
      <c r="K2076" s="4" t="n">
        <v>2361</v>
      </c>
    </row>
    <row r="2077" customFormat="false" ht="15" hidden="false" customHeight="false" outlineLevel="0" collapsed="false">
      <c r="A2077" s="4" t="n">
        <v>2076</v>
      </c>
      <c r="B2077" s="4" t="s">
        <v>3137</v>
      </c>
      <c r="C2077" s="4" t="n">
        <v>2018</v>
      </c>
      <c r="D2077" s="4" t="s">
        <v>1622</v>
      </c>
      <c r="E2077" s="25" t="str">
        <f aca="false">IF(J2077=1,"✓","")</f>
        <v/>
      </c>
      <c r="F2077" s="4" t="n">
        <v>2</v>
      </c>
      <c r="G2077" s="4" t="n">
        <v>1</v>
      </c>
      <c r="H2077" s="4" t="s">
        <v>213</v>
      </c>
      <c r="I2077" s="4" t="s">
        <v>51</v>
      </c>
      <c r="J2077" s="4" t="n">
        <f aca="false">INDEX('Master List'!$G$2:$G$2594,K2077)</f>
        <v>0</v>
      </c>
      <c r="K2077" s="4" t="n">
        <v>494</v>
      </c>
    </row>
    <row r="2078" customFormat="false" ht="15" hidden="false" customHeight="false" outlineLevel="0" collapsed="false">
      <c r="A2078" s="4" t="n">
        <v>2077</v>
      </c>
      <c r="B2078" s="4" t="s">
        <v>3138</v>
      </c>
      <c r="C2078" s="4" t="n">
        <v>2018</v>
      </c>
      <c r="D2078" s="4" t="s">
        <v>3139</v>
      </c>
      <c r="E2078" s="25" t="str">
        <f aca="false">IF(J2078=1,"✓","")</f>
        <v/>
      </c>
      <c r="F2078" s="4" t="n">
        <v>2</v>
      </c>
      <c r="G2078" s="4" t="n">
        <v>1</v>
      </c>
      <c r="H2078" s="4" t="s">
        <v>213</v>
      </c>
      <c r="I2078" s="4" t="s">
        <v>51</v>
      </c>
      <c r="J2078" s="4" t="n">
        <f aca="false">INDEX('Master List'!$G$2:$G$2594,K2078)</f>
        <v>0</v>
      </c>
      <c r="K2078" s="4" t="n">
        <v>391</v>
      </c>
    </row>
    <row r="2079" customFormat="false" ht="15" hidden="false" customHeight="false" outlineLevel="0" collapsed="false">
      <c r="A2079" s="4" t="n">
        <v>2078</v>
      </c>
      <c r="B2079" s="4" t="s">
        <v>3140</v>
      </c>
      <c r="C2079" s="4" t="n">
        <v>2018</v>
      </c>
      <c r="D2079" s="4" t="s">
        <v>1613</v>
      </c>
      <c r="E2079" s="25" t="str">
        <f aca="false">IF(J2079=1,"✓","")</f>
        <v/>
      </c>
      <c r="F2079" s="4" t="n">
        <v>2</v>
      </c>
      <c r="G2079" s="4" t="n">
        <v>1</v>
      </c>
      <c r="H2079" s="4" t="s">
        <v>213</v>
      </c>
      <c r="I2079" s="4" t="s">
        <v>52</v>
      </c>
      <c r="J2079" s="4" t="n">
        <f aca="false">INDEX('Master List'!$G$2:$G$2594,K2079)</f>
        <v>0</v>
      </c>
      <c r="K2079" s="4" t="n">
        <v>124</v>
      </c>
    </row>
    <row r="2080" customFormat="false" ht="15" hidden="false" customHeight="false" outlineLevel="0" collapsed="false">
      <c r="A2080" s="4" t="n">
        <v>2079</v>
      </c>
      <c r="B2080" s="4" t="s">
        <v>3141</v>
      </c>
      <c r="C2080" s="4" t="n">
        <v>2018</v>
      </c>
      <c r="D2080" s="4" t="s">
        <v>1560</v>
      </c>
      <c r="E2080" s="25" t="str">
        <f aca="false">IF(J2080=1,"✓","")</f>
        <v>✓</v>
      </c>
      <c r="F2080" s="4" t="n">
        <v>2</v>
      </c>
      <c r="G2080" s="4" t="n">
        <v>1</v>
      </c>
      <c r="H2080" s="4" t="s">
        <v>213</v>
      </c>
      <c r="I2080" s="4" t="s">
        <v>52</v>
      </c>
      <c r="J2080" s="4" t="n">
        <f aca="false">INDEX('Master List'!$G$2:$G$2594,K2080)</f>
        <v>1</v>
      </c>
      <c r="K2080" s="4" t="n">
        <v>2272</v>
      </c>
    </row>
    <row r="2081" customFormat="false" ht="15" hidden="false" customHeight="false" outlineLevel="0" collapsed="false">
      <c r="A2081" s="4" t="n">
        <v>2080</v>
      </c>
      <c r="B2081" s="4" t="s">
        <v>3142</v>
      </c>
      <c r="C2081" s="4" t="n">
        <v>2018</v>
      </c>
      <c r="D2081" s="4" t="s">
        <v>3143</v>
      </c>
      <c r="E2081" s="25" t="str">
        <f aca="false">IF(J2081=1,"✓","")</f>
        <v/>
      </c>
      <c r="F2081" s="4" t="n">
        <v>2</v>
      </c>
      <c r="G2081" s="4" t="n">
        <v>1</v>
      </c>
      <c r="H2081" s="4" t="s">
        <v>213</v>
      </c>
      <c r="I2081" s="4" t="s">
        <v>52</v>
      </c>
      <c r="J2081" s="4" t="n">
        <f aca="false">INDEX('Master List'!$G$2:$G$2594,K2081)</f>
        <v>0</v>
      </c>
      <c r="K2081" s="4" t="n">
        <v>528</v>
      </c>
    </row>
    <row r="2082" customFormat="false" ht="15" hidden="false" customHeight="false" outlineLevel="0" collapsed="false">
      <c r="A2082" s="4" t="n">
        <v>2081</v>
      </c>
      <c r="B2082" s="4" t="s">
        <v>3144</v>
      </c>
      <c r="C2082" s="4" t="n">
        <v>2018</v>
      </c>
      <c r="D2082" s="4" t="s">
        <v>3145</v>
      </c>
      <c r="E2082" s="25" t="str">
        <f aca="false">IF(J2082=1,"✓","")</f>
        <v/>
      </c>
      <c r="F2082" s="4" t="n">
        <v>2</v>
      </c>
      <c r="G2082" s="4" t="n">
        <v>1</v>
      </c>
      <c r="H2082" s="4" t="s">
        <v>213</v>
      </c>
      <c r="I2082" s="4" t="s">
        <v>52</v>
      </c>
      <c r="J2082" s="4" t="n">
        <f aca="false">INDEX('Master List'!$G$2:$G$2594,K2082)</f>
        <v>0</v>
      </c>
      <c r="K2082" s="4" t="n">
        <v>1515</v>
      </c>
    </row>
    <row r="2083" customFormat="false" ht="15" hidden="false" customHeight="false" outlineLevel="0" collapsed="false">
      <c r="A2083" s="4" t="n">
        <v>2082</v>
      </c>
      <c r="B2083" s="4" t="s">
        <v>3146</v>
      </c>
      <c r="C2083" s="4" t="n">
        <v>2018</v>
      </c>
      <c r="D2083" s="4" t="s">
        <v>3147</v>
      </c>
      <c r="E2083" s="25" t="str">
        <f aca="false">IF(J2083=1,"✓","")</f>
        <v/>
      </c>
      <c r="F2083" s="4" t="n">
        <v>2</v>
      </c>
      <c r="G2083" s="4" t="n">
        <v>1</v>
      </c>
      <c r="H2083" s="4" t="s">
        <v>213</v>
      </c>
      <c r="I2083" s="4" t="s">
        <v>52</v>
      </c>
      <c r="J2083" s="4" t="n">
        <f aca="false">INDEX('Master List'!$G$2:$G$2594,K2083)</f>
        <v>0</v>
      </c>
      <c r="K2083" s="4" t="n">
        <v>2132</v>
      </c>
    </row>
    <row r="2084" customFormat="false" ht="15" hidden="false" customHeight="false" outlineLevel="0" collapsed="false">
      <c r="A2084" s="4" t="n">
        <v>2083</v>
      </c>
      <c r="B2084" s="4" t="s">
        <v>3148</v>
      </c>
      <c r="C2084" s="4" t="n">
        <v>2018</v>
      </c>
      <c r="D2084" s="4" t="s">
        <v>3149</v>
      </c>
      <c r="E2084" s="25" t="str">
        <f aca="false">IF(J2084=1,"✓","")</f>
        <v/>
      </c>
      <c r="F2084" s="4" t="n">
        <v>2</v>
      </c>
      <c r="G2084" s="4" t="n">
        <v>1</v>
      </c>
      <c r="H2084" s="4" t="s">
        <v>213</v>
      </c>
      <c r="I2084" s="4" t="s">
        <v>52</v>
      </c>
      <c r="J2084" s="4" t="n">
        <f aca="false">INDEX('Master List'!$G$2:$G$2594,K2084)</f>
        <v>0</v>
      </c>
      <c r="K2084" s="4" t="n">
        <v>2549</v>
      </c>
    </row>
    <row r="2085" customFormat="false" ht="15" hidden="false" customHeight="false" outlineLevel="0" collapsed="false">
      <c r="A2085" s="4" t="n">
        <v>2084</v>
      </c>
      <c r="B2085" s="4" t="s">
        <v>3150</v>
      </c>
      <c r="C2085" s="4" t="n">
        <v>2018</v>
      </c>
      <c r="D2085" s="4" t="s">
        <v>3151</v>
      </c>
      <c r="E2085" s="25" t="str">
        <f aca="false">IF(J2085=1,"✓","")</f>
        <v/>
      </c>
      <c r="F2085" s="4" t="n">
        <v>2</v>
      </c>
      <c r="G2085" s="4" t="n">
        <v>1</v>
      </c>
      <c r="H2085" s="4" t="s">
        <v>213</v>
      </c>
      <c r="I2085" s="4" t="s">
        <v>52</v>
      </c>
      <c r="J2085" s="4" t="n">
        <f aca="false">INDEX('Master List'!$G$2:$G$2594,K2085)</f>
        <v>0</v>
      </c>
      <c r="K2085" s="4" t="n">
        <v>85</v>
      </c>
    </row>
    <row r="2086" customFormat="false" ht="15" hidden="false" customHeight="false" outlineLevel="0" collapsed="false">
      <c r="A2086" s="4" t="n">
        <v>2085</v>
      </c>
      <c r="B2086" s="4" t="s">
        <v>3152</v>
      </c>
      <c r="C2086" s="4" t="n">
        <v>2018</v>
      </c>
      <c r="D2086" s="4" t="s">
        <v>148</v>
      </c>
      <c r="E2086" s="25" t="str">
        <f aca="false">IF(J2086=1,"✓","")</f>
        <v/>
      </c>
      <c r="F2086" s="4" t="n">
        <v>2</v>
      </c>
      <c r="G2086" s="4" t="n">
        <v>1</v>
      </c>
      <c r="H2086" s="4" t="s">
        <v>213</v>
      </c>
      <c r="I2086" s="4" t="s">
        <v>53</v>
      </c>
      <c r="J2086" s="4" t="n">
        <f aca="false">INDEX('Master List'!$G$2:$G$2594,K2086)</f>
        <v>0</v>
      </c>
      <c r="K2086" s="4" t="n">
        <v>275</v>
      </c>
    </row>
    <row r="2087" customFormat="false" ht="15" hidden="false" customHeight="false" outlineLevel="0" collapsed="false">
      <c r="A2087" s="4" t="n">
        <v>2086</v>
      </c>
      <c r="B2087" s="4" t="s">
        <v>3153</v>
      </c>
      <c r="C2087" s="4" t="n">
        <v>2018</v>
      </c>
      <c r="D2087" s="4" t="s">
        <v>274</v>
      </c>
      <c r="E2087" s="25" t="str">
        <f aca="false">IF(J2087=1,"✓","")</f>
        <v>✓</v>
      </c>
      <c r="F2087" s="4" t="n">
        <v>2</v>
      </c>
      <c r="G2087" s="4" t="n">
        <v>1</v>
      </c>
      <c r="H2087" s="4" t="s">
        <v>213</v>
      </c>
      <c r="I2087" s="4" t="s">
        <v>53</v>
      </c>
      <c r="J2087" s="4" t="n">
        <f aca="false">INDEX('Master List'!$G$2:$G$2594,K2087)</f>
        <v>1</v>
      </c>
      <c r="K2087" s="4" t="n">
        <v>1171</v>
      </c>
    </row>
    <row r="2088" customFormat="false" ht="15" hidden="false" customHeight="false" outlineLevel="0" collapsed="false">
      <c r="A2088" s="4" t="n">
        <v>2087</v>
      </c>
      <c r="B2088" s="4" t="s">
        <v>3154</v>
      </c>
      <c r="C2088" s="4" t="n">
        <v>2018</v>
      </c>
      <c r="D2088" s="4" t="s">
        <v>874</v>
      </c>
      <c r="E2088" s="25" t="str">
        <f aca="false">IF(J2088=1,"✓","")</f>
        <v/>
      </c>
      <c r="F2088" s="4" t="n">
        <v>2</v>
      </c>
      <c r="G2088" s="4" t="n">
        <v>1</v>
      </c>
      <c r="H2088" s="4" t="s">
        <v>213</v>
      </c>
      <c r="I2088" s="4" t="s">
        <v>53</v>
      </c>
      <c r="J2088" s="4" t="n">
        <f aca="false">INDEX('Master List'!$G$2:$G$2594,K2088)</f>
        <v>0</v>
      </c>
      <c r="K2088" s="4" t="n">
        <v>795</v>
      </c>
    </row>
    <row r="2089" customFormat="false" ht="15" hidden="false" customHeight="false" outlineLevel="0" collapsed="false">
      <c r="A2089" s="4" t="n">
        <v>2088</v>
      </c>
      <c r="B2089" s="4" t="s">
        <v>3155</v>
      </c>
      <c r="C2089" s="4" t="n">
        <v>2018</v>
      </c>
      <c r="D2089" s="4" t="s">
        <v>856</v>
      </c>
      <c r="E2089" s="25" t="str">
        <f aca="false">IF(J2089=1,"✓","")</f>
        <v>✓</v>
      </c>
      <c r="F2089" s="4" t="n">
        <v>2</v>
      </c>
      <c r="G2089" s="4" t="n">
        <v>1</v>
      </c>
      <c r="H2089" s="4" t="s">
        <v>213</v>
      </c>
      <c r="I2089" s="4" t="s">
        <v>55</v>
      </c>
      <c r="J2089" s="4" t="n">
        <f aca="false">INDEX('Master List'!$G$2:$G$2594,K2089)</f>
        <v>1</v>
      </c>
      <c r="K2089" s="4" t="n">
        <v>2430</v>
      </c>
    </row>
    <row r="2090" customFormat="false" ht="15" hidden="false" customHeight="false" outlineLevel="0" collapsed="false">
      <c r="A2090" s="4" t="n">
        <v>2089</v>
      </c>
      <c r="B2090" s="4" t="s">
        <v>3156</v>
      </c>
      <c r="C2090" s="4" t="n">
        <v>2018</v>
      </c>
      <c r="D2090" s="4" t="s">
        <v>3157</v>
      </c>
      <c r="E2090" s="25" t="str">
        <f aca="false">IF(J2090=1,"✓","")</f>
        <v/>
      </c>
      <c r="F2090" s="4" t="n">
        <v>2</v>
      </c>
      <c r="G2090" s="4" t="n">
        <v>1</v>
      </c>
      <c r="H2090" s="4" t="s">
        <v>213</v>
      </c>
      <c r="I2090" s="4" t="s">
        <v>55</v>
      </c>
      <c r="J2090" s="4" t="n">
        <f aca="false">INDEX('Master List'!$G$2:$G$2594,K2090)</f>
        <v>0</v>
      </c>
      <c r="K2090" s="4" t="n">
        <v>714</v>
      </c>
    </row>
    <row r="2091" customFormat="false" ht="15" hidden="false" customHeight="false" outlineLevel="0" collapsed="false">
      <c r="A2091" s="4" t="n">
        <v>2090</v>
      </c>
      <c r="B2091" s="4" t="s">
        <v>3158</v>
      </c>
      <c r="C2091" s="4" t="n">
        <v>2018</v>
      </c>
      <c r="D2091" s="4" t="s">
        <v>3159</v>
      </c>
      <c r="E2091" s="25" t="str">
        <f aca="false">IF(J2091=1,"✓","")</f>
        <v/>
      </c>
      <c r="F2091" s="4" t="n">
        <v>2</v>
      </c>
      <c r="G2091" s="4" t="n">
        <v>1</v>
      </c>
      <c r="H2091" s="4" t="s">
        <v>213</v>
      </c>
      <c r="I2091" s="4" t="s">
        <v>56</v>
      </c>
      <c r="J2091" s="4" t="n">
        <f aca="false">INDEX('Master List'!$G$2:$G$2594,K2091)</f>
        <v>0</v>
      </c>
      <c r="K2091" s="4" t="n">
        <v>972</v>
      </c>
    </row>
    <row r="2092" customFormat="false" ht="15" hidden="false" customHeight="false" outlineLevel="0" collapsed="false">
      <c r="A2092" s="4" t="n">
        <v>2091</v>
      </c>
      <c r="B2092" s="4" t="s">
        <v>3160</v>
      </c>
      <c r="C2092" s="4" t="n">
        <v>2018</v>
      </c>
      <c r="D2092" s="4" t="s">
        <v>3161</v>
      </c>
      <c r="E2092" s="25" t="str">
        <f aca="false">IF(J2092=1,"✓","")</f>
        <v/>
      </c>
      <c r="F2092" s="4" t="n">
        <v>2</v>
      </c>
      <c r="G2092" s="4" t="n">
        <v>1</v>
      </c>
      <c r="H2092" s="4" t="s">
        <v>213</v>
      </c>
      <c r="I2092" s="4" t="s">
        <v>56</v>
      </c>
      <c r="J2092" s="4" t="n">
        <f aca="false">INDEX('Master List'!$G$2:$G$2594,K2092)</f>
        <v>0</v>
      </c>
      <c r="K2092" s="4" t="n">
        <v>849</v>
      </c>
    </row>
    <row r="2093" customFormat="false" ht="15" hidden="false" customHeight="false" outlineLevel="0" collapsed="false">
      <c r="A2093" s="4" t="n">
        <v>2092</v>
      </c>
      <c r="B2093" s="4" t="s">
        <v>3162</v>
      </c>
      <c r="C2093" s="4" t="n">
        <v>2018</v>
      </c>
      <c r="D2093" s="4" t="s">
        <v>3163</v>
      </c>
      <c r="E2093" s="25" t="str">
        <f aca="false">IF(J2093=1,"✓","")</f>
        <v/>
      </c>
      <c r="F2093" s="4" t="n">
        <v>2</v>
      </c>
      <c r="G2093" s="4" t="n">
        <v>1</v>
      </c>
      <c r="H2093" s="4" t="s">
        <v>213</v>
      </c>
      <c r="I2093" s="4" t="s">
        <v>56</v>
      </c>
      <c r="J2093" s="4" t="n">
        <f aca="false">INDEX('Master List'!$G$2:$G$2594,K2093)</f>
        <v>0</v>
      </c>
      <c r="K2093" s="4" t="n">
        <v>1507</v>
      </c>
    </row>
    <row r="2094" customFormat="false" ht="15" hidden="false" customHeight="false" outlineLevel="0" collapsed="false">
      <c r="A2094" s="4" t="n">
        <v>2093</v>
      </c>
      <c r="B2094" s="4" t="s">
        <v>3164</v>
      </c>
      <c r="C2094" s="4" t="n">
        <v>2018</v>
      </c>
      <c r="D2094" s="4" t="s">
        <v>3165</v>
      </c>
      <c r="E2094" s="25" t="str">
        <f aca="false">IF(J2094=1,"✓","")</f>
        <v/>
      </c>
      <c r="F2094" s="4" t="n">
        <v>2</v>
      </c>
      <c r="G2094" s="4" t="n">
        <v>1</v>
      </c>
      <c r="H2094" s="4" t="s">
        <v>213</v>
      </c>
      <c r="I2094" s="4" t="s">
        <v>58</v>
      </c>
      <c r="J2094" s="4" t="n">
        <f aca="false">INDEX('Master List'!$G$2:$G$2594,K2094)</f>
        <v>0</v>
      </c>
      <c r="K2094" s="4" t="n">
        <v>286</v>
      </c>
    </row>
    <row r="2095" customFormat="false" ht="15" hidden="false" customHeight="false" outlineLevel="0" collapsed="false">
      <c r="A2095" s="4" t="n">
        <v>2094</v>
      </c>
      <c r="B2095" s="4" t="s">
        <v>3166</v>
      </c>
      <c r="C2095" s="4" t="n">
        <v>2018</v>
      </c>
      <c r="D2095" s="4" t="s">
        <v>166</v>
      </c>
      <c r="E2095" s="25" t="str">
        <f aca="false">IF(J2095=1,"✓","")</f>
        <v/>
      </c>
      <c r="F2095" s="4" t="n">
        <v>2</v>
      </c>
      <c r="G2095" s="4" t="n">
        <v>1</v>
      </c>
      <c r="H2095" s="4" t="s">
        <v>213</v>
      </c>
      <c r="I2095" s="4" t="s">
        <v>58</v>
      </c>
      <c r="J2095" s="4" t="n">
        <f aca="false">INDEX('Master List'!$G$2:$G$2594,K2095)</f>
        <v>0</v>
      </c>
      <c r="K2095" s="4" t="n">
        <v>1117</v>
      </c>
    </row>
    <row r="2096" customFormat="false" ht="15" hidden="false" customHeight="false" outlineLevel="0" collapsed="false">
      <c r="A2096" s="4" t="n">
        <v>2095</v>
      </c>
      <c r="B2096" s="4" t="s">
        <v>3167</v>
      </c>
      <c r="C2096" s="4" t="n">
        <v>2019</v>
      </c>
      <c r="D2096" s="4" t="s">
        <v>3168</v>
      </c>
      <c r="E2096" s="25" t="str">
        <f aca="false">IF(J2096=1,"✓","")</f>
        <v/>
      </c>
      <c r="F2096" s="4" t="n">
        <v>2</v>
      </c>
      <c r="G2096" s="4" t="n">
        <v>1</v>
      </c>
      <c r="H2096" s="4" t="s">
        <v>213</v>
      </c>
      <c r="I2096" s="4" t="s">
        <v>51</v>
      </c>
      <c r="J2096" s="4" t="n">
        <f aca="false">INDEX('Master List'!$G$2:$G$2594,K2096)</f>
        <v>0</v>
      </c>
      <c r="K2096" s="4" t="n">
        <v>165</v>
      </c>
    </row>
    <row r="2097" customFormat="false" ht="15" hidden="false" customHeight="false" outlineLevel="0" collapsed="false">
      <c r="A2097" s="4" t="n">
        <v>2096</v>
      </c>
      <c r="B2097" s="4" t="s">
        <v>3169</v>
      </c>
      <c r="C2097" s="4" t="n">
        <v>2019</v>
      </c>
      <c r="D2097" s="4" t="s">
        <v>3170</v>
      </c>
      <c r="E2097" s="25" t="str">
        <f aca="false">IF(J2097=1,"✓","")</f>
        <v/>
      </c>
      <c r="F2097" s="4" t="n">
        <v>2</v>
      </c>
      <c r="G2097" s="4" t="n">
        <v>1</v>
      </c>
      <c r="H2097" s="4" t="s">
        <v>213</v>
      </c>
      <c r="I2097" s="4" t="s">
        <v>51</v>
      </c>
      <c r="J2097" s="4" t="n">
        <f aca="false">INDEX('Master List'!$G$2:$G$2594,K2097)</f>
        <v>0</v>
      </c>
      <c r="K2097" s="4" t="n">
        <v>146</v>
      </c>
    </row>
    <row r="2098" customFormat="false" ht="15" hidden="false" customHeight="false" outlineLevel="0" collapsed="false">
      <c r="A2098" s="4" t="n">
        <v>2097</v>
      </c>
      <c r="B2098" s="4" t="s">
        <v>3171</v>
      </c>
      <c r="C2098" s="4" t="n">
        <v>2019</v>
      </c>
      <c r="D2098" s="4" t="s">
        <v>696</v>
      </c>
      <c r="E2098" s="25" t="str">
        <f aca="false">IF(J2098=1,"✓","")</f>
        <v>✓</v>
      </c>
      <c r="F2098" s="4" t="n">
        <v>2</v>
      </c>
      <c r="G2098" s="4" t="n">
        <v>1</v>
      </c>
      <c r="H2098" s="4" t="s">
        <v>213</v>
      </c>
      <c r="I2098" s="4" t="s">
        <v>52</v>
      </c>
      <c r="J2098" s="4" t="n">
        <f aca="false">INDEX('Master List'!$G$2:$G$2594,K2098)</f>
        <v>1</v>
      </c>
      <c r="K2098" s="4" t="n">
        <v>1495</v>
      </c>
    </row>
    <row r="2099" customFormat="false" ht="15" hidden="false" customHeight="false" outlineLevel="0" collapsed="false">
      <c r="A2099" s="4" t="n">
        <v>2098</v>
      </c>
      <c r="B2099" s="4" t="s">
        <v>3172</v>
      </c>
      <c r="C2099" s="4" t="n">
        <v>2019</v>
      </c>
      <c r="D2099" s="4" t="s">
        <v>3173</v>
      </c>
      <c r="E2099" s="25" t="str">
        <f aca="false">IF(J2099=1,"✓","")</f>
        <v/>
      </c>
      <c r="F2099" s="4" t="n">
        <v>2</v>
      </c>
      <c r="G2099" s="4" t="n">
        <v>1</v>
      </c>
      <c r="H2099" s="4" t="s">
        <v>213</v>
      </c>
      <c r="I2099" s="4" t="s">
        <v>52</v>
      </c>
      <c r="J2099" s="4" t="n">
        <f aca="false">INDEX('Master List'!$G$2:$G$2594,K2099)</f>
        <v>0</v>
      </c>
      <c r="K2099" s="4" t="n">
        <v>1957</v>
      </c>
    </row>
    <row r="2100" customFormat="false" ht="15" hidden="false" customHeight="false" outlineLevel="0" collapsed="false">
      <c r="A2100" s="4" t="n">
        <v>2099</v>
      </c>
      <c r="B2100" s="4" t="s">
        <v>3174</v>
      </c>
      <c r="C2100" s="4" t="n">
        <v>2019</v>
      </c>
      <c r="D2100" s="4" t="s">
        <v>280</v>
      </c>
      <c r="E2100" s="25" t="str">
        <f aca="false">IF(J2100=1,"✓","")</f>
        <v/>
      </c>
      <c r="F2100" s="4" t="n">
        <v>2</v>
      </c>
      <c r="G2100" s="4" t="n">
        <v>1</v>
      </c>
      <c r="H2100" s="4" t="s">
        <v>213</v>
      </c>
      <c r="I2100" s="4" t="s">
        <v>52</v>
      </c>
      <c r="J2100" s="4" t="n">
        <f aca="false">INDEX('Master List'!$G$2:$G$2594,K2100)</f>
        <v>0</v>
      </c>
      <c r="K2100" s="4" t="n">
        <v>2415</v>
      </c>
    </row>
    <row r="2101" customFormat="false" ht="15" hidden="false" customHeight="false" outlineLevel="0" collapsed="false">
      <c r="A2101" s="4" t="n">
        <v>2100</v>
      </c>
      <c r="B2101" s="4" t="s">
        <v>3175</v>
      </c>
      <c r="C2101" s="4" t="n">
        <v>2019</v>
      </c>
      <c r="D2101" s="4" t="s">
        <v>3176</v>
      </c>
      <c r="E2101" s="25" t="str">
        <f aca="false">IF(J2101=1,"✓","")</f>
        <v/>
      </c>
      <c r="F2101" s="4" t="n">
        <v>2</v>
      </c>
      <c r="G2101" s="4" t="n">
        <v>1</v>
      </c>
      <c r="H2101" s="4" t="s">
        <v>213</v>
      </c>
      <c r="I2101" s="4" t="s">
        <v>52</v>
      </c>
      <c r="J2101" s="4" t="n">
        <f aca="false">INDEX('Master List'!$G$2:$G$2594,K2101)</f>
        <v>0</v>
      </c>
      <c r="K2101" s="4" t="n">
        <v>498</v>
      </c>
    </row>
    <row r="2102" customFormat="false" ht="15" hidden="false" customHeight="false" outlineLevel="0" collapsed="false">
      <c r="A2102" s="4" t="n">
        <v>2101</v>
      </c>
      <c r="B2102" s="4" t="s">
        <v>3177</v>
      </c>
      <c r="C2102" s="4" t="n">
        <v>2019</v>
      </c>
      <c r="D2102" s="4" t="s">
        <v>1410</v>
      </c>
      <c r="E2102" s="25" t="str">
        <f aca="false">IF(J2102=1,"✓","")</f>
        <v>✓</v>
      </c>
      <c r="F2102" s="4" t="n">
        <v>2</v>
      </c>
      <c r="G2102" s="4" t="n">
        <v>1</v>
      </c>
      <c r="H2102" s="4" t="s">
        <v>213</v>
      </c>
      <c r="I2102" s="4" t="s">
        <v>52</v>
      </c>
      <c r="J2102" s="4" t="n">
        <f aca="false">INDEX('Master List'!$G$2:$G$2594,K2102)</f>
        <v>1</v>
      </c>
      <c r="K2102" s="4" t="n">
        <v>1216</v>
      </c>
    </row>
    <row r="2103" customFormat="false" ht="15" hidden="false" customHeight="false" outlineLevel="0" collapsed="false">
      <c r="A2103" s="4" t="n">
        <v>2102</v>
      </c>
      <c r="B2103" s="4" t="s">
        <v>3178</v>
      </c>
      <c r="C2103" s="4" t="n">
        <v>2019</v>
      </c>
      <c r="D2103" s="4" t="s">
        <v>1087</v>
      </c>
      <c r="E2103" s="25" t="str">
        <f aca="false">IF(J2103=1,"✓","")</f>
        <v/>
      </c>
      <c r="F2103" s="4" t="n">
        <v>2</v>
      </c>
      <c r="G2103" s="4" t="n">
        <v>1</v>
      </c>
      <c r="H2103" s="4" t="s">
        <v>213</v>
      </c>
      <c r="I2103" s="4" t="s">
        <v>53</v>
      </c>
      <c r="J2103" s="4" t="n">
        <f aca="false">INDEX('Master List'!$G$2:$G$2594,K2103)</f>
        <v>0</v>
      </c>
      <c r="K2103" s="4" t="n">
        <v>1705</v>
      </c>
    </row>
    <row r="2104" customFormat="false" ht="15" hidden="false" customHeight="false" outlineLevel="0" collapsed="false">
      <c r="A2104" s="4" t="n">
        <v>2103</v>
      </c>
      <c r="B2104" s="4" t="s">
        <v>3179</v>
      </c>
      <c r="C2104" s="4" t="n">
        <v>2019</v>
      </c>
      <c r="D2104" s="4" t="s">
        <v>208</v>
      </c>
      <c r="E2104" s="25" t="str">
        <f aca="false">IF(J2104=1,"✓","")</f>
        <v>✓</v>
      </c>
      <c r="F2104" s="4" t="n">
        <v>2</v>
      </c>
      <c r="G2104" s="4" t="n">
        <v>1</v>
      </c>
      <c r="H2104" s="4" t="s">
        <v>213</v>
      </c>
      <c r="I2104" s="4" t="s">
        <v>53</v>
      </c>
      <c r="J2104" s="4" t="n">
        <f aca="false">INDEX('Master List'!$G$2:$G$2594,K2104)</f>
        <v>1</v>
      </c>
      <c r="K2104" s="4" t="n">
        <v>1672</v>
      </c>
    </row>
    <row r="2105" customFormat="false" ht="15" hidden="false" customHeight="false" outlineLevel="0" collapsed="false">
      <c r="A2105" s="4" t="n">
        <v>2104</v>
      </c>
      <c r="B2105" s="4" t="s">
        <v>3180</v>
      </c>
      <c r="C2105" s="4" t="n">
        <v>2019</v>
      </c>
      <c r="D2105" s="4" t="s">
        <v>3181</v>
      </c>
      <c r="E2105" s="25" t="str">
        <f aca="false">IF(J2105=1,"✓","")</f>
        <v/>
      </c>
      <c r="F2105" s="4" t="n">
        <v>2</v>
      </c>
      <c r="G2105" s="4" t="n">
        <v>1</v>
      </c>
      <c r="H2105" s="4" t="s">
        <v>213</v>
      </c>
      <c r="I2105" s="4" t="s">
        <v>55</v>
      </c>
      <c r="J2105" s="4" t="n">
        <f aca="false">INDEX('Master List'!$G$2:$G$2594,K2105)</f>
        <v>0</v>
      </c>
      <c r="K2105" s="4" t="n">
        <v>87</v>
      </c>
    </row>
    <row r="2106" customFormat="false" ht="15" hidden="false" customHeight="false" outlineLevel="0" collapsed="false">
      <c r="A2106" s="4" t="n">
        <v>2105</v>
      </c>
      <c r="B2106" s="4" t="s">
        <v>3182</v>
      </c>
      <c r="C2106" s="4" t="n">
        <v>2019</v>
      </c>
      <c r="D2106" s="4" t="s">
        <v>3183</v>
      </c>
      <c r="E2106" s="25" t="str">
        <f aca="false">IF(J2106=1,"✓","")</f>
        <v/>
      </c>
      <c r="F2106" s="4" t="n">
        <v>2</v>
      </c>
      <c r="G2106" s="4" t="n">
        <v>1</v>
      </c>
      <c r="H2106" s="4" t="s">
        <v>213</v>
      </c>
      <c r="I2106" s="4" t="s">
        <v>55</v>
      </c>
      <c r="J2106" s="4" t="n">
        <f aca="false">INDEX('Master List'!$G$2:$G$2594,K2106)</f>
        <v>0</v>
      </c>
      <c r="K2106" s="4" t="n">
        <v>1293</v>
      </c>
    </row>
    <row r="2107" customFormat="false" ht="15" hidden="false" customHeight="false" outlineLevel="0" collapsed="false">
      <c r="A2107" s="4" t="n">
        <v>2106</v>
      </c>
      <c r="B2107" s="4" t="s">
        <v>3184</v>
      </c>
      <c r="C2107" s="4" t="n">
        <v>2019</v>
      </c>
      <c r="D2107" s="4" t="s">
        <v>2711</v>
      </c>
      <c r="E2107" s="25" t="str">
        <f aca="false">IF(J2107=1,"✓","")</f>
        <v/>
      </c>
      <c r="F2107" s="4" t="n">
        <v>2</v>
      </c>
      <c r="G2107" s="4" t="n">
        <v>1</v>
      </c>
      <c r="H2107" s="4" t="s">
        <v>213</v>
      </c>
      <c r="I2107" s="4" t="s">
        <v>56</v>
      </c>
      <c r="J2107" s="4" t="n">
        <f aca="false">INDEX('Master List'!$G$2:$G$2594,K2107)</f>
        <v>0</v>
      </c>
      <c r="K2107" s="4" t="n">
        <v>835</v>
      </c>
    </row>
    <row r="2108" customFormat="false" ht="15" hidden="false" customHeight="false" outlineLevel="0" collapsed="false">
      <c r="A2108" s="4" t="n">
        <v>2107</v>
      </c>
      <c r="B2108" s="4" t="s">
        <v>3185</v>
      </c>
      <c r="C2108" s="4" t="n">
        <v>2019</v>
      </c>
      <c r="D2108" s="4" t="s">
        <v>1240</v>
      </c>
      <c r="E2108" s="25" t="str">
        <f aca="false">IF(J2108=1,"✓","")</f>
        <v>✓</v>
      </c>
      <c r="F2108" s="4" t="n">
        <v>2</v>
      </c>
      <c r="G2108" s="4" t="n">
        <v>1</v>
      </c>
      <c r="H2108" s="4" t="s">
        <v>213</v>
      </c>
      <c r="I2108" s="4" t="s">
        <v>56</v>
      </c>
      <c r="J2108" s="4" t="n">
        <f aca="false">INDEX('Master List'!$G$2:$G$2594,K2108)</f>
        <v>1</v>
      </c>
      <c r="K2108" s="4" t="n">
        <v>1356</v>
      </c>
    </row>
    <row r="2109" customFormat="false" ht="15" hidden="false" customHeight="false" outlineLevel="0" collapsed="false">
      <c r="A2109" s="4" t="n">
        <v>2108</v>
      </c>
      <c r="B2109" s="4" t="s">
        <v>3186</v>
      </c>
      <c r="C2109" s="4" t="n">
        <v>2019</v>
      </c>
      <c r="D2109" s="4" t="s">
        <v>3187</v>
      </c>
      <c r="E2109" s="25" t="str">
        <f aca="false">IF(J2109=1,"✓","")</f>
        <v>✓</v>
      </c>
      <c r="F2109" s="4" t="n">
        <v>2</v>
      </c>
      <c r="G2109" s="4" t="n">
        <v>1</v>
      </c>
      <c r="H2109" s="4" t="s">
        <v>213</v>
      </c>
      <c r="I2109" s="4" t="s">
        <v>56</v>
      </c>
      <c r="J2109" s="4" t="n">
        <f aca="false">INDEX('Master List'!$G$2:$G$2594,K2109)</f>
        <v>1</v>
      </c>
      <c r="K2109" s="4" t="n">
        <v>1265</v>
      </c>
    </row>
    <row r="2110" customFormat="false" ht="15" hidden="false" customHeight="false" outlineLevel="0" collapsed="false">
      <c r="A2110" s="4" t="n">
        <v>2109</v>
      </c>
      <c r="B2110" s="4" t="s">
        <v>3188</v>
      </c>
      <c r="C2110" s="4" t="n">
        <v>2020</v>
      </c>
      <c r="D2110" s="4" t="s">
        <v>843</v>
      </c>
      <c r="E2110" s="25" t="str">
        <f aca="false">IF(J2110=1,"✓","")</f>
        <v/>
      </c>
      <c r="F2110" s="4" t="n">
        <v>2</v>
      </c>
      <c r="G2110" s="4" t="n">
        <v>1</v>
      </c>
      <c r="H2110" s="4" t="s">
        <v>213</v>
      </c>
      <c r="I2110" s="4" t="s">
        <v>51</v>
      </c>
      <c r="J2110" s="4" t="n">
        <f aca="false">INDEX('Master List'!$G$2:$G$2594,K2110)</f>
        <v>0</v>
      </c>
      <c r="K2110" s="4" t="n">
        <v>116</v>
      </c>
    </row>
    <row r="2111" customFormat="false" ht="15" hidden="false" customHeight="false" outlineLevel="0" collapsed="false">
      <c r="A2111" s="4" t="n">
        <v>2110</v>
      </c>
      <c r="B2111" s="4" t="s">
        <v>3189</v>
      </c>
      <c r="C2111" s="4" t="n">
        <v>2020</v>
      </c>
      <c r="D2111" s="4" t="s">
        <v>3190</v>
      </c>
      <c r="E2111" s="25" t="str">
        <f aca="false">IF(J2111=1,"✓","")</f>
        <v/>
      </c>
      <c r="F2111" s="4" t="n">
        <v>2</v>
      </c>
      <c r="G2111" s="4" t="n">
        <v>1</v>
      </c>
      <c r="H2111" s="4" t="s">
        <v>213</v>
      </c>
      <c r="I2111" s="4" t="s">
        <v>52</v>
      </c>
      <c r="J2111" s="4" t="n">
        <f aca="false">INDEX('Master List'!$G$2:$G$2594,K2111)</f>
        <v>0</v>
      </c>
      <c r="K2111" s="4" t="n">
        <v>1064</v>
      </c>
    </row>
    <row r="2112" customFormat="false" ht="15" hidden="false" customHeight="false" outlineLevel="0" collapsed="false">
      <c r="A2112" s="4" t="n">
        <v>2111</v>
      </c>
      <c r="B2112" s="4" t="s">
        <v>3191</v>
      </c>
      <c r="C2112" s="4" t="n">
        <v>2020</v>
      </c>
      <c r="D2112" s="4" t="s">
        <v>3192</v>
      </c>
      <c r="E2112" s="25" t="str">
        <f aca="false">IF(J2112=1,"✓","")</f>
        <v/>
      </c>
      <c r="F2112" s="4" t="n">
        <v>2</v>
      </c>
      <c r="G2112" s="4" t="n">
        <v>1</v>
      </c>
      <c r="H2112" s="4" t="s">
        <v>213</v>
      </c>
      <c r="I2112" s="4" t="s">
        <v>52</v>
      </c>
      <c r="J2112" s="4" t="n">
        <f aca="false">INDEX('Master List'!$G$2:$G$2594,K2112)</f>
        <v>0</v>
      </c>
      <c r="K2112" s="4" t="n">
        <v>1042</v>
      </c>
    </row>
    <row r="2113" customFormat="false" ht="15" hidden="false" customHeight="false" outlineLevel="0" collapsed="false">
      <c r="A2113" s="4" t="n">
        <v>2112</v>
      </c>
      <c r="B2113" s="4" t="s">
        <v>3193</v>
      </c>
      <c r="C2113" s="4" t="n">
        <v>2020</v>
      </c>
      <c r="D2113" s="4" t="s">
        <v>148</v>
      </c>
      <c r="E2113" s="25" t="str">
        <f aca="false">IF(J2113=1,"✓","")</f>
        <v/>
      </c>
      <c r="F2113" s="4" t="n">
        <v>2</v>
      </c>
      <c r="G2113" s="4" t="n">
        <v>1</v>
      </c>
      <c r="H2113" s="4" t="s">
        <v>213</v>
      </c>
      <c r="I2113" s="4" t="s">
        <v>52</v>
      </c>
      <c r="J2113" s="4" t="n">
        <f aca="false">INDEX('Master List'!$G$2:$G$2594,K2113)</f>
        <v>0</v>
      </c>
      <c r="K2113" s="4" t="n">
        <v>552</v>
      </c>
    </row>
    <row r="2114" customFormat="false" ht="15" hidden="false" customHeight="false" outlineLevel="0" collapsed="false">
      <c r="A2114" s="4" t="n">
        <v>2113</v>
      </c>
      <c r="B2114" s="4" t="s">
        <v>3194</v>
      </c>
      <c r="C2114" s="4" t="n">
        <v>2020</v>
      </c>
      <c r="D2114" s="4" t="s">
        <v>1187</v>
      </c>
      <c r="E2114" s="25" t="str">
        <f aca="false">IF(J2114=1,"✓","")</f>
        <v>✓</v>
      </c>
      <c r="F2114" s="4" t="n">
        <v>2</v>
      </c>
      <c r="G2114" s="4" t="n">
        <v>1</v>
      </c>
      <c r="H2114" s="4" t="s">
        <v>213</v>
      </c>
      <c r="I2114" s="4" t="s">
        <v>53</v>
      </c>
      <c r="J2114" s="4" t="n">
        <f aca="false">INDEX('Master List'!$G$2:$G$2594,K2114)</f>
        <v>1</v>
      </c>
      <c r="K2114" s="4" t="n">
        <v>1106</v>
      </c>
    </row>
    <row r="2115" customFormat="false" ht="15" hidden="false" customHeight="false" outlineLevel="0" collapsed="false">
      <c r="A2115" s="4" t="n">
        <v>2114</v>
      </c>
      <c r="B2115" s="4" t="s">
        <v>3195</v>
      </c>
      <c r="C2115" s="4" t="n">
        <v>2020</v>
      </c>
      <c r="D2115" s="4" t="s">
        <v>325</v>
      </c>
      <c r="E2115" s="25" t="str">
        <f aca="false">IF(J2115=1,"✓","")</f>
        <v/>
      </c>
      <c r="F2115" s="4" t="n">
        <v>2</v>
      </c>
      <c r="G2115" s="4" t="n">
        <v>1</v>
      </c>
      <c r="H2115" s="4" t="s">
        <v>213</v>
      </c>
      <c r="I2115" s="4" t="s">
        <v>53</v>
      </c>
      <c r="J2115" s="4" t="n">
        <f aca="false">INDEX('Master List'!$G$2:$G$2594,K2115)</f>
        <v>0</v>
      </c>
      <c r="K2115" s="4" t="n">
        <v>1441</v>
      </c>
    </row>
    <row r="2116" customFormat="false" ht="15" hidden="false" customHeight="false" outlineLevel="0" collapsed="false">
      <c r="A2116" s="4" t="n">
        <v>2115</v>
      </c>
      <c r="B2116" s="4" t="s">
        <v>3196</v>
      </c>
      <c r="C2116" s="4" t="n">
        <v>2020</v>
      </c>
      <c r="D2116" s="4" t="s">
        <v>1628</v>
      </c>
      <c r="E2116" s="25" t="str">
        <f aca="false">IF(J2116=1,"✓","")</f>
        <v/>
      </c>
      <c r="F2116" s="4" t="n">
        <v>2</v>
      </c>
      <c r="G2116" s="4" t="n">
        <v>1</v>
      </c>
      <c r="H2116" s="4" t="s">
        <v>213</v>
      </c>
      <c r="I2116" s="4" t="s">
        <v>53</v>
      </c>
      <c r="J2116" s="4" t="n">
        <f aca="false">INDEX('Master List'!$G$2:$G$2594,K2116)</f>
        <v>0</v>
      </c>
      <c r="K2116" s="4" t="n">
        <v>2547</v>
      </c>
    </row>
    <row r="2117" customFormat="false" ht="15" hidden="false" customHeight="false" outlineLevel="0" collapsed="false">
      <c r="A2117" s="4" t="n">
        <v>2116</v>
      </c>
      <c r="B2117" s="4" t="s">
        <v>3197</v>
      </c>
      <c r="C2117" s="4" t="n">
        <v>2020</v>
      </c>
      <c r="D2117" s="4" t="s">
        <v>3198</v>
      </c>
      <c r="E2117" s="25" t="str">
        <f aca="false">IF(J2117=1,"✓","")</f>
        <v/>
      </c>
      <c r="F2117" s="4" t="n">
        <v>2</v>
      </c>
      <c r="G2117" s="4" t="n">
        <v>1</v>
      </c>
      <c r="H2117" s="4" t="s">
        <v>213</v>
      </c>
      <c r="I2117" s="4" t="s">
        <v>55</v>
      </c>
      <c r="J2117" s="4" t="n">
        <f aca="false">INDEX('Master List'!$G$2:$G$2594,K2117)</f>
        <v>0</v>
      </c>
      <c r="K2117" s="4" t="n">
        <v>1710</v>
      </c>
    </row>
    <row r="2118" customFormat="false" ht="15" hidden="false" customHeight="false" outlineLevel="0" collapsed="false">
      <c r="A2118" s="4" t="n">
        <v>2117</v>
      </c>
      <c r="B2118" s="4" t="s">
        <v>3199</v>
      </c>
      <c r="C2118" s="4" t="n">
        <v>2020</v>
      </c>
      <c r="D2118" s="4" t="s">
        <v>342</v>
      </c>
      <c r="E2118" s="25" t="str">
        <f aca="false">IF(J2118=1,"✓","")</f>
        <v/>
      </c>
      <c r="F2118" s="4" t="n">
        <v>2</v>
      </c>
      <c r="G2118" s="4" t="n">
        <v>1</v>
      </c>
      <c r="H2118" s="4" t="s">
        <v>213</v>
      </c>
      <c r="I2118" s="4" t="s">
        <v>55</v>
      </c>
      <c r="J2118" s="4" t="n">
        <f aca="false">INDEX('Master List'!$G$2:$G$2594,K2118)</f>
        <v>0</v>
      </c>
      <c r="K2118" s="4" t="n">
        <v>2252</v>
      </c>
    </row>
    <row r="2119" customFormat="false" ht="15" hidden="false" customHeight="false" outlineLevel="0" collapsed="false">
      <c r="A2119" s="4" t="n">
        <v>2118</v>
      </c>
      <c r="B2119" s="4" t="s">
        <v>3200</v>
      </c>
      <c r="C2119" s="4" t="n">
        <v>2020</v>
      </c>
      <c r="D2119" s="4" t="s">
        <v>3201</v>
      </c>
      <c r="E2119" s="25" t="str">
        <f aca="false">IF(J2119=1,"✓","")</f>
        <v/>
      </c>
      <c r="F2119" s="4" t="n">
        <v>2</v>
      </c>
      <c r="G2119" s="4" t="n">
        <v>1</v>
      </c>
      <c r="H2119" s="4" t="s">
        <v>213</v>
      </c>
      <c r="I2119" s="4" t="s">
        <v>55</v>
      </c>
      <c r="J2119" s="4" t="n">
        <f aca="false">INDEX('Master List'!$G$2:$G$2594,K2119)</f>
        <v>0</v>
      </c>
      <c r="K2119" s="4" t="n">
        <v>793</v>
      </c>
    </row>
    <row r="2120" customFormat="false" ht="15" hidden="false" customHeight="false" outlineLevel="0" collapsed="false">
      <c r="A2120" s="4" t="n">
        <v>2119</v>
      </c>
      <c r="B2120" s="4" t="s">
        <v>3202</v>
      </c>
      <c r="C2120" s="4" t="n">
        <v>2021</v>
      </c>
      <c r="D2120" s="4" t="s">
        <v>3203</v>
      </c>
      <c r="E2120" s="25" t="str">
        <f aca="false">IF(J2120=1,"✓","")</f>
        <v/>
      </c>
      <c r="F2120" s="4" t="n">
        <v>2</v>
      </c>
      <c r="G2120" s="4" t="n">
        <v>1</v>
      </c>
      <c r="H2120" s="4" t="s">
        <v>213</v>
      </c>
      <c r="I2120" s="4" t="s">
        <v>51</v>
      </c>
      <c r="J2120" s="4" t="n">
        <f aca="false">INDEX('Master List'!$G$2:$G$2594,K2120)</f>
        <v>0</v>
      </c>
      <c r="K2120" s="4" t="n">
        <v>2556</v>
      </c>
    </row>
    <row r="2121" customFormat="false" ht="15" hidden="false" customHeight="false" outlineLevel="0" collapsed="false">
      <c r="A2121" s="4" t="n">
        <v>2120</v>
      </c>
      <c r="B2121" s="4" t="s">
        <v>3204</v>
      </c>
      <c r="C2121" s="4" t="n">
        <v>2021</v>
      </c>
      <c r="D2121" s="4" t="s">
        <v>3205</v>
      </c>
      <c r="E2121" s="25" t="str">
        <f aca="false">IF(J2121=1,"✓","")</f>
        <v/>
      </c>
      <c r="F2121" s="4" t="n">
        <v>2</v>
      </c>
      <c r="G2121" s="4" t="n">
        <v>1</v>
      </c>
      <c r="H2121" s="4" t="s">
        <v>213</v>
      </c>
      <c r="I2121" s="4" t="s">
        <v>51</v>
      </c>
      <c r="J2121" s="4" t="n">
        <f aca="false">INDEX('Master List'!$G$2:$G$2594,K2121)</f>
        <v>0</v>
      </c>
      <c r="K2121" s="4" t="n">
        <v>170</v>
      </c>
    </row>
    <row r="2122" customFormat="false" ht="15" hidden="false" customHeight="false" outlineLevel="0" collapsed="false">
      <c r="A2122" s="4" t="n">
        <v>2121</v>
      </c>
      <c r="B2122" s="4" t="s">
        <v>3206</v>
      </c>
      <c r="C2122" s="4" t="n">
        <v>2021</v>
      </c>
      <c r="D2122" s="4" t="s">
        <v>833</v>
      </c>
      <c r="E2122" s="25" t="str">
        <f aca="false">IF(J2122=1,"✓","")</f>
        <v>✓</v>
      </c>
      <c r="F2122" s="4" t="n">
        <v>2</v>
      </c>
      <c r="G2122" s="4" t="n">
        <v>1</v>
      </c>
      <c r="H2122" s="4" t="s">
        <v>213</v>
      </c>
      <c r="I2122" s="4" t="s">
        <v>52</v>
      </c>
      <c r="J2122" s="4" t="n">
        <f aca="false">INDEX('Master List'!$G$2:$G$2594,K2122)</f>
        <v>1</v>
      </c>
      <c r="K2122" s="4" t="n">
        <v>1805</v>
      </c>
    </row>
    <row r="2123" customFormat="false" ht="15" hidden="false" customHeight="false" outlineLevel="0" collapsed="false">
      <c r="A2123" s="4" t="n">
        <v>2122</v>
      </c>
      <c r="B2123" s="4" t="s">
        <v>3207</v>
      </c>
      <c r="C2123" s="4" t="n">
        <v>2021</v>
      </c>
      <c r="D2123" s="4" t="s">
        <v>327</v>
      </c>
      <c r="E2123" s="25" t="str">
        <f aca="false">IF(J2123=1,"✓","")</f>
        <v/>
      </c>
      <c r="F2123" s="4" t="n">
        <v>2</v>
      </c>
      <c r="G2123" s="4" t="n">
        <v>1</v>
      </c>
      <c r="H2123" s="4" t="s">
        <v>213</v>
      </c>
      <c r="I2123" s="4" t="s">
        <v>52</v>
      </c>
      <c r="J2123" s="4" t="n">
        <f aca="false">INDEX('Master List'!$G$2:$G$2594,K2123)</f>
        <v>0</v>
      </c>
      <c r="K2123" s="4" t="n">
        <v>693</v>
      </c>
    </row>
    <row r="2124" customFormat="false" ht="15" hidden="false" customHeight="false" outlineLevel="0" collapsed="false">
      <c r="A2124" s="4" t="n">
        <v>2123</v>
      </c>
      <c r="B2124" s="4" t="s">
        <v>3208</v>
      </c>
      <c r="C2124" s="4" t="n">
        <v>2021</v>
      </c>
      <c r="D2124" s="4" t="s">
        <v>1202</v>
      </c>
      <c r="E2124" s="25" t="str">
        <f aca="false">IF(J2124=1,"✓","")</f>
        <v/>
      </c>
      <c r="F2124" s="4" t="n">
        <v>2</v>
      </c>
      <c r="G2124" s="4" t="n">
        <v>1</v>
      </c>
      <c r="H2124" s="4" t="s">
        <v>213</v>
      </c>
      <c r="I2124" s="4" t="s">
        <v>52</v>
      </c>
      <c r="J2124" s="4" t="n">
        <f aca="false">INDEX('Master List'!$G$2:$G$2594,K2124)</f>
        <v>0</v>
      </c>
      <c r="K2124" s="4" t="n">
        <v>111</v>
      </c>
    </row>
    <row r="2125" customFormat="false" ht="15" hidden="false" customHeight="false" outlineLevel="0" collapsed="false">
      <c r="A2125" s="4" t="n">
        <v>2124</v>
      </c>
      <c r="B2125" s="4" t="s">
        <v>3209</v>
      </c>
      <c r="C2125" s="4" t="n">
        <v>2021</v>
      </c>
      <c r="D2125" s="4" t="s">
        <v>3210</v>
      </c>
      <c r="E2125" s="25" t="str">
        <f aca="false">IF(J2125=1,"✓","")</f>
        <v>✓</v>
      </c>
      <c r="F2125" s="4" t="n">
        <v>2</v>
      </c>
      <c r="G2125" s="4" t="n">
        <v>1</v>
      </c>
      <c r="H2125" s="4" t="s">
        <v>213</v>
      </c>
      <c r="I2125" s="4" t="s">
        <v>52</v>
      </c>
      <c r="J2125" s="4" t="n">
        <f aca="false">INDEX('Master List'!$G$2:$G$2594,K2125)</f>
        <v>1</v>
      </c>
      <c r="K2125" s="4" t="n">
        <v>1444</v>
      </c>
    </row>
    <row r="2126" customFormat="false" ht="15" hidden="false" customHeight="false" outlineLevel="0" collapsed="false">
      <c r="A2126" s="4" t="n">
        <v>2125</v>
      </c>
      <c r="B2126" s="4" t="s">
        <v>3211</v>
      </c>
      <c r="C2126" s="4" t="n">
        <v>2021</v>
      </c>
      <c r="D2126" s="4" t="s">
        <v>3212</v>
      </c>
      <c r="E2126" s="25" t="str">
        <f aca="false">IF(J2126=1,"✓","")</f>
        <v/>
      </c>
      <c r="F2126" s="4" t="n">
        <v>2</v>
      </c>
      <c r="G2126" s="4" t="n">
        <v>1</v>
      </c>
      <c r="H2126" s="4" t="s">
        <v>213</v>
      </c>
      <c r="I2126" s="4" t="s">
        <v>52</v>
      </c>
      <c r="J2126" s="4" t="n">
        <f aca="false">INDEX('Master List'!$G$2:$G$2594,K2126)</f>
        <v>0</v>
      </c>
      <c r="K2126" s="4" t="n">
        <v>819</v>
      </c>
    </row>
    <row r="2127" customFormat="false" ht="15" hidden="false" customHeight="false" outlineLevel="0" collapsed="false">
      <c r="A2127" s="4" t="n">
        <v>2126</v>
      </c>
      <c r="B2127" s="4" t="s">
        <v>3213</v>
      </c>
      <c r="C2127" s="4" t="n">
        <v>2021</v>
      </c>
      <c r="D2127" s="4" t="s">
        <v>3214</v>
      </c>
      <c r="E2127" s="25" t="str">
        <f aca="false">IF(J2127=1,"✓","")</f>
        <v/>
      </c>
      <c r="F2127" s="4" t="n">
        <v>2</v>
      </c>
      <c r="G2127" s="4" t="n">
        <v>1</v>
      </c>
      <c r="H2127" s="4" t="s">
        <v>213</v>
      </c>
      <c r="I2127" s="4" t="s">
        <v>52</v>
      </c>
      <c r="J2127" s="4" t="n">
        <f aca="false">INDEX('Master List'!$G$2:$G$2594,K2127)</f>
        <v>0</v>
      </c>
      <c r="K2127" s="4" t="n">
        <v>2197</v>
      </c>
    </row>
    <row r="2128" customFormat="false" ht="15" hidden="false" customHeight="false" outlineLevel="0" collapsed="false">
      <c r="A2128" s="4" t="n">
        <v>2127</v>
      </c>
      <c r="B2128" s="4" t="s">
        <v>3215</v>
      </c>
      <c r="C2128" s="4" t="n">
        <v>2021</v>
      </c>
      <c r="D2128" s="4" t="s">
        <v>274</v>
      </c>
      <c r="E2128" s="25" t="str">
        <f aca="false">IF(J2128=1,"✓","")</f>
        <v/>
      </c>
      <c r="F2128" s="4" t="n">
        <v>2</v>
      </c>
      <c r="G2128" s="4" t="n">
        <v>1</v>
      </c>
      <c r="H2128" s="4" t="s">
        <v>213</v>
      </c>
      <c r="I2128" s="4" t="s">
        <v>53</v>
      </c>
      <c r="J2128" s="4" t="n">
        <f aca="false">INDEX('Master List'!$G$2:$G$2594,K2128)</f>
        <v>0</v>
      </c>
      <c r="K2128" s="4" t="n">
        <v>852</v>
      </c>
    </row>
    <row r="2129" customFormat="false" ht="15" hidden="false" customHeight="false" outlineLevel="0" collapsed="false">
      <c r="A2129" s="4" t="n">
        <v>2128</v>
      </c>
      <c r="B2129" s="4" t="s">
        <v>3216</v>
      </c>
      <c r="C2129" s="4" t="n">
        <v>2021</v>
      </c>
      <c r="D2129" s="4" t="s">
        <v>1237</v>
      </c>
      <c r="E2129" s="25" t="str">
        <f aca="false">IF(J2129=1,"✓","")</f>
        <v/>
      </c>
      <c r="F2129" s="4" t="n">
        <v>2</v>
      </c>
      <c r="G2129" s="4" t="n">
        <v>1</v>
      </c>
      <c r="H2129" s="4" t="s">
        <v>213</v>
      </c>
      <c r="I2129" s="4" t="s">
        <v>55</v>
      </c>
      <c r="J2129" s="4" t="n">
        <f aca="false">INDEX('Master List'!$G$2:$G$2594,K2129)</f>
        <v>0</v>
      </c>
      <c r="K2129" s="4" t="n">
        <v>52</v>
      </c>
    </row>
    <row r="2130" customFormat="false" ht="15" hidden="false" customHeight="false" outlineLevel="0" collapsed="false">
      <c r="A2130" s="4" t="n">
        <v>2129</v>
      </c>
      <c r="B2130" s="4" t="s">
        <v>3217</v>
      </c>
      <c r="C2130" s="4" t="n">
        <v>2022</v>
      </c>
      <c r="D2130" s="4" t="s">
        <v>3218</v>
      </c>
      <c r="E2130" s="25" t="str">
        <f aca="false">IF(J2130=1,"✓","")</f>
        <v/>
      </c>
      <c r="F2130" s="4" t="n">
        <v>2</v>
      </c>
      <c r="G2130" s="4" t="n">
        <v>1</v>
      </c>
      <c r="H2130" s="4" t="s">
        <v>213</v>
      </c>
      <c r="I2130" s="4" t="s">
        <v>50</v>
      </c>
      <c r="J2130" s="4" t="n">
        <f aca="false">INDEX('Master List'!$G$2:$G$2594,K2130)</f>
        <v>0</v>
      </c>
      <c r="K2130" s="4" t="n">
        <v>2242</v>
      </c>
    </row>
    <row r="2131" customFormat="false" ht="15" hidden="false" customHeight="false" outlineLevel="0" collapsed="false">
      <c r="A2131" s="4" t="n">
        <v>2130</v>
      </c>
      <c r="B2131" s="4" t="s">
        <v>3219</v>
      </c>
      <c r="C2131" s="4" t="n">
        <v>2022</v>
      </c>
      <c r="D2131" s="4" t="s">
        <v>3220</v>
      </c>
      <c r="E2131" s="25" t="str">
        <f aca="false">IF(J2131=1,"✓","")</f>
        <v/>
      </c>
      <c r="F2131" s="4" t="n">
        <v>2</v>
      </c>
      <c r="G2131" s="4" t="n">
        <v>1</v>
      </c>
      <c r="H2131" s="4" t="s">
        <v>213</v>
      </c>
      <c r="I2131" s="4" t="s">
        <v>52</v>
      </c>
      <c r="J2131" s="4" t="n">
        <f aca="false">INDEX('Master List'!$G$2:$G$2594,K2131)</f>
        <v>0</v>
      </c>
      <c r="K2131" s="4" t="n">
        <v>739</v>
      </c>
    </row>
    <row r="2132" customFormat="false" ht="15" hidden="false" customHeight="false" outlineLevel="0" collapsed="false">
      <c r="A2132" s="4" t="n">
        <v>2131</v>
      </c>
      <c r="B2132" s="4" t="s">
        <v>3221</v>
      </c>
      <c r="C2132" s="4" t="n">
        <v>2022</v>
      </c>
      <c r="D2132" s="4" t="s">
        <v>3222</v>
      </c>
      <c r="E2132" s="25" t="str">
        <f aca="false">IF(J2132=1,"✓","")</f>
        <v/>
      </c>
      <c r="F2132" s="4" t="n">
        <v>2</v>
      </c>
      <c r="G2132" s="4" t="n">
        <v>1</v>
      </c>
      <c r="H2132" s="4" t="s">
        <v>213</v>
      </c>
      <c r="I2132" s="4" t="s">
        <v>52</v>
      </c>
      <c r="J2132" s="4" t="n">
        <f aca="false">INDEX('Master List'!$G$2:$G$2594,K2132)</f>
        <v>0</v>
      </c>
      <c r="K2132" s="4" t="n">
        <v>2560</v>
      </c>
    </row>
    <row r="2133" customFormat="false" ht="15" hidden="false" customHeight="false" outlineLevel="0" collapsed="false">
      <c r="A2133" s="4" t="n">
        <v>2132</v>
      </c>
      <c r="B2133" s="4" t="s">
        <v>3223</v>
      </c>
      <c r="C2133" s="4" t="n">
        <v>2022</v>
      </c>
      <c r="D2133" s="4" t="s">
        <v>280</v>
      </c>
      <c r="E2133" s="25" t="str">
        <f aca="false">IF(J2133=1,"✓","")</f>
        <v>✓</v>
      </c>
      <c r="F2133" s="4" t="n">
        <v>2</v>
      </c>
      <c r="G2133" s="4" t="n">
        <v>1</v>
      </c>
      <c r="H2133" s="4" t="s">
        <v>213</v>
      </c>
      <c r="I2133" s="4" t="s">
        <v>52</v>
      </c>
      <c r="J2133" s="4" t="n">
        <f aca="false">INDEX('Master List'!$G$2:$G$2594,K2133)</f>
        <v>1</v>
      </c>
      <c r="K2133" s="4" t="n">
        <v>1626</v>
      </c>
    </row>
    <row r="2134" customFormat="false" ht="15" hidden="false" customHeight="false" outlineLevel="0" collapsed="false">
      <c r="A2134" s="4" t="n">
        <v>2133</v>
      </c>
      <c r="B2134" s="4" t="s">
        <v>729</v>
      </c>
      <c r="C2134" s="4" t="n">
        <v>2022</v>
      </c>
      <c r="D2134" s="4" t="s">
        <v>3224</v>
      </c>
      <c r="E2134" s="25" t="str">
        <f aca="false">IF(J2134=1,"✓","")</f>
        <v/>
      </c>
      <c r="F2134" s="4" t="n">
        <v>2</v>
      </c>
      <c r="G2134" s="4" t="n">
        <v>1</v>
      </c>
      <c r="H2134" s="4" t="s">
        <v>213</v>
      </c>
      <c r="I2134" s="4" t="s">
        <v>52</v>
      </c>
      <c r="J2134" s="4" t="n">
        <f aca="false">INDEX('Master List'!$G$2:$G$2594,K2134)</f>
        <v>0</v>
      </c>
      <c r="K2134" s="4" t="n">
        <v>73</v>
      </c>
    </row>
    <row r="2135" customFormat="false" ht="15" hidden="false" customHeight="false" outlineLevel="0" collapsed="false">
      <c r="A2135" s="4" t="n">
        <v>2134</v>
      </c>
      <c r="B2135" s="4" t="s">
        <v>3225</v>
      </c>
      <c r="C2135" s="4" t="n">
        <v>2022</v>
      </c>
      <c r="D2135" s="4" t="s">
        <v>3226</v>
      </c>
      <c r="E2135" s="25" t="str">
        <f aca="false">IF(J2135=1,"✓","")</f>
        <v/>
      </c>
      <c r="F2135" s="4" t="n">
        <v>2</v>
      </c>
      <c r="G2135" s="4" t="n">
        <v>1</v>
      </c>
      <c r="H2135" s="4" t="s">
        <v>213</v>
      </c>
      <c r="I2135" s="4" t="s">
        <v>52</v>
      </c>
      <c r="J2135" s="4" t="n">
        <f aca="false">INDEX('Master List'!$G$2:$G$2594,K2135)</f>
        <v>0</v>
      </c>
      <c r="K2135" s="4" t="n">
        <v>971</v>
      </c>
    </row>
    <row r="2136" customFormat="false" ht="15" hidden="false" customHeight="false" outlineLevel="0" collapsed="false">
      <c r="A2136" s="4" t="n">
        <v>2135</v>
      </c>
      <c r="B2136" s="4" t="s">
        <v>3227</v>
      </c>
      <c r="C2136" s="4" t="n">
        <v>2022</v>
      </c>
      <c r="D2136" s="4" t="s">
        <v>867</v>
      </c>
      <c r="E2136" s="25" t="str">
        <f aca="false">IF(J2136=1,"✓","")</f>
        <v/>
      </c>
      <c r="F2136" s="4" t="n">
        <v>2</v>
      </c>
      <c r="G2136" s="4" t="n">
        <v>1</v>
      </c>
      <c r="H2136" s="4" t="s">
        <v>213</v>
      </c>
      <c r="I2136" s="4" t="s">
        <v>53</v>
      </c>
      <c r="J2136" s="4" t="n">
        <f aca="false">INDEX('Master List'!$G$2:$G$2594,K2136)</f>
        <v>0</v>
      </c>
      <c r="K2136" s="4" t="n">
        <v>2062</v>
      </c>
    </row>
    <row r="2137" customFormat="false" ht="15" hidden="false" customHeight="false" outlineLevel="0" collapsed="false">
      <c r="A2137" s="4" t="n">
        <v>2136</v>
      </c>
      <c r="B2137" s="4" t="s">
        <v>3228</v>
      </c>
      <c r="C2137" s="4" t="n">
        <v>2022</v>
      </c>
      <c r="D2137" s="4" t="s">
        <v>3229</v>
      </c>
      <c r="E2137" s="25" t="str">
        <f aca="false">IF(J2137=1,"✓","")</f>
        <v/>
      </c>
      <c r="F2137" s="4" t="n">
        <v>2</v>
      </c>
      <c r="G2137" s="4" t="n">
        <v>1</v>
      </c>
      <c r="H2137" s="4" t="s">
        <v>213</v>
      </c>
      <c r="I2137" s="4" t="s">
        <v>55</v>
      </c>
      <c r="J2137" s="4" t="n">
        <f aca="false">INDEX('Master List'!$G$2:$G$2594,K2137)</f>
        <v>0</v>
      </c>
      <c r="K2137" s="4" t="n">
        <v>2041</v>
      </c>
    </row>
    <row r="2138" customFormat="false" ht="15" hidden="false" customHeight="false" outlineLevel="0" collapsed="false">
      <c r="A2138" s="4" t="n">
        <v>2137</v>
      </c>
      <c r="B2138" s="4" t="s">
        <v>3230</v>
      </c>
      <c r="C2138" s="4" t="n">
        <v>2022</v>
      </c>
      <c r="D2138" s="4" t="s">
        <v>1641</v>
      </c>
      <c r="E2138" s="25" t="str">
        <f aca="false">IF(J2138=1,"✓","")</f>
        <v>✓</v>
      </c>
      <c r="F2138" s="4" t="n">
        <v>2</v>
      </c>
      <c r="G2138" s="4" t="n">
        <v>1</v>
      </c>
      <c r="H2138" s="4" t="s">
        <v>213</v>
      </c>
      <c r="I2138" s="4" t="s">
        <v>55</v>
      </c>
      <c r="J2138" s="4" t="n">
        <f aca="false">INDEX('Master List'!$G$2:$G$2594,K2138)</f>
        <v>1</v>
      </c>
      <c r="K2138" s="4" t="n">
        <v>2189</v>
      </c>
    </row>
    <row r="2139" customFormat="false" ht="15" hidden="false" customHeight="false" outlineLevel="0" collapsed="false">
      <c r="A2139" s="4" t="n">
        <v>2138</v>
      </c>
      <c r="B2139" s="4" t="s">
        <v>3231</v>
      </c>
      <c r="C2139" s="4" t="n">
        <v>2022</v>
      </c>
      <c r="D2139" s="4" t="s">
        <v>3232</v>
      </c>
      <c r="E2139" s="25" t="str">
        <f aca="false">IF(J2139=1,"✓","")</f>
        <v/>
      </c>
      <c r="F2139" s="4" t="n">
        <v>2</v>
      </c>
      <c r="G2139" s="4" t="n">
        <v>1</v>
      </c>
      <c r="H2139" s="4" t="s">
        <v>213</v>
      </c>
      <c r="I2139" s="4" t="s">
        <v>55</v>
      </c>
      <c r="J2139" s="4" t="n">
        <f aca="false">INDEX('Master List'!$G$2:$G$2594,K2139)</f>
        <v>0</v>
      </c>
      <c r="K2139" s="4" t="n">
        <v>1359</v>
      </c>
    </row>
    <row r="2140" customFormat="false" ht="15" hidden="false" customHeight="false" outlineLevel="0" collapsed="false">
      <c r="A2140" s="4" t="n">
        <v>2139</v>
      </c>
      <c r="B2140" s="4" t="s">
        <v>3233</v>
      </c>
      <c r="C2140" s="4" t="n">
        <v>2022</v>
      </c>
      <c r="D2140" s="4" t="s">
        <v>1293</v>
      </c>
      <c r="E2140" s="25" t="str">
        <f aca="false">IF(J2140=1,"✓","")</f>
        <v/>
      </c>
      <c r="F2140" s="4" t="n">
        <v>2</v>
      </c>
      <c r="G2140" s="4" t="n">
        <v>1</v>
      </c>
      <c r="H2140" s="4" t="s">
        <v>213</v>
      </c>
      <c r="I2140" s="4" t="s">
        <v>55</v>
      </c>
      <c r="J2140" s="4" t="n">
        <f aca="false">INDEX('Master List'!$G$2:$G$2594,K2140)</f>
        <v>0</v>
      </c>
      <c r="K2140" s="4" t="n">
        <v>162</v>
      </c>
    </row>
    <row r="2141" customFormat="false" ht="15" hidden="false" customHeight="false" outlineLevel="0" collapsed="false">
      <c r="A2141" s="4" t="n">
        <v>2140</v>
      </c>
      <c r="B2141" s="4" t="s">
        <v>3234</v>
      </c>
      <c r="C2141" s="4" t="n">
        <v>2022</v>
      </c>
      <c r="D2141" s="4" t="s">
        <v>3235</v>
      </c>
      <c r="E2141" s="25" t="str">
        <f aca="false">IF(J2141=1,"✓","")</f>
        <v>✓</v>
      </c>
      <c r="F2141" s="4" t="n">
        <v>2</v>
      </c>
      <c r="G2141" s="4" t="n">
        <v>1</v>
      </c>
      <c r="H2141" s="4" t="s">
        <v>213</v>
      </c>
      <c r="I2141" s="4" t="s">
        <v>56</v>
      </c>
      <c r="J2141" s="4" t="n">
        <f aca="false">INDEX('Master List'!$G$2:$G$2594,K2141)</f>
        <v>1</v>
      </c>
      <c r="K2141" s="4" t="n">
        <v>2337</v>
      </c>
    </row>
    <row r="2142" customFormat="false" ht="15" hidden="false" customHeight="false" outlineLevel="0" collapsed="false">
      <c r="A2142" s="4" t="n">
        <v>2141</v>
      </c>
      <c r="B2142" s="4" t="s">
        <v>3236</v>
      </c>
      <c r="C2142" s="4" t="n">
        <v>2023</v>
      </c>
      <c r="D2142" s="4" t="s">
        <v>3134</v>
      </c>
      <c r="E2142" s="25" t="str">
        <f aca="false">IF(J2142=1,"✓","")</f>
        <v/>
      </c>
      <c r="F2142" s="4" t="n">
        <v>2</v>
      </c>
      <c r="G2142" s="4" t="n">
        <v>1</v>
      </c>
      <c r="H2142" s="4" t="s">
        <v>213</v>
      </c>
      <c r="I2142" s="4" t="s">
        <v>51</v>
      </c>
      <c r="J2142" s="4" t="n">
        <f aca="false">INDEX('Master List'!$G$2:$G$2594,K2142)</f>
        <v>0</v>
      </c>
      <c r="K2142" s="4" t="n">
        <v>447</v>
      </c>
    </row>
    <row r="2143" customFormat="false" ht="15" hidden="false" customHeight="false" outlineLevel="0" collapsed="false">
      <c r="A2143" s="4" t="n">
        <v>2142</v>
      </c>
      <c r="B2143" s="4" t="s">
        <v>3237</v>
      </c>
      <c r="C2143" s="4" t="n">
        <v>2023</v>
      </c>
      <c r="D2143" s="4" t="s">
        <v>320</v>
      </c>
      <c r="E2143" s="25" t="str">
        <f aca="false">IF(J2143=1,"✓","")</f>
        <v/>
      </c>
      <c r="F2143" s="4" t="n">
        <v>2</v>
      </c>
      <c r="G2143" s="4" t="n">
        <v>1</v>
      </c>
      <c r="H2143" s="4" t="s">
        <v>213</v>
      </c>
      <c r="I2143" s="4" t="s">
        <v>53</v>
      </c>
      <c r="J2143" s="4" t="n">
        <f aca="false">INDEX('Master List'!$G$2:$G$2594,K2143)</f>
        <v>0</v>
      </c>
      <c r="K2143" s="4" t="n">
        <v>1045</v>
      </c>
    </row>
    <row r="2144" customFormat="false" ht="15" hidden="false" customHeight="false" outlineLevel="0" collapsed="false">
      <c r="A2144" s="4" t="n">
        <v>2143</v>
      </c>
      <c r="B2144" s="4" t="s">
        <v>2489</v>
      </c>
      <c r="C2144" s="4" t="n">
        <v>2023</v>
      </c>
      <c r="D2144" s="4" t="s">
        <v>325</v>
      </c>
      <c r="E2144" s="25" t="str">
        <f aca="false">IF(J2144=1,"✓","")</f>
        <v/>
      </c>
      <c r="F2144" s="4" t="n">
        <v>2</v>
      </c>
      <c r="G2144" s="4" t="n">
        <v>1</v>
      </c>
      <c r="H2144" s="4" t="s">
        <v>213</v>
      </c>
      <c r="I2144" s="4" t="s">
        <v>53</v>
      </c>
      <c r="J2144" s="4" t="n">
        <f aca="false">INDEX('Master List'!$G$2:$G$2594,K2144)</f>
        <v>0</v>
      </c>
      <c r="K2144" s="4" t="n">
        <v>1246</v>
      </c>
    </row>
    <row r="2145" customFormat="false" ht="15" hidden="false" customHeight="false" outlineLevel="0" collapsed="false">
      <c r="A2145" s="4" t="n">
        <v>2144</v>
      </c>
      <c r="B2145" s="4" t="s">
        <v>3238</v>
      </c>
      <c r="C2145" s="4" t="n">
        <v>2023</v>
      </c>
      <c r="D2145" s="4" t="s">
        <v>274</v>
      </c>
      <c r="E2145" s="25" t="str">
        <f aca="false">IF(J2145=1,"✓","")</f>
        <v>✓</v>
      </c>
      <c r="F2145" s="4" t="n">
        <v>2</v>
      </c>
      <c r="G2145" s="4" t="n">
        <v>1</v>
      </c>
      <c r="H2145" s="4" t="s">
        <v>213</v>
      </c>
      <c r="I2145" s="4" t="s">
        <v>53</v>
      </c>
      <c r="J2145" s="4" t="n">
        <f aca="false">INDEX('Master List'!$G$2:$G$2594,K2145)</f>
        <v>1</v>
      </c>
      <c r="K2145" s="4" t="n">
        <v>143</v>
      </c>
    </row>
    <row r="2146" customFormat="false" ht="15" hidden="false" customHeight="false" outlineLevel="0" collapsed="false">
      <c r="A2146" s="4" t="n">
        <v>2145</v>
      </c>
      <c r="B2146" s="4" t="s">
        <v>3239</v>
      </c>
      <c r="C2146" s="4" t="n">
        <v>2023</v>
      </c>
      <c r="D2146" s="4" t="s">
        <v>874</v>
      </c>
      <c r="E2146" s="25" t="str">
        <f aca="false">IF(J2146=1,"✓","")</f>
        <v/>
      </c>
      <c r="F2146" s="4" t="n">
        <v>2</v>
      </c>
      <c r="G2146" s="4" t="n">
        <v>1</v>
      </c>
      <c r="H2146" s="4" t="s">
        <v>213</v>
      </c>
      <c r="I2146" s="4" t="s">
        <v>53</v>
      </c>
      <c r="J2146" s="4" t="n">
        <f aca="false">INDEX('Master List'!$G$2:$G$2594,K2146)</f>
        <v>0</v>
      </c>
      <c r="K2146" s="4" t="n">
        <v>1795</v>
      </c>
    </row>
    <row r="2147" customFormat="false" ht="15" hidden="false" customHeight="false" outlineLevel="0" collapsed="false">
      <c r="A2147" s="4" t="n">
        <v>2146</v>
      </c>
      <c r="B2147" s="4" t="s">
        <v>3240</v>
      </c>
      <c r="C2147" s="4" t="n">
        <v>2023</v>
      </c>
      <c r="D2147" s="4" t="s">
        <v>382</v>
      </c>
      <c r="E2147" s="25" t="str">
        <f aca="false">IF(J2147=1,"✓","")</f>
        <v/>
      </c>
      <c r="F2147" s="4" t="n">
        <v>2</v>
      </c>
      <c r="G2147" s="4" t="n">
        <v>1</v>
      </c>
      <c r="H2147" s="4" t="s">
        <v>213</v>
      </c>
      <c r="I2147" s="4" t="s">
        <v>53</v>
      </c>
      <c r="J2147" s="4" t="n">
        <f aca="false">INDEX('Master List'!$G$2:$G$2594,K2147)</f>
        <v>0</v>
      </c>
      <c r="K2147" s="4" t="n">
        <v>329</v>
      </c>
    </row>
    <row r="2148" customFormat="false" ht="15" hidden="false" customHeight="false" outlineLevel="0" collapsed="false">
      <c r="A2148" s="4" t="n">
        <v>2147</v>
      </c>
      <c r="B2148" s="4" t="s">
        <v>3241</v>
      </c>
      <c r="C2148" s="4" t="n">
        <v>2023</v>
      </c>
      <c r="D2148" s="4" t="s">
        <v>3242</v>
      </c>
      <c r="E2148" s="25" t="str">
        <f aca="false">IF(J2148=1,"✓","")</f>
        <v/>
      </c>
      <c r="F2148" s="4" t="n">
        <v>2</v>
      </c>
      <c r="G2148" s="4" t="n">
        <v>1</v>
      </c>
      <c r="H2148" s="4" t="s">
        <v>213</v>
      </c>
      <c r="I2148" s="4" t="s">
        <v>54</v>
      </c>
      <c r="J2148" s="4" t="n">
        <f aca="false">INDEX('Master List'!$G$2:$G$2594,K2148)</f>
        <v>0</v>
      </c>
      <c r="K2148" s="4" t="n">
        <v>865</v>
      </c>
    </row>
    <row r="2149" customFormat="false" ht="15" hidden="false" customHeight="false" outlineLevel="0" collapsed="false">
      <c r="A2149" s="4" t="n">
        <v>2148</v>
      </c>
      <c r="B2149" s="4" t="s">
        <v>3243</v>
      </c>
      <c r="C2149" s="4" t="n">
        <v>2023</v>
      </c>
      <c r="D2149" s="4" t="s">
        <v>3244</v>
      </c>
      <c r="E2149" s="25" t="str">
        <f aca="false">IF(J2149=1,"✓","")</f>
        <v/>
      </c>
      <c r="F2149" s="4" t="n">
        <v>2</v>
      </c>
      <c r="G2149" s="4" t="n">
        <v>1</v>
      </c>
      <c r="H2149" s="4" t="s">
        <v>213</v>
      </c>
      <c r="I2149" s="4" t="s">
        <v>55</v>
      </c>
      <c r="J2149" s="4" t="n">
        <f aca="false">INDEX('Master List'!$G$2:$G$2594,K2149)</f>
        <v>0</v>
      </c>
      <c r="K2149" s="4" t="n">
        <v>1307</v>
      </c>
    </row>
    <row r="2150" customFormat="false" ht="15" hidden="false" customHeight="false" outlineLevel="0" collapsed="false">
      <c r="A2150" s="4" t="n">
        <v>2149</v>
      </c>
      <c r="B2150" s="4" t="s">
        <v>3245</v>
      </c>
      <c r="C2150" s="4" t="n">
        <v>2023</v>
      </c>
      <c r="D2150" s="4" t="s">
        <v>3246</v>
      </c>
      <c r="E2150" s="25" t="str">
        <f aca="false">IF(J2150=1,"✓","")</f>
        <v/>
      </c>
      <c r="F2150" s="4" t="n">
        <v>2</v>
      </c>
      <c r="G2150" s="4" t="n">
        <v>1</v>
      </c>
      <c r="H2150" s="4" t="s">
        <v>213</v>
      </c>
      <c r="I2150" s="4" t="s">
        <v>55</v>
      </c>
      <c r="J2150" s="4" t="n">
        <f aca="false">INDEX('Master List'!$G$2:$G$2594,K2150)</f>
        <v>0</v>
      </c>
      <c r="K2150" s="4" t="n">
        <v>2078</v>
      </c>
    </row>
    <row r="2151" customFormat="false" ht="15" hidden="false" customHeight="false" outlineLevel="0" collapsed="false">
      <c r="A2151" s="4" t="n">
        <v>2150</v>
      </c>
      <c r="B2151" s="4" t="s">
        <v>3247</v>
      </c>
      <c r="C2151" s="4" t="n">
        <v>2023</v>
      </c>
      <c r="D2151" s="4" t="s">
        <v>3248</v>
      </c>
      <c r="E2151" s="25" t="str">
        <f aca="false">IF(J2151=1,"✓","")</f>
        <v/>
      </c>
      <c r="F2151" s="4" t="n">
        <v>2</v>
      </c>
      <c r="G2151" s="4" t="n">
        <v>1</v>
      </c>
      <c r="H2151" s="4" t="s">
        <v>213</v>
      </c>
      <c r="I2151" s="4" t="s">
        <v>55</v>
      </c>
      <c r="J2151" s="4" t="n">
        <f aca="false">INDEX('Master List'!$G$2:$G$2594,K2151)</f>
        <v>0</v>
      </c>
      <c r="K2151" s="4" t="n">
        <v>2247</v>
      </c>
    </row>
    <row r="2152" customFormat="false" ht="15" hidden="false" customHeight="false" outlineLevel="0" collapsed="false">
      <c r="A2152" s="4" t="n">
        <v>2151</v>
      </c>
      <c r="B2152" s="4" t="s">
        <v>3249</v>
      </c>
      <c r="C2152" s="4" t="n">
        <v>2023</v>
      </c>
      <c r="D2152" s="4" t="s">
        <v>3250</v>
      </c>
      <c r="E2152" s="25" t="str">
        <f aca="false">IF(J2152=1,"✓","")</f>
        <v/>
      </c>
      <c r="F2152" s="4" t="n">
        <v>2</v>
      </c>
      <c r="G2152" s="4" t="n">
        <v>1</v>
      </c>
      <c r="H2152" s="4" t="s">
        <v>213</v>
      </c>
      <c r="I2152" s="4" t="s">
        <v>56</v>
      </c>
      <c r="J2152" s="4" t="n">
        <f aca="false">INDEX('Master List'!$G$2:$G$2594,K2152)</f>
        <v>0</v>
      </c>
      <c r="K2152" s="4" t="n">
        <v>912</v>
      </c>
    </row>
    <row r="2153" customFormat="false" ht="15" hidden="false" customHeight="false" outlineLevel="0" collapsed="false">
      <c r="A2153" s="4" t="n">
        <v>2152</v>
      </c>
      <c r="B2153" s="4" t="s">
        <v>3251</v>
      </c>
      <c r="C2153" s="4" t="n">
        <v>2024</v>
      </c>
      <c r="D2153" s="4" t="s">
        <v>694</v>
      </c>
      <c r="E2153" s="25" t="str">
        <f aca="false">IF(J2153=1,"✓","")</f>
        <v/>
      </c>
      <c r="F2153" s="4" t="n">
        <v>2</v>
      </c>
      <c r="G2153" s="4" t="n">
        <v>1</v>
      </c>
      <c r="H2153" s="4" t="s">
        <v>213</v>
      </c>
      <c r="I2153" s="4" t="s">
        <v>50</v>
      </c>
      <c r="J2153" s="4" t="n">
        <f aca="false">INDEX('Master List'!$G$2:$G$2594,K2153)</f>
        <v>0</v>
      </c>
      <c r="K2153" s="4" t="n">
        <v>115</v>
      </c>
    </row>
    <row r="2154" customFormat="false" ht="15" hidden="false" customHeight="false" outlineLevel="0" collapsed="false">
      <c r="A2154" s="4" t="n">
        <v>2153</v>
      </c>
      <c r="B2154" s="4" t="s">
        <v>3252</v>
      </c>
      <c r="C2154" s="4" t="n">
        <v>2024</v>
      </c>
      <c r="D2154" s="4" t="s">
        <v>3253</v>
      </c>
      <c r="E2154" s="25" t="str">
        <f aca="false">IF(J2154=1,"✓","")</f>
        <v/>
      </c>
      <c r="F2154" s="4" t="n">
        <v>2</v>
      </c>
      <c r="G2154" s="4" t="n">
        <v>1</v>
      </c>
      <c r="H2154" s="4" t="s">
        <v>213</v>
      </c>
      <c r="I2154" s="4" t="s">
        <v>50</v>
      </c>
      <c r="J2154" s="4" t="n">
        <f aca="false">INDEX('Master List'!$G$2:$G$2594,K2154)</f>
        <v>0</v>
      </c>
      <c r="K2154" s="4" t="n">
        <v>361</v>
      </c>
    </row>
    <row r="2155" customFormat="false" ht="15" hidden="false" customHeight="false" outlineLevel="0" collapsed="false">
      <c r="A2155" s="4" t="n">
        <v>2154</v>
      </c>
      <c r="B2155" s="4" t="s">
        <v>3254</v>
      </c>
      <c r="C2155" s="4" t="n">
        <v>2024</v>
      </c>
      <c r="D2155" s="4" t="s">
        <v>3255</v>
      </c>
      <c r="E2155" s="25" t="str">
        <f aca="false">IF(J2155=1,"✓","")</f>
        <v/>
      </c>
      <c r="F2155" s="4" t="n">
        <v>2</v>
      </c>
      <c r="G2155" s="4" t="n">
        <v>1</v>
      </c>
      <c r="H2155" s="4" t="s">
        <v>213</v>
      </c>
      <c r="I2155" s="4" t="s">
        <v>52</v>
      </c>
      <c r="J2155" s="4" t="n">
        <f aca="false">INDEX('Master List'!$G$2:$G$2594,K2155)</f>
        <v>0</v>
      </c>
      <c r="K2155" s="4" t="n">
        <v>1379</v>
      </c>
    </row>
    <row r="2156" customFormat="false" ht="15" hidden="false" customHeight="false" outlineLevel="0" collapsed="false">
      <c r="A2156" s="4" t="n">
        <v>2155</v>
      </c>
      <c r="B2156" s="4" t="s">
        <v>3256</v>
      </c>
      <c r="C2156" s="4" t="n">
        <v>2024</v>
      </c>
      <c r="D2156" s="4" t="s">
        <v>3257</v>
      </c>
      <c r="E2156" s="25" t="str">
        <f aca="false">IF(J2156=1,"✓","")</f>
        <v/>
      </c>
      <c r="F2156" s="4" t="n">
        <v>2</v>
      </c>
      <c r="G2156" s="4" t="n">
        <v>1</v>
      </c>
      <c r="H2156" s="4" t="s">
        <v>213</v>
      </c>
      <c r="I2156" s="4" t="s">
        <v>52</v>
      </c>
      <c r="J2156" s="4" t="n">
        <f aca="false">INDEX('Master List'!$G$2:$G$2594,K2156)</f>
        <v>0</v>
      </c>
      <c r="K2156" s="4" t="n">
        <v>2190</v>
      </c>
    </row>
    <row r="2157" customFormat="false" ht="15" hidden="false" customHeight="false" outlineLevel="0" collapsed="false">
      <c r="A2157" s="4" t="n">
        <v>2156</v>
      </c>
      <c r="B2157" s="4" t="s">
        <v>3258</v>
      </c>
      <c r="C2157" s="4" t="n">
        <v>2024</v>
      </c>
      <c r="D2157" s="4" t="s">
        <v>327</v>
      </c>
      <c r="E2157" s="25" t="str">
        <f aca="false">IF(J2157=1,"✓","")</f>
        <v/>
      </c>
      <c r="F2157" s="4" t="n">
        <v>2</v>
      </c>
      <c r="G2157" s="4" t="n">
        <v>1</v>
      </c>
      <c r="H2157" s="4" t="s">
        <v>213</v>
      </c>
      <c r="I2157" s="4" t="s">
        <v>52</v>
      </c>
      <c r="J2157" s="4" t="n">
        <f aca="false">INDEX('Master List'!$G$2:$G$2594,K2157)</f>
        <v>0</v>
      </c>
      <c r="K2157" s="4" t="n">
        <v>694</v>
      </c>
    </row>
    <row r="2158" customFormat="false" ht="15" hidden="false" customHeight="false" outlineLevel="0" collapsed="false">
      <c r="A2158" s="4" t="n">
        <v>2157</v>
      </c>
      <c r="B2158" s="4" t="s">
        <v>3259</v>
      </c>
      <c r="C2158" s="4" t="n">
        <v>2024</v>
      </c>
      <c r="D2158" s="4" t="s">
        <v>646</v>
      </c>
      <c r="E2158" s="25" t="str">
        <f aca="false">IF(J2158=1,"✓","")</f>
        <v>✓</v>
      </c>
      <c r="F2158" s="4" t="n">
        <v>2</v>
      </c>
      <c r="G2158" s="4" t="n">
        <v>1</v>
      </c>
      <c r="H2158" s="4" t="s">
        <v>213</v>
      </c>
      <c r="I2158" s="4" t="s">
        <v>52</v>
      </c>
      <c r="J2158" s="4" t="n">
        <f aca="false">INDEX('Master List'!$G$2:$G$2594,K2158)</f>
        <v>1</v>
      </c>
      <c r="K2158" s="4" t="n">
        <v>470</v>
      </c>
    </row>
    <row r="2159" customFormat="false" ht="15" hidden="false" customHeight="false" outlineLevel="0" collapsed="false">
      <c r="A2159" s="4" t="n">
        <v>2158</v>
      </c>
      <c r="B2159" s="4" t="s">
        <v>3260</v>
      </c>
      <c r="C2159" s="4" t="n">
        <v>2024</v>
      </c>
      <c r="D2159" s="4" t="s">
        <v>2926</v>
      </c>
      <c r="E2159" s="25" t="str">
        <f aca="false">IF(J2159=1,"✓","")</f>
        <v/>
      </c>
      <c r="F2159" s="4" t="n">
        <v>2</v>
      </c>
      <c r="G2159" s="4" t="n">
        <v>1</v>
      </c>
      <c r="H2159" s="4" t="s">
        <v>213</v>
      </c>
      <c r="I2159" s="4" t="s">
        <v>52</v>
      </c>
      <c r="J2159" s="4" t="n">
        <f aca="false">INDEX('Master List'!$G$2:$G$2594,K2159)</f>
        <v>0</v>
      </c>
      <c r="K2159" s="4" t="n">
        <v>1476</v>
      </c>
    </row>
    <row r="2160" customFormat="false" ht="15" hidden="false" customHeight="false" outlineLevel="0" collapsed="false">
      <c r="A2160" s="4" t="n">
        <v>2159</v>
      </c>
      <c r="B2160" s="4" t="s">
        <v>3261</v>
      </c>
      <c r="C2160" s="4" t="n">
        <v>2024</v>
      </c>
      <c r="D2160" s="4" t="s">
        <v>3262</v>
      </c>
      <c r="E2160" s="25" t="str">
        <f aca="false">IF(J2160=1,"✓","")</f>
        <v/>
      </c>
      <c r="F2160" s="4" t="n">
        <v>2</v>
      </c>
      <c r="G2160" s="4" t="n">
        <v>1</v>
      </c>
      <c r="H2160" s="4" t="s">
        <v>213</v>
      </c>
      <c r="I2160" s="4" t="s">
        <v>52</v>
      </c>
      <c r="J2160" s="4" t="n">
        <f aca="false">INDEX('Master List'!$G$2:$G$2594,K2160)</f>
        <v>0</v>
      </c>
      <c r="K2160" s="4" t="n">
        <v>824</v>
      </c>
    </row>
    <row r="2161" customFormat="false" ht="15" hidden="false" customHeight="false" outlineLevel="0" collapsed="false">
      <c r="A2161" s="4" t="n">
        <v>2160</v>
      </c>
      <c r="B2161" s="4" t="s">
        <v>3263</v>
      </c>
      <c r="C2161" s="4" t="n">
        <v>2024</v>
      </c>
      <c r="D2161" s="4" t="s">
        <v>3264</v>
      </c>
      <c r="E2161" s="25" t="str">
        <f aca="false">IF(J2161=1,"✓","")</f>
        <v>✓</v>
      </c>
      <c r="F2161" s="4" t="n">
        <v>2</v>
      </c>
      <c r="G2161" s="4" t="n">
        <v>1</v>
      </c>
      <c r="H2161" s="4" t="s">
        <v>213</v>
      </c>
      <c r="I2161" s="4" t="s">
        <v>55</v>
      </c>
      <c r="J2161" s="4" t="n">
        <f aca="false">INDEX('Master List'!$G$2:$G$2594,K2161)</f>
        <v>1</v>
      </c>
      <c r="K2161" s="4" t="n">
        <v>1973</v>
      </c>
    </row>
    <row r="2162" customFormat="false" ht="15" hidden="false" customHeight="false" outlineLevel="0" collapsed="false">
      <c r="A2162" s="4" t="n">
        <v>2161</v>
      </c>
      <c r="B2162" s="4" t="s">
        <v>3265</v>
      </c>
      <c r="C2162" s="4" t="n">
        <v>2024</v>
      </c>
      <c r="D2162" s="4" t="s">
        <v>3224</v>
      </c>
      <c r="E2162" s="25" t="str">
        <f aca="false">IF(J2162=1,"✓","")</f>
        <v/>
      </c>
      <c r="F2162" s="4" t="n">
        <v>2</v>
      </c>
      <c r="G2162" s="4" t="n">
        <v>1</v>
      </c>
      <c r="H2162" s="4" t="s">
        <v>213</v>
      </c>
      <c r="I2162" s="4" t="s">
        <v>55</v>
      </c>
      <c r="J2162" s="4" t="n">
        <f aca="false">INDEX('Master List'!$G$2:$G$2594,K2162)</f>
        <v>0</v>
      </c>
      <c r="K2162" s="4" t="n">
        <v>511</v>
      </c>
    </row>
    <row r="2163" customFormat="false" ht="15" hidden="false" customHeight="false" outlineLevel="0" collapsed="false">
      <c r="A2163" s="4" t="n">
        <v>2162</v>
      </c>
      <c r="B2163" s="4" t="s">
        <v>3266</v>
      </c>
      <c r="C2163" s="4" t="n">
        <v>2025</v>
      </c>
      <c r="D2163" s="4" t="s">
        <v>3267</v>
      </c>
      <c r="E2163" s="25" t="str">
        <f aca="false">IF(J2163=1,"✓","")</f>
        <v/>
      </c>
      <c r="F2163" s="4" t="n">
        <v>2</v>
      </c>
      <c r="G2163" s="4" t="n">
        <v>1</v>
      </c>
      <c r="H2163" s="4" t="s">
        <v>213</v>
      </c>
      <c r="I2163" s="4" t="s">
        <v>52</v>
      </c>
      <c r="J2163" s="4" t="n">
        <f aca="false">INDEX('Master List'!$G$2:$G$2594,K2163)</f>
        <v>0</v>
      </c>
      <c r="K2163" s="4" t="n">
        <v>2466</v>
      </c>
    </row>
    <row r="2164" customFormat="false" ht="15" hidden="false" customHeight="false" outlineLevel="0" collapsed="false">
      <c r="A2164" s="4" t="n">
        <v>2163</v>
      </c>
      <c r="B2164" s="4" t="s">
        <v>3268</v>
      </c>
      <c r="C2164" s="4" t="n">
        <v>2025</v>
      </c>
      <c r="D2164" s="4" t="s">
        <v>278</v>
      </c>
      <c r="E2164" s="25" t="str">
        <f aca="false">IF(J2164=1,"✓","")</f>
        <v>✓</v>
      </c>
      <c r="F2164" s="4" t="n">
        <v>2</v>
      </c>
      <c r="G2164" s="4" t="n">
        <v>1</v>
      </c>
      <c r="H2164" s="4" t="s">
        <v>213</v>
      </c>
      <c r="I2164" s="4" t="s">
        <v>53</v>
      </c>
      <c r="J2164" s="4" t="n">
        <f aca="false">INDEX('Master List'!$G$2:$G$2594,K2164)</f>
        <v>1</v>
      </c>
      <c r="K2164" s="4" t="n">
        <v>1676</v>
      </c>
    </row>
    <row r="2165" customFormat="false" ht="15" hidden="false" customHeight="false" outlineLevel="0" collapsed="false">
      <c r="A2165" s="4" t="n">
        <v>2164</v>
      </c>
      <c r="B2165" s="4" t="s">
        <v>3269</v>
      </c>
      <c r="C2165" s="4" t="n">
        <v>2025</v>
      </c>
      <c r="D2165" s="4" t="s">
        <v>3039</v>
      </c>
      <c r="E2165" s="25" t="str">
        <f aca="false">IF(J2165=1,"✓","")</f>
        <v/>
      </c>
      <c r="F2165" s="4" t="n">
        <v>2</v>
      </c>
      <c r="G2165" s="4" t="n">
        <v>1</v>
      </c>
      <c r="H2165" s="4" t="s">
        <v>213</v>
      </c>
      <c r="I2165" s="4" t="s">
        <v>54</v>
      </c>
      <c r="J2165" s="4" t="n">
        <f aca="false">INDEX('Master List'!$G$2:$G$2594,K2165)</f>
        <v>0</v>
      </c>
      <c r="K2165" s="4" t="n">
        <v>2081</v>
      </c>
    </row>
    <row r="2166" customFormat="false" ht="15" hidden="false" customHeight="false" outlineLevel="0" collapsed="false">
      <c r="A2166" s="4" t="n">
        <v>2165</v>
      </c>
      <c r="B2166" s="4" t="s">
        <v>3270</v>
      </c>
      <c r="C2166" s="4" t="n">
        <v>1894</v>
      </c>
      <c r="D2166" s="4" t="s">
        <v>3271</v>
      </c>
      <c r="E2166" s="25" t="str">
        <f aca="false">IF(J2166=1,"✓","")</f>
        <v>✓</v>
      </c>
      <c r="F2166" s="4" t="n">
        <v>1</v>
      </c>
      <c r="G2166" s="4" t="n">
        <v>1</v>
      </c>
      <c r="H2166" s="4" t="s">
        <v>1327</v>
      </c>
      <c r="I2166" s="4" t="s">
        <v>50</v>
      </c>
      <c r="J2166" s="4" t="n">
        <f aca="false">INDEX('Master List'!$G$2:$G$2594,K2166)</f>
        <v>1</v>
      </c>
      <c r="K2166" s="4" t="n">
        <v>710</v>
      </c>
    </row>
    <row r="2167" customFormat="false" ht="15" hidden="false" customHeight="false" outlineLevel="0" collapsed="false">
      <c r="A2167" s="4" t="n">
        <v>2166</v>
      </c>
      <c r="B2167" s="4" t="s">
        <v>3272</v>
      </c>
      <c r="C2167" s="4" t="n">
        <v>1905</v>
      </c>
      <c r="D2167" s="4" t="s">
        <v>3273</v>
      </c>
      <c r="E2167" s="25" t="str">
        <f aca="false">IF(J2167=1,"✓","")</f>
        <v/>
      </c>
      <c r="F2167" s="4" t="n">
        <v>1</v>
      </c>
      <c r="G2167" s="4" t="n">
        <v>1</v>
      </c>
      <c r="H2167" s="4" t="s">
        <v>1327</v>
      </c>
      <c r="I2167" s="4" t="s">
        <v>50</v>
      </c>
      <c r="J2167" s="4" t="n">
        <f aca="false">INDEX('Master List'!$G$2:$G$2594,K2167)</f>
        <v>0</v>
      </c>
      <c r="K2167" s="4" t="n">
        <v>1891</v>
      </c>
    </row>
    <row r="2168" customFormat="false" ht="15" hidden="false" customHeight="false" outlineLevel="0" collapsed="false">
      <c r="A2168" s="4" t="n">
        <v>2167</v>
      </c>
      <c r="B2168" s="4" t="s">
        <v>3274</v>
      </c>
      <c r="C2168" s="4" t="n">
        <v>1919</v>
      </c>
      <c r="D2168" s="4" t="s">
        <v>1682</v>
      </c>
      <c r="E2168" s="25" t="str">
        <f aca="false">IF(J2168=1,"✓","")</f>
        <v/>
      </c>
      <c r="F2168" s="4" t="n">
        <v>1</v>
      </c>
      <c r="G2168" s="4" t="n">
        <v>1</v>
      </c>
      <c r="H2168" s="4" t="s">
        <v>1327</v>
      </c>
      <c r="I2168" s="4" t="s">
        <v>52</v>
      </c>
      <c r="J2168" s="4" t="n">
        <f aca="false">INDEX('Master List'!$G$2:$G$2594,K2168)</f>
        <v>0</v>
      </c>
      <c r="K2168" s="4" t="n">
        <v>1188</v>
      </c>
    </row>
    <row r="2169" customFormat="false" ht="15" hidden="false" customHeight="false" outlineLevel="0" collapsed="false">
      <c r="A2169" s="4" t="n">
        <v>2168</v>
      </c>
      <c r="B2169" s="4" t="s">
        <v>3275</v>
      </c>
      <c r="C2169" s="4" t="n">
        <v>1920</v>
      </c>
      <c r="D2169" s="4" t="s">
        <v>3276</v>
      </c>
      <c r="E2169" s="25" t="str">
        <f aca="false">IF(J2169=1,"✓","")</f>
        <v/>
      </c>
      <c r="F2169" s="4" t="n">
        <v>1</v>
      </c>
      <c r="G2169" s="4" t="n">
        <v>1</v>
      </c>
      <c r="H2169" s="4" t="s">
        <v>1327</v>
      </c>
      <c r="I2169" s="4" t="s">
        <v>50</v>
      </c>
      <c r="J2169" s="4" t="n">
        <f aca="false">INDEX('Master List'!$G$2:$G$2594,K2169)</f>
        <v>0</v>
      </c>
      <c r="K2169" s="4" t="n">
        <v>1682</v>
      </c>
    </row>
    <row r="2170" customFormat="false" ht="15" hidden="false" customHeight="false" outlineLevel="0" collapsed="false">
      <c r="A2170" s="4" t="n">
        <v>2169</v>
      </c>
      <c r="B2170" s="4" t="s">
        <v>3277</v>
      </c>
      <c r="C2170" s="4" t="n">
        <v>1923</v>
      </c>
      <c r="D2170" s="4" t="s">
        <v>3278</v>
      </c>
      <c r="E2170" s="25" t="str">
        <f aca="false">IF(J2170=1,"✓","")</f>
        <v/>
      </c>
      <c r="F2170" s="4" t="n">
        <v>1</v>
      </c>
      <c r="G2170" s="4" t="n">
        <v>1</v>
      </c>
      <c r="H2170" s="4" t="s">
        <v>1327</v>
      </c>
      <c r="I2170" s="4" t="s">
        <v>50</v>
      </c>
      <c r="J2170" s="4" t="n">
        <f aca="false">INDEX('Master List'!$G$2:$G$2594,K2170)</f>
        <v>0</v>
      </c>
      <c r="K2170" s="4" t="n">
        <v>1961</v>
      </c>
    </row>
    <row r="2171" customFormat="false" ht="15" hidden="false" customHeight="false" outlineLevel="0" collapsed="false">
      <c r="A2171" s="4" t="n">
        <v>2170</v>
      </c>
      <c r="B2171" s="4" t="s">
        <v>3279</v>
      </c>
      <c r="C2171" s="4" t="n">
        <v>1923</v>
      </c>
      <c r="D2171" s="4" t="s">
        <v>3280</v>
      </c>
      <c r="E2171" s="25" t="str">
        <f aca="false">IF(J2171=1,"✓","")</f>
        <v/>
      </c>
      <c r="F2171" s="4" t="n">
        <v>1</v>
      </c>
      <c r="G2171" s="4" t="n">
        <v>1</v>
      </c>
      <c r="H2171" s="4" t="s">
        <v>1327</v>
      </c>
      <c r="I2171" s="4" t="s">
        <v>50</v>
      </c>
      <c r="J2171" s="4" t="n">
        <f aca="false">INDEX('Master List'!$G$2:$G$2594,K2171)</f>
        <v>0</v>
      </c>
      <c r="K2171" s="4" t="n">
        <v>2468</v>
      </c>
    </row>
    <row r="2172" customFormat="false" ht="15" hidden="false" customHeight="false" outlineLevel="0" collapsed="false">
      <c r="A2172" s="4" t="n">
        <v>2171</v>
      </c>
      <c r="B2172" s="4" t="s">
        <v>3281</v>
      </c>
      <c r="C2172" s="4" t="n">
        <v>1923</v>
      </c>
      <c r="D2172" s="4" t="s">
        <v>1699</v>
      </c>
      <c r="E2172" s="25" t="str">
        <f aca="false">IF(J2172=1,"✓","")</f>
        <v/>
      </c>
      <c r="F2172" s="4" t="n">
        <v>1</v>
      </c>
      <c r="G2172" s="4" t="n">
        <v>1</v>
      </c>
      <c r="H2172" s="4" t="s">
        <v>1327</v>
      </c>
      <c r="I2172" s="4" t="s">
        <v>50</v>
      </c>
      <c r="J2172" s="4" t="n">
        <f aca="false">INDEX('Master List'!$G$2:$G$2594,K2172)</f>
        <v>0</v>
      </c>
      <c r="K2172" s="4" t="n">
        <v>2097</v>
      </c>
    </row>
    <row r="2173" customFormat="false" ht="15" hidden="false" customHeight="false" outlineLevel="0" collapsed="false">
      <c r="A2173" s="4" t="n">
        <v>2172</v>
      </c>
      <c r="B2173" s="4" t="s">
        <v>3282</v>
      </c>
      <c r="C2173" s="4" t="n">
        <v>1923</v>
      </c>
      <c r="D2173" s="4" t="s">
        <v>1697</v>
      </c>
      <c r="E2173" s="25" t="str">
        <f aca="false">IF(J2173=1,"✓","")</f>
        <v/>
      </c>
      <c r="F2173" s="4" t="n">
        <v>1</v>
      </c>
      <c r="G2173" s="4" t="n">
        <v>1</v>
      </c>
      <c r="H2173" s="4" t="s">
        <v>1327</v>
      </c>
      <c r="I2173" s="4" t="s">
        <v>50</v>
      </c>
      <c r="J2173" s="4" t="n">
        <f aca="false">INDEX('Master List'!$G$2:$G$2594,K2173)</f>
        <v>0</v>
      </c>
      <c r="K2173" s="4" t="n">
        <v>490</v>
      </c>
    </row>
    <row r="2174" customFormat="false" ht="15" hidden="false" customHeight="false" outlineLevel="0" collapsed="false">
      <c r="A2174" s="4" t="n">
        <v>2173</v>
      </c>
      <c r="B2174" s="4" t="s">
        <v>3283</v>
      </c>
      <c r="C2174" s="4" t="n">
        <v>1924</v>
      </c>
      <c r="D2174" s="4" t="s">
        <v>3284</v>
      </c>
      <c r="E2174" s="25" t="str">
        <f aca="false">IF(J2174=1,"✓","")</f>
        <v/>
      </c>
      <c r="F2174" s="4" t="n">
        <v>1</v>
      </c>
      <c r="G2174" s="4" t="n">
        <v>1</v>
      </c>
      <c r="H2174" s="4" t="s">
        <v>1327</v>
      </c>
      <c r="I2174" s="4" t="s">
        <v>50</v>
      </c>
      <c r="J2174" s="4" t="n">
        <f aca="false">INDEX('Master List'!$G$2:$G$2594,K2174)</f>
        <v>0</v>
      </c>
      <c r="K2174" s="4" t="n">
        <v>2473</v>
      </c>
    </row>
    <row r="2175" customFormat="false" ht="15" hidden="false" customHeight="false" outlineLevel="0" collapsed="false">
      <c r="A2175" s="4" t="n">
        <v>2174</v>
      </c>
      <c r="B2175" s="4" t="s">
        <v>3285</v>
      </c>
      <c r="C2175" s="4" t="n">
        <v>1924</v>
      </c>
      <c r="D2175" s="4" t="s">
        <v>3286</v>
      </c>
      <c r="E2175" s="25" t="str">
        <f aca="false">IF(J2175=1,"✓","")</f>
        <v/>
      </c>
      <c r="F2175" s="4" t="n">
        <v>1</v>
      </c>
      <c r="G2175" s="4" t="n">
        <v>1</v>
      </c>
      <c r="H2175" s="4" t="s">
        <v>1327</v>
      </c>
      <c r="I2175" s="4" t="s">
        <v>50</v>
      </c>
      <c r="J2175" s="4" t="n">
        <f aca="false">INDEX('Master List'!$G$2:$G$2594,K2175)</f>
        <v>0</v>
      </c>
      <c r="K2175" s="4" t="n">
        <v>766</v>
      </c>
    </row>
    <row r="2176" customFormat="false" ht="15" hidden="false" customHeight="false" outlineLevel="0" collapsed="false">
      <c r="A2176" s="4" t="n">
        <v>2175</v>
      </c>
      <c r="B2176" s="4" t="s">
        <v>3287</v>
      </c>
      <c r="C2176" s="4" t="n">
        <v>1924</v>
      </c>
      <c r="D2176" s="4" t="s">
        <v>3288</v>
      </c>
      <c r="E2176" s="25" t="str">
        <f aca="false">IF(J2176=1,"✓","")</f>
        <v/>
      </c>
      <c r="F2176" s="4" t="n">
        <v>1</v>
      </c>
      <c r="G2176" s="4" t="n">
        <v>1</v>
      </c>
      <c r="H2176" s="4" t="s">
        <v>1327</v>
      </c>
      <c r="I2176" s="4" t="s">
        <v>50</v>
      </c>
      <c r="J2176" s="4" t="n">
        <f aca="false">INDEX('Master List'!$G$2:$G$2594,K2176)</f>
        <v>0</v>
      </c>
      <c r="K2176" s="4" t="n">
        <v>178</v>
      </c>
    </row>
    <row r="2177" customFormat="false" ht="15" hidden="false" customHeight="false" outlineLevel="0" collapsed="false">
      <c r="A2177" s="4" t="n">
        <v>2176</v>
      </c>
      <c r="B2177" s="4" t="s">
        <v>3289</v>
      </c>
      <c r="C2177" s="4" t="n">
        <v>1924</v>
      </c>
      <c r="D2177" s="4" t="s">
        <v>1712</v>
      </c>
      <c r="E2177" s="25" t="str">
        <f aca="false">IF(J2177=1,"✓","")</f>
        <v/>
      </c>
      <c r="F2177" s="4" t="n">
        <v>1</v>
      </c>
      <c r="G2177" s="4" t="n">
        <v>1</v>
      </c>
      <c r="H2177" s="4" t="s">
        <v>1327</v>
      </c>
      <c r="I2177" s="4" t="s">
        <v>50</v>
      </c>
      <c r="J2177" s="4" t="n">
        <f aca="false">INDEX('Master List'!$G$2:$G$2594,K2177)</f>
        <v>0</v>
      </c>
      <c r="K2177" s="4" t="n">
        <v>737</v>
      </c>
    </row>
    <row r="2178" customFormat="false" ht="15" hidden="false" customHeight="false" outlineLevel="0" collapsed="false">
      <c r="A2178" s="4" t="n">
        <v>2177</v>
      </c>
      <c r="B2178" s="4" t="s">
        <v>3290</v>
      </c>
      <c r="C2178" s="4" t="n">
        <v>1925</v>
      </c>
      <c r="D2178" s="4" t="s">
        <v>333</v>
      </c>
      <c r="E2178" s="25" t="str">
        <f aca="false">IF(J2178=1,"✓","")</f>
        <v/>
      </c>
      <c r="F2178" s="4" t="n">
        <v>1</v>
      </c>
      <c r="G2178" s="4" t="n">
        <v>1</v>
      </c>
      <c r="H2178" s="4" t="s">
        <v>1327</v>
      </c>
      <c r="I2178" s="4" t="s">
        <v>50</v>
      </c>
      <c r="J2178" s="4" t="n">
        <f aca="false">INDEX('Master List'!$G$2:$G$2594,K2178)</f>
        <v>0</v>
      </c>
      <c r="K2178" s="4" t="n">
        <v>2018</v>
      </c>
    </row>
    <row r="2179" customFormat="false" ht="15" hidden="false" customHeight="false" outlineLevel="0" collapsed="false">
      <c r="A2179" s="4" t="n">
        <v>2178</v>
      </c>
      <c r="B2179" s="4" t="s">
        <v>3291</v>
      </c>
      <c r="C2179" s="4" t="n">
        <v>1926</v>
      </c>
      <c r="D2179" s="4" t="s">
        <v>3292</v>
      </c>
      <c r="E2179" s="25" t="str">
        <f aca="false">IF(J2179=1,"✓","")</f>
        <v/>
      </c>
      <c r="F2179" s="4" t="n">
        <v>1</v>
      </c>
      <c r="G2179" s="4" t="n">
        <v>1</v>
      </c>
      <c r="H2179" s="4" t="s">
        <v>1327</v>
      </c>
      <c r="I2179" s="4" t="s">
        <v>50</v>
      </c>
      <c r="J2179" s="4" t="n">
        <f aca="false">INDEX('Master List'!$G$2:$G$2594,K2179)</f>
        <v>0</v>
      </c>
      <c r="K2179" s="4" t="n">
        <v>1704</v>
      </c>
    </row>
    <row r="2180" customFormat="false" ht="15" hidden="false" customHeight="false" outlineLevel="0" collapsed="false">
      <c r="A2180" s="4" t="n">
        <v>2179</v>
      </c>
      <c r="B2180" s="4" t="s">
        <v>3293</v>
      </c>
      <c r="C2180" s="4" t="n">
        <v>1926</v>
      </c>
      <c r="D2180" s="4" t="s">
        <v>3294</v>
      </c>
      <c r="E2180" s="25" t="str">
        <f aca="false">IF(J2180=1,"✓","")</f>
        <v/>
      </c>
      <c r="F2180" s="4" t="n">
        <v>1</v>
      </c>
      <c r="G2180" s="4" t="n">
        <v>1</v>
      </c>
      <c r="H2180" s="4" t="s">
        <v>1327</v>
      </c>
      <c r="I2180" s="4" t="s">
        <v>52</v>
      </c>
      <c r="J2180" s="4" t="n">
        <f aca="false">INDEX('Master List'!$G$2:$G$2594,K2180)</f>
        <v>0</v>
      </c>
      <c r="K2180" s="4" t="n">
        <v>44</v>
      </c>
    </row>
    <row r="2181" customFormat="false" ht="15" hidden="false" customHeight="false" outlineLevel="0" collapsed="false">
      <c r="A2181" s="4" t="n">
        <v>2180</v>
      </c>
      <c r="B2181" s="4" t="s">
        <v>3295</v>
      </c>
      <c r="C2181" s="4" t="n">
        <v>1926</v>
      </c>
      <c r="D2181" s="4" t="s">
        <v>3296</v>
      </c>
      <c r="E2181" s="25" t="str">
        <f aca="false">IF(J2181=1,"✓","")</f>
        <v/>
      </c>
      <c r="F2181" s="4" t="n">
        <v>1</v>
      </c>
      <c r="G2181" s="4" t="n">
        <v>1</v>
      </c>
      <c r="H2181" s="4" t="s">
        <v>1327</v>
      </c>
      <c r="I2181" s="4" t="s">
        <v>52</v>
      </c>
      <c r="J2181" s="4" t="n">
        <f aca="false">INDEX('Master List'!$G$2:$G$2594,K2181)</f>
        <v>0</v>
      </c>
      <c r="K2181" s="4" t="n">
        <v>104</v>
      </c>
    </row>
    <row r="2182" customFormat="false" ht="15" hidden="false" customHeight="false" outlineLevel="0" collapsed="false">
      <c r="A2182" s="4" t="n">
        <v>2181</v>
      </c>
      <c r="B2182" s="4" t="s">
        <v>3297</v>
      </c>
      <c r="C2182" s="4" t="n">
        <v>1927</v>
      </c>
      <c r="D2182" s="4" t="s">
        <v>3298</v>
      </c>
      <c r="E2182" s="25" t="str">
        <f aca="false">IF(J2182=1,"✓","")</f>
        <v/>
      </c>
      <c r="F2182" s="4" t="n">
        <v>1</v>
      </c>
      <c r="G2182" s="4" t="n">
        <v>1</v>
      </c>
      <c r="H2182" s="4" t="s">
        <v>1327</v>
      </c>
      <c r="I2182" s="4" t="s">
        <v>50</v>
      </c>
      <c r="J2182" s="4" t="n">
        <f aca="false">INDEX('Master List'!$G$2:$G$2594,K2182)</f>
        <v>0</v>
      </c>
      <c r="K2182" s="4" t="n">
        <v>210</v>
      </c>
    </row>
    <row r="2183" customFormat="false" ht="15" hidden="false" customHeight="false" outlineLevel="0" collapsed="false">
      <c r="A2183" s="4" t="n">
        <v>2182</v>
      </c>
      <c r="B2183" s="4" t="s">
        <v>3299</v>
      </c>
      <c r="C2183" s="4" t="n">
        <v>1927</v>
      </c>
      <c r="D2183" s="4" t="s">
        <v>1710</v>
      </c>
      <c r="E2183" s="25" t="str">
        <f aca="false">IF(J2183=1,"✓","")</f>
        <v/>
      </c>
      <c r="F2183" s="4" t="n">
        <v>1</v>
      </c>
      <c r="G2183" s="4" t="n">
        <v>1</v>
      </c>
      <c r="H2183" s="4" t="s">
        <v>1327</v>
      </c>
      <c r="I2183" s="4" t="s">
        <v>50</v>
      </c>
      <c r="J2183" s="4" t="n">
        <f aca="false">INDEX('Master List'!$G$2:$G$2594,K2183)</f>
        <v>0</v>
      </c>
      <c r="K2183" s="4" t="n">
        <v>2404</v>
      </c>
    </row>
    <row r="2184" customFormat="false" ht="15" hidden="false" customHeight="false" outlineLevel="0" collapsed="false">
      <c r="A2184" s="4" t="n">
        <v>2183</v>
      </c>
      <c r="B2184" s="4" t="s">
        <v>3300</v>
      </c>
      <c r="C2184" s="4" t="n">
        <v>1928</v>
      </c>
      <c r="D2184" s="4" t="s">
        <v>3301</v>
      </c>
      <c r="E2184" s="25" t="str">
        <f aca="false">IF(J2184=1,"✓","")</f>
        <v/>
      </c>
      <c r="F2184" s="4" t="n">
        <v>1</v>
      </c>
      <c r="G2184" s="4" t="n">
        <v>1</v>
      </c>
      <c r="H2184" s="4" t="s">
        <v>1327</v>
      </c>
      <c r="I2184" s="4" t="s">
        <v>50</v>
      </c>
      <c r="J2184" s="4" t="n">
        <f aca="false">INDEX('Master List'!$G$2:$G$2594,K2184)</f>
        <v>0</v>
      </c>
      <c r="K2184" s="4" t="n">
        <v>1375</v>
      </c>
    </row>
    <row r="2185" customFormat="false" ht="15" hidden="false" customHeight="false" outlineLevel="0" collapsed="false">
      <c r="A2185" s="4" t="n">
        <v>2184</v>
      </c>
      <c r="B2185" s="4" t="s">
        <v>3302</v>
      </c>
      <c r="C2185" s="4" t="n">
        <v>1928</v>
      </c>
      <c r="D2185" s="4" t="s">
        <v>1710</v>
      </c>
      <c r="E2185" s="25" t="str">
        <f aca="false">IF(J2185=1,"✓","")</f>
        <v/>
      </c>
      <c r="F2185" s="4" t="n">
        <v>1</v>
      </c>
      <c r="G2185" s="4" t="n">
        <v>1</v>
      </c>
      <c r="H2185" s="4" t="s">
        <v>1327</v>
      </c>
      <c r="I2185" s="4" t="s">
        <v>50</v>
      </c>
      <c r="J2185" s="4" t="n">
        <f aca="false">INDEX('Master List'!$G$2:$G$2594,K2185)</f>
        <v>0</v>
      </c>
      <c r="K2185" s="4" t="n">
        <v>647</v>
      </c>
    </row>
    <row r="2186" customFormat="false" ht="15" hidden="false" customHeight="false" outlineLevel="0" collapsed="false">
      <c r="A2186" s="4" t="n">
        <v>2185</v>
      </c>
      <c r="B2186" s="4" t="s">
        <v>3303</v>
      </c>
      <c r="C2186" s="4" t="n">
        <v>1929</v>
      </c>
      <c r="D2186" s="4" t="s">
        <v>1708</v>
      </c>
      <c r="E2186" s="25" t="str">
        <f aca="false">IF(J2186=1,"✓","")</f>
        <v/>
      </c>
      <c r="F2186" s="4" t="n">
        <v>1</v>
      </c>
      <c r="G2186" s="4" t="n">
        <v>1</v>
      </c>
      <c r="H2186" s="4" t="s">
        <v>1327</v>
      </c>
      <c r="I2186" s="4" t="s">
        <v>50</v>
      </c>
      <c r="J2186" s="4" t="n">
        <f aca="false">INDEX('Master List'!$G$2:$G$2594,K2186)</f>
        <v>0</v>
      </c>
      <c r="K2186" s="4" t="n">
        <v>132</v>
      </c>
    </row>
    <row r="2187" customFormat="false" ht="15" hidden="false" customHeight="false" outlineLevel="0" collapsed="false">
      <c r="A2187" s="4" t="n">
        <v>2186</v>
      </c>
      <c r="B2187" s="4" t="s">
        <v>3304</v>
      </c>
      <c r="C2187" s="4" t="n">
        <v>1929</v>
      </c>
      <c r="D2187" s="4" t="s">
        <v>3305</v>
      </c>
      <c r="E2187" s="25" t="str">
        <f aca="false">IF(J2187=1,"✓","")</f>
        <v/>
      </c>
      <c r="F2187" s="4" t="n">
        <v>1</v>
      </c>
      <c r="G2187" s="4" t="n">
        <v>1</v>
      </c>
      <c r="H2187" s="4" t="s">
        <v>1327</v>
      </c>
      <c r="I2187" s="4" t="s">
        <v>52</v>
      </c>
      <c r="J2187" s="4" t="n">
        <f aca="false">INDEX('Master List'!$G$2:$G$2594,K2187)</f>
        <v>0</v>
      </c>
      <c r="K2187" s="4" t="n">
        <v>1854</v>
      </c>
    </row>
    <row r="2188" customFormat="false" ht="15" hidden="false" customHeight="false" outlineLevel="0" collapsed="false">
      <c r="A2188" s="4" t="n">
        <v>2187</v>
      </c>
      <c r="B2188" s="4" t="s">
        <v>3306</v>
      </c>
      <c r="C2188" s="4" t="n">
        <v>1930</v>
      </c>
      <c r="D2188" s="4" t="s">
        <v>3307</v>
      </c>
      <c r="E2188" s="25" t="str">
        <f aca="false">IF(J2188=1,"✓","")</f>
        <v/>
      </c>
      <c r="F2188" s="4" t="n">
        <v>1</v>
      </c>
      <c r="G2188" s="4" t="n">
        <v>1</v>
      </c>
      <c r="H2188" s="4" t="s">
        <v>1327</v>
      </c>
      <c r="I2188" s="4" t="s">
        <v>50</v>
      </c>
      <c r="J2188" s="4" t="n">
        <f aca="false">INDEX('Master List'!$G$2:$G$2594,K2188)</f>
        <v>0</v>
      </c>
      <c r="K2188" s="4" t="n">
        <v>1741</v>
      </c>
    </row>
    <row r="2189" customFormat="false" ht="15" hidden="false" customHeight="false" outlineLevel="0" collapsed="false">
      <c r="A2189" s="4" t="n">
        <v>2188</v>
      </c>
      <c r="B2189" s="4" t="s">
        <v>3308</v>
      </c>
      <c r="C2189" s="4" t="n">
        <v>1930</v>
      </c>
      <c r="D2189" s="4" t="s">
        <v>732</v>
      </c>
      <c r="E2189" s="25" t="str">
        <f aca="false">IF(J2189=1,"✓","")</f>
        <v/>
      </c>
      <c r="F2189" s="4" t="n">
        <v>1</v>
      </c>
      <c r="G2189" s="4" t="n">
        <v>1</v>
      </c>
      <c r="H2189" s="4" t="s">
        <v>1327</v>
      </c>
      <c r="I2189" s="4" t="s">
        <v>52</v>
      </c>
      <c r="J2189" s="4" t="n">
        <f aca="false">INDEX('Master List'!$G$2:$G$2594,K2189)</f>
        <v>0</v>
      </c>
      <c r="K2189" s="4" t="n">
        <v>1824</v>
      </c>
    </row>
    <row r="2190" customFormat="false" ht="15" hidden="false" customHeight="false" outlineLevel="0" collapsed="false">
      <c r="A2190" s="4" t="n">
        <v>2189</v>
      </c>
      <c r="B2190" s="4" t="s">
        <v>3309</v>
      </c>
      <c r="C2190" s="4" t="n">
        <v>1931</v>
      </c>
      <c r="D2190" s="4" t="s">
        <v>564</v>
      </c>
      <c r="E2190" s="25" t="str">
        <f aca="false">IF(J2190=1,"✓","")</f>
        <v/>
      </c>
      <c r="F2190" s="4" t="n">
        <v>1</v>
      </c>
      <c r="G2190" s="4" t="n">
        <v>1</v>
      </c>
      <c r="H2190" s="4" t="s">
        <v>1327</v>
      </c>
      <c r="I2190" s="4" t="s">
        <v>50</v>
      </c>
      <c r="J2190" s="4" t="n">
        <f aca="false">INDEX('Master List'!$G$2:$G$2594,K2190)</f>
        <v>0</v>
      </c>
      <c r="K2190" s="4" t="n">
        <v>1955</v>
      </c>
    </row>
    <row r="2191" customFormat="false" ht="15" hidden="false" customHeight="false" outlineLevel="0" collapsed="false">
      <c r="A2191" s="4" t="n">
        <v>2190</v>
      </c>
      <c r="B2191" s="4" t="s">
        <v>3310</v>
      </c>
      <c r="C2191" s="4" t="n">
        <v>1932</v>
      </c>
      <c r="D2191" s="4" t="s">
        <v>909</v>
      </c>
      <c r="E2191" s="25" t="str">
        <f aca="false">IF(J2191=1,"✓","")</f>
        <v/>
      </c>
      <c r="F2191" s="4" t="n">
        <v>1</v>
      </c>
      <c r="G2191" s="4" t="n">
        <v>1</v>
      </c>
      <c r="H2191" s="4" t="s">
        <v>1327</v>
      </c>
      <c r="I2191" s="4" t="s">
        <v>50</v>
      </c>
      <c r="J2191" s="4" t="n">
        <f aca="false">INDEX('Master List'!$G$2:$G$2594,K2191)</f>
        <v>0</v>
      </c>
      <c r="K2191" s="4" t="n">
        <v>2295</v>
      </c>
    </row>
    <row r="2192" customFormat="false" ht="15" hidden="false" customHeight="false" outlineLevel="0" collapsed="false">
      <c r="A2192" s="4" t="n">
        <v>2191</v>
      </c>
      <c r="B2192" s="4" t="s">
        <v>3311</v>
      </c>
      <c r="C2192" s="4" t="n">
        <v>1932</v>
      </c>
      <c r="D2192" s="4" t="s">
        <v>3312</v>
      </c>
      <c r="E2192" s="25" t="str">
        <f aca="false">IF(J2192=1,"✓","")</f>
        <v/>
      </c>
      <c r="F2192" s="4" t="n">
        <v>1</v>
      </c>
      <c r="G2192" s="4" t="n">
        <v>1</v>
      </c>
      <c r="H2192" s="4" t="s">
        <v>1327</v>
      </c>
      <c r="I2192" s="4" t="s">
        <v>52</v>
      </c>
      <c r="J2192" s="4" t="n">
        <f aca="false">INDEX('Master List'!$G$2:$G$2594,K2192)</f>
        <v>0</v>
      </c>
      <c r="K2192" s="4" t="n">
        <v>163</v>
      </c>
    </row>
    <row r="2193" customFormat="false" ht="15" hidden="false" customHeight="false" outlineLevel="0" collapsed="false">
      <c r="A2193" s="4" t="n">
        <v>2192</v>
      </c>
      <c r="B2193" s="4" t="s">
        <v>3313</v>
      </c>
      <c r="C2193" s="4" t="n">
        <v>1932</v>
      </c>
      <c r="D2193" s="4" t="s">
        <v>176</v>
      </c>
      <c r="E2193" s="25" t="str">
        <f aca="false">IF(J2193=1,"✓","")</f>
        <v/>
      </c>
      <c r="F2193" s="4" t="n">
        <v>1</v>
      </c>
      <c r="G2193" s="4" t="n">
        <v>1</v>
      </c>
      <c r="H2193" s="4" t="s">
        <v>1327</v>
      </c>
      <c r="I2193" s="4" t="s">
        <v>53</v>
      </c>
      <c r="J2193" s="4" t="n">
        <f aca="false">INDEX('Master List'!$G$2:$G$2594,K2193)</f>
        <v>0</v>
      </c>
      <c r="K2193" s="4" t="n">
        <v>92</v>
      </c>
    </row>
    <row r="2194" customFormat="false" ht="15" hidden="false" customHeight="false" outlineLevel="0" collapsed="false">
      <c r="A2194" s="4" t="n">
        <v>2193</v>
      </c>
      <c r="B2194" s="4" t="s">
        <v>3314</v>
      </c>
      <c r="C2194" s="4" t="n">
        <v>1932</v>
      </c>
      <c r="D2194" s="4" t="s">
        <v>176</v>
      </c>
      <c r="E2194" s="25" t="str">
        <f aca="false">IF(J2194=1,"✓","")</f>
        <v/>
      </c>
      <c r="F2194" s="4" t="n">
        <v>1</v>
      </c>
      <c r="G2194" s="4" t="n">
        <v>1</v>
      </c>
      <c r="H2194" s="4" t="s">
        <v>1327</v>
      </c>
      <c r="I2194" s="4" t="s">
        <v>53</v>
      </c>
      <c r="J2194" s="4" t="n">
        <f aca="false">INDEX('Master List'!$G$2:$G$2594,K2194)</f>
        <v>0</v>
      </c>
      <c r="K2194" s="4" t="n">
        <v>261</v>
      </c>
    </row>
    <row r="2195" customFormat="false" ht="15" hidden="false" customHeight="false" outlineLevel="0" collapsed="false">
      <c r="A2195" s="4" t="n">
        <v>2194</v>
      </c>
      <c r="B2195" s="4" t="s">
        <v>3315</v>
      </c>
      <c r="C2195" s="4" t="n">
        <v>1932</v>
      </c>
      <c r="D2195" s="4" t="s">
        <v>1710</v>
      </c>
      <c r="E2195" s="25" t="str">
        <f aca="false">IF(J2195=1,"✓","")</f>
        <v/>
      </c>
      <c r="F2195" s="4" t="n">
        <v>1</v>
      </c>
      <c r="G2195" s="4" t="n">
        <v>1</v>
      </c>
      <c r="H2195" s="4" t="s">
        <v>1327</v>
      </c>
      <c r="I2195" s="4" t="s">
        <v>54</v>
      </c>
      <c r="J2195" s="4" t="n">
        <f aca="false">INDEX('Master List'!$G$2:$G$2594,K2195)</f>
        <v>0</v>
      </c>
      <c r="K2195" s="4" t="n">
        <v>288</v>
      </c>
    </row>
    <row r="2196" customFormat="false" ht="15" hidden="false" customHeight="false" outlineLevel="0" collapsed="false">
      <c r="A2196" s="4" t="n">
        <v>2195</v>
      </c>
      <c r="B2196" s="4" t="s">
        <v>3316</v>
      </c>
      <c r="C2196" s="4" t="n">
        <v>1932</v>
      </c>
      <c r="D2196" s="4" t="s">
        <v>722</v>
      </c>
      <c r="E2196" s="25" t="str">
        <f aca="false">IF(J2196=1,"✓","")</f>
        <v/>
      </c>
      <c r="F2196" s="4" t="n">
        <v>1</v>
      </c>
      <c r="G2196" s="4" t="n">
        <v>1</v>
      </c>
      <c r="H2196" s="4" t="s">
        <v>1327</v>
      </c>
      <c r="I2196" s="4" t="s">
        <v>54</v>
      </c>
      <c r="J2196" s="4" t="n">
        <f aca="false">INDEX('Master List'!$G$2:$G$2594,K2196)</f>
        <v>0</v>
      </c>
      <c r="K2196" s="4" t="n">
        <v>2424</v>
      </c>
    </row>
    <row r="2197" customFormat="false" ht="15" hidden="false" customHeight="false" outlineLevel="0" collapsed="false">
      <c r="A2197" s="4" t="n">
        <v>2196</v>
      </c>
      <c r="B2197" s="4" t="s">
        <v>3317</v>
      </c>
      <c r="C2197" s="4" t="n">
        <v>1933</v>
      </c>
      <c r="D2197" s="4" t="s">
        <v>335</v>
      </c>
      <c r="E2197" s="25" t="str">
        <f aca="false">IF(J2197=1,"✓","")</f>
        <v/>
      </c>
      <c r="F2197" s="4" t="n">
        <v>1</v>
      </c>
      <c r="G2197" s="4" t="n">
        <v>1</v>
      </c>
      <c r="H2197" s="4" t="s">
        <v>1327</v>
      </c>
      <c r="I2197" s="4" t="s">
        <v>50</v>
      </c>
      <c r="J2197" s="4" t="n">
        <f aca="false">INDEX('Master List'!$G$2:$G$2594,K2197)</f>
        <v>0</v>
      </c>
      <c r="K2197" s="4" t="n">
        <v>798</v>
      </c>
    </row>
    <row r="2198" customFormat="false" ht="15" hidden="false" customHeight="false" outlineLevel="0" collapsed="false">
      <c r="A2198" s="4" t="n">
        <v>2197</v>
      </c>
      <c r="B2198" s="4" t="s">
        <v>3318</v>
      </c>
      <c r="C2198" s="4" t="n">
        <v>1934</v>
      </c>
      <c r="D2198" s="4" t="s">
        <v>348</v>
      </c>
      <c r="E2198" s="25" t="str">
        <f aca="false">IF(J2198=1,"✓","")</f>
        <v/>
      </c>
      <c r="F2198" s="4" t="n">
        <v>1</v>
      </c>
      <c r="G2198" s="4" t="n">
        <v>1</v>
      </c>
      <c r="H2198" s="4" t="s">
        <v>1327</v>
      </c>
      <c r="I2198" s="4" t="s">
        <v>52</v>
      </c>
      <c r="J2198" s="4" t="n">
        <f aca="false">INDEX('Master List'!$G$2:$G$2594,K2198)</f>
        <v>0</v>
      </c>
      <c r="K2198" s="4" t="n">
        <v>1484</v>
      </c>
    </row>
    <row r="2199" customFormat="false" ht="15" hidden="false" customHeight="false" outlineLevel="0" collapsed="false">
      <c r="A2199" s="4" t="n">
        <v>2198</v>
      </c>
      <c r="B2199" s="4" t="s">
        <v>3319</v>
      </c>
      <c r="C2199" s="4" t="n">
        <v>1934</v>
      </c>
      <c r="D2199" s="4" t="s">
        <v>181</v>
      </c>
      <c r="E2199" s="25" t="str">
        <f aca="false">IF(J2199=1,"✓","")</f>
        <v/>
      </c>
      <c r="F2199" s="4" t="n">
        <v>1</v>
      </c>
      <c r="G2199" s="4" t="n">
        <v>1</v>
      </c>
      <c r="H2199" s="4" t="s">
        <v>1327</v>
      </c>
      <c r="I2199" s="4" t="s">
        <v>54</v>
      </c>
      <c r="J2199" s="4" t="n">
        <f aca="false">INDEX('Master List'!$G$2:$G$2594,K2199)</f>
        <v>0</v>
      </c>
      <c r="K2199" s="4" t="n">
        <v>2296</v>
      </c>
    </row>
    <row r="2200" customFormat="false" ht="15" hidden="false" customHeight="false" outlineLevel="0" collapsed="false">
      <c r="A2200" s="4" t="n">
        <v>2199</v>
      </c>
      <c r="B2200" s="4" t="s">
        <v>3320</v>
      </c>
      <c r="C2200" s="4" t="n">
        <v>1934</v>
      </c>
      <c r="D2200" s="4" t="s">
        <v>1710</v>
      </c>
      <c r="E2200" s="25" t="str">
        <f aca="false">IF(J2200=1,"✓","")</f>
        <v/>
      </c>
      <c r="F2200" s="4" t="n">
        <v>1</v>
      </c>
      <c r="G2200" s="4" t="n">
        <v>1</v>
      </c>
      <c r="H2200" s="4" t="s">
        <v>1327</v>
      </c>
      <c r="I2200" s="4" t="s">
        <v>54</v>
      </c>
      <c r="J2200" s="4" t="n">
        <f aca="false">INDEX('Master List'!$G$2:$G$2594,K2200)</f>
        <v>0</v>
      </c>
      <c r="K2200" s="4" t="n">
        <v>1985</v>
      </c>
    </row>
    <row r="2201" customFormat="false" ht="15" hidden="false" customHeight="false" outlineLevel="0" collapsed="false">
      <c r="A2201" s="4" t="n">
        <v>2200</v>
      </c>
      <c r="B2201" s="4" t="s">
        <v>3321</v>
      </c>
      <c r="C2201" s="4" t="n">
        <v>1936</v>
      </c>
      <c r="D2201" s="4" t="s">
        <v>146</v>
      </c>
      <c r="E2201" s="25" t="str">
        <f aca="false">IF(J2201=1,"✓","")</f>
        <v/>
      </c>
      <c r="F2201" s="4" t="n">
        <v>1</v>
      </c>
      <c r="G2201" s="4" t="n">
        <v>1</v>
      </c>
      <c r="H2201" s="4" t="s">
        <v>1327</v>
      </c>
      <c r="I2201" s="4" t="s">
        <v>53</v>
      </c>
      <c r="J2201" s="4" t="n">
        <f aca="false">INDEX('Master List'!$G$2:$G$2594,K2201)</f>
        <v>0</v>
      </c>
      <c r="K2201" s="4" t="n">
        <v>1686</v>
      </c>
    </row>
    <row r="2202" customFormat="false" ht="15" hidden="false" customHeight="false" outlineLevel="0" collapsed="false">
      <c r="A2202" s="4" t="n">
        <v>2201</v>
      </c>
      <c r="B2202" s="4" t="s">
        <v>3322</v>
      </c>
      <c r="C2202" s="4" t="n">
        <v>1936</v>
      </c>
      <c r="D2202" s="4" t="s">
        <v>162</v>
      </c>
      <c r="E2202" s="25" t="str">
        <f aca="false">IF(J2202=1,"✓","")</f>
        <v/>
      </c>
      <c r="F2202" s="4" t="n">
        <v>1</v>
      </c>
      <c r="G2202" s="4" t="n">
        <v>1</v>
      </c>
      <c r="H2202" s="4" t="s">
        <v>1327</v>
      </c>
      <c r="I2202" s="4" t="s">
        <v>58</v>
      </c>
      <c r="J2202" s="4" t="n">
        <f aca="false">INDEX('Master List'!$G$2:$G$2594,K2202)</f>
        <v>0</v>
      </c>
      <c r="K2202" s="4" t="n">
        <v>1951</v>
      </c>
    </row>
    <row r="2203" customFormat="false" ht="15" hidden="false" customHeight="false" outlineLevel="0" collapsed="false">
      <c r="A2203" s="4" t="n">
        <v>2202</v>
      </c>
      <c r="B2203" s="4" t="s">
        <v>3323</v>
      </c>
      <c r="C2203" s="4" t="n">
        <v>1937</v>
      </c>
      <c r="D2203" s="4" t="s">
        <v>564</v>
      </c>
      <c r="E2203" s="25" t="str">
        <f aca="false">IF(J2203=1,"✓","")</f>
        <v/>
      </c>
      <c r="F2203" s="4" t="n">
        <v>1</v>
      </c>
      <c r="G2203" s="4" t="n">
        <v>1</v>
      </c>
      <c r="H2203" s="4" t="s">
        <v>1327</v>
      </c>
      <c r="I2203" s="4" t="s">
        <v>52</v>
      </c>
      <c r="J2203" s="4" t="n">
        <f aca="false">INDEX('Master List'!$G$2:$G$2594,K2203)</f>
        <v>0</v>
      </c>
      <c r="K2203" s="4" t="n">
        <v>1637</v>
      </c>
    </row>
    <row r="2204" customFormat="false" ht="15" hidden="false" customHeight="false" outlineLevel="0" collapsed="false">
      <c r="A2204" s="4" t="n">
        <v>2203</v>
      </c>
      <c r="B2204" s="4" t="s">
        <v>3324</v>
      </c>
      <c r="C2204" s="4" t="n">
        <v>1937</v>
      </c>
      <c r="D2204" s="4" t="s">
        <v>3325</v>
      </c>
      <c r="E2204" s="25" t="str">
        <f aca="false">IF(J2204=1,"✓","")</f>
        <v/>
      </c>
      <c r="F2204" s="4" t="n">
        <v>1</v>
      </c>
      <c r="G2204" s="4" t="n">
        <v>1</v>
      </c>
      <c r="H2204" s="4" t="s">
        <v>1327</v>
      </c>
      <c r="I2204" s="4" t="s">
        <v>52</v>
      </c>
      <c r="J2204" s="4" t="n">
        <f aca="false">INDEX('Master List'!$G$2:$G$2594,K2204)</f>
        <v>0</v>
      </c>
      <c r="K2204" s="4" t="n">
        <v>705</v>
      </c>
    </row>
    <row r="2205" customFormat="false" ht="15" hidden="false" customHeight="false" outlineLevel="0" collapsed="false">
      <c r="A2205" s="4" t="n">
        <v>2204</v>
      </c>
      <c r="B2205" s="4" t="s">
        <v>3326</v>
      </c>
      <c r="C2205" s="4" t="n">
        <v>1937</v>
      </c>
      <c r="D2205" s="4" t="s">
        <v>3327</v>
      </c>
      <c r="E2205" s="25" t="str">
        <f aca="false">IF(J2205=1,"✓","")</f>
        <v/>
      </c>
      <c r="F2205" s="4" t="n">
        <v>1</v>
      </c>
      <c r="G2205" s="4" t="n">
        <v>1</v>
      </c>
      <c r="H2205" s="4" t="s">
        <v>1327</v>
      </c>
      <c r="I2205" s="4" t="s">
        <v>52</v>
      </c>
      <c r="J2205" s="4" t="n">
        <f aca="false">INDEX('Master List'!$G$2:$G$2594,K2205)</f>
        <v>0</v>
      </c>
      <c r="K2205" s="4" t="n">
        <v>2474</v>
      </c>
    </row>
    <row r="2206" customFormat="false" ht="15" hidden="false" customHeight="false" outlineLevel="0" collapsed="false">
      <c r="A2206" s="4" t="n">
        <v>2205</v>
      </c>
      <c r="B2206" s="4" t="s">
        <v>3328</v>
      </c>
      <c r="C2206" s="4" t="n">
        <v>1938</v>
      </c>
      <c r="D2206" s="4" t="s">
        <v>3329</v>
      </c>
      <c r="E2206" s="25" t="str">
        <f aca="false">IF(J2206=1,"✓","")</f>
        <v/>
      </c>
      <c r="F2206" s="4" t="n">
        <v>1</v>
      </c>
      <c r="G2206" s="4" t="n">
        <v>1</v>
      </c>
      <c r="H2206" s="4" t="s">
        <v>1327</v>
      </c>
      <c r="I2206" s="4" t="s">
        <v>54</v>
      </c>
      <c r="J2206" s="4" t="n">
        <f aca="false">INDEX('Master List'!$G$2:$G$2594,K2206)</f>
        <v>0</v>
      </c>
      <c r="K2206" s="4" t="n">
        <v>2135</v>
      </c>
    </row>
    <row r="2207" customFormat="false" ht="15" hidden="false" customHeight="false" outlineLevel="0" collapsed="false">
      <c r="A2207" s="4" t="n">
        <v>2206</v>
      </c>
      <c r="B2207" s="4" t="s">
        <v>3330</v>
      </c>
      <c r="C2207" s="4" t="n">
        <v>1938</v>
      </c>
      <c r="D2207" s="4" t="s">
        <v>1739</v>
      </c>
      <c r="E2207" s="25" t="str">
        <f aca="false">IF(J2207=1,"✓","")</f>
        <v/>
      </c>
      <c r="F2207" s="4" t="n">
        <v>1</v>
      </c>
      <c r="G2207" s="4" t="n">
        <v>1</v>
      </c>
      <c r="H2207" s="4" t="s">
        <v>1327</v>
      </c>
      <c r="I2207" s="4" t="s">
        <v>55</v>
      </c>
      <c r="J2207" s="4" t="n">
        <f aca="false">INDEX('Master List'!$G$2:$G$2594,K2207)</f>
        <v>0</v>
      </c>
      <c r="K2207" s="4" t="n">
        <v>1660</v>
      </c>
    </row>
    <row r="2208" customFormat="false" ht="15" hidden="false" customHeight="false" outlineLevel="0" collapsed="false">
      <c r="A2208" s="4" t="n">
        <v>2207</v>
      </c>
      <c r="B2208" s="4" t="s">
        <v>3331</v>
      </c>
      <c r="C2208" s="4" t="n">
        <v>1939</v>
      </c>
      <c r="D2208" s="4" t="s">
        <v>3332</v>
      </c>
      <c r="E2208" s="25" t="str">
        <f aca="false">IF(J2208=1,"✓","")</f>
        <v/>
      </c>
      <c r="F2208" s="4" t="n">
        <v>1</v>
      </c>
      <c r="G2208" s="4" t="n">
        <v>1</v>
      </c>
      <c r="H2208" s="4" t="s">
        <v>1327</v>
      </c>
      <c r="I2208" s="4" t="s">
        <v>52</v>
      </c>
      <c r="J2208" s="4" t="n">
        <f aca="false">INDEX('Master List'!$G$2:$G$2594,K2208)</f>
        <v>0</v>
      </c>
      <c r="K2208" s="4" t="n">
        <v>2109</v>
      </c>
    </row>
    <row r="2209" customFormat="false" ht="15" hidden="false" customHeight="false" outlineLevel="0" collapsed="false">
      <c r="A2209" s="4" t="n">
        <v>2208</v>
      </c>
      <c r="B2209" s="4" t="s">
        <v>3333</v>
      </c>
      <c r="C2209" s="4" t="n">
        <v>1939</v>
      </c>
      <c r="D2209" s="4" t="s">
        <v>3325</v>
      </c>
      <c r="E2209" s="25" t="str">
        <f aca="false">IF(J2209=1,"✓","")</f>
        <v/>
      </c>
      <c r="F2209" s="4" t="n">
        <v>1</v>
      </c>
      <c r="G2209" s="4" t="n">
        <v>1</v>
      </c>
      <c r="H2209" s="4" t="s">
        <v>1327</v>
      </c>
      <c r="I2209" s="4" t="s">
        <v>52</v>
      </c>
      <c r="J2209" s="4" t="n">
        <f aca="false">INDEX('Master List'!$G$2:$G$2594,K2209)</f>
        <v>0</v>
      </c>
      <c r="K2209" s="4" t="n">
        <v>1492</v>
      </c>
    </row>
    <row r="2210" customFormat="false" ht="15" hidden="false" customHeight="false" outlineLevel="0" collapsed="false">
      <c r="A2210" s="4" t="n">
        <v>2209</v>
      </c>
      <c r="B2210" s="4" t="s">
        <v>3334</v>
      </c>
      <c r="C2210" s="4" t="n">
        <v>1939</v>
      </c>
      <c r="D2210" s="4" t="s">
        <v>1869</v>
      </c>
      <c r="E2210" s="25" t="str">
        <f aca="false">IF(J2210=1,"✓","")</f>
        <v/>
      </c>
      <c r="F2210" s="4" t="n">
        <v>1</v>
      </c>
      <c r="G2210" s="4" t="n">
        <v>1</v>
      </c>
      <c r="H2210" s="4" t="s">
        <v>1327</v>
      </c>
      <c r="I2210" s="4" t="s">
        <v>52</v>
      </c>
      <c r="J2210" s="4" t="n">
        <f aca="false">INDEX('Master List'!$G$2:$G$2594,K2210)</f>
        <v>0</v>
      </c>
      <c r="K2210" s="4" t="n">
        <v>1915</v>
      </c>
    </row>
    <row r="2211" customFormat="false" ht="15" hidden="false" customHeight="false" outlineLevel="0" collapsed="false">
      <c r="A2211" s="4" t="n">
        <v>2210</v>
      </c>
      <c r="B2211" s="4" t="s">
        <v>3335</v>
      </c>
      <c r="C2211" s="4" t="n">
        <v>1940</v>
      </c>
      <c r="D2211" s="4" t="s">
        <v>3325</v>
      </c>
      <c r="E2211" s="25" t="str">
        <f aca="false">IF(J2211=1,"✓","")</f>
        <v/>
      </c>
      <c r="F2211" s="4" t="n">
        <v>1</v>
      </c>
      <c r="G2211" s="4" t="n">
        <v>1</v>
      </c>
      <c r="H2211" s="4" t="s">
        <v>1327</v>
      </c>
      <c r="I2211" s="4" t="s">
        <v>56</v>
      </c>
      <c r="J2211" s="4" t="n">
        <f aca="false">INDEX('Master List'!$G$2:$G$2594,K2211)</f>
        <v>0</v>
      </c>
      <c r="K2211" s="4" t="n">
        <v>1883</v>
      </c>
    </row>
    <row r="2212" customFormat="false" ht="15" hidden="false" customHeight="false" outlineLevel="0" collapsed="false">
      <c r="A2212" s="4" t="n">
        <v>2211</v>
      </c>
      <c r="B2212" s="4" t="s">
        <v>3336</v>
      </c>
      <c r="C2212" s="4" t="n">
        <v>1941</v>
      </c>
      <c r="D2212" s="4" t="s">
        <v>581</v>
      </c>
      <c r="E2212" s="25" t="str">
        <f aca="false">IF(J2212=1,"✓","")</f>
        <v/>
      </c>
      <c r="F2212" s="4" t="n">
        <v>1</v>
      </c>
      <c r="G2212" s="4" t="n">
        <v>1</v>
      </c>
      <c r="H2212" s="4" t="s">
        <v>1327</v>
      </c>
      <c r="I2212" s="4" t="s">
        <v>51</v>
      </c>
      <c r="J2212" s="4" t="n">
        <f aca="false">INDEX('Master List'!$G$2:$G$2594,K2212)</f>
        <v>0</v>
      </c>
      <c r="K2212" s="4" t="n">
        <v>28</v>
      </c>
    </row>
    <row r="2213" customFormat="false" ht="15" hidden="false" customHeight="false" outlineLevel="0" collapsed="false">
      <c r="A2213" s="4" t="n">
        <v>2212</v>
      </c>
      <c r="B2213" s="4" t="s">
        <v>3337</v>
      </c>
      <c r="C2213" s="4" t="n">
        <v>1941</v>
      </c>
      <c r="D2213" s="4" t="s">
        <v>3338</v>
      </c>
      <c r="E2213" s="25" t="str">
        <f aca="false">IF(J2213=1,"✓","")</f>
        <v/>
      </c>
      <c r="F2213" s="4" t="n">
        <v>1</v>
      </c>
      <c r="G2213" s="4" t="n">
        <v>1</v>
      </c>
      <c r="H2213" s="4" t="s">
        <v>1327</v>
      </c>
      <c r="I2213" s="4" t="s">
        <v>52</v>
      </c>
      <c r="J2213" s="4" t="n">
        <f aca="false">INDEX('Master List'!$G$2:$G$2594,K2213)</f>
        <v>0</v>
      </c>
      <c r="K2213" s="4" t="n">
        <v>1021</v>
      </c>
    </row>
    <row r="2214" customFormat="false" ht="15" hidden="false" customHeight="false" outlineLevel="0" collapsed="false">
      <c r="A2214" s="4" t="n">
        <v>2213</v>
      </c>
      <c r="B2214" s="4" t="s">
        <v>3339</v>
      </c>
      <c r="C2214" s="4" t="n">
        <v>1942</v>
      </c>
      <c r="D2214" s="4" t="s">
        <v>3340</v>
      </c>
      <c r="E2214" s="25" t="str">
        <f aca="false">IF(J2214=1,"✓","")</f>
        <v/>
      </c>
      <c r="F2214" s="4" t="n">
        <v>1</v>
      </c>
      <c r="G2214" s="4" t="n">
        <v>1</v>
      </c>
      <c r="H2214" s="4" t="s">
        <v>1327</v>
      </c>
      <c r="I2214" s="4" t="s">
        <v>51</v>
      </c>
      <c r="J2214" s="4" t="n">
        <f aca="false">INDEX('Master List'!$G$2:$G$2594,K2214)</f>
        <v>0</v>
      </c>
      <c r="K2214" s="4" t="n">
        <v>2483</v>
      </c>
    </row>
    <row r="2215" customFormat="false" ht="15" hidden="false" customHeight="false" outlineLevel="0" collapsed="false">
      <c r="A2215" s="4" t="n">
        <v>2214</v>
      </c>
      <c r="B2215" s="4" t="s">
        <v>3341</v>
      </c>
      <c r="C2215" s="4" t="n">
        <v>1942</v>
      </c>
      <c r="D2215" s="4" t="s">
        <v>146</v>
      </c>
      <c r="E2215" s="25" t="str">
        <f aca="false">IF(J2215=1,"✓","")</f>
        <v/>
      </c>
      <c r="F2215" s="4" t="n">
        <v>1</v>
      </c>
      <c r="G2215" s="4" t="n">
        <v>1</v>
      </c>
      <c r="H2215" s="4" t="s">
        <v>1327</v>
      </c>
      <c r="I2215" s="4" t="s">
        <v>53</v>
      </c>
      <c r="J2215" s="4" t="n">
        <f aca="false">INDEX('Master List'!$G$2:$G$2594,K2215)</f>
        <v>0</v>
      </c>
      <c r="K2215" s="4" t="n">
        <v>2268</v>
      </c>
    </row>
    <row r="2216" customFormat="false" ht="15" hidden="false" customHeight="false" outlineLevel="0" collapsed="false">
      <c r="A2216" s="4" t="n">
        <v>2215</v>
      </c>
      <c r="B2216" s="4" t="s">
        <v>3342</v>
      </c>
      <c r="C2216" s="4" t="n">
        <v>1945</v>
      </c>
      <c r="D2216" s="4" t="s">
        <v>248</v>
      </c>
      <c r="E2216" s="25" t="str">
        <f aca="false">IF(J2216=1,"✓","")</f>
        <v/>
      </c>
      <c r="F2216" s="4" t="n">
        <v>1</v>
      </c>
      <c r="G2216" s="4" t="n">
        <v>1</v>
      </c>
      <c r="H2216" s="4" t="s">
        <v>1327</v>
      </c>
      <c r="I2216" s="4" t="s">
        <v>52</v>
      </c>
      <c r="J2216" s="4" t="n">
        <f aca="false">INDEX('Master List'!$G$2:$G$2594,K2216)</f>
        <v>0</v>
      </c>
      <c r="K2216" s="4" t="n">
        <v>1986</v>
      </c>
    </row>
    <row r="2217" customFormat="false" ht="15" hidden="false" customHeight="false" outlineLevel="0" collapsed="false">
      <c r="A2217" s="4" t="n">
        <v>2216</v>
      </c>
      <c r="B2217" s="4" t="s">
        <v>3343</v>
      </c>
      <c r="C2217" s="4" t="n">
        <v>1945</v>
      </c>
      <c r="D2217" s="4" t="s">
        <v>3312</v>
      </c>
      <c r="E2217" s="25" t="str">
        <f aca="false">IF(J2217=1,"✓","")</f>
        <v/>
      </c>
      <c r="F2217" s="4" t="n">
        <v>1</v>
      </c>
      <c r="G2217" s="4" t="n">
        <v>1</v>
      </c>
      <c r="H2217" s="4" t="s">
        <v>1327</v>
      </c>
      <c r="I2217" s="4" t="s">
        <v>52</v>
      </c>
      <c r="J2217" s="4" t="n">
        <f aca="false">INDEX('Master List'!$G$2:$G$2594,K2217)</f>
        <v>0</v>
      </c>
      <c r="K2217" s="4" t="n">
        <v>1314</v>
      </c>
    </row>
    <row r="2218" customFormat="false" ht="15" hidden="false" customHeight="false" outlineLevel="0" collapsed="false">
      <c r="A2218" s="4" t="n">
        <v>2217</v>
      </c>
      <c r="B2218" s="4" t="s">
        <v>3344</v>
      </c>
      <c r="C2218" s="4" t="n">
        <v>1945</v>
      </c>
      <c r="D2218" s="4" t="s">
        <v>205</v>
      </c>
      <c r="E2218" s="25" t="str">
        <f aca="false">IF(J2218=1,"✓","")</f>
        <v/>
      </c>
      <c r="F2218" s="4" t="n">
        <v>1</v>
      </c>
      <c r="G2218" s="4" t="n">
        <v>1</v>
      </c>
      <c r="H2218" s="4" t="s">
        <v>1327</v>
      </c>
      <c r="I2218" s="4" t="s">
        <v>53</v>
      </c>
      <c r="J2218" s="4" t="n">
        <f aca="false">INDEX('Master List'!$G$2:$G$2594,K2218)</f>
        <v>0</v>
      </c>
      <c r="K2218" s="4" t="n">
        <v>2273</v>
      </c>
    </row>
    <row r="2219" customFormat="false" ht="15" hidden="false" customHeight="false" outlineLevel="0" collapsed="false">
      <c r="A2219" s="4" t="n">
        <v>2218</v>
      </c>
      <c r="B2219" s="4" t="s">
        <v>3345</v>
      </c>
      <c r="C2219" s="4" t="n">
        <v>1945</v>
      </c>
      <c r="D2219" s="4" t="s">
        <v>215</v>
      </c>
      <c r="E2219" s="25" t="str">
        <f aca="false">IF(J2219=1,"✓","")</f>
        <v/>
      </c>
      <c r="F2219" s="4" t="n">
        <v>1</v>
      </c>
      <c r="G2219" s="4" t="n">
        <v>1</v>
      </c>
      <c r="H2219" s="4" t="s">
        <v>1327</v>
      </c>
      <c r="I2219" s="4" t="s">
        <v>53</v>
      </c>
      <c r="J2219" s="4" t="n">
        <f aca="false">INDEX('Master List'!$G$2:$G$2594,K2219)</f>
        <v>0</v>
      </c>
      <c r="K2219" s="4" t="n">
        <v>556</v>
      </c>
    </row>
    <row r="2220" customFormat="false" ht="15" hidden="false" customHeight="false" outlineLevel="0" collapsed="false">
      <c r="A2220" s="4" t="n">
        <v>2219</v>
      </c>
      <c r="B2220" s="4" t="s">
        <v>3346</v>
      </c>
      <c r="C2220" s="4" t="n">
        <v>1945</v>
      </c>
      <c r="D2220" s="4" t="s">
        <v>234</v>
      </c>
      <c r="E2220" s="25" t="str">
        <f aca="false">IF(J2220=1,"✓","")</f>
        <v/>
      </c>
      <c r="F2220" s="4" t="n">
        <v>1</v>
      </c>
      <c r="G2220" s="4" t="n">
        <v>1</v>
      </c>
      <c r="H2220" s="4" t="s">
        <v>1327</v>
      </c>
      <c r="I2220" s="4" t="s">
        <v>53</v>
      </c>
      <c r="J2220" s="4" t="n">
        <f aca="false">INDEX('Master List'!$G$2:$G$2594,K2220)</f>
        <v>0</v>
      </c>
      <c r="K2220" s="4" t="n">
        <v>2124</v>
      </c>
    </row>
    <row r="2221" customFormat="false" ht="15" hidden="false" customHeight="false" outlineLevel="0" collapsed="false">
      <c r="A2221" s="4" t="n">
        <v>2220</v>
      </c>
      <c r="B2221" s="4" t="s">
        <v>3347</v>
      </c>
      <c r="C2221" s="4" t="n">
        <v>1947</v>
      </c>
      <c r="D2221" s="4" t="s">
        <v>658</v>
      </c>
      <c r="E2221" s="25" t="str">
        <f aca="false">IF(J2221=1,"✓","")</f>
        <v/>
      </c>
      <c r="F2221" s="4" t="n">
        <v>1</v>
      </c>
      <c r="G2221" s="4" t="n">
        <v>1</v>
      </c>
      <c r="H2221" s="4" t="s">
        <v>1327</v>
      </c>
      <c r="I2221" s="4" t="s">
        <v>55</v>
      </c>
      <c r="J2221" s="4" t="n">
        <f aca="false">INDEX('Master List'!$G$2:$G$2594,K2221)</f>
        <v>0</v>
      </c>
      <c r="K2221" s="4" t="n">
        <v>362</v>
      </c>
    </row>
    <row r="2222" customFormat="false" ht="15" hidden="false" customHeight="false" outlineLevel="0" collapsed="false">
      <c r="A2222" s="4" t="n">
        <v>2221</v>
      </c>
      <c r="B2222" s="4" t="s">
        <v>3348</v>
      </c>
      <c r="C2222" s="4" t="n">
        <v>1948</v>
      </c>
      <c r="D2222" s="4" t="s">
        <v>1843</v>
      </c>
      <c r="E2222" s="25" t="str">
        <f aca="false">IF(J2222=1,"✓","")</f>
        <v/>
      </c>
      <c r="F2222" s="4" t="n">
        <v>1</v>
      </c>
      <c r="G2222" s="4" t="n">
        <v>1</v>
      </c>
      <c r="H2222" s="4" t="s">
        <v>1327</v>
      </c>
      <c r="I2222" s="4" t="s">
        <v>52</v>
      </c>
      <c r="J2222" s="4" t="n">
        <f aca="false">INDEX('Master List'!$G$2:$G$2594,K2222)</f>
        <v>0</v>
      </c>
      <c r="K2222" s="4" t="n">
        <v>1864</v>
      </c>
    </row>
    <row r="2223" customFormat="false" ht="15" hidden="false" customHeight="false" outlineLevel="0" collapsed="false">
      <c r="A2223" s="4" t="n">
        <v>2222</v>
      </c>
      <c r="B2223" s="4" t="s">
        <v>3349</v>
      </c>
      <c r="C2223" s="4" t="n">
        <v>1948</v>
      </c>
      <c r="D2223" s="4" t="s">
        <v>570</v>
      </c>
      <c r="E2223" s="25" t="str">
        <f aca="false">IF(J2223=1,"✓","")</f>
        <v/>
      </c>
      <c r="F2223" s="4" t="n">
        <v>1</v>
      </c>
      <c r="G2223" s="4" t="n">
        <v>1</v>
      </c>
      <c r="H2223" s="4" t="s">
        <v>1327</v>
      </c>
      <c r="I2223" s="4" t="s">
        <v>52</v>
      </c>
      <c r="J2223" s="4" t="n">
        <f aca="false">INDEX('Master List'!$G$2:$G$2594,K2223)</f>
        <v>0</v>
      </c>
      <c r="K2223" s="4" t="n">
        <v>1771</v>
      </c>
    </row>
    <row r="2224" customFormat="false" ht="15" hidden="false" customHeight="false" outlineLevel="0" collapsed="false">
      <c r="A2224" s="4" t="n">
        <v>2223</v>
      </c>
      <c r="B2224" s="4" t="s">
        <v>3350</v>
      </c>
      <c r="C2224" s="4" t="n">
        <v>1948</v>
      </c>
      <c r="D2224" s="4" t="s">
        <v>143</v>
      </c>
      <c r="E2224" s="25" t="str">
        <f aca="false">IF(J2224=1,"✓","")</f>
        <v/>
      </c>
      <c r="F2224" s="4" t="n">
        <v>1</v>
      </c>
      <c r="G2224" s="4" t="n">
        <v>1</v>
      </c>
      <c r="H2224" s="4" t="s">
        <v>1327</v>
      </c>
      <c r="I2224" s="4" t="s">
        <v>53</v>
      </c>
      <c r="J2224" s="4" t="n">
        <f aca="false">INDEX('Master List'!$G$2:$G$2594,K2224)</f>
        <v>0</v>
      </c>
      <c r="K2224" s="4" t="n">
        <v>1402</v>
      </c>
    </row>
    <row r="2225" customFormat="false" ht="15" hidden="false" customHeight="false" outlineLevel="0" collapsed="false">
      <c r="A2225" s="4" t="n">
        <v>2224</v>
      </c>
      <c r="B2225" s="4" t="s">
        <v>3351</v>
      </c>
      <c r="C2225" s="4" t="n">
        <v>1948</v>
      </c>
      <c r="D2225" s="4" t="s">
        <v>250</v>
      </c>
      <c r="E2225" s="25" t="str">
        <f aca="false">IF(J2225=1,"✓","")</f>
        <v/>
      </c>
      <c r="F2225" s="4" t="n">
        <v>1</v>
      </c>
      <c r="G2225" s="4" t="n">
        <v>1</v>
      </c>
      <c r="H2225" s="4" t="s">
        <v>1327</v>
      </c>
      <c r="I2225" s="4" t="s">
        <v>53</v>
      </c>
      <c r="J2225" s="4" t="n">
        <f aca="false">INDEX('Master List'!$G$2:$G$2594,K2225)</f>
        <v>0</v>
      </c>
      <c r="K2225" s="4" t="n">
        <v>2407</v>
      </c>
    </row>
    <row r="2226" customFormat="false" ht="15" hidden="false" customHeight="false" outlineLevel="0" collapsed="false">
      <c r="A2226" s="4" t="n">
        <v>2225</v>
      </c>
      <c r="B2226" s="4" t="s">
        <v>3352</v>
      </c>
      <c r="C2226" s="4" t="n">
        <v>1948</v>
      </c>
      <c r="D2226" s="4" t="s">
        <v>3353</v>
      </c>
      <c r="E2226" s="25" t="str">
        <f aca="false">IF(J2226=1,"✓","")</f>
        <v/>
      </c>
      <c r="F2226" s="4" t="n">
        <v>1</v>
      </c>
      <c r="G2226" s="4" t="n">
        <v>1</v>
      </c>
      <c r="H2226" s="4" t="s">
        <v>1327</v>
      </c>
      <c r="I2226" s="4" t="s">
        <v>57</v>
      </c>
      <c r="J2226" s="4" t="n">
        <f aca="false">INDEX('Master List'!$G$2:$G$2594,K2226)</f>
        <v>0</v>
      </c>
      <c r="K2226" s="4" t="n">
        <v>351</v>
      </c>
    </row>
    <row r="2227" customFormat="false" ht="15" hidden="false" customHeight="false" outlineLevel="0" collapsed="false">
      <c r="A2227" s="4" t="n">
        <v>2226</v>
      </c>
      <c r="B2227" s="4" t="s">
        <v>3354</v>
      </c>
      <c r="C2227" s="4" t="n">
        <v>1949</v>
      </c>
      <c r="D2227" s="4" t="s">
        <v>453</v>
      </c>
      <c r="E2227" s="25" t="str">
        <f aca="false">IF(J2227=1,"✓","")</f>
        <v/>
      </c>
      <c r="F2227" s="4" t="n">
        <v>1</v>
      </c>
      <c r="G2227" s="4" t="n">
        <v>1</v>
      </c>
      <c r="H2227" s="4" t="s">
        <v>1327</v>
      </c>
      <c r="I2227" s="4" t="s">
        <v>51</v>
      </c>
      <c r="J2227" s="4" t="n">
        <f aca="false">INDEX('Master List'!$G$2:$G$2594,K2227)</f>
        <v>0</v>
      </c>
      <c r="K2227" s="4" t="n">
        <v>2095</v>
      </c>
    </row>
    <row r="2228" customFormat="false" ht="15" hidden="false" customHeight="false" outlineLevel="0" collapsed="false">
      <c r="A2228" s="4" t="n">
        <v>2227</v>
      </c>
      <c r="B2228" s="4" t="s">
        <v>3355</v>
      </c>
      <c r="C2228" s="4" t="n">
        <v>1949</v>
      </c>
      <c r="D2228" s="4" t="s">
        <v>1837</v>
      </c>
      <c r="E2228" s="25" t="str">
        <f aca="false">IF(J2228=1,"✓","")</f>
        <v/>
      </c>
      <c r="F2228" s="4" t="n">
        <v>1</v>
      </c>
      <c r="G2228" s="4" t="n">
        <v>1</v>
      </c>
      <c r="H2228" s="4" t="s">
        <v>1327</v>
      </c>
      <c r="I2228" s="4" t="s">
        <v>52</v>
      </c>
      <c r="J2228" s="4" t="n">
        <f aca="false">INDEX('Master List'!$G$2:$G$2594,K2228)</f>
        <v>0</v>
      </c>
      <c r="K2228" s="4" t="n">
        <v>541</v>
      </c>
    </row>
    <row r="2229" customFormat="false" ht="15" hidden="false" customHeight="false" outlineLevel="0" collapsed="false">
      <c r="A2229" s="4" t="n">
        <v>2228</v>
      </c>
      <c r="B2229" s="4" t="s">
        <v>3356</v>
      </c>
      <c r="C2229" s="4" t="n">
        <v>1950</v>
      </c>
      <c r="D2229" s="4" t="s">
        <v>205</v>
      </c>
      <c r="E2229" s="25" t="str">
        <f aca="false">IF(J2229=1,"✓","")</f>
        <v/>
      </c>
      <c r="F2229" s="4" t="n">
        <v>1</v>
      </c>
      <c r="G2229" s="4" t="n">
        <v>1</v>
      </c>
      <c r="H2229" s="4" t="s">
        <v>1327</v>
      </c>
      <c r="I2229" s="4" t="s">
        <v>53</v>
      </c>
      <c r="J2229" s="4" t="n">
        <f aca="false">INDEX('Master List'!$G$2:$G$2594,K2229)</f>
        <v>0</v>
      </c>
      <c r="K2229" s="4" t="n">
        <v>2449</v>
      </c>
    </row>
    <row r="2230" customFormat="false" ht="15" hidden="false" customHeight="false" outlineLevel="0" collapsed="false">
      <c r="A2230" s="4" t="n">
        <v>2229</v>
      </c>
      <c r="B2230" s="4" t="s">
        <v>3357</v>
      </c>
      <c r="C2230" s="4" t="n">
        <v>1951</v>
      </c>
      <c r="D2230" s="4" t="s">
        <v>270</v>
      </c>
      <c r="E2230" s="25" t="str">
        <f aca="false">IF(J2230=1,"✓","")</f>
        <v/>
      </c>
      <c r="F2230" s="4" t="n">
        <v>1</v>
      </c>
      <c r="G2230" s="4" t="n">
        <v>1</v>
      </c>
      <c r="H2230" s="4" t="s">
        <v>1327</v>
      </c>
      <c r="I2230" s="4" t="s">
        <v>53</v>
      </c>
      <c r="J2230" s="4" t="n">
        <f aca="false">INDEX('Master List'!$G$2:$G$2594,K2230)</f>
        <v>0</v>
      </c>
      <c r="K2230" s="4" t="n">
        <v>1663</v>
      </c>
    </row>
    <row r="2231" customFormat="false" ht="15" hidden="false" customHeight="false" outlineLevel="0" collapsed="false">
      <c r="A2231" s="4" t="n">
        <v>2230</v>
      </c>
      <c r="B2231" s="4" t="s">
        <v>3358</v>
      </c>
      <c r="C2231" s="4" t="n">
        <v>1951</v>
      </c>
      <c r="D2231" s="4" t="s">
        <v>940</v>
      </c>
      <c r="E2231" s="25" t="str">
        <f aca="false">IF(J2231=1,"✓","")</f>
        <v/>
      </c>
      <c r="F2231" s="4" t="n">
        <v>1</v>
      </c>
      <c r="G2231" s="4" t="n">
        <v>1</v>
      </c>
      <c r="H2231" s="4" t="s">
        <v>1327</v>
      </c>
      <c r="I2231" s="4" t="s">
        <v>53</v>
      </c>
      <c r="J2231" s="4" t="n">
        <f aca="false">INDEX('Master List'!$G$2:$G$2594,K2231)</f>
        <v>0</v>
      </c>
      <c r="K2231" s="4" t="n">
        <v>2154</v>
      </c>
    </row>
    <row r="2232" customFormat="false" ht="15" hidden="false" customHeight="false" outlineLevel="0" collapsed="false">
      <c r="A2232" s="4" t="n">
        <v>2231</v>
      </c>
      <c r="B2232" s="4" t="s">
        <v>3359</v>
      </c>
      <c r="C2232" s="4" t="n">
        <v>1952</v>
      </c>
      <c r="D2232" s="4" t="s">
        <v>3360</v>
      </c>
      <c r="E2232" s="25" t="str">
        <f aca="false">IF(J2232=1,"✓","")</f>
        <v/>
      </c>
      <c r="F2232" s="4" t="n">
        <v>1</v>
      </c>
      <c r="G2232" s="4" t="n">
        <v>1</v>
      </c>
      <c r="H2232" s="4" t="s">
        <v>1327</v>
      </c>
      <c r="I2232" s="4" t="s">
        <v>52</v>
      </c>
      <c r="J2232" s="4" t="n">
        <f aca="false">INDEX('Master List'!$G$2:$G$2594,K2232)</f>
        <v>0</v>
      </c>
      <c r="K2232" s="4" t="n">
        <v>1982</v>
      </c>
    </row>
    <row r="2233" customFormat="false" ht="15" hidden="false" customHeight="false" outlineLevel="0" collapsed="false">
      <c r="A2233" s="4" t="n">
        <v>2232</v>
      </c>
      <c r="B2233" s="4" t="s">
        <v>3361</v>
      </c>
      <c r="C2233" s="4" t="n">
        <v>1952</v>
      </c>
      <c r="D2233" s="4" t="s">
        <v>1837</v>
      </c>
      <c r="E2233" s="25" t="str">
        <f aca="false">IF(J2233=1,"✓","")</f>
        <v/>
      </c>
      <c r="F2233" s="4" t="n">
        <v>1</v>
      </c>
      <c r="G2233" s="4" t="n">
        <v>1</v>
      </c>
      <c r="H2233" s="4" t="s">
        <v>1327</v>
      </c>
      <c r="I2233" s="4" t="s">
        <v>52</v>
      </c>
      <c r="J2233" s="4" t="n">
        <f aca="false">INDEX('Master List'!$G$2:$G$2594,K2233)</f>
        <v>0</v>
      </c>
      <c r="K2233" s="4" t="n">
        <v>539</v>
      </c>
    </row>
    <row r="2234" customFormat="false" ht="15" hidden="false" customHeight="false" outlineLevel="0" collapsed="false">
      <c r="A2234" s="4" t="n">
        <v>2233</v>
      </c>
      <c r="B2234" s="4" t="s">
        <v>3362</v>
      </c>
      <c r="C2234" s="4" t="n">
        <v>1952</v>
      </c>
      <c r="D2234" s="4" t="s">
        <v>187</v>
      </c>
      <c r="E2234" s="25" t="str">
        <f aca="false">IF(J2234=1,"✓","")</f>
        <v>✓</v>
      </c>
      <c r="F2234" s="4" t="n">
        <v>1</v>
      </c>
      <c r="G2234" s="4" t="n">
        <v>1</v>
      </c>
      <c r="H2234" s="4" t="s">
        <v>1327</v>
      </c>
      <c r="I2234" s="4" t="s">
        <v>53</v>
      </c>
      <c r="J2234" s="4" t="n">
        <f aca="false">INDEX('Master List'!$G$2:$G$2594,K2234)</f>
        <v>1</v>
      </c>
      <c r="K2234" s="4" t="n">
        <v>796</v>
      </c>
    </row>
    <row r="2235" customFormat="false" ht="15" hidden="false" customHeight="false" outlineLevel="0" collapsed="false">
      <c r="A2235" s="4" t="n">
        <v>2234</v>
      </c>
      <c r="B2235" s="4" t="s">
        <v>3363</v>
      </c>
      <c r="C2235" s="4" t="n">
        <v>1952</v>
      </c>
      <c r="D2235" s="4" t="s">
        <v>179</v>
      </c>
      <c r="E2235" s="25" t="str">
        <f aca="false">IF(J2235=1,"✓","")</f>
        <v/>
      </c>
      <c r="F2235" s="4" t="n">
        <v>1</v>
      </c>
      <c r="G2235" s="4" t="n">
        <v>1</v>
      </c>
      <c r="H2235" s="4" t="s">
        <v>1327</v>
      </c>
      <c r="I2235" s="4" t="s">
        <v>53</v>
      </c>
      <c r="J2235" s="4" t="n">
        <f aca="false">INDEX('Master List'!$G$2:$G$2594,K2235)</f>
        <v>0</v>
      </c>
      <c r="K2235" s="4" t="n">
        <v>2507</v>
      </c>
    </row>
    <row r="2236" customFormat="false" ht="15" hidden="false" customHeight="false" outlineLevel="0" collapsed="false">
      <c r="A2236" s="4" t="n">
        <v>2235</v>
      </c>
      <c r="B2236" s="4" t="s">
        <v>3364</v>
      </c>
      <c r="C2236" s="4" t="n">
        <v>1952</v>
      </c>
      <c r="D2236" s="4" t="s">
        <v>234</v>
      </c>
      <c r="E2236" s="25" t="str">
        <f aca="false">IF(J2236=1,"✓","")</f>
        <v/>
      </c>
      <c r="F2236" s="4" t="n">
        <v>1</v>
      </c>
      <c r="G2236" s="4" t="n">
        <v>1</v>
      </c>
      <c r="H2236" s="4" t="s">
        <v>1327</v>
      </c>
      <c r="I2236" s="4" t="s">
        <v>53</v>
      </c>
      <c r="J2236" s="4" t="n">
        <f aca="false">INDEX('Master List'!$G$2:$G$2594,K2236)</f>
        <v>0</v>
      </c>
      <c r="K2236" s="4" t="n">
        <v>917</v>
      </c>
    </row>
    <row r="2237" customFormat="false" ht="15" hidden="false" customHeight="false" outlineLevel="0" collapsed="false">
      <c r="A2237" s="4" t="n">
        <v>2236</v>
      </c>
      <c r="B2237" s="4" t="s">
        <v>3365</v>
      </c>
      <c r="C2237" s="4" t="n">
        <v>1952</v>
      </c>
      <c r="D2237" s="4" t="s">
        <v>268</v>
      </c>
      <c r="E2237" s="25" t="str">
        <f aca="false">IF(J2237=1,"✓","")</f>
        <v/>
      </c>
      <c r="F2237" s="4" t="n">
        <v>1</v>
      </c>
      <c r="G2237" s="4" t="n">
        <v>1</v>
      </c>
      <c r="H2237" s="4" t="s">
        <v>1327</v>
      </c>
      <c r="I2237" s="4" t="s">
        <v>54</v>
      </c>
      <c r="J2237" s="4" t="n">
        <f aca="false">INDEX('Master List'!$G$2:$G$2594,K2237)</f>
        <v>0</v>
      </c>
      <c r="K2237" s="4" t="n">
        <v>748</v>
      </c>
    </row>
    <row r="2238" customFormat="false" ht="15" hidden="false" customHeight="false" outlineLevel="0" collapsed="false">
      <c r="A2238" s="4" t="n">
        <v>2237</v>
      </c>
      <c r="B2238" s="4" t="s">
        <v>3366</v>
      </c>
      <c r="C2238" s="4" t="n">
        <v>1953</v>
      </c>
      <c r="D2238" s="4" t="s">
        <v>936</v>
      </c>
      <c r="E2238" s="25" t="str">
        <f aca="false">IF(J2238=1,"✓","")</f>
        <v/>
      </c>
      <c r="F2238" s="4" t="n">
        <v>1</v>
      </c>
      <c r="G2238" s="4" t="n">
        <v>1</v>
      </c>
      <c r="H2238" s="4" t="s">
        <v>1327</v>
      </c>
      <c r="I2238" s="4" t="s">
        <v>51</v>
      </c>
      <c r="J2238" s="4" t="n">
        <f aca="false">INDEX('Master List'!$G$2:$G$2594,K2238)</f>
        <v>0</v>
      </c>
      <c r="K2238" s="4" t="n">
        <v>2313</v>
      </c>
    </row>
    <row r="2239" customFormat="false" ht="15" hidden="false" customHeight="false" outlineLevel="0" collapsed="false">
      <c r="A2239" s="4" t="n">
        <v>2238</v>
      </c>
      <c r="B2239" s="4" t="s">
        <v>3367</v>
      </c>
      <c r="C2239" s="4" t="n">
        <v>1953</v>
      </c>
      <c r="D2239" s="4" t="s">
        <v>1843</v>
      </c>
      <c r="E2239" s="25" t="str">
        <f aca="false">IF(J2239=1,"✓","")</f>
        <v/>
      </c>
      <c r="F2239" s="4" t="n">
        <v>1</v>
      </c>
      <c r="G2239" s="4" t="n">
        <v>1</v>
      </c>
      <c r="H2239" s="4" t="s">
        <v>1327</v>
      </c>
      <c r="I2239" s="4" t="s">
        <v>52</v>
      </c>
      <c r="J2239" s="4" t="n">
        <f aca="false">INDEX('Master List'!$G$2:$G$2594,K2239)</f>
        <v>0</v>
      </c>
      <c r="K2239" s="4" t="n">
        <v>1582</v>
      </c>
    </row>
    <row r="2240" customFormat="false" ht="15" hidden="false" customHeight="false" outlineLevel="0" collapsed="false">
      <c r="A2240" s="4" t="n">
        <v>2239</v>
      </c>
      <c r="B2240" s="4" t="s">
        <v>3368</v>
      </c>
      <c r="C2240" s="4" t="n">
        <v>1953</v>
      </c>
      <c r="D2240" s="4" t="s">
        <v>1903</v>
      </c>
      <c r="E2240" s="25" t="str">
        <f aca="false">IF(J2240=1,"✓","")</f>
        <v/>
      </c>
      <c r="F2240" s="4" t="n">
        <v>1</v>
      </c>
      <c r="G2240" s="4" t="n">
        <v>1</v>
      </c>
      <c r="H2240" s="4" t="s">
        <v>1327</v>
      </c>
      <c r="I2240" s="4" t="s">
        <v>52</v>
      </c>
      <c r="J2240" s="4" t="n">
        <f aca="false">INDEX('Master List'!$G$2:$G$2594,K2240)</f>
        <v>0</v>
      </c>
      <c r="K2240" s="4" t="n">
        <v>1173</v>
      </c>
    </row>
    <row r="2241" customFormat="false" ht="15" hidden="false" customHeight="false" outlineLevel="0" collapsed="false">
      <c r="A2241" s="4" t="n">
        <v>2240</v>
      </c>
      <c r="B2241" s="4" t="s">
        <v>3369</v>
      </c>
      <c r="C2241" s="4" t="n">
        <v>1953</v>
      </c>
      <c r="D2241" s="4" t="s">
        <v>205</v>
      </c>
      <c r="E2241" s="25" t="str">
        <f aca="false">IF(J2241=1,"✓","")</f>
        <v/>
      </c>
      <c r="F2241" s="4" t="n">
        <v>1</v>
      </c>
      <c r="G2241" s="4" t="n">
        <v>1</v>
      </c>
      <c r="H2241" s="4" t="s">
        <v>1327</v>
      </c>
      <c r="I2241" s="4" t="s">
        <v>53</v>
      </c>
      <c r="J2241" s="4" t="n">
        <f aca="false">INDEX('Master List'!$G$2:$G$2594,K2241)</f>
        <v>0</v>
      </c>
      <c r="K2241" s="4" t="n">
        <v>2201</v>
      </c>
    </row>
    <row r="2242" customFormat="false" ht="15" hidden="false" customHeight="false" outlineLevel="0" collapsed="false">
      <c r="A2242" s="4" t="n">
        <v>2241</v>
      </c>
      <c r="B2242" s="4" t="s">
        <v>3370</v>
      </c>
      <c r="C2242" s="4" t="n">
        <v>1953</v>
      </c>
      <c r="D2242" s="4" t="s">
        <v>170</v>
      </c>
      <c r="E2242" s="25" t="str">
        <f aca="false">IF(J2242=1,"✓","")</f>
        <v/>
      </c>
      <c r="F2242" s="4" t="n">
        <v>1</v>
      </c>
      <c r="G2242" s="4" t="n">
        <v>1</v>
      </c>
      <c r="H2242" s="4" t="s">
        <v>1327</v>
      </c>
      <c r="I2242" s="4" t="s">
        <v>53</v>
      </c>
      <c r="J2242" s="4" t="n">
        <f aca="false">INDEX('Master List'!$G$2:$G$2594,K2242)</f>
        <v>0</v>
      </c>
      <c r="K2242" s="4" t="n">
        <v>1977</v>
      </c>
    </row>
    <row r="2243" customFormat="false" ht="15" hidden="false" customHeight="false" outlineLevel="0" collapsed="false">
      <c r="A2243" s="4" t="n">
        <v>2242</v>
      </c>
      <c r="B2243" s="4" t="s">
        <v>3371</v>
      </c>
      <c r="C2243" s="4" t="n">
        <v>1953</v>
      </c>
      <c r="D2243" s="4" t="s">
        <v>3372</v>
      </c>
      <c r="E2243" s="25" t="str">
        <f aca="false">IF(J2243=1,"✓","")</f>
        <v/>
      </c>
      <c r="F2243" s="4" t="n">
        <v>1</v>
      </c>
      <c r="G2243" s="4" t="n">
        <v>1</v>
      </c>
      <c r="H2243" s="4" t="s">
        <v>1327</v>
      </c>
      <c r="I2243" s="4" t="s">
        <v>54</v>
      </c>
      <c r="J2243" s="4" t="n">
        <f aca="false">INDEX('Master List'!$G$2:$G$2594,K2243)</f>
        <v>0</v>
      </c>
      <c r="K2243" s="4" t="n">
        <v>1919</v>
      </c>
    </row>
    <row r="2244" customFormat="false" ht="15" hidden="false" customHeight="false" outlineLevel="0" collapsed="false">
      <c r="A2244" s="4" t="n">
        <v>2243</v>
      </c>
      <c r="B2244" s="4" t="s">
        <v>3373</v>
      </c>
      <c r="C2244" s="4" t="n">
        <v>1953</v>
      </c>
      <c r="D2244" s="4" t="s">
        <v>3374</v>
      </c>
      <c r="E2244" s="25" t="str">
        <f aca="false">IF(J2244=1,"✓","")</f>
        <v/>
      </c>
      <c r="F2244" s="4" t="n">
        <v>1</v>
      </c>
      <c r="G2244" s="4" t="n">
        <v>1</v>
      </c>
      <c r="H2244" s="4" t="s">
        <v>1327</v>
      </c>
      <c r="I2244" s="4" t="s">
        <v>55</v>
      </c>
      <c r="J2244" s="4" t="n">
        <f aca="false">INDEX('Master List'!$G$2:$G$2594,K2244)</f>
        <v>0</v>
      </c>
      <c r="K2244" s="4" t="n">
        <v>1351</v>
      </c>
    </row>
    <row r="2245" customFormat="false" ht="15" hidden="false" customHeight="false" outlineLevel="0" collapsed="false">
      <c r="A2245" s="4" t="n">
        <v>2244</v>
      </c>
      <c r="B2245" s="4" t="s">
        <v>3375</v>
      </c>
      <c r="C2245" s="4" t="n">
        <v>1953</v>
      </c>
      <c r="D2245" s="4" t="s">
        <v>338</v>
      </c>
      <c r="E2245" s="25" t="str">
        <f aca="false">IF(J2245=1,"✓","")</f>
        <v/>
      </c>
      <c r="F2245" s="4" t="n">
        <v>1</v>
      </c>
      <c r="G2245" s="4" t="n">
        <v>1</v>
      </c>
      <c r="H2245" s="4" t="s">
        <v>1327</v>
      </c>
      <c r="I2245" s="4" t="s">
        <v>56</v>
      </c>
      <c r="J2245" s="4" t="n">
        <f aca="false">INDEX('Master List'!$G$2:$G$2594,K2245)</f>
        <v>0</v>
      </c>
      <c r="K2245" s="4" t="n">
        <v>1549</v>
      </c>
    </row>
    <row r="2246" customFormat="false" ht="15" hidden="false" customHeight="false" outlineLevel="0" collapsed="false">
      <c r="A2246" s="4" t="n">
        <v>2245</v>
      </c>
      <c r="B2246" s="4" t="s">
        <v>3376</v>
      </c>
      <c r="C2246" s="4" t="n">
        <v>1954</v>
      </c>
      <c r="D2246" s="4" t="s">
        <v>3377</v>
      </c>
      <c r="E2246" s="25" t="str">
        <f aca="false">IF(J2246=1,"✓","")</f>
        <v/>
      </c>
      <c r="F2246" s="4" t="n">
        <v>1</v>
      </c>
      <c r="G2246" s="4" t="n">
        <v>1</v>
      </c>
      <c r="H2246" s="4" t="s">
        <v>1327</v>
      </c>
      <c r="I2246" s="4" t="s">
        <v>51</v>
      </c>
      <c r="J2246" s="4" t="n">
        <f aca="false">INDEX('Master List'!$G$2:$G$2594,K2246)</f>
        <v>0</v>
      </c>
      <c r="K2246" s="4" t="n">
        <v>2384</v>
      </c>
    </row>
    <row r="2247" customFormat="false" ht="15" hidden="false" customHeight="false" outlineLevel="0" collapsed="false">
      <c r="A2247" s="4" t="n">
        <v>2246</v>
      </c>
      <c r="B2247" s="4" t="s">
        <v>3378</v>
      </c>
      <c r="C2247" s="4" t="n">
        <v>1954</v>
      </c>
      <c r="D2247" s="4" t="s">
        <v>3379</v>
      </c>
      <c r="E2247" s="25" t="str">
        <f aca="false">IF(J2247=1,"✓","")</f>
        <v/>
      </c>
      <c r="F2247" s="4" t="n">
        <v>1</v>
      </c>
      <c r="G2247" s="4" t="n">
        <v>1</v>
      </c>
      <c r="H2247" s="4" t="s">
        <v>1327</v>
      </c>
      <c r="I2247" s="4" t="s">
        <v>51</v>
      </c>
      <c r="J2247" s="4" t="n">
        <f aca="false">INDEX('Master List'!$G$2:$G$2594,K2247)</f>
        <v>0</v>
      </c>
      <c r="K2247" s="4" t="n">
        <v>1966</v>
      </c>
    </row>
    <row r="2248" customFormat="false" ht="15" hidden="false" customHeight="false" outlineLevel="0" collapsed="false">
      <c r="A2248" s="4" t="n">
        <v>2247</v>
      </c>
      <c r="B2248" s="4" t="s">
        <v>3380</v>
      </c>
      <c r="C2248" s="4" t="n">
        <v>1955</v>
      </c>
      <c r="D2248" s="4" t="s">
        <v>187</v>
      </c>
      <c r="E2248" s="25" t="str">
        <f aca="false">IF(J2248=1,"✓","")</f>
        <v>✓</v>
      </c>
      <c r="F2248" s="4" t="n">
        <v>1</v>
      </c>
      <c r="G2248" s="4" t="n">
        <v>1</v>
      </c>
      <c r="H2248" s="4" t="s">
        <v>1327</v>
      </c>
      <c r="I2248" s="4" t="s">
        <v>53</v>
      </c>
      <c r="J2248" s="4" t="n">
        <f aca="false">INDEX('Master List'!$G$2:$G$2594,K2248)</f>
        <v>1</v>
      </c>
      <c r="K2248" s="4" t="n">
        <v>1249</v>
      </c>
    </row>
    <row r="2249" customFormat="false" ht="15" hidden="false" customHeight="false" outlineLevel="0" collapsed="false">
      <c r="A2249" s="4" t="n">
        <v>2248</v>
      </c>
      <c r="B2249" s="4" t="s">
        <v>3381</v>
      </c>
      <c r="C2249" s="4" t="n">
        <v>1955</v>
      </c>
      <c r="D2249" s="4" t="s">
        <v>217</v>
      </c>
      <c r="E2249" s="25" t="str">
        <f aca="false">IF(J2249=1,"✓","")</f>
        <v/>
      </c>
      <c r="F2249" s="4" t="n">
        <v>1</v>
      </c>
      <c r="G2249" s="4" t="n">
        <v>1</v>
      </c>
      <c r="H2249" s="4" t="s">
        <v>1327</v>
      </c>
      <c r="I2249" s="4" t="s">
        <v>53</v>
      </c>
      <c r="J2249" s="4" t="n">
        <f aca="false">INDEX('Master List'!$G$2:$G$2594,K2249)</f>
        <v>0</v>
      </c>
      <c r="K2249" s="4" t="n">
        <v>94</v>
      </c>
    </row>
    <row r="2250" customFormat="false" ht="15" hidden="false" customHeight="false" outlineLevel="0" collapsed="false">
      <c r="A2250" s="4" t="n">
        <v>2249</v>
      </c>
      <c r="B2250" s="4" t="s">
        <v>3382</v>
      </c>
      <c r="C2250" s="4" t="n">
        <v>1956</v>
      </c>
      <c r="D2250" s="4" t="s">
        <v>3383</v>
      </c>
      <c r="E2250" s="25" t="str">
        <f aca="false">IF(J2250=1,"✓","")</f>
        <v/>
      </c>
      <c r="F2250" s="4" t="n">
        <v>1</v>
      </c>
      <c r="G2250" s="4" t="n">
        <v>1</v>
      </c>
      <c r="H2250" s="4" t="s">
        <v>1327</v>
      </c>
      <c r="I2250" s="4" t="s">
        <v>51</v>
      </c>
      <c r="J2250" s="4" t="n">
        <f aca="false">INDEX('Master List'!$G$2:$G$2594,K2250)</f>
        <v>0</v>
      </c>
      <c r="K2250" s="4" t="n">
        <v>1521</v>
      </c>
    </row>
    <row r="2251" customFormat="false" ht="15" hidden="false" customHeight="false" outlineLevel="0" collapsed="false">
      <c r="A2251" s="4" t="n">
        <v>2250</v>
      </c>
      <c r="B2251" s="4" t="s">
        <v>3384</v>
      </c>
      <c r="C2251" s="4" t="n">
        <v>1956</v>
      </c>
      <c r="D2251" s="4" t="s">
        <v>1447</v>
      </c>
      <c r="E2251" s="25" t="str">
        <f aca="false">IF(J2251=1,"✓","")</f>
        <v/>
      </c>
      <c r="F2251" s="4" t="n">
        <v>1</v>
      </c>
      <c r="G2251" s="4" t="n">
        <v>1</v>
      </c>
      <c r="H2251" s="4" t="s">
        <v>1327</v>
      </c>
      <c r="I2251" s="4" t="s">
        <v>52</v>
      </c>
      <c r="J2251" s="4" t="n">
        <f aca="false">INDEX('Master List'!$G$2:$G$2594,K2251)</f>
        <v>0</v>
      </c>
      <c r="K2251" s="4" t="n">
        <v>2267</v>
      </c>
    </row>
    <row r="2252" customFormat="false" ht="15" hidden="false" customHeight="false" outlineLevel="0" collapsed="false">
      <c r="A2252" s="4" t="n">
        <v>2251</v>
      </c>
      <c r="B2252" s="4" t="s">
        <v>3385</v>
      </c>
      <c r="C2252" s="4" t="n">
        <v>1956</v>
      </c>
      <c r="D2252" s="4" t="s">
        <v>162</v>
      </c>
      <c r="E2252" s="25" t="str">
        <f aca="false">IF(J2252=1,"✓","")</f>
        <v/>
      </c>
      <c r="F2252" s="4" t="n">
        <v>1</v>
      </c>
      <c r="G2252" s="4" t="n">
        <v>1</v>
      </c>
      <c r="H2252" s="4" t="s">
        <v>1327</v>
      </c>
      <c r="I2252" s="4" t="s">
        <v>53</v>
      </c>
      <c r="J2252" s="4" t="n">
        <f aca="false">INDEX('Master List'!$G$2:$G$2594,K2252)</f>
        <v>0</v>
      </c>
      <c r="K2252" s="4" t="n">
        <v>2559</v>
      </c>
    </row>
    <row r="2253" customFormat="false" ht="15" hidden="false" customHeight="false" outlineLevel="0" collapsed="false">
      <c r="A2253" s="4" t="n">
        <v>2252</v>
      </c>
      <c r="B2253" s="4" t="s">
        <v>3386</v>
      </c>
      <c r="C2253" s="4" t="n">
        <v>1956</v>
      </c>
      <c r="D2253" s="4" t="s">
        <v>759</v>
      </c>
      <c r="E2253" s="25" t="str">
        <f aca="false">IF(J2253=1,"✓","")</f>
        <v/>
      </c>
      <c r="F2253" s="4" t="n">
        <v>1</v>
      </c>
      <c r="G2253" s="4" t="n">
        <v>1</v>
      </c>
      <c r="H2253" s="4" t="s">
        <v>1327</v>
      </c>
      <c r="I2253" s="4" t="s">
        <v>53</v>
      </c>
      <c r="J2253" s="4" t="n">
        <f aca="false">INDEX('Master List'!$G$2:$G$2594,K2253)</f>
        <v>0</v>
      </c>
      <c r="K2253" s="4" t="n">
        <v>826</v>
      </c>
    </row>
    <row r="2254" customFormat="false" ht="15" hidden="false" customHeight="false" outlineLevel="0" collapsed="false">
      <c r="A2254" s="4" t="n">
        <v>2253</v>
      </c>
      <c r="B2254" s="4" t="s">
        <v>3387</v>
      </c>
      <c r="C2254" s="4" t="n">
        <v>1957</v>
      </c>
      <c r="D2254" s="4" t="s">
        <v>940</v>
      </c>
      <c r="E2254" s="25" t="str">
        <f aca="false">IF(J2254=1,"✓","")</f>
        <v/>
      </c>
      <c r="F2254" s="4" t="n">
        <v>1</v>
      </c>
      <c r="G2254" s="4" t="n">
        <v>1</v>
      </c>
      <c r="H2254" s="4" t="s">
        <v>1327</v>
      </c>
      <c r="I2254" s="4" t="s">
        <v>52</v>
      </c>
      <c r="J2254" s="4" t="n">
        <f aca="false">INDEX('Master List'!$G$2:$G$2594,K2254)</f>
        <v>0</v>
      </c>
      <c r="K2254" s="4" t="n">
        <v>840</v>
      </c>
    </row>
    <row r="2255" customFormat="false" ht="15" hidden="false" customHeight="false" outlineLevel="0" collapsed="false">
      <c r="A2255" s="4" t="n">
        <v>2254</v>
      </c>
      <c r="B2255" s="4" t="s">
        <v>3388</v>
      </c>
      <c r="C2255" s="4" t="n">
        <v>1957</v>
      </c>
      <c r="D2255" s="4" t="s">
        <v>1447</v>
      </c>
      <c r="E2255" s="25" t="str">
        <f aca="false">IF(J2255=1,"✓","")</f>
        <v/>
      </c>
      <c r="F2255" s="4" t="n">
        <v>1</v>
      </c>
      <c r="G2255" s="4" t="n">
        <v>1</v>
      </c>
      <c r="H2255" s="4" t="s">
        <v>1327</v>
      </c>
      <c r="I2255" s="4" t="s">
        <v>52</v>
      </c>
      <c r="J2255" s="4" t="n">
        <f aca="false">INDEX('Master List'!$G$2:$G$2594,K2255)</f>
        <v>0</v>
      </c>
      <c r="K2255" s="4" t="n">
        <v>2244</v>
      </c>
    </row>
    <row r="2256" customFormat="false" ht="15" hidden="false" customHeight="false" outlineLevel="0" collapsed="false">
      <c r="A2256" s="4" t="n">
        <v>2255</v>
      </c>
      <c r="B2256" s="4" t="s">
        <v>3389</v>
      </c>
      <c r="C2256" s="4" t="n">
        <v>1957</v>
      </c>
      <c r="D2256" s="4" t="s">
        <v>3390</v>
      </c>
      <c r="E2256" s="25" t="str">
        <f aca="false">IF(J2256=1,"✓","")</f>
        <v/>
      </c>
      <c r="F2256" s="4" t="n">
        <v>1</v>
      </c>
      <c r="G2256" s="4" t="n">
        <v>1</v>
      </c>
      <c r="H2256" s="4" t="s">
        <v>1327</v>
      </c>
      <c r="I2256" s="4" t="s">
        <v>52</v>
      </c>
      <c r="J2256" s="4" t="n">
        <f aca="false">INDEX('Master List'!$G$2:$G$2594,K2256)</f>
        <v>0</v>
      </c>
      <c r="K2256" s="4" t="n">
        <v>2488</v>
      </c>
    </row>
    <row r="2257" customFormat="false" ht="15" hidden="false" customHeight="false" outlineLevel="0" collapsed="false">
      <c r="A2257" s="4" t="n">
        <v>2256</v>
      </c>
      <c r="B2257" s="4" t="s">
        <v>3391</v>
      </c>
      <c r="C2257" s="4" t="n">
        <v>1958</v>
      </c>
      <c r="D2257" s="4" t="s">
        <v>232</v>
      </c>
      <c r="E2257" s="25" t="str">
        <f aca="false">IF(J2257=1,"✓","")</f>
        <v/>
      </c>
      <c r="F2257" s="4" t="n">
        <v>1</v>
      </c>
      <c r="G2257" s="4" t="n">
        <v>1</v>
      </c>
      <c r="H2257" s="4" t="s">
        <v>1327</v>
      </c>
      <c r="I2257" s="4" t="s">
        <v>49</v>
      </c>
      <c r="J2257" s="4" t="n">
        <f aca="false">INDEX('Master List'!$G$2:$G$2594,K2257)</f>
        <v>0</v>
      </c>
      <c r="K2257" s="4" t="n">
        <v>1187</v>
      </c>
    </row>
    <row r="2258" customFormat="false" ht="15" hidden="false" customHeight="false" outlineLevel="0" collapsed="false">
      <c r="A2258" s="4" t="n">
        <v>2257</v>
      </c>
      <c r="B2258" s="4" t="s">
        <v>3392</v>
      </c>
      <c r="C2258" s="4" t="n">
        <v>1958</v>
      </c>
      <c r="D2258" s="4" t="s">
        <v>3393</v>
      </c>
      <c r="E2258" s="25" t="str">
        <f aca="false">IF(J2258=1,"✓","")</f>
        <v/>
      </c>
      <c r="F2258" s="4" t="n">
        <v>1</v>
      </c>
      <c r="G2258" s="4" t="n">
        <v>1</v>
      </c>
      <c r="H2258" s="4" t="s">
        <v>1327</v>
      </c>
      <c r="I2258" s="4" t="s">
        <v>52</v>
      </c>
      <c r="J2258" s="4" t="n">
        <f aca="false">INDEX('Master List'!$G$2:$G$2594,K2258)</f>
        <v>0</v>
      </c>
      <c r="K2258" s="4" t="n">
        <v>1546</v>
      </c>
    </row>
    <row r="2259" customFormat="false" ht="15" hidden="false" customHeight="false" outlineLevel="0" collapsed="false">
      <c r="A2259" s="4" t="n">
        <v>2258</v>
      </c>
      <c r="B2259" s="4" t="s">
        <v>3394</v>
      </c>
      <c r="C2259" s="4" t="n">
        <v>1959</v>
      </c>
      <c r="D2259" s="4" t="s">
        <v>3395</v>
      </c>
      <c r="E2259" s="25" t="str">
        <f aca="false">IF(J2259=1,"✓","")</f>
        <v/>
      </c>
      <c r="F2259" s="4" t="n">
        <v>1</v>
      </c>
      <c r="G2259" s="4" t="n">
        <v>1</v>
      </c>
      <c r="H2259" s="4" t="s">
        <v>1327</v>
      </c>
      <c r="I2259" s="4" t="s">
        <v>52</v>
      </c>
      <c r="J2259" s="4" t="n">
        <f aca="false">INDEX('Master List'!$G$2:$G$2594,K2259)</f>
        <v>0</v>
      </c>
      <c r="K2259" s="4" t="n">
        <v>575</v>
      </c>
    </row>
    <row r="2260" customFormat="false" ht="15" hidden="false" customHeight="false" outlineLevel="0" collapsed="false">
      <c r="A2260" s="4" t="n">
        <v>2259</v>
      </c>
      <c r="B2260" s="4" t="s">
        <v>3396</v>
      </c>
      <c r="C2260" s="4" t="n">
        <v>1959</v>
      </c>
      <c r="D2260" s="4" t="s">
        <v>3397</v>
      </c>
      <c r="E2260" s="25" t="str">
        <f aca="false">IF(J2260=1,"✓","")</f>
        <v/>
      </c>
      <c r="F2260" s="4" t="n">
        <v>1</v>
      </c>
      <c r="G2260" s="4" t="n">
        <v>1</v>
      </c>
      <c r="H2260" s="4" t="s">
        <v>1327</v>
      </c>
      <c r="I2260" s="4" t="s">
        <v>52</v>
      </c>
      <c r="J2260" s="4" t="n">
        <f aca="false">INDEX('Master List'!$G$2:$G$2594,K2260)</f>
        <v>0</v>
      </c>
      <c r="K2260" s="4" t="n">
        <v>893</v>
      </c>
    </row>
    <row r="2261" customFormat="false" ht="15" hidden="false" customHeight="false" outlineLevel="0" collapsed="false">
      <c r="A2261" s="4" t="n">
        <v>2260</v>
      </c>
      <c r="B2261" s="4" t="s">
        <v>3398</v>
      </c>
      <c r="C2261" s="4" t="n">
        <v>1959</v>
      </c>
      <c r="D2261" s="4" t="s">
        <v>541</v>
      </c>
      <c r="E2261" s="25" t="str">
        <f aca="false">IF(J2261=1,"✓","")</f>
        <v/>
      </c>
      <c r="F2261" s="4" t="n">
        <v>1</v>
      </c>
      <c r="G2261" s="4" t="n">
        <v>1</v>
      </c>
      <c r="H2261" s="4" t="s">
        <v>1327</v>
      </c>
      <c r="I2261" s="4" t="s">
        <v>52</v>
      </c>
      <c r="J2261" s="4" t="n">
        <f aca="false">INDEX('Master List'!$G$2:$G$2594,K2261)</f>
        <v>0</v>
      </c>
      <c r="K2261" s="4" t="n">
        <v>1083</v>
      </c>
    </row>
    <row r="2262" customFormat="false" ht="15" hidden="false" customHeight="false" outlineLevel="0" collapsed="false">
      <c r="A2262" s="4" t="n">
        <v>2261</v>
      </c>
      <c r="B2262" s="4" t="s">
        <v>3399</v>
      </c>
      <c r="C2262" s="4" t="n">
        <v>1959</v>
      </c>
      <c r="D2262" s="4" t="s">
        <v>3400</v>
      </c>
      <c r="E2262" s="25" t="str">
        <f aca="false">IF(J2262=1,"✓","")</f>
        <v/>
      </c>
      <c r="F2262" s="4" t="n">
        <v>1</v>
      </c>
      <c r="G2262" s="4" t="n">
        <v>1</v>
      </c>
      <c r="H2262" s="4" t="s">
        <v>1327</v>
      </c>
      <c r="I2262" s="4" t="s">
        <v>52</v>
      </c>
      <c r="J2262" s="4" t="n">
        <f aca="false">INDEX('Master List'!$G$2:$G$2594,K2262)</f>
        <v>0</v>
      </c>
      <c r="K2262" s="4" t="n">
        <v>807</v>
      </c>
    </row>
    <row r="2263" customFormat="false" ht="15" hidden="false" customHeight="false" outlineLevel="0" collapsed="false">
      <c r="A2263" s="4" t="n">
        <v>2262</v>
      </c>
      <c r="B2263" s="4" t="s">
        <v>3401</v>
      </c>
      <c r="C2263" s="4" t="n">
        <v>1959</v>
      </c>
      <c r="D2263" s="4" t="s">
        <v>3402</v>
      </c>
      <c r="E2263" s="25" t="str">
        <f aca="false">IF(J2263=1,"✓","")</f>
        <v/>
      </c>
      <c r="F2263" s="4" t="n">
        <v>1</v>
      </c>
      <c r="G2263" s="4" t="n">
        <v>1</v>
      </c>
      <c r="H2263" s="4" t="s">
        <v>1327</v>
      </c>
      <c r="I2263" s="4" t="s">
        <v>52</v>
      </c>
      <c r="J2263" s="4" t="n">
        <f aca="false">INDEX('Master List'!$G$2:$G$2594,K2263)</f>
        <v>0</v>
      </c>
      <c r="K2263" s="4" t="n">
        <v>1197</v>
      </c>
    </row>
    <row r="2264" customFormat="false" ht="15" hidden="false" customHeight="false" outlineLevel="0" collapsed="false">
      <c r="A2264" s="4" t="n">
        <v>2263</v>
      </c>
      <c r="B2264" s="4" t="s">
        <v>3403</v>
      </c>
      <c r="C2264" s="4" t="n">
        <v>1960</v>
      </c>
      <c r="D2264" s="4" t="s">
        <v>3404</v>
      </c>
      <c r="E2264" s="25" t="str">
        <f aca="false">IF(J2264=1,"✓","")</f>
        <v/>
      </c>
      <c r="F2264" s="4" t="n">
        <v>1</v>
      </c>
      <c r="G2264" s="4" t="n">
        <v>1</v>
      </c>
      <c r="H2264" s="4" t="s">
        <v>1327</v>
      </c>
      <c r="I2264" s="4" t="s">
        <v>51</v>
      </c>
      <c r="J2264" s="4" t="n">
        <f aca="false">INDEX('Master List'!$G$2:$G$2594,K2264)</f>
        <v>0</v>
      </c>
      <c r="K2264" s="4" t="n">
        <v>473</v>
      </c>
    </row>
    <row r="2265" customFormat="false" ht="15" hidden="false" customHeight="false" outlineLevel="0" collapsed="false">
      <c r="A2265" s="4" t="n">
        <v>2264</v>
      </c>
      <c r="B2265" s="4" t="s">
        <v>3405</v>
      </c>
      <c r="C2265" s="4" t="n">
        <v>1960</v>
      </c>
      <c r="D2265" s="4" t="s">
        <v>3406</v>
      </c>
      <c r="E2265" s="25" t="str">
        <f aca="false">IF(J2265=1,"✓","")</f>
        <v/>
      </c>
      <c r="F2265" s="4" t="n">
        <v>1</v>
      </c>
      <c r="G2265" s="4" t="n">
        <v>1</v>
      </c>
      <c r="H2265" s="4" t="s">
        <v>1327</v>
      </c>
      <c r="I2265" s="4" t="s">
        <v>51</v>
      </c>
      <c r="J2265" s="4" t="n">
        <f aca="false">INDEX('Master List'!$G$2:$G$2594,K2265)</f>
        <v>0</v>
      </c>
      <c r="K2265" s="4" t="n">
        <v>1401</v>
      </c>
    </row>
    <row r="2266" customFormat="false" ht="15" hidden="false" customHeight="false" outlineLevel="0" collapsed="false">
      <c r="A2266" s="4" t="n">
        <v>2265</v>
      </c>
      <c r="B2266" s="4" t="s">
        <v>3407</v>
      </c>
      <c r="C2266" s="4" t="n">
        <v>1960</v>
      </c>
      <c r="D2266" s="4" t="s">
        <v>3397</v>
      </c>
      <c r="E2266" s="25" t="str">
        <f aca="false">IF(J2266=1,"✓","")</f>
        <v/>
      </c>
      <c r="F2266" s="4" t="n">
        <v>1</v>
      </c>
      <c r="G2266" s="4" t="n">
        <v>1</v>
      </c>
      <c r="H2266" s="4" t="s">
        <v>1327</v>
      </c>
      <c r="I2266" s="4" t="s">
        <v>52</v>
      </c>
      <c r="J2266" s="4" t="n">
        <f aca="false">INDEX('Master List'!$G$2:$G$2594,K2266)</f>
        <v>0</v>
      </c>
      <c r="K2266" s="4" t="n">
        <v>1207</v>
      </c>
    </row>
    <row r="2267" customFormat="false" ht="15" hidden="false" customHeight="false" outlineLevel="0" collapsed="false">
      <c r="A2267" s="4" t="n">
        <v>2266</v>
      </c>
      <c r="B2267" s="4" t="s">
        <v>3408</v>
      </c>
      <c r="C2267" s="4" t="n">
        <v>1960</v>
      </c>
      <c r="D2267" s="4" t="s">
        <v>2055</v>
      </c>
      <c r="E2267" s="25" t="str">
        <f aca="false">IF(J2267=1,"✓","")</f>
        <v/>
      </c>
      <c r="F2267" s="4" t="n">
        <v>1</v>
      </c>
      <c r="G2267" s="4" t="n">
        <v>1</v>
      </c>
      <c r="H2267" s="4" t="s">
        <v>1327</v>
      </c>
      <c r="I2267" s="4" t="s">
        <v>54</v>
      </c>
      <c r="J2267" s="4" t="n">
        <f aca="false">INDEX('Master List'!$G$2:$G$2594,K2267)</f>
        <v>0</v>
      </c>
      <c r="K2267" s="4" t="n">
        <v>1354</v>
      </c>
    </row>
    <row r="2268" customFormat="false" ht="15" hidden="false" customHeight="false" outlineLevel="0" collapsed="false">
      <c r="A2268" s="4" t="n">
        <v>2267</v>
      </c>
      <c r="B2268" s="4" t="s">
        <v>3409</v>
      </c>
      <c r="C2268" s="4" t="n">
        <v>1961</v>
      </c>
      <c r="D2268" s="4" t="s">
        <v>290</v>
      </c>
      <c r="E2268" s="25" t="str">
        <f aca="false">IF(J2268=1,"✓","")</f>
        <v/>
      </c>
      <c r="F2268" s="4" t="n">
        <v>1</v>
      </c>
      <c r="G2268" s="4" t="n">
        <v>1</v>
      </c>
      <c r="H2268" s="4" t="s">
        <v>1327</v>
      </c>
      <c r="I2268" s="4" t="s">
        <v>53</v>
      </c>
      <c r="J2268" s="4" t="n">
        <f aca="false">INDEX('Master List'!$G$2:$G$2594,K2268)</f>
        <v>0</v>
      </c>
      <c r="K2268" s="4" t="n">
        <v>1319</v>
      </c>
    </row>
    <row r="2269" customFormat="false" ht="15" hidden="false" customHeight="false" outlineLevel="0" collapsed="false">
      <c r="A2269" s="4" t="n">
        <v>2268</v>
      </c>
      <c r="B2269" s="4" t="s">
        <v>3410</v>
      </c>
      <c r="C2269" s="4" t="n">
        <v>1961</v>
      </c>
      <c r="D2269" s="4" t="s">
        <v>3411</v>
      </c>
      <c r="E2269" s="25" t="str">
        <f aca="false">IF(J2269=1,"✓","")</f>
        <v/>
      </c>
      <c r="F2269" s="4" t="n">
        <v>1</v>
      </c>
      <c r="G2269" s="4" t="n">
        <v>1</v>
      </c>
      <c r="H2269" s="4" t="s">
        <v>1327</v>
      </c>
      <c r="I2269" s="4" t="s">
        <v>55</v>
      </c>
      <c r="J2269" s="4" t="n">
        <f aca="false">INDEX('Master List'!$G$2:$G$2594,K2269)</f>
        <v>0</v>
      </c>
      <c r="K2269" s="4" t="n">
        <v>1609</v>
      </c>
    </row>
    <row r="2270" customFormat="false" ht="15" hidden="false" customHeight="false" outlineLevel="0" collapsed="false">
      <c r="A2270" s="4" t="n">
        <v>2269</v>
      </c>
      <c r="B2270" s="4" t="s">
        <v>3412</v>
      </c>
      <c r="C2270" s="4" t="n">
        <v>1962</v>
      </c>
      <c r="D2270" s="4" t="s">
        <v>3413</v>
      </c>
      <c r="E2270" s="25" t="str">
        <f aca="false">IF(J2270=1,"✓","")</f>
        <v/>
      </c>
      <c r="F2270" s="4" t="n">
        <v>1</v>
      </c>
      <c r="G2270" s="4" t="n">
        <v>1</v>
      </c>
      <c r="H2270" s="4" t="s">
        <v>1327</v>
      </c>
      <c r="I2270" s="4" t="s">
        <v>51</v>
      </c>
      <c r="J2270" s="4" t="n">
        <f aca="false">INDEX('Master List'!$G$2:$G$2594,K2270)</f>
        <v>0</v>
      </c>
      <c r="K2270" s="4" t="n">
        <v>43</v>
      </c>
    </row>
    <row r="2271" customFormat="false" ht="15" hidden="false" customHeight="false" outlineLevel="0" collapsed="false">
      <c r="A2271" s="4" t="n">
        <v>2270</v>
      </c>
      <c r="B2271" s="4" t="s">
        <v>3414</v>
      </c>
      <c r="C2271" s="4" t="n">
        <v>1962</v>
      </c>
      <c r="D2271" s="4" t="s">
        <v>783</v>
      </c>
      <c r="E2271" s="25" t="str">
        <f aca="false">IF(J2271=1,"✓","")</f>
        <v/>
      </c>
      <c r="F2271" s="4" t="n">
        <v>1</v>
      </c>
      <c r="G2271" s="4" t="n">
        <v>1</v>
      </c>
      <c r="H2271" s="4" t="s">
        <v>1327</v>
      </c>
      <c r="I2271" s="4" t="s">
        <v>52</v>
      </c>
      <c r="J2271" s="4" t="n">
        <f aca="false">INDEX('Master List'!$G$2:$G$2594,K2271)</f>
        <v>0</v>
      </c>
      <c r="K2271" s="4" t="n">
        <v>1902</v>
      </c>
    </row>
    <row r="2272" customFormat="false" ht="15" hidden="false" customHeight="false" outlineLevel="0" collapsed="false">
      <c r="A2272" s="4" t="n">
        <v>2271</v>
      </c>
      <c r="B2272" s="4" t="s">
        <v>3415</v>
      </c>
      <c r="C2272" s="4" t="n">
        <v>1962</v>
      </c>
      <c r="D2272" s="4" t="s">
        <v>3416</v>
      </c>
      <c r="E2272" s="25" t="str">
        <f aca="false">IF(J2272=1,"✓","")</f>
        <v/>
      </c>
      <c r="F2272" s="4" t="n">
        <v>1</v>
      </c>
      <c r="G2272" s="4" t="n">
        <v>1</v>
      </c>
      <c r="H2272" s="4" t="s">
        <v>1327</v>
      </c>
      <c r="I2272" s="4" t="s">
        <v>52</v>
      </c>
      <c r="J2272" s="4" t="n">
        <f aca="false">INDEX('Master List'!$G$2:$G$2594,K2272)</f>
        <v>0</v>
      </c>
      <c r="K2272" s="4" t="n">
        <v>1374</v>
      </c>
    </row>
    <row r="2273" customFormat="false" ht="15" hidden="false" customHeight="false" outlineLevel="0" collapsed="false">
      <c r="A2273" s="4" t="n">
        <v>2272</v>
      </c>
      <c r="B2273" s="4" t="s">
        <v>3417</v>
      </c>
      <c r="C2273" s="4" t="n">
        <v>1962</v>
      </c>
      <c r="D2273" s="4" t="s">
        <v>168</v>
      </c>
      <c r="E2273" s="25" t="str">
        <f aca="false">IF(J2273=1,"✓","")</f>
        <v/>
      </c>
      <c r="F2273" s="4" t="n">
        <v>1</v>
      </c>
      <c r="G2273" s="4" t="n">
        <v>1</v>
      </c>
      <c r="H2273" s="4" t="s">
        <v>1327</v>
      </c>
      <c r="I2273" s="4" t="s">
        <v>53</v>
      </c>
      <c r="J2273" s="4" t="n">
        <f aca="false">INDEX('Master List'!$G$2:$G$2594,K2273)</f>
        <v>0</v>
      </c>
      <c r="K2273" s="4" t="n">
        <v>1000</v>
      </c>
    </row>
    <row r="2274" customFormat="false" ht="15" hidden="false" customHeight="false" outlineLevel="0" collapsed="false">
      <c r="A2274" s="4" t="n">
        <v>2273</v>
      </c>
      <c r="B2274" s="4" t="s">
        <v>3418</v>
      </c>
      <c r="C2274" s="4" t="n">
        <v>1962</v>
      </c>
      <c r="D2274" s="4" t="s">
        <v>215</v>
      </c>
      <c r="E2274" s="25" t="str">
        <f aca="false">IF(J2274=1,"✓","")</f>
        <v/>
      </c>
      <c r="F2274" s="4" t="n">
        <v>1</v>
      </c>
      <c r="G2274" s="4" t="n">
        <v>1</v>
      </c>
      <c r="H2274" s="4" t="s">
        <v>1327</v>
      </c>
      <c r="I2274" s="4" t="s">
        <v>53</v>
      </c>
      <c r="J2274" s="4" t="n">
        <f aca="false">INDEX('Master List'!$G$2:$G$2594,K2274)</f>
        <v>0</v>
      </c>
      <c r="K2274" s="4" t="n">
        <v>2365</v>
      </c>
    </row>
    <row r="2275" customFormat="false" ht="15" hidden="false" customHeight="false" outlineLevel="0" collapsed="false">
      <c r="A2275" s="4" t="n">
        <v>2274</v>
      </c>
      <c r="B2275" s="4" t="s">
        <v>3419</v>
      </c>
      <c r="C2275" s="4" t="n">
        <v>1963</v>
      </c>
      <c r="D2275" s="4" t="s">
        <v>472</v>
      </c>
      <c r="E2275" s="25" t="str">
        <f aca="false">IF(J2275=1,"✓","")</f>
        <v/>
      </c>
      <c r="F2275" s="4" t="n">
        <v>1</v>
      </c>
      <c r="G2275" s="4" t="n">
        <v>1</v>
      </c>
      <c r="H2275" s="4" t="s">
        <v>1327</v>
      </c>
      <c r="I2275" s="4" t="s">
        <v>51</v>
      </c>
      <c r="J2275" s="4" t="n">
        <f aca="false">INDEX('Master List'!$G$2:$G$2594,K2275)</f>
        <v>0</v>
      </c>
      <c r="K2275" s="4" t="n">
        <v>2579</v>
      </c>
    </row>
    <row r="2276" customFormat="false" ht="15" hidden="false" customHeight="false" outlineLevel="0" collapsed="false">
      <c r="A2276" s="4" t="n">
        <v>2275</v>
      </c>
      <c r="B2276" s="4" t="s">
        <v>3420</v>
      </c>
      <c r="C2276" s="4" t="n">
        <v>1963</v>
      </c>
      <c r="D2276" s="4" t="s">
        <v>272</v>
      </c>
      <c r="E2276" s="25" t="str">
        <f aca="false">IF(J2276=1,"✓","")</f>
        <v/>
      </c>
      <c r="F2276" s="4" t="n">
        <v>1</v>
      </c>
      <c r="G2276" s="4" t="n">
        <v>1</v>
      </c>
      <c r="H2276" s="4" t="s">
        <v>1327</v>
      </c>
      <c r="I2276" s="4" t="s">
        <v>51</v>
      </c>
      <c r="J2276" s="4" t="n">
        <f aca="false">INDEX('Master List'!$G$2:$G$2594,K2276)</f>
        <v>0</v>
      </c>
      <c r="K2276" s="4" t="n">
        <v>1561</v>
      </c>
    </row>
    <row r="2277" customFormat="false" ht="15" hidden="false" customHeight="false" outlineLevel="0" collapsed="false">
      <c r="A2277" s="4" t="n">
        <v>2276</v>
      </c>
      <c r="B2277" s="4" t="s">
        <v>3421</v>
      </c>
      <c r="C2277" s="4" t="n">
        <v>1963</v>
      </c>
      <c r="D2277" s="4" t="s">
        <v>1966</v>
      </c>
      <c r="E2277" s="25" t="str">
        <f aca="false">IF(J2277=1,"✓","")</f>
        <v/>
      </c>
      <c r="F2277" s="4" t="n">
        <v>1</v>
      </c>
      <c r="G2277" s="4" t="n">
        <v>1</v>
      </c>
      <c r="H2277" s="4" t="s">
        <v>1327</v>
      </c>
      <c r="I2277" s="4" t="s">
        <v>52</v>
      </c>
      <c r="J2277" s="4" t="n">
        <f aca="false">INDEX('Master List'!$G$2:$G$2594,K2277)</f>
        <v>0</v>
      </c>
      <c r="K2277" s="4" t="n">
        <v>1541</v>
      </c>
    </row>
    <row r="2278" customFormat="false" ht="15" hidden="false" customHeight="false" outlineLevel="0" collapsed="false">
      <c r="A2278" s="4" t="n">
        <v>2277</v>
      </c>
      <c r="B2278" s="4" t="s">
        <v>3422</v>
      </c>
      <c r="C2278" s="4" t="n">
        <v>1963</v>
      </c>
      <c r="D2278" s="4" t="s">
        <v>407</v>
      </c>
      <c r="E2278" s="25" t="str">
        <f aca="false">IF(J2278=1,"✓","")</f>
        <v/>
      </c>
      <c r="F2278" s="4" t="n">
        <v>1</v>
      </c>
      <c r="G2278" s="4" t="n">
        <v>1</v>
      </c>
      <c r="H2278" s="4" t="s">
        <v>1327</v>
      </c>
      <c r="I2278" s="4" t="s">
        <v>56</v>
      </c>
      <c r="J2278" s="4" t="n">
        <f aca="false">INDEX('Master List'!$G$2:$G$2594,K2278)</f>
        <v>0</v>
      </c>
      <c r="K2278" s="4" t="n">
        <v>1460</v>
      </c>
    </row>
    <row r="2279" customFormat="false" ht="15" hidden="false" customHeight="false" outlineLevel="0" collapsed="false">
      <c r="A2279" s="4" t="n">
        <v>2278</v>
      </c>
      <c r="B2279" s="4" t="s">
        <v>3423</v>
      </c>
      <c r="C2279" s="4" t="n">
        <v>1964</v>
      </c>
      <c r="D2279" s="4" t="s">
        <v>2023</v>
      </c>
      <c r="E2279" s="25" t="str">
        <f aca="false">IF(J2279=1,"✓","")</f>
        <v/>
      </c>
      <c r="F2279" s="4" t="n">
        <v>1</v>
      </c>
      <c r="G2279" s="4" t="n">
        <v>1</v>
      </c>
      <c r="H2279" s="4" t="s">
        <v>1327</v>
      </c>
      <c r="I2279" s="4" t="s">
        <v>52</v>
      </c>
      <c r="J2279" s="4" t="n">
        <f aca="false">INDEX('Master List'!$G$2:$G$2594,K2279)</f>
        <v>0</v>
      </c>
      <c r="K2279" s="4" t="n">
        <v>1256</v>
      </c>
    </row>
    <row r="2280" customFormat="false" ht="15" hidden="false" customHeight="false" outlineLevel="0" collapsed="false">
      <c r="A2280" s="4" t="n">
        <v>2279</v>
      </c>
      <c r="B2280" s="4" t="s">
        <v>3424</v>
      </c>
      <c r="C2280" s="4" t="n">
        <v>1964</v>
      </c>
      <c r="D2280" s="4" t="s">
        <v>200</v>
      </c>
      <c r="E2280" s="25" t="str">
        <f aca="false">IF(J2280=1,"✓","")</f>
        <v/>
      </c>
      <c r="F2280" s="4" t="n">
        <v>1</v>
      </c>
      <c r="G2280" s="4" t="n">
        <v>1</v>
      </c>
      <c r="H2280" s="4" t="s">
        <v>1327</v>
      </c>
      <c r="I2280" s="4" t="s">
        <v>53</v>
      </c>
      <c r="J2280" s="4" t="n">
        <f aca="false">INDEX('Master List'!$G$2:$G$2594,K2280)</f>
        <v>0</v>
      </c>
      <c r="K2280" s="4" t="n">
        <v>1264</v>
      </c>
    </row>
    <row r="2281" customFormat="false" ht="15" hidden="false" customHeight="false" outlineLevel="0" collapsed="false">
      <c r="A2281" s="4" t="n">
        <v>2280</v>
      </c>
      <c r="B2281" s="4" t="s">
        <v>3425</v>
      </c>
      <c r="C2281" s="4" t="n">
        <v>1964</v>
      </c>
      <c r="D2281" s="4" t="s">
        <v>402</v>
      </c>
      <c r="E2281" s="25" t="str">
        <f aca="false">IF(J2281=1,"✓","")</f>
        <v/>
      </c>
      <c r="F2281" s="4" t="n">
        <v>1</v>
      </c>
      <c r="G2281" s="4" t="n">
        <v>1</v>
      </c>
      <c r="H2281" s="4" t="s">
        <v>1327</v>
      </c>
      <c r="I2281" s="4" t="s">
        <v>53</v>
      </c>
      <c r="J2281" s="4" t="n">
        <f aca="false">INDEX('Master List'!$G$2:$G$2594,K2281)</f>
        <v>0</v>
      </c>
      <c r="K2281" s="4" t="n">
        <v>627</v>
      </c>
    </row>
    <row r="2282" customFormat="false" ht="15" hidden="false" customHeight="false" outlineLevel="0" collapsed="false">
      <c r="A2282" s="4" t="n">
        <v>2281</v>
      </c>
      <c r="B2282" s="4" t="s">
        <v>3426</v>
      </c>
      <c r="C2282" s="4" t="n">
        <v>1964</v>
      </c>
      <c r="D2282" s="4" t="s">
        <v>965</v>
      </c>
      <c r="E2282" s="25" t="str">
        <f aca="false">IF(J2282=1,"✓","")</f>
        <v/>
      </c>
      <c r="F2282" s="4" t="n">
        <v>1</v>
      </c>
      <c r="G2282" s="4" t="n">
        <v>1</v>
      </c>
      <c r="H2282" s="4" t="s">
        <v>1327</v>
      </c>
      <c r="I2282" s="4" t="s">
        <v>55</v>
      </c>
      <c r="J2282" s="4" t="n">
        <f aca="false">INDEX('Master List'!$G$2:$G$2594,K2282)</f>
        <v>0</v>
      </c>
      <c r="K2282" s="4" t="n">
        <v>2019</v>
      </c>
    </row>
    <row r="2283" customFormat="false" ht="15" hidden="false" customHeight="false" outlineLevel="0" collapsed="false">
      <c r="A2283" s="4" t="n">
        <v>2282</v>
      </c>
      <c r="B2283" s="4" t="s">
        <v>3427</v>
      </c>
      <c r="C2283" s="4" t="n">
        <v>1964</v>
      </c>
      <c r="D2283" s="4" t="s">
        <v>2040</v>
      </c>
      <c r="E2283" s="25" t="str">
        <f aca="false">IF(J2283=1,"✓","")</f>
        <v/>
      </c>
      <c r="F2283" s="4" t="n">
        <v>1</v>
      </c>
      <c r="G2283" s="4" t="n">
        <v>1</v>
      </c>
      <c r="H2283" s="4" t="s">
        <v>1327</v>
      </c>
      <c r="I2283" s="4" t="s">
        <v>56</v>
      </c>
      <c r="J2283" s="4" t="n">
        <f aca="false">INDEX('Master List'!$G$2:$G$2594,K2283)</f>
        <v>0</v>
      </c>
      <c r="K2283" s="4" t="n">
        <v>2392</v>
      </c>
    </row>
    <row r="2284" customFormat="false" ht="15" hidden="false" customHeight="false" outlineLevel="0" collapsed="false">
      <c r="A2284" s="4" t="n">
        <v>2283</v>
      </c>
      <c r="B2284" s="4" t="s">
        <v>3428</v>
      </c>
      <c r="C2284" s="4" t="n">
        <v>1965</v>
      </c>
      <c r="D2284" s="4" t="s">
        <v>3429</v>
      </c>
      <c r="E2284" s="25" t="str">
        <f aca="false">IF(J2284=1,"✓","")</f>
        <v/>
      </c>
      <c r="F2284" s="4" t="n">
        <v>1</v>
      </c>
      <c r="G2284" s="4" t="n">
        <v>1</v>
      </c>
      <c r="H2284" s="4" t="s">
        <v>1327</v>
      </c>
      <c r="I2284" s="4" t="s">
        <v>51</v>
      </c>
      <c r="J2284" s="4" t="n">
        <f aca="false">INDEX('Master List'!$G$2:$G$2594,K2284)</f>
        <v>0</v>
      </c>
      <c r="K2284" s="4" t="n">
        <v>813</v>
      </c>
    </row>
    <row r="2285" customFormat="false" ht="15" hidden="false" customHeight="false" outlineLevel="0" collapsed="false">
      <c r="A2285" s="4" t="n">
        <v>2284</v>
      </c>
      <c r="B2285" s="4" t="s">
        <v>3430</v>
      </c>
      <c r="C2285" s="4" t="n">
        <v>1965</v>
      </c>
      <c r="D2285" s="4" t="s">
        <v>978</v>
      </c>
      <c r="E2285" s="25" t="str">
        <f aca="false">IF(J2285=1,"✓","")</f>
        <v/>
      </c>
      <c r="F2285" s="4" t="n">
        <v>1</v>
      </c>
      <c r="G2285" s="4" t="n">
        <v>1</v>
      </c>
      <c r="H2285" s="4" t="s">
        <v>1327</v>
      </c>
      <c r="I2285" s="4" t="s">
        <v>51</v>
      </c>
      <c r="J2285" s="4" t="n">
        <f aca="false">INDEX('Master List'!$G$2:$G$2594,K2285)</f>
        <v>0</v>
      </c>
      <c r="K2285" s="4" t="n">
        <v>1267</v>
      </c>
    </row>
    <row r="2286" customFormat="false" ht="15" hidden="false" customHeight="false" outlineLevel="0" collapsed="false">
      <c r="A2286" s="4" t="n">
        <v>2285</v>
      </c>
      <c r="B2286" s="4" t="s">
        <v>3431</v>
      </c>
      <c r="C2286" s="4" t="n">
        <v>1965</v>
      </c>
      <c r="D2286" s="4" t="s">
        <v>1649</v>
      </c>
      <c r="E2286" s="25" t="str">
        <f aca="false">IF(J2286=1,"✓","")</f>
        <v/>
      </c>
      <c r="F2286" s="4" t="n">
        <v>1</v>
      </c>
      <c r="G2286" s="4" t="n">
        <v>1</v>
      </c>
      <c r="H2286" s="4" t="s">
        <v>1327</v>
      </c>
      <c r="I2286" s="4" t="s">
        <v>51</v>
      </c>
      <c r="J2286" s="4" t="n">
        <f aca="false">INDEX('Master List'!$G$2:$G$2594,K2286)</f>
        <v>0</v>
      </c>
      <c r="K2286" s="4" t="n">
        <v>2031</v>
      </c>
    </row>
    <row r="2287" customFormat="false" ht="15" hidden="false" customHeight="false" outlineLevel="0" collapsed="false">
      <c r="A2287" s="4" t="n">
        <v>2286</v>
      </c>
      <c r="B2287" s="4" t="s">
        <v>3432</v>
      </c>
      <c r="C2287" s="4" t="n">
        <v>1965</v>
      </c>
      <c r="D2287" s="4" t="s">
        <v>402</v>
      </c>
      <c r="E2287" s="25" t="str">
        <f aca="false">IF(J2287=1,"✓","")</f>
        <v/>
      </c>
      <c r="F2287" s="4" t="n">
        <v>1</v>
      </c>
      <c r="G2287" s="4" t="n">
        <v>1</v>
      </c>
      <c r="H2287" s="4" t="s">
        <v>1327</v>
      </c>
      <c r="I2287" s="4" t="s">
        <v>53</v>
      </c>
      <c r="J2287" s="4" t="n">
        <f aca="false">INDEX('Master List'!$G$2:$G$2594,K2287)</f>
        <v>0</v>
      </c>
      <c r="K2287" s="4" t="n">
        <v>2075</v>
      </c>
    </row>
    <row r="2288" customFormat="false" ht="15" hidden="false" customHeight="false" outlineLevel="0" collapsed="false">
      <c r="A2288" s="4" t="n">
        <v>2287</v>
      </c>
      <c r="B2288" s="4" t="s">
        <v>3433</v>
      </c>
      <c r="C2288" s="4" t="n">
        <v>1965</v>
      </c>
      <c r="D2288" s="4" t="s">
        <v>1469</v>
      </c>
      <c r="E2288" s="25" t="str">
        <f aca="false">IF(J2288=1,"✓","")</f>
        <v/>
      </c>
      <c r="F2288" s="4" t="n">
        <v>1</v>
      </c>
      <c r="G2288" s="4" t="n">
        <v>1</v>
      </c>
      <c r="H2288" s="4" t="s">
        <v>1327</v>
      </c>
      <c r="I2288" s="4" t="s">
        <v>54</v>
      </c>
      <c r="J2288" s="4" t="n">
        <f aca="false">INDEX('Master List'!$G$2:$G$2594,K2288)</f>
        <v>0</v>
      </c>
      <c r="K2288" s="4" t="n">
        <v>1553</v>
      </c>
    </row>
    <row r="2289" customFormat="false" ht="15" hidden="false" customHeight="false" outlineLevel="0" collapsed="false">
      <c r="A2289" s="4" t="n">
        <v>2288</v>
      </c>
      <c r="B2289" s="4" t="s">
        <v>3434</v>
      </c>
      <c r="C2289" s="4" t="n">
        <v>1966</v>
      </c>
      <c r="D2289" s="4" t="s">
        <v>466</v>
      </c>
      <c r="E2289" s="25" t="str">
        <f aca="false">IF(J2289=1,"✓","")</f>
        <v/>
      </c>
      <c r="F2289" s="4" t="n">
        <v>1</v>
      </c>
      <c r="G2289" s="4" t="n">
        <v>1</v>
      </c>
      <c r="H2289" s="4" t="s">
        <v>1327</v>
      </c>
      <c r="I2289" s="4" t="s">
        <v>51</v>
      </c>
      <c r="J2289" s="4" t="n">
        <f aca="false">INDEX('Master List'!$G$2:$G$2594,K2289)</f>
        <v>0</v>
      </c>
      <c r="K2289" s="4" t="n">
        <v>771</v>
      </c>
    </row>
    <row r="2290" customFormat="false" ht="15" hidden="false" customHeight="false" outlineLevel="0" collapsed="false">
      <c r="A2290" s="4" t="n">
        <v>2289</v>
      </c>
      <c r="B2290" s="4" t="s">
        <v>3435</v>
      </c>
      <c r="C2290" s="4" t="n">
        <v>1966</v>
      </c>
      <c r="D2290" s="4" t="s">
        <v>290</v>
      </c>
      <c r="E2290" s="25" t="str">
        <f aca="false">IF(J2290=1,"✓","")</f>
        <v/>
      </c>
      <c r="F2290" s="4" t="n">
        <v>1</v>
      </c>
      <c r="G2290" s="4" t="n">
        <v>1</v>
      </c>
      <c r="H2290" s="4" t="s">
        <v>1327</v>
      </c>
      <c r="I2290" s="4" t="s">
        <v>51</v>
      </c>
      <c r="J2290" s="4" t="n">
        <f aca="false">INDEX('Master List'!$G$2:$G$2594,K2290)</f>
        <v>0</v>
      </c>
      <c r="K2290" s="4" t="n">
        <v>618</v>
      </c>
    </row>
    <row r="2291" customFormat="false" ht="15" hidden="false" customHeight="false" outlineLevel="0" collapsed="false">
      <c r="A2291" s="4" t="n">
        <v>2290</v>
      </c>
      <c r="B2291" s="4" t="s">
        <v>3436</v>
      </c>
      <c r="C2291" s="4" t="n">
        <v>1966</v>
      </c>
      <c r="D2291" s="4" t="s">
        <v>359</v>
      </c>
      <c r="E2291" s="25" t="str">
        <f aca="false">IF(J2291=1,"✓","")</f>
        <v/>
      </c>
      <c r="F2291" s="4" t="n">
        <v>1</v>
      </c>
      <c r="G2291" s="4" t="n">
        <v>1</v>
      </c>
      <c r="H2291" s="4" t="s">
        <v>1327</v>
      </c>
      <c r="I2291" s="4" t="s">
        <v>51</v>
      </c>
      <c r="J2291" s="4" t="n">
        <f aca="false">INDEX('Master List'!$G$2:$G$2594,K2291)</f>
        <v>0</v>
      </c>
      <c r="K2291" s="4" t="n">
        <v>414</v>
      </c>
    </row>
    <row r="2292" customFormat="false" ht="15" hidden="false" customHeight="false" outlineLevel="0" collapsed="false">
      <c r="A2292" s="4" t="n">
        <v>2291</v>
      </c>
      <c r="B2292" s="4" t="s">
        <v>1689</v>
      </c>
      <c r="C2292" s="4" t="n">
        <v>1966</v>
      </c>
      <c r="D2292" s="4" t="s">
        <v>1035</v>
      </c>
      <c r="E2292" s="25" t="str">
        <f aca="false">IF(J2292=1,"✓","")</f>
        <v/>
      </c>
      <c r="F2292" s="4" t="n">
        <v>1</v>
      </c>
      <c r="G2292" s="4" t="n">
        <v>1</v>
      </c>
      <c r="H2292" s="4" t="s">
        <v>1327</v>
      </c>
      <c r="I2292" s="4" t="s">
        <v>51</v>
      </c>
      <c r="J2292" s="4" t="n">
        <f aca="false">INDEX('Master List'!$G$2:$G$2594,K2292)</f>
        <v>0</v>
      </c>
      <c r="K2292" s="4" t="n">
        <v>2526</v>
      </c>
    </row>
    <row r="2293" customFormat="false" ht="15" hidden="false" customHeight="false" outlineLevel="0" collapsed="false">
      <c r="A2293" s="4" t="n">
        <v>2292</v>
      </c>
      <c r="B2293" s="4" t="s">
        <v>3437</v>
      </c>
      <c r="C2293" s="4" t="n">
        <v>1966</v>
      </c>
      <c r="D2293" s="4" t="s">
        <v>779</v>
      </c>
      <c r="E2293" s="25" t="str">
        <f aca="false">IF(J2293=1,"✓","")</f>
        <v/>
      </c>
      <c r="F2293" s="4" t="n">
        <v>1</v>
      </c>
      <c r="G2293" s="4" t="n">
        <v>1</v>
      </c>
      <c r="H2293" s="4" t="s">
        <v>1327</v>
      </c>
      <c r="I2293" s="4" t="s">
        <v>51</v>
      </c>
      <c r="J2293" s="4" t="n">
        <f aca="false">INDEX('Master List'!$G$2:$G$2594,K2293)</f>
        <v>0</v>
      </c>
      <c r="K2293" s="4" t="n">
        <v>591</v>
      </c>
    </row>
    <row r="2294" customFormat="false" ht="15" hidden="false" customHeight="false" outlineLevel="0" collapsed="false">
      <c r="A2294" s="4" t="n">
        <v>2293</v>
      </c>
      <c r="B2294" s="4" t="s">
        <v>3438</v>
      </c>
      <c r="C2294" s="4" t="n">
        <v>1966</v>
      </c>
      <c r="D2294" s="4" t="s">
        <v>3439</v>
      </c>
      <c r="E2294" s="25" t="str">
        <f aca="false">IF(J2294=1,"✓","")</f>
        <v/>
      </c>
      <c r="F2294" s="4" t="n">
        <v>1</v>
      </c>
      <c r="G2294" s="4" t="n">
        <v>1</v>
      </c>
      <c r="H2294" s="4" t="s">
        <v>1327</v>
      </c>
      <c r="I2294" s="4" t="s">
        <v>52</v>
      </c>
      <c r="J2294" s="4" t="n">
        <f aca="false">INDEX('Master List'!$G$2:$G$2594,K2294)</f>
        <v>0</v>
      </c>
      <c r="K2294" s="4" t="n">
        <v>1773</v>
      </c>
    </row>
    <row r="2295" customFormat="false" ht="15" hidden="false" customHeight="false" outlineLevel="0" collapsed="false">
      <c r="A2295" s="4" t="n">
        <v>2294</v>
      </c>
      <c r="B2295" s="4" t="s">
        <v>3440</v>
      </c>
      <c r="C2295" s="4" t="n">
        <v>1966</v>
      </c>
      <c r="D2295" s="4" t="s">
        <v>3441</v>
      </c>
      <c r="E2295" s="25" t="str">
        <f aca="false">IF(J2295=1,"✓","")</f>
        <v/>
      </c>
      <c r="F2295" s="4" t="n">
        <v>1</v>
      </c>
      <c r="G2295" s="4" t="n">
        <v>1</v>
      </c>
      <c r="H2295" s="4" t="s">
        <v>1327</v>
      </c>
      <c r="I2295" s="4" t="s">
        <v>52</v>
      </c>
      <c r="J2295" s="4" t="n">
        <f aca="false">INDEX('Master List'!$G$2:$G$2594,K2295)</f>
        <v>0</v>
      </c>
      <c r="K2295" s="4" t="n">
        <v>1845</v>
      </c>
    </row>
    <row r="2296" customFormat="false" ht="15" hidden="false" customHeight="false" outlineLevel="0" collapsed="false">
      <c r="A2296" s="4" t="n">
        <v>2295</v>
      </c>
      <c r="B2296" s="4" t="s">
        <v>3442</v>
      </c>
      <c r="C2296" s="4" t="n">
        <v>1966</v>
      </c>
      <c r="D2296" s="4" t="s">
        <v>200</v>
      </c>
      <c r="E2296" s="25" t="str">
        <f aca="false">IF(J2296=1,"✓","")</f>
        <v/>
      </c>
      <c r="F2296" s="4" t="n">
        <v>1</v>
      </c>
      <c r="G2296" s="4" t="n">
        <v>1</v>
      </c>
      <c r="H2296" s="4" t="s">
        <v>1327</v>
      </c>
      <c r="I2296" s="4" t="s">
        <v>53</v>
      </c>
      <c r="J2296" s="4" t="n">
        <f aca="false">INDEX('Master List'!$G$2:$G$2594,K2296)</f>
        <v>0</v>
      </c>
      <c r="K2296" s="4" t="n">
        <v>839</v>
      </c>
    </row>
    <row r="2297" customFormat="false" ht="15" hidden="false" customHeight="false" outlineLevel="0" collapsed="false">
      <c r="A2297" s="4" t="n">
        <v>2296</v>
      </c>
      <c r="B2297" s="4" t="s">
        <v>3443</v>
      </c>
      <c r="C2297" s="4" t="n">
        <v>1966</v>
      </c>
      <c r="D2297" s="4" t="s">
        <v>253</v>
      </c>
      <c r="E2297" s="25" t="str">
        <f aca="false">IF(J2297=1,"✓","")</f>
        <v/>
      </c>
      <c r="F2297" s="4" t="n">
        <v>1</v>
      </c>
      <c r="G2297" s="4" t="n">
        <v>1</v>
      </c>
      <c r="H2297" s="4" t="s">
        <v>1327</v>
      </c>
      <c r="I2297" s="4" t="s">
        <v>53</v>
      </c>
      <c r="J2297" s="4" t="n">
        <f aca="false">INDEX('Master List'!$G$2:$G$2594,K2297)</f>
        <v>0</v>
      </c>
      <c r="K2297" s="4" t="n">
        <v>1589</v>
      </c>
    </row>
    <row r="2298" customFormat="false" ht="15" hidden="false" customHeight="false" outlineLevel="0" collapsed="false">
      <c r="A2298" s="4" t="n">
        <v>2297</v>
      </c>
      <c r="B2298" s="4" t="s">
        <v>3444</v>
      </c>
      <c r="C2298" s="4" t="n">
        <v>1966</v>
      </c>
      <c r="D2298" s="4" t="s">
        <v>3445</v>
      </c>
      <c r="E2298" s="25" t="str">
        <f aca="false">IF(J2298=1,"✓","")</f>
        <v/>
      </c>
      <c r="F2298" s="4" t="n">
        <v>1</v>
      </c>
      <c r="G2298" s="4" t="n">
        <v>1</v>
      </c>
      <c r="H2298" s="4" t="s">
        <v>1327</v>
      </c>
      <c r="I2298" s="4" t="s">
        <v>54</v>
      </c>
      <c r="J2298" s="4" t="n">
        <f aca="false">INDEX('Master List'!$G$2:$G$2594,K2298)</f>
        <v>0</v>
      </c>
      <c r="K2298" s="4" t="n">
        <v>1442</v>
      </c>
    </row>
    <row r="2299" customFormat="false" ht="15" hidden="false" customHeight="false" outlineLevel="0" collapsed="false">
      <c r="A2299" s="4" t="n">
        <v>2298</v>
      </c>
      <c r="B2299" s="4" t="s">
        <v>3446</v>
      </c>
      <c r="C2299" s="4" t="n">
        <v>1967</v>
      </c>
      <c r="D2299" s="4" t="s">
        <v>3447</v>
      </c>
      <c r="E2299" s="25" t="str">
        <f aca="false">IF(J2299=1,"✓","")</f>
        <v/>
      </c>
      <c r="F2299" s="4" t="n">
        <v>1</v>
      </c>
      <c r="G2299" s="4" t="n">
        <v>1</v>
      </c>
      <c r="H2299" s="4" t="s">
        <v>1327</v>
      </c>
      <c r="I2299" s="4" t="s">
        <v>51</v>
      </c>
      <c r="J2299" s="4" t="n">
        <f aca="false">INDEX('Master List'!$G$2:$G$2594,K2299)</f>
        <v>0</v>
      </c>
      <c r="K2299" s="4" t="n">
        <v>597</v>
      </c>
    </row>
    <row r="2300" customFormat="false" ht="15" hidden="false" customHeight="false" outlineLevel="0" collapsed="false">
      <c r="A2300" s="4" t="n">
        <v>2299</v>
      </c>
      <c r="B2300" s="4" t="s">
        <v>3448</v>
      </c>
      <c r="C2300" s="4" t="n">
        <v>1967</v>
      </c>
      <c r="D2300" s="4" t="s">
        <v>1039</v>
      </c>
      <c r="E2300" s="25" t="str">
        <f aca="false">IF(J2300=1,"✓","")</f>
        <v/>
      </c>
      <c r="F2300" s="4" t="n">
        <v>1</v>
      </c>
      <c r="G2300" s="4" t="n">
        <v>1</v>
      </c>
      <c r="H2300" s="4" t="s">
        <v>1327</v>
      </c>
      <c r="I2300" s="4" t="s">
        <v>51</v>
      </c>
      <c r="J2300" s="4" t="n">
        <f aca="false">INDEX('Master List'!$G$2:$G$2594,K2300)</f>
        <v>0</v>
      </c>
      <c r="K2300" s="4" t="n">
        <v>1675</v>
      </c>
    </row>
    <row r="2301" customFormat="false" ht="15" hidden="false" customHeight="false" outlineLevel="0" collapsed="false">
      <c r="A2301" s="4" t="n">
        <v>2300</v>
      </c>
      <c r="B2301" s="4" t="s">
        <v>3449</v>
      </c>
      <c r="C2301" s="4" t="n">
        <v>1967</v>
      </c>
      <c r="D2301" s="4" t="s">
        <v>3450</v>
      </c>
      <c r="E2301" s="25" t="str">
        <f aca="false">IF(J2301=1,"✓","")</f>
        <v/>
      </c>
      <c r="F2301" s="4" t="n">
        <v>1</v>
      </c>
      <c r="G2301" s="4" t="n">
        <v>1</v>
      </c>
      <c r="H2301" s="4" t="s">
        <v>1327</v>
      </c>
      <c r="I2301" s="4" t="s">
        <v>52</v>
      </c>
      <c r="J2301" s="4" t="n">
        <f aca="false">INDEX('Master List'!$G$2:$G$2594,K2301)</f>
        <v>0</v>
      </c>
      <c r="K2301" s="4" t="n">
        <v>2441</v>
      </c>
    </row>
    <row r="2302" customFormat="false" ht="15" hidden="false" customHeight="false" outlineLevel="0" collapsed="false">
      <c r="A2302" s="4" t="n">
        <v>2301</v>
      </c>
      <c r="B2302" s="4" t="s">
        <v>3451</v>
      </c>
      <c r="C2302" s="4" t="n">
        <v>1967</v>
      </c>
      <c r="D2302" s="4" t="s">
        <v>759</v>
      </c>
      <c r="E2302" s="25" t="str">
        <f aca="false">IF(J2302=1,"✓","")</f>
        <v/>
      </c>
      <c r="F2302" s="4" t="n">
        <v>1</v>
      </c>
      <c r="G2302" s="4" t="n">
        <v>1</v>
      </c>
      <c r="H2302" s="4" t="s">
        <v>1327</v>
      </c>
      <c r="I2302" s="4" t="s">
        <v>53</v>
      </c>
      <c r="J2302" s="4" t="n">
        <f aca="false">INDEX('Master List'!$G$2:$G$2594,K2302)</f>
        <v>0</v>
      </c>
      <c r="K2302" s="4" t="n">
        <v>1987</v>
      </c>
    </row>
    <row r="2303" customFormat="false" ht="15" hidden="false" customHeight="false" outlineLevel="0" collapsed="false">
      <c r="A2303" s="4" t="n">
        <v>2302</v>
      </c>
      <c r="B2303" s="4" t="s">
        <v>3452</v>
      </c>
      <c r="C2303" s="4" t="n">
        <v>1968</v>
      </c>
      <c r="D2303" s="4" t="s">
        <v>974</v>
      </c>
      <c r="E2303" s="25" t="str">
        <f aca="false">IF(J2303=1,"✓","")</f>
        <v/>
      </c>
      <c r="F2303" s="4" t="n">
        <v>1</v>
      </c>
      <c r="G2303" s="4" t="n">
        <v>1</v>
      </c>
      <c r="H2303" s="4" t="s">
        <v>1327</v>
      </c>
      <c r="I2303" s="4" t="s">
        <v>51</v>
      </c>
      <c r="J2303" s="4" t="n">
        <f aca="false">INDEX('Master List'!$G$2:$G$2594,K2303)</f>
        <v>0</v>
      </c>
      <c r="K2303" s="4" t="n">
        <v>2253</v>
      </c>
    </row>
    <row r="2304" customFormat="false" ht="15" hidden="false" customHeight="false" outlineLevel="0" collapsed="false">
      <c r="A2304" s="4" t="n">
        <v>2303</v>
      </c>
      <c r="B2304" s="4" t="s">
        <v>3453</v>
      </c>
      <c r="C2304" s="4" t="n">
        <v>1968</v>
      </c>
      <c r="D2304" s="4" t="s">
        <v>1485</v>
      </c>
      <c r="E2304" s="25" t="str">
        <f aca="false">IF(J2304=1,"✓","")</f>
        <v/>
      </c>
      <c r="F2304" s="4" t="n">
        <v>1</v>
      </c>
      <c r="G2304" s="4" t="n">
        <v>1</v>
      </c>
      <c r="H2304" s="4" t="s">
        <v>1327</v>
      </c>
      <c r="I2304" s="4" t="s">
        <v>51</v>
      </c>
      <c r="J2304" s="4" t="n">
        <f aca="false">INDEX('Master List'!$G$2:$G$2594,K2304)</f>
        <v>0</v>
      </c>
      <c r="K2304" s="4" t="n">
        <v>1143</v>
      </c>
    </row>
    <row r="2305" customFormat="false" ht="15" hidden="false" customHeight="false" outlineLevel="0" collapsed="false">
      <c r="A2305" s="4" t="n">
        <v>2304</v>
      </c>
      <c r="B2305" s="4" t="s">
        <v>3454</v>
      </c>
      <c r="C2305" s="4" t="n">
        <v>1968</v>
      </c>
      <c r="D2305" s="4" t="s">
        <v>3455</v>
      </c>
      <c r="E2305" s="25" t="str">
        <f aca="false">IF(J2305=1,"✓","")</f>
        <v/>
      </c>
      <c r="F2305" s="4" t="n">
        <v>1</v>
      </c>
      <c r="G2305" s="4" t="n">
        <v>1</v>
      </c>
      <c r="H2305" s="4" t="s">
        <v>1327</v>
      </c>
      <c r="I2305" s="4" t="s">
        <v>52</v>
      </c>
      <c r="J2305" s="4" t="n">
        <f aca="false">INDEX('Master List'!$G$2:$G$2594,K2305)</f>
        <v>0</v>
      </c>
      <c r="K2305" s="4" t="n">
        <v>186</v>
      </c>
    </row>
    <row r="2306" customFormat="false" ht="15" hidden="false" customHeight="false" outlineLevel="0" collapsed="false">
      <c r="A2306" s="4" t="n">
        <v>2305</v>
      </c>
      <c r="B2306" s="4" t="s">
        <v>3456</v>
      </c>
      <c r="C2306" s="4" t="n">
        <v>1968</v>
      </c>
      <c r="D2306" s="4" t="s">
        <v>594</v>
      </c>
      <c r="E2306" s="25" t="str">
        <f aca="false">IF(J2306=1,"✓","")</f>
        <v/>
      </c>
      <c r="F2306" s="4" t="n">
        <v>1</v>
      </c>
      <c r="G2306" s="4" t="n">
        <v>1</v>
      </c>
      <c r="H2306" s="4" t="s">
        <v>1327</v>
      </c>
      <c r="I2306" s="4" t="s">
        <v>53</v>
      </c>
      <c r="J2306" s="4" t="n">
        <f aca="false">INDEX('Master List'!$G$2:$G$2594,K2306)</f>
        <v>0</v>
      </c>
      <c r="K2306" s="4" t="n">
        <v>1005</v>
      </c>
    </row>
    <row r="2307" customFormat="false" ht="15" hidden="false" customHeight="false" outlineLevel="0" collapsed="false">
      <c r="A2307" s="4" t="n">
        <v>2306</v>
      </c>
      <c r="B2307" s="4" t="s">
        <v>3457</v>
      </c>
      <c r="C2307" s="4" t="n">
        <v>1968</v>
      </c>
      <c r="D2307" s="4" t="s">
        <v>170</v>
      </c>
      <c r="E2307" s="25" t="str">
        <f aca="false">IF(J2307=1,"✓","")</f>
        <v/>
      </c>
      <c r="F2307" s="4" t="n">
        <v>1</v>
      </c>
      <c r="G2307" s="4" t="n">
        <v>1</v>
      </c>
      <c r="H2307" s="4" t="s">
        <v>1327</v>
      </c>
      <c r="I2307" s="4" t="s">
        <v>53</v>
      </c>
      <c r="J2307" s="4" t="n">
        <f aca="false">INDEX('Master List'!$G$2:$G$2594,K2307)</f>
        <v>0</v>
      </c>
      <c r="K2307" s="4" t="n">
        <v>2033</v>
      </c>
    </row>
    <row r="2308" customFormat="false" ht="15" hidden="false" customHeight="false" outlineLevel="0" collapsed="false">
      <c r="A2308" s="4" t="n">
        <v>2307</v>
      </c>
      <c r="B2308" s="4" t="s">
        <v>3458</v>
      </c>
      <c r="C2308" s="4" t="n">
        <v>1968</v>
      </c>
      <c r="D2308" s="4" t="s">
        <v>407</v>
      </c>
      <c r="E2308" s="25" t="str">
        <f aca="false">IF(J2308=1,"✓","")</f>
        <v/>
      </c>
      <c r="F2308" s="4" t="n">
        <v>1</v>
      </c>
      <c r="G2308" s="4" t="n">
        <v>1</v>
      </c>
      <c r="H2308" s="4" t="s">
        <v>1327</v>
      </c>
      <c r="I2308" s="4" t="s">
        <v>56</v>
      </c>
      <c r="J2308" s="4" t="n">
        <f aca="false">INDEX('Master List'!$G$2:$G$2594,K2308)</f>
        <v>0</v>
      </c>
      <c r="K2308" s="4" t="n">
        <v>614</v>
      </c>
    </row>
    <row r="2309" customFormat="false" ht="15" hidden="false" customHeight="false" outlineLevel="0" collapsed="false">
      <c r="A2309" s="4" t="n">
        <v>2308</v>
      </c>
      <c r="B2309" s="4" t="s">
        <v>3459</v>
      </c>
      <c r="C2309" s="4" t="n">
        <v>1968</v>
      </c>
      <c r="D2309" s="4" t="s">
        <v>3460</v>
      </c>
      <c r="E2309" s="25" t="str">
        <f aca="false">IF(J2309=1,"✓","")</f>
        <v/>
      </c>
      <c r="F2309" s="4" t="n">
        <v>1</v>
      </c>
      <c r="G2309" s="4" t="n">
        <v>1</v>
      </c>
      <c r="H2309" s="4" t="s">
        <v>1327</v>
      </c>
      <c r="I2309" s="4" t="s">
        <v>56</v>
      </c>
      <c r="J2309" s="4" t="n">
        <f aca="false">INDEX('Master List'!$G$2:$G$2594,K2309)</f>
        <v>0</v>
      </c>
      <c r="K2309" s="4" t="n">
        <v>914</v>
      </c>
    </row>
    <row r="2310" customFormat="false" ht="15" hidden="false" customHeight="false" outlineLevel="0" collapsed="false">
      <c r="A2310" s="4" t="n">
        <v>2309</v>
      </c>
      <c r="B2310" s="4" t="s">
        <v>1409</v>
      </c>
      <c r="C2310" s="4" t="n">
        <v>1969</v>
      </c>
      <c r="D2310" s="4" t="s">
        <v>995</v>
      </c>
      <c r="E2310" s="25" t="str">
        <f aca="false">IF(J2310=1,"✓","")</f>
        <v/>
      </c>
      <c r="F2310" s="4" t="n">
        <v>1</v>
      </c>
      <c r="G2310" s="4" t="n">
        <v>1</v>
      </c>
      <c r="H2310" s="4" t="s">
        <v>1327</v>
      </c>
      <c r="I2310" s="4" t="s">
        <v>51</v>
      </c>
      <c r="J2310" s="4" t="n">
        <f aca="false">INDEX('Master List'!$G$2:$G$2594,K2310)</f>
        <v>0</v>
      </c>
      <c r="K2310" s="4" t="n">
        <v>327</v>
      </c>
    </row>
    <row r="2311" customFormat="false" ht="15" hidden="false" customHeight="false" outlineLevel="0" collapsed="false">
      <c r="A2311" s="4" t="n">
        <v>2310</v>
      </c>
      <c r="B2311" s="4" t="s">
        <v>3461</v>
      </c>
      <c r="C2311" s="4" t="n">
        <v>1969</v>
      </c>
      <c r="D2311" s="4" t="s">
        <v>3462</v>
      </c>
      <c r="E2311" s="25" t="str">
        <f aca="false">IF(J2311=1,"✓","")</f>
        <v/>
      </c>
      <c r="F2311" s="4" t="n">
        <v>1</v>
      </c>
      <c r="G2311" s="4" t="n">
        <v>1</v>
      </c>
      <c r="H2311" s="4" t="s">
        <v>1327</v>
      </c>
      <c r="I2311" s="4" t="s">
        <v>51</v>
      </c>
      <c r="J2311" s="4" t="n">
        <f aca="false">INDEX('Master List'!$G$2:$G$2594,K2311)</f>
        <v>0</v>
      </c>
      <c r="K2311" s="4" t="n">
        <v>237</v>
      </c>
    </row>
    <row r="2312" customFormat="false" ht="15" hidden="false" customHeight="false" outlineLevel="0" collapsed="false">
      <c r="A2312" s="4" t="n">
        <v>2311</v>
      </c>
      <c r="B2312" s="4" t="s">
        <v>3463</v>
      </c>
      <c r="C2312" s="4" t="n">
        <v>1969</v>
      </c>
      <c r="D2312" s="4" t="s">
        <v>2200</v>
      </c>
      <c r="E2312" s="25" t="str">
        <f aca="false">IF(J2312=1,"✓","")</f>
        <v/>
      </c>
      <c r="F2312" s="4" t="n">
        <v>1</v>
      </c>
      <c r="G2312" s="4" t="n">
        <v>1</v>
      </c>
      <c r="H2312" s="4" t="s">
        <v>1327</v>
      </c>
      <c r="I2312" s="4" t="s">
        <v>52</v>
      </c>
      <c r="J2312" s="4" t="n">
        <f aca="false">INDEX('Master List'!$G$2:$G$2594,K2312)</f>
        <v>0</v>
      </c>
      <c r="K2312" s="4" t="n">
        <v>1835</v>
      </c>
    </row>
    <row r="2313" customFormat="false" ht="15" hidden="false" customHeight="false" outlineLevel="0" collapsed="false">
      <c r="A2313" s="4" t="n">
        <v>2312</v>
      </c>
      <c r="B2313" s="4" t="s">
        <v>3464</v>
      </c>
      <c r="C2313" s="4" t="n">
        <v>1969</v>
      </c>
      <c r="D2313" s="4" t="s">
        <v>992</v>
      </c>
      <c r="E2313" s="25" t="str">
        <f aca="false">IF(J2313=1,"✓","")</f>
        <v/>
      </c>
      <c r="F2313" s="4" t="n">
        <v>1</v>
      </c>
      <c r="G2313" s="4" t="n">
        <v>1</v>
      </c>
      <c r="H2313" s="4" t="s">
        <v>1327</v>
      </c>
      <c r="I2313" s="4" t="s">
        <v>52</v>
      </c>
      <c r="J2313" s="4" t="n">
        <f aca="false">INDEX('Master List'!$G$2:$G$2594,K2313)</f>
        <v>0</v>
      </c>
      <c r="K2313" s="4" t="n">
        <v>1311</v>
      </c>
    </row>
    <row r="2314" customFormat="false" ht="15" hidden="false" customHeight="false" outlineLevel="0" collapsed="false">
      <c r="A2314" s="4" t="n">
        <v>2313</v>
      </c>
      <c r="B2314" s="4" t="s">
        <v>3465</v>
      </c>
      <c r="C2314" s="4" t="n">
        <v>1969</v>
      </c>
      <c r="D2314" s="4" t="s">
        <v>179</v>
      </c>
      <c r="E2314" s="25" t="str">
        <f aca="false">IF(J2314=1,"✓","")</f>
        <v/>
      </c>
      <c r="F2314" s="4" t="n">
        <v>1</v>
      </c>
      <c r="G2314" s="4" t="n">
        <v>1</v>
      </c>
      <c r="H2314" s="4" t="s">
        <v>1327</v>
      </c>
      <c r="I2314" s="4" t="s">
        <v>53</v>
      </c>
      <c r="J2314" s="4" t="n">
        <f aca="false">INDEX('Master List'!$G$2:$G$2594,K2314)</f>
        <v>0</v>
      </c>
      <c r="K2314" s="4" t="n">
        <v>797</v>
      </c>
    </row>
    <row r="2315" customFormat="false" ht="15" hidden="false" customHeight="false" outlineLevel="0" collapsed="false">
      <c r="A2315" s="4" t="n">
        <v>2314</v>
      </c>
      <c r="B2315" s="4" t="s">
        <v>3466</v>
      </c>
      <c r="C2315" s="4" t="n">
        <v>1969</v>
      </c>
      <c r="D2315" s="4" t="s">
        <v>3467</v>
      </c>
      <c r="E2315" s="25" t="str">
        <f aca="false">IF(J2315=1,"✓","")</f>
        <v/>
      </c>
      <c r="F2315" s="4" t="n">
        <v>1</v>
      </c>
      <c r="G2315" s="4" t="n">
        <v>1</v>
      </c>
      <c r="H2315" s="4" t="s">
        <v>1327</v>
      </c>
      <c r="I2315" s="4" t="s">
        <v>58</v>
      </c>
      <c r="J2315" s="4" t="n">
        <f aca="false">INDEX('Master List'!$G$2:$G$2594,K2315)</f>
        <v>0</v>
      </c>
      <c r="K2315" s="4" t="n">
        <v>932</v>
      </c>
    </row>
    <row r="2316" customFormat="false" ht="15" hidden="false" customHeight="false" outlineLevel="0" collapsed="false">
      <c r="A2316" s="4" t="n">
        <v>2315</v>
      </c>
      <c r="B2316" s="4" t="s">
        <v>3468</v>
      </c>
      <c r="C2316" s="4" t="n">
        <v>1970</v>
      </c>
      <c r="D2316" s="4" t="s">
        <v>668</v>
      </c>
      <c r="E2316" s="25" t="str">
        <f aca="false">IF(J2316=1,"✓","")</f>
        <v/>
      </c>
      <c r="F2316" s="4" t="n">
        <v>1</v>
      </c>
      <c r="G2316" s="4" t="n">
        <v>1</v>
      </c>
      <c r="H2316" s="4" t="s">
        <v>1327</v>
      </c>
      <c r="I2316" s="4" t="s">
        <v>51</v>
      </c>
      <c r="J2316" s="4" t="n">
        <f aca="false">INDEX('Master List'!$G$2:$G$2594,K2316)</f>
        <v>0</v>
      </c>
      <c r="K2316" s="4" t="n">
        <v>508</v>
      </c>
    </row>
    <row r="2317" customFormat="false" ht="15" hidden="false" customHeight="false" outlineLevel="0" collapsed="false">
      <c r="A2317" s="4" t="n">
        <v>2316</v>
      </c>
      <c r="B2317" s="4" t="s">
        <v>3469</v>
      </c>
      <c r="C2317" s="4" t="n">
        <v>1970</v>
      </c>
      <c r="D2317" s="4" t="s">
        <v>3470</v>
      </c>
      <c r="E2317" s="25" t="str">
        <f aca="false">IF(J2317=1,"✓","")</f>
        <v/>
      </c>
      <c r="F2317" s="4" t="n">
        <v>1</v>
      </c>
      <c r="G2317" s="4" t="n">
        <v>1</v>
      </c>
      <c r="H2317" s="4" t="s">
        <v>1327</v>
      </c>
      <c r="I2317" s="4" t="s">
        <v>51</v>
      </c>
      <c r="J2317" s="4" t="n">
        <f aca="false">INDEX('Master List'!$G$2:$G$2594,K2317)</f>
        <v>0</v>
      </c>
      <c r="K2317" s="4" t="n">
        <v>913</v>
      </c>
    </row>
    <row r="2318" customFormat="false" ht="15" hidden="false" customHeight="false" outlineLevel="0" collapsed="false">
      <c r="A2318" s="4" t="n">
        <v>2317</v>
      </c>
      <c r="B2318" s="4" t="s">
        <v>3471</v>
      </c>
      <c r="C2318" s="4" t="n">
        <v>1970</v>
      </c>
      <c r="D2318" s="4" t="s">
        <v>3472</v>
      </c>
      <c r="E2318" s="25" t="str">
        <f aca="false">IF(J2318=1,"✓","")</f>
        <v/>
      </c>
      <c r="F2318" s="4" t="n">
        <v>1</v>
      </c>
      <c r="G2318" s="4" t="n">
        <v>1</v>
      </c>
      <c r="H2318" s="4" t="s">
        <v>1327</v>
      </c>
      <c r="I2318" s="4" t="s">
        <v>52</v>
      </c>
      <c r="J2318" s="4" t="n">
        <f aca="false">INDEX('Master List'!$G$2:$G$2594,K2318)</f>
        <v>0</v>
      </c>
      <c r="K2318" s="4" t="n">
        <v>1916</v>
      </c>
    </row>
    <row r="2319" customFormat="false" ht="15" hidden="false" customHeight="false" outlineLevel="0" collapsed="false">
      <c r="A2319" s="4" t="n">
        <v>2318</v>
      </c>
      <c r="B2319" s="4" t="s">
        <v>3473</v>
      </c>
      <c r="C2319" s="4" t="n">
        <v>1970</v>
      </c>
      <c r="D2319" s="4" t="s">
        <v>200</v>
      </c>
      <c r="E2319" s="25" t="str">
        <f aca="false">IF(J2319=1,"✓","")</f>
        <v/>
      </c>
      <c r="F2319" s="4" t="n">
        <v>1</v>
      </c>
      <c r="G2319" s="4" t="n">
        <v>1</v>
      </c>
      <c r="H2319" s="4" t="s">
        <v>1327</v>
      </c>
      <c r="I2319" s="4" t="s">
        <v>53</v>
      </c>
      <c r="J2319" s="4" t="n">
        <f aca="false">INDEX('Master List'!$G$2:$G$2594,K2319)</f>
        <v>0</v>
      </c>
      <c r="K2319" s="4" t="n">
        <v>1820</v>
      </c>
    </row>
    <row r="2320" customFormat="false" ht="15" hidden="false" customHeight="false" outlineLevel="0" collapsed="false">
      <c r="A2320" s="4" t="n">
        <v>2319</v>
      </c>
      <c r="B2320" s="4" t="s">
        <v>3474</v>
      </c>
      <c r="C2320" s="4" t="n">
        <v>1970</v>
      </c>
      <c r="D2320" s="4" t="s">
        <v>197</v>
      </c>
      <c r="E2320" s="25" t="str">
        <f aca="false">IF(J2320=1,"✓","")</f>
        <v>✓</v>
      </c>
      <c r="F2320" s="4" t="n">
        <v>1</v>
      </c>
      <c r="G2320" s="4" t="n">
        <v>1</v>
      </c>
      <c r="H2320" s="4" t="s">
        <v>1327</v>
      </c>
      <c r="I2320" s="4" t="s">
        <v>53</v>
      </c>
      <c r="J2320" s="4" t="n">
        <f aca="false">INDEX('Master List'!$G$2:$G$2594,K2320)</f>
        <v>1</v>
      </c>
      <c r="K2320" s="4" t="n">
        <v>343</v>
      </c>
    </row>
    <row r="2321" customFormat="false" ht="15" hidden="false" customHeight="false" outlineLevel="0" collapsed="false">
      <c r="A2321" s="4" t="n">
        <v>2320</v>
      </c>
      <c r="B2321" s="4" t="s">
        <v>3475</v>
      </c>
      <c r="C2321" s="4" t="n">
        <v>1970</v>
      </c>
      <c r="D2321" s="4" t="s">
        <v>310</v>
      </c>
      <c r="E2321" s="25" t="str">
        <f aca="false">IF(J2321=1,"✓","")</f>
        <v/>
      </c>
      <c r="F2321" s="4" t="n">
        <v>1</v>
      </c>
      <c r="G2321" s="4" t="n">
        <v>1</v>
      </c>
      <c r="H2321" s="4" t="s">
        <v>1327</v>
      </c>
      <c r="I2321" s="4" t="s">
        <v>53</v>
      </c>
      <c r="J2321" s="4" t="n">
        <f aca="false">INDEX('Master List'!$G$2:$G$2594,K2321)</f>
        <v>0</v>
      </c>
      <c r="K2321" s="4" t="n">
        <v>1291</v>
      </c>
    </row>
    <row r="2322" customFormat="false" ht="15" hidden="false" customHeight="false" outlineLevel="0" collapsed="false">
      <c r="A2322" s="4" t="n">
        <v>2321</v>
      </c>
      <c r="B2322" s="4" t="s">
        <v>3476</v>
      </c>
      <c r="C2322" s="4" t="n">
        <v>1970</v>
      </c>
      <c r="D2322" s="4" t="s">
        <v>154</v>
      </c>
      <c r="E2322" s="25" t="str">
        <f aca="false">IF(J2322=1,"✓","")</f>
        <v/>
      </c>
      <c r="F2322" s="4" t="n">
        <v>1</v>
      </c>
      <c r="G2322" s="4" t="n">
        <v>1</v>
      </c>
      <c r="H2322" s="4" t="s">
        <v>1327</v>
      </c>
      <c r="I2322" s="4" t="s">
        <v>53</v>
      </c>
      <c r="J2322" s="4" t="n">
        <f aca="false">INDEX('Master List'!$G$2:$G$2594,K2322)</f>
        <v>0</v>
      </c>
      <c r="K2322" s="4" t="n">
        <v>945</v>
      </c>
    </row>
    <row r="2323" customFormat="false" ht="15" hidden="false" customHeight="false" outlineLevel="0" collapsed="false">
      <c r="A2323" s="4" t="n">
        <v>2322</v>
      </c>
      <c r="B2323" s="4" t="s">
        <v>3477</v>
      </c>
      <c r="C2323" s="4" t="n">
        <v>1970</v>
      </c>
      <c r="D2323" s="4" t="s">
        <v>217</v>
      </c>
      <c r="E2323" s="25" t="str">
        <f aca="false">IF(J2323=1,"✓","")</f>
        <v/>
      </c>
      <c r="F2323" s="4" t="n">
        <v>1</v>
      </c>
      <c r="G2323" s="4" t="n">
        <v>1</v>
      </c>
      <c r="H2323" s="4" t="s">
        <v>1327</v>
      </c>
      <c r="I2323" s="4" t="s">
        <v>53</v>
      </c>
      <c r="J2323" s="4" t="n">
        <f aca="false">INDEX('Master List'!$G$2:$G$2594,K2323)</f>
        <v>0</v>
      </c>
      <c r="K2323" s="4" t="n">
        <v>2580</v>
      </c>
    </row>
    <row r="2324" customFormat="false" ht="15" hidden="false" customHeight="false" outlineLevel="0" collapsed="false">
      <c r="A2324" s="4" t="n">
        <v>2323</v>
      </c>
      <c r="B2324" s="4" t="s">
        <v>3478</v>
      </c>
      <c r="C2324" s="4" t="n">
        <v>1970</v>
      </c>
      <c r="D2324" s="4" t="s">
        <v>150</v>
      </c>
      <c r="E2324" s="25" t="str">
        <f aca="false">IF(J2324=1,"✓","")</f>
        <v/>
      </c>
      <c r="F2324" s="4" t="n">
        <v>1</v>
      </c>
      <c r="G2324" s="4" t="n">
        <v>1</v>
      </c>
      <c r="H2324" s="4" t="s">
        <v>1327</v>
      </c>
      <c r="I2324" s="4" t="s">
        <v>53</v>
      </c>
      <c r="J2324" s="4" t="n">
        <f aca="false">INDEX('Master List'!$G$2:$G$2594,K2324)</f>
        <v>0</v>
      </c>
      <c r="K2324" s="4" t="n">
        <v>2515</v>
      </c>
    </row>
    <row r="2325" customFormat="false" ht="15" hidden="false" customHeight="false" outlineLevel="0" collapsed="false">
      <c r="A2325" s="4" t="n">
        <v>2324</v>
      </c>
      <c r="B2325" s="4" t="s">
        <v>3479</v>
      </c>
      <c r="C2325" s="4" t="n">
        <v>1970</v>
      </c>
      <c r="D2325" s="4" t="s">
        <v>156</v>
      </c>
      <c r="E2325" s="25" t="str">
        <f aca="false">IF(J2325=1,"✓","")</f>
        <v>✓</v>
      </c>
      <c r="F2325" s="4" t="n">
        <v>1</v>
      </c>
      <c r="G2325" s="4" t="n">
        <v>1</v>
      </c>
      <c r="H2325" s="4" t="s">
        <v>1327</v>
      </c>
      <c r="I2325" s="4" t="s">
        <v>53</v>
      </c>
      <c r="J2325" s="4" t="n">
        <f aca="false">INDEX('Master List'!$G$2:$G$2594,K2325)</f>
        <v>1</v>
      </c>
      <c r="K2325" s="4" t="n">
        <v>649</v>
      </c>
    </row>
    <row r="2326" customFormat="false" ht="15" hidden="false" customHeight="false" outlineLevel="0" collapsed="false">
      <c r="A2326" s="4" t="n">
        <v>2325</v>
      </c>
      <c r="B2326" s="4" t="s">
        <v>3480</v>
      </c>
      <c r="C2326" s="4" t="n">
        <v>1970</v>
      </c>
      <c r="D2326" s="4" t="s">
        <v>255</v>
      </c>
      <c r="E2326" s="25" t="str">
        <f aca="false">IF(J2326=1,"✓","")</f>
        <v/>
      </c>
      <c r="F2326" s="4" t="n">
        <v>1</v>
      </c>
      <c r="G2326" s="4" t="n">
        <v>1</v>
      </c>
      <c r="H2326" s="4" t="s">
        <v>1327</v>
      </c>
      <c r="I2326" s="4" t="s">
        <v>53</v>
      </c>
      <c r="J2326" s="4" t="n">
        <f aca="false">INDEX('Master List'!$G$2:$G$2594,K2326)</f>
        <v>0</v>
      </c>
      <c r="K2326" s="4" t="n">
        <v>1950</v>
      </c>
    </row>
    <row r="2327" customFormat="false" ht="15" hidden="false" customHeight="false" outlineLevel="0" collapsed="false">
      <c r="A2327" s="4" t="n">
        <v>2326</v>
      </c>
      <c r="B2327" s="4" t="s">
        <v>3481</v>
      </c>
      <c r="C2327" s="4" t="n">
        <v>1970</v>
      </c>
      <c r="D2327" s="4" t="s">
        <v>3482</v>
      </c>
      <c r="E2327" s="25" t="str">
        <f aca="false">IF(J2327=1,"✓","")</f>
        <v/>
      </c>
      <c r="F2327" s="4" t="n">
        <v>1</v>
      </c>
      <c r="G2327" s="4" t="n">
        <v>1</v>
      </c>
      <c r="H2327" s="4" t="s">
        <v>1327</v>
      </c>
      <c r="I2327" s="4" t="s">
        <v>54</v>
      </c>
      <c r="J2327" s="4" t="n">
        <f aca="false">INDEX('Master List'!$G$2:$G$2594,K2327)</f>
        <v>0</v>
      </c>
      <c r="K2327" s="4" t="n">
        <v>523</v>
      </c>
    </row>
    <row r="2328" customFormat="false" ht="15" hidden="false" customHeight="false" outlineLevel="0" collapsed="false">
      <c r="A2328" s="4" t="n">
        <v>2327</v>
      </c>
      <c r="B2328" s="4" t="s">
        <v>3483</v>
      </c>
      <c r="C2328" s="4" t="n">
        <v>1971</v>
      </c>
      <c r="D2328" s="4" t="s">
        <v>3484</v>
      </c>
      <c r="E2328" s="25" t="str">
        <f aca="false">IF(J2328=1,"✓","")</f>
        <v/>
      </c>
      <c r="F2328" s="4" t="n">
        <v>1</v>
      </c>
      <c r="G2328" s="4" t="n">
        <v>1</v>
      </c>
      <c r="H2328" s="4" t="s">
        <v>1327</v>
      </c>
      <c r="I2328" s="4" t="s">
        <v>51</v>
      </c>
      <c r="J2328" s="4" t="n">
        <f aca="false">INDEX('Master List'!$G$2:$G$2594,K2328)</f>
        <v>0</v>
      </c>
      <c r="K2328" s="4" t="n">
        <v>2061</v>
      </c>
    </row>
    <row r="2329" customFormat="false" ht="15" hidden="false" customHeight="false" outlineLevel="0" collapsed="false">
      <c r="A2329" s="4" t="n">
        <v>2328</v>
      </c>
      <c r="B2329" s="4" t="s">
        <v>3485</v>
      </c>
      <c r="C2329" s="4" t="n">
        <v>1971</v>
      </c>
      <c r="D2329" s="4" t="s">
        <v>3486</v>
      </c>
      <c r="E2329" s="25" t="str">
        <f aca="false">IF(J2329=1,"✓","")</f>
        <v/>
      </c>
      <c r="F2329" s="4" t="n">
        <v>1</v>
      </c>
      <c r="G2329" s="4" t="n">
        <v>1</v>
      </c>
      <c r="H2329" s="4" t="s">
        <v>1327</v>
      </c>
      <c r="I2329" s="4" t="s">
        <v>51</v>
      </c>
      <c r="J2329" s="4" t="n">
        <f aca="false">INDEX('Master List'!$G$2:$G$2594,K2329)</f>
        <v>0</v>
      </c>
      <c r="K2329" s="4" t="n">
        <v>723</v>
      </c>
    </row>
    <row r="2330" customFormat="false" ht="15" hidden="false" customHeight="false" outlineLevel="0" collapsed="false">
      <c r="A2330" s="4" t="n">
        <v>2329</v>
      </c>
      <c r="B2330" s="4" t="s">
        <v>3487</v>
      </c>
      <c r="C2330" s="4" t="n">
        <v>1971</v>
      </c>
      <c r="D2330" s="4" t="s">
        <v>3488</v>
      </c>
      <c r="E2330" s="25" t="str">
        <f aca="false">IF(J2330=1,"✓","")</f>
        <v/>
      </c>
      <c r="F2330" s="4" t="n">
        <v>1</v>
      </c>
      <c r="G2330" s="4" t="n">
        <v>1</v>
      </c>
      <c r="H2330" s="4" t="s">
        <v>1327</v>
      </c>
      <c r="I2330" s="4" t="s">
        <v>51</v>
      </c>
      <c r="J2330" s="4" t="n">
        <f aca="false">INDEX('Master List'!$G$2:$G$2594,K2330)</f>
        <v>0</v>
      </c>
      <c r="K2330" s="4" t="n">
        <v>1523</v>
      </c>
    </row>
    <row r="2331" customFormat="false" ht="15" hidden="false" customHeight="false" outlineLevel="0" collapsed="false">
      <c r="A2331" s="4" t="n">
        <v>2330</v>
      </c>
      <c r="B2331" s="4" t="s">
        <v>3489</v>
      </c>
      <c r="C2331" s="4" t="n">
        <v>1971</v>
      </c>
      <c r="D2331" s="4" t="s">
        <v>477</v>
      </c>
      <c r="E2331" s="25" t="str">
        <f aca="false">IF(J2331=1,"✓","")</f>
        <v/>
      </c>
      <c r="F2331" s="4" t="n">
        <v>1</v>
      </c>
      <c r="G2331" s="4" t="n">
        <v>1</v>
      </c>
      <c r="H2331" s="4" t="s">
        <v>1327</v>
      </c>
      <c r="I2331" s="4" t="s">
        <v>52</v>
      </c>
      <c r="J2331" s="4" t="n">
        <f aca="false">INDEX('Master List'!$G$2:$G$2594,K2331)</f>
        <v>0</v>
      </c>
      <c r="K2331" s="4" t="n">
        <v>1298</v>
      </c>
    </row>
    <row r="2332" customFormat="false" ht="15" hidden="false" customHeight="false" outlineLevel="0" collapsed="false">
      <c r="A2332" s="4" t="n">
        <v>2331</v>
      </c>
      <c r="B2332" s="4" t="s">
        <v>3490</v>
      </c>
      <c r="C2332" s="4" t="n">
        <v>1971</v>
      </c>
      <c r="D2332" s="4" t="s">
        <v>1335</v>
      </c>
      <c r="E2332" s="25" t="str">
        <f aca="false">IF(J2332=1,"✓","")</f>
        <v/>
      </c>
      <c r="F2332" s="4" t="n">
        <v>1</v>
      </c>
      <c r="G2332" s="4" t="n">
        <v>1</v>
      </c>
      <c r="H2332" s="4" t="s">
        <v>1327</v>
      </c>
      <c r="I2332" s="4" t="s">
        <v>52</v>
      </c>
      <c r="J2332" s="4" t="n">
        <f aca="false">INDEX('Master List'!$G$2:$G$2594,K2332)</f>
        <v>0</v>
      </c>
      <c r="K2332" s="4" t="n">
        <v>1833</v>
      </c>
    </row>
    <row r="2333" customFormat="false" ht="15" hidden="false" customHeight="false" outlineLevel="0" collapsed="false">
      <c r="A2333" s="4" t="n">
        <v>2332</v>
      </c>
      <c r="B2333" s="4" t="s">
        <v>3491</v>
      </c>
      <c r="C2333" s="4" t="n">
        <v>1971</v>
      </c>
      <c r="D2333" s="4" t="s">
        <v>189</v>
      </c>
      <c r="E2333" s="25" t="str">
        <f aca="false">IF(J2333=1,"✓","")</f>
        <v/>
      </c>
      <c r="F2333" s="4" t="n">
        <v>1</v>
      </c>
      <c r="G2333" s="4" t="n">
        <v>1</v>
      </c>
      <c r="H2333" s="4" t="s">
        <v>1327</v>
      </c>
      <c r="I2333" s="4" t="s">
        <v>52</v>
      </c>
      <c r="J2333" s="4" t="n">
        <f aca="false">INDEX('Master List'!$G$2:$G$2594,K2333)</f>
        <v>0</v>
      </c>
      <c r="K2333" s="4" t="n">
        <v>101</v>
      </c>
    </row>
    <row r="2334" customFormat="false" ht="15" hidden="false" customHeight="false" outlineLevel="0" collapsed="false">
      <c r="A2334" s="4" t="n">
        <v>2333</v>
      </c>
      <c r="B2334" s="4" t="s">
        <v>3492</v>
      </c>
      <c r="C2334" s="4" t="n">
        <v>1971</v>
      </c>
      <c r="D2334" s="4" t="s">
        <v>2223</v>
      </c>
      <c r="E2334" s="25" t="str">
        <f aca="false">IF(J2334=1,"✓","")</f>
        <v/>
      </c>
      <c r="F2334" s="4" t="n">
        <v>1</v>
      </c>
      <c r="G2334" s="4" t="n">
        <v>1</v>
      </c>
      <c r="H2334" s="4" t="s">
        <v>1327</v>
      </c>
      <c r="I2334" s="4" t="s">
        <v>52</v>
      </c>
      <c r="J2334" s="4" t="n">
        <f aca="false">INDEX('Master List'!$G$2:$G$2594,K2334)</f>
        <v>0</v>
      </c>
      <c r="K2334" s="4" t="n">
        <v>1</v>
      </c>
    </row>
    <row r="2335" customFormat="false" ht="15" hidden="false" customHeight="false" outlineLevel="0" collapsed="false">
      <c r="A2335" s="4" t="n">
        <v>2334</v>
      </c>
      <c r="B2335" s="4" t="s">
        <v>3493</v>
      </c>
      <c r="C2335" s="4" t="n">
        <v>1971</v>
      </c>
      <c r="D2335" s="4" t="s">
        <v>409</v>
      </c>
      <c r="E2335" s="25" t="str">
        <f aca="false">IF(J2335=1,"✓","")</f>
        <v/>
      </c>
      <c r="F2335" s="4" t="n">
        <v>1</v>
      </c>
      <c r="G2335" s="4" t="n">
        <v>1</v>
      </c>
      <c r="H2335" s="4" t="s">
        <v>1327</v>
      </c>
      <c r="I2335" s="4" t="s">
        <v>56</v>
      </c>
      <c r="J2335" s="4" t="n">
        <f aca="false">INDEX('Master List'!$G$2:$G$2594,K2335)</f>
        <v>0</v>
      </c>
      <c r="K2335" s="4" t="n">
        <v>215</v>
      </c>
    </row>
    <row r="2336" customFormat="false" ht="15" hidden="false" customHeight="false" outlineLevel="0" collapsed="false">
      <c r="A2336" s="4" t="n">
        <v>2335</v>
      </c>
      <c r="B2336" s="4" t="s">
        <v>3494</v>
      </c>
      <c r="C2336" s="4" t="n">
        <v>1971</v>
      </c>
      <c r="D2336" s="4" t="s">
        <v>3495</v>
      </c>
      <c r="E2336" s="25" t="str">
        <f aca="false">IF(J2336=1,"✓","")</f>
        <v/>
      </c>
      <c r="F2336" s="4" t="n">
        <v>1</v>
      </c>
      <c r="G2336" s="4" t="n">
        <v>1</v>
      </c>
      <c r="H2336" s="4" t="s">
        <v>1327</v>
      </c>
      <c r="I2336" s="4" t="s">
        <v>57</v>
      </c>
      <c r="J2336" s="4" t="n">
        <f aca="false">INDEX('Master List'!$G$2:$G$2594,K2336)</f>
        <v>0</v>
      </c>
      <c r="K2336" s="4" t="n">
        <v>689</v>
      </c>
    </row>
    <row r="2337" customFormat="false" ht="15" hidden="false" customHeight="false" outlineLevel="0" collapsed="false">
      <c r="A2337" s="4" t="n">
        <v>2336</v>
      </c>
      <c r="B2337" s="4" t="s">
        <v>3496</v>
      </c>
      <c r="C2337" s="4" t="n">
        <v>1972</v>
      </c>
      <c r="D2337" s="4" t="s">
        <v>1346</v>
      </c>
      <c r="E2337" s="25" t="str">
        <f aca="false">IF(J2337=1,"✓","")</f>
        <v/>
      </c>
      <c r="F2337" s="4" t="n">
        <v>1</v>
      </c>
      <c r="G2337" s="4" t="n">
        <v>1</v>
      </c>
      <c r="H2337" s="4" t="s">
        <v>1327</v>
      </c>
      <c r="I2337" s="4" t="s">
        <v>51</v>
      </c>
      <c r="J2337" s="4" t="n">
        <f aca="false">INDEX('Master List'!$G$2:$G$2594,K2337)</f>
        <v>0</v>
      </c>
      <c r="K2337" s="4" t="n">
        <v>2578</v>
      </c>
    </row>
    <row r="2338" customFormat="false" ht="15" hidden="false" customHeight="false" outlineLevel="0" collapsed="false">
      <c r="A2338" s="4" t="n">
        <v>2337</v>
      </c>
      <c r="B2338" s="4" t="s">
        <v>3497</v>
      </c>
      <c r="C2338" s="4" t="n">
        <v>1972</v>
      </c>
      <c r="D2338" s="4" t="s">
        <v>290</v>
      </c>
      <c r="E2338" s="25" t="str">
        <f aca="false">IF(J2338=1,"✓","")</f>
        <v/>
      </c>
      <c r="F2338" s="4" t="n">
        <v>1</v>
      </c>
      <c r="G2338" s="4" t="n">
        <v>1</v>
      </c>
      <c r="H2338" s="4" t="s">
        <v>1327</v>
      </c>
      <c r="I2338" s="4" t="s">
        <v>51</v>
      </c>
      <c r="J2338" s="4" t="n">
        <f aca="false">INDEX('Master List'!$G$2:$G$2594,K2338)</f>
        <v>0</v>
      </c>
      <c r="K2338" s="4" t="n">
        <v>2398</v>
      </c>
    </row>
    <row r="2339" customFormat="false" ht="15" hidden="false" customHeight="false" outlineLevel="0" collapsed="false">
      <c r="A2339" s="4" t="n">
        <v>2338</v>
      </c>
      <c r="B2339" s="4" t="s">
        <v>3498</v>
      </c>
      <c r="C2339" s="4" t="n">
        <v>1972</v>
      </c>
      <c r="D2339" s="4" t="s">
        <v>3499</v>
      </c>
      <c r="E2339" s="25" t="str">
        <f aca="false">IF(J2339=1,"✓","")</f>
        <v/>
      </c>
      <c r="F2339" s="4" t="n">
        <v>1</v>
      </c>
      <c r="G2339" s="4" t="n">
        <v>1</v>
      </c>
      <c r="H2339" s="4" t="s">
        <v>1327</v>
      </c>
      <c r="I2339" s="4" t="s">
        <v>51</v>
      </c>
      <c r="J2339" s="4" t="n">
        <f aca="false">INDEX('Master List'!$G$2:$G$2594,K2339)</f>
        <v>0</v>
      </c>
      <c r="K2339" s="4" t="n">
        <v>1963</v>
      </c>
    </row>
    <row r="2340" customFormat="false" ht="15" hidden="false" customHeight="false" outlineLevel="0" collapsed="false">
      <c r="A2340" s="4" t="n">
        <v>2339</v>
      </c>
      <c r="B2340" s="4" t="s">
        <v>3500</v>
      </c>
      <c r="C2340" s="4" t="n">
        <v>1972</v>
      </c>
      <c r="D2340" s="4" t="s">
        <v>748</v>
      </c>
      <c r="E2340" s="25" t="str">
        <f aca="false">IF(J2340=1,"✓","")</f>
        <v/>
      </c>
      <c r="F2340" s="4" t="n">
        <v>1</v>
      </c>
      <c r="G2340" s="4" t="n">
        <v>1</v>
      </c>
      <c r="H2340" s="4" t="s">
        <v>1327</v>
      </c>
      <c r="I2340" s="4" t="s">
        <v>52</v>
      </c>
      <c r="J2340" s="4" t="n">
        <f aca="false">INDEX('Master List'!$G$2:$G$2594,K2340)</f>
        <v>0</v>
      </c>
      <c r="K2340" s="4" t="n">
        <v>2394</v>
      </c>
    </row>
    <row r="2341" customFormat="false" ht="15" hidden="false" customHeight="false" outlineLevel="0" collapsed="false">
      <c r="A2341" s="4" t="n">
        <v>2340</v>
      </c>
      <c r="B2341" s="4" t="s">
        <v>3501</v>
      </c>
      <c r="C2341" s="4" t="n">
        <v>1972</v>
      </c>
      <c r="D2341" s="4" t="s">
        <v>2223</v>
      </c>
      <c r="E2341" s="25" t="str">
        <f aca="false">IF(J2341=1,"✓","")</f>
        <v/>
      </c>
      <c r="F2341" s="4" t="n">
        <v>1</v>
      </c>
      <c r="G2341" s="4" t="n">
        <v>1</v>
      </c>
      <c r="H2341" s="4" t="s">
        <v>1327</v>
      </c>
      <c r="I2341" s="4" t="s">
        <v>52</v>
      </c>
      <c r="J2341" s="4" t="n">
        <f aca="false">INDEX('Master List'!$G$2:$G$2594,K2341)</f>
        <v>0</v>
      </c>
      <c r="K2341" s="4" t="n">
        <v>1594</v>
      </c>
    </row>
    <row r="2342" customFormat="false" ht="15" hidden="false" customHeight="false" outlineLevel="0" collapsed="false">
      <c r="A2342" s="4" t="n">
        <v>2341</v>
      </c>
      <c r="B2342" s="4" t="s">
        <v>3502</v>
      </c>
      <c r="C2342" s="4" t="n">
        <v>1972</v>
      </c>
      <c r="D2342" s="4" t="s">
        <v>162</v>
      </c>
      <c r="E2342" s="25" t="str">
        <f aca="false">IF(J2342=1,"✓","")</f>
        <v/>
      </c>
      <c r="F2342" s="4" t="n">
        <v>1</v>
      </c>
      <c r="G2342" s="4" t="n">
        <v>1</v>
      </c>
      <c r="H2342" s="4" t="s">
        <v>1327</v>
      </c>
      <c r="I2342" s="4" t="s">
        <v>53</v>
      </c>
      <c r="J2342" s="4" t="n">
        <f aca="false">INDEX('Master List'!$G$2:$G$2594,K2342)</f>
        <v>0</v>
      </c>
      <c r="K2342" s="4" t="n">
        <v>853</v>
      </c>
    </row>
    <row r="2343" customFormat="false" ht="15" hidden="false" customHeight="false" outlineLevel="0" collapsed="false">
      <c r="A2343" s="4" t="n">
        <v>2342</v>
      </c>
      <c r="B2343" s="4" t="s">
        <v>3503</v>
      </c>
      <c r="C2343" s="4" t="n">
        <v>1972</v>
      </c>
      <c r="D2343" s="4" t="s">
        <v>3504</v>
      </c>
      <c r="E2343" s="25" t="str">
        <f aca="false">IF(J2343=1,"✓","")</f>
        <v/>
      </c>
      <c r="F2343" s="4" t="n">
        <v>1</v>
      </c>
      <c r="G2343" s="4" t="n">
        <v>1</v>
      </c>
      <c r="H2343" s="4" t="s">
        <v>1327</v>
      </c>
      <c r="I2343" s="4" t="s">
        <v>53</v>
      </c>
      <c r="J2343" s="4" t="n">
        <f aca="false">INDEX('Master List'!$G$2:$G$2594,K2343)</f>
        <v>0</v>
      </c>
      <c r="K2343" s="4" t="n">
        <v>2350</v>
      </c>
    </row>
    <row r="2344" customFormat="false" ht="15" hidden="false" customHeight="false" outlineLevel="0" collapsed="false">
      <c r="A2344" s="4" t="n">
        <v>2343</v>
      </c>
      <c r="B2344" s="4" t="s">
        <v>3505</v>
      </c>
      <c r="C2344" s="4" t="n">
        <v>1972</v>
      </c>
      <c r="D2344" s="4" t="s">
        <v>3506</v>
      </c>
      <c r="E2344" s="25" t="str">
        <f aca="false">IF(J2344=1,"✓","")</f>
        <v/>
      </c>
      <c r="F2344" s="4" t="n">
        <v>1</v>
      </c>
      <c r="G2344" s="4" t="n">
        <v>1</v>
      </c>
      <c r="H2344" s="4" t="s">
        <v>1327</v>
      </c>
      <c r="I2344" s="4" t="s">
        <v>57</v>
      </c>
      <c r="J2344" s="4" t="n">
        <f aca="false">INDEX('Master List'!$G$2:$G$2594,K2344)</f>
        <v>0</v>
      </c>
      <c r="K2344" s="4" t="n">
        <v>668</v>
      </c>
    </row>
    <row r="2345" customFormat="false" ht="15" hidden="false" customHeight="false" outlineLevel="0" collapsed="false">
      <c r="A2345" s="4" t="n">
        <v>2344</v>
      </c>
      <c r="B2345" s="4" t="s">
        <v>3507</v>
      </c>
      <c r="C2345" s="4" t="n">
        <v>1973</v>
      </c>
      <c r="D2345" s="4" t="s">
        <v>3508</v>
      </c>
      <c r="E2345" s="25" t="str">
        <f aca="false">IF(J2345=1,"✓","")</f>
        <v/>
      </c>
      <c r="F2345" s="4" t="n">
        <v>1</v>
      </c>
      <c r="G2345" s="4" t="n">
        <v>1</v>
      </c>
      <c r="H2345" s="4" t="s">
        <v>1327</v>
      </c>
      <c r="I2345" s="4" t="s">
        <v>51</v>
      </c>
      <c r="J2345" s="4" t="n">
        <f aca="false">INDEX('Master List'!$G$2:$G$2594,K2345)</f>
        <v>0</v>
      </c>
      <c r="K2345" s="4" t="n">
        <v>219</v>
      </c>
    </row>
    <row r="2346" customFormat="false" ht="15" hidden="false" customHeight="false" outlineLevel="0" collapsed="false">
      <c r="A2346" s="4" t="n">
        <v>2345</v>
      </c>
      <c r="B2346" s="4" t="s">
        <v>3509</v>
      </c>
      <c r="C2346" s="4" t="n">
        <v>1973</v>
      </c>
      <c r="D2346" s="4" t="s">
        <v>761</v>
      </c>
      <c r="E2346" s="25" t="str">
        <f aca="false">IF(J2346=1,"✓","")</f>
        <v/>
      </c>
      <c r="F2346" s="4" t="n">
        <v>1</v>
      </c>
      <c r="G2346" s="4" t="n">
        <v>1</v>
      </c>
      <c r="H2346" s="4" t="s">
        <v>1327</v>
      </c>
      <c r="I2346" s="4" t="s">
        <v>51</v>
      </c>
      <c r="J2346" s="4" t="n">
        <f aca="false">INDEX('Master List'!$G$2:$G$2594,K2346)</f>
        <v>0</v>
      </c>
      <c r="K2346" s="4" t="n">
        <v>1346</v>
      </c>
    </row>
    <row r="2347" customFormat="false" ht="15" hidden="false" customHeight="false" outlineLevel="0" collapsed="false">
      <c r="A2347" s="4" t="n">
        <v>2346</v>
      </c>
      <c r="B2347" s="4" t="s">
        <v>3510</v>
      </c>
      <c r="C2347" s="4" t="n">
        <v>1973</v>
      </c>
      <c r="D2347" s="4" t="s">
        <v>2092</v>
      </c>
      <c r="E2347" s="25" t="str">
        <f aca="false">IF(J2347=1,"✓","")</f>
        <v/>
      </c>
      <c r="F2347" s="4" t="n">
        <v>1</v>
      </c>
      <c r="G2347" s="4" t="n">
        <v>1</v>
      </c>
      <c r="H2347" s="4" t="s">
        <v>1327</v>
      </c>
      <c r="I2347" s="4" t="s">
        <v>51</v>
      </c>
      <c r="J2347" s="4" t="n">
        <f aca="false">INDEX('Master List'!$G$2:$G$2594,K2347)</f>
        <v>0</v>
      </c>
      <c r="K2347" s="4" t="n">
        <v>1898</v>
      </c>
    </row>
    <row r="2348" customFormat="false" ht="15" hidden="false" customHeight="false" outlineLevel="0" collapsed="false">
      <c r="A2348" s="4" t="n">
        <v>2347</v>
      </c>
      <c r="B2348" s="4" t="s">
        <v>3511</v>
      </c>
      <c r="C2348" s="4" t="n">
        <v>1973</v>
      </c>
      <c r="D2348" s="4" t="s">
        <v>587</v>
      </c>
      <c r="E2348" s="25" t="str">
        <f aca="false">IF(J2348=1,"✓","")</f>
        <v/>
      </c>
      <c r="F2348" s="4" t="n">
        <v>1</v>
      </c>
      <c r="G2348" s="4" t="n">
        <v>1</v>
      </c>
      <c r="H2348" s="4" t="s">
        <v>1327</v>
      </c>
      <c r="I2348" s="4" t="s">
        <v>52</v>
      </c>
      <c r="J2348" s="4" t="n">
        <f aca="false">INDEX('Master List'!$G$2:$G$2594,K2348)</f>
        <v>0</v>
      </c>
      <c r="K2348" s="4" t="n">
        <v>859</v>
      </c>
    </row>
    <row r="2349" customFormat="false" ht="15" hidden="false" customHeight="false" outlineLevel="0" collapsed="false">
      <c r="A2349" s="4" t="n">
        <v>2348</v>
      </c>
      <c r="B2349" s="4" t="s">
        <v>3512</v>
      </c>
      <c r="C2349" s="4" t="n">
        <v>1973</v>
      </c>
      <c r="D2349" s="4" t="s">
        <v>3513</v>
      </c>
      <c r="E2349" s="25" t="str">
        <f aca="false">IF(J2349=1,"✓","")</f>
        <v/>
      </c>
      <c r="F2349" s="4" t="n">
        <v>1</v>
      </c>
      <c r="G2349" s="4" t="n">
        <v>1</v>
      </c>
      <c r="H2349" s="4" t="s">
        <v>1327</v>
      </c>
      <c r="I2349" s="4" t="s">
        <v>52</v>
      </c>
      <c r="J2349" s="4" t="n">
        <f aca="false">INDEX('Master List'!$G$2:$G$2594,K2349)</f>
        <v>0</v>
      </c>
      <c r="K2349" s="4" t="n">
        <v>2263</v>
      </c>
    </row>
    <row r="2350" customFormat="false" ht="15" hidden="false" customHeight="false" outlineLevel="0" collapsed="false">
      <c r="A2350" s="4" t="n">
        <v>2349</v>
      </c>
      <c r="B2350" s="4" t="s">
        <v>3514</v>
      </c>
      <c r="C2350" s="4" t="n">
        <v>1973</v>
      </c>
      <c r="D2350" s="4" t="s">
        <v>3515</v>
      </c>
      <c r="E2350" s="25" t="str">
        <f aca="false">IF(J2350=1,"✓","")</f>
        <v/>
      </c>
      <c r="F2350" s="4" t="n">
        <v>1</v>
      </c>
      <c r="G2350" s="4" t="n">
        <v>1</v>
      </c>
      <c r="H2350" s="4" t="s">
        <v>1327</v>
      </c>
      <c r="I2350" s="4" t="s">
        <v>52</v>
      </c>
      <c r="J2350" s="4" t="n">
        <f aca="false">INDEX('Master List'!$G$2:$G$2594,K2350)</f>
        <v>0</v>
      </c>
      <c r="K2350" s="4" t="n">
        <v>1317</v>
      </c>
    </row>
    <row r="2351" customFormat="false" ht="15" hidden="false" customHeight="false" outlineLevel="0" collapsed="false">
      <c r="A2351" s="4" t="n">
        <v>2350</v>
      </c>
      <c r="B2351" s="4" t="s">
        <v>3516</v>
      </c>
      <c r="C2351" s="4" t="n">
        <v>1973</v>
      </c>
      <c r="D2351" s="4" t="s">
        <v>409</v>
      </c>
      <c r="E2351" s="25" t="str">
        <f aca="false">IF(J2351=1,"✓","")</f>
        <v/>
      </c>
      <c r="F2351" s="4" t="n">
        <v>1</v>
      </c>
      <c r="G2351" s="4" t="n">
        <v>1</v>
      </c>
      <c r="H2351" s="4" t="s">
        <v>1327</v>
      </c>
      <c r="I2351" s="4" t="s">
        <v>52</v>
      </c>
      <c r="J2351" s="4" t="n">
        <f aca="false">INDEX('Master List'!$G$2:$G$2594,K2351)</f>
        <v>0</v>
      </c>
      <c r="K2351" s="4" t="n">
        <v>431</v>
      </c>
    </row>
    <row r="2352" customFormat="false" ht="15" hidden="false" customHeight="false" outlineLevel="0" collapsed="false">
      <c r="A2352" s="4" t="n">
        <v>2351</v>
      </c>
      <c r="B2352" s="4" t="s">
        <v>3517</v>
      </c>
      <c r="C2352" s="4" t="n">
        <v>1973</v>
      </c>
      <c r="D2352" s="4" t="s">
        <v>3416</v>
      </c>
      <c r="E2352" s="25" t="str">
        <f aca="false">IF(J2352=1,"✓","")</f>
        <v/>
      </c>
      <c r="F2352" s="4" t="n">
        <v>1</v>
      </c>
      <c r="G2352" s="4" t="n">
        <v>1</v>
      </c>
      <c r="H2352" s="4" t="s">
        <v>1327</v>
      </c>
      <c r="I2352" s="4" t="s">
        <v>52</v>
      </c>
      <c r="J2352" s="4" t="n">
        <f aca="false">INDEX('Master List'!$G$2:$G$2594,K2352)</f>
        <v>0</v>
      </c>
      <c r="K2352" s="4" t="n">
        <v>758</v>
      </c>
    </row>
    <row r="2353" customFormat="false" ht="15" hidden="false" customHeight="false" outlineLevel="0" collapsed="false">
      <c r="A2353" s="4" t="n">
        <v>2352</v>
      </c>
      <c r="B2353" s="4" t="s">
        <v>3518</v>
      </c>
      <c r="C2353" s="4" t="n">
        <v>1973</v>
      </c>
      <c r="D2353" s="4" t="s">
        <v>3519</v>
      </c>
      <c r="E2353" s="25" t="str">
        <f aca="false">IF(J2353=1,"✓","")</f>
        <v/>
      </c>
      <c r="F2353" s="4" t="n">
        <v>1</v>
      </c>
      <c r="G2353" s="4" t="n">
        <v>1</v>
      </c>
      <c r="H2353" s="4" t="s">
        <v>1327</v>
      </c>
      <c r="I2353" s="4" t="s">
        <v>52</v>
      </c>
      <c r="J2353" s="4" t="n">
        <f aca="false">INDEX('Master List'!$G$2:$G$2594,K2353)</f>
        <v>0</v>
      </c>
      <c r="K2353" s="4" t="n">
        <v>1016</v>
      </c>
    </row>
    <row r="2354" customFormat="false" ht="15" hidden="false" customHeight="false" outlineLevel="0" collapsed="false">
      <c r="A2354" s="4" t="n">
        <v>2353</v>
      </c>
      <c r="B2354" s="4" t="s">
        <v>3520</v>
      </c>
      <c r="C2354" s="4" t="n">
        <v>1973</v>
      </c>
      <c r="D2354" s="4" t="s">
        <v>189</v>
      </c>
      <c r="E2354" s="25" t="str">
        <f aca="false">IF(J2354=1,"✓","")</f>
        <v/>
      </c>
      <c r="F2354" s="4" t="n">
        <v>1</v>
      </c>
      <c r="G2354" s="4" t="n">
        <v>1</v>
      </c>
      <c r="H2354" s="4" t="s">
        <v>1327</v>
      </c>
      <c r="I2354" s="4" t="s">
        <v>53</v>
      </c>
      <c r="J2354" s="4" t="n">
        <f aca="false">INDEX('Master List'!$G$2:$G$2594,K2354)</f>
        <v>0</v>
      </c>
      <c r="K2354" s="4" t="n">
        <v>1651</v>
      </c>
    </row>
    <row r="2355" customFormat="false" ht="15" hidden="false" customHeight="false" outlineLevel="0" collapsed="false">
      <c r="A2355" s="4" t="n">
        <v>2354</v>
      </c>
      <c r="B2355" s="4" t="s">
        <v>3521</v>
      </c>
      <c r="C2355" s="4" t="n">
        <v>1973</v>
      </c>
      <c r="D2355" s="4" t="s">
        <v>312</v>
      </c>
      <c r="E2355" s="25" t="str">
        <f aca="false">IF(J2355=1,"✓","")</f>
        <v/>
      </c>
      <c r="F2355" s="4" t="n">
        <v>1</v>
      </c>
      <c r="G2355" s="4" t="n">
        <v>1</v>
      </c>
      <c r="H2355" s="4" t="s">
        <v>1327</v>
      </c>
      <c r="I2355" s="4" t="s">
        <v>53</v>
      </c>
      <c r="J2355" s="4" t="n">
        <f aca="false">INDEX('Master List'!$G$2:$G$2594,K2355)</f>
        <v>0</v>
      </c>
      <c r="K2355" s="4" t="n">
        <v>2555</v>
      </c>
    </row>
    <row r="2356" customFormat="false" ht="15" hidden="false" customHeight="false" outlineLevel="0" collapsed="false">
      <c r="A2356" s="4" t="n">
        <v>2355</v>
      </c>
      <c r="B2356" s="4" t="s">
        <v>3522</v>
      </c>
      <c r="C2356" s="4" t="n">
        <v>1973</v>
      </c>
      <c r="D2356" s="4" t="s">
        <v>253</v>
      </c>
      <c r="E2356" s="25" t="str">
        <f aca="false">IF(J2356=1,"✓","")</f>
        <v/>
      </c>
      <c r="F2356" s="4" t="n">
        <v>1</v>
      </c>
      <c r="G2356" s="4" t="n">
        <v>1</v>
      </c>
      <c r="H2356" s="4" t="s">
        <v>1327</v>
      </c>
      <c r="I2356" s="4" t="s">
        <v>53</v>
      </c>
      <c r="J2356" s="4" t="n">
        <f aca="false">INDEX('Master List'!$G$2:$G$2594,K2356)</f>
        <v>0</v>
      </c>
      <c r="K2356" s="4" t="n">
        <v>637</v>
      </c>
    </row>
    <row r="2357" customFormat="false" ht="15" hidden="false" customHeight="false" outlineLevel="0" collapsed="false">
      <c r="A2357" s="4" t="n">
        <v>2356</v>
      </c>
      <c r="B2357" s="4" t="s">
        <v>3523</v>
      </c>
      <c r="C2357" s="4" t="n">
        <v>1973</v>
      </c>
      <c r="D2357" s="4" t="s">
        <v>239</v>
      </c>
      <c r="E2357" s="25" t="str">
        <f aca="false">IF(J2357=1,"✓","")</f>
        <v/>
      </c>
      <c r="F2357" s="4" t="n">
        <v>1</v>
      </c>
      <c r="G2357" s="4" t="n">
        <v>1</v>
      </c>
      <c r="H2357" s="4" t="s">
        <v>1327</v>
      </c>
      <c r="I2357" s="4" t="s">
        <v>54</v>
      </c>
      <c r="J2357" s="4" t="n">
        <f aca="false">INDEX('Master List'!$G$2:$G$2594,K2357)</f>
        <v>0</v>
      </c>
      <c r="K2357" s="4" t="n">
        <v>1061</v>
      </c>
    </row>
    <row r="2358" customFormat="false" ht="15" hidden="false" customHeight="false" outlineLevel="0" collapsed="false">
      <c r="A2358" s="4" t="n">
        <v>2357</v>
      </c>
      <c r="B2358" s="4" t="s">
        <v>3524</v>
      </c>
      <c r="C2358" s="4" t="n">
        <v>1973</v>
      </c>
      <c r="D2358" s="4" t="s">
        <v>3525</v>
      </c>
      <c r="E2358" s="25" t="str">
        <f aca="false">IF(J2358=1,"✓","")</f>
        <v/>
      </c>
      <c r="F2358" s="4" t="n">
        <v>1</v>
      </c>
      <c r="G2358" s="4" t="n">
        <v>1</v>
      </c>
      <c r="H2358" s="4" t="s">
        <v>1327</v>
      </c>
      <c r="I2358" s="4" t="s">
        <v>54</v>
      </c>
      <c r="J2358" s="4" t="n">
        <f aca="false">INDEX('Master List'!$G$2:$G$2594,K2358)</f>
        <v>0</v>
      </c>
      <c r="K2358" s="4" t="n">
        <v>263</v>
      </c>
    </row>
    <row r="2359" customFormat="false" ht="15" hidden="false" customHeight="false" outlineLevel="0" collapsed="false">
      <c r="A2359" s="4" t="n">
        <v>2358</v>
      </c>
      <c r="B2359" s="4" t="s">
        <v>3526</v>
      </c>
      <c r="C2359" s="4" t="n">
        <v>1973</v>
      </c>
      <c r="D2359" s="4" t="s">
        <v>3527</v>
      </c>
      <c r="E2359" s="25" t="str">
        <f aca="false">IF(J2359=1,"✓","")</f>
        <v/>
      </c>
      <c r="F2359" s="4" t="n">
        <v>1</v>
      </c>
      <c r="G2359" s="4" t="n">
        <v>1</v>
      </c>
      <c r="H2359" s="4" t="s">
        <v>1327</v>
      </c>
      <c r="I2359" s="4" t="s">
        <v>55</v>
      </c>
      <c r="J2359" s="4" t="n">
        <f aca="false">INDEX('Master List'!$G$2:$G$2594,K2359)</f>
        <v>0</v>
      </c>
      <c r="K2359" s="4" t="n">
        <v>943</v>
      </c>
    </row>
    <row r="2360" customFormat="false" ht="15" hidden="false" customHeight="false" outlineLevel="0" collapsed="false">
      <c r="A2360" s="4" t="n">
        <v>2359</v>
      </c>
      <c r="B2360" s="4" t="s">
        <v>3528</v>
      </c>
      <c r="C2360" s="4" t="n">
        <v>1973</v>
      </c>
      <c r="D2360" s="4" t="s">
        <v>3529</v>
      </c>
      <c r="E2360" s="25" t="str">
        <f aca="false">IF(J2360=1,"✓","")</f>
        <v/>
      </c>
      <c r="F2360" s="4" t="n">
        <v>1</v>
      </c>
      <c r="G2360" s="4" t="n">
        <v>1</v>
      </c>
      <c r="H2360" s="4" t="s">
        <v>1327</v>
      </c>
      <c r="I2360" s="4" t="s">
        <v>58</v>
      </c>
      <c r="J2360" s="4" t="n">
        <f aca="false">INDEX('Master List'!$G$2:$G$2594,K2360)</f>
        <v>0</v>
      </c>
      <c r="K2360" s="4" t="n">
        <v>1420</v>
      </c>
    </row>
    <row r="2361" customFormat="false" ht="15" hidden="false" customHeight="false" outlineLevel="0" collapsed="false">
      <c r="A2361" s="4" t="n">
        <v>2360</v>
      </c>
      <c r="B2361" s="4" t="s">
        <v>3530</v>
      </c>
      <c r="C2361" s="4" t="n">
        <v>1974</v>
      </c>
      <c r="D2361" s="4" t="s">
        <v>3531</v>
      </c>
      <c r="E2361" s="25" t="str">
        <f aca="false">IF(J2361=1,"✓","")</f>
        <v/>
      </c>
      <c r="F2361" s="4" t="n">
        <v>1</v>
      </c>
      <c r="G2361" s="4" t="n">
        <v>1</v>
      </c>
      <c r="H2361" s="4" t="s">
        <v>1327</v>
      </c>
      <c r="I2361" s="4" t="s">
        <v>51</v>
      </c>
      <c r="J2361" s="4" t="n">
        <f aca="false">INDEX('Master List'!$G$2:$G$2594,K2361)</f>
        <v>0</v>
      </c>
      <c r="K2361" s="4" t="n">
        <v>81</v>
      </c>
    </row>
    <row r="2362" customFormat="false" ht="15" hidden="false" customHeight="false" outlineLevel="0" collapsed="false">
      <c r="A2362" s="4" t="n">
        <v>2361</v>
      </c>
      <c r="B2362" s="4" t="s">
        <v>3532</v>
      </c>
      <c r="C2362" s="4" t="n">
        <v>1974</v>
      </c>
      <c r="D2362" s="4" t="s">
        <v>957</v>
      </c>
      <c r="E2362" s="25" t="str">
        <f aca="false">IF(J2362=1,"✓","")</f>
        <v/>
      </c>
      <c r="F2362" s="4" t="n">
        <v>1</v>
      </c>
      <c r="G2362" s="4" t="n">
        <v>1</v>
      </c>
      <c r="H2362" s="4" t="s">
        <v>1327</v>
      </c>
      <c r="I2362" s="4" t="s">
        <v>51</v>
      </c>
      <c r="J2362" s="4" t="n">
        <f aca="false">INDEX('Master List'!$G$2:$G$2594,K2362)</f>
        <v>0</v>
      </c>
      <c r="K2362" s="4" t="n">
        <v>417</v>
      </c>
    </row>
    <row r="2363" customFormat="false" ht="15" hidden="false" customHeight="false" outlineLevel="0" collapsed="false">
      <c r="A2363" s="4" t="n">
        <v>2362</v>
      </c>
      <c r="B2363" s="4" t="s">
        <v>3533</v>
      </c>
      <c r="C2363" s="4" t="n">
        <v>1974</v>
      </c>
      <c r="D2363" s="4" t="s">
        <v>3534</v>
      </c>
      <c r="E2363" s="25" t="str">
        <f aca="false">IF(J2363=1,"✓","")</f>
        <v/>
      </c>
      <c r="F2363" s="4" t="n">
        <v>1</v>
      </c>
      <c r="G2363" s="4" t="n">
        <v>1</v>
      </c>
      <c r="H2363" s="4" t="s">
        <v>1327</v>
      </c>
      <c r="I2363" s="4" t="s">
        <v>51</v>
      </c>
      <c r="J2363" s="4" t="n">
        <f aca="false">INDEX('Master List'!$G$2:$G$2594,K2363)</f>
        <v>0</v>
      </c>
      <c r="K2363" s="4" t="n">
        <v>2161</v>
      </c>
    </row>
    <row r="2364" customFormat="false" ht="15" hidden="false" customHeight="false" outlineLevel="0" collapsed="false">
      <c r="A2364" s="4" t="n">
        <v>2363</v>
      </c>
      <c r="B2364" s="4" t="s">
        <v>3535</v>
      </c>
      <c r="C2364" s="4" t="n">
        <v>1974</v>
      </c>
      <c r="D2364" s="4" t="s">
        <v>775</v>
      </c>
      <c r="E2364" s="25" t="str">
        <f aca="false">IF(J2364=1,"✓","")</f>
        <v/>
      </c>
      <c r="F2364" s="4" t="n">
        <v>1</v>
      </c>
      <c r="G2364" s="4" t="n">
        <v>1</v>
      </c>
      <c r="H2364" s="4" t="s">
        <v>1327</v>
      </c>
      <c r="I2364" s="4" t="s">
        <v>52</v>
      </c>
      <c r="J2364" s="4" t="n">
        <f aca="false">INDEX('Master List'!$G$2:$G$2594,K2364)</f>
        <v>0</v>
      </c>
      <c r="K2364" s="4" t="n">
        <v>2583</v>
      </c>
    </row>
    <row r="2365" customFormat="false" ht="15" hidden="false" customHeight="false" outlineLevel="0" collapsed="false">
      <c r="A2365" s="4" t="n">
        <v>2364</v>
      </c>
      <c r="B2365" s="4" t="s">
        <v>3536</v>
      </c>
      <c r="C2365" s="4" t="n">
        <v>1974</v>
      </c>
      <c r="D2365" s="4" t="s">
        <v>3537</v>
      </c>
      <c r="E2365" s="25" t="str">
        <f aca="false">IF(J2365=1,"✓","")</f>
        <v/>
      </c>
      <c r="F2365" s="4" t="n">
        <v>1</v>
      </c>
      <c r="G2365" s="4" t="n">
        <v>1</v>
      </c>
      <c r="H2365" s="4" t="s">
        <v>1327</v>
      </c>
      <c r="I2365" s="4" t="s">
        <v>52</v>
      </c>
      <c r="J2365" s="4" t="n">
        <f aca="false">INDEX('Master List'!$G$2:$G$2594,K2365)</f>
        <v>0</v>
      </c>
      <c r="K2365" s="4" t="n">
        <v>1755</v>
      </c>
    </row>
    <row r="2366" customFormat="false" ht="15" hidden="false" customHeight="false" outlineLevel="0" collapsed="false">
      <c r="A2366" s="4" t="n">
        <v>2365</v>
      </c>
      <c r="B2366" s="4" t="s">
        <v>3538</v>
      </c>
      <c r="C2366" s="4" t="n">
        <v>1974</v>
      </c>
      <c r="D2366" s="4" t="s">
        <v>813</v>
      </c>
      <c r="E2366" s="25" t="str">
        <f aca="false">IF(J2366=1,"✓","")</f>
        <v/>
      </c>
      <c r="F2366" s="4" t="n">
        <v>1</v>
      </c>
      <c r="G2366" s="4" t="n">
        <v>1</v>
      </c>
      <c r="H2366" s="4" t="s">
        <v>1327</v>
      </c>
      <c r="I2366" s="4" t="s">
        <v>52</v>
      </c>
      <c r="J2366" s="4" t="n">
        <f aca="false">INDEX('Master List'!$G$2:$G$2594,K2366)</f>
        <v>0</v>
      </c>
      <c r="K2366" s="4" t="n">
        <v>1277</v>
      </c>
    </row>
    <row r="2367" customFormat="false" ht="15" hidden="false" customHeight="false" outlineLevel="0" collapsed="false">
      <c r="A2367" s="4" t="n">
        <v>2366</v>
      </c>
      <c r="B2367" s="4" t="s">
        <v>3539</v>
      </c>
      <c r="C2367" s="4" t="n">
        <v>1974</v>
      </c>
      <c r="D2367" s="4" t="s">
        <v>164</v>
      </c>
      <c r="E2367" s="25" t="str">
        <f aca="false">IF(J2367=1,"✓","")</f>
        <v/>
      </c>
      <c r="F2367" s="4" t="n">
        <v>1</v>
      </c>
      <c r="G2367" s="4" t="n">
        <v>1</v>
      </c>
      <c r="H2367" s="4" t="s">
        <v>1327</v>
      </c>
      <c r="I2367" s="4" t="s">
        <v>53</v>
      </c>
      <c r="J2367" s="4" t="n">
        <f aca="false">INDEX('Master List'!$G$2:$G$2594,K2367)</f>
        <v>0</v>
      </c>
      <c r="K2367" s="4" t="n">
        <v>1184</v>
      </c>
    </row>
    <row r="2368" customFormat="false" ht="15" hidden="false" customHeight="false" outlineLevel="0" collapsed="false">
      <c r="A2368" s="4" t="n">
        <v>2367</v>
      </c>
      <c r="B2368" s="4" t="s">
        <v>3540</v>
      </c>
      <c r="C2368" s="4" t="n">
        <v>1974</v>
      </c>
      <c r="D2368" s="4" t="s">
        <v>671</v>
      </c>
      <c r="E2368" s="25" t="str">
        <f aca="false">IF(J2368=1,"✓","")</f>
        <v/>
      </c>
      <c r="F2368" s="4" t="n">
        <v>1</v>
      </c>
      <c r="G2368" s="4" t="n">
        <v>1</v>
      </c>
      <c r="H2368" s="4" t="s">
        <v>1327</v>
      </c>
      <c r="I2368" s="4" t="s">
        <v>56</v>
      </c>
      <c r="J2368" s="4" t="n">
        <f aca="false">INDEX('Master List'!$G$2:$G$2594,K2368)</f>
        <v>0</v>
      </c>
      <c r="K2368" s="4" t="n">
        <v>800</v>
      </c>
    </row>
    <row r="2369" customFormat="false" ht="15" hidden="false" customHeight="false" outlineLevel="0" collapsed="false">
      <c r="A2369" s="4" t="n">
        <v>2368</v>
      </c>
      <c r="B2369" s="4" t="s">
        <v>3541</v>
      </c>
      <c r="C2369" s="4" t="n">
        <v>1974</v>
      </c>
      <c r="D2369" s="4" t="s">
        <v>546</v>
      </c>
      <c r="E2369" s="25" t="str">
        <f aca="false">IF(J2369=1,"✓","")</f>
        <v/>
      </c>
      <c r="F2369" s="4" t="n">
        <v>1</v>
      </c>
      <c r="G2369" s="4" t="n">
        <v>1</v>
      </c>
      <c r="H2369" s="4" t="s">
        <v>1327</v>
      </c>
      <c r="I2369" s="4" t="s">
        <v>56</v>
      </c>
      <c r="J2369" s="4" t="n">
        <f aca="false">INDEX('Master List'!$G$2:$G$2594,K2369)</f>
        <v>0</v>
      </c>
      <c r="K2369" s="4" t="n">
        <v>598</v>
      </c>
    </row>
    <row r="2370" customFormat="false" ht="15" hidden="false" customHeight="false" outlineLevel="0" collapsed="false">
      <c r="A2370" s="4" t="n">
        <v>2369</v>
      </c>
      <c r="B2370" s="4" t="s">
        <v>3542</v>
      </c>
      <c r="C2370" s="4" t="n">
        <v>1974</v>
      </c>
      <c r="D2370" s="4" t="s">
        <v>389</v>
      </c>
      <c r="E2370" s="25" t="str">
        <f aca="false">IF(J2370=1,"✓","")</f>
        <v/>
      </c>
      <c r="F2370" s="4" t="n">
        <v>1</v>
      </c>
      <c r="G2370" s="4" t="n">
        <v>1</v>
      </c>
      <c r="H2370" s="4" t="s">
        <v>1327</v>
      </c>
      <c r="I2370" s="4" t="s">
        <v>56</v>
      </c>
      <c r="J2370" s="4" t="n">
        <f aca="false">INDEX('Master List'!$G$2:$G$2594,K2370)</f>
        <v>0</v>
      </c>
      <c r="K2370" s="4" t="n">
        <v>555</v>
      </c>
    </row>
    <row r="2371" customFormat="false" ht="15" hidden="false" customHeight="false" outlineLevel="0" collapsed="false">
      <c r="A2371" s="4" t="n">
        <v>2370</v>
      </c>
      <c r="B2371" s="4" t="s">
        <v>3543</v>
      </c>
      <c r="C2371" s="4" t="n">
        <v>1975</v>
      </c>
      <c r="D2371" s="4" t="s">
        <v>992</v>
      </c>
      <c r="E2371" s="25" t="str">
        <f aca="false">IF(J2371=1,"✓","")</f>
        <v/>
      </c>
      <c r="F2371" s="4" t="n">
        <v>1</v>
      </c>
      <c r="G2371" s="4" t="n">
        <v>1</v>
      </c>
      <c r="H2371" s="4" t="s">
        <v>1327</v>
      </c>
      <c r="I2371" s="4" t="s">
        <v>52</v>
      </c>
      <c r="J2371" s="4" t="n">
        <f aca="false">INDEX('Master List'!$G$2:$G$2594,K2371)</f>
        <v>0</v>
      </c>
      <c r="K2371" s="4" t="n">
        <v>2481</v>
      </c>
    </row>
    <row r="2372" customFormat="false" ht="15" hidden="false" customHeight="false" outlineLevel="0" collapsed="false">
      <c r="A2372" s="4" t="n">
        <v>2371</v>
      </c>
      <c r="B2372" s="4" t="s">
        <v>3544</v>
      </c>
      <c r="C2372" s="4" t="n">
        <v>1975</v>
      </c>
      <c r="D2372" s="4" t="s">
        <v>158</v>
      </c>
      <c r="E2372" s="25" t="str">
        <f aca="false">IF(J2372=1,"✓","")</f>
        <v/>
      </c>
      <c r="F2372" s="4" t="n">
        <v>1</v>
      </c>
      <c r="G2372" s="4" t="n">
        <v>1</v>
      </c>
      <c r="H2372" s="4" t="s">
        <v>1327</v>
      </c>
      <c r="I2372" s="4" t="s">
        <v>53</v>
      </c>
      <c r="J2372" s="4" t="n">
        <f aca="false">INDEX('Master List'!$G$2:$G$2594,K2372)</f>
        <v>0</v>
      </c>
      <c r="K2372" s="4" t="n">
        <v>553</v>
      </c>
    </row>
    <row r="2373" customFormat="false" ht="15" hidden="false" customHeight="false" outlineLevel="0" collapsed="false">
      <c r="A2373" s="4" t="n">
        <v>2372</v>
      </c>
      <c r="B2373" s="4" t="s">
        <v>3545</v>
      </c>
      <c r="C2373" s="4" t="n">
        <v>1975</v>
      </c>
      <c r="D2373" s="4" t="s">
        <v>3546</v>
      </c>
      <c r="E2373" s="25" t="str">
        <f aca="false">IF(J2373=1,"✓","")</f>
        <v/>
      </c>
      <c r="F2373" s="4" t="n">
        <v>1</v>
      </c>
      <c r="G2373" s="4" t="n">
        <v>1</v>
      </c>
      <c r="H2373" s="4" t="s">
        <v>1327</v>
      </c>
      <c r="I2373" s="4" t="s">
        <v>54</v>
      </c>
      <c r="J2373" s="4" t="n">
        <f aca="false">INDEX('Master List'!$G$2:$G$2594,K2373)</f>
        <v>0</v>
      </c>
      <c r="K2373" s="4" t="n">
        <v>2017</v>
      </c>
    </row>
    <row r="2374" customFormat="false" ht="15" hidden="false" customHeight="false" outlineLevel="0" collapsed="false">
      <c r="A2374" s="4" t="n">
        <v>2373</v>
      </c>
      <c r="B2374" s="4" t="s">
        <v>3547</v>
      </c>
      <c r="C2374" s="4" t="n">
        <v>1976</v>
      </c>
      <c r="D2374" s="4" t="s">
        <v>2236</v>
      </c>
      <c r="E2374" s="25" t="str">
        <f aca="false">IF(J2374=1,"✓","")</f>
        <v/>
      </c>
      <c r="F2374" s="4" t="n">
        <v>1</v>
      </c>
      <c r="G2374" s="4" t="n">
        <v>1</v>
      </c>
      <c r="H2374" s="4" t="s">
        <v>1327</v>
      </c>
      <c r="I2374" s="4" t="s">
        <v>51</v>
      </c>
      <c r="J2374" s="4" t="n">
        <f aca="false">INDEX('Master List'!$G$2:$G$2594,K2374)</f>
        <v>0</v>
      </c>
      <c r="K2374" s="4" t="n">
        <v>666</v>
      </c>
    </row>
    <row r="2375" customFormat="false" ht="15" hidden="false" customHeight="false" outlineLevel="0" collapsed="false">
      <c r="A2375" s="4" t="n">
        <v>2374</v>
      </c>
      <c r="B2375" s="4" t="s">
        <v>3548</v>
      </c>
      <c r="C2375" s="4" t="n">
        <v>1976</v>
      </c>
      <c r="D2375" s="4" t="s">
        <v>2239</v>
      </c>
      <c r="E2375" s="25" t="str">
        <f aca="false">IF(J2375=1,"✓","")</f>
        <v/>
      </c>
      <c r="F2375" s="4" t="n">
        <v>1</v>
      </c>
      <c r="G2375" s="4" t="n">
        <v>1</v>
      </c>
      <c r="H2375" s="4" t="s">
        <v>1327</v>
      </c>
      <c r="I2375" s="4" t="s">
        <v>51</v>
      </c>
      <c r="J2375" s="4" t="n">
        <f aca="false">INDEX('Master List'!$G$2:$G$2594,K2375)</f>
        <v>0</v>
      </c>
      <c r="K2375" s="4" t="n">
        <v>1235</v>
      </c>
    </row>
    <row r="2376" customFormat="false" ht="15" hidden="false" customHeight="false" outlineLevel="0" collapsed="false">
      <c r="A2376" s="4" t="n">
        <v>2375</v>
      </c>
      <c r="B2376" s="4" t="s">
        <v>3549</v>
      </c>
      <c r="C2376" s="4" t="n">
        <v>1976</v>
      </c>
      <c r="D2376" s="4" t="s">
        <v>3550</v>
      </c>
      <c r="E2376" s="25" t="str">
        <f aca="false">IF(J2376=1,"✓","")</f>
        <v/>
      </c>
      <c r="F2376" s="4" t="n">
        <v>1</v>
      </c>
      <c r="G2376" s="4" t="n">
        <v>1</v>
      </c>
      <c r="H2376" s="4" t="s">
        <v>1327</v>
      </c>
      <c r="I2376" s="4" t="s">
        <v>51</v>
      </c>
      <c r="J2376" s="4" t="n">
        <f aca="false">INDEX('Master List'!$G$2:$G$2594,K2376)</f>
        <v>0</v>
      </c>
      <c r="K2376" s="4" t="n">
        <v>1076</v>
      </c>
    </row>
    <row r="2377" customFormat="false" ht="15" hidden="false" customHeight="false" outlineLevel="0" collapsed="false">
      <c r="A2377" s="4" t="n">
        <v>2376</v>
      </c>
      <c r="B2377" s="4" t="s">
        <v>3551</v>
      </c>
      <c r="C2377" s="4" t="n">
        <v>1976</v>
      </c>
      <c r="D2377" s="4" t="s">
        <v>3552</v>
      </c>
      <c r="E2377" s="25" t="str">
        <f aca="false">IF(J2377=1,"✓","")</f>
        <v/>
      </c>
      <c r="F2377" s="4" t="n">
        <v>1</v>
      </c>
      <c r="G2377" s="4" t="n">
        <v>1</v>
      </c>
      <c r="H2377" s="4" t="s">
        <v>1327</v>
      </c>
      <c r="I2377" s="4" t="s">
        <v>51</v>
      </c>
      <c r="J2377" s="4" t="n">
        <f aca="false">INDEX('Master List'!$G$2:$G$2594,K2377)</f>
        <v>0</v>
      </c>
      <c r="K2377" s="4" t="n">
        <v>388</v>
      </c>
    </row>
    <row r="2378" customFormat="false" ht="15" hidden="false" customHeight="false" outlineLevel="0" collapsed="false">
      <c r="A2378" s="4" t="n">
        <v>2377</v>
      </c>
      <c r="B2378" s="4" t="s">
        <v>3553</v>
      </c>
      <c r="C2378" s="4" t="n">
        <v>1976</v>
      </c>
      <c r="D2378" s="4" t="s">
        <v>3554</v>
      </c>
      <c r="E2378" s="25" t="str">
        <f aca="false">IF(J2378=1,"✓","")</f>
        <v/>
      </c>
      <c r="F2378" s="4" t="n">
        <v>1</v>
      </c>
      <c r="G2378" s="4" t="n">
        <v>1</v>
      </c>
      <c r="H2378" s="4" t="s">
        <v>1327</v>
      </c>
      <c r="I2378" s="4" t="s">
        <v>52</v>
      </c>
      <c r="J2378" s="4" t="n">
        <f aca="false">INDEX('Master List'!$G$2:$G$2594,K2378)</f>
        <v>0</v>
      </c>
      <c r="K2378" s="4" t="n">
        <v>1386</v>
      </c>
    </row>
    <row r="2379" customFormat="false" ht="15" hidden="false" customHeight="false" outlineLevel="0" collapsed="false">
      <c r="A2379" s="4" t="n">
        <v>2378</v>
      </c>
      <c r="B2379" s="4" t="s">
        <v>3555</v>
      </c>
      <c r="C2379" s="4" t="n">
        <v>1976</v>
      </c>
      <c r="D2379" s="4" t="s">
        <v>292</v>
      </c>
      <c r="E2379" s="25" t="str">
        <f aca="false">IF(J2379=1,"✓","")</f>
        <v/>
      </c>
      <c r="F2379" s="4" t="n">
        <v>1</v>
      </c>
      <c r="G2379" s="4" t="n">
        <v>1</v>
      </c>
      <c r="H2379" s="4" t="s">
        <v>1327</v>
      </c>
      <c r="I2379" s="4" t="s">
        <v>53</v>
      </c>
      <c r="J2379" s="4" t="n">
        <f aca="false">INDEX('Master List'!$G$2:$G$2594,K2379)</f>
        <v>0</v>
      </c>
      <c r="K2379" s="4" t="n">
        <v>1007</v>
      </c>
    </row>
    <row r="2380" customFormat="false" ht="15" hidden="false" customHeight="false" outlineLevel="0" collapsed="false">
      <c r="A2380" s="4" t="n">
        <v>2379</v>
      </c>
      <c r="B2380" s="4" t="s">
        <v>3556</v>
      </c>
      <c r="C2380" s="4" t="n">
        <v>1976</v>
      </c>
      <c r="D2380" s="4" t="s">
        <v>3557</v>
      </c>
      <c r="E2380" s="25" t="str">
        <f aca="false">IF(J2380=1,"✓","")</f>
        <v/>
      </c>
      <c r="F2380" s="4" t="n">
        <v>1</v>
      </c>
      <c r="G2380" s="4" t="n">
        <v>1</v>
      </c>
      <c r="H2380" s="4" t="s">
        <v>1327</v>
      </c>
      <c r="I2380" s="4" t="s">
        <v>56</v>
      </c>
      <c r="J2380" s="4" t="n">
        <f aca="false">INDEX('Master List'!$G$2:$G$2594,K2380)</f>
        <v>0</v>
      </c>
      <c r="K2380" s="4" t="n">
        <v>1169</v>
      </c>
    </row>
    <row r="2381" customFormat="false" ht="15" hidden="false" customHeight="false" outlineLevel="0" collapsed="false">
      <c r="A2381" s="4" t="n">
        <v>2380</v>
      </c>
      <c r="B2381" s="4" t="s">
        <v>3558</v>
      </c>
      <c r="C2381" s="4" t="n">
        <v>1976</v>
      </c>
      <c r="D2381" s="4" t="s">
        <v>3559</v>
      </c>
      <c r="E2381" s="25" t="str">
        <f aca="false">IF(J2381=1,"✓","")</f>
        <v/>
      </c>
      <c r="F2381" s="4" t="n">
        <v>1</v>
      </c>
      <c r="G2381" s="4" t="n">
        <v>1</v>
      </c>
      <c r="H2381" s="4" t="s">
        <v>1327</v>
      </c>
      <c r="I2381" s="4" t="s">
        <v>56</v>
      </c>
      <c r="J2381" s="4" t="n">
        <f aca="false">INDEX('Master List'!$G$2:$G$2594,K2381)</f>
        <v>0</v>
      </c>
      <c r="K2381" s="4" t="n">
        <v>1051</v>
      </c>
    </row>
    <row r="2382" customFormat="false" ht="15" hidden="false" customHeight="false" outlineLevel="0" collapsed="false">
      <c r="A2382" s="4" t="n">
        <v>2381</v>
      </c>
      <c r="B2382" s="4" t="s">
        <v>3560</v>
      </c>
      <c r="C2382" s="4" t="n">
        <v>1977</v>
      </c>
      <c r="D2382" s="4" t="s">
        <v>2236</v>
      </c>
      <c r="E2382" s="25" t="str">
        <f aca="false">IF(J2382=1,"✓","")</f>
        <v/>
      </c>
      <c r="F2382" s="4" t="n">
        <v>1</v>
      </c>
      <c r="G2382" s="4" t="n">
        <v>1</v>
      </c>
      <c r="H2382" s="4" t="s">
        <v>1327</v>
      </c>
      <c r="I2382" s="4" t="s">
        <v>51</v>
      </c>
      <c r="J2382" s="4" t="n">
        <f aca="false">INDEX('Master List'!$G$2:$G$2594,K2382)</f>
        <v>0</v>
      </c>
      <c r="K2382" s="4" t="n">
        <v>2128</v>
      </c>
    </row>
    <row r="2383" customFormat="false" ht="15" hidden="false" customHeight="false" outlineLevel="0" collapsed="false">
      <c r="A2383" s="4" t="n">
        <v>2382</v>
      </c>
      <c r="B2383" s="4" t="s">
        <v>3561</v>
      </c>
      <c r="C2383" s="4" t="n">
        <v>1977</v>
      </c>
      <c r="D2383" s="4" t="s">
        <v>253</v>
      </c>
      <c r="E2383" s="25" t="str">
        <f aca="false">IF(J2383=1,"✓","")</f>
        <v/>
      </c>
      <c r="F2383" s="4" t="n">
        <v>1</v>
      </c>
      <c r="G2383" s="4" t="n">
        <v>1</v>
      </c>
      <c r="H2383" s="4" t="s">
        <v>1327</v>
      </c>
      <c r="I2383" s="4" t="s">
        <v>51</v>
      </c>
      <c r="J2383" s="4" t="n">
        <f aca="false">INDEX('Master List'!$G$2:$G$2594,K2383)</f>
        <v>0</v>
      </c>
      <c r="K2383" s="4" t="n">
        <v>438</v>
      </c>
    </row>
    <row r="2384" customFormat="false" ht="15" hidden="false" customHeight="false" outlineLevel="0" collapsed="false">
      <c r="A2384" s="4" t="n">
        <v>2383</v>
      </c>
      <c r="B2384" s="4" t="s">
        <v>3562</v>
      </c>
      <c r="C2384" s="4" t="n">
        <v>1977</v>
      </c>
      <c r="D2384" s="4" t="s">
        <v>3563</v>
      </c>
      <c r="E2384" s="25" t="str">
        <f aca="false">IF(J2384=1,"✓","")</f>
        <v/>
      </c>
      <c r="F2384" s="4" t="n">
        <v>1</v>
      </c>
      <c r="G2384" s="4" t="n">
        <v>1</v>
      </c>
      <c r="H2384" s="4" t="s">
        <v>1327</v>
      </c>
      <c r="I2384" s="4" t="s">
        <v>52</v>
      </c>
      <c r="J2384" s="4" t="n">
        <f aca="false">INDEX('Master List'!$G$2:$G$2594,K2384)</f>
        <v>0</v>
      </c>
      <c r="K2384" s="4" t="n">
        <v>2010</v>
      </c>
    </row>
    <row r="2385" customFormat="false" ht="15" hidden="false" customHeight="false" outlineLevel="0" collapsed="false">
      <c r="A2385" s="4" t="n">
        <v>2384</v>
      </c>
      <c r="B2385" s="4" t="s">
        <v>3564</v>
      </c>
      <c r="C2385" s="4" t="n">
        <v>1977</v>
      </c>
      <c r="D2385" s="4" t="s">
        <v>1062</v>
      </c>
      <c r="E2385" s="25" t="str">
        <f aca="false">IF(J2385=1,"✓","")</f>
        <v/>
      </c>
      <c r="F2385" s="4" t="n">
        <v>1</v>
      </c>
      <c r="G2385" s="4" t="n">
        <v>1</v>
      </c>
      <c r="H2385" s="4" t="s">
        <v>1327</v>
      </c>
      <c r="I2385" s="4" t="s">
        <v>52</v>
      </c>
      <c r="J2385" s="4" t="n">
        <f aca="false">INDEX('Master List'!$G$2:$G$2594,K2385)</f>
        <v>0</v>
      </c>
      <c r="K2385" s="4" t="n">
        <v>1234</v>
      </c>
    </row>
    <row r="2386" customFormat="false" ht="15" hidden="false" customHeight="false" outlineLevel="0" collapsed="false">
      <c r="A2386" s="4" t="n">
        <v>2385</v>
      </c>
      <c r="B2386" s="4" t="s">
        <v>3565</v>
      </c>
      <c r="C2386" s="4" t="n">
        <v>1977</v>
      </c>
      <c r="D2386" s="4" t="s">
        <v>2629</v>
      </c>
      <c r="E2386" s="25" t="str">
        <f aca="false">IF(J2386=1,"✓","")</f>
        <v/>
      </c>
      <c r="F2386" s="4" t="n">
        <v>1</v>
      </c>
      <c r="G2386" s="4" t="n">
        <v>1</v>
      </c>
      <c r="H2386" s="4" t="s">
        <v>1327</v>
      </c>
      <c r="I2386" s="4" t="s">
        <v>54</v>
      </c>
      <c r="J2386" s="4" t="n">
        <f aca="false">INDEX('Master List'!$G$2:$G$2594,K2386)</f>
        <v>0</v>
      </c>
      <c r="K2386" s="4" t="n">
        <v>1728</v>
      </c>
    </row>
    <row r="2387" customFormat="false" ht="15" hidden="false" customHeight="false" outlineLevel="0" collapsed="false">
      <c r="A2387" s="4" t="n">
        <v>2386</v>
      </c>
      <c r="B2387" s="4" t="s">
        <v>3566</v>
      </c>
      <c r="C2387" s="4" t="n">
        <v>1978</v>
      </c>
      <c r="D2387" s="4" t="s">
        <v>3567</v>
      </c>
      <c r="E2387" s="25" t="str">
        <f aca="false">IF(J2387=1,"✓","")</f>
        <v/>
      </c>
      <c r="F2387" s="4" t="n">
        <v>1</v>
      </c>
      <c r="G2387" s="4" t="n">
        <v>1</v>
      </c>
      <c r="H2387" s="4" t="s">
        <v>1327</v>
      </c>
      <c r="I2387" s="4" t="s">
        <v>51</v>
      </c>
      <c r="J2387" s="4" t="n">
        <f aca="false">INDEX('Master List'!$G$2:$G$2594,K2387)</f>
        <v>0</v>
      </c>
      <c r="K2387" s="4" t="n">
        <v>1378</v>
      </c>
    </row>
    <row r="2388" customFormat="false" ht="15" hidden="false" customHeight="false" outlineLevel="0" collapsed="false">
      <c r="A2388" s="4" t="n">
        <v>2387</v>
      </c>
      <c r="B2388" s="4" t="s">
        <v>3568</v>
      </c>
      <c r="C2388" s="4" t="n">
        <v>1978</v>
      </c>
      <c r="D2388" s="4" t="s">
        <v>3569</v>
      </c>
      <c r="E2388" s="25" t="str">
        <f aca="false">IF(J2388=1,"✓","")</f>
        <v/>
      </c>
      <c r="F2388" s="4" t="n">
        <v>1</v>
      </c>
      <c r="G2388" s="4" t="n">
        <v>1</v>
      </c>
      <c r="H2388" s="4" t="s">
        <v>1327</v>
      </c>
      <c r="I2388" s="4" t="s">
        <v>51</v>
      </c>
      <c r="J2388" s="4" t="n">
        <f aca="false">INDEX('Master List'!$G$2:$G$2594,K2388)</f>
        <v>0</v>
      </c>
      <c r="K2388" s="4" t="n">
        <v>1736</v>
      </c>
    </row>
    <row r="2389" customFormat="false" ht="15" hidden="false" customHeight="false" outlineLevel="0" collapsed="false">
      <c r="A2389" s="4" t="n">
        <v>2388</v>
      </c>
      <c r="B2389" s="4" t="s">
        <v>3570</v>
      </c>
      <c r="C2389" s="4" t="n">
        <v>1978</v>
      </c>
      <c r="D2389" s="4" t="s">
        <v>3571</v>
      </c>
      <c r="E2389" s="25" t="str">
        <f aca="false">IF(J2389=1,"✓","")</f>
        <v/>
      </c>
      <c r="F2389" s="4" t="n">
        <v>1</v>
      </c>
      <c r="G2389" s="4" t="n">
        <v>1</v>
      </c>
      <c r="H2389" s="4" t="s">
        <v>1327</v>
      </c>
      <c r="I2389" s="4" t="s">
        <v>52</v>
      </c>
      <c r="J2389" s="4" t="n">
        <f aca="false">INDEX('Master List'!$G$2:$G$2594,K2389)</f>
        <v>0</v>
      </c>
      <c r="K2389" s="4" t="n">
        <v>2172</v>
      </c>
    </row>
    <row r="2390" customFormat="false" ht="15" hidden="false" customHeight="false" outlineLevel="0" collapsed="false">
      <c r="A2390" s="4" t="n">
        <v>2389</v>
      </c>
      <c r="B2390" s="4" t="s">
        <v>3572</v>
      </c>
      <c r="C2390" s="4" t="n">
        <v>1978</v>
      </c>
      <c r="D2390" s="4" t="s">
        <v>3573</v>
      </c>
      <c r="E2390" s="25" t="str">
        <f aca="false">IF(J2390=1,"✓","")</f>
        <v/>
      </c>
      <c r="F2390" s="4" t="n">
        <v>1</v>
      </c>
      <c r="G2390" s="4" t="n">
        <v>1</v>
      </c>
      <c r="H2390" s="4" t="s">
        <v>1327</v>
      </c>
      <c r="I2390" s="4" t="s">
        <v>52</v>
      </c>
      <c r="J2390" s="4" t="n">
        <f aca="false">INDEX('Master List'!$G$2:$G$2594,K2390)</f>
        <v>0</v>
      </c>
      <c r="K2390" s="4" t="n">
        <v>908</v>
      </c>
    </row>
    <row r="2391" customFormat="false" ht="15" hidden="false" customHeight="false" outlineLevel="0" collapsed="false">
      <c r="A2391" s="4" t="n">
        <v>2390</v>
      </c>
      <c r="B2391" s="4" t="s">
        <v>3574</v>
      </c>
      <c r="C2391" s="4" t="n">
        <v>1978</v>
      </c>
      <c r="D2391" s="4" t="s">
        <v>3575</v>
      </c>
      <c r="E2391" s="25" t="str">
        <f aca="false">IF(J2391=1,"✓","")</f>
        <v/>
      </c>
      <c r="F2391" s="4" t="n">
        <v>1</v>
      </c>
      <c r="G2391" s="4" t="n">
        <v>1</v>
      </c>
      <c r="H2391" s="4" t="s">
        <v>1327</v>
      </c>
      <c r="I2391" s="4" t="s">
        <v>54</v>
      </c>
      <c r="J2391" s="4" t="n">
        <f aca="false">INDEX('Master List'!$G$2:$G$2594,K2391)</f>
        <v>0</v>
      </c>
      <c r="K2391" s="4" t="n">
        <v>1108</v>
      </c>
    </row>
    <row r="2392" customFormat="false" ht="15" hidden="false" customHeight="false" outlineLevel="0" collapsed="false">
      <c r="A2392" s="4" t="n">
        <v>2391</v>
      </c>
      <c r="B2392" s="4" t="s">
        <v>3576</v>
      </c>
      <c r="C2392" s="4" t="n">
        <v>1979</v>
      </c>
      <c r="D2392" s="4" t="s">
        <v>2356</v>
      </c>
      <c r="E2392" s="25" t="str">
        <f aca="false">IF(J2392=1,"✓","")</f>
        <v/>
      </c>
      <c r="F2392" s="4" t="n">
        <v>1</v>
      </c>
      <c r="G2392" s="4" t="n">
        <v>1</v>
      </c>
      <c r="H2392" s="4" t="s">
        <v>1327</v>
      </c>
      <c r="I2392" s="4" t="s">
        <v>51</v>
      </c>
      <c r="J2392" s="4" t="n">
        <f aca="false">INDEX('Master List'!$G$2:$G$2594,K2392)</f>
        <v>0</v>
      </c>
      <c r="K2392" s="4" t="n">
        <v>1995</v>
      </c>
    </row>
    <row r="2393" customFormat="false" ht="15" hidden="false" customHeight="false" outlineLevel="0" collapsed="false">
      <c r="A2393" s="4" t="n">
        <v>2392</v>
      </c>
      <c r="B2393" s="4" t="s">
        <v>3577</v>
      </c>
      <c r="C2393" s="4" t="n">
        <v>1979</v>
      </c>
      <c r="D2393" s="4" t="s">
        <v>3578</v>
      </c>
      <c r="E2393" s="25" t="str">
        <f aca="false">IF(J2393=1,"✓","")</f>
        <v/>
      </c>
      <c r="F2393" s="4" t="n">
        <v>1</v>
      </c>
      <c r="G2393" s="4" t="n">
        <v>1</v>
      </c>
      <c r="H2393" s="4" t="s">
        <v>1327</v>
      </c>
      <c r="I2393" s="4" t="s">
        <v>52</v>
      </c>
      <c r="J2393" s="4" t="n">
        <f aca="false">INDEX('Master List'!$G$2:$G$2594,K2393)</f>
        <v>0</v>
      </c>
      <c r="K2393" s="4" t="n">
        <v>2528</v>
      </c>
    </row>
    <row r="2394" customFormat="false" ht="15" hidden="false" customHeight="false" outlineLevel="0" collapsed="false">
      <c r="A2394" s="4" t="n">
        <v>2393</v>
      </c>
      <c r="B2394" s="4" t="s">
        <v>3579</v>
      </c>
      <c r="C2394" s="4" t="n">
        <v>1979</v>
      </c>
      <c r="D2394" s="4" t="s">
        <v>183</v>
      </c>
      <c r="E2394" s="25" t="str">
        <f aca="false">IF(J2394=1,"✓","")</f>
        <v>✓</v>
      </c>
      <c r="F2394" s="4" t="n">
        <v>1</v>
      </c>
      <c r="G2394" s="4" t="n">
        <v>1</v>
      </c>
      <c r="H2394" s="4" t="s">
        <v>1327</v>
      </c>
      <c r="I2394" s="4" t="s">
        <v>53</v>
      </c>
      <c r="J2394" s="4" t="n">
        <f aca="false">INDEX('Master List'!$G$2:$G$2594,K2394)</f>
        <v>1</v>
      </c>
      <c r="K2394" s="4" t="n">
        <v>10</v>
      </c>
    </row>
    <row r="2395" customFormat="false" ht="15" hidden="false" customHeight="false" outlineLevel="0" collapsed="false">
      <c r="A2395" s="4" t="n">
        <v>2394</v>
      </c>
      <c r="B2395" s="4" t="s">
        <v>3580</v>
      </c>
      <c r="C2395" s="4" t="n">
        <v>1979</v>
      </c>
      <c r="D2395" s="4" t="s">
        <v>382</v>
      </c>
      <c r="E2395" s="25" t="str">
        <f aca="false">IF(J2395=1,"✓","")</f>
        <v/>
      </c>
      <c r="F2395" s="4" t="n">
        <v>1</v>
      </c>
      <c r="G2395" s="4" t="n">
        <v>1</v>
      </c>
      <c r="H2395" s="4" t="s">
        <v>1327</v>
      </c>
      <c r="I2395" s="4" t="s">
        <v>53</v>
      </c>
      <c r="J2395" s="4" t="n">
        <f aca="false">INDEX('Master List'!$G$2:$G$2594,K2395)</f>
        <v>0</v>
      </c>
      <c r="K2395" s="4" t="n">
        <v>409</v>
      </c>
    </row>
    <row r="2396" customFormat="false" ht="15" hidden="false" customHeight="false" outlineLevel="0" collapsed="false">
      <c r="A2396" s="4" t="n">
        <v>2395</v>
      </c>
      <c r="B2396" s="4" t="s">
        <v>3581</v>
      </c>
      <c r="C2396" s="4" t="n">
        <v>1980</v>
      </c>
      <c r="D2396" s="4" t="s">
        <v>3582</v>
      </c>
      <c r="E2396" s="25" t="str">
        <f aca="false">IF(J2396=1,"✓","")</f>
        <v/>
      </c>
      <c r="F2396" s="4" t="n">
        <v>1</v>
      </c>
      <c r="G2396" s="4" t="n">
        <v>1</v>
      </c>
      <c r="H2396" s="4" t="s">
        <v>1327</v>
      </c>
      <c r="I2396" s="4" t="s">
        <v>51</v>
      </c>
      <c r="J2396" s="4" t="n">
        <f aca="false">INDEX('Master List'!$G$2:$G$2594,K2396)</f>
        <v>0</v>
      </c>
      <c r="K2396" s="4" t="n">
        <v>2510</v>
      </c>
    </row>
    <row r="2397" customFormat="false" ht="15" hidden="false" customHeight="false" outlineLevel="0" collapsed="false">
      <c r="A2397" s="4" t="n">
        <v>2396</v>
      </c>
      <c r="B2397" s="4" t="s">
        <v>3583</v>
      </c>
      <c r="C2397" s="4" t="n">
        <v>1980</v>
      </c>
      <c r="D2397" s="4" t="s">
        <v>615</v>
      </c>
      <c r="E2397" s="25" t="str">
        <f aca="false">IF(J2397=1,"✓","")</f>
        <v/>
      </c>
      <c r="F2397" s="4" t="n">
        <v>1</v>
      </c>
      <c r="G2397" s="4" t="n">
        <v>1</v>
      </c>
      <c r="H2397" s="4" t="s">
        <v>1327</v>
      </c>
      <c r="I2397" s="4" t="s">
        <v>53</v>
      </c>
      <c r="J2397" s="4" t="n">
        <f aca="false">INDEX('Master List'!$G$2:$G$2594,K2397)</f>
        <v>0</v>
      </c>
      <c r="K2397" s="4" t="n">
        <v>1747</v>
      </c>
    </row>
    <row r="2398" customFormat="false" ht="15" hidden="false" customHeight="false" outlineLevel="0" collapsed="false">
      <c r="A2398" s="4" t="n">
        <v>2397</v>
      </c>
      <c r="B2398" s="4" t="s">
        <v>3584</v>
      </c>
      <c r="C2398" s="4" t="n">
        <v>1980</v>
      </c>
      <c r="D2398" s="4" t="s">
        <v>801</v>
      </c>
      <c r="E2398" s="25" t="str">
        <f aca="false">IF(J2398=1,"✓","")</f>
        <v/>
      </c>
      <c r="F2398" s="4" t="n">
        <v>1</v>
      </c>
      <c r="G2398" s="4" t="n">
        <v>1</v>
      </c>
      <c r="H2398" s="4" t="s">
        <v>1327</v>
      </c>
      <c r="I2398" s="4" t="s">
        <v>53</v>
      </c>
      <c r="J2398" s="4" t="n">
        <f aca="false">INDEX('Master List'!$G$2:$G$2594,K2398)</f>
        <v>0</v>
      </c>
      <c r="K2398" s="4" t="n">
        <v>905</v>
      </c>
    </row>
    <row r="2399" customFormat="false" ht="15" hidden="false" customHeight="false" outlineLevel="0" collapsed="false">
      <c r="A2399" s="4" t="n">
        <v>2398</v>
      </c>
      <c r="B2399" s="4" t="s">
        <v>3585</v>
      </c>
      <c r="C2399" s="4" t="n">
        <v>1980</v>
      </c>
      <c r="D2399" s="4" t="s">
        <v>1064</v>
      </c>
      <c r="E2399" s="25" t="str">
        <f aca="false">IF(J2399=1,"✓","")</f>
        <v/>
      </c>
      <c r="F2399" s="4" t="n">
        <v>1</v>
      </c>
      <c r="G2399" s="4" t="n">
        <v>1</v>
      </c>
      <c r="H2399" s="4" t="s">
        <v>1327</v>
      </c>
      <c r="I2399" s="4" t="s">
        <v>56</v>
      </c>
      <c r="J2399" s="4" t="n">
        <f aca="false">INDEX('Master List'!$G$2:$G$2594,K2399)</f>
        <v>0</v>
      </c>
      <c r="K2399" s="4" t="n">
        <v>962</v>
      </c>
    </row>
    <row r="2400" customFormat="false" ht="15" hidden="false" customHeight="false" outlineLevel="0" collapsed="false">
      <c r="A2400" s="4" t="n">
        <v>2399</v>
      </c>
      <c r="B2400" s="4" t="s">
        <v>3586</v>
      </c>
      <c r="C2400" s="4" t="n">
        <v>1981</v>
      </c>
      <c r="D2400" s="4" t="s">
        <v>3587</v>
      </c>
      <c r="E2400" s="25" t="str">
        <f aca="false">IF(J2400=1,"✓","")</f>
        <v/>
      </c>
      <c r="F2400" s="4" t="n">
        <v>1</v>
      </c>
      <c r="G2400" s="4" t="n">
        <v>1</v>
      </c>
      <c r="H2400" s="4" t="s">
        <v>1327</v>
      </c>
      <c r="I2400" s="4" t="s">
        <v>51</v>
      </c>
      <c r="J2400" s="4" t="n">
        <f aca="false">INDEX('Master List'!$G$2:$G$2594,K2400)</f>
        <v>0</v>
      </c>
      <c r="K2400" s="4" t="n">
        <v>1446</v>
      </c>
    </row>
    <row r="2401" customFormat="false" ht="15" hidden="false" customHeight="false" outlineLevel="0" collapsed="false">
      <c r="A2401" s="4" t="n">
        <v>2400</v>
      </c>
      <c r="B2401" s="4" t="s">
        <v>3588</v>
      </c>
      <c r="C2401" s="4" t="n">
        <v>1981</v>
      </c>
      <c r="D2401" s="4" t="s">
        <v>3589</v>
      </c>
      <c r="E2401" s="25" t="str">
        <f aca="false">IF(J2401=1,"✓","")</f>
        <v/>
      </c>
      <c r="F2401" s="4" t="n">
        <v>1</v>
      </c>
      <c r="G2401" s="4" t="n">
        <v>1</v>
      </c>
      <c r="H2401" s="4" t="s">
        <v>1327</v>
      </c>
      <c r="I2401" s="4" t="s">
        <v>52</v>
      </c>
      <c r="J2401" s="4" t="n">
        <f aca="false">INDEX('Master List'!$G$2:$G$2594,K2401)</f>
        <v>0</v>
      </c>
      <c r="K2401" s="4" t="n">
        <v>550</v>
      </c>
    </row>
    <row r="2402" customFormat="false" ht="15" hidden="false" customHeight="false" outlineLevel="0" collapsed="false">
      <c r="A2402" s="4" t="n">
        <v>2401</v>
      </c>
      <c r="B2402" s="4" t="s">
        <v>3590</v>
      </c>
      <c r="C2402" s="4" t="n">
        <v>1981</v>
      </c>
      <c r="D2402" s="4" t="s">
        <v>3591</v>
      </c>
      <c r="E2402" s="25" t="str">
        <f aca="false">IF(J2402=1,"✓","")</f>
        <v/>
      </c>
      <c r="F2402" s="4" t="n">
        <v>1</v>
      </c>
      <c r="G2402" s="4" t="n">
        <v>1</v>
      </c>
      <c r="H2402" s="4" t="s">
        <v>1327</v>
      </c>
      <c r="I2402" s="4" t="s">
        <v>52</v>
      </c>
      <c r="J2402" s="4" t="n">
        <f aca="false">INDEX('Master List'!$G$2:$G$2594,K2402)</f>
        <v>0</v>
      </c>
      <c r="K2402" s="4" t="n">
        <v>1825</v>
      </c>
    </row>
    <row r="2403" customFormat="false" ht="15" hidden="false" customHeight="false" outlineLevel="0" collapsed="false">
      <c r="A2403" s="4" t="n">
        <v>2402</v>
      </c>
      <c r="B2403" s="4" t="s">
        <v>3592</v>
      </c>
      <c r="C2403" s="4" t="n">
        <v>1981</v>
      </c>
      <c r="D2403" s="4" t="s">
        <v>2404</v>
      </c>
      <c r="E2403" s="25" t="str">
        <f aca="false">IF(J2403=1,"✓","")</f>
        <v>✓</v>
      </c>
      <c r="F2403" s="4" t="n">
        <v>1</v>
      </c>
      <c r="G2403" s="4" t="n">
        <v>1</v>
      </c>
      <c r="H2403" s="4" t="s">
        <v>1327</v>
      </c>
      <c r="I2403" s="4" t="s">
        <v>52</v>
      </c>
      <c r="J2403" s="4" t="n">
        <f aca="false">INDEX('Master List'!$G$2:$G$2594,K2403)</f>
        <v>1</v>
      </c>
      <c r="K2403" s="4" t="n">
        <v>2186</v>
      </c>
    </row>
    <row r="2404" customFormat="false" ht="15" hidden="false" customHeight="false" outlineLevel="0" collapsed="false">
      <c r="A2404" s="4" t="n">
        <v>2403</v>
      </c>
      <c r="B2404" s="4" t="s">
        <v>3593</v>
      </c>
      <c r="C2404" s="4" t="n">
        <v>1981</v>
      </c>
      <c r="D2404" s="4" t="s">
        <v>3594</v>
      </c>
      <c r="E2404" s="25" t="str">
        <f aca="false">IF(J2404=1,"✓","")</f>
        <v/>
      </c>
      <c r="F2404" s="4" t="n">
        <v>1</v>
      </c>
      <c r="G2404" s="4" t="n">
        <v>1</v>
      </c>
      <c r="H2404" s="4" t="s">
        <v>1327</v>
      </c>
      <c r="I2404" s="4" t="s">
        <v>52</v>
      </c>
      <c r="J2404" s="4" t="n">
        <f aca="false">INDEX('Master List'!$G$2:$G$2594,K2404)</f>
        <v>0</v>
      </c>
      <c r="K2404" s="4" t="n">
        <v>1740</v>
      </c>
    </row>
    <row r="2405" customFormat="false" ht="15" hidden="false" customHeight="false" outlineLevel="0" collapsed="false">
      <c r="A2405" s="4" t="n">
        <v>2404</v>
      </c>
      <c r="B2405" s="4" t="s">
        <v>3595</v>
      </c>
      <c r="C2405" s="4" t="n">
        <v>1981</v>
      </c>
      <c r="D2405" s="4" t="s">
        <v>158</v>
      </c>
      <c r="E2405" s="25" t="str">
        <f aca="false">IF(J2405=1,"✓","")</f>
        <v/>
      </c>
      <c r="F2405" s="4" t="n">
        <v>1</v>
      </c>
      <c r="G2405" s="4" t="n">
        <v>1</v>
      </c>
      <c r="H2405" s="4" t="s">
        <v>1327</v>
      </c>
      <c r="I2405" s="4" t="s">
        <v>53</v>
      </c>
      <c r="J2405" s="4" t="n">
        <f aca="false">INDEX('Master List'!$G$2:$G$2594,K2405)</f>
        <v>0</v>
      </c>
      <c r="K2405" s="4" t="n">
        <v>1559</v>
      </c>
    </row>
    <row r="2406" customFormat="false" ht="15" hidden="false" customHeight="false" outlineLevel="0" collapsed="false">
      <c r="A2406" s="4" t="n">
        <v>2405</v>
      </c>
      <c r="B2406" s="4" t="s">
        <v>3596</v>
      </c>
      <c r="C2406" s="4" t="n">
        <v>1981</v>
      </c>
      <c r="D2406" s="4" t="s">
        <v>3597</v>
      </c>
      <c r="E2406" s="25" t="str">
        <f aca="false">IF(J2406=1,"✓","")</f>
        <v/>
      </c>
      <c r="F2406" s="4" t="n">
        <v>1</v>
      </c>
      <c r="G2406" s="4" t="n">
        <v>1</v>
      </c>
      <c r="H2406" s="4" t="s">
        <v>1327</v>
      </c>
      <c r="I2406" s="4" t="s">
        <v>54</v>
      </c>
      <c r="J2406" s="4" t="n">
        <f aca="false">INDEX('Master List'!$G$2:$G$2594,K2406)</f>
        <v>0</v>
      </c>
      <c r="K2406" s="4" t="n">
        <v>1551</v>
      </c>
    </row>
    <row r="2407" customFormat="false" ht="15" hidden="false" customHeight="false" outlineLevel="0" collapsed="false">
      <c r="A2407" s="4" t="n">
        <v>2406</v>
      </c>
      <c r="B2407" s="4" t="s">
        <v>3598</v>
      </c>
      <c r="C2407" s="4" t="n">
        <v>1981</v>
      </c>
      <c r="D2407" s="4" t="s">
        <v>1058</v>
      </c>
      <c r="E2407" s="25" t="str">
        <f aca="false">IF(J2407=1,"✓","")</f>
        <v/>
      </c>
      <c r="F2407" s="4" t="n">
        <v>1</v>
      </c>
      <c r="G2407" s="4" t="n">
        <v>1</v>
      </c>
      <c r="H2407" s="4" t="s">
        <v>1327</v>
      </c>
      <c r="I2407" s="4" t="s">
        <v>55</v>
      </c>
      <c r="J2407" s="4" t="n">
        <f aca="false">INDEX('Master List'!$G$2:$G$2594,K2407)</f>
        <v>0</v>
      </c>
      <c r="K2407" s="4" t="n">
        <v>36</v>
      </c>
    </row>
    <row r="2408" customFormat="false" ht="15" hidden="false" customHeight="false" outlineLevel="0" collapsed="false">
      <c r="A2408" s="4" t="n">
        <v>2407</v>
      </c>
      <c r="B2408" s="4" t="s">
        <v>3599</v>
      </c>
      <c r="C2408" s="4" t="n">
        <v>1981</v>
      </c>
      <c r="D2408" s="4" t="s">
        <v>957</v>
      </c>
      <c r="E2408" s="25" t="str">
        <f aca="false">IF(J2408=1,"✓","")</f>
        <v/>
      </c>
      <c r="F2408" s="4" t="n">
        <v>1</v>
      </c>
      <c r="G2408" s="4" t="n">
        <v>1</v>
      </c>
      <c r="H2408" s="4" t="s">
        <v>1327</v>
      </c>
      <c r="I2408" s="4" t="s">
        <v>55</v>
      </c>
      <c r="J2408" s="4" t="n">
        <f aca="false">INDEX('Master List'!$G$2:$G$2594,K2408)</f>
        <v>0</v>
      </c>
      <c r="K2408" s="4" t="n">
        <v>1792</v>
      </c>
    </row>
    <row r="2409" customFormat="false" ht="15" hidden="false" customHeight="false" outlineLevel="0" collapsed="false">
      <c r="A2409" s="4" t="n">
        <v>2408</v>
      </c>
      <c r="B2409" s="4" t="s">
        <v>3600</v>
      </c>
      <c r="C2409" s="4" t="n">
        <v>1981</v>
      </c>
      <c r="D2409" s="4" t="s">
        <v>3601</v>
      </c>
      <c r="E2409" s="25" t="str">
        <f aca="false">IF(J2409=1,"✓","")</f>
        <v/>
      </c>
      <c r="F2409" s="4" t="n">
        <v>1</v>
      </c>
      <c r="G2409" s="4" t="n">
        <v>1</v>
      </c>
      <c r="H2409" s="4" t="s">
        <v>1327</v>
      </c>
      <c r="I2409" s="4" t="s">
        <v>55</v>
      </c>
      <c r="J2409" s="4" t="n">
        <f aca="false">INDEX('Master List'!$G$2:$G$2594,K2409)</f>
        <v>0</v>
      </c>
      <c r="K2409" s="4" t="n">
        <v>1880</v>
      </c>
    </row>
    <row r="2410" customFormat="false" ht="15" hidden="false" customHeight="false" outlineLevel="0" collapsed="false">
      <c r="A2410" s="4" t="n">
        <v>2409</v>
      </c>
      <c r="B2410" s="4" t="s">
        <v>3602</v>
      </c>
      <c r="C2410" s="4" t="n">
        <v>1981</v>
      </c>
      <c r="D2410" s="4" t="s">
        <v>3603</v>
      </c>
      <c r="E2410" s="25" t="str">
        <f aca="false">IF(J2410=1,"✓","")</f>
        <v/>
      </c>
      <c r="F2410" s="4" t="n">
        <v>1</v>
      </c>
      <c r="G2410" s="4" t="n">
        <v>1</v>
      </c>
      <c r="H2410" s="4" t="s">
        <v>1327</v>
      </c>
      <c r="I2410" s="4" t="s">
        <v>56</v>
      </c>
      <c r="J2410" s="4" t="n">
        <f aca="false">INDEX('Master List'!$G$2:$G$2594,K2410)</f>
        <v>0</v>
      </c>
      <c r="K2410" s="4" t="n">
        <v>602</v>
      </c>
    </row>
    <row r="2411" customFormat="false" ht="15" hidden="false" customHeight="false" outlineLevel="0" collapsed="false">
      <c r="A2411" s="4" t="n">
        <v>2410</v>
      </c>
      <c r="B2411" s="4" t="s">
        <v>3604</v>
      </c>
      <c r="C2411" s="4" t="n">
        <v>1982</v>
      </c>
      <c r="D2411" s="4" t="s">
        <v>3605</v>
      </c>
      <c r="E2411" s="25" t="str">
        <f aca="false">IF(J2411=1,"✓","")</f>
        <v/>
      </c>
      <c r="F2411" s="4" t="n">
        <v>1</v>
      </c>
      <c r="G2411" s="4" t="n">
        <v>1</v>
      </c>
      <c r="H2411" s="4" t="s">
        <v>1327</v>
      </c>
      <c r="I2411" s="4" t="s">
        <v>51</v>
      </c>
      <c r="J2411" s="4" t="n">
        <f aca="false">INDEX('Master List'!$G$2:$G$2594,K2411)</f>
        <v>0</v>
      </c>
      <c r="K2411" s="4" t="n">
        <v>721</v>
      </c>
    </row>
    <row r="2412" customFormat="false" ht="15" hidden="false" customHeight="false" outlineLevel="0" collapsed="false">
      <c r="A2412" s="4" t="n">
        <v>2411</v>
      </c>
      <c r="B2412" s="4" t="s">
        <v>3606</v>
      </c>
      <c r="C2412" s="4" t="n">
        <v>1982</v>
      </c>
      <c r="D2412" s="4" t="s">
        <v>777</v>
      </c>
      <c r="E2412" s="25" t="str">
        <f aca="false">IF(J2412=1,"✓","")</f>
        <v/>
      </c>
      <c r="F2412" s="4" t="n">
        <v>1</v>
      </c>
      <c r="G2412" s="4" t="n">
        <v>1</v>
      </c>
      <c r="H2412" s="4" t="s">
        <v>1327</v>
      </c>
      <c r="I2412" s="4" t="s">
        <v>52</v>
      </c>
      <c r="J2412" s="4" t="n">
        <f aca="false">INDEX('Master List'!$G$2:$G$2594,K2412)</f>
        <v>0</v>
      </c>
      <c r="K2412" s="4" t="n">
        <v>2405</v>
      </c>
    </row>
    <row r="2413" customFormat="false" ht="15" hidden="false" customHeight="false" outlineLevel="0" collapsed="false">
      <c r="A2413" s="4" t="n">
        <v>2412</v>
      </c>
      <c r="B2413" s="4" t="s">
        <v>3607</v>
      </c>
      <c r="C2413" s="4" t="n">
        <v>1982</v>
      </c>
      <c r="D2413" s="4" t="s">
        <v>3608</v>
      </c>
      <c r="E2413" s="25" t="str">
        <f aca="false">IF(J2413=1,"✓","")</f>
        <v/>
      </c>
      <c r="F2413" s="4" t="n">
        <v>1</v>
      </c>
      <c r="G2413" s="4" t="n">
        <v>1</v>
      </c>
      <c r="H2413" s="4" t="s">
        <v>1327</v>
      </c>
      <c r="I2413" s="4" t="s">
        <v>53</v>
      </c>
      <c r="J2413" s="4" t="n">
        <f aca="false">INDEX('Master List'!$G$2:$G$2594,K2413)</f>
        <v>0</v>
      </c>
      <c r="K2413" s="4" t="n">
        <v>368</v>
      </c>
    </row>
    <row r="2414" customFormat="false" ht="15" hidden="false" customHeight="false" outlineLevel="0" collapsed="false">
      <c r="A2414" s="4" t="n">
        <v>2413</v>
      </c>
      <c r="B2414" s="4" t="s">
        <v>3609</v>
      </c>
      <c r="C2414" s="4" t="n">
        <v>1982</v>
      </c>
      <c r="D2414" s="4" t="s">
        <v>312</v>
      </c>
      <c r="E2414" s="25" t="str">
        <f aca="false">IF(J2414=1,"✓","")</f>
        <v/>
      </c>
      <c r="F2414" s="4" t="n">
        <v>1</v>
      </c>
      <c r="G2414" s="4" t="n">
        <v>1</v>
      </c>
      <c r="H2414" s="4" t="s">
        <v>1327</v>
      </c>
      <c r="I2414" s="4" t="s">
        <v>53</v>
      </c>
      <c r="J2414" s="4" t="n">
        <f aca="false">INDEX('Master List'!$G$2:$G$2594,K2414)</f>
        <v>0</v>
      </c>
      <c r="K2414" s="4" t="n">
        <v>1842</v>
      </c>
    </row>
    <row r="2415" customFormat="false" ht="15" hidden="false" customHeight="false" outlineLevel="0" collapsed="false">
      <c r="A2415" s="4" t="n">
        <v>2414</v>
      </c>
      <c r="B2415" s="4" t="s">
        <v>3610</v>
      </c>
      <c r="C2415" s="4" t="n">
        <v>1982</v>
      </c>
      <c r="D2415" s="4" t="s">
        <v>553</v>
      </c>
      <c r="E2415" s="25" t="str">
        <f aca="false">IF(J2415=1,"✓","")</f>
        <v/>
      </c>
      <c r="F2415" s="4" t="n">
        <v>1</v>
      </c>
      <c r="G2415" s="4" t="n">
        <v>1</v>
      </c>
      <c r="H2415" s="4" t="s">
        <v>1327</v>
      </c>
      <c r="I2415" s="4" t="s">
        <v>54</v>
      </c>
      <c r="J2415" s="4" t="n">
        <f aca="false">INDEX('Master List'!$G$2:$G$2594,K2415)</f>
        <v>0</v>
      </c>
      <c r="K2415" s="4" t="n">
        <v>1119</v>
      </c>
    </row>
    <row r="2416" customFormat="false" ht="15" hidden="false" customHeight="false" outlineLevel="0" collapsed="false">
      <c r="A2416" s="4" t="n">
        <v>2415</v>
      </c>
      <c r="B2416" s="4" t="s">
        <v>3611</v>
      </c>
      <c r="C2416" s="4" t="n">
        <v>1982</v>
      </c>
      <c r="D2416" s="4" t="s">
        <v>3612</v>
      </c>
      <c r="E2416" s="25" t="str">
        <f aca="false">IF(J2416=1,"✓","")</f>
        <v/>
      </c>
      <c r="F2416" s="4" t="n">
        <v>1</v>
      </c>
      <c r="G2416" s="4" t="n">
        <v>1</v>
      </c>
      <c r="H2416" s="4" t="s">
        <v>1327</v>
      </c>
      <c r="I2416" s="4" t="s">
        <v>55</v>
      </c>
      <c r="J2416" s="4" t="n">
        <f aca="false">INDEX('Master List'!$G$2:$G$2594,K2416)</f>
        <v>0</v>
      </c>
      <c r="K2416" s="4" t="n">
        <v>427</v>
      </c>
    </row>
    <row r="2417" customFormat="false" ht="15" hidden="false" customHeight="false" outlineLevel="0" collapsed="false">
      <c r="A2417" s="4" t="n">
        <v>2416</v>
      </c>
      <c r="B2417" s="4" t="s">
        <v>3613</v>
      </c>
      <c r="C2417" s="4" t="n">
        <v>1983</v>
      </c>
      <c r="D2417" s="4" t="s">
        <v>2453</v>
      </c>
      <c r="E2417" s="25" t="str">
        <f aca="false">IF(J2417=1,"✓","")</f>
        <v/>
      </c>
      <c r="F2417" s="4" t="n">
        <v>1</v>
      </c>
      <c r="G2417" s="4" t="n">
        <v>1</v>
      </c>
      <c r="H2417" s="4" t="s">
        <v>1327</v>
      </c>
      <c r="I2417" s="4" t="s">
        <v>50</v>
      </c>
      <c r="J2417" s="4" t="n">
        <f aca="false">INDEX('Master List'!$G$2:$G$2594,K2417)</f>
        <v>0</v>
      </c>
      <c r="K2417" s="4" t="n">
        <v>818</v>
      </c>
    </row>
    <row r="2418" customFormat="false" ht="15" hidden="false" customHeight="false" outlineLevel="0" collapsed="false">
      <c r="A2418" s="4" t="n">
        <v>2417</v>
      </c>
      <c r="B2418" s="4" t="s">
        <v>3614</v>
      </c>
      <c r="C2418" s="4" t="n">
        <v>1983</v>
      </c>
      <c r="D2418" s="4" t="s">
        <v>793</v>
      </c>
      <c r="E2418" s="25" t="str">
        <f aca="false">IF(J2418=1,"✓","")</f>
        <v/>
      </c>
      <c r="F2418" s="4" t="n">
        <v>1</v>
      </c>
      <c r="G2418" s="4" t="n">
        <v>1</v>
      </c>
      <c r="H2418" s="4" t="s">
        <v>1327</v>
      </c>
      <c r="I2418" s="4" t="s">
        <v>51</v>
      </c>
      <c r="J2418" s="4" t="n">
        <f aca="false">INDEX('Master List'!$G$2:$G$2594,K2418)</f>
        <v>0</v>
      </c>
      <c r="K2418" s="4" t="n">
        <v>2207</v>
      </c>
    </row>
    <row r="2419" customFormat="false" ht="15" hidden="false" customHeight="false" outlineLevel="0" collapsed="false">
      <c r="A2419" s="4" t="n">
        <v>2418</v>
      </c>
      <c r="B2419" s="4" t="s">
        <v>3615</v>
      </c>
      <c r="C2419" s="4" t="n">
        <v>1983</v>
      </c>
      <c r="D2419" s="4" t="s">
        <v>492</v>
      </c>
      <c r="E2419" s="25" t="str">
        <f aca="false">IF(J2419=1,"✓","")</f>
        <v/>
      </c>
      <c r="F2419" s="4" t="n">
        <v>1</v>
      </c>
      <c r="G2419" s="4" t="n">
        <v>1</v>
      </c>
      <c r="H2419" s="4" t="s">
        <v>1327</v>
      </c>
      <c r="I2419" s="4" t="s">
        <v>51</v>
      </c>
      <c r="J2419" s="4" t="n">
        <f aca="false">INDEX('Master List'!$G$2:$G$2594,K2419)</f>
        <v>0</v>
      </c>
      <c r="K2419" s="4" t="n">
        <v>332</v>
      </c>
    </row>
    <row r="2420" customFormat="false" ht="15" hidden="false" customHeight="false" outlineLevel="0" collapsed="false">
      <c r="A2420" s="4" t="n">
        <v>2419</v>
      </c>
      <c r="B2420" s="4" t="s">
        <v>3616</v>
      </c>
      <c r="C2420" s="4" t="n">
        <v>1983</v>
      </c>
      <c r="D2420" s="4" t="s">
        <v>3617</v>
      </c>
      <c r="E2420" s="25" t="str">
        <f aca="false">IF(J2420=1,"✓","")</f>
        <v/>
      </c>
      <c r="F2420" s="4" t="n">
        <v>1</v>
      </c>
      <c r="G2420" s="4" t="n">
        <v>1</v>
      </c>
      <c r="H2420" s="4" t="s">
        <v>1327</v>
      </c>
      <c r="I2420" s="4" t="s">
        <v>51</v>
      </c>
      <c r="J2420" s="4" t="n">
        <f aca="false">INDEX('Master List'!$G$2:$G$2594,K2420)</f>
        <v>0</v>
      </c>
      <c r="K2420" s="4" t="n">
        <v>1189</v>
      </c>
    </row>
    <row r="2421" customFormat="false" ht="15" hidden="false" customHeight="false" outlineLevel="0" collapsed="false">
      <c r="A2421" s="4" t="n">
        <v>2420</v>
      </c>
      <c r="B2421" s="4" t="s">
        <v>3618</v>
      </c>
      <c r="C2421" s="4" t="n">
        <v>1983</v>
      </c>
      <c r="D2421" s="4" t="s">
        <v>3619</v>
      </c>
      <c r="E2421" s="25" t="str">
        <f aca="false">IF(J2421=1,"✓","")</f>
        <v/>
      </c>
      <c r="F2421" s="4" t="n">
        <v>1</v>
      </c>
      <c r="G2421" s="4" t="n">
        <v>1</v>
      </c>
      <c r="H2421" s="4" t="s">
        <v>1327</v>
      </c>
      <c r="I2421" s="4" t="s">
        <v>55</v>
      </c>
      <c r="J2421" s="4" t="n">
        <f aca="false">INDEX('Master List'!$G$2:$G$2594,K2421)</f>
        <v>0</v>
      </c>
      <c r="K2421" s="4" t="n">
        <v>2258</v>
      </c>
    </row>
    <row r="2422" customFormat="false" ht="15" hidden="false" customHeight="false" outlineLevel="0" collapsed="false">
      <c r="A2422" s="4" t="n">
        <v>2421</v>
      </c>
      <c r="B2422" s="4" t="s">
        <v>3620</v>
      </c>
      <c r="C2422" s="4" t="n">
        <v>1983</v>
      </c>
      <c r="D2422" s="4" t="s">
        <v>3603</v>
      </c>
      <c r="E2422" s="25" t="str">
        <f aca="false">IF(J2422=1,"✓","")</f>
        <v/>
      </c>
      <c r="F2422" s="4" t="n">
        <v>1</v>
      </c>
      <c r="G2422" s="4" t="n">
        <v>1</v>
      </c>
      <c r="H2422" s="4" t="s">
        <v>1327</v>
      </c>
      <c r="I2422" s="4" t="s">
        <v>56</v>
      </c>
      <c r="J2422" s="4" t="n">
        <f aca="false">INDEX('Master List'!$G$2:$G$2594,K2422)</f>
        <v>0</v>
      </c>
      <c r="K2422" s="4" t="n">
        <v>2191</v>
      </c>
    </row>
    <row r="2423" customFormat="false" ht="15" hidden="false" customHeight="false" outlineLevel="0" collapsed="false">
      <c r="A2423" s="4" t="n">
        <v>2422</v>
      </c>
      <c r="B2423" s="4" t="s">
        <v>3621</v>
      </c>
      <c r="C2423" s="4" t="n">
        <v>1984</v>
      </c>
      <c r="D2423" s="4" t="s">
        <v>3622</v>
      </c>
      <c r="E2423" s="25" t="str">
        <f aca="false">IF(J2423=1,"✓","")</f>
        <v/>
      </c>
      <c r="F2423" s="4" t="n">
        <v>1</v>
      </c>
      <c r="G2423" s="4" t="n">
        <v>1</v>
      </c>
      <c r="H2423" s="4" t="s">
        <v>1327</v>
      </c>
      <c r="I2423" s="4" t="s">
        <v>50</v>
      </c>
      <c r="J2423" s="4" t="n">
        <f aca="false">INDEX('Master List'!$G$2:$G$2594,K2423)</f>
        <v>0</v>
      </c>
      <c r="K2423" s="4" t="n">
        <v>234</v>
      </c>
    </row>
    <row r="2424" customFormat="false" ht="15" hidden="false" customHeight="false" outlineLevel="0" collapsed="false">
      <c r="A2424" s="4" t="n">
        <v>2423</v>
      </c>
      <c r="B2424" s="4" t="s">
        <v>3623</v>
      </c>
      <c r="C2424" s="4" t="n">
        <v>1984</v>
      </c>
      <c r="D2424" s="4" t="s">
        <v>197</v>
      </c>
      <c r="E2424" s="25" t="str">
        <f aca="false">IF(J2424=1,"✓","")</f>
        <v>✓</v>
      </c>
      <c r="F2424" s="4" t="n">
        <v>1</v>
      </c>
      <c r="G2424" s="4" t="n">
        <v>1</v>
      </c>
      <c r="H2424" s="4" t="s">
        <v>1327</v>
      </c>
      <c r="I2424" s="4" t="s">
        <v>53</v>
      </c>
      <c r="J2424" s="4" t="n">
        <f aca="false">INDEX('Master List'!$G$2:$G$2594,K2424)</f>
        <v>1</v>
      </c>
      <c r="K2424" s="4" t="n">
        <v>2003</v>
      </c>
    </row>
    <row r="2425" customFormat="false" ht="15" hidden="false" customHeight="false" outlineLevel="0" collapsed="false">
      <c r="A2425" s="4" t="n">
        <v>2424</v>
      </c>
      <c r="B2425" s="4" t="s">
        <v>3207</v>
      </c>
      <c r="C2425" s="4" t="n">
        <v>1984</v>
      </c>
      <c r="D2425" s="4" t="s">
        <v>154</v>
      </c>
      <c r="E2425" s="25" t="str">
        <f aca="false">IF(J2425=1,"✓","")</f>
        <v/>
      </c>
      <c r="F2425" s="4" t="n">
        <v>1</v>
      </c>
      <c r="G2425" s="4" t="n">
        <v>1</v>
      </c>
      <c r="H2425" s="4" t="s">
        <v>1327</v>
      </c>
      <c r="I2425" s="4" t="s">
        <v>53</v>
      </c>
      <c r="J2425" s="4" t="n">
        <f aca="false">INDEX('Master List'!$G$2:$G$2594,K2425)</f>
        <v>0</v>
      </c>
      <c r="K2425" s="4" t="n">
        <v>692</v>
      </c>
    </row>
    <row r="2426" customFormat="false" ht="15" hidden="false" customHeight="false" outlineLevel="0" collapsed="false">
      <c r="A2426" s="4" t="n">
        <v>2425</v>
      </c>
      <c r="B2426" s="4" t="s">
        <v>3624</v>
      </c>
      <c r="C2426" s="4" t="n">
        <v>1984</v>
      </c>
      <c r="D2426" s="4" t="s">
        <v>419</v>
      </c>
      <c r="E2426" s="25" t="str">
        <f aca="false">IF(J2426=1,"✓","")</f>
        <v/>
      </c>
      <c r="F2426" s="4" t="n">
        <v>1</v>
      </c>
      <c r="G2426" s="4" t="n">
        <v>1</v>
      </c>
      <c r="H2426" s="4" t="s">
        <v>1327</v>
      </c>
      <c r="I2426" s="4" t="s">
        <v>53</v>
      </c>
      <c r="J2426" s="4" t="n">
        <f aca="false">INDEX('Master List'!$G$2:$G$2594,K2426)</f>
        <v>0</v>
      </c>
      <c r="K2426" s="4" t="n">
        <v>869</v>
      </c>
    </row>
    <row r="2427" customFormat="false" ht="15" hidden="false" customHeight="false" outlineLevel="0" collapsed="false">
      <c r="A2427" s="4" t="n">
        <v>2426</v>
      </c>
      <c r="B2427" s="4" t="s">
        <v>3625</v>
      </c>
      <c r="C2427" s="4" t="n">
        <v>1984</v>
      </c>
      <c r="D2427" s="4" t="s">
        <v>1087</v>
      </c>
      <c r="E2427" s="25" t="str">
        <f aca="false">IF(J2427=1,"✓","")</f>
        <v/>
      </c>
      <c r="F2427" s="4" t="n">
        <v>1</v>
      </c>
      <c r="G2427" s="4" t="n">
        <v>1</v>
      </c>
      <c r="H2427" s="4" t="s">
        <v>1327</v>
      </c>
      <c r="I2427" s="4" t="s">
        <v>53</v>
      </c>
      <c r="J2427" s="4" t="n">
        <f aca="false">INDEX('Master List'!$G$2:$G$2594,K2427)</f>
        <v>0</v>
      </c>
      <c r="K2427" s="4" t="n">
        <v>2486</v>
      </c>
    </row>
    <row r="2428" customFormat="false" ht="15" hidden="false" customHeight="false" outlineLevel="0" collapsed="false">
      <c r="A2428" s="4" t="n">
        <v>2427</v>
      </c>
      <c r="B2428" s="4" t="s">
        <v>3626</v>
      </c>
      <c r="C2428" s="4" t="n">
        <v>1984</v>
      </c>
      <c r="D2428" s="4" t="s">
        <v>255</v>
      </c>
      <c r="E2428" s="25" t="str">
        <f aca="false">IF(J2428=1,"✓","")</f>
        <v/>
      </c>
      <c r="F2428" s="4" t="n">
        <v>1</v>
      </c>
      <c r="G2428" s="4" t="n">
        <v>1</v>
      </c>
      <c r="H2428" s="4" t="s">
        <v>1327</v>
      </c>
      <c r="I2428" s="4" t="s">
        <v>53</v>
      </c>
      <c r="J2428" s="4" t="n">
        <f aca="false">INDEX('Master List'!$G$2:$G$2594,K2428)</f>
        <v>0</v>
      </c>
      <c r="K2428" s="4" t="n">
        <v>1726</v>
      </c>
    </row>
    <row r="2429" customFormat="false" ht="15" hidden="false" customHeight="false" outlineLevel="0" collapsed="false">
      <c r="A2429" s="4" t="n">
        <v>2428</v>
      </c>
      <c r="B2429" s="4" t="s">
        <v>3627</v>
      </c>
      <c r="C2429" s="4" t="n">
        <v>1985</v>
      </c>
      <c r="D2429" s="4" t="s">
        <v>479</v>
      </c>
      <c r="E2429" s="25" t="str">
        <f aca="false">IF(J2429=1,"✓","")</f>
        <v>✓</v>
      </c>
      <c r="F2429" s="4" t="n">
        <v>1</v>
      </c>
      <c r="G2429" s="4" t="n">
        <v>1</v>
      </c>
      <c r="H2429" s="4" t="s">
        <v>1327</v>
      </c>
      <c r="I2429" s="4" t="s">
        <v>50</v>
      </c>
      <c r="J2429" s="4" t="n">
        <f aca="false">INDEX('Master List'!$G$2:$G$2594,K2429)</f>
        <v>1</v>
      </c>
      <c r="K2429" s="4" t="n">
        <v>2320</v>
      </c>
    </row>
    <row r="2430" customFormat="false" ht="15" hidden="false" customHeight="false" outlineLevel="0" collapsed="false">
      <c r="A2430" s="4" t="n">
        <v>2429</v>
      </c>
      <c r="B2430" s="4" t="s">
        <v>3628</v>
      </c>
      <c r="C2430" s="4" t="n">
        <v>1985</v>
      </c>
      <c r="D2430" s="4" t="s">
        <v>837</v>
      </c>
      <c r="E2430" s="25" t="str">
        <f aca="false">IF(J2430=1,"✓","")</f>
        <v/>
      </c>
      <c r="F2430" s="4" t="n">
        <v>1</v>
      </c>
      <c r="G2430" s="4" t="n">
        <v>1</v>
      </c>
      <c r="H2430" s="4" t="s">
        <v>1327</v>
      </c>
      <c r="I2430" s="4" t="s">
        <v>51</v>
      </c>
      <c r="J2430" s="4" t="n">
        <f aca="false">INDEX('Master List'!$G$2:$G$2594,K2430)</f>
        <v>0</v>
      </c>
      <c r="K2430" s="4" t="n">
        <v>106</v>
      </c>
    </row>
    <row r="2431" customFormat="false" ht="15" hidden="false" customHeight="false" outlineLevel="0" collapsed="false">
      <c r="A2431" s="4" t="n">
        <v>2430</v>
      </c>
      <c r="B2431" s="4" t="s">
        <v>3629</v>
      </c>
      <c r="C2431" s="4" t="n">
        <v>1985</v>
      </c>
      <c r="D2431" s="4" t="s">
        <v>3630</v>
      </c>
      <c r="E2431" s="25" t="str">
        <f aca="false">IF(J2431=1,"✓","")</f>
        <v/>
      </c>
      <c r="F2431" s="4" t="n">
        <v>1</v>
      </c>
      <c r="G2431" s="4" t="n">
        <v>1</v>
      </c>
      <c r="H2431" s="4" t="s">
        <v>1327</v>
      </c>
      <c r="I2431" s="4" t="s">
        <v>51</v>
      </c>
      <c r="J2431" s="4" t="n">
        <f aca="false">INDEX('Master List'!$G$2:$G$2594,K2431)</f>
        <v>0</v>
      </c>
      <c r="K2431" s="4" t="n">
        <v>1653</v>
      </c>
    </row>
    <row r="2432" customFormat="false" ht="15" hidden="false" customHeight="false" outlineLevel="0" collapsed="false">
      <c r="A2432" s="4" t="n">
        <v>2431</v>
      </c>
      <c r="B2432" s="4" t="s">
        <v>3631</v>
      </c>
      <c r="C2432" s="4" t="n">
        <v>1985</v>
      </c>
      <c r="D2432" s="4" t="s">
        <v>365</v>
      </c>
      <c r="E2432" s="25" t="str">
        <f aca="false">IF(J2432=1,"✓","")</f>
        <v/>
      </c>
      <c r="F2432" s="4" t="n">
        <v>1</v>
      </c>
      <c r="G2432" s="4" t="n">
        <v>1</v>
      </c>
      <c r="H2432" s="4" t="s">
        <v>1327</v>
      </c>
      <c r="I2432" s="4" t="s">
        <v>55</v>
      </c>
      <c r="J2432" s="4" t="n">
        <f aca="false">INDEX('Master List'!$G$2:$G$2594,K2432)</f>
        <v>0</v>
      </c>
      <c r="K2432" s="4" t="n">
        <v>2325</v>
      </c>
    </row>
    <row r="2433" customFormat="false" ht="15" hidden="false" customHeight="false" outlineLevel="0" collapsed="false">
      <c r="A2433" s="4" t="n">
        <v>2432</v>
      </c>
      <c r="B2433" s="4" t="s">
        <v>3632</v>
      </c>
      <c r="C2433" s="4" t="n">
        <v>1985</v>
      </c>
      <c r="D2433" s="4" t="s">
        <v>3633</v>
      </c>
      <c r="E2433" s="25" t="str">
        <f aca="false">IF(J2433=1,"✓","")</f>
        <v/>
      </c>
      <c r="F2433" s="4" t="n">
        <v>1</v>
      </c>
      <c r="G2433" s="4" t="n">
        <v>1</v>
      </c>
      <c r="H2433" s="4" t="s">
        <v>1327</v>
      </c>
      <c r="I2433" s="4" t="s">
        <v>58</v>
      </c>
      <c r="J2433" s="4" t="n">
        <f aca="false">INDEX('Master List'!$G$2:$G$2594,K2433)</f>
        <v>0</v>
      </c>
      <c r="K2433" s="4" t="n">
        <v>1843</v>
      </c>
    </row>
    <row r="2434" customFormat="false" ht="15" hidden="false" customHeight="false" outlineLevel="0" collapsed="false">
      <c r="A2434" s="4" t="n">
        <v>2433</v>
      </c>
      <c r="B2434" s="4" t="s">
        <v>3634</v>
      </c>
      <c r="C2434" s="4" t="n">
        <v>1986</v>
      </c>
      <c r="D2434" s="4" t="s">
        <v>492</v>
      </c>
      <c r="E2434" s="25" t="str">
        <f aca="false">IF(J2434=1,"✓","")</f>
        <v/>
      </c>
      <c r="F2434" s="4" t="n">
        <v>1</v>
      </c>
      <c r="G2434" s="4" t="n">
        <v>1</v>
      </c>
      <c r="H2434" s="4" t="s">
        <v>1327</v>
      </c>
      <c r="I2434" s="4" t="s">
        <v>51</v>
      </c>
      <c r="J2434" s="4" t="n">
        <f aca="false">INDEX('Master List'!$G$2:$G$2594,K2434)</f>
        <v>0</v>
      </c>
      <c r="K2434" s="4" t="n">
        <v>696</v>
      </c>
    </row>
    <row r="2435" customFormat="false" ht="15" hidden="false" customHeight="false" outlineLevel="0" collapsed="false">
      <c r="A2435" s="4" t="n">
        <v>2434</v>
      </c>
      <c r="B2435" s="4" t="s">
        <v>3635</v>
      </c>
      <c r="C2435" s="4" t="n">
        <v>1986</v>
      </c>
      <c r="D2435" s="4" t="s">
        <v>3506</v>
      </c>
      <c r="E2435" s="25" t="str">
        <f aca="false">IF(J2435=1,"✓","")</f>
        <v/>
      </c>
      <c r="F2435" s="4" t="n">
        <v>1</v>
      </c>
      <c r="G2435" s="4" t="n">
        <v>1</v>
      </c>
      <c r="H2435" s="4" t="s">
        <v>1327</v>
      </c>
      <c r="I2435" s="4" t="s">
        <v>51</v>
      </c>
      <c r="J2435" s="4" t="n">
        <f aca="false">INDEX('Master List'!$G$2:$G$2594,K2435)</f>
        <v>0</v>
      </c>
      <c r="K2435" s="4" t="n">
        <v>191</v>
      </c>
    </row>
    <row r="2436" customFormat="false" ht="15" hidden="false" customHeight="false" outlineLevel="0" collapsed="false">
      <c r="A2436" s="4" t="n">
        <v>2435</v>
      </c>
      <c r="B2436" s="4" t="s">
        <v>3636</v>
      </c>
      <c r="C2436" s="4" t="n">
        <v>1986</v>
      </c>
      <c r="D2436" s="4" t="s">
        <v>1074</v>
      </c>
      <c r="E2436" s="25" t="str">
        <f aca="false">IF(J2436=1,"✓","")</f>
        <v/>
      </c>
      <c r="F2436" s="4" t="n">
        <v>1</v>
      </c>
      <c r="G2436" s="4" t="n">
        <v>1</v>
      </c>
      <c r="H2436" s="4" t="s">
        <v>1327</v>
      </c>
      <c r="I2436" s="4" t="s">
        <v>52</v>
      </c>
      <c r="J2436" s="4" t="n">
        <f aca="false">INDEX('Master List'!$G$2:$G$2594,K2436)</f>
        <v>0</v>
      </c>
      <c r="K2436" s="4" t="n">
        <v>860</v>
      </c>
    </row>
    <row r="2437" customFormat="false" ht="15" hidden="false" customHeight="false" outlineLevel="0" collapsed="false">
      <c r="A2437" s="4" t="n">
        <v>2436</v>
      </c>
      <c r="B2437" s="4" t="s">
        <v>3637</v>
      </c>
      <c r="C2437" s="4" t="n">
        <v>1986</v>
      </c>
      <c r="D2437" s="4" t="s">
        <v>3638</v>
      </c>
      <c r="E2437" s="25" t="str">
        <f aca="false">IF(J2437=1,"✓","")</f>
        <v>✓</v>
      </c>
      <c r="F2437" s="4" t="n">
        <v>1</v>
      </c>
      <c r="G2437" s="4" t="n">
        <v>1</v>
      </c>
      <c r="H2437" s="4" t="s">
        <v>1327</v>
      </c>
      <c r="I2437" s="4" t="s">
        <v>52</v>
      </c>
      <c r="J2437" s="4" t="n">
        <f aca="false">INDEX('Master List'!$G$2:$G$2594,K2437)</f>
        <v>1</v>
      </c>
      <c r="K2437" s="4" t="n">
        <v>1022</v>
      </c>
    </row>
    <row r="2438" customFormat="false" ht="15" hidden="false" customHeight="false" outlineLevel="0" collapsed="false">
      <c r="A2438" s="4" t="n">
        <v>2437</v>
      </c>
      <c r="B2438" s="4" t="s">
        <v>3639</v>
      </c>
      <c r="C2438" s="4" t="n">
        <v>1986</v>
      </c>
      <c r="D2438" s="4" t="s">
        <v>3640</v>
      </c>
      <c r="E2438" s="25" t="str">
        <f aca="false">IF(J2438=1,"✓","")</f>
        <v/>
      </c>
      <c r="F2438" s="4" t="n">
        <v>1</v>
      </c>
      <c r="G2438" s="4" t="n">
        <v>1</v>
      </c>
      <c r="H2438" s="4" t="s">
        <v>1327</v>
      </c>
      <c r="I2438" s="4" t="s">
        <v>52</v>
      </c>
      <c r="J2438" s="4" t="n">
        <f aca="false">INDEX('Master List'!$G$2:$G$2594,K2438)</f>
        <v>0</v>
      </c>
      <c r="K2438" s="4" t="n">
        <v>2182</v>
      </c>
    </row>
    <row r="2439" customFormat="false" ht="15" hidden="false" customHeight="false" outlineLevel="0" collapsed="false">
      <c r="A2439" s="4" t="n">
        <v>2438</v>
      </c>
      <c r="B2439" s="4" t="s">
        <v>3641</v>
      </c>
      <c r="C2439" s="4" t="n">
        <v>1986</v>
      </c>
      <c r="D2439" s="4" t="s">
        <v>3642</v>
      </c>
      <c r="E2439" s="25" t="str">
        <f aca="false">IF(J2439=1,"✓","")</f>
        <v/>
      </c>
      <c r="F2439" s="4" t="n">
        <v>1</v>
      </c>
      <c r="G2439" s="4" t="n">
        <v>1</v>
      </c>
      <c r="H2439" s="4" t="s">
        <v>1327</v>
      </c>
      <c r="I2439" s="4" t="s">
        <v>54</v>
      </c>
      <c r="J2439" s="4" t="n">
        <f aca="false">INDEX('Master List'!$G$2:$G$2594,K2439)</f>
        <v>0</v>
      </c>
      <c r="K2439" s="4" t="n">
        <v>984</v>
      </c>
    </row>
    <row r="2440" customFormat="false" ht="15" hidden="false" customHeight="false" outlineLevel="0" collapsed="false">
      <c r="A2440" s="4" t="n">
        <v>2439</v>
      </c>
      <c r="B2440" s="4" t="s">
        <v>3643</v>
      </c>
      <c r="C2440" s="4" t="n">
        <v>1987</v>
      </c>
      <c r="D2440" s="4" t="s">
        <v>707</v>
      </c>
      <c r="E2440" s="25" t="str">
        <f aca="false">IF(J2440=1,"✓","")</f>
        <v/>
      </c>
      <c r="F2440" s="4" t="n">
        <v>1</v>
      </c>
      <c r="G2440" s="4" t="n">
        <v>1</v>
      </c>
      <c r="H2440" s="4" t="s">
        <v>1327</v>
      </c>
      <c r="I2440" s="4" t="s">
        <v>53</v>
      </c>
      <c r="J2440" s="4" t="n">
        <f aca="false">INDEX('Master List'!$G$2:$G$2594,K2440)</f>
        <v>0</v>
      </c>
      <c r="K2440" s="4" t="n">
        <v>1168</v>
      </c>
    </row>
    <row r="2441" customFormat="false" ht="15" hidden="false" customHeight="false" outlineLevel="0" collapsed="false">
      <c r="A2441" s="4" t="n">
        <v>2440</v>
      </c>
      <c r="B2441" s="4" t="s">
        <v>3644</v>
      </c>
      <c r="C2441" s="4" t="n">
        <v>1988</v>
      </c>
      <c r="D2441" s="4" t="s">
        <v>3645</v>
      </c>
      <c r="E2441" s="25" t="str">
        <f aca="false">IF(J2441=1,"✓","")</f>
        <v/>
      </c>
      <c r="F2441" s="4" t="n">
        <v>1</v>
      </c>
      <c r="G2441" s="4" t="n">
        <v>1</v>
      </c>
      <c r="H2441" s="4" t="s">
        <v>1327</v>
      </c>
      <c r="I2441" s="4" t="s">
        <v>51</v>
      </c>
      <c r="J2441" s="4" t="n">
        <f aca="false">INDEX('Master List'!$G$2:$G$2594,K2441)</f>
        <v>0</v>
      </c>
      <c r="K2441" s="4" t="n">
        <v>638</v>
      </c>
    </row>
    <row r="2442" customFormat="false" ht="15" hidden="false" customHeight="false" outlineLevel="0" collapsed="false">
      <c r="A2442" s="4" t="n">
        <v>2441</v>
      </c>
      <c r="B2442" s="4" t="s">
        <v>3646</v>
      </c>
      <c r="C2442" s="4" t="n">
        <v>1988</v>
      </c>
      <c r="D2442" s="4" t="s">
        <v>618</v>
      </c>
      <c r="E2442" s="25" t="str">
        <f aca="false">IF(J2442=1,"✓","")</f>
        <v/>
      </c>
      <c r="F2442" s="4" t="n">
        <v>1</v>
      </c>
      <c r="G2442" s="4" t="n">
        <v>1</v>
      </c>
      <c r="H2442" s="4" t="s">
        <v>1327</v>
      </c>
      <c r="I2442" s="4" t="s">
        <v>51</v>
      </c>
      <c r="J2442" s="4" t="n">
        <f aca="false">INDEX('Master List'!$G$2:$G$2594,K2442)</f>
        <v>0</v>
      </c>
      <c r="K2442" s="4" t="n">
        <v>557</v>
      </c>
    </row>
    <row r="2443" customFormat="false" ht="15" hidden="false" customHeight="false" outlineLevel="0" collapsed="false">
      <c r="A2443" s="4" t="n">
        <v>2442</v>
      </c>
      <c r="B2443" s="4" t="s">
        <v>3647</v>
      </c>
      <c r="C2443" s="4" t="n">
        <v>1988</v>
      </c>
      <c r="D2443" s="4" t="s">
        <v>2434</v>
      </c>
      <c r="E2443" s="25" t="str">
        <f aca="false">IF(J2443=1,"✓","")</f>
        <v>✓</v>
      </c>
      <c r="F2443" s="4" t="n">
        <v>1</v>
      </c>
      <c r="G2443" s="4" t="n">
        <v>1</v>
      </c>
      <c r="H2443" s="4" t="s">
        <v>1327</v>
      </c>
      <c r="I2443" s="4" t="s">
        <v>52</v>
      </c>
      <c r="J2443" s="4" t="n">
        <f aca="false">INDEX('Master List'!$G$2:$G$2594,K2443)</f>
        <v>1</v>
      </c>
      <c r="K2443" s="4" t="n">
        <v>634</v>
      </c>
    </row>
    <row r="2444" customFormat="false" ht="15" hidden="false" customHeight="false" outlineLevel="0" collapsed="false">
      <c r="A2444" s="4" t="n">
        <v>2443</v>
      </c>
      <c r="B2444" s="4" t="s">
        <v>3648</v>
      </c>
      <c r="C2444" s="4" t="n">
        <v>1988</v>
      </c>
      <c r="D2444" s="4" t="s">
        <v>172</v>
      </c>
      <c r="E2444" s="25" t="str">
        <f aca="false">IF(J2444=1,"✓","")</f>
        <v>✓</v>
      </c>
      <c r="F2444" s="4" t="n">
        <v>1</v>
      </c>
      <c r="G2444" s="4" t="n">
        <v>1</v>
      </c>
      <c r="H2444" s="4" t="s">
        <v>1327</v>
      </c>
      <c r="I2444" s="4" t="s">
        <v>53</v>
      </c>
      <c r="J2444" s="4" t="n">
        <f aca="false">INDEX('Master List'!$G$2:$G$2594,K2444)</f>
        <v>1</v>
      </c>
      <c r="K2444" s="4" t="n">
        <v>2381</v>
      </c>
    </row>
    <row r="2445" customFormat="false" ht="15" hidden="false" customHeight="false" outlineLevel="0" collapsed="false">
      <c r="A2445" s="4" t="n">
        <v>2444</v>
      </c>
      <c r="B2445" s="4" t="s">
        <v>3649</v>
      </c>
      <c r="C2445" s="4" t="n">
        <v>1988</v>
      </c>
      <c r="D2445" s="4" t="s">
        <v>320</v>
      </c>
      <c r="E2445" s="25" t="str">
        <f aca="false">IF(J2445=1,"✓","")</f>
        <v/>
      </c>
      <c r="F2445" s="4" t="n">
        <v>1</v>
      </c>
      <c r="G2445" s="4" t="n">
        <v>1</v>
      </c>
      <c r="H2445" s="4" t="s">
        <v>1327</v>
      </c>
      <c r="I2445" s="4" t="s">
        <v>53</v>
      </c>
      <c r="J2445" s="4" t="n">
        <f aca="false">INDEX('Master List'!$G$2:$G$2594,K2445)</f>
        <v>0</v>
      </c>
      <c r="K2445" s="4" t="n">
        <v>1180</v>
      </c>
    </row>
    <row r="2446" customFormat="false" ht="15" hidden="false" customHeight="false" outlineLevel="0" collapsed="false">
      <c r="A2446" s="4" t="n">
        <v>2445</v>
      </c>
      <c r="B2446" s="4" t="s">
        <v>3650</v>
      </c>
      <c r="C2446" s="4" t="n">
        <v>1988</v>
      </c>
      <c r="D2446" s="4" t="s">
        <v>1280</v>
      </c>
      <c r="E2446" s="25" t="str">
        <f aca="false">IF(J2446=1,"✓","")</f>
        <v/>
      </c>
      <c r="F2446" s="4" t="n">
        <v>1</v>
      </c>
      <c r="G2446" s="4" t="n">
        <v>1</v>
      </c>
      <c r="H2446" s="4" t="s">
        <v>1327</v>
      </c>
      <c r="I2446" s="4" t="s">
        <v>55</v>
      </c>
      <c r="J2446" s="4" t="n">
        <f aca="false">INDEX('Master List'!$G$2:$G$2594,K2446)</f>
        <v>0</v>
      </c>
      <c r="K2446" s="4" t="n">
        <v>713</v>
      </c>
    </row>
    <row r="2447" customFormat="false" ht="15" hidden="false" customHeight="false" outlineLevel="0" collapsed="false">
      <c r="A2447" s="4" t="n">
        <v>2446</v>
      </c>
      <c r="B2447" s="4" t="s">
        <v>3651</v>
      </c>
      <c r="C2447" s="4" t="n">
        <v>1989</v>
      </c>
      <c r="D2447" s="4" t="s">
        <v>1155</v>
      </c>
      <c r="E2447" s="25" t="str">
        <f aca="false">IF(J2447=1,"✓","")</f>
        <v/>
      </c>
      <c r="F2447" s="4" t="n">
        <v>1</v>
      </c>
      <c r="G2447" s="4" t="n">
        <v>1</v>
      </c>
      <c r="H2447" s="4" t="s">
        <v>1327</v>
      </c>
      <c r="I2447" s="4" t="s">
        <v>53</v>
      </c>
      <c r="J2447" s="4" t="n">
        <f aca="false">INDEX('Master List'!$G$2:$G$2594,K2447)</f>
        <v>0</v>
      </c>
      <c r="K2447" s="4" t="n">
        <v>1318</v>
      </c>
    </row>
    <row r="2448" customFormat="false" ht="15" hidden="false" customHeight="false" outlineLevel="0" collapsed="false">
      <c r="A2448" s="4" t="n">
        <v>2447</v>
      </c>
      <c r="B2448" s="4" t="s">
        <v>3652</v>
      </c>
      <c r="C2448" s="4" t="n">
        <v>1989</v>
      </c>
      <c r="D2448" s="4" t="s">
        <v>203</v>
      </c>
      <c r="E2448" s="25" t="str">
        <f aca="false">IF(J2448=1,"✓","")</f>
        <v/>
      </c>
      <c r="F2448" s="4" t="n">
        <v>1</v>
      </c>
      <c r="G2448" s="4" t="n">
        <v>1</v>
      </c>
      <c r="H2448" s="4" t="s">
        <v>1327</v>
      </c>
      <c r="I2448" s="4" t="s">
        <v>53</v>
      </c>
      <c r="J2448" s="4" t="n">
        <f aca="false">INDEX('Master List'!$G$2:$G$2594,K2448)</f>
        <v>0</v>
      </c>
      <c r="K2448" s="4" t="n">
        <v>1058</v>
      </c>
    </row>
    <row r="2449" customFormat="false" ht="15" hidden="false" customHeight="false" outlineLevel="0" collapsed="false">
      <c r="A2449" s="4" t="n">
        <v>2448</v>
      </c>
      <c r="B2449" s="4" t="s">
        <v>3653</v>
      </c>
      <c r="C2449" s="4" t="n">
        <v>1989</v>
      </c>
      <c r="D2449" s="4" t="s">
        <v>3654</v>
      </c>
      <c r="E2449" s="25" t="str">
        <f aca="false">IF(J2449=1,"✓","")</f>
        <v/>
      </c>
      <c r="F2449" s="4" t="n">
        <v>1</v>
      </c>
      <c r="G2449" s="4" t="n">
        <v>1</v>
      </c>
      <c r="H2449" s="4" t="s">
        <v>1327</v>
      </c>
      <c r="I2449" s="4" t="s">
        <v>54</v>
      </c>
      <c r="J2449" s="4" t="n">
        <f aca="false">INDEX('Master List'!$G$2:$G$2594,K2449)</f>
        <v>0</v>
      </c>
      <c r="K2449" s="4" t="n">
        <v>426</v>
      </c>
    </row>
    <row r="2450" customFormat="false" ht="15" hidden="false" customHeight="false" outlineLevel="0" collapsed="false">
      <c r="A2450" s="4" t="n">
        <v>2449</v>
      </c>
      <c r="B2450" s="4" t="s">
        <v>3655</v>
      </c>
      <c r="C2450" s="4" t="n">
        <v>1989</v>
      </c>
      <c r="D2450" s="4" t="s">
        <v>3656</v>
      </c>
      <c r="E2450" s="25" t="str">
        <f aca="false">IF(J2450=1,"✓","")</f>
        <v/>
      </c>
      <c r="F2450" s="4" t="n">
        <v>1</v>
      </c>
      <c r="G2450" s="4" t="n">
        <v>1</v>
      </c>
      <c r="H2450" s="4" t="s">
        <v>1327</v>
      </c>
      <c r="I2450" s="4" t="s">
        <v>54</v>
      </c>
      <c r="J2450" s="4" t="n">
        <f aca="false">INDEX('Master List'!$G$2:$G$2594,K2450)</f>
        <v>0</v>
      </c>
      <c r="K2450" s="4" t="n">
        <v>2208</v>
      </c>
    </row>
    <row r="2451" customFormat="false" ht="15" hidden="false" customHeight="false" outlineLevel="0" collapsed="false">
      <c r="A2451" s="4" t="n">
        <v>2450</v>
      </c>
      <c r="B2451" s="4" t="s">
        <v>3657</v>
      </c>
      <c r="C2451" s="4" t="n">
        <v>1989</v>
      </c>
      <c r="D2451" s="4" t="s">
        <v>3658</v>
      </c>
      <c r="E2451" s="25" t="str">
        <f aca="false">IF(J2451=1,"✓","")</f>
        <v/>
      </c>
      <c r="F2451" s="4" t="n">
        <v>1</v>
      </c>
      <c r="G2451" s="4" t="n">
        <v>1</v>
      </c>
      <c r="H2451" s="4" t="s">
        <v>1327</v>
      </c>
      <c r="I2451" s="4" t="s">
        <v>54</v>
      </c>
      <c r="J2451" s="4" t="n">
        <f aca="false">INDEX('Master List'!$G$2:$G$2594,K2451)</f>
        <v>0</v>
      </c>
      <c r="K2451" s="4" t="n">
        <v>1806</v>
      </c>
    </row>
    <row r="2452" customFormat="false" ht="15" hidden="false" customHeight="false" outlineLevel="0" collapsed="false">
      <c r="A2452" s="4" t="n">
        <v>2451</v>
      </c>
      <c r="B2452" s="4" t="s">
        <v>3659</v>
      </c>
      <c r="C2452" s="4" t="n">
        <v>1989</v>
      </c>
      <c r="D2452" s="4" t="s">
        <v>1986</v>
      </c>
      <c r="E2452" s="25" t="str">
        <f aca="false">IF(J2452=1,"✓","")</f>
        <v/>
      </c>
      <c r="F2452" s="4" t="n">
        <v>1</v>
      </c>
      <c r="G2452" s="4" t="n">
        <v>1</v>
      </c>
      <c r="H2452" s="4" t="s">
        <v>1327</v>
      </c>
      <c r="I2452" s="4" t="s">
        <v>55</v>
      </c>
      <c r="J2452" s="4" t="n">
        <f aca="false">INDEX('Master List'!$G$2:$G$2594,K2452)</f>
        <v>0</v>
      </c>
      <c r="K2452" s="4" t="n">
        <v>270</v>
      </c>
    </row>
    <row r="2453" customFormat="false" ht="15" hidden="false" customHeight="false" outlineLevel="0" collapsed="false">
      <c r="A2453" s="4" t="n">
        <v>2452</v>
      </c>
      <c r="B2453" s="4" t="s">
        <v>3660</v>
      </c>
      <c r="C2453" s="4" t="n">
        <v>1990</v>
      </c>
      <c r="D2453" s="4" t="s">
        <v>2335</v>
      </c>
      <c r="E2453" s="25" t="str">
        <f aca="false">IF(J2453=1,"✓","")</f>
        <v/>
      </c>
      <c r="F2453" s="4" t="n">
        <v>1</v>
      </c>
      <c r="G2453" s="4" t="n">
        <v>1</v>
      </c>
      <c r="H2453" s="4" t="s">
        <v>1327</v>
      </c>
      <c r="I2453" s="4" t="s">
        <v>52</v>
      </c>
      <c r="J2453" s="4" t="n">
        <f aca="false">INDEX('Master List'!$G$2:$G$2594,K2453)</f>
        <v>0</v>
      </c>
      <c r="K2453" s="4" t="n">
        <v>764</v>
      </c>
    </row>
    <row r="2454" customFormat="false" ht="15" hidden="false" customHeight="false" outlineLevel="0" collapsed="false">
      <c r="A2454" s="4" t="n">
        <v>2453</v>
      </c>
      <c r="B2454" s="4" t="s">
        <v>3661</v>
      </c>
      <c r="C2454" s="4" t="n">
        <v>1990</v>
      </c>
      <c r="D2454" s="4" t="s">
        <v>3597</v>
      </c>
      <c r="E2454" s="25" t="str">
        <f aca="false">IF(J2454=1,"✓","")</f>
        <v/>
      </c>
      <c r="F2454" s="4" t="n">
        <v>1</v>
      </c>
      <c r="G2454" s="4" t="n">
        <v>1</v>
      </c>
      <c r="H2454" s="4" t="s">
        <v>1327</v>
      </c>
      <c r="I2454" s="4" t="s">
        <v>52</v>
      </c>
      <c r="J2454" s="4" t="n">
        <f aca="false">INDEX('Master List'!$G$2:$G$2594,K2454)</f>
        <v>0</v>
      </c>
      <c r="K2454" s="4" t="n">
        <v>1260</v>
      </c>
    </row>
    <row r="2455" customFormat="false" ht="15" hidden="false" customHeight="false" outlineLevel="0" collapsed="false">
      <c r="A2455" s="4" t="n">
        <v>2454</v>
      </c>
      <c r="B2455" s="4" t="s">
        <v>3662</v>
      </c>
      <c r="C2455" s="4" t="n">
        <v>1990</v>
      </c>
      <c r="D2455" s="4" t="s">
        <v>189</v>
      </c>
      <c r="E2455" s="25" t="str">
        <f aca="false">IF(J2455=1,"✓","")</f>
        <v/>
      </c>
      <c r="F2455" s="4" t="n">
        <v>1</v>
      </c>
      <c r="G2455" s="4" t="n">
        <v>1</v>
      </c>
      <c r="H2455" s="4" t="s">
        <v>1327</v>
      </c>
      <c r="I2455" s="4" t="s">
        <v>53</v>
      </c>
      <c r="J2455" s="4" t="n">
        <f aca="false">INDEX('Master List'!$G$2:$G$2594,K2455)</f>
        <v>0</v>
      </c>
      <c r="K2455" s="4" t="n">
        <v>1837</v>
      </c>
    </row>
    <row r="2456" customFormat="false" ht="15" hidden="false" customHeight="false" outlineLevel="0" collapsed="false">
      <c r="A2456" s="4" t="n">
        <v>2455</v>
      </c>
      <c r="B2456" s="4" t="s">
        <v>3663</v>
      </c>
      <c r="C2456" s="4" t="n">
        <v>1990</v>
      </c>
      <c r="D2456" s="4" t="s">
        <v>3601</v>
      </c>
      <c r="E2456" s="25" t="str">
        <f aca="false">IF(J2456=1,"✓","")</f>
        <v/>
      </c>
      <c r="F2456" s="4" t="n">
        <v>1</v>
      </c>
      <c r="G2456" s="4" t="n">
        <v>1</v>
      </c>
      <c r="H2456" s="4" t="s">
        <v>1327</v>
      </c>
      <c r="I2456" s="4" t="s">
        <v>54</v>
      </c>
      <c r="J2456" s="4" t="n">
        <f aca="false">INDEX('Master List'!$G$2:$G$2594,K2456)</f>
        <v>0</v>
      </c>
      <c r="K2456" s="4" t="n">
        <v>629</v>
      </c>
    </row>
    <row r="2457" customFormat="false" ht="15" hidden="false" customHeight="false" outlineLevel="0" collapsed="false">
      <c r="A2457" s="4" t="n">
        <v>2456</v>
      </c>
      <c r="B2457" s="4" t="s">
        <v>3664</v>
      </c>
      <c r="C2457" s="4" t="n">
        <v>1990</v>
      </c>
      <c r="D2457" s="4" t="s">
        <v>3665</v>
      </c>
      <c r="E2457" s="25" t="str">
        <f aca="false">IF(J2457=1,"✓","")</f>
        <v/>
      </c>
      <c r="F2457" s="4" t="n">
        <v>1</v>
      </c>
      <c r="G2457" s="4" t="n">
        <v>1</v>
      </c>
      <c r="H2457" s="4" t="s">
        <v>1327</v>
      </c>
      <c r="I2457" s="4" t="s">
        <v>54</v>
      </c>
      <c r="J2457" s="4" t="n">
        <f aca="false">INDEX('Master List'!$G$2:$G$2594,K2457)</f>
        <v>0</v>
      </c>
      <c r="K2457" s="4" t="n">
        <v>2372</v>
      </c>
    </row>
    <row r="2458" customFormat="false" ht="15" hidden="false" customHeight="false" outlineLevel="0" collapsed="false">
      <c r="A2458" s="4" t="n">
        <v>2457</v>
      </c>
      <c r="B2458" s="4" t="s">
        <v>3666</v>
      </c>
      <c r="C2458" s="4" t="n">
        <v>1991</v>
      </c>
      <c r="D2458" s="4" t="s">
        <v>490</v>
      </c>
      <c r="E2458" s="25" t="str">
        <f aca="false">IF(J2458=1,"✓","")</f>
        <v/>
      </c>
      <c r="F2458" s="4" t="n">
        <v>1</v>
      </c>
      <c r="G2458" s="4" t="n">
        <v>1</v>
      </c>
      <c r="H2458" s="4" t="s">
        <v>1327</v>
      </c>
      <c r="I2458" s="4" t="s">
        <v>53</v>
      </c>
      <c r="J2458" s="4" t="n">
        <f aca="false">INDEX('Master List'!$G$2:$G$2594,K2458)</f>
        <v>0</v>
      </c>
      <c r="K2458" s="4" t="n">
        <v>1229</v>
      </c>
    </row>
    <row r="2459" customFormat="false" ht="15" hidden="false" customHeight="false" outlineLevel="0" collapsed="false">
      <c r="A2459" s="4" t="n">
        <v>2458</v>
      </c>
      <c r="B2459" s="4" t="s">
        <v>3667</v>
      </c>
      <c r="C2459" s="4" t="n">
        <v>1991</v>
      </c>
      <c r="D2459" s="4" t="s">
        <v>3668</v>
      </c>
      <c r="E2459" s="25" t="str">
        <f aca="false">IF(J2459=1,"✓","")</f>
        <v/>
      </c>
      <c r="F2459" s="4" t="n">
        <v>1</v>
      </c>
      <c r="G2459" s="4" t="n">
        <v>1</v>
      </c>
      <c r="H2459" s="4" t="s">
        <v>1327</v>
      </c>
      <c r="I2459" s="4" t="s">
        <v>54</v>
      </c>
      <c r="J2459" s="4" t="n">
        <f aca="false">INDEX('Master List'!$G$2:$G$2594,K2459)</f>
        <v>0</v>
      </c>
      <c r="K2459" s="4" t="n">
        <v>711</v>
      </c>
    </row>
    <row r="2460" customFormat="false" ht="15" hidden="false" customHeight="false" outlineLevel="0" collapsed="false">
      <c r="A2460" s="4" t="n">
        <v>2459</v>
      </c>
      <c r="B2460" s="4" t="s">
        <v>3669</v>
      </c>
      <c r="C2460" s="4" t="n">
        <v>1992</v>
      </c>
      <c r="D2460" s="4" t="s">
        <v>3670</v>
      </c>
      <c r="E2460" s="25" t="str">
        <f aca="false">IF(J2460=1,"✓","")</f>
        <v/>
      </c>
      <c r="F2460" s="4" t="n">
        <v>1</v>
      </c>
      <c r="G2460" s="4" t="n">
        <v>1</v>
      </c>
      <c r="H2460" s="4" t="s">
        <v>1327</v>
      </c>
      <c r="I2460" s="4" t="s">
        <v>50</v>
      </c>
      <c r="J2460" s="4" t="n">
        <f aca="false">INDEX('Master List'!$G$2:$G$2594,K2460)</f>
        <v>0</v>
      </c>
      <c r="K2460" s="4" t="n">
        <v>879</v>
      </c>
    </row>
    <row r="2461" customFormat="false" ht="15" hidden="false" customHeight="false" outlineLevel="0" collapsed="false">
      <c r="A2461" s="4" t="n">
        <v>2460</v>
      </c>
      <c r="B2461" s="4" t="s">
        <v>3671</v>
      </c>
      <c r="C2461" s="4" t="n">
        <v>1992</v>
      </c>
      <c r="D2461" s="4" t="s">
        <v>1539</v>
      </c>
      <c r="E2461" s="25" t="str">
        <f aca="false">IF(J2461=1,"✓","")</f>
        <v/>
      </c>
      <c r="F2461" s="4" t="n">
        <v>1</v>
      </c>
      <c r="G2461" s="4" t="n">
        <v>1</v>
      </c>
      <c r="H2461" s="4" t="s">
        <v>1327</v>
      </c>
      <c r="I2461" s="4" t="s">
        <v>51</v>
      </c>
      <c r="J2461" s="4" t="n">
        <f aca="false">INDEX('Master List'!$G$2:$G$2594,K2461)</f>
        <v>0</v>
      </c>
      <c r="K2461" s="4" t="n">
        <v>867</v>
      </c>
    </row>
    <row r="2462" customFormat="false" ht="15" hidden="false" customHeight="false" outlineLevel="0" collapsed="false">
      <c r="A2462" s="4" t="n">
        <v>2461</v>
      </c>
      <c r="B2462" s="4" t="s">
        <v>3672</v>
      </c>
      <c r="C2462" s="4" t="n">
        <v>1992</v>
      </c>
      <c r="D2462" s="4" t="s">
        <v>3673</v>
      </c>
      <c r="E2462" s="25" t="str">
        <f aca="false">IF(J2462=1,"✓","")</f>
        <v/>
      </c>
      <c r="F2462" s="4" t="n">
        <v>1</v>
      </c>
      <c r="G2462" s="4" t="n">
        <v>1</v>
      </c>
      <c r="H2462" s="4" t="s">
        <v>1327</v>
      </c>
      <c r="I2462" s="4" t="s">
        <v>52</v>
      </c>
      <c r="J2462" s="4" t="n">
        <f aca="false">INDEX('Master List'!$G$2:$G$2594,K2462)</f>
        <v>0</v>
      </c>
      <c r="K2462" s="4" t="n">
        <v>895</v>
      </c>
    </row>
    <row r="2463" customFormat="false" ht="15" hidden="false" customHeight="false" outlineLevel="0" collapsed="false">
      <c r="A2463" s="4" t="n">
        <v>2462</v>
      </c>
      <c r="B2463" s="4" t="s">
        <v>3674</v>
      </c>
      <c r="C2463" s="4" t="n">
        <v>1992</v>
      </c>
      <c r="D2463" s="4" t="s">
        <v>488</v>
      </c>
      <c r="E2463" s="25" t="str">
        <f aca="false">IF(J2463=1,"✓","")</f>
        <v/>
      </c>
      <c r="F2463" s="4" t="n">
        <v>1</v>
      </c>
      <c r="G2463" s="4" t="n">
        <v>1</v>
      </c>
      <c r="H2463" s="4" t="s">
        <v>1327</v>
      </c>
      <c r="I2463" s="4" t="s">
        <v>53</v>
      </c>
      <c r="J2463" s="4" t="n">
        <f aca="false">INDEX('Master List'!$G$2:$G$2594,K2463)</f>
        <v>0</v>
      </c>
      <c r="K2463" s="4" t="n">
        <v>1858</v>
      </c>
    </row>
    <row r="2464" customFormat="false" ht="15" hidden="false" customHeight="false" outlineLevel="0" collapsed="false">
      <c r="A2464" s="4" t="n">
        <v>2463</v>
      </c>
      <c r="B2464" s="4" t="s">
        <v>3675</v>
      </c>
      <c r="C2464" s="4" t="n">
        <v>1993</v>
      </c>
      <c r="D2464" s="4" t="s">
        <v>1562</v>
      </c>
      <c r="E2464" s="25" t="str">
        <f aca="false">IF(J2464=1,"✓","")</f>
        <v/>
      </c>
      <c r="F2464" s="4" t="n">
        <v>1</v>
      </c>
      <c r="G2464" s="4" t="n">
        <v>1</v>
      </c>
      <c r="H2464" s="4" t="s">
        <v>1327</v>
      </c>
      <c r="I2464" s="4" t="s">
        <v>52</v>
      </c>
      <c r="J2464" s="4" t="n">
        <f aca="false">INDEX('Master List'!$G$2:$G$2594,K2464)</f>
        <v>0</v>
      </c>
      <c r="K2464" s="4" t="n">
        <v>1876</v>
      </c>
    </row>
    <row r="2465" customFormat="false" ht="15" hidden="false" customHeight="false" outlineLevel="0" collapsed="false">
      <c r="A2465" s="4" t="n">
        <v>2464</v>
      </c>
      <c r="B2465" s="4" t="s">
        <v>3676</v>
      </c>
      <c r="C2465" s="4" t="n">
        <v>1993</v>
      </c>
      <c r="D2465" s="4" t="s">
        <v>2550</v>
      </c>
      <c r="E2465" s="25" t="str">
        <f aca="false">IF(J2465=1,"✓","")</f>
        <v/>
      </c>
      <c r="F2465" s="4" t="n">
        <v>1</v>
      </c>
      <c r="G2465" s="4" t="n">
        <v>1</v>
      </c>
      <c r="H2465" s="4" t="s">
        <v>1327</v>
      </c>
      <c r="I2465" s="4" t="s">
        <v>54</v>
      </c>
      <c r="J2465" s="4" t="n">
        <f aca="false">INDEX('Master List'!$G$2:$G$2594,K2465)</f>
        <v>0</v>
      </c>
      <c r="K2465" s="4" t="n">
        <v>2343</v>
      </c>
    </row>
    <row r="2466" customFormat="false" ht="15" hidden="false" customHeight="false" outlineLevel="0" collapsed="false">
      <c r="A2466" s="4" t="n">
        <v>2465</v>
      </c>
      <c r="B2466" s="4" t="s">
        <v>3677</v>
      </c>
      <c r="C2466" s="4" t="n">
        <v>1993</v>
      </c>
      <c r="D2466" s="4" t="s">
        <v>3668</v>
      </c>
      <c r="E2466" s="25" t="str">
        <f aca="false">IF(J2466=1,"✓","")</f>
        <v/>
      </c>
      <c r="F2466" s="4" t="n">
        <v>1</v>
      </c>
      <c r="G2466" s="4" t="n">
        <v>1</v>
      </c>
      <c r="H2466" s="4" t="s">
        <v>1327</v>
      </c>
      <c r="I2466" s="4" t="s">
        <v>55</v>
      </c>
      <c r="J2466" s="4" t="n">
        <f aca="false">INDEX('Master List'!$G$2:$G$2594,K2466)</f>
        <v>0</v>
      </c>
      <c r="K2466" s="4" t="n">
        <v>2539</v>
      </c>
    </row>
    <row r="2467" customFormat="false" ht="15" hidden="false" customHeight="false" outlineLevel="0" collapsed="false">
      <c r="A2467" s="4" t="n">
        <v>2466</v>
      </c>
      <c r="B2467" s="4" t="s">
        <v>3678</v>
      </c>
      <c r="C2467" s="4" t="n">
        <v>1993</v>
      </c>
      <c r="D2467" s="4" t="s">
        <v>3679</v>
      </c>
      <c r="E2467" s="25" t="str">
        <f aca="false">IF(J2467=1,"✓","")</f>
        <v/>
      </c>
      <c r="F2467" s="4" t="n">
        <v>1</v>
      </c>
      <c r="G2467" s="4" t="n">
        <v>1</v>
      </c>
      <c r="H2467" s="4" t="s">
        <v>1327</v>
      </c>
      <c r="I2467" s="4" t="s">
        <v>55</v>
      </c>
      <c r="J2467" s="4" t="n">
        <f aca="false">INDEX('Master List'!$G$2:$G$2594,K2467)</f>
        <v>0</v>
      </c>
      <c r="K2467" s="4" t="n">
        <v>474</v>
      </c>
    </row>
    <row r="2468" customFormat="false" ht="15" hidden="false" customHeight="false" outlineLevel="0" collapsed="false">
      <c r="A2468" s="4" t="n">
        <v>2467</v>
      </c>
      <c r="B2468" s="4" t="s">
        <v>3680</v>
      </c>
      <c r="C2468" s="4" t="n">
        <v>1994</v>
      </c>
      <c r="D2468" s="4" t="s">
        <v>3681</v>
      </c>
      <c r="E2468" s="25" t="str">
        <f aca="false">IF(J2468=1,"✓","")</f>
        <v/>
      </c>
      <c r="F2468" s="4" t="n">
        <v>1</v>
      </c>
      <c r="G2468" s="4" t="n">
        <v>1</v>
      </c>
      <c r="H2468" s="4" t="s">
        <v>1327</v>
      </c>
      <c r="I2468" s="4" t="s">
        <v>52</v>
      </c>
      <c r="J2468" s="4" t="n">
        <f aca="false">INDEX('Master List'!$G$2:$G$2594,K2468)</f>
        <v>0</v>
      </c>
      <c r="K2468" s="4" t="n">
        <v>1370</v>
      </c>
    </row>
    <row r="2469" customFormat="false" ht="15" hidden="false" customHeight="false" outlineLevel="0" collapsed="false">
      <c r="A2469" s="4" t="n">
        <v>2468</v>
      </c>
      <c r="B2469" s="4" t="s">
        <v>3682</v>
      </c>
      <c r="C2469" s="4" t="n">
        <v>1994</v>
      </c>
      <c r="D2469" s="4" t="s">
        <v>867</v>
      </c>
      <c r="E2469" s="25" t="str">
        <f aca="false">IF(J2469=1,"✓","")</f>
        <v/>
      </c>
      <c r="F2469" s="4" t="n">
        <v>1</v>
      </c>
      <c r="G2469" s="4" t="n">
        <v>1</v>
      </c>
      <c r="H2469" s="4" t="s">
        <v>1327</v>
      </c>
      <c r="I2469" s="4" t="s">
        <v>53</v>
      </c>
      <c r="J2469" s="4" t="n">
        <f aca="false">INDEX('Master List'!$G$2:$G$2594,K2469)</f>
        <v>0</v>
      </c>
      <c r="K2469" s="4" t="n">
        <v>1913</v>
      </c>
    </row>
    <row r="2470" customFormat="false" ht="15" hidden="false" customHeight="false" outlineLevel="0" collapsed="false">
      <c r="A2470" s="4" t="n">
        <v>2469</v>
      </c>
      <c r="B2470" s="4" t="s">
        <v>3683</v>
      </c>
      <c r="C2470" s="4" t="n">
        <v>1994</v>
      </c>
      <c r="D2470" s="4" t="s">
        <v>3684</v>
      </c>
      <c r="E2470" s="25" t="str">
        <f aca="false">IF(J2470=1,"✓","")</f>
        <v/>
      </c>
      <c r="F2470" s="4" t="n">
        <v>1</v>
      </c>
      <c r="G2470" s="4" t="n">
        <v>1</v>
      </c>
      <c r="H2470" s="4" t="s">
        <v>1327</v>
      </c>
      <c r="I2470" s="4" t="s">
        <v>54</v>
      </c>
      <c r="J2470" s="4" t="n">
        <f aca="false">INDEX('Master List'!$G$2:$G$2594,K2470)</f>
        <v>0</v>
      </c>
      <c r="K2470" s="4" t="n">
        <v>907</v>
      </c>
    </row>
    <row r="2471" customFormat="false" ht="15" hidden="false" customHeight="false" outlineLevel="0" collapsed="false">
      <c r="A2471" s="4" t="n">
        <v>2470</v>
      </c>
      <c r="B2471" s="4" t="s">
        <v>3685</v>
      </c>
      <c r="C2471" s="4" t="n">
        <v>1994</v>
      </c>
      <c r="D2471" s="4" t="s">
        <v>359</v>
      </c>
      <c r="E2471" s="25" t="str">
        <f aca="false">IF(J2471=1,"✓","")</f>
        <v/>
      </c>
      <c r="F2471" s="4" t="n">
        <v>1</v>
      </c>
      <c r="G2471" s="4" t="n">
        <v>1</v>
      </c>
      <c r="H2471" s="4" t="s">
        <v>1327</v>
      </c>
      <c r="I2471" s="4" t="s">
        <v>58</v>
      </c>
      <c r="J2471" s="4" t="n">
        <f aca="false">INDEX('Master List'!$G$2:$G$2594,K2471)</f>
        <v>0</v>
      </c>
      <c r="K2471" s="4" t="n">
        <v>1284</v>
      </c>
    </row>
    <row r="2472" customFormat="false" ht="15" hidden="false" customHeight="false" outlineLevel="0" collapsed="false">
      <c r="A2472" s="4" t="n">
        <v>2471</v>
      </c>
      <c r="B2472" s="4" t="s">
        <v>3686</v>
      </c>
      <c r="C2472" s="4" t="n">
        <v>1995</v>
      </c>
      <c r="D2472" s="4" t="s">
        <v>624</v>
      </c>
      <c r="E2472" s="25" t="str">
        <f aca="false">IF(J2472=1,"✓","")</f>
        <v/>
      </c>
      <c r="F2472" s="4" t="n">
        <v>1</v>
      </c>
      <c r="G2472" s="4" t="n">
        <v>1</v>
      </c>
      <c r="H2472" s="4" t="s">
        <v>1327</v>
      </c>
      <c r="I2472" s="4" t="s">
        <v>50</v>
      </c>
      <c r="J2472" s="4" t="n">
        <f aca="false">INDEX('Master List'!$G$2:$G$2594,K2472)</f>
        <v>0</v>
      </c>
      <c r="K2472" s="4" t="n">
        <v>2480</v>
      </c>
    </row>
    <row r="2473" customFormat="false" ht="15" hidden="false" customHeight="false" outlineLevel="0" collapsed="false">
      <c r="A2473" s="4" t="n">
        <v>2472</v>
      </c>
      <c r="B2473" s="4" t="s">
        <v>3687</v>
      </c>
      <c r="C2473" s="4" t="n">
        <v>1995</v>
      </c>
      <c r="D2473" s="4" t="s">
        <v>2523</v>
      </c>
      <c r="E2473" s="25" t="str">
        <f aca="false">IF(J2473=1,"✓","")</f>
        <v/>
      </c>
      <c r="F2473" s="4" t="n">
        <v>1</v>
      </c>
      <c r="G2473" s="4" t="n">
        <v>1</v>
      </c>
      <c r="H2473" s="4" t="s">
        <v>1327</v>
      </c>
      <c r="I2473" s="4" t="s">
        <v>51</v>
      </c>
      <c r="J2473" s="4" t="n">
        <f aca="false">INDEX('Master List'!$G$2:$G$2594,K2473)</f>
        <v>0</v>
      </c>
      <c r="K2473" s="4" t="n">
        <v>278</v>
      </c>
    </row>
    <row r="2474" customFormat="false" ht="15" hidden="false" customHeight="false" outlineLevel="0" collapsed="false">
      <c r="A2474" s="4" t="n">
        <v>2473</v>
      </c>
      <c r="B2474" s="4" t="s">
        <v>3688</v>
      </c>
      <c r="C2474" s="4" t="n">
        <v>1995</v>
      </c>
      <c r="D2474" s="4" t="s">
        <v>3689</v>
      </c>
      <c r="E2474" s="25" t="str">
        <f aca="false">IF(J2474=1,"✓","")</f>
        <v/>
      </c>
      <c r="F2474" s="4" t="n">
        <v>1</v>
      </c>
      <c r="G2474" s="4" t="n">
        <v>1</v>
      </c>
      <c r="H2474" s="4" t="s">
        <v>1327</v>
      </c>
      <c r="I2474" s="4" t="s">
        <v>52</v>
      </c>
      <c r="J2474" s="4" t="n">
        <f aca="false">INDEX('Master List'!$G$2:$G$2594,K2474)</f>
        <v>0</v>
      </c>
      <c r="K2474" s="4" t="n">
        <v>1214</v>
      </c>
    </row>
    <row r="2475" customFormat="false" ht="15" hidden="false" customHeight="false" outlineLevel="0" collapsed="false">
      <c r="A2475" s="4" t="n">
        <v>2474</v>
      </c>
      <c r="B2475" s="4" t="s">
        <v>3690</v>
      </c>
      <c r="C2475" s="4" t="n">
        <v>1995</v>
      </c>
      <c r="D2475" s="4" t="s">
        <v>3691</v>
      </c>
      <c r="E2475" s="25" t="str">
        <f aca="false">IF(J2475=1,"✓","")</f>
        <v/>
      </c>
      <c r="F2475" s="4" t="n">
        <v>1</v>
      </c>
      <c r="G2475" s="4" t="n">
        <v>1</v>
      </c>
      <c r="H2475" s="4" t="s">
        <v>1327</v>
      </c>
      <c r="I2475" s="4" t="s">
        <v>52</v>
      </c>
      <c r="J2475" s="4" t="n">
        <f aca="false">INDEX('Master List'!$G$2:$G$2594,K2475)</f>
        <v>0</v>
      </c>
      <c r="K2475" s="4" t="n">
        <v>836</v>
      </c>
    </row>
    <row r="2476" customFormat="false" ht="15" hidden="false" customHeight="false" outlineLevel="0" collapsed="false">
      <c r="A2476" s="4" t="n">
        <v>2475</v>
      </c>
      <c r="B2476" s="4" t="s">
        <v>3692</v>
      </c>
      <c r="C2476" s="4" t="n">
        <v>1995</v>
      </c>
      <c r="D2476" s="4" t="s">
        <v>3693</v>
      </c>
      <c r="E2476" s="25" t="str">
        <f aca="false">IF(J2476=1,"✓","")</f>
        <v/>
      </c>
      <c r="F2476" s="4" t="n">
        <v>1</v>
      </c>
      <c r="G2476" s="4" t="n">
        <v>1</v>
      </c>
      <c r="H2476" s="4" t="s">
        <v>1327</v>
      </c>
      <c r="I2476" s="4" t="s">
        <v>53</v>
      </c>
      <c r="J2476" s="4" t="n">
        <f aca="false">INDEX('Master List'!$G$2:$G$2594,K2476)</f>
        <v>0</v>
      </c>
      <c r="K2476" s="4" t="n">
        <v>2499</v>
      </c>
    </row>
    <row r="2477" customFormat="false" ht="15" hidden="false" customHeight="false" outlineLevel="0" collapsed="false">
      <c r="A2477" s="4" t="n">
        <v>2476</v>
      </c>
      <c r="B2477" s="4" t="s">
        <v>3694</v>
      </c>
      <c r="C2477" s="4" t="n">
        <v>1996</v>
      </c>
      <c r="D2477" s="4" t="s">
        <v>490</v>
      </c>
      <c r="E2477" s="25" t="str">
        <f aca="false">IF(J2477=1,"✓","")</f>
        <v>✓</v>
      </c>
      <c r="F2477" s="4" t="n">
        <v>1</v>
      </c>
      <c r="G2477" s="4" t="n">
        <v>1</v>
      </c>
      <c r="H2477" s="4" t="s">
        <v>1327</v>
      </c>
      <c r="I2477" s="4" t="s">
        <v>53</v>
      </c>
      <c r="J2477" s="4" t="n">
        <f aca="false">INDEX('Master List'!$G$2:$G$2594,K2477)</f>
        <v>1</v>
      </c>
      <c r="K2477" s="4" t="n">
        <v>1990</v>
      </c>
    </row>
    <row r="2478" customFormat="false" ht="15" hidden="false" customHeight="false" outlineLevel="0" collapsed="false">
      <c r="A2478" s="4" t="n">
        <v>2477</v>
      </c>
      <c r="B2478" s="4" t="s">
        <v>3695</v>
      </c>
      <c r="C2478" s="4" t="n">
        <v>1996</v>
      </c>
      <c r="D2478" s="4" t="s">
        <v>3696</v>
      </c>
      <c r="E2478" s="25" t="str">
        <f aca="false">IF(J2478=1,"✓","")</f>
        <v/>
      </c>
      <c r="F2478" s="4" t="n">
        <v>1</v>
      </c>
      <c r="G2478" s="4" t="n">
        <v>1</v>
      </c>
      <c r="H2478" s="4" t="s">
        <v>1327</v>
      </c>
      <c r="I2478" s="4" t="s">
        <v>56</v>
      </c>
      <c r="J2478" s="4" t="n">
        <f aca="false">INDEX('Master List'!$G$2:$G$2594,K2478)</f>
        <v>0</v>
      </c>
      <c r="K2478" s="4" t="n">
        <v>207</v>
      </c>
    </row>
    <row r="2479" customFormat="false" ht="15" hidden="false" customHeight="false" outlineLevel="0" collapsed="false">
      <c r="A2479" s="4" t="n">
        <v>2478</v>
      </c>
      <c r="B2479" s="4" t="s">
        <v>3697</v>
      </c>
      <c r="C2479" s="4" t="n">
        <v>1997</v>
      </c>
      <c r="D2479" s="4" t="s">
        <v>3698</v>
      </c>
      <c r="E2479" s="25" t="str">
        <f aca="false">IF(J2479=1,"✓","")</f>
        <v/>
      </c>
      <c r="F2479" s="4" t="n">
        <v>1</v>
      </c>
      <c r="G2479" s="4" t="n">
        <v>1</v>
      </c>
      <c r="H2479" s="4" t="s">
        <v>1327</v>
      </c>
      <c r="I2479" s="4" t="s">
        <v>51</v>
      </c>
      <c r="J2479" s="4" t="n">
        <f aca="false">INDEX('Master List'!$G$2:$G$2594,K2479)</f>
        <v>0</v>
      </c>
      <c r="K2479" s="4" t="n">
        <v>1411</v>
      </c>
    </row>
    <row r="2480" customFormat="false" ht="15" hidden="false" customHeight="false" outlineLevel="0" collapsed="false">
      <c r="A2480" s="4" t="n">
        <v>2479</v>
      </c>
      <c r="B2480" s="4" t="s">
        <v>3699</v>
      </c>
      <c r="C2480" s="4" t="n">
        <v>1997</v>
      </c>
      <c r="D2480" s="4" t="s">
        <v>2451</v>
      </c>
      <c r="E2480" s="25" t="str">
        <f aca="false">IF(J2480=1,"✓","")</f>
        <v/>
      </c>
      <c r="F2480" s="4" t="n">
        <v>1</v>
      </c>
      <c r="G2480" s="4" t="n">
        <v>1</v>
      </c>
      <c r="H2480" s="4" t="s">
        <v>1327</v>
      </c>
      <c r="I2480" s="4" t="s">
        <v>52</v>
      </c>
      <c r="J2480" s="4" t="n">
        <f aca="false">INDEX('Master List'!$G$2:$G$2594,K2480)</f>
        <v>0</v>
      </c>
      <c r="K2480" s="4" t="n">
        <v>2126</v>
      </c>
    </row>
    <row r="2481" customFormat="false" ht="15" hidden="false" customHeight="false" outlineLevel="0" collapsed="false">
      <c r="A2481" s="4" t="n">
        <v>2480</v>
      </c>
      <c r="B2481" s="4" t="s">
        <v>3700</v>
      </c>
      <c r="C2481" s="4" t="n">
        <v>1997</v>
      </c>
      <c r="D2481" s="4" t="s">
        <v>3701</v>
      </c>
      <c r="E2481" s="25" t="str">
        <f aca="false">IF(J2481=1,"✓","")</f>
        <v/>
      </c>
      <c r="F2481" s="4" t="n">
        <v>1</v>
      </c>
      <c r="G2481" s="4" t="n">
        <v>1</v>
      </c>
      <c r="H2481" s="4" t="s">
        <v>1327</v>
      </c>
      <c r="I2481" s="4" t="s">
        <v>56</v>
      </c>
      <c r="J2481" s="4" t="n">
        <f aca="false">INDEX('Master List'!$G$2:$G$2594,K2481)</f>
        <v>0</v>
      </c>
      <c r="K2481" s="4" t="n">
        <v>1153</v>
      </c>
    </row>
    <row r="2482" customFormat="false" ht="15" hidden="false" customHeight="false" outlineLevel="0" collapsed="false">
      <c r="A2482" s="4" t="n">
        <v>2481</v>
      </c>
      <c r="B2482" s="4" t="s">
        <v>3702</v>
      </c>
      <c r="C2482" s="4" t="n">
        <v>1998</v>
      </c>
      <c r="D2482" s="4" t="s">
        <v>3703</v>
      </c>
      <c r="E2482" s="25" t="str">
        <f aca="false">IF(J2482=1,"✓","")</f>
        <v/>
      </c>
      <c r="F2482" s="4" t="n">
        <v>1</v>
      </c>
      <c r="G2482" s="4" t="n">
        <v>1</v>
      </c>
      <c r="H2482" s="4" t="s">
        <v>1327</v>
      </c>
      <c r="I2482" s="4" t="s">
        <v>51</v>
      </c>
      <c r="J2482" s="4" t="n">
        <f aca="false">INDEX('Master List'!$G$2:$G$2594,K2482)</f>
        <v>0</v>
      </c>
      <c r="K2482" s="4" t="n">
        <v>454</v>
      </c>
    </row>
    <row r="2483" customFormat="false" ht="15" hidden="false" customHeight="false" outlineLevel="0" collapsed="false">
      <c r="A2483" s="4" t="n">
        <v>2482</v>
      </c>
      <c r="B2483" s="4" t="s">
        <v>3704</v>
      </c>
      <c r="C2483" s="4" t="n">
        <v>1998</v>
      </c>
      <c r="D2483" s="4" t="s">
        <v>3638</v>
      </c>
      <c r="E2483" s="25" t="str">
        <f aca="false">IF(J2483=1,"✓","")</f>
        <v/>
      </c>
      <c r="F2483" s="4" t="n">
        <v>1</v>
      </c>
      <c r="G2483" s="4" t="n">
        <v>1</v>
      </c>
      <c r="H2483" s="4" t="s">
        <v>1327</v>
      </c>
      <c r="I2483" s="4" t="s">
        <v>52</v>
      </c>
      <c r="J2483" s="4" t="n">
        <f aca="false">INDEX('Master List'!$G$2:$G$2594,K2483)</f>
        <v>0</v>
      </c>
      <c r="K2483" s="4" t="n">
        <v>2518</v>
      </c>
    </row>
    <row r="2484" customFormat="false" ht="15" hidden="false" customHeight="false" outlineLevel="0" collapsed="false">
      <c r="A2484" s="4" t="n">
        <v>2483</v>
      </c>
      <c r="B2484" s="4" t="s">
        <v>3705</v>
      </c>
      <c r="C2484" s="4" t="n">
        <v>1998</v>
      </c>
      <c r="D2484" s="4" t="s">
        <v>1165</v>
      </c>
      <c r="E2484" s="25" t="str">
        <f aca="false">IF(J2484=1,"✓","")</f>
        <v/>
      </c>
      <c r="F2484" s="4" t="n">
        <v>1</v>
      </c>
      <c r="G2484" s="4" t="n">
        <v>1</v>
      </c>
      <c r="H2484" s="4" t="s">
        <v>1327</v>
      </c>
      <c r="I2484" s="4" t="s">
        <v>53</v>
      </c>
      <c r="J2484" s="4" t="n">
        <f aca="false">INDEX('Master List'!$G$2:$G$2594,K2484)</f>
        <v>0</v>
      </c>
      <c r="K2484" s="4" t="n">
        <v>1049</v>
      </c>
    </row>
    <row r="2485" customFormat="false" ht="15" hidden="false" customHeight="false" outlineLevel="0" collapsed="false">
      <c r="A2485" s="4" t="n">
        <v>2484</v>
      </c>
      <c r="B2485" s="4" t="s">
        <v>3706</v>
      </c>
      <c r="C2485" s="4" t="n">
        <v>1999</v>
      </c>
      <c r="D2485" s="4" t="s">
        <v>3707</v>
      </c>
      <c r="E2485" s="25" t="str">
        <f aca="false">IF(J2485=1,"✓","")</f>
        <v/>
      </c>
      <c r="F2485" s="4" t="n">
        <v>1</v>
      </c>
      <c r="G2485" s="4" t="n">
        <v>1</v>
      </c>
      <c r="H2485" s="4" t="s">
        <v>1327</v>
      </c>
      <c r="I2485" s="4" t="s">
        <v>51</v>
      </c>
      <c r="J2485" s="4" t="n">
        <f aca="false">INDEX('Master List'!$G$2:$G$2594,K2485)</f>
        <v>0</v>
      </c>
      <c r="K2485" s="4" t="n">
        <v>1085</v>
      </c>
    </row>
    <row r="2486" customFormat="false" ht="15" hidden="false" customHeight="false" outlineLevel="0" collapsed="false">
      <c r="A2486" s="4" t="n">
        <v>2485</v>
      </c>
      <c r="B2486" s="4" t="s">
        <v>3708</v>
      </c>
      <c r="C2486" s="4" t="n">
        <v>1999</v>
      </c>
      <c r="D2486" s="4" t="s">
        <v>1179</v>
      </c>
      <c r="E2486" s="25" t="str">
        <f aca="false">IF(J2486=1,"✓","")</f>
        <v>✓</v>
      </c>
      <c r="F2486" s="4" t="n">
        <v>1</v>
      </c>
      <c r="G2486" s="4" t="n">
        <v>1</v>
      </c>
      <c r="H2486" s="4" t="s">
        <v>1327</v>
      </c>
      <c r="I2486" s="4" t="s">
        <v>52</v>
      </c>
      <c r="J2486" s="4" t="n">
        <f aca="false">INDEX('Master List'!$G$2:$G$2594,K2486)</f>
        <v>1</v>
      </c>
      <c r="K2486" s="4" t="n">
        <v>1166</v>
      </c>
    </row>
    <row r="2487" customFormat="false" ht="15" hidden="false" customHeight="false" outlineLevel="0" collapsed="false">
      <c r="A2487" s="4" t="n">
        <v>2486</v>
      </c>
      <c r="B2487" s="4" t="s">
        <v>3709</v>
      </c>
      <c r="C2487" s="4" t="n">
        <v>1999</v>
      </c>
      <c r="D2487" s="4" t="s">
        <v>3710</v>
      </c>
      <c r="E2487" s="25" t="str">
        <f aca="false">IF(J2487=1,"✓","")</f>
        <v/>
      </c>
      <c r="F2487" s="4" t="n">
        <v>1</v>
      </c>
      <c r="G2487" s="4" t="n">
        <v>1</v>
      </c>
      <c r="H2487" s="4" t="s">
        <v>1327</v>
      </c>
      <c r="I2487" s="4" t="s">
        <v>52</v>
      </c>
      <c r="J2487" s="4" t="n">
        <f aca="false">INDEX('Master List'!$G$2:$G$2594,K2487)</f>
        <v>0</v>
      </c>
      <c r="K2487" s="4" t="n">
        <v>93</v>
      </c>
    </row>
    <row r="2488" customFormat="false" ht="15" hidden="false" customHeight="false" outlineLevel="0" collapsed="false">
      <c r="A2488" s="4" t="n">
        <v>2487</v>
      </c>
      <c r="B2488" s="4" t="s">
        <v>3711</v>
      </c>
      <c r="C2488" s="4" t="n">
        <v>1999</v>
      </c>
      <c r="D2488" s="4" t="s">
        <v>164</v>
      </c>
      <c r="E2488" s="25" t="str">
        <f aca="false">IF(J2488=1,"✓","")</f>
        <v>✓</v>
      </c>
      <c r="F2488" s="4" t="n">
        <v>1</v>
      </c>
      <c r="G2488" s="4" t="n">
        <v>1</v>
      </c>
      <c r="H2488" s="4" t="s">
        <v>1327</v>
      </c>
      <c r="I2488" s="4" t="s">
        <v>53</v>
      </c>
      <c r="J2488" s="4" t="n">
        <f aca="false">INDEX('Master List'!$G$2:$G$2594,K2488)</f>
        <v>1</v>
      </c>
      <c r="K2488" s="4" t="n">
        <v>352</v>
      </c>
    </row>
    <row r="2489" customFormat="false" ht="15" hidden="false" customHeight="false" outlineLevel="0" collapsed="false">
      <c r="A2489" s="4" t="n">
        <v>2488</v>
      </c>
      <c r="B2489" s="4" t="s">
        <v>3712</v>
      </c>
      <c r="C2489" s="4" t="n">
        <v>1999</v>
      </c>
      <c r="D2489" s="4" t="s">
        <v>148</v>
      </c>
      <c r="E2489" s="25" t="str">
        <f aca="false">IF(J2489=1,"✓","")</f>
        <v/>
      </c>
      <c r="F2489" s="4" t="n">
        <v>1</v>
      </c>
      <c r="G2489" s="4" t="n">
        <v>1</v>
      </c>
      <c r="H2489" s="4" t="s">
        <v>1327</v>
      </c>
      <c r="I2489" s="4" t="s">
        <v>53</v>
      </c>
      <c r="J2489" s="4" t="n">
        <f aca="false">INDEX('Master List'!$G$2:$G$2594,K2489)</f>
        <v>0</v>
      </c>
      <c r="K2489" s="4" t="n">
        <v>2196</v>
      </c>
    </row>
    <row r="2490" customFormat="false" ht="15" hidden="false" customHeight="false" outlineLevel="0" collapsed="false">
      <c r="A2490" s="4" t="n">
        <v>2489</v>
      </c>
      <c r="B2490" s="4" t="s">
        <v>3713</v>
      </c>
      <c r="C2490" s="4" t="n">
        <v>2000</v>
      </c>
      <c r="D2490" s="4" t="s">
        <v>3714</v>
      </c>
      <c r="E2490" s="25" t="str">
        <f aca="false">IF(J2490=1,"✓","")</f>
        <v/>
      </c>
      <c r="F2490" s="4" t="n">
        <v>1</v>
      </c>
      <c r="G2490" s="4" t="n">
        <v>1</v>
      </c>
      <c r="H2490" s="4" t="s">
        <v>1327</v>
      </c>
      <c r="I2490" s="4" t="s">
        <v>51</v>
      </c>
      <c r="J2490" s="4" t="n">
        <f aca="false">INDEX('Master List'!$G$2:$G$2594,K2490)</f>
        <v>0</v>
      </c>
      <c r="K2490" s="4" t="n">
        <v>747</v>
      </c>
    </row>
    <row r="2491" customFormat="false" ht="15" hidden="false" customHeight="false" outlineLevel="0" collapsed="false">
      <c r="A2491" s="4" t="n">
        <v>2490</v>
      </c>
      <c r="B2491" s="4" t="s">
        <v>3715</v>
      </c>
      <c r="C2491" s="4" t="n">
        <v>2000</v>
      </c>
      <c r="D2491" s="4" t="s">
        <v>3716</v>
      </c>
      <c r="E2491" s="25" t="str">
        <f aca="false">IF(J2491=1,"✓","")</f>
        <v/>
      </c>
      <c r="F2491" s="4" t="n">
        <v>1</v>
      </c>
      <c r="G2491" s="4" t="n">
        <v>1</v>
      </c>
      <c r="H2491" s="4" t="s">
        <v>1327</v>
      </c>
      <c r="I2491" s="4" t="s">
        <v>51</v>
      </c>
      <c r="J2491" s="4" t="n">
        <f aca="false">INDEX('Master List'!$G$2:$G$2594,K2491)</f>
        <v>0</v>
      </c>
      <c r="K2491" s="4" t="n">
        <v>173</v>
      </c>
    </row>
    <row r="2492" customFormat="false" ht="15" hidden="false" customHeight="false" outlineLevel="0" collapsed="false">
      <c r="A2492" s="4" t="n">
        <v>2491</v>
      </c>
      <c r="B2492" s="4" t="s">
        <v>3717</v>
      </c>
      <c r="C2492" s="4" t="n">
        <v>2000</v>
      </c>
      <c r="D2492" s="4" t="s">
        <v>3718</v>
      </c>
      <c r="E2492" s="25" t="str">
        <f aca="false">IF(J2492=1,"✓","")</f>
        <v/>
      </c>
      <c r="F2492" s="4" t="n">
        <v>1</v>
      </c>
      <c r="G2492" s="4" t="n">
        <v>1</v>
      </c>
      <c r="H2492" s="4" t="s">
        <v>1327</v>
      </c>
      <c r="I2492" s="4" t="s">
        <v>51</v>
      </c>
      <c r="J2492" s="4" t="n">
        <f aca="false">INDEX('Master List'!$G$2:$G$2594,K2492)</f>
        <v>0</v>
      </c>
      <c r="K2492" s="4" t="n">
        <v>2211</v>
      </c>
    </row>
    <row r="2493" customFormat="false" ht="15" hidden="false" customHeight="false" outlineLevel="0" collapsed="false">
      <c r="A2493" s="4" t="n">
        <v>2492</v>
      </c>
      <c r="B2493" s="4" t="s">
        <v>3719</v>
      </c>
      <c r="C2493" s="4" t="n">
        <v>2000</v>
      </c>
      <c r="D2493" s="4" t="s">
        <v>148</v>
      </c>
      <c r="E2493" s="25" t="str">
        <f aca="false">IF(J2493=1,"✓","")</f>
        <v/>
      </c>
      <c r="F2493" s="4" t="n">
        <v>1</v>
      </c>
      <c r="G2493" s="4" t="n">
        <v>1</v>
      </c>
      <c r="H2493" s="4" t="s">
        <v>1327</v>
      </c>
      <c r="I2493" s="4" t="s">
        <v>53</v>
      </c>
      <c r="J2493" s="4" t="n">
        <f aca="false">INDEX('Master List'!$G$2:$G$2594,K2493)</f>
        <v>0</v>
      </c>
      <c r="K2493" s="4" t="n">
        <v>181</v>
      </c>
    </row>
    <row r="2494" customFormat="false" ht="15" hidden="false" customHeight="false" outlineLevel="0" collapsed="false">
      <c r="A2494" s="4" t="n">
        <v>2493</v>
      </c>
      <c r="B2494" s="4" t="s">
        <v>3720</v>
      </c>
      <c r="C2494" s="4" t="n">
        <v>2000</v>
      </c>
      <c r="D2494" s="4" t="s">
        <v>185</v>
      </c>
      <c r="E2494" s="25" t="str">
        <f aca="false">IF(J2494=1,"✓","")</f>
        <v/>
      </c>
      <c r="F2494" s="4" t="n">
        <v>1</v>
      </c>
      <c r="G2494" s="4" t="n">
        <v>1</v>
      </c>
      <c r="H2494" s="4" t="s">
        <v>1327</v>
      </c>
      <c r="I2494" s="4" t="s">
        <v>53</v>
      </c>
      <c r="J2494" s="4" t="n">
        <f aca="false">INDEX('Master List'!$G$2:$G$2594,K2494)</f>
        <v>0</v>
      </c>
      <c r="K2494" s="4" t="n">
        <v>394</v>
      </c>
    </row>
    <row r="2495" customFormat="false" ht="15" hidden="false" customHeight="false" outlineLevel="0" collapsed="false">
      <c r="A2495" s="4" t="n">
        <v>2494</v>
      </c>
      <c r="B2495" s="4" t="s">
        <v>3721</v>
      </c>
      <c r="C2495" s="4" t="n">
        <v>2001</v>
      </c>
      <c r="D2495" s="4" t="s">
        <v>3722</v>
      </c>
      <c r="E2495" s="25" t="str">
        <f aca="false">IF(J2495=1,"✓","")</f>
        <v/>
      </c>
      <c r="F2495" s="4" t="n">
        <v>1</v>
      </c>
      <c r="G2495" s="4" t="n">
        <v>1</v>
      </c>
      <c r="H2495" s="4" t="s">
        <v>1327</v>
      </c>
      <c r="I2495" s="4" t="s">
        <v>51</v>
      </c>
      <c r="J2495" s="4" t="n">
        <f aca="false">INDEX('Master List'!$G$2:$G$2594,K2495)</f>
        <v>0</v>
      </c>
      <c r="K2495" s="4" t="n">
        <v>69</v>
      </c>
    </row>
    <row r="2496" customFormat="false" ht="15" hidden="false" customHeight="false" outlineLevel="0" collapsed="false">
      <c r="A2496" s="4" t="n">
        <v>2495</v>
      </c>
      <c r="B2496" s="4" t="s">
        <v>3723</v>
      </c>
      <c r="C2496" s="4" t="n">
        <v>2001</v>
      </c>
      <c r="D2496" s="4" t="s">
        <v>505</v>
      </c>
      <c r="E2496" s="25" t="str">
        <f aca="false">IF(J2496=1,"✓","")</f>
        <v/>
      </c>
      <c r="F2496" s="4" t="n">
        <v>1</v>
      </c>
      <c r="G2496" s="4" t="n">
        <v>1</v>
      </c>
      <c r="H2496" s="4" t="s">
        <v>1327</v>
      </c>
      <c r="I2496" s="4" t="s">
        <v>52</v>
      </c>
      <c r="J2496" s="4" t="n">
        <f aca="false">INDEX('Master List'!$G$2:$G$2594,K2496)</f>
        <v>0</v>
      </c>
      <c r="K2496" s="4" t="n">
        <v>1231</v>
      </c>
    </row>
    <row r="2497" customFormat="false" ht="15" hidden="false" customHeight="false" outlineLevel="0" collapsed="false">
      <c r="A2497" s="4" t="n">
        <v>2496</v>
      </c>
      <c r="B2497" s="4" t="s">
        <v>3724</v>
      </c>
      <c r="C2497" s="4" t="n">
        <v>2001</v>
      </c>
      <c r="D2497" s="4" t="s">
        <v>511</v>
      </c>
      <c r="E2497" s="25" t="str">
        <f aca="false">IF(J2497=1,"✓","")</f>
        <v/>
      </c>
      <c r="F2497" s="4" t="n">
        <v>1</v>
      </c>
      <c r="G2497" s="4" t="n">
        <v>1</v>
      </c>
      <c r="H2497" s="4" t="s">
        <v>1327</v>
      </c>
      <c r="I2497" s="4" t="s">
        <v>53</v>
      </c>
      <c r="J2497" s="4" t="n">
        <f aca="false">INDEX('Master List'!$G$2:$G$2594,K2497)</f>
        <v>0</v>
      </c>
      <c r="K2497" s="4" t="n">
        <v>1084</v>
      </c>
    </row>
    <row r="2498" customFormat="false" ht="15" hidden="false" customHeight="false" outlineLevel="0" collapsed="false">
      <c r="A2498" s="4" t="n">
        <v>2497</v>
      </c>
      <c r="B2498" s="4" t="s">
        <v>3725</v>
      </c>
      <c r="C2498" s="4" t="n">
        <v>2001</v>
      </c>
      <c r="D2498" s="4" t="s">
        <v>1182</v>
      </c>
      <c r="E2498" s="25" t="str">
        <f aca="false">IF(J2498=1,"✓","")</f>
        <v/>
      </c>
      <c r="F2498" s="4" t="n">
        <v>1</v>
      </c>
      <c r="G2498" s="4" t="n">
        <v>1</v>
      </c>
      <c r="H2498" s="4" t="s">
        <v>1327</v>
      </c>
      <c r="I2498" s="4" t="s">
        <v>55</v>
      </c>
      <c r="J2498" s="4" t="n">
        <f aca="false">INDEX('Master List'!$G$2:$G$2594,K2498)</f>
        <v>0</v>
      </c>
      <c r="K2498" s="4" t="n">
        <v>2304</v>
      </c>
    </row>
    <row r="2499" customFormat="false" ht="15" hidden="false" customHeight="false" outlineLevel="0" collapsed="false">
      <c r="A2499" s="4" t="n">
        <v>2498</v>
      </c>
      <c r="B2499" s="4" t="s">
        <v>3726</v>
      </c>
      <c r="C2499" s="4" t="n">
        <v>2001</v>
      </c>
      <c r="D2499" s="4" t="s">
        <v>3727</v>
      </c>
      <c r="E2499" s="25" t="str">
        <f aca="false">IF(J2499=1,"✓","")</f>
        <v/>
      </c>
      <c r="F2499" s="4" t="n">
        <v>1</v>
      </c>
      <c r="G2499" s="4" t="n">
        <v>1</v>
      </c>
      <c r="H2499" s="4" t="s">
        <v>1327</v>
      </c>
      <c r="I2499" s="4" t="s">
        <v>55</v>
      </c>
      <c r="J2499" s="4" t="n">
        <f aca="false">INDEX('Master List'!$G$2:$G$2594,K2499)</f>
        <v>0</v>
      </c>
      <c r="K2499" s="4" t="n">
        <v>790</v>
      </c>
    </row>
    <row r="2500" customFormat="false" ht="15" hidden="false" customHeight="false" outlineLevel="0" collapsed="false">
      <c r="A2500" s="4" t="n">
        <v>2499</v>
      </c>
      <c r="B2500" s="4" t="s">
        <v>3728</v>
      </c>
      <c r="C2500" s="4" t="n">
        <v>2002</v>
      </c>
      <c r="D2500" s="4" t="s">
        <v>488</v>
      </c>
      <c r="E2500" s="25" t="str">
        <f aca="false">IF(J2500=1,"✓","")</f>
        <v/>
      </c>
      <c r="F2500" s="4" t="n">
        <v>1</v>
      </c>
      <c r="G2500" s="4" t="n">
        <v>1</v>
      </c>
      <c r="H2500" s="4" t="s">
        <v>1327</v>
      </c>
      <c r="I2500" s="4" t="s">
        <v>53</v>
      </c>
      <c r="J2500" s="4" t="n">
        <f aca="false">INDEX('Master List'!$G$2:$G$2594,K2500)</f>
        <v>0</v>
      </c>
      <c r="K2500" s="4" t="n">
        <v>801</v>
      </c>
    </row>
    <row r="2501" customFormat="false" ht="15" hidden="false" customHeight="false" outlineLevel="0" collapsed="false">
      <c r="A2501" s="4" t="n">
        <v>2500</v>
      </c>
      <c r="B2501" s="4" t="s">
        <v>3729</v>
      </c>
      <c r="C2501" s="4" t="n">
        <v>2002</v>
      </c>
      <c r="D2501" s="4" t="s">
        <v>316</v>
      </c>
      <c r="E2501" s="25" t="str">
        <f aca="false">IF(J2501=1,"✓","")</f>
        <v/>
      </c>
      <c r="F2501" s="4" t="n">
        <v>1</v>
      </c>
      <c r="G2501" s="4" t="n">
        <v>1</v>
      </c>
      <c r="H2501" s="4" t="s">
        <v>1327</v>
      </c>
      <c r="I2501" s="4" t="s">
        <v>53</v>
      </c>
      <c r="J2501" s="4" t="n">
        <f aca="false">INDEX('Master List'!$G$2:$G$2594,K2501)</f>
        <v>0</v>
      </c>
      <c r="K2501" s="4" t="n">
        <v>2131</v>
      </c>
    </row>
    <row r="2502" customFormat="false" ht="15" hidden="false" customHeight="false" outlineLevel="0" collapsed="false">
      <c r="A2502" s="4" t="n">
        <v>2501</v>
      </c>
      <c r="B2502" s="4" t="s">
        <v>3700</v>
      </c>
      <c r="C2502" s="4" t="n">
        <v>2002</v>
      </c>
      <c r="D2502" s="4" t="s">
        <v>342</v>
      </c>
      <c r="E2502" s="25" t="str">
        <f aca="false">IF(J2502=1,"✓","")</f>
        <v/>
      </c>
      <c r="F2502" s="4" t="n">
        <v>1</v>
      </c>
      <c r="G2502" s="4" t="n">
        <v>1</v>
      </c>
      <c r="H2502" s="4" t="s">
        <v>1327</v>
      </c>
      <c r="I2502" s="4" t="s">
        <v>53</v>
      </c>
      <c r="J2502" s="4" t="n">
        <f aca="false">INDEX('Master List'!$G$2:$G$2594,K2502)</f>
        <v>0</v>
      </c>
      <c r="K2502" s="4" t="n">
        <v>1154</v>
      </c>
    </row>
    <row r="2503" customFormat="false" ht="15" hidden="false" customHeight="false" outlineLevel="0" collapsed="false">
      <c r="A2503" s="4" t="n">
        <v>2502</v>
      </c>
      <c r="B2503" s="4" t="s">
        <v>3730</v>
      </c>
      <c r="C2503" s="4" t="n">
        <v>2002</v>
      </c>
      <c r="D2503" s="4" t="s">
        <v>3731</v>
      </c>
      <c r="E2503" s="25" t="str">
        <f aca="false">IF(J2503=1,"✓","")</f>
        <v/>
      </c>
      <c r="F2503" s="4" t="n">
        <v>1</v>
      </c>
      <c r="G2503" s="4" t="n">
        <v>1</v>
      </c>
      <c r="H2503" s="4" t="s">
        <v>1327</v>
      </c>
      <c r="I2503" s="4" t="s">
        <v>55</v>
      </c>
      <c r="J2503" s="4" t="n">
        <f aca="false">INDEX('Master List'!$G$2:$G$2594,K2503)</f>
        <v>0</v>
      </c>
      <c r="K2503" s="4" t="n">
        <v>746</v>
      </c>
    </row>
    <row r="2504" customFormat="false" ht="15" hidden="false" customHeight="false" outlineLevel="0" collapsed="false">
      <c r="A2504" s="4" t="n">
        <v>2503</v>
      </c>
      <c r="B2504" s="4" t="s">
        <v>3732</v>
      </c>
      <c r="C2504" s="4" t="n">
        <v>2003</v>
      </c>
      <c r="D2504" s="4" t="s">
        <v>827</v>
      </c>
      <c r="E2504" s="25" t="str">
        <f aca="false">IF(J2504=1,"✓","")</f>
        <v/>
      </c>
      <c r="F2504" s="4" t="n">
        <v>1</v>
      </c>
      <c r="G2504" s="4" t="n">
        <v>1</v>
      </c>
      <c r="H2504" s="4" t="s">
        <v>1327</v>
      </c>
      <c r="I2504" s="4" t="s">
        <v>49</v>
      </c>
      <c r="J2504" s="4" t="n">
        <f aca="false">INDEX('Master List'!$G$2:$G$2594,K2504)</f>
        <v>0</v>
      </c>
      <c r="K2504" s="4" t="n">
        <v>717</v>
      </c>
    </row>
    <row r="2505" customFormat="false" ht="15" hidden="false" customHeight="false" outlineLevel="0" collapsed="false">
      <c r="A2505" s="4" t="n">
        <v>2504</v>
      </c>
      <c r="B2505" s="4" t="s">
        <v>3733</v>
      </c>
      <c r="C2505" s="4" t="n">
        <v>2003</v>
      </c>
      <c r="D2505" s="4" t="s">
        <v>831</v>
      </c>
      <c r="E2505" s="25" t="str">
        <f aca="false">IF(J2505=1,"✓","")</f>
        <v/>
      </c>
      <c r="F2505" s="4" t="n">
        <v>1</v>
      </c>
      <c r="G2505" s="4" t="n">
        <v>1</v>
      </c>
      <c r="H2505" s="4" t="s">
        <v>1327</v>
      </c>
      <c r="I2505" s="4" t="s">
        <v>51</v>
      </c>
      <c r="J2505" s="4" t="n">
        <f aca="false">INDEX('Master List'!$G$2:$G$2594,K2505)</f>
        <v>0</v>
      </c>
      <c r="K2505" s="4" t="n">
        <v>2584</v>
      </c>
    </row>
    <row r="2506" customFormat="false" ht="15" hidden="false" customHeight="false" outlineLevel="0" collapsed="false">
      <c r="A2506" s="4" t="n">
        <v>2505</v>
      </c>
      <c r="B2506" s="4" t="s">
        <v>3734</v>
      </c>
      <c r="C2506" s="4" t="n">
        <v>2003</v>
      </c>
      <c r="D2506" s="4" t="s">
        <v>3707</v>
      </c>
      <c r="E2506" s="25" t="str">
        <f aca="false">IF(J2506=1,"✓","")</f>
        <v/>
      </c>
      <c r="F2506" s="4" t="n">
        <v>1</v>
      </c>
      <c r="G2506" s="4" t="n">
        <v>1</v>
      </c>
      <c r="H2506" s="4" t="s">
        <v>1327</v>
      </c>
      <c r="I2506" s="4" t="s">
        <v>51</v>
      </c>
      <c r="J2506" s="4" t="n">
        <f aca="false">INDEX('Master List'!$G$2:$G$2594,K2506)</f>
        <v>0</v>
      </c>
      <c r="K2506" s="4" t="n">
        <v>2385</v>
      </c>
    </row>
    <row r="2507" customFormat="false" ht="15" hidden="false" customHeight="false" outlineLevel="0" collapsed="false">
      <c r="A2507" s="4" t="n">
        <v>2506</v>
      </c>
      <c r="B2507" s="4" t="s">
        <v>3735</v>
      </c>
      <c r="C2507" s="4" t="n">
        <v>2003</v>
      </c>
      <c r="D2507" s="4" t="s">
        <v>3736</v>
      </c>
      <c r="E2507" s="25" t="str">
        <f aca="false">IF(J2507=1,"✓","")</f>
        <v/>
      </c>
      <c r="F2507" s="4" t="n">
        <v>1</v>
      </c>
      <c r="G2507" s="4" t="n">
        <v>1</v>
      </c>
      <c r="H2507" s="4" t="s">
        <v>1327</v>
      </c>
      <c r="I2507" s="4" t="s">
        <v>51</v>
      </c>
      <c r="J2507" s="4" t="n">
        <f aca="false">INDEX('Master List'!$G$2:$G$2594,K2507)</f>
        <v>0</v>
      </c>
      <c r="K2507" s="4" t="n">
        <v>924</v>
      </c>
    </row>
    <row r="2508" customFormat="false" ht="15" hidden="false" customHeight="false" outlineLevel="0" collapsed="false">
      <c r="A2508" s="4" t="n">
        <v>2507</v>
      </c>
      <c r="B2508" s="4" t="s">
        <v>3737</v>
      </c>
      <c r="C2508" s="4" t="n">
        <v>2003</v>
      </c>
      <c r="D2508" s="4" t="s">
        <v>3738</v>
      </c>
      <c r="E2508" s="25" t="str">
        <f aca="false">IF(J2508=1,"✓","")</f>
        <v/>
      </c>
      <c r="F2508" s="4" t="n">
        <v>1</v>
      </c>
      <c r="G2508" s="4" t="n">
        <v>1</v>
      </c>
      <c r="H2508" s="4" t="s">
        <v>1327</v>
      </c>
      <c r="I2508" s="4" t="s">
        <v>51</v>
      </c>
      <c r="J2508" s="4" t="n">
        <f aca="false">INDEX('Master List'!$G$2:$G$2594,K2508)</f>
        <v>0</v>
      </c>
      <c r="K2508" s="4" t="n">
        <v>1827</v>
      </c>
    </row>
    <row r="2509" customFormat="false" ht="15" hidden="false" customHeight="false" outlineLevel="0" collapsed="false">
      <c r="A2509" s="4" t="n">
        <v>2508</v>
      </c>
      <c r="B2509" s="4" t="s">
        <v>3739</v>
      </c>
      <c r="C2509" s="4" t="n">
        <v>2003</v>
      </c>
      <c r="D2509" s="4" t="s">
        <v>2538</v>
      </c>
      <c r="E2509" s="25" t="str">
        <f aca="false">IF(J2509=1,"✓","")</f>
        <v/>
      </c>
      <c r="F2509" s="4" t="n">
        <v>1</v>
      </c>
      <c r="G2509" s="4" t="n">
        <v>1</v>
      </c>
      <c r="H2509" s="4" t="s">
        <v>1327</v>
      </c>
      <c r="I2509" s="4" t="s">
        <v>54</v>
      </c>
      <c r="J2509" s="4" t="n">
        <f aca="false">INDEX('Master List'!$G$2:$G$2594,K2509)</f>
        <v>0</v>
      </c>
      <c r="K2509" s="4" t="n">
        <v>156</v>
      </c>
    </row>
    <row r="2510" customFormat="false" ht="15" hidden="false" customHeight="false" outlineLevel="0" collapsed="false">
      <c r="A2510" s="4" t="n">
        <v>2509</v>
      </c>
      <c r="B2510" s="4" t="s">
        <v>3740</v>
      </c>
      <c r="C2510" s="4" t="n">
        <v>2003</v>
      </c>
      <c r="D2510" s="4" t="s">
        <v>3741</v>
      </c>
      <c r="E2510" s="25" t="str">
        <f aca="false">IF(J2510=1,"✓","")</f>
        <v/>
      </c>
      <c r="F2510" s="4" t="n">
        <v>1</v>
      </c>
      <c r="G2510" s="4" t="n">
        <v>1</v>
      </c>
      <c r="H2510" s="4" t="s">
        <v>1327</v>
      </c>
      <c r="I2510" s="4" t="s">
        <v>55</v>
      </c>
      <c r="J2510" s="4" t="n">
        <f aca="false">INDEX('Master List'!$G$2:$G$2594,K2510)</f>
        <v>0</v>
      </c>
      <c r="K2510" s="4" t="n">
        <v>2037</v>
      </c>
    </row>
    <row r="2511" customFormat="false" ht="15" hidden="false" customHeight="false" outlineLevel="0" collapsed="false">
      <c r="A2511" s="4" t="n">
        <v>2510</v>
      </c>
      <c r="B2511" s="4" t="s">
        <v>3742</v>
      </c>
      <c r="C2511" s="4" t="n">
        <v>2004</v>
      </c>
      <c r="D2511" s="4" t="s">
        <v>3743</v>
      </c>
      <c r="E2511" s="25" t="str">
        <f aca="false">IF(J2511=1,"✓","")</f>
        <v/>
      </c>
      <c r="F2511" s="4" t="n">
        <v>1</v>
      </c>
      <c r="G2511" s="4" t="n">
        <v>1</v>
      </c>
      <c r="H2511" s="4" t="s">
        <v>1327</v>
      </c>
      <c r="I2511" s="4" t="s">
        <v>51</v>
      </c>
      <c r="J2511" s="4" t="n">
        <f aca="false">INDEX('Master List'!$G$2:$G$2594,K2511)</f>
        <v>0</v>
      </c>
      <c r="K2511" s="4" t="n">
        <v>1506</v>
      </c>
    </row>
    <row r="2512" customFormat="false" ht="15" hidden="false" customHeight="false" outlineLevel="0" collapsed="false">
      <c r="A2512" s="4" t="n">
        <v>2511</v>
      </c>
      <c r="B2512" s="4" t="s">
        <v>3744</v>
      </c>
      <c r="C2512" s="4" t="n">
        <v>2004</v>
      </c>
      <c r="D2512" s="4" t="s">
        <v>262</v>
      </c>
      <c r="E2512" s="25" t="str">
        <f aca="false">IF(J2512=1,"✓","")</f>
        <v/>
      </c>
      <c r="F2512" s="4" t="n">
        <v>1</v>
      </c>
      <c r="G2512" s="4" t="n">
        <v>1</v>
      </c>
      <c r="H2512" s="4" t="s">
        <v>1327</v>
      </c>
      <c r="I2512" s="4" t="s">
        <v>53</v>
      </c>
      <c r="J2512" s="4" t="n">
        <f aca="false">INDEX('Master List'!$G$2:$G$2594,K2512)</f>
        <v>0</v>
      </c>
      <c r="K2512" s="4" t="n">
        <v>1159</v>
      </c>
    </row>
    <row r="2513" customFormat="false" ht="15" hidden="false" customHeight="false" outlineLevel="0" collapsed="false">
      <c r="A2513" s="4" t="n">
        <v>2512</v>
      </c>
      <c r="B2513" s="4" t="s">
        <v>3745</v>
      </c>
      <c r="C2513" s="4" t="n">
        <v>2004</v>
      </c>
      <c r="D2513" s="4" t="s">
        <v>357</v>
      </c>
      <c r="E2513" s="25" t="str">
        <f aca="false">IF(J2513=1,"✓","")</f>
        <v/>
      </c>
      <c r="F2513" s="4" t="n">
        <v>1</v>
      </c>
      <c r="G2513" s="4" t="n">
        <v>1</v>
      </c>
      <c r="H2513" s="4" t="s">
        <v>1327</v>
      </c>
      <c r="I2513" s="4" t="s">
        <v>53</v>
      </c>
      <c r="J2513" s="4" t="n">
        <f aca="false">INDEX('Master List'!$G$2:$G$2594,K2513)</f>
        <v>0</v>
      </c>
      <c r="K2513" s="4" t="n">
        <v>483</v>
      </c>
    </row>
    <row r="2514" customFormat="false" ht="15" hidden="false" customHeight="false" outlineLevel="0" collapsed="false">
      <c r="A2514" s="4" t="n">
        <v>2513</v>
      </c>
      <c r="B2514" s="4" t="s">
        <v>3746</v>
      </c>
      <c r="C2514" s="4" t="n">
        <v>2005</v>
      </c>
      <c r="D2514" s="4" t="s">
        <v>3747</v>
      </c>
      <c r="E2514" s="25" t="str">
        <f aca="false">IF(J2514=1,"✓","")</f>
        <v/>
      </c>
      <c r="F2514" s="4" t="n">
        <v>1</v>
      </c>
      <c r="G2514" s="4" t="n">
        <v>1</v>
      </c>
      <c r="H2514" s="4" t="s">
        <v>1327</v>
      </c>
      <c r="I2514" s="4" t="s">
        <v>52</v>
      </c>
      <c r="J2514" s="4" t="n">
        <f aca="false">INDEX('Master List'!$G$2:$G$2594,K2514)</f>
        <v>0</v>
      </c>
      <c r="K2514" s="4" t="n">
        <v>1628</v>
      </c>
    </row>
    <row r="2515" customFormat="false" ht="15" hidden="false" customHeight="false" outlineLevel="0" collapsed="false">
      <c r="A2515" s="4" t="n">
        <v>2514</v>
      </c>
      <c r="B2515" s="4" t="s">
        <v>3748</v>
      </c>
      <c r="C2515" s="4" t="n">
        <v>2005</v>
      </c>
      <c r="D2515" s="4" t="s">
        <v>490</v>
      </c>
      <c r="E2515" s="25" t="str">
        <f aca="false">IF(J2515=1,"✓","")</f>
        <v/>
      </c>
      <c r="F2515" s="4" t="n">
        <v>1</v>
      </c>
      <c r="G2515" s="4" t="n">
        <v>1</v>
      </c>
      <c r="H2515" s="4" t="s">
        <v>1327</v>
      </c>
      <c r="I2515" s="4" t="s">
        <v>53</v>
      </c>
      <c r="J2515" s="4" t="n">
        <f aca="false">INDEX('Master List'!$G$2:$G$2594,K2515)</f>
        <v>0</v>
      </c>
      <c r="K2515" s="4" t="n">
        <v>363</v>
      </c>
    </row>
    <row r="2516" customFormat="false" ht="15" hidden="false" customHeight="false" outlineLevel="0" collapsed="false">
      <c r="A2516" s="4" t="n">
        <v>2515</v>
      </c>
      <c r="B2516" s="4" t="s">
        <v>3749</v>
      </c>
      <c r="C2516" s="4" t="n">
        <v>2005</v>
      </c>
      <c r="D2516" s="4" t="s">
        <v>3750</v>
      </c>
      <c r="E2516" s="25" t="str">
        <f aca="false">IF(J2516=1,"✓","")</f>
        <v/>
      </c>
      <c r="F2516" s="4" t="n">
        <v>1</v>
      </c>
      <c r="G2516" s="4" t="n">
        <v>1</v>
      </c>
      <c r="H2516" s="4" t="s">
        <v>1327</v>
      </c>
      <c r="I2516" s="4" t="s">
        <v>54</v>
      </c>
      <c r="J2516" s="4" t="n">
        <f aca="false">INDEX('Master List'!$G$2:$G$2594,K2516)</f>
        <v>0</v>
      </c>
      <c r="K2516" s="4" t="n">
        <v>2226</v>
      </c>
    </row>
    <row r="2517" customFormat="false" ht="15" hidden="false" customHeight="false" outlineLevel="0" collapsed="false">
      <c r="A2517" s="4" t="n">
        <v>2516</v>
      </c>
      <c r="B2517" s="4" t="s">
        <v>3751</v>
      </c>
      <c r="C2517" s="4" t="n">
        <v>2005</v>
      </c>
      <c r="D2517" s="4" t="s">
        <v>3752</v>
      </c>
      <c r="E2517" s="25" t="str">
        <f aca="false">IF(J2517=1,"✓","")</f>
        <v/>
      </c>
      <c r="F2517" s="4" t="n">
        <v>1</v>
      </c>
      <c r="G2517" s="4" t="n">
        <v>1</v>
      </c>
      <c r="H2517" s="4" t="s">
        <v>1327</v>
      </c>
      <c r="I2517" s="4" t="s">
        <v>55</v>
      </c>
      <c r="J2517" s="4" t="n">
        <f aca="false">INDEX('Master List'!$G$2:$G$2594,K2517)</f>
        <v>0</v>
      </c>
      <c r="K2517" s="4" t="n">
        <v>734</v>
      </c>
    </row>
    <row r="2518" customFormat="false" ht="15" hidden="false" customHeight="false" outlineLevel="0" collapsed="false">
      <c r="A2518" s="4" t="n">
        <v>2517</v>
      </c>
      <c r="B2518" s="4" t="s">
        <v>3753</v>
      </c>
      <c r="C2518" s="4" t="n">
        <v>2005</v>
      </c>
      <c r="D2518" s="4" t="s">
        <v>3754</v>
      </c>
      <c r="E2518" s="25" t="str">
        <f aca="false">IF(J2518=1,"✓","")</f>
        <v/>
      </c>
      <c r="F2518" s="4" t="n">
        <v>1</v>
      </c>
      <c r="G2518" s="4" t="n">
        <v>1</v>
      </c>
      <c r="H2518" s="4" t="s">
        <v>1327</v>
      </c>
      <c r="I2518" s="4" t="s">
        <v>56</v>
      </c>
      <c r="J2518" s="4" t="n">
        <f aca="false">INDEX('Master List'!$G$2:$G$2594,K2518)</f>
        <v>0</v>
      </c>
      <c r="K2518" s="4" t="n">
        <v>27</v>
      </c>
    </row>
    <row r="2519" customFormat="false" ht="15" hidden="false" customHeight="false" outlineLevel="0" collapsed="false">
      <c r="A2519" s="4" t="n">
        <v>2518</v>
      </c>
      <c r="B2519" s="4" t="s">
        <v>3755</v>
      </c>
      <c r="C2519" s="4" t="n">
        <v>2006</v>
      </c>
      <c r="D2519" s="4" t="s">
        <v>3738</v>
      </c>
      <c r="E2519" s="25" t="str">
        <f aca="false">IF(J2519=1,"✓","")</f>
        <v/>
      </c>
      <c r="F2519" s="4" t="n">
        <v>1</v>
      </c>
      <c r="G2519" s="4" t="n">
        <v>1</v>
      </c>
      <c r="H2519" s="4" t="s">
        <v>1327</v>
      </c>
      <c r="I2519" s="4" t="s">
        <v>51</v>
      </c>
      <c r="J2519" s="4" t="n">
        <f aca="false">INDEX('Master List'!$G$2:$G$2594,K2519)</f>
        <v>0</v>
      </c>
      <c r="K2519" s="4" t="n">
        <v>760</v>
      </c>
    </row>
    <row r="2520" customFormat="false" ht="15" hidden="false" customHeight="false" outlineLevel="0" collapsed="false">
      <c r="A2520" s="4" t="n">
        <v>2519</v>
      </c>
      <c r="B2520" s="4" t="s">
        <v>3756</v>
      </c>
      <c r="C2520" s="4" t="n">
        <v>2006</v>
      </c>
      <c r="D2520" s="4" t="s">
        <v>3049</v>
      </c>
      <c r="E2520" s="25" t="str">
        <f aca="false">IF(J2520=1,"✓","")</f>
        <v/>
      </c>
      <c r="F2520" s="4" t="n">
        <v>1</v>
      </c>
      <c r="G2520" s="4" t="n">
        <v>1</v>
      </c>
      <c r="H2520" s="4" t="s">
        <v>1327</v>
      </c>
      <c r="I2520" s="4" t="s">
        <v>51</v>
      </c>
      <c r="J2520" s="4" t="n">
        <f aca="false">INDEX('Master List'!$G$2:$G$2594,K2520)</f>
        <v>0</v>
      </c>
      <c r="K2520" s="4" t="n">
        <v>179</v>
      </c>
    </row>
    <row r="2521" customFormat="false" ht="15" hidden="false" customHeight="false" outlineLevel="0" collapsed="false">
      <c r="A2521" s="4" t="n">
        <v>2520</v>
      </c>
      <c r="B2521" s="4" t="s">
        <v>3757</v>
      </c>
      <c r="C2521" s="4" t="n">
        <v>2006</v>
      </c>
      <c r="D2521" s="4" t="s">
        <v>2702</v>
      </c>
      <c r="E2521" s="25" t="str">
        <f aca="false">IF(J2521=1,"✓","")</f>
        <v>✓</v>
      </c>
      <c r="F2521" s="4" t="n">
        <v>1</v>
      </c>
      <c r="G2521" s="4" t="n">
        <v>1</v>
      </c>
      <c r="H2521" s="4" t="s">
        <v>1327</v>
      </c>
      <c r="I2521" s="4" t="s">
        <v>52</v>
      </c>
      <c r="J2521" s="4" t="n">
        <f aca="false">INDEX('Master List'!$G$2:$G$2594,K2521)</f>
        <v>1</v>
      </c>
      <c r="K2521" s="4" t="n">
        <v>1114</v>
      </c>
    </row>
    <row r="2522" customFormat="false" ht="15" hidden="false" customHeight="false" outlineLevel="0" collapsed="false">
      <c r="A2522" s="4" t="n">
        <v>2521</v>
      </c>
      <c r="B2522" s="4" t="s">
        <v>3758</v>
      </c>
      <c r="C2522" s="4" t="n">
        <v>2006</v>
      </c>
      <c r="D2522" s="4" t="s">
        <v>3759</v>
      </c>
      <c r="E2522" s="25" t="str">
        <f aca="false">IF(J2522=1,"✓","")</f>
        <v/>
      </c>
      <c r="F2522" s="4" t="n">
        <v>1</v>
      </c>
      <c r="G2522" s="4" t="n">
        <v>1</v>
      </c>
      <c r="H2522" s="4" t="s">
        <v>1327</v>
      </c>
      <c r="I2522" s="4" t="s">
        <v>52</v>
      </c>
      <c r="J2522" s="4" t="n">
        <f aca="false">INDEX('Master List'!$G$2:$G$2594,K2522)</f>
        <v>0</v>
      </c>
      <c r="K2522" s="4" t="n">
        <v>927</v>
      </c>
    </row>
    <row r="2523" customFormat="false" ht="15" hidden="false" customHeight="false" outlineLevel="0" collapsed="false">
      <c r="A2523" s="4" t="n">
        <v>2522</v>
      </c>
      <c r="B2523" s="4" t="s">
        <v>3760</v>
      </c>
      <c r="C2523" s="4" t="n">
        <v>2006</v>
      </c>
      <c r="D2523" s="4" t="s">
        <v>3761</v>
      </c>
      <c r="E2523" s="25" t="str">
        <f aca="false">IF(J2523=1,"✓","")</f>
        <v/>
      </c>
      <c r="F2523" s="4" t="n">
        <v>1</v>
      </c>
      <c r="G2523" s="4" t="n">
        <v>1</v>
      </c>
      <c r="H2523" s="4" t="s">
        <v>1327</v>
      </c>
      <c r="I2523" s="4" t="s">
        <v>55</v>
      </c>
      <c r="J2523" s="4" t="n">
        <f aca="false">INDEX('Master List'!$G$2:$G$2594,K2523)</f>
        <v>0</v>
      </c>
      <c r="K2523" s="4" t="n">
        <v>979</v>
      </c>
    </row>
    <row r="2524" customFormat="false" ht="15" hidden="false" customHeight="false" outlineLevel="0" collapsed="false">
      <c r="A2524" s="4" t="n">
        <v>2523</v>
      </c>
      <c r="B2524" s="4" t="s">
        <v>3762</v>
      </c>
      <c r="C2524" s="4" t="n">
        <v>2006</v>
      </c>
      <c r="D2524" s="4" t="s">
        <v>3763</v>
      </c>
      <c r="E2524" s="25" t="str">
        <f aca="false">IF(J2524=1,"✓","")</f>
        <v/>
      </c>
      <c r="F2524" s="4" t="n">
        <v>1</v>
      </c>
      <c r="G2524" s="4" t="n">
        <v>1</v>
      </c>
      <c r="H2524" s="4" t="s">
        <v>1327</v>
      </c>
      <c r="I2524" s="4" t="s">
        <v>56</v>
      </c>
      <c r="J2524" s="4" t="n">
        <f aca="false">INDEX('Master List'!$G$2:$G$2594,K2524)</f>
        <v>0</v>
      </c>
      <c r="K2524" s="4" t="n">
        <v>1723</v>
      </c>
    </row>
    <row r="2525" customFormat="false" ht="15" hidden="false" customHeight="false" outlineLevel="0" collapsed="false">
      <c r="A2525" s="4" t="n">
        <v>2524</v>
      </c>
      <c r="B2525" s="4" t="s">
        <v>3764</v>
      </c>
      <c r="C2525" s="4" t="n">
        <v>2007</v>
      </c>
      <c r="D2525" s="4" t="s">
        <v>3765</v>
      </c>
      <c r="E2525" s="25" t="str">
        <f aca="false">IF(J2525=1,"✓","")</f>
        <v/>
      </c>
      <c r="F2525" s="4" t="n">
        <v>1</v>
      </c>
      <c r="G2525" s="4" t="n">
        <v>1</v>
      </c>
      <c r="H2525" s="4" t="s">
        <v>1327</v>
      </c>
      <c r="I2525" s="4" t="s">
        <v>51</v>
      </c>
      <c r="J2525" s="4" t="n">
        <f aca="false">INDEX('Master List'!$G$2:$G$2594,K2525)</f>
        <v>0</v>
      </c>
      <c r="K2525" s="4" t="n">
        <v>1122</v>
      </c>
    </row>
    <row r="2526" customFormat="false" ht="15" hidden="false" customHeight="false" outlineLevel="0" collapsed="false">
      <c r="A2526" s="4" t="n">
        <v>2525</v>
      </c>
      <c r="B2526" s="4" t="s">
        <v>3766</v>
      </c>
      <c r="C2526" s="4" t="n">
        <v>2007</v>
      </c>
      <c r="D2526" s="4" t="s">
        <v>193</v>
      </c>
      <c r="E2526" s="25" t="str">
        <f aca="false">IF(J2526=1,"✓","")</f>
        <v/>
      </c>
      <c r="F2526" s="4" t="n">
        <v>1</v>
      </c>
      <c r="G2526" s="4" t="n">
        <v>1</v>
      </c>
      <c r="H2526" s="4" t="s">
        <v>1327</v>
      </c>
      <c r="I2526" s="4" t="s">
        <v>53</v>
      </c>
      <c r="J2526" s="4" t="n">
        <f aca="false">INDEX('Master List'!$G$2:$G$2594,K2526)</f>
        <v>0</v>
      </c>
      <c r="K2526" s="4" t="n">
        <v>1566</v>
      </c>
    </row>
    <row r="2527" customFormat="false" ht="15" hidden="false" customHeight="false" outlineLevel="0" collapsed="false">
      <c r="A2527" s="4" t="n">
        <v>2526</v>
      </c>
      <c r="B2527" s="4" t="s">
        <v>3767</v>
      </c>
      <c r="C2527" s="4" t="n">
        <v>2007</v>
      </c>
      <c r="D2527" s="4" t="s">
        <v>208</v>
      </c>
      <c r="E2527" s="25" t="str">
        <f aca="false">IF(J2527=1,"✓","")</f>
        <v>✓</v>
      </c>
      <c r="F2527" s="4" t="n">
        <v>1</v>
      </c>
      <c r="G2527" s="4" t="n">
        <v>1</v>
      </c>
      <c r="H2527" s="4" t="s">
        <v>1327</v>
      </c>
      <c r="I2527" s="4" t="s">
        <v>53</v>
      </c>
      <c r="J2527" s="4" t="n">
        <f aca="false">INDEX('Master List'!$G$2:$G$2594,K2527)</f>
        <v>1</v>
      </c>
      <c r="K2527" s="4" t="n">
        <v>595</v>
      </c>
    </row>
    <row r="2528" customFormat="false" ht="15" hidden="false" customHeight="false" outlineLevel="0" collapsed="false">
      <c r="A2528" s="4" t="n">
        <v>2527</v>
      </c>
      <c r="B2528" s="4" t="s">
        <v>3768</v>
      </c>
      <c r="C2528" s="4" t="n">
        <v>2007</v>
      </c>
      <c r="D2528" s="4" t="s">
        <v>3769</v>
      </c>
      <c r="E2528" s="25" t="str">
        <f aca="false">IF(J2528=1,"✓","")</f>
        <v/>
      </c>
      <c r="F2528" s="4" t="n">
        <v>1</v>
      </c>
      <c r="G2528" s="4" t="n">
        <v>1</v>
      </c>
      <c r="H2528" s="4" t="s">
        <v>1327</v>
      </c>
      <c r="I2528" s="4" t="s">
        <v>55</v>
      </c>
      <c r="J2528" s="4" t="n">
        <f aca="false">INDEX('Master List'!$G$2:$G$2594,K2528)</f>
        <v>0</v>
      </c>
      <c r="K2528" s="4" t="n">
        <v>1292</v>
      </c>
    </row>
    <row r="2529" customFormat="false" ht="15" hidden="false" customHeight="false" outlineLevel="0" collapsed="false">
      <c r="A2529" s="4" t="n">
        <v>2528</v>
      </c>
      <c r="B2529" s="4" t="s">
        <v>3770</v>
      </c>
      <c r="C2529" s="4" t="n">
        <v>2007</v>
      </c>
      <c r="D2529" s="4" t="s">
        <v>3771</v>
      </c>
      <c r="E2529" s="25" t="str">
        <f aca="false">IF(J2529=1,"✓","")</f>
        <v/>
      </c>
      <c r="F2529" s="4" t="n">
        <v>1</v>
      </c>
      <c r="G2529" s="4" t="n">
        <v>1</v>
      </c>
      <c r="H2529" s="4" t="s">
        <v>1327</v>
      </c>
      <c r="I2529" s="4" t="s">
        <v>55</v>
      </c>
      <c r="J2529" s="4" t="n">
        <f aca="false">INDEX('Master List'!$G$2:$G$2594,K2529)</f>
        <v>0</v>
      </c>
      <c r="K2529" s="4" t="n">
        <v>519</v>
      </c>
    </row>
    <row r="2530" customFormat="false" ht="15" hidden="false" customHeight="false" outlineLevel="0" collapsed="false">
      <c r="A2530" s="4" t="n">
        <v>2529</v>
      </c>
      <c r="B2530" s="4" t="s">
        <v>3772</v>
      </c>
      <c r="C2530" s="4" t="n">
        <v>2007</v>
      </c>
      <c r="D2530" s="4" t="s">
        <v>3773</v>
      </c>
      <c r="E2530" s="25" t="str">
        <f aca="false">IF(J2530=1,"✓","")</f>
        <v/>
      </c>
      <c r="F2530" s="4" t="n">
        <v>1</v>
      </c>
      <c r="G2530" s="4" t="n">
        <v>1</v>
      </c>
      <c r="H2530" s="4" t="s">
        <v>1327</v>
      </c>
      <c r="I2530" s="4" t="s">
        <v>56</v>
      </c>
      <c r="J2530" s="4" t="n">
        <f aca="false">INDEX('Master List'!$G$2:$G$2594,K2530)</f>
        <v>0</v>
      </c>
      <c r="K2530" s="4" t="n">
        <v>2367</v>
      </c>
    </row>
    <row r="2531" customFormat="false" ht="15" hidden="false" customHeight="false" outlineLevel="0" collapsed="false">
      <c r="A2531" s="4" t="n">
        <v>2530</v>
      </c>
      <c r="B2531" s="4" t="s">
        <v>3774</v>
      </c>
      <c r="C2531" s="4" t="n">
        <v>2008</v>
      </c>
      <c r="D2531" s="4" t="s">
        <v>2995</v>
      </c>
      <c r="E2531" s="25" t="str">
        <f aca="false">IF(J2531=1,"✓","")</f>
        <v/>
      </c>
      <c r="F2531" s="4" t="n">
        <v>1</v>
      </c>
      <c r="G2531" s="4" t="n">
        <v>1</v>
      </c>
      <c r="H2531" s="4" t="s">
        <v>1327</v>
      </c>
      <c r="I2531" s="4" t="s">
        <v>51</v>
      </c>
      <c r="J2531" s="4" t="n">
        <f aca="false">INDEX('Master List'!$G$2:$G$2594,K2531)</f>
        <v>0</v>
      </c>
      <c r="K2531" s="4" t="n">
        <v>2333</v>
      </c>
    </row>
    <row r="2532" customFormat="false" ht="15" hidden="false" customHeight="false" outlineLevel="0" collapsed="false">
      <c r="A2532" s="4" t="n">
        <v>2531</v>
      </c>
      <c r="B2532" s="4" t="s">
        <v>3775</v>
      </c>
      <c r="C2532" s="4" t="n">
        <v>2008</v>
      </c>
      <c r="D2532" s="4" t="s">
        <v>1401</v>
      </c>
      <c r="E2532" s="25" t="str">
        <f aca="false">IF(J2532=1,"✓","")</f>
        <v/>
      </c>
      <c r="F2532" s="4" t="n">
        <v>1</v>
      </c>
      <c r="G2532" s="4" t="n">
        <v>1</v>
      </c>
      <c r="H2532" s="4" t="s">
        <v>1327</v>
      </c>
      <c r="I2532" s="4" t="s">
        <v>51</v>
      </c>
      <c r="J2532" s="4" t="n">
        <f aca="false">INDEX('Master List'!$G$2:$G$2594,K2532)</f>
        <v>0</v>
      </c>
      <c r="K2532" s="4" t="n">
        <v>929</v>
      </c>
    </row>
    <row r="2533" customFormat="false" ht="15" hidden="false" customHeight="false" outlineLevel="0" collapsed="false">
      <c r="A2533" s="4" t="n">
        <v>2532</v>
      </c>
      <c r="B2533" s="4" t="s">
        <v>3776</v>
      </c>
      <c r="C2533" s="4" t="n">
        <v>2008</v>
      </c>
      <c r="D2533" s="4" t="s">
        <v>3777</v>
      </c>
      <c r="E2533" s="25" t="str">
        <f aca="false">IF(J2533=1,"✓","")</f>
        <v/>
      </c>
      <c r="F2533" s="4" t="n">
        <v>1</v>
      </c>
      <c r="G2533" s="4" t="n">
        <v>1</v>
      </c>
      <c r="H2533" s="4" t="s">
        <v>1327</v>
      </c>
      <c r="I2533" s="4" t="s">
        <v>52</v>
      </c>
      <c r="J2533" s="4" t="n">
        <f aca="false">INDEX('Master List'!$G$2:$G$2594,K2533)</f>
        <v>0</v>
      </c>
      <c r="K2533" s="4" t="n">
        <v>1793</v>
      </c>
    </row>
    <row r="2534" customFormat="false" ht="15" hidden="false" customHeight="false" outlineLevel="0" collapsed="false">
      <c r="A2534" s="4" t="n">
        <v>2533</v>
      </c>
      <c r="B2534" s="4" t="s">
        <v>3778</v>
      </c>
      <c r="C2534" s="4" t="n">
        <v>2008</v>
      </c>
      <c r="D2534" s="4" t="s">
        <v>3779</v>
      </c>
      <c r="E2534" s="25" t="str">
        <f aca="false">IF(J2534=1,"✓","")</f>
        <v/>
      </c>
      <c r="F2534" s="4" t="n">
        <v>1</v>
      </c>
      <c r="G2534" s="4" t="n">
        <v>1</v>
      </c>
      <c r="H2534" s="4" t="s">
        <v>1327</v>
      </c>
      <c r="I2534" s="4" t="s">
        <v>52</v>
      </c>
      <c r="J2534" s="4" t="n">
        <f aca="false">INDEX('Master List'!$G$2:$G$2594,K2534)</f>
        <v>0</v>
      </c>
      <c r="K2534" s="4" t="n">
        <v>589</v>
      </c>
    </row>
    <row r="2535" customFormat="false" ht="15" hidden="false" customHeight="false" outlineLevel="0" collapsed="false">
      <c r="A2535" s="4" t="n">
        <v>2534</v>
      </c>
      <c r="B2535" s="4" t="s">
        <v>3780</v>
      </c>
      <c r="C2535" s="4" t="n">
        <v>2009</v>
      </c>
      <c r="D2535" s="4" t="s">
        <v>3781</v>
      </c>
      <c r="E2535" s="25" t="str">
        <f aca="false">IF(J2535=1,"✓","")</f>
        <v/>
      </c>
      <c r="F2535" s="4" t="n">
        <v>1</v>
      </c>
      <c r="G2535" s="4" t="n">
        <v>1</v>
      </c>
      <c r="H2535" s="4" t="s">
        <v>1327</v>
      </c>
      <c r="I2535" s="4" t="s">
        <v>52</v>
      </c>
      <c r="J2535" s="4" t="n">
        <f aca="false">INDEX('Master List'!$G$2:$G$2594,K2535)</f>
        <v>0</v>
      </c>
      <c r="K2535" s="4" t="n">
        <v>1316</v>
      </c>
    </row>
    <row r="2536" customFormat="false" ht="15" hidden="false" customHeight="false" outlineLevel="0" collapsed="false">
      <c r="A2536" s="4" t="n">
        <v>2535</v>
      </c>
      <c r="B2536" s="4" t="s">
        <v>3782</v>
      </c>
      <c r="C2536" s="4" t="n">
        <v>2009</v>
      </c>
      <c r="D2536" s="4" t="s">
        <v>685</v>
      </c>
      <c r="E2536" s="25" t="str">
        <f aca="false">IF(J2536=1,"✓","")</f>
        <v/>
      </c>
      <c r="F2536" s="4" t="n">
        <v>1</v>
      </c>
      <c r="G2536" s="4" t="n">
        <v>1</v>
      </c>
      <c r="H2536" s="4" t="s">
        <v>1327</v>
      </c>
      <c r="I2536" s="4" t="s">
        <v>53</v>
      </c>
      <c r="J2536" s="4" t="n">
        <f aca="false">INDEX('Master List'!$G$2:$G$2594,K2536)</f>
        <v>0</v>
      </c>
      <c r="K2536" s="4" t="n">
        <v>2282</v>
      </c>
    </row>
    <row r="2537" customFormat="false" ht="15" hidden="false" customHeight="false" outlineLevel="0" collapsed="false">
      <c r="A2537" s="4" t="n">
        <v>2536</v>
      </c>
      <c r="B2537" s="4" t="s">
        <v>3783</v>
      </c>
      <c r="C2537" s="4" t="n">
        <v>2009</v>
      </c>
      <c r="D2537" s="4" t="s">
        <v>327</v>
      </c>
      <c r="E2537" s="25" t="str">
        <f aca="false">IF(J2537=1,"✓","")</f>
        <v/>
      </c>
      <c r="F2537" s="4" t="n">
        <v>1</v>
      </c>
      <c r="G2537" s="4" t="n">
        <v>1</v>
      </c>
      <c r="H2537" s="4" t="s">
        <v>1327</v>
      </c>
      <c r="I2537" s="4" t="s">
        <v>53</v>
      </c>
      <c r="J2537" s="4" t="n">
        <f aca="false">INDEX('Master List'!$G$2:$G$2594,K2537)</f>
        <v>0</v>
      </c>
      <c r="K2537" s="4" t="n">
        <v>1790</v>
      </c>
    </row>
    <row r="2538" customFormat="false" ht="15" hidden="false" customHeight="false" outlineLevel="0" collapsed="false">
      <c r="A2538" s="4" t="n">
        <v>2537</v>
      </c>
      <c r="B2538" s="4" t="s">
        <v>3784</v>
      </c>
      <c r="C2538" s="4" t="n">
        <v>2009</v>
      </c>
      <c r="D2538" s="4" t="s">
        <v>3785</v>
      </c>
      <c r="E2538" s="25" t="str">
        <f aca="false">IF(J2538=1,"✓","")</f>
        <v/>
      </c>
      <c r="F2538" s="4" t="n">
        <v>1</v>
      </c>
      <c r="G2538" s="4" t="n">
        <v>1</v>
      </c>
      <c r="H2538" s="4" t="s">
        <v>1327</v>
      </c>
      <c r="I2538" s="4" t="s">
        <v>55</v>
      </c>
      <c r="J2538" s="4" t="n">
        <f aca="false">INDEX('Master List'!$G$2:$G$2594,K2538)</f>
        <v>0</v>
      </c>
      <c r="K2538" s="4" t="n">
        <v>2366</v>
      </c>
    </row>
    <row r="2539" customFormat="false" ht="15" hidden="false" customHeight="false" outlineLevel="0" collapsed="false">
      <c r="A2539" s="4" t="n">
        <v>2538</v>
      </c>
      <c r="B2539" s="4" t="s">
        <v>3786</v>
      </c>
      <c r="C2539" s="4" t="n">
        <v>2009</v>
      </c>
      <c r="D2539" s="4" t="s">
        <v>3787</v>
      </c>
      <c r="E2539" s="25" t="str">
        <f aca="false">IF(J2539=1,"✓","")</f>
        <v/>
      </c>
      <c r="F2539" s="4" t="n">
        <v>1</v>
      </c>
      <c r="G2539" s="4" t="n">
        <v>1</v>
      </c>
      <c r="H2539" s="4" t="s">
        <v>1327</v>
      </c>
      <c r="I2539" s="4" t="s">
        <v>55</v>
      </c>
      <c r="J2539" s="4" t="n">
        <f aca="false">INDEX('Master List'!$G$2:$G$2594,K2539)</f>
        <v>0</v>
      </c>
      <c r="K2539" s="4" t="n">
        <v>529</v>
      </c>
    </row>
    <row r="2540" customFormat="false" ht="15" hidden="false" customHeight="false" outlineLevel="0" collapsed="false">
      <c r="A2540" s="4" t="n">
        <v>2539</v>
      </c>
      <c r="B2540" s="4" t="s">
        <v>3788</v>
      </c>
      <c r="C2540" s="4" t="n">
        <v>2009</v>
      </c>
      <c r="D2540" s="4" t="s">
        <v>3789</v>
      </c>
      <c r="E2540" s="25" t="str">
        <f aca="false">IF(J2540=1,"✓","")</f>
        <v/>
      </c>
      <c r="F2540" s="4" t="n">
        <v>1</v>
      </c>
      <c r="G2540" s="4" t="n">
        <v>1</v>
      </c>
      <c r="H2540" s="4" t="s">
        <v>1327</v>
      </c>
      <c r="I2540" s="4" t="s">
        <v>55</v>
      </c>
      <c r="J2540" s="4" t="n">
        <f aca="false">INDEX('Master List'!$G$2:$G$2594,K2540)</f>
        <v>0</v>
      </c>
      <c r="K2540" s="4" t="n">
        <v>2476</v>
      </c>
    </row>
    <row r="2541" customFormat="false" ht="15" hidden="false" customHeight="false" outlineLevel="0" collapsed="false">
      <c r="A2541" s="4" t="n">
        <v>2540</v>
      </c>
      <c r="B2541" s="4" t="s">
        <v>3790</v>
      </c>
      <c r="C2541" s="4" t="n">
        <v>2010</v>
      </c>
      <c r="D2541" s="4" t="s">
        <v>3791</v>
      </c>
      <c r="E2541" s="25" t="str">
        <f aca="false">IF(J2541=1,"✓","")</f>
        <v/>
      </c>
      <c r="F2541" s="4" t="n">
        <v>1</v>
      </c>
      <c r="G2541" s="4" t="n">
        <v>1</v>
      </c>
      <c r="H2541" s="4" t="s">
        <v>1327</v>
      </c>
      <c r="I2541" s="4" t="s">
        <v>51</v>
      </c>
      <c r="J2541" s="4" t="n">
        <f aca="false">INDEX('Master List'!$G$2:$G$2594,K2541)</f>
        <v>0</v>
      </c>
      <c r="K2541" s="4" t="n">
        <v>1841</v>
      </c>
    </row>
    <row r="2542" customFormat="false" ht="15" hidden="false" customHeight="false" outlineLevel="0" collapsed="false">
      <c r="A2542" s="4" t="n">
        <v>2541</v>
      </c>
      <c r="B2542" s="4" t="s">
        <v>3792</v>
      </c>
      <c r="C2542" s="4" t="n">
        <v>2010</v>
      </c>
      <c r="D2542" s="4" t="s">
        <v>1592</v>
      </c>
      <c r="E2542" s="25" t="str">
        <f aca="false">IF(J2542=1,"✓","")</f>
        <v/>
      </c>
      <c r="F2542" s="4" t="n">
        <v>1</v>
      </c>
      <c r="G2542" s="4" t="n">
        <v>1</v>
      </c>
      <c r="H2542" s="4" t="s">
        <v>1327</v>
      </c>
      <c r="I2542" s="4" t="s">
        <v>51</v>
      </c>
      <c r="J2542" s="4" t="n">
        <f aca="false">INDEX('Master List'!$G$2:$G$2594,K2542)</f>
        <v>0</v>
      </c>
      <c r="K2542" s="4" t="n">
        <v>151</v>
      </c>
    </row>
    <row r="2543" customFormat="false" ht="15" hidden="false" customHeight="false" outlineLevel="0" collapsed="false">
      <c r="A2543" s="4" t="n">
        <v>2542</v>
      </c>
      <c r="B2543" s="4" t="s">
        <v>3793</v>
      </c>
      <c r="C2543" s="4" t="n">
        <v>2010</v>
      </c>
      <c r="D2543" s="4" t="s">
        <v>3079</v>
      </c>
      <c r="E2543" s="25" t="str">
        <f aca="false">IF(J2543=1,"✓","")</f>
        <v/>
      </c>
      <c r="F2543" s="4" t="n">
        <v>1</v>
      </c>
      <c r="G2543" s="4" t="n">
        <v>1</v>
      </c>
      <c r="H2543" s="4" t="s">
        <v>1327</v>
      </c>
      <c r="I2543" s="4" t="s">
        <v>55</v>
      </c>
      <c r="J2543" s="4" t="n">
        <f aca="false">INDEX('Master List'!$G$2:$G$2594,K2543)</f>
        <v>0</v>
      </c>
      <c r="K2543" s="4" t="n">
        <v>2009</v>
      </c>
    </row>
    <row r="2544" customFormat="false" ht="15" hidden="false" customHeight="false" outlineLevel="0" collapsed="false">
      <c r="A2544" s="4" t="n">
        <v>2543</v>
      </c>
      <c r="B2544" s="4" t="s">
        <v>3794</v>
      </c>
      <c r="C2544" s="4" t="n">
        <v>2010</v>
      </c>
      <c r="D2544" s="4" t="s">
        <v>3795</v>
      </c>
      <c r="E2544" s="25" t="str">
        <f aca="false">IF(J2544=1,"✓","")</f>
        <v/>
      </c>
      <c r="F2544" s="4" t="n">
        <v>1</v>
      </c>
      <c r="G2544" s="4" t="n">
        <v>1</v>
      </c>
      <c r="H2544" s="4" t="s">
        <v>1327</v>
      </c>
      <c r="I2544" s="4" t="s">
        <v>56</v>
      </c>
      <c r="J2544" s="4" t="n">
        <f aca="false">INDEX('Master List'!$G$2:$G$2594,K2544)</f>
        <v>0</v>
      </c>
      <c r="K2544" s="4" t="n">
        <v>369</v>
      </c>
    </row>
    <row r="2545" customFormat="false" ht="15" hidden="false" customHeight="false" outlineLevel="0" collapsed="false">
      <c r="A2545" s="4" t="n">
        <v>2544</v>
      </c>
      <c r="B2545" s="4" t="s">
        <v>3796</v>
      </c>
      <c r="C2545" s="4" t="n">
        <v>2011</v>
      </c>
      <c r="D2545" s="4" t="s">
        <v>3797</v>
      </c>
      <c r="E2545" s="25" t="str">
        <f aca="false">IF(J2545=1,"✓","")</f>
        <v/>
      </c>
      <c r="F2545" s="4" t="n">
        <v>1</v>
      </c>
      <c r="G2545" s="4" t="n">
        <v>1</v>
      </c>
      <c r="H2545" s="4" t="s">
        <v>1327</v>
      </c>
      <c r="I2545" s="4" t="s">
        <v>52</v>
      </c>
      <c r="J2545" s="4" t="n">
        <f aca="false">INDEX('Master List'!$G$2:$G$2594,K2545)</f>
        <v>0</v>
      </c>
      <c r="K2545" s="4" t="n">
        <v>964</v>
      </c>
    </row>
    <row r="2546" customFormat="false" ht="15" hidden="false" customHeight="false" outlineLevel="0" collapsed="false">
      <c r="A2546" s="4" t="n">
        <v>2545</v>
      </c>
      <c r="B2546" s="4" t="s">
        <v>2107</v>
      </c>
      <c r="C2546" s="4" t="n">
        <v>2011</v>
      </c>
      <c r="D2546" s="4" t="s">
        <v>3798</v>
      </c>
      <c r="E2546" s="25" t="str">
        <f aca="false">IF(J2546=1,"✓","")</f>
        <v/>
      </c>
      <c r="F2546" s="4" t="n">
        <v>1</v>
      </c>
      <c r="G2546" s="4" t="n">
        <v>1</v>
      </c>
      <c r="H2546" s="4" t="s">
        <v>1327</v>
      </c>
      <c r="I2546" s="4" t="s">
        <v>52</v>
      </c>
      <c r="J2546" s="4" t="n">
        <f aca="false">INDEX('Master List'!$G$2:$G$2594,K2546)</f>
        <v>0</v>
      </c>
      <c r="K2546" s="4" t="n">
        <v>2478</v>
      </c>
    </row>
    <row r="2547" customFormat="false" ht="15" hidden="false" customHeight="false" outlineLevel="0" collapsed="false">
      <c r="A2547" s="4" t="n">
        <v>2546</v>
      </c>
      <c r="B2547" s="4" t="s">
        <v>3799</v>
      </c>
      <c r="C2547" s="4" t="n">
        <v>2011</v>
      </c>
      <c r="D2547" s="4" t="s">
        <v>1569</v>
      </c>
      <c r="E2547" s="25" t="str">
        <f aca="false">IF(J2547=1,"✓","")</f>
        <v/>
      </c>
      <c r="F2547" s="4" t="n">
        <v>1</v>
      </c>
      <c r="G2547" s="4" t="n">
        <v>1</v>
      </c>
      <c r="H2547" s="4" t="s">
        <v>1327</v>
      </c>
      <c r="I2547" s="4" t="s">
        <v>55</v>
      </c>
      <c r="J2547" s="4" t="n">
        <f aca="false">INDEX('Master List'!$G$2:$G$2594,K2547)</f>
        <v>0</v>
      </c>
      <c r="K2547" s="4" t="n">
        <v>2334</v>
      </c>
    </row>
    <row r="2548" customFormat="false" ht="15" hidden="false" customHeight="false" outlineLevel="0" collapsed="false">
      <c r="A2548" s="4" t="n">
        <v>2547</v>
      </c>
      <c r="B2548" s="4" t="s">
        <v>3800</v>
      </c>
      <c r="C2548" s="4" t="n">
        <v>2012</v>
      </c>
      <c r="D2548" s="4" t="s">
        <v>3801</v>
      </c>
      <c r="E2548" s="25" t="str">
        <f aca="false">IF(J2548=1,"✓","")</f>
        <v/>
      </c>
      <c r="F2548" s="4" t="n">
        <v>1</v>
      </c>
      <c r="G2548" s="4" t="n">
        <v>1</v>
      </c>
      <c r="H2548" s="4" t="s">
        <v>1327</v>
      </c>
      <c r="I2548" s="4" t="s">
        <v>52</v>
      </c>
      <c r="J2548" s="4" t="n">
        <f aca="false">INDEX('Master List'!$G$2:$G$2594,K2548)</f>
        <v>0</v>
      </c>
      <c r="K2548" s="4" t="n">
        <v>676</v>
      </c>
    </row>
    <row r="2549" customFormat="false" ht="15" hidden="false" customHeight="false" outlineLevel="0" collapsed="false">
      <c r="A2549" s="4" t="n">
        <v>2548</v>
      </c>
      <c r="B2549" s="4" t="s">
        <v>3802</v>
      </c>
      <c r="C2549" s="4" t="n">
        <v>2012</v>
      </c>
      <c r="D2549" s="4" t="s">
        <v>3803</v>
      </c>
      <c r="E2549" s="25" t="str">
        <f aca="false">IF(J2549=1,"✓","")</f>
        <v>✓</v>
      </c>
      <c r="F2549" s="4" t="n">
        <v>1</v>
      </c>
      <c r="G2549" s="4" t="n">
        <v>1</v>
      </c>
      <c r="H2549" s="4" t="s">
        <v>1327</v>
      </c>
      <c r="I2549" s="4" t="s">
        <v>52</v>
      </c>
      <c r="J2549" s="4" t="n">
        <f aca="false">INDEX('Master List'!$G$2:$G$2594,K2549)</f>
        <v>1</v>
      </c>
      <c r="K2549" s="4" t="n">
        <v>1181</v>
      </c>
    </row>
    <row r="2550" customFormat="false" ht="15" hidden="false" customHeight="false" outlineLevel="0" collapsed="false">
      <c r="A2550" s="4" t="n">
        <v>2549</v>
      </c>
      <c r="B2550" s="4" t="s">
        <v>3804</v>
      </c>
      <c r="C2550" s="4" t="n">
        <v>2012</v>
      </c>
      <c r="D2550" s="4" t="s">
        <v>361</v>
      </c>
      <c r="E2550" s="25" t="str">
        <f aca="false">IF(J2550=1,"✓","")</f>
        <v/>
      </c>
      <c r="F2550" s="4" t="n">
        <v>1</v>
      </c>
      <c r="G2550" s="4" t="n">
        <v>1</v>
      </c>
      <c r="H2550" s="4" t="s">
        <v>1327</v>
      </c>
      <c r="I2550" s="4" t="s">
        <v>53</v>
      </c>
      <c r="J2550" s="4" t="n">
        <f aca="false">INDEX('Master List'!$G$2:$G$2594,K2550)</f>
        <v>0</v>
      </c>
      <c r="K2550" s="4" t="n">
        <v>2323</v>
      </c>
    </row>
    <row r="2551" customFormat="false" ht="15" hidden="false" customHeight="false" outlineLevel="0" collapsed="false">
      <c r="A2551" s="4" t="n">
        <v>2550</v>
      </c>
      <c r="B2551" s="4" t="s">
        <v>3805</v>
      </c>
      <c r="C2551" s="4" t="n">
        <v>2012</v>
      </c>
      <c r="D2551" s="4" t="s">
        <v>1628</v>
      </c>
      <c r="E2551" s="25" t="str">
        <f aca="false">IF(J2551=1,"✓","")</f>
        <v/>
      </c>
      <c r="F2551" s="4" t="n">
        <v>1</v>
      </c>
      <c r="G2551" s="4" t="n">
        <v>1</v>
      </c>
      <c r="H2551" s="4" t="s">
        <v>1327</v>
      </c>
      <c r="I2551" s="4" t="s">
        <v>53</v>
      </c>
      <c r="J2551" s="4" t="n">
        <f aca="false">INDEX('Master List'!$G$2:$G$2594,K2551)</f>
        <v>0</v>
      </c>
      <c r="K2551" s="4" t="n">
        <v>1126</v>
      </c>
    </row>
    <row r="2552" customFormat="false" ht="15" hidden="false" customHeight="false" outlineLevel="0" collapsed="false">
      <c r="A2552" s="4" t="n">
        <v>2551</v>
      </c>
      <c r="B2552" s="4" t="s">
        <v>3806</v>
      </c>
      <c r="C2552" s="4" t="n">
        <v>2012</v>
      </c>
      <c r="D2552" s="4" t="s">
        <v>3807</v>
      </c>
      <c r="E2552" s="25" t="str">
        <f aca="false">IF(J2552=1,"✓","")</f>
        <v/>
      </c>
      <c r="F2552" s="4" t="n">
        <v>1</v>
      </c>
      <c r="G2552" s="4" t="n">
        <v>1</v>
      </c>
      <c r="H2552" s="4" t="s">
        <v>1327</v>
      </c>
      <c r="I2552" s="4" t="s">
        <v>55</v>
      </c>
      <c r="J2552" s="4" t="n">
        <f aca="false">INDEX('Master List'!$G$2:$G$2594,K2552)</f>
        <v>0</v>
      </c>
      <c r="K2552" s="4" t="n">
        <v>2456</v>
      </c>
    </row>
    <row r="2553" customFormat="false" ht="15" hidden="false" customHeight="false" outlineLevel="0" collapsed="false">
      <c r="A2553" s="4" t="n">
        <v>2552</v>
      </c>
      <c r="B2553" s="4" t="s">
        <v>3808</v>
      </c>
      <c r="C2553" s="4" t="n">
        <v>2012</v>
      </c>
      <c r="D2553" s="4" t="s">
        <v>3809</v>
      </c>
      <c r="E2553" s="25" t="str">
        <f aca="false">IF(J2553=1,"✓","")</f>
        <v/>
      </c>
      <c r="F2553" s="4" t="n">
        <v>1</v>
      </c>
      <c r="G2553" s="4" t="n">
        <v>1</v>
      </c>
      <c r="H2553" s="4" t="s">
        <v>1327</v>
      </c>
      <c r="I2553" s="4" t="s">
        <v>56</v>
      </c>
      <c r="J2553" s="4" t="n">
        <f aca="false">INDEX('Master List'!$G$2:$G$2594,K2553)</f>
        <v>0</v>
      </c>
      <c r="K2553" s="4" t="n">
        <v>2200</v>
      </c>
    </row>
    <row r="2554" customFormat="false" ht="15" hidden="false" customHeight="false" outlineLevel="0" collapsed="false">
      <c r="A2554" s="4" t="n">
        <v>2553</v>
      </c>
      <c r="B2554" s="4" t="s">
        <v>3810</v>
      </c>
      <c r="C2554" s="4" t="n">
        <v>2013</v>
      </c>
      <c r="D2554" s="4" t="s">
        <v>3811</v>
      </c>
      <c r="E2554" s="25" t="str">
        <f aca="false">IF(J2554=1,"✓","")</f>
        <v/>
      </c>
      <c r="F2554" s="4" t="n">
        <v>1</v>
      </c>
      <c r="G2554" s="4" t="n">
        <v>1</v>
      </c>
      <c r="H2554" s="4" t="s">
        <v>1327</v>
      </c>
      <c r="I2554" s="4" t="s">
        <v>51</v>
      </c>
      <c r="J2554" s="4" t="n">
        <f aca="false">INDEX('Master List'!$G$2:$G$2594,K2554)</f>
        <v>0</v>
      </c>
      <c r="K2554" s="4" t="n">
        <v>2175</v>
      </c>
    </row>
    <row r="2555" customFormat="false" ht="15" hidden="false" customHeight="false" outlineLevel="0" collapsed="false">
      <c r="A2555" s="4" t="n">
        <v>2554</v>
      </c>
      <c r="B2555" s="4" t="s">
        <v>3812</v>
      </c>
      <c r="C2555" s="4" t="n">
        <v>2013</v>
      </c>
      <c r="D2555" s="4" t="s">
        <v>3813</v>
      </c>
      <c r="E2555" s="25" t="str">
        <f aca="false">IF(J2555=1,"✓","")</f>
        <v/>
      </c>
      <c r="F2555" s="4" t="n">
        <v>1</v>
      </c>
      <c r="G2555" s="4" t="n">
        <v>1</v>
      </c>
      <c r="H2555" s="4" t="s">
        <v>1327</v>
      </c>
      <c r="I2555" s="4" t="s">
        <v>51</v>
      </c>
      <c r="J2555" s="4" t="n">
        <f aca="false">INDEX('Master List'!$G$2:$G$2594,K2555)</f>
        <v>0</v>
      </c>
      <c r="K2555" s="4" t="n">
        <v>1629</v>
      </c>
    </row>
    <row r="2556" customFormat="false" ht="15" hidden="false" customHeight="false" outlineLevel="0" collapsed="false">
      <c r="A2556" s="4" t="n">
        <v>2555</v>
      </c>
      <c r="B2556" s="4" t="s">
        <v>3814</v>
      </c>
      <c r="C2556" s="4" t="n">
        <v>2013</v>
      </c>
      <c r="D2556" s="4" t="s">
        <v>193</v>
      </c>
      <c r="E2556" s="25" t="str">
        <f aca="false">IF(J2556=1,"✓","")</f>
        <v/>
      </c>
      <c r="F2556" s="4" t="n">
        <v>1</v>
      </c>
      <c r="G2556" s="4" t="n">
        <v>1</v>
      </c>
      <c r="H2556" s="4" t="s">
        <v>1327</v>
      </c>
      <c r="I2556" s="4" t="s">
        <v>53</v>
      </c>
      <c r="J2556" s="4" t="n">
        <f aca="false">INDEX('Master List'!$G$2:$G$2594,K2556)</f>
        <v>0</v>
      </c>
      <c r="K2556" s="4" t="n">
        <v>944</v>
      </c>
    </row>
    <row r="2557" customFormat="false" ht="15" hidden="false" customHeight="false" outlineLevel="0" collapsed="false">
      <c r="A2557" s="4" t="n">
        <v>2556</v>
      </c>
      <c r="B2557" s="4" t="s">
        <v>3815</v>
      </c>
      <c r="C2557" s="4" t="n">
        <v>2013</v>
      </c>
      <c r="D2557" s="4" t="s">
        <v>2889</v>
      </c>
      <c r="E2557" s="25" t="str">
        <f aca="false">IF(J2557=1,"✓","")</f>
        <v/>
      </c>
      <c r="F2557" s="4" t="n">
        <v>1</v>
      </c>
      <c r="G2557" s="4" t="n">
        <v>1</v>
      </c>
      <c r="H2557" s="4" t="s">
        <v>1327</v>
      </c>
      <c r="I2557" s="4" t="s">
        <v>54</v>
      </c>
      <c r="J2557" s="4" t="n">
        <f aca="false">INDEX('Master List'!$G$2:$G$2594,K2557)</f>
        <v>0</v>
      </c>
      <c r="K2557" s="4" t="n">
        <v>679</v>
      </c>
    </row>
    <row r="2558" customFormat="false" ht="15" hidden="false" customHeight="false" outlineLevel="0" collapsed="false">
      <c r="A2558" s="4" t="n">
        <v>2557</v>
      </c>
      <c r="B2558" s="4" t="s">
        <v>3816</v>
      </c>
      <c r="C2558" s="4" t="n">
        <v>2013</v>
      </c>
      <c r="D2558" s="4" t="s">
        <v>3817</v>
      </c>
      <c r="E2558" s="25" t="str">
        <f aca="false">IF(J2558=1,"✓","")</f>
        <v/>
      </c>
      <c r="F2558" s="4" t="n">
        <v>1</v>
      </c>
      <c r="G2558" s="4" t="n">
        <v>1</v>
      </c>
      <c r="H2558" s="4" t="s">
        <v>1327</v>
      </c>
      <c r="I2558" s="4" t="s">
        <v>55</v>
      </c>
      <c r="J2558" s="4" t="n">
        <f aca="false">INDEX('Master List'!$G$2:$G$2594,K2558)</f>
        <v>0</v>
      </c>
      <c r="K2558" s="4" t="n">
        <v>1725</v>
      </c>
    </row>
    <row r="2559" customFormat="false" ht="15" hidden="false" customHeight="false" outlineLevel="0" collapsed="false">
      <c r="A2559" s="4" t="n">
        <v>2558</v>
      </c>
      <c r="B2559" s="4" t="s">
        <v>3818</v>
      </c>
      <c r="C2559" s="4" t="n">
        <v>2014</v>
      </c>
      <c r="D2559" s="4" t="s">
        <v>3819</v>
      </c>
      <c r="E2559" s="25" t="str">
        <f aca="false">IF(J2559=1,"✓","")</f>
        <v/>
      </c>
      <c r="F2559" s="4" t="n">
        <v>1</v>
      </c>
      <c r="G2559" s="4" t="n">
        <v>1</v>
      </c>
      <c r="H2559" s="4" t="s">
        <v>1327</v>
      </c>
      <c r="I2559" s="4" t="s">
        <v>51</v>
      </c>
      <c r="J2559" s="4" t="n">
        <f aca="false">INDEX('Master List'!$G$2:$G$2594,K2559)</f>
        <v>0</v>
      </c>
      <c r="K2559" s="4" t="n">
        <v>1195</v>
      </c>
    </row>
    <row r="2560" customFormat="false" ht="15" hidden="false" customHeight="false" outlineLevel="0" collapsed="false">
      <c r="A2560" s="4" t="n">
        <v>2559</v>
      </c>
      <c r="B2560" s="4" t="s">
        <v>3820</v>
      </c>
      <c r="C2560" s="4" t="n">
        <v>2014</v>
      </c>
      <c r="D2560" s="4" t="s">
        <v>152</v>
      </c>
      <c r="E2560" s="25" t="str">
        <f aca="false">IF(J2560=1,"✓","")</f>
        <v/>
      </c>
      <c r="F2560" s="4" t="n">
        <v>1</v>
      </c>
      <c r="G2560" s="4" t="n">
        <v>1</v>
      </c>
      <c r="H2560" s="4" t="s">
        <v>1327</v>
      </c>
      <c r="I2560" s="4" t="s">
        <v>53</v>
      </c>
      <c r="J2560" s="4" t="n">
        <f aca="false">INDEX('Master List'!$G$2:$G$2594,K2560)</f>
        <v>0</v>
      </c>
      <c r="K2560" s="4" t="n">
        <v>935</v>
      </c>
    </row>
    <row r="2561" customFormat="false" ht="15" hidden="false" customHeight="false" outlineLevel="0" collapsed="false">
      <c r="A2561" s="4" t="n">
        <v>2560</v>
      </c>
      <c r="B2561" s="4" t="s">
        <v>3821</v>
      </c>
      <c r="C2561" s="4" t="n">
        <v>2014</v>
      </c>
      <c r="D2561" s="4" t="s">
        <v>3822</v>
      </c>
      <c r="E2561" s="25" t="str">
        <f aca="false">IF(J2561=1,"✓","")</f>
        <v/>
      </c>
      <c r="F2561" s="4" t="n">
        <v>1</v>
      </c>
      <c r="G2561" s="4" t="n">
        <v>1</v>
      </c>
      <c r="H2561" s="4" t="s">
        <v>1327</v>
      </c>
      <c r="I2561" s="4" t="s">
        <v>55</v>
      </c>
      <c r="J2561" s="4" t="n">
        <f aca="false">INDEX('Master List'!$G$2:$G$2594,K2561)</f>
        <v>0</v>
      </c>
      <c r="K2561" s="4" t="n">
        <v>383</v>
      </c>
    </row>
    <row r="2562" customFormat="false" ht="15" hidden="false" customHeight="false" outlineLevel="0" collapsed="false">
      <c r="A2562" s="4" t="n">
        <v>2561</v>
      </c>
      <c r="B2562" s="4" t="s">
        <v>3823</v>
      </c>
      <c r="C2562" s="4" t="n">
        <v>2014</v>
      </c>
      <c r="D2562" s="4" t="s">
        <v>3824</v>
      </c>
      <c r="E2562" s="25" t="str">
        <f aca="false">IF(J2562=1,"✓","")</f>
        <v/>
      </c>
      <c r="F2562" s="4" t="n">
        <v>1</v>
      </c>
      <c r="G2562" s="4" t="n">
        <v>1</v>
      </c>
      <c r="H2562" s="4" t="s">
        <v>1327</v>
      </c>
      <c r="I2562" s="4" t="s">
        <v>55</v>
      </c>
      <c r="J2562" s="4" t="n">
        <f aca="false">INDEX('Master List'!$G$2:$G$2594,K2562)</f>
        <v>0</v>
      </c>
      <c r="K2562" s="4" t="n">
        <v>1808</v>
      </c>
    </row>
    <row r="2563" customFormat="false" ht="15" hidden="false" customHeight="false" outlineLevel="0" collapsed="false">
      <c r="A2563" s="4" t="n">
        <v>2562</v>
      </c>
      <c r="B2563" s="4" t="s">
        <v>3825</v>
      </c>
      <c r="C2563" s="4" t="n">
        <v>2014</v>
      </c>
      <c r="D2563" s="4" t="s">
        <v>854</v>
      </c>
      <c r="E2563" s="25" t="str">
        <f aca="false">IF(J2563=1,"✓","")</f>
        <v/>
      </c>
      <c r="F2563" s="4" t="n">
        <v>1</v>
      </c>
      <c r="G2563" s="4" t="n">
        <v>1</v>
      </c>
      <c r="H2563" s="4" t="s">
        <v>1327</v>
      </c>
      <c r="I2563" s="4" t="s">
        <v>56</v>
      </c>
      <c r="J2563" s="4" t="n">
        <f aca="false">INDEX('Master List'!$G$2:$G$2594,K2563)</f>
        <v>0</v>
      </c>
      <c r="K2563" s="4" t="n">
        <v>272</v>
      </c>
    </row>
    <row r="2564" customFormat="false" ht="15" hidden="false" customHeight="false" outlineLevel="0" collapsed="false">
      <c r="A2564" s="4" t="n">
        <v>2563</v>
      </c>
      <c r="B2564" s="4" t="s">
        <v>3826</v>
      </c>
      <c r="C2564" s="4" t="n">
        <v>2015</v>
      </c>
      <c r="D2564" s="4" t="s">
        <v>881</v>
      </c>
      <c r="E2564" s="25" t="str">
        <f aca="false">IF(J2564=1,"✓","")</f>
        <v/>
      </c>
      <c r="F2564" s="4" t="n">
        <v>1</v>
      </c>
      <c r="G2564" s="4" t="n">
        <v>1</v>
      </c>
      <c r="H2564" s="4" t="s">
        <v>1327</v>
      </c>
      <c r="I2564" s="4" t="s">
        <v>51</v>
      </c>
      <c r="J2564" s="4" t="n">
        <f aca="false">INDEX('Master List'!$G$2:$G$2594,K2564)</f>
        <v>0</v>
      </c>
      <c r="K2564" s="4" t="n">
        <v>989</v>
      </c>
    </row>
    <row r="2565" customFormat="false" ht="15" hidden="false" customHeight="false" outlineLevel="0" collapsed="false">
      <c r="A2565" s="4" t="n">
        <v>2564</v>
      </c>
      <c r="B2565" s="4" t="s">
        <v>3827</v>
      </c>
      <c r="C2565" s="4" t="n">
        <v>2015</v>
      </c>
      <c r="D2565" s="4" t="s">
        <v>361</v>
      </c>
      <c r="E2565" s="25" t="str">
        <f aca="false">IF(J2565=1,"✓","")</f>
        <v/>
      </c>
      <c r="F2565" s="4" t="n">
        <v>1</v>
      </c>
      <c r="G2565" s="4" t="n">
        <v>1</v>
      </c>
      <c r="H2565" s="4" t="s">
        <v>1327</v>
      </c>
      <c r="I2565" s="4" t="s">
        <v>53</v>
      </c>
      <c r="J2565" s="4" t="n">
        <f aca="false">INDEX('Master List'!$G$2:$G$2594,K2565)</f>
        <v>0</v>
      </c>
      <c r="K2565" s="4" t="n">
        <v>1269</v>
      </c>
    </row>
    <row r="2566" customFormat="false" ht="15" hidden="false" customHeight="false" outlineLevel="0" collapsed="false">
      <c r="A2566" s="4" t="n">
        <v>2565</v>
      </c>
      <c r="B2566" s="4" t="s">
        <v>3828</v>
      </c>
      <c r="C2566" s="4" t="n">
        <v>2015</v>
      </c>
      <c r="D2566" s="4" t="s">
        <v>185</v>
      </c>
      <c r="E2566" s="25" t="str">
        <f aca="false">IF(J2566=1,"✓","")</f>
        <v/>
      </c>
      <c r="F2566" s="4" t="n">
        <v>1</v>
      </c>
      <c r="G2566" s="4" t="n">
        <v>1</v>
      </c>
      <c r="H2566" s="4" t="s">
        <v>1327</v>
      </c>
      <c r="I2566" s="4" t="s">
        <v>53</v>
      </c>
      <c r="J2566" s="4" t="n">
        <f aca="false">INDEX('Master List'!$G$2:$G$2594,K2566)</f>
        <v>0</v>
      </c>
      <c r="K2566" s="4" t="n">
        <v>1623</v>
      </c>
    </row>
    <row r="2567" customFormat="false" ht="15" hidden="false" customHeight="false" outlineLevel="0" collapsed="false">
      <c r="A2567" s="4" t="n">
        <v>2566</v>
      </c>
      <c r="B2567" s="4" t="s">
        <v>3829</v>
      </c>
      <c r="C2567" s="4" t="n">
        <v>2015</v>
      </c>
      <c r="D2567" s="4" t="s">
        <v>2954</v>
      </c>
      <c r="E2567" s="25" t="str">
        <f aca="false">IF(J2567=1,"✓","")</f>
        <v/>
      </c>
      <c r="F2567" s="4" t="n">
        <v>1</v>
      </c>
      <c r="G2567" s="4" t="n">
        <v>1</v>
      </c>
      <c r="H2567" s="4" t="s">
        <v>1327</v>
      </c>
      <c r="I2567" s="4" t="s">
        <v>53</v>
      </c>
      <c r="J2567" s="4" t="n">
        <f aca="false">INDEX('Master List'!$G$2:$G$2594,K2567)</f>
        <v>0</v>
      </c>
      <c r="K2567" s="4" t="n">
        <v>439</v>
      </c>
    </row>
    <row r="2568" customFormat="false" ht="15" hidden="false" customHeight="false" outlineLevel="0" collapsed="false">
      <c r="A2568" s="4" t="n">
        <v>2567</v>
      </c>
      <c r="B2568" s="4" t="s">
        <v>3830</v>
      </c>
      <c r="C2568" s="4" t="n">
        <v>2015</v>
      </c>
      <c r="D2568" s="4" t="s">
        <v>1258</v>
      </c>
      <c r="E2568" s="25" t="str">
        <f aca="false">IF(J2568=1,"✓","")</f>
        <v/>
      </c>
      <c r="F2568" s="4" t="n">
        <v>1</v>
      </c>
      <c r="G2568" s="4" t="n">
        <v>1</v>
      </c>
      <c r="H2568" s="4" t="s">
        <v>1327</v>
      </c>
      <c r="I2568" s="4" t="s">
        <v>54</v>
      </c>
      <c r="J2568" s="4" t="n">
        <f aca="false">INDEX('Master List'!$G$2:$G$2594,K2568)</f>
        <v>0</v>
      </c>
      <c r="K2568" s="4" t="n">
        <v>2114</v>
      </c>
    </row>
    <row r="2569" customFormat="false" ht="15" hidden="false" customHeight="false" outlineLevel="0" collapsed="false">
      <c r="A2569" s="4" t="n">
        <v>2568</v>
      </c>
      <c r="B2569" s="4" t="s">
        <v>3831</v>
      </c>
      <c r="C2569" s="4" t="n">
        <v>2016</v>
      </c>
      <c r="D2569" s="4" t="s">
        <v>3832</v>
      </c>
      <c r="E2569" s="25" t="str">
        <f aca="false">IF(J2569=1,"✓","")</f>
        <v/>
      </c>
      <c r="F2569" s="4" t="n">
        <v>1</v>
      </c>
      <c r="G2569" s="4" t="n">
        <v>1</v>
      </c>
      <c r="H2569" s="4" t="s">
        <v>1327</v>
      </c>
      <c r="I2569" s="4" t="s">
        <v>51</v>
      </c>
      <c r="J2569" s="4" t="n">
        <f aca="false">INDEX('Master List'!$G$2:$G$2594,K2569)</f>
        <v>0</v>
      </c>
      <c r="K2569" s="4" t="n">
        <v>126</v>
      </c>
    </row>
    <row r="2570" customFormat="false" ht="15" hidden="false" customHeight="false" outlineLevel="0" collapsed="false">
      <c r="A2570" s="4" t="n">
        <v>2569</v>
      </c>
      <c r="B2570" s="4" t="s">
        <v>3833</v>
      </c>
      <c r="C2570" s="4" t="n">
        <v>2016</v>
      </c>
      <c r="D2570" s="4" t="s">
        <v>361</v>
      </c>
      <c r="E2570" s="25" t="str">
        <f aca="false">IF(J2570=1,"✓","")</f>
        <v/>
      </c>
      <c r="F2570" s="4" t="n">
        <v>1</v>
      </c>
      <c r="G2570" s="4" t="n">
        <v>1</v>
      </c>
      <c r="H2570" s="4" t="s">
        <v>1327</v>
      </c>
      <c r="I2570" s="4" t="s">
        <v>53</v>
      </c>
      <c r="J2570" s="4" t="n">
        <f aca="false">INDEX('Master List'!$G$2:$G$2594,K2570)</f>
        <v>0</v>
      </c>
      <c r="K2570" s="4" t="n">
        <v>2444</v>
      </c>
    </row>
    <row r="2571" customFormat="false" ht="15" hidden="false" customHeight="false" outlineLevel="0" collapsed="false">
      <c r="A2571" s="4" t="n">
        <v>2570</v>
      </c>
      <c r="B2571" s="4" t="s">
        <v>3834</v>
      </c>
      <c r="C2571" s="4" t="n">
        <v>2016</v>
      </c>
      <c r="D2571" s="4" t="s">
        <v>1406</v>
      </c>
      <c r="E2571" s="25" t="str">
        <f aca="false">IF(J2571=1,"✓","")</f>
        <v/>
      </c>
      <c r="F2571" s="4" t="n">
        <v>1</v>
      </c>
      <c r="G2571" s="4" t="n">
        <v>1</v>
      </c>
      <c r="H2571" s="4" t="s">
        <v>1327</v>
      </c>
      <c r="I2571" s="4" t="s">
        <v>55</v>
      </c>
      <c r="J2571" s="4" t="n">
        <f aca="false">INDEX('Master List'!$G$2:$G$2594,K2571)</f>
        <v>0</v>
      </c>
      <c r="K2571" s="4" t="n">
        <v>2079</v>
      </c>
    </row>
    <row r="2572" customFormat="false" ht="15" hidden="false" customHeight="false" outlineLevel="0" collapsed="false">
      <c r="A2572" s="4" t="n">
        <v>2571</v>
      </c>
      <c r="B2572" s="4" t="s">
        <v>3835</v>
      </c>
      <c r="C2572" s="4" t="n">
        <v>2016</v>
      </c>
      <c r="D2572" s="4" t="s">
        <v>1643</v>
      </c>
      <c r="E2572" s="25" t="str">
        <f aca="false">IF(J2572=1,"✓","")</f>
        <v/>
      </c>
      <c r="F2572" s="4" t="n">
        <v>1</v>
      </c>
      <c r="G2572" s="4" t="n">
        <v>1</v>
      </c>
      <c r="H2572" s="4" t="s">
        <v>1327</v>
      </c>
      <c r="I2572" s="4" t="s">
        <v>58</v>
      </c>
      <c r="J2572" s="4" t="n">
        <f aca="false">INDEX('Master List'!$G$2:$G$2594,K2572)</f>
        <v>0</v>
      </c>
      <c r="K2572" s="4" t="n">
        <v>2218</v>
      </c>
    </row>
    <row r="2573" customFormat="false" ht="15" hidden="false" customHeight="false" outlineLevel="0" collapsed="false">
      <c r="A2573" s="4" t="n">
        <v>2572</v>
      </c>
      <c r="B2573" s="4" t="s">
        <v>3836</v>
      </c>
      <c r="C2573" s="4" t="n">
        <v>2017</v>
      </c>
      <c r="D2573" s="4" t="s">
        <v>3837</v>
      </c>
      <c r="E2573" s="25" t="str">
        <f aca="false">IF(J2573=1,"✓","")</f>
        <v/>
      </c>
      <c r="F2573" s="4" t="n">
        <v>1</v>
      </c>
      <c r="G2573" s="4" t="n">
        <v>1</v>
      </c>
      <c r="H2573" s="4" t="s">
        <v>1327</v>
      </c>
      <c r="I2573" s="4" t="s">
        <v>51</v>
      </c>
      <c r="J2573" s="4" t="n">
        <f aca="false">INDEX('Master List'!$G$2:$G$2594,K2573)</f>
        <v>0</v>
      </c>
      <c r="K2573" s="4" t="n">
        <v>1662</v>
      </c>
    </row>
    <row r="2574" customFormat="false" ht="15" hidden="false" customHeight="false" outlineLevel="0" collapsed="false">
      <c r="A2574" s="4" t="n">
        <v>2573</v>
      </c>
      <c r="B2574" s="4" t="s">
        <v>3838</v>
      </c>
      <c r="C2574" s="4" t="n">
        <v>2017</v>
      </c>
      <c r="D2574" s="4" t="s">
        <v>3839</v>
      </c>
      <c r="E2574" s="25" t="str">
        <f aca="false">IF(J2574=1,"✓","")</f>
        <v>✓</v>
      </c>
      <c r="F2574" s="4" t="n">
        <v>1</v>
      </c>
      <c r="G2574" s="4" t="n">
        <v>1</v>
      </c>
      <c r="H2574" s="4" t="s">
        <v>1327</v>
      </c>
      <c r="I2574" s="4" t="s">
        <v>52</v>
      </c>
      <c r="J2574" s="4" t="n">
        <f aca="false">INDEX('Master List'!$G$2:$G$2594,K2574)</f>
        <v>1</v>
      </c>
      <c r="K2574" s="4" t="n">
        <v>892</v>
      </c>
    </row>
    <row r="2575" customFormat="false" ht="15" hidden="false" customHeight="false" outlineLevel="0" collapsed="false">
      <c r="A2575" s="4" t="n">
        <v>2574</v>
      </c>
      <c r="B2575" s="4" t="s">
        <v>3840</v>
      </c>
      <c r="C2575" s="4" t="n">
        <v>2017</v>
      </c>
      <c r="D2575" s="4" t="s">
        <v>516</v>
      </c>
      <c r="E2575" s="25" t="str">
        <f aca="false">IF(J2575=1,"✓","")</f>
        <v/>
      </c>
      <c r="F2575" s="4" t="n">
        <v>1</v>
      </c>
      <c r="G2575" s="4" t="n">
        <v>1</v>
      </c>
      <c r="H2575" s="4" t="s">
        <v>1327</v>
      </c>
      <c r="I2575" s="4" t="s">
        <v>53</v>
      </c>
      <c r="J2575" s="4" t="n">
        <f aca="false">INDEX('Master List'!$G$2:$G$2594,K2575)</f>
        <v>0</v>
      </c>
      <c r="K2575" s="4" t="n">
        <v>988</v>
      </c>
    </row>
    <row r="2576" customFormat="false" ht="15" hidden="false" customHeight="false" outlineLevel="0" collapsed="false">
      <c r="A2576" s="4" t="n">
        <v>2575</v>
      </c>
      <c r="B2576" s="4" t="s">
        <v>3841</v>
      </c>
      <c r="C2576" s="4" t="n">
        <v>2017</v>
      </c>
      <c r="D2576" s="4" t="s">
        <v>276</v>
      </c>
      <c r="E2576" s="25" t="str">
        <f aca="false">IF(J2576=1,"✓","")</f>
        <v>✓</v>
      </c>
      <c r="F2576" s="4" t="n">
        <v>1</v>
      </c>
      <c r="G2576" s="4" t="n">
        <v>1</v>
      </c>
      <c r="H2576" s="4" t="s">
        <v>1327</v>
      </c>
      <c r="I2576" s="4" t="s">
        <v>53</v>
      </c>
      <c r="J2576" s="4" t="n">
        <f aca="false">INDEX('Master List'!$G$2:$G$2594,K2576)</f>
        <v>1</v>
      </c>
      <c r="K2576" s="4" t="n">
        <v>1655</v>
      </c>
    </row>
    <row r="2577" customFormat="false" ht="15" hidden="false" customHeight="false" outlineLevel="0" collapsed="false">
      <c r="A2577" s="4" t="n">
        <v>2576</v>
      </c>
      <c r="B2577" s="4" t="s">
        <v>3842</v>
      </c>
      <c r="C2577" s="4" t="n">
        <v>2017</v>
      </c>
      <c r="D2577" s="4" t="s">
        <v>203</v>
      </c>
      <c r="E2577" s="25" t="str">
        <f aca="false">IF(J2577=1,"✓","")</f>
        <v/>
      </c>
      <c r="F2577" s="4" t="n">
        <v>1</v>
      </c>
      <c r="G2577" s="4" t="n">
        <v>1</v>
      </c>
      <c r="H2577" s="4" t="s">
        <v>1327</v>
      </c>
      <c r="I2577" s="4" t="s">
        <v>53</v>
      </c>
      <c r="J2577" s="4" t="n">
        <f aca="false">INDEX('Master List'!$G$2:$G$2594,K2577)</f>
        <v>0</v>
      </c>
      <c r="K2577" s="4" t="n">
        <v>14</v>
      </c>
    </row>
    <row r="2578" customFormat="false" ht="15" hidden="false" customHeight="false" outlineLevel="0" collapsed="false">
      <c r="A2578" s="4" t="n">
        <v>2577</v>
      </c>
      <c r="B2578" s="4" t="s">
        <v>3843</v>
      </c>
      <c r="C2578" s="4" t="n">
        <v>2017</v>
      </c>
      <c r="D2578" s="4" t="s">
        <v>3844</v>
      </c>
      <c r="E2578" s="25" t="str">
        <f aca="false">IF(J2578=1,"✓","")</f>
        <v>✓</v>
      </c>
      <c r="F2578" s="4" t="n">
        <v>1</v>
      </c>
      <c r="G2578" s="4" t="n">
        <v>1</v>
      </c>
      <c r="H2578" s="4" t="s">
        <v>1327</v>
      </c>
      <c r="I2578" s="4" t="s">
        <v>55</v>
      </c>
      <c r="J2578" s="4" t="n">
        <f aca="false">INDEX('Master List'!$G$2:$G$2594,K2578)</f>
        <v>1</v>
      </c>
      <c r="K2578" s="4" t="n">
        <v>1396</v>
      </c>
    </row>
    <row r="2579" customFormat="false" ht="15" hidden="false" customHeight="false" outlineLevel="0" collapsed="false">
      <c r="A2579" s="4" t="n">
        <v>2578</v>
      </c>
      <c r="B2579" s="4" t="s">
        <v>3845</v>
      </c>
      <c r="C2579" s="4" t="n">
        <v>2018</v>
      </c>
      <c r="D2579" s="4" t="s">
        <v>3846</v>
      </c>
      <c r="E2579" s="25" t="str">
        <f aca="false">IF(J2579=1,"✓","")</f>
        <v/>
      </c>
      <c r="F2579" s="4" t="n">
        <v>1</v>
      </c>
      <c r="G2579" s="4" t="n">
        <v>1</v>
      </c>
      <c r="H2579" s="4" t="s">
        <v>1327</v>
      </c>
      <c r="I2579" s="4" t="s">
        <v>51</v>
      </c>
      <c r="J2579" s="4" t="n">
        <f aca="false">INDEX('Master List'!$G$2:$G$2594,K2579)</f>
        <v>0</v>
      </c>
      <c r="K2579" s="4" t="n">
        <v>719</v>
      </c>
    </row>
    <row r="2580" customFormat="false" ht="15" hidden="false" customHeight="false" outlineLevel="0" collapsed="false">
      <c r="A2580" s="4" t="n">
        <v>2579</v>
      </c>
      <c r="B2580" s="4" t="s">
        <v>3847</v>
      </c>
      <c r="C2580" s="4" t="n">
        <v>2018</v>
      </c>
      <c r="D2580" s="4" t="s">
        <v>143</v>
      </c>
      <c r="E2580" s="25" t="str">
        <f aca="false">IF(J2580=1,"✓","")</f>
        <v/>
      </c>
      <c r="F2580" s="4" t="n">
        <v>1</v>
      </c>
      <c r="G2580" s="4" t="n">
        <v>1</v>
      </c>
      <c r="H2580" s="4" t="s">
        <v>1327</v>
      </c>
      <c r="I2580" s="4" t="s">
        <v>53</v>
      </c>
      <c r="J2580" s="4" t="n">
        <f aca="false">INDEX('Master List'!$G$2:$G$2594,K2580)</f>
        <v>0</v>
      </c>
      <c r="K2580" s="4" t="n">
        <v>1696</v>
      </c>
    </row>
    <row r="2581" customFormat="false" ht="15" hidden="false" customHeight="false" outlineLevel="0" collapsed="false">
      <c r="A2581" s="4" t="n">
        <v>2580</v>
      </c>
      <c r="B2581" s="4" t="s">
        <v>3848</v>
      </c>
      <c r="C2581" s="4" t="n">
        <v>2018</v>
      </c>
      <c r="D2581" s="4" t="s">
        <v>859</v>
      </c>
      <c r="E2581" s="25" t="str">
        <f aca="false">IF(J2581=1,"✓","")</f>
        <v/>
      </c>
      <c r="F2581" s="4" t="n">
        <v>1</v>
      </c>
      <c r="G2581" s="4" t="n">
        <v>1</v>
      </c>
      <c r="H2581" s="4" t="s">
        <v>1327</v>
      </c>
      <c r="I2581" s="4" t="s">
        <v>53</v>
      </c>
      <c r="J2581" s="4" t="n">
        <f aca="false">INDEX('Master List'!$G$2:$G$2594,K2581)</f>
        <v>0</v>
      </c>
      <c r="K2581" s="4" t="n">
        <v>135</v>
      </c>
    </row>
    <row r="2582" customFormat="false" ht="15" hidden="false" customHeight="false" outlineLevel="0" collapsed="false">
      <c r="A2582" s="4" t="n">
        <v>2581</v>
      </c>
      <c r="B2582" s="4" t="s">
        <v>3849</v>
      </c>
      <c r="C2582" s="4" t="n">
        <v>2019</v>
      </c>
      <c r="D2582" s="4" t="s">
        <v>3850</v>
      </c>
      <c r="E2582" s="25" t="str">
        <f aca="false">IF(J2582=1,"✓","")</f>
        <v/>
      </c>
      <c r="F2582" s="4" t="n">
        <v>1</v>
      </c>
      <c r="G2582" s="4" t="n">
        <v>1</v>
      </c>
      <c r="H2582" s="4" t="s">
        <v>1327</v>
      </c>
      <c r="I2582" s="4" t="s">
        <v>51</v>
      </c>
      <c r="J2582" s="4" t="n">
        <f aca="false">INDEX('Master List'!$G$2:$G$2594,K2582)</f>
        <v>0</v>
      </c>
      <c r="K2582" s="4" t="n">
        <v>1453</v>
      </c>
    </row>
    <row r="2583" customFormat="false" ht="15" hidden="false" customHeight="false" outlineLevel="0" collapsed="false">
      <c r="A2583" s="4" t="n">
        <v>2582</v>
      </c>
      <c r="B2583" s="4" t="s">
        <v>3851</v>
      </c>
      <c r="C2583" s="4" t="n">
        <v>2019</v>
      </c>
      <c r="D2583" s="4" t="s">
        <v>3754</v>
      </c>
      <c r="E2583" s="25" t="str">
        <f aca="false">IF(J2583=1,"✓","")</f>
        <v/>
      </c>
      <c r="F2583" s="4" t="n">
        <v>1</v>
      </c>
      <c r="G2583" s="4" t="n">
        <v>1</v>
      </c>
      <c r="H2583" s="4" t="s">
        <v>1327</v>
      </c>
      <c r="I2583" s="4" t="s">
        <v>56</v>
      </c>
      <c r="J2583" s="4" t="n">
        <f aca="false">INDEX('Master List'!$G$2:$G$2594,K2583)</f>
        <v>0</v>
      </c>
      <c r="K2583" s="4" t="n">
        <v>29</v>
      </c>
    </row>
    <row r="2584" customFormat="false" ht="15" hidden="false" customHeight="false" outlineLevel="0" collapsed="false">
      <c r="A2584" s="4" t="n">
        <v>2583</v>
      </c>
      <c r="B2584" s="4" t="s">
        <v>3852</v>
      </c>
      <c r="C2584" s="4" t="n">
        <v>2020</v>
      </c>
      <c r="D2584" s="4" t="s">
        <v>3853</v>
      </c>
      <c r="E2584" s="25" t="str">
        <f aca="false">IF(J2584=1,"✓","")</f>
        <v/>
      </c>
      <c r="F2584" s="4" t="n">
        <v>1</v>
      </c>
      <c r="G2584" s="4" t="n">
        <v>1</v>
      </c>
      <c r="H2584" s="4" t="s">
        <v>1327</v>
      </c>
      <c r="I2584" s="4" t="s">
        <v>52</v>
      </c>
      <c r="J2584" s="4" t="n">
        <f aca="false">INDEX('Master List'!$G$2:$G$2594,K2584)</f>
        <v>0</v>
      </c>
      <c r="K2584" s="4" t="n">
        <v>1882</v>
      </c>
    </row>
    <row r="2585" customFormat="false" ht="15" hidden="false" customHeight="false" outlineLevel="0" collapsed="false">
      <c r="A2585" s="4" t="n">
        <v>2584</v>
      </c>
      <c r="B2585" s="4" t="s">
        <v>3854</v>
      </c>
      <c r="C2585" s="4" t="n">
        <v>2020</v>
      </c>
      <c r="D2585" s="4" t="s">
        <v>3855</v>
      </c>
      <c r="E2585" s="25" t="str">
        <f aca="false">IF(J2585=1,"✓","")</f>
        <v/>
      </c>
      <c r="F2585" s="4" t="n">
        <v>1</v>
      </c>
      <c r="G2585" s="4" t="n">
        <v>1</v>
      </c>
      <c r="H2585" s="4" t="s">
        <v>1327</v>
      </c>
      <c r="I2585" s="4" t="s">
        <v>52</v>
      </c>
      <c r="J2585" s="4" t="n">
        <f aca="false">INDEX('Master List'!$G$2:$G$2594,K2585)</f>
        <v>0</v>
      </c>
      <c r="K2585" s="4" t="n">
        <v>1802</v>
      </c>
    </row>
    <row r="2586" customFormat="false" ht="15" hidden="false" customHeight="false" outlineLevel="0" collapsed="false">
      <c r="A2586" s="4" t="n">
        <v>2585</v>
      </c>
      <c r="B2586" s="4" t="s">
        <v>3856</v>
      </c>
      <c r="C2586" s="4" t="n">
        <v>2021</v>
      </c>
      <c r="D2586" s="4" t="s">
        <v>3857</v>
      </c>
      <c r="E2586" s="25" t="str">
        <f aca="false">IF(J2586=1,"✓","")</f>
        <v/>
      </c>
      <c r="F2586" s="4" t="n">
        <v>1</v>
      </c>
      <c r="G2586" s="4" t="n">
        <v>1</v>
      </c>
      <c r="H2586" s="4" t="s">
        <v>1327</v>
      </c>
      <c r="I2586" s="4" t="s">
        <v>52</v>
      </c>
      <c r="J2586" s="4" t="n">
        <f aca="false">INDEX('Master List'!$G$2:$G$2594,K2586)</f>
        <v>0</v>
      </c>
      <c r="K2586" s="4" t="n">
        <v>1404</v>
      </c>
    </row>
    <row r="2587" customFormat="false" ht="15" hidden="false" customHeight="false" outlineLevel="0" collapsed="false">
      <c r="A2587" s="4" t="n">
        <v>2586</v>
      </c>
      <c r="B2587" s="4" t="s">
        <v>3858</v>
      </c>
      <c r="C2587" s="4" t="n">
        <v>2021</v>
      </c>
      <c r="D2587" s="4" t="s">
        <v>397</v>
      </c>
      <c r="E2587" s="25" t="str">
        <f aca="false">IF(J2587=1,"✓","")</f>
        <v>✓</v>
      </c>
      <c r="F2587" s="4" t="n">
        <v>1</v>
      </c>
      <c r="G2587" s="4" t="n">
        <v>1</v>
      </c>
      <c r="H2587" s="4" t="s">
        <v>1327</v>
      </c>
      <c r="I2587" s="4" t="s">
        <v>53</v>
      </c>
      <c r="J2587" s="4" t="n">
        <f aca="false">INDEX('Master List'!$G$2:$G$2594,K2587)</f>
        <v>1</v>
      </c>
      <c r="K2587" s="4" t="n">
        <v>2357</v>
      </c>
    </row>
    <row r="2588" customFormat="false" ht="15" hidden="false" customHeight="false" outlineLevel="0" collapsed="false">
      <c r="A2588" s="4" t="n">
        <v>2587</v>
      </c>
      <c r="B2588" s="4" t="s">
        <v>3859</v>
      </c>
      <c r="C2588" s="4" t="n">
        <v>2021</v>
      </c>
      <c r="D2588" s="4" t="s">
        <v>3860</v>
      </c>
      <c r="E2588" s="25" t="str">
        <f aca="false">IF(J2588=1,"✓","")</f>
        <v>✓</v>
      </c>
      <c r="F2588" s="4" t="n">
        <v>1</v>
      </c>
      <c r="G2588" s="4" t="n">
        <v>1</v>
      </c>
      <c r="H2588" s="4" t="s">
        <v>1327</v>
      </c>
      <c r="I2588" s="4" t="s">
        <v>55</v>
      </c>
      <c r="J2588" s="4" t="n">
        <f aca="false">INDEX('Master List'!$G$2:$G$2594,K2588)</f>
        <v>1</v>
      </c>
      <c r="K2588" s="4" t="n">
        <v>1766</v>
      </c>
    </row>
    <row r="2589" customFormat="false" ht="15" hidden="false" customHeight="false" outlineLevel="0" collapsed="false">
      <c r="A2589" s="4" t="n">
        <v>2588</v>
      </c>
      <c r="B2589" s="4" t="s">
        <v>3861</v>
      </c>
      <c r="C2589" s="4" t="n">
        <v>2022</v>
      </c>
      <c r="D2589" s="4" t="s">
        <v>3862</v>
      </c>
      <c r="E2589" s="25" t="str">
        <f aca="false">IF(J2589=1,"✓","")</f>
        <v/>
      </c>
      <c r="F2589" s="4" t="n">
        <v>1</v>
      </c>
      <c r="G2589" s="4" t="n">
        <v>1</v>
      </c>
      <c r="H2589" s="4" t="s">
        <v>1327</v>
      </c>
      <c r="I2589" s="4" t="s">
        <v>55</v>
      </c>
      <c r="J2589" s="4" t="n">
        <f aca="false">INDEX('Master List'!$G$2:$G$2594,K2589)</f>
        <v>0</v>
      </c>
      <c r="K2589" s="4" t="n">
        <v>1958</v>
      </c>
    </row>
    <row r="2590" customFormat="false" ht="15" hidden="false" customHeight="false" outlineLevel="0" collapsed="false">
      <c r="A2590" s="4" t="n">
        <v>2589</v>
      </c>
      <c r="B2590" s="4" t="s">
        <v>3863</v>
      </c>
      <c r="C2590" s="4" t="n">
        <v>2023</v>
      </c>
      <c r="D2590" s="4" t="s">
        <v>3205</v>
      </c>
      <c r="E2590" s="25" t="str">
        <f aca="false">IF(J2590=1,"✓","")</f>
        <v/>
      </c>
      <c r="F2590" s="4" t="n">
        <v>1</v>
      </c>
      <c r="G2590" s="4" t="n">
        <v>1</v>
      </c>
      <c r="H2590" s="4" t="s">
        <v>1327</v>
      </c>
      <c r="I2590" s="4" t="s">
        <v>51</v>
      </c>
      <c r="J2590" s="4" t="n">
        <f aca="false">INDEX('Master List'!$G$2:$G$2594,K2590)</f>
        <v>0</v>
      </c>
      <c r="K2590" s="4" t="n">
        <v>645</v>
      </c>
    </row>
    <row r="2591" customFormat="false" ht="15" hidden="false" customHeight="false" outlineLevel="0" collapsed="false">
      <c r="A2591" s="4" t="n">
        <v>2590</v>
      </c>
      <c r="B2591" s="4" t="s">
        <v>3864</v>
      </c>
      <c r="C2591" s="4" t="n">
        <v>2023</v>
      </c>
      <c r="D2591" s="4" t="s">
        <v>793</v>
      </c>
      <c r="E2591" s="25" t="str">
        <f aca="false">IF(J2591=1,"✓","")</f>
        <v/>
      </c>
      <c r="F2591" s="4" t="n">
        <v>1</v>
      </c>
      <c r="G2591" s="4" t="n">
        <v>1</v>
      </c>
      <c r="H2591" s="4" t="s">
        <v>1327</v>
      </c>
      <c r="I2591" s="4" t="s">
        <v>51</v>
      </c>
      <c r="J2591" s="4" t="n">
        <f aca="false">INDEX('Master List'!$G$2:$G$2594,K2591)</f>
        <v>0</v>
      </c>
      <c r="K2591" s="4" t="n">
        <v>481</v>
      </c>
    </row>
    <row r="2592" customFormat="false" ht="15" hidden="false" customHeight="false" outlineLevel="0" collapsed="false">
      <c r="A2592" s="4" t="n">
        <v>2591</v>
      </c>
      <c r="B2592" s="4" t="s">
        <v>3865</v>
      </c>
      <c r="C2592" s="4" t="n">
        <v>2024</v>
      </c>
      <c r="D2592" s="4" t="s">
        <v>3866</v>
      </c>
      <c r="E2592" s="25" t="str">
        <f aca="false">IF(J2592=1,"✓","")</f>
        <v/>
      </c>
      <c r="F2592" s="4" t="n">
        <v>1</v>
      </c>
      <c r="G2592" s="4" t="n">
        <v>1</v>
      </c>
      <c r="H2592" s="4" t="s">
        <v>1327</v>
      </c>
      <c r="I2592" s="4" t="s">
        <v>51</v>
      </c>
      <c r="J2592" s="4" t="n">
        <f aca="false">INDEX('Master List'!$G$2:$G$2594,K2592)</f>
        <v>0</v>
      </c>
      <c r="K2592" s="4" t="n">
        <v>2007</v>
      </c>
    </row>
    <row r="2593" customFormat="false" ht="15" hidden="false" customHeight="false" outlineLevel="0" collapsed="false">
      <c r="A2593" s="4" t="n">
        <v>2592</v>
      </c>
      <c r="B2593" s="4" t="s">
        <v>3867</v>
      </c>
      <c r="C2593" s="4" t="n">
        <v>2024</v>
      </c>
      <c r="D2593" s="4" t="s">
        <v>3115</v>
      </c>
      <c r="E2593" s="25" t="str">
        <f aca="false">IF(J2593=1,"✓","")</f>
        <v/>
      </c>
      <c r="F2593" s="4" t="n">
        <v>1</v>
      </c>
      <c r="G2593" s="4" t="n">
        <v>1</v>
      </c>
      <c r="H2593" s="4" t="s">
        <v>1327</v>
      </c>
      <c r="I2593" s="4" t="s">
        <v>55</v>
      </c>
      <c r="J2593" s="4" t="n">
        <f aca="false">INDEX('Master List'!$G$2:$G$2594,K2593)</f>
        <v>0</v>
      </c>
      <c r="K2593" s="4" t="n">
        <v>425</v>
      </c>
    </row>
    <row r="2594" customFormat="false" ht="15" hidden="false" customHeight="false" outlineLevel="0" collapsed="false">
      <c r="A2594" s="4" t="n">
        <v>2593</v>
      </c>
      <c r="B2594" s="4" t="s">
        <v>3868</v>
      </c>
      <c r="C2594" s="4" t="n">
        <v>2025</v>
      </c>
      <c r="D2594" s="4" t="s">
        <v>320</v>
      </c>
      <c r="E2594" s="25" t="str">
        <f aca="false">IF(J2594=1,"✓","")</f>
        <v/>
      </c>
      <c r="F2594" s="4" t="n">
        <v>1</v>
      </c>
      <c r="G2594" s="4" t="n">
        <v>1</v>
      </c>
      <c r="H2594" s="4" t="s">
        <v>1327</v>
      </c>
      <c r="I2594" s="4" t="s">
        <v>53</v>
      </c>
      <c r="J2594" s="4" t="n">
        <f aca="false">INDEX('Master List'!$G$2:$G$2594,K2594)</f>
        <v>0</v>
      </c>
      <c r="K2594" s="4" t="n">
        <v>1640</v>
      </c>
    </row>
  </sheetData>
  <autoFilter ref="A1:I2594"/>
  <conditionalFormatting sqref="A2:I2594">
    <cfRule type="expression" priority="2" aboveAverage="0" equalAverage="0" bottom="0" percent="0" rank="0" text="" dxfId="4">
      <formula>$J2=1</formula>
    </cfRule>
  </conditionalFormatting>
  <conditionalFormatting sqref="F2:F2594">
    <cfRule type="dataBar" priority="3">
      <dataBar showValue="1" minLength="10" maxLength="90">
        <cfvo type="min" val="0"/>
        <cfvo type="max" val="0"/>
        <color rgb="FF8EA9DB"/>
      </dataBar>
      <extLst>
        <ext xmlns:x14="http://schemas.microsoft.com/office/spreadsheetml/2009/9/main" uri="{B025F937-C7B1-47D3-B67F-A62EFF666E3E}">
          <x14:id>{E0267A4F-996B-4F20-8228-27C1B9F02326}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267A4F-996B-4F20-8228-27C1B9F02326}">
            <x14:dataBar minLength="10" maxLength="90" axisPosition="none" gradient="true">
              <x14:cfvo type="min"/>
              <x14:cfvo type="max"/>
              <x14:negativeFillColor rgb="FF8EA9DB"/>
              <x14:axisColor rgb="FF000000"/>
            </x14:dataBar>
          </x14:cfRule>
          <xm:sqref>F2:F2594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P4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44"/>
    <col collapsed="false" customWidth="true" hidden="false" outlineLevel="0" max="8" min="8" style="0" width="7"/>
    <col collapsed="false" customWidth="true" hidden="false" outlineLevel="0" max="9" min="9" style="0" width="30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true" outlineLevel="0" max="13" min="13" style="0" width="7"/>
    <col collapsed="false" customWidth="true" hidden="true" outlineLevel="0" max="16" min="14" style="0" width="8"/>
  </cols>
  <sheetData>
    <row r="1" customFormat="false" ht="30" hidden="false" customHeight="true" outlineLevel="0" collapsed="false">
      <c r="A1" s="24" t="s">
        <v>3869</v>
      </c>
      <c r="B1" s="24" t="s">
        <v>43</v>
      </c>
      <c r="C1" s="24" t="s">
        <v>61</v>
      </c>
      <c r="D1" s="24" t="s">
        <v>3870</v>
      </c>
      <c r="E1" s="24" t="s">
        <v>31</v>
      </c>
      <c r="F1" s="24" t="s">
        <v>3871</v>
      </c>
      <c r="G1" s="24" t="s">
        <v>132</v>
      </c>
      <c r="H1" s="24" t="s">
        <v>133</v>
      </c>
      <c r="I1" s="24" t="s">
        <v>134</v>
      </c>
      <c r="J1" s="24" t="s">
        <v>45</v>
      </c>
      <c r="K1" s="24" t="s">
        <v>3872</v>
      </c>
      <c r="L1" s="24" t="s">
        <v>136</v>
      </c>
      <c r="M1" s="24" t="s">
        <v>139</v>
      </c>
      <c r="N1" s="24" t="s">
        <v>3873</v>
      </c>
      <c r="O1" s="24" t="s">
        <v>140</v>
      </c>
      <c r="P1" s="24" t="s">
        <v>3874</v>
      </c>
    </row>
    <row r="2" customFormat="false" ht="15" hidden="false" customHeight="false" outlineLevel="0" collapsed="false">
      <c r="A2" s="26" t="s">
        <v>3875</v>
      </c>
      <c r="B2" s="26" t="s">
        <v>49</v>
      </c>
      <c r="C2" s="26" t="s">
        <v>63</v>
      </c>
      <c r="D2" s="26" t="s">
        <v>3876</v>
      </c>
      <c r="E2" s="4" t="n">
        <v>1</v>
      </c>
      <c r="F2" s="4" t="s">
        <v>144</v>
      </c>
      <c r="G2" s="7" t="s">
        <v>167</v>
      </c>
      <c r="H2" s="4" t="n">
        <v>1940</v>
      </c>
      <c r="I2" s="4" t="s">
        <v>168</v>
      </c>
      <c r="J2" s="25" t="str">
        <f aca="false">IF(M2=1,"✓","")</f>
        <v>✓</v>
      </c>
      <c r="K2" s="4" t="str">
        <f aca="false">IF(AND(M2=0,P2=0),"▶ NEXT","")</f>
        <v/>
      </c>
      <c r="L2" s="4" t="n">
        <f aca="false">INDEX('Master List'!$F$2:$F$2594,O2)</f>
        <v>7</v>
      </c>
      <c r="M2" s="4" t="n">
        <f aca="false">INDEX('Master List'!$G$2:$G$2594,O2)</f>
        <v>1</v>
      </c>
      <c r="N2" s="4" t="str">
        <f aca="false">IF(K2="","",A2)</f>
        <v/>
      </c>
      <c r="O2" s="4" t="n">
        <v>1041</v>
      </c>
      <c r="P2" s="4" t="n">
        <v>0</v>
      </c>
    </row>
    <row r="3" customFormat="false" ht="15" hidden="false" customHeight="false" outlineLevel="0" collapsed="false">
      <c r="A3" s="26" t="s">
        <v>3875</v>
      </c>
      <c r="B3" s="26" t="s">
        <v>49</v>
      </c>
      <c r="C3" s="26" t="s">
        <v>63</v>
      </c>
      <c r="D3" s="26" t="s">
        <v>3876</v>
      </c>
      <c r="E3" s="4" t="n">
        <v>2</v>
      </c>
      <c r="F3" s="4" t="s">
        <v>144</v>
      </c>
      <c r="G3" s="7" t="s">
        <v>412</v>
      </c>
      <c r="H3" s="4" t="n">
        <v>1959</v>
      </c>
      <c r="I3" s="4" t="s">
        <v>162</v>
      </c>
      <c r="J3" s="25" t="str">
        <f aca="false">IF(M3=1,"✓","")</f>
        <v/>
      </c>
      <c r="K3" s="4" t="str">
        <f aca="false">IF(AND(M3=0,P3=0),"▶ NEXT","")</f>
        <v>▶ NEXT</v>
      </c>
      <c r="L3" s="4" t="n">
        <f aca="false">INDEX('Master List'!$F$2:$F$2594,O3)</f>
        <v>3</v>
      </c>
      <c r="M3" s="4" t="n">
        <f aca="false">INDEX('Master List'!$G$2:$G$2594,O3)</f>
        <v>0</v>
      </c>
      <c r="N3" s="4" t="str">
        <f aca="false">IF(K3="","",A3)</f>
        <v>N001</v>
      </c>
      <c r="O3" s="4" t="n">
        <v>1630</v>
      </c>
      <c r="P3" s="4" t="n">
        <f aca="false">IF(A3=A2,P2+1-M2,0)</f>
        <v>0</v>
      </c>
    </row>
    <row r="4" customFormat="false" ht="15" hidden="false" customHeight="false" outlineLevel="0" collapsed="false">
      <c r="A4" s="26" t="s">
        <v>3875</v>
      </c>
      <c r="B4" s="26" t="s">
        <v>49</v>
      </c>
      <c r="C4" s="26" t="s">
        <v>63</v>
      </c>
      <c r="D4" s="26" t="s">
        <v>3876</v>
      </c>
      <c r="E4" s="4" t="n">
        <v>3</v>
      </c>
      <c r="F4" s="4" t="s">
        <v>144</v>
      </c>
      <c r="G4" s="7" t="s">
        <v>147</v>
      </c>
      <c r="H4" s="4" t="n">
        <v>1989</v>
      </c>
      <c r="I4" s="4" t="s">
        <v>148</v>
      </c>
      <c r="J4" s="25" t="str">
        <f aca="false">IF(M4=1,"✓","")</f>
        <v>✓</v>
      </c>
      <c r="K4" s="4" t="str">
        <f aca="false">IF(AND(M4=0,P4=0),"▶ NEXT","")</f>
        <v/>
      </c>
      <c r="L4" s="4" t="n">
        <f aca="false">INDEX('Master List'!$F$2:$F$2594,O4)</f>
        <v>11</v>
      </c>
      <c r="M4" s="4" t="n">
        <f aca="false">INDEX('Master List'!$G$2:$G$2594,O4)</f>
        <v>1</v>
      </c>
      <c r="N4" s="4" t="str">
        <f aca="false">IF(K4="","",A4)</f>
        <v/>
      </c>
      <c r="O4" s="4" t="n">
        <v>646</v>
      </c>
      <c r="P4" s="4" t="n">
        <f aca="false">IF(A4=A3,P3+1-M3,0)</f>
        <v>1</v>
      </c>
    </row>
    <row r="5" customFormat="false" ht="15" hidden="false" customHeight="false" outlineLevel="0" collapsed="false">
      <c r="A5" s="26" t="s">
        <v>3875</v>
      </c>
      <c r="B5" s="26" t="s">
        <v>49</v>
      </c>
      <c r="C5" s="26" t="s">
        <v>63</v>
      </c>
      <c r="D5" s="26" t="s">
        <v>3876</v>
      </c>
      <c r="E5" s="4" t="n">
        <v>4</v>
      </c>
      <c r="F5" s="4" t="s">
        <v>213</v>
      </c>
      <c r="G5" s="4" t="s">
        <v>151</v>
      </c>
      <c r="H5" s="4" t="n">
        <v>1960</v>
      </c>
      <c r="I5" s="4" t="s">
        <v>152</v>
      </c>
      <c r="J5" s="25" t="str">
        <f aca="false">IF(M5=1,"✓","")</f>
        <v/>
      </c>
      <c r="K5" s="4" t="str">
        <f aca="false">IF(AND(M5=0,P5=0),"▶ NEXT","")</f>
        <v/>
      </c>
      <c r="L5" s="4" t="n">
        <f aca="false">INDEX('Master List'!$F$2:$F$2594,O5)</f>
        <v>9</v>
      </c>
      <c r="M5" s="4" t="n">
        <f aca="false">INDEX('Master List'!$G$2:$G$2594,O5)</f>
        <v>0</v>
      </c>
      <c r="N5" s="4" t="str">
        <f aca="false">IF(K5="","",A5)</f>
        <v/>
      </c>
      <c r="O5" s="4" t="n">
        <v>342</v>
      </c>
      <c r="P5" s="4" t="n">
        <f aca="false">IF(A5=A4,P4+1-M4,0)</f>
        <v>1</v>
      </c>
    </row>
    <row r="6" customFormat="false" ht="15" hidden="false" customHeight="false" outlineLevel="0" collapsed="false">
      <c r="A6" s="26" t="s">
        <v>3875</v>
      </c>
      <c r="B6" s="26" t="s">
        <v>49</v>
      </c>
      <c r="C6" s="26" t="s">
        <v>63</v>
      </c>
      <c r="D6" s="26" t="s">
        <v>3876</v>
      </c>
      <c r="E6" s="4" t="n">
        <v>5</v>
      </c>
      <c r="F6" s="4" t="s">
        <v>213</v>
      </c>
      <c r="G6" s="4" t="s">
        <v>145</v>
      </c>
      <c r="H6" s="4" t="n">
        <v>1953</v>
      </c>
      <c r="I6" s="4" t="s">
        <v>146</v>
      </c>
      <c r="J6" s="25" t="str">
        <f aca="false">IF(M6=1,"✓","")</f>
        <v/>
      </c>
      <c r="K6" s="4" t="str">
        <f aca="false">IF(AND(M6=0,P6=0),"▶ NEXT","")</f>
        <v/>
      </c>
      <c r="L6" s="4" t="n">
        <f aca="false">INDEX('Master List'!$F$2:$F$2594,O6)</f>
        <v>10</v>
      </c>
      <c r="M6" s="4" t="n">
        <f aca="false">INDEX('Master List'!$G$2:$G$2594,O6)</f>
        <v>0</v>
      </c>
      <c r="N6" s="4" t="str">
        <f aca="false">IF(K6="","",A6)</f>
        <v/>
      </c>
      <c r="O6" s="4" t="n">
        <v>2328</v>
      </c>
      <c r="P6" s="4" t="n">
        <f aca="false">IF(A6=A5,P5+1-M5,0)</f>
        <v>2</v>
      </c>
    </row>
    <row r="7" customFormat="false" ht="15" hidden="false" customHeight="false" outlineLevel="0" collapsed="false">
      <c r="A7" s="26" t="s">
        <v>3875</v>
      </c>
      <c r="B7" s="26" t="s">
        <v>49</v>
      </c>
      <c r="C7" s="26" t="s">
        <v>63</v>
      </c>
      <c r="D7" s="26" t="s">
        <v>3876</v>
      </c>
      <c r="E7" s="4" t="n">
        <v>6</v>
      </c>
      <c r="F7" s="4" t="s">
        <v>213</v>
      </c>
      <c r="G7" s="4" t="s">
        <v>192</v>
      </c>
      <c r="H7" s="4" t="n">
        <v>1994</v>
      </c>
      <c r="I7" s="4" t="s">
        <v>193</v>
      </c>
      <c r="J7" s="25" t="str">
        <f aca="false">IF(M7=1,"✓","")</f>
        <v/>
      </c>
      <c r="K7" s="4" t="str">
        <f aca="false">IF(AND(M7=0,P7=0),"▶ NEXT","")</f>
        <v/>
      </c>
      <c r="L7" s="4" t="n">
        <f aca="false">INDEX('Master List'!$F$2:$F$2594,O7)</f>
        <v>7</v>
      </c>
      <c r="M7" s="4" t="n">
        <f aca="false">INDEX('Master List'!$G$2:$G$2594,O7)</f>
        <v>0</v>
      </c>
      <c r="N7" s="4" t="str">
        <f aca="false">IF(K7="","",A7)</f>
        <v/>
      </c>
      <c r="O7" s="4" t="n">
        <v>458</v>
      </c>
      <c r="P7" s="4" t="n">
        <f aca="false">IF(A7=A6,P6+1-M6,0)</f>
        <v>3</v>
      </c>
    </row>
    <row r="8" customFormat="false" ht="15" hidden="false" customHeight="false" outlineLevel="0" collapsed="false">
      <c r="A8" s="26" t="s">
        <v>3875</v>
      </c>
      <c r="B8" s="26" t="s">
        <v>49</v>
      </c>
      <c r="C8" s="26" t="s">
        <v>63</v>
      </c>
      <c r="D8" s="26" t="s">
        <v>3876</v>
      </c>
      <c r="E8" s="4" t="n">
        <v>7</v>
      </c>
      <c r="F8" s="4" t="s">
        <v>213</v>
      </c>
      <c r="G8" s="4" t="s">
        <v>180</v>
      </c>
      <c r="H8" s="4" t="n">
        <v>1929</v>
      </c>
      <c r="I8" s="4" t="s">
        <v>181</v>
      </c>
      <c r="J8" s="25" t="str">
        <f aca="false">IF(M8=1,"✓","")</f>
        <v/>
      </c>
      <c r="K8" s="4" t="str">
        <f aca="false">IF(AND(M8=0,P8=0),"▶ NEXT","")</f>
        <v/>
      </c>
      <c r="L8" s="4" t="n">
        <f aca="false">INDEX('Master List'!$F$2:$F$2594,O8)</f>
        <v>7</v>
      </c>
      <c r="M8" s="4" t="n">
        <f aca="false">INDEX('Master List'!$G$2:$G$2594,O8)</f>
        <v>0</v>
      </c>
      <c r="N8" s="4" t="str">
        <f aca="false">IF(K8="","",A8)</f>
        <v/>
      </c>
      <c r="O8" s="4" t="n">
        <v>1434</v>
      </c>
      <c r="P8" s="4" t="n">
        <f aca="false">IF(A8=A7,P7+1-M7,0)</f>
        <v>4</v>
      </c>
    </row>
    <row r="9" customFormat="false" ht="15" hidden="false" customHeight="false" outlineLevel="0" collapsed="false">
      <c r="A9" s="26" t="s">
        <v>3875</v>
      </c>
      <c r="B9" s="26" t="s">
        <v>49</v>
      </c>
      <c r="C9" s="26" t="s">
        <v>63</v>
      </c>
      <c r="D9" s="26" t="s">
        <v>3876</v>
      </c>
      <c r="E9" s="4" t="n">
        <v>8</v>
      </c>
      <c r="F9" s="4" t="s">
        <v>213</v>
      </c>
      <c r="G9" s="4" t="s">
        <v>569</v>
      </c>
      <c r="H9" s="4" t="n">
        <v>1944</v>
      </c>
      <c r="I9" s="4" t="s">
        <v>570</v>
      </c>
      <c r="J9" s="25" t="str">
        <f aca="false">IF(M9=1,"✓","")</f>
        <v/>
      </c>
      <c r="K9" s="4" t="str">
        <f aca="false">IF(AND(M9=0,P9=0),"▶ NEXT","")</f>
        <v/>
      </c>
      <c r="L9" s="4" t="n">
        <f aca="false">INDEX('Master List'!$F$2:$F$2594,O9)</f>
        <v>3</v>
      </c>
      <c r="M9" s="4" t="n">
        <f aca="false">INDEX('Master List'!$G$2:$G$2594,O9)</f>
        <v>0</v>
      </c>
      <c r="N9" s="4" t="str">
        <f aca="false">IF(K9="","",A9)</f>
        <v/>
      </c>
      <c r="O9" s="4" t="n">
        <v>1473</v>
      </c>
      <c r="P9" s="4" t="n">
        <f aca="false">IF(A9=A8,P8+1-M8,0)</f>
        <v>5</v>
      </c>
    </row>
    <row r="10" customFormat="false" ht="15" hidden="false" customHeight="false" outlineLevel="0" collapsed="false">
      <c r="A10" s="26" t="s">
        <v>3875</v>
      </c>
      <c r="B10" s="26" t="s">
        <v>49</v>
      </c>
      <c r="C10" s="26" t="s">
        <v>63</v>
      </c>
      <c r="D10" s="26" t="s">
        <v>3876</v>
      </c>
      <c r="E10" s="4" t="n">
        <v>9</v>
      </c>
      <c r="F10" s="4" t="s">
        <v>213</v>
      </c>
      <c r="G10" s="4" t="s">
        <v>244</v>
      </c>
      <c r="H10" s="4" t="n">
        <v>1980</v>
      </c>
      <c r="I10" s="4" t="s">
        <v>164</v>
      </c>
      <c r="J10" s="25" t="str">
        <f aca="false">IF(M10=1,"✓","")</f>
        <v>✓</v>
      </c>
      <c r="K10" s="4" t="str">
        <f aca="false">IF(AND(M10=0,P10=0),"▶ NEXT","")</f>
        <v/>
      </c>
      <c r="L10" s="4" t="n">
        <f aca="false">INDEX('Master List'!$F$2:$F$2594,O10)</f>
        <v>5</v>
      </c>
      <c r="M10" s="4" t="n">
        <f aca="false">INDEX('Master List'!$G$2:$G$2594,O10)</f>
        <v>1</v>
      </c>
      <c r="N10" s="4" t="str">
        <f aca="false">IF(K10="","",A10)</f>
        <v/>
      </c>
      <c r="O10" s="4" t="n">
        <v>1850</v>
      </c>
      <c r="P10" s="4" t="n">
        <f aca="false">IF(A10=A9,P9+1-M9,0)</f>
        <v>6</v>
      </c>
    </row>
    <row r="11" customFormat="false" ht="15" hidden="false" customHeight="false" outlineLevel="0" collapsed="false">
      <c r="A11" s="26" t="s">
        <v>3875</v>
      </c>
      <c r="B11" s="26" t="s">
        <v>49</v>
      </c>
      <c r="C11" s="26" t="s">
        <v>63</v>
      </c>
      <c r="D11" s="26" t="s">
        <v>3876</v>
      </c>
      <c r="E11" s="4" t="n">
        <v>10</v>
      </c>
      <c r="F11" s="4" t="s">
        <v>213</v>
      </c>
      <c r="G11" s="4" t="s">
        <v>142</v>
      </c>
      <c r="H11" s="4" t="n">
        <v>1941</v>
      </c>
      <c r="I11" s="4" t="s">
        <v>143</v>
      </c>
      <c r="J11" s="25" t="str">
        <f aca="false">IF(M11=1,"✓","")</f>
        <v/>
      </c>
      <c r="K11" s="4" t="str">
        <f aca="false">IF(AND(M11=0,P11=0),"▶ NEXT","")</f>
        <v/>
      </c>
      <c r="L11" s="4" t="n">
        <f aca="false">INDEX('Master List'!$F$2:$F$2594,O11)</f>
        <v>13</v>
      </c>
      <c r="M11" s="4" t="n">
        <f aca="false">INDEX('Master List'!$G$2:$G$2594,O11)</f>
        <v>0</v>
      </c>
      <c r="N11" s="4" t="str">
        <f aca="false">IF(K11="","",A11)</f>
        <v/>
      </c>
      <c r="O11" s="4" t="n">
        <v>462</v>
      </c>
      <c r="P11" s="4" t="n">
        <f aca="false">IF(A11=A10,P10+1-M10,0)</f>
        <v>6</v>
      </c>
    </row>
    <row r="12" customFormat="false" ht="15" hidden="false" customHeight="false" outlineLevel="0" collapsed="false">
      <c r="A12" s="26" t="s">
        <v>3875</v>
      </c>
      <c r="B12" s="26" t="s">
        <v>49</v>
      </c>
      <c r="C12" s="26" t="s">
        <v>63</v>
      </c>
      <c r="D12" s="26" t="s">
        <v>3876</v>
      </c>
      <c r="E12" s="4" t="n">
        <v>11</v>
      </c>
      <c r="F12" s="4" t="s">
        <v>1327</v>
      </c>
      <c r="G12" s="4" t="s">
        <v>1298</v>
      </c>
      <c r="H12" s="4" t="n">
        <v>1923</v>
      </c>
      <c r="I12" s="4" t="s">
        <v>333</v>
      </c>
      <c r="J12" s="25" t="str">
        <f aca="false">IF(M12=1,"✓","")</f>
        <v/>
      </c>
      <c r="K12" s="4" t="str">
        <f aca="false">IF(AND(M12=0,P12=0),"▶ NEXT","")</f>
        <v/>
      </c>
      <c r="L12" s="4" t="n">
        <f aca="false">INDEX('Master List'!$F$2:$F$2594,O12)</f>
        <v>2</v>
      </c>
      <c r="M12" s="4" t="n">
        <f aca="false">INDEX('Master List'!$G$2:$G$2594,O12)</f>
        <v>0</v>
      </c>
      <c r="N12" s="4" t="str">
        <f aca="false">IF(K12="","",A12)</f>
        <v/>
      </c>
      <c r="O12" s="4" t="n">
        <v>1698</v>
      </c>
      <c r="P12" s="4" t="n">
        <f aca="false">IF(A12=A11,P11+1-M11,0)</f>
        <v>7</v>
      </c>
    </row>
    <row r="13" customFormat="false" ht="15" hidden="false" customHeight="false" outlineLevel="0" collapsed="false">
      <c r="A13" s="26" t="s">
        <v>3875</v>
      </c>
      <c r="B13" s="26" t="s">
        <v>49</v>
      </c>
      <c r="C13" s="26" t="s">
        <v>63</v>
      </c>
      <c r="D13" s="26" t="s">
        <v>3876</v>
      </c>
      <c r="E13" s="4" t="n">
        <v>12</v>
      </c>
      <c r="F13" s="4" t="s">
        <v>1327</v>
      </c>
      <c r="G13" s="4" t="s">
        <v>1312</v>
      </c>
      <c r="H13" s="4" t="n">
        <v>1943</v>
      </c>
      <c r="I13" s="4" t="s">
        <v>246</v>
      </c>
      <c r="J13" s="25" t="str">
        <f aca="false">IF(M13=1,"✓","")</f>
        <v/>
      </c>
      <c r="K13" s="4" t="str">
        <f aca="false">IF(AND(M13=0,P13=0),"▶ NEXT","")</f>
        <v/>
      </c>
      <c r="L13" s="4" t="n">
        <f aca="false">INDEX('Master List'!$F$2:$F$2594,O13)</f>
        <v>2</v>
      </c>
      <c r="M13" s="4" t="n">
        <f aca="false">INDEX('Master List'!$G$2:$G$2594,O13)</f>
        <v>0</v>
      </c>
      <c r="N13" s="4" t="str">
        <f aca="false">IF(K13="","",A13)</f>
        <v/>
      </c>
      <c r="O13" s="4" t="n">
        <v>576</v>
      </c>
      <c r="P13" s="4" t="n">
        <f aca="false">IF(A13=A12,P12+1-M12,0)</f>
        <v>8</v>
      </c>
    </row>
    <row r="14" customFormat="false" ht="15" hidden="false" customHeight="false" outlineLevel="0" collapsed="false">
      <c r="A14" s="26" t="s">
        <v>3877</v>
      </c>
      <c r="B14" s="26" t="s">
        <v>49</v>
      </c>
      <c r="C14" s="26" t="s">
        <v>63</v>
      </c>
      <c r="D14" s="26" t="s">
        <v>3878</v>
      </c>
      <c r="E14" s="4" t="n">
        <v>1</v>
      </c>
      <c r="F14" s="4" t="s">
        <v>144</v>
      </c>
      <c r="G14" s="7" t="s">
        <v>330</v>
      </c>
      <c r="H14" s="4" t="n">
        <v>1920</v>
      </c>
      <c r="I14" s="4" t="s">
        <v>331</v>
      </c>
      <c r="J14" s="25" t="str">
        <f aca="false">IF(M14=1,"✓","")</f>
        <v/>
      </c>
      <c r="K14" s="4" t="str">
        <f aca="false">IF(AND(M14=0,P14=0),"▶ NEXT","")</f>
        <v>▶ NEXT</v>
      </c>
      <c r="L14" s="4" t="n">
        <f aca="false">INDEX('Master List'!$F$2:$F$2594,O14)</f>
        <v>4</v>
      </c>
      <c r="M14" s="4" t="n">
        <f aca="false">INDEX('Master List'!$G$2:$G$2594,O14)</f>
        <v>0</v>
      </c>
      <c r="N14" s="4" t="str">
        <f aca="false">IF(K14="","",A14)</f>
        <v>N002</v>
      </c>
      <c r="O14" s="4" t="n">
        <v>377</v>
      </c>
      <c r="P14" s="4" t="n">
        <f aca="false">IF(A14=A13,P13+1-M13,0)</f>
        <v>0</v>
      </c>
    </row>
    <row r="15" customFormat="false" ht="15" hidden="false" customHeight="false" outlineLevel="0" collapsed="false">
      <c r="A15" s="26" t="s">
        <v>3877</v>
      </c>
      <c r="B15" s="26" t="s">
        <v>49</v>
      </c>
      <c r="C15" s="26" t="s">
        <v>63</v>
      </c>
      <c r="D15" s="26" t="s">
        <v>3878</v>
      </c>
      <c r="E15" s="4" t="n">
        <v>2</v>
      </c>
      <c r="F15" s="4" t="s">
        <v>144</v>
      </c>
      <c r="G15" s="7" t="s">
        <v>337</v>
      </c>
      <c r="H15" s="4" t="n">
        <v>1967</v>
      </c>
      <c r="I15" s="4" t="s">
        <v>338</v>
      </c>
      <c r="J15" s="25" t="str">
        <f aca="false">IF(M15=1,"✓","")</f>
        <v/>
      </c>
      <c r="K15" s="4" t="str">
        <f aca="false">IF(AND(M15=0,P15=0),"▶ NEXT","")</f>
        <v/>
      </c>
      <c r="L15" s="4" t="n">
        <f aca="false">INDEX('Master List'!$F$2:$F$2594,O15)</f>
        <v>4</v>
      </c>
      <c r="M15" s="4" t="n">
        <f aca="false">INDEX('Master List'!$G$2:$G$2594,O15)</f>
        <v>0</v>
      </c>
      <c r="N15" s="4" t="str">
        <f aca="false">IF(K15="","",A15)</f>
        <v/>
      </c>
      <c r="O15" s="4" t="n">
        <v>1780</v>
      </c>
      <c r="P15" s="4" t="n">
        <f aca="false">IF(A15=A14,P14+1-M14,0)</f>
        <v>1</v>
      </c>
    </row>
    <row r="16" customFormat="false" ht="15" hidden="false" customHeight="false" outlineLevel="0" collapsed="false">
      <c r="A16" s="26" t="s">
        <v>3877</v>
      </c>
      <c r="B16" s="26" t="s">
        <v>49</v>
      </c>
      <c r="C16" s="26" t="s">
        <v>63</v>
      </c>
      <c r="D16" s="26" t="s">
        <v>3878</v>
      </c>
      <c r="E16" s="4" t="n">
        <v>3</v>
      </c>
      <c r="F16" s="4" t="s">
        <v>213</v>
      </c>
      <c r="G16" s="4" t="s">
        <v>281</v>
      </c>
      <c r="H16" s="4" t="n">
        <v>1927</v>
      </c>
      <c r="I16" s="4" t="s">
        <v>248</v>
      </c>
      <c r="J16" s="25" t="str">
        <f aca="false">IF(M16=1,"✓","")</f>
        <v>✓</v>
      </c>
      <c r="K16" s="4" t="str">
        <f aca="false">IF(AND(M16=0,P16=0),"▶ NEXT","")</f>
        <v/>
      </c>
      <c r="L16" s="4" t="n">
        <f aca="false">INDEX('Master List'!$F$2:$F$2594,O16)</f>
        <v>5</v>
      </c>
      <c r="M16" s="4" t="n">
        <f aca="false">INDEX('Master List'!$G$2:$G$2594,O16)</f>
        <v>1</v>
      </c>
      <c r="N16" s="4" t="str">
        <f aca="false">IF(K16="","",A16)</f>
        <v/>
      </c>
      <c r="O16" s="4" t="n">
        <v>1487</v>
      </c>
      <c r="P16" s="4" t="n">
        <f aca="false">IF(A16=A15,P15+1-M15,0)</f>
        <v>2</v>
      </c>
    </row>
    <row r="17" customFormat="false" ht="15" hidden="false" customHeight="false" outlineLevel="0" collapsed="false">
      <c r="A17" s="26" t="s">
        <v>3877</v>
      </c>
      <c r="B17" s="26" t="s">
        <v>49</v>
      </c>
      <c r="C17" s="26" t="s">
        <v>63</v>
      </c>
      <c r="D17" s="26" t="s">
        <v>3878</v>
      </c>
      <c r="E17" s="4" t="n">
        <v>4</v>
      </c>
      <c r="F17" s="4" t="s">
        <v>213</v>
      </c>
      <c r="G17" s="4" t="s">
        <v>918</v>
      </c>
      <c r="H17" s="4" t="n">
        <v>1942</v>
      </c>
      <c r="I17" s="4" t="s">
        <v>143</v>
      </c>
      <c r="J17" s="25" t="str">
        <f aca="false">IF(M17=1,"✓","")</f>
        <v/>
      </c>
      <c r="K17" s="4" t="str">
        <f aca="false">IF(AND(M17=0,P17=0),"▶ NEXT","")</f>
        <v/>
      </c>
      <c r="L17" s="4" t="n">
        <f aca="false">INDEX('Master List'!$F$2:$F$2594,O17)</f>
        <v>2</v>
      </c>
      <c r="M17" s="4" t="n">
        <f aca="false">INDEX('Master List'!$G$2:$G$2594,O17)</f>
        <v>0</v>
      </c>
      <c r="N17" s="4" t="str">
        <f aca="false">IF(K17="","",A17)</f>
        <v/>
      </c>
      <c r="O17" s="4" t="n">
        <v>1412</v>
      </c>
      <c r="P17" s="4" t="n">
        <f aca="false">IF(A17=A16,P16+1-M16,0)</f>
        <v>2</v>
      </c>
    </row>
    <row r="18" customFormat="false" ht="15" hidden="false" customHeight="false" outlineLevel="0" collapsed="false">
      <c r="A18" s="26" t="s">
        <v>3877</v>
      </c>
      <c r="B18" s="26" t="s">
        <v>49</v>
      </c>
      <c r="C18" s="26" t="s">
        <v>63</v>
      </c>
      <c r="D18" s="26" t="s">
        <v>3878</v>
      </c>
      <c r="E18" s="4" t="n">
        <v>5</v>
      </c>
      <c r="F18" s="4" t="s">
        <v>213</v>
      </c>
      <c r="G18" s="4" t="s">
        <v>452</v>
      </c>
      <c r="H18" s="4" t="n">
        <v>1948</v>
      </c>
      <c r="I18" s="4" t="s">
        <v>453</v>
      </c>
      <c r="J18" s="25" t="str">
        <f aca="false">IF(M18=1,"✓","")</f>
        <v/>
      </c>
      <c r="K18" s="4" t="str">
        <f aca="false">IF(AND(M18=0,P18=0),"▶ NEXT","")</f>
        <v/>
      </c>
      <c r="L18" s="4" t="n">
        <f aca="false">INDEX('Master List'!$F$2:$F$2594,O18)</f>
        <v>3</v>
      </c>
      <c r="M18" s="4" t="n">
        <f aca="false">INDEX('Master List'!$G$2:$G$2594,O18)</f>
        <v>0</v>
      </c>
      <c r="N18" s="4" t="str">
        <f aca="false">IF(K18="","",A18)</f>
        <v/>
      </c>
      <c r="O18" s="4" t="n">
        <v>1877</v>
      </c>
      <c r="P18" s="4" t="n">
        <f aca="false">IF(A18=A17,P17+1-M17,0)</f>
        <v>3</v>
      </c>
    </row>
    <row r="19" customFormat="false" ht="15" hidden="false" customHeight="false" outlineLevel="0" collapsed="false">
      <c r="A19" s="26" t="s">
        <v>3877</v>
      </c>
      <c r="B19" s="26" t="s">
        <v>49</v>
      </c>
      <c r="C19" s="26" t="s">
        <v>63</v>
      </c>
      <c r="D19" s="26" t="s">
        <v>3878</v>
      </c>
      <c r="E19" s="4" t="n">
        <v>6</v>
      </c>
      <c r="F19" s="4" t="s">
        <v>213</v>
      </c>
      <c r="G19" s="4" t="s">
        <v>460</v>
      </c>
      <c r="H19" s="4" t="n">
        <v>1963</v>
      </c>
      <c r="I19" s="4" t="s">
        <v>461</v>
      </c>
      <c r="J19" s="25" t="str">
        <f aca="false">IF(M19=1,"✓","")</f>
        <v/>
      </c>
      <c r="K19" s="4" t="str">
        <f aca="false">IF(AND(M19=0,P19=0),"▶ NEXT","")</f>
        <v/>
      </c>
      <c r="L19" s="4" t="n">
        <f aca="false">INDEX('Master List'!$F$2:$F$2594,O19)</f>
        <v>3</v>
      </c>
      <c r="M19" s="4" t="n">
        <f aca="false">INDEX('Master List'!$G$2:$G$2594,O19)</f>
        <v>0</v>
      </c>
      <c r="N19" s="4" t="str">
        <f aca="false">IF(K19="","",A19)</f>
        <v/>
      </c>
      <c r="O19" s="4" t="n">
        <v>1321</v>
      </c>
      <c r="P19" s="4" t="n">
        <f aca="false">IF(A19=A18,P18+1-M18,0)</f>
        <v>4</v>
      </c>
    </row>
    <row r="20" customFormat="false" ht="15" hidden="false" customHeight="false" outlineLevel="0" collapsed="false">
      <c r="A20" s="26" t="s">
        <v>3877</v>
      </c>
      <c r="B20" s="26" t="s">
        <v>49</v>
      </c>
      <c r="C20" s="26" t="s">
        <v>63</v>
      </c>
      <c r="D20" s="26" t="s">
        <v>3878</v>
      </c>
      <c r="E20" s="4" t="n">
        <v>7</v>
      </c>
      <c r="F20" s="4" t="s">
        <v>213</v>
      </c>
      <c r="G20" s="4" t="s">
        <v>601</v>
      </c>
      <c r="H20" s="4" t="n">
        <v>1975</v>
      </c>
      <c r="I20" s="4" t="s">
        <v>187</v>
      </c>
      <c r="J20" s="25" t="str">
        <f aca="false">IF(M20=1,"✓","")</f>
        <v>✓</v>
      </c>
      <c r="K20" s="4" t="str">
        <f aca="false">IF(AND(M20=0,P20=0),"▶ NEXT","")</f>
        <v/>
      </c>
      <c r="L20" s="4" t="n">
        <f aca="false">INDEX('Master List'!$F$2:$F$2594,O20)</f>
        <v>3</v>
      </c>
      <c r="M20" s="4" t="n">
        <f aca="false">INDEX('Master List'!$G$2:$G$2594,O20)</f>
        <v>1</v>
      </c>
      <c r="N20" s="4" t="str">
        <f aca="false">IF(K20="","",A20)</f>
        <v/>
      </c>
      <c r="O20" s="4" t="n">
        <v>189</v>
      </c>
      <c r="P20" s="4" t="n">
        <f aca="false">IF(A20=A19,P19+1-M19,0)</f>
        <v>5</v>
      </c>
    </row>
    <row r="21" customFormat="false" ht="15" hidden="false" customHeight="false" outlineLevel="0" collapsed="false">
      <c r="A21" s="26" t="s">
        <v>3877</v>
      </c>
      <c r="B21" s="26" t="s">
        <v>49</v>
      </c>
      <c r="C21" s="26" t="s">
        <v>63</v>
      </c>
      <c r="D21" s="26" t="s">
        <v>3878</v>
      </c>
      <c r="E21" s="4" t="n">
        <v>8</v>
      </c>
      <c r="F21" s="4" t="s">
        <v>213</v>
      </c>
      <c r="G21" s="4" t="s">
        <v>173</v>
      </c>
      <c r="H21" s="4" t="n">
        <v>1982</v>
      </c>
      <c r="I21" s="4" t="s">
        <v>174</v>
      </c>
      <c r="J21" s="25" t="str">
        <f aca="false">IF(M21=1,"✓","")</f>
        <v>✓</v>
      </c>
      <c r="K21" s="4" t="str">
        <f aca="false">IF(AND(M21=0,P21=0),"▶ NEXT","")</f>
        <v/>
      </c>
      <c r="L21" s="4" t="n">
        <f aca="false">INDEX('Master List'!$F$2:$F$2594,O21)</f>
        <v>8</v>
      </c>
      <c r="M21" s="4" t="n">
        <f aca="false">INDEX('Master List'!$G$2:$G$2594,O21)</f>
        <v>1</v>
      </c>
      <c r="N21" s="4" t="str">
        <f aca="false">IF(K21="","",A21)</f>
        <v/>
      </c>
      <c r="O21" s="4" t="n">
        <v>279</v>
      </c>
      <c r="P21" s="4" t="n">
        <f aca="false">IF(A21=A20,P20+1-M20,0)</f>
        <v>5</v>
      </c>
    </row>
    <row r="22" customFormat="false" ht="15" hidden="false" customHeight="false" outlineLevel="0" collapsed="false">
      <c r="A22" s="26" t="s">
        <v>3877</v>
      </c>
      <c r="B22" s="26" t="s">
        <v>49</v>
      </c>
      <c r="C22" s="26" t="s">
        <v>63</v>
      </c>
      <c r="D22" s="26" t="s">
        <v>3878</v>
      </c>
      <c r="E22" s="4" t="n">
        <v>9</v>
      </c>
      <c r="F22" s="4" t="s">
        <v>213</v>
      </c>
      <c r="G22" s="4" t="s">
        <v>524</v>
      </c>
      <c r="H22" s="4" t="n">
        <v>2014</v>
      </c>
      <c r="I22" s="4" t="s">
        <v>274</v>
      </c>
      <c r="J22" s="25" t="str">
        <f aca="false">IF(M22=1,"✓","")</f>
        <v>✓</v>
      </c>
      <c r="K22" s="4" t="str">
        <f aca="false">IF(AND(M22=0,P22=0),"▶ NEXT","")</f>
        <v/>
      </c>
      <c r="L22" s="4" t="n">
        <f aca="false">INDEX('Master List'!$F$2:$F$2594,O22)</f>
        <v>3</v>
      </c>
      <c r="M22" s="4" t="n">
        <f aca="false">INDEX('Master List'!$G$2:$G$2594,O22)</f>
        <v>1</v>
      </c>
      <c r="N22" s="4" t="str">
        <f aca="false">IF(K22="","",A22)</f>
        <v/>
      </c>
      <c r="O22" s="4" t="n">
        <v>941</v>
      </c>
      <c r="P22" s="4" t="n">
        <f aca="false">IF(A22=A21,P21+1-M21,0)</f>
        <v>5</v>
      </c>
    </row>
    <row r="23" customFormat="false" ht="15" hidden="false" customHeight="false" outlineLevel="0" collapsed="false">
      <c r="A23" s="26" t="s">
        <v>3877</v>
      </c>
      <c r="B23" s="26" t="s">
        <v>49</v>
      </c>
      <c r="C23" s="26" t="s">
        <v>63</v>
      </c>
      <c r="D23" s="26" t="s">
        <v>3878</v>
      </c>
      <c r="E23" s="4" t="n">
        <v>10</v>
      </c>
      <c r="F23" s="4" t="s">
        <v>1327</v>
      </c>
      <c r="G23" s="4" t="s">
        <v>3391</v>
      </c>
      <c r="H23" s="4" t="n">
        <v>1958</v>
      </c>
      <c r="I23" s="4" t="s">
        <v>232</v>
      </c>
      <c r="J23" s="25" t="str">
        <f aca="false">IF(M23=1,"✓","")</f>
        <v/>
      </c>
      <c r="K23" s="4" t="str">
        <f aca="false">IF(AND(M23=0,P23=0),"▶ NEXT","")</f>
        <v/>
      </c>
      <c r="L23" s="4" t="n">
        <f aca="false">INDEX('Master List'!$F$2:$F$2594,O23)</f>
        <v>1</v>
      </c>
      <c r="M23" s="4" t="n">
        <f aca="false">INDEX('Master List'!$G$2:$G$2594,O23)</f>
        <v>0</v>
      </c>
      <c r="N23" s="4" t="str">
        <f aca="false">IF(K23="","",A23)</f>
        <v/>
      </c>
      <c r="O23" s="4" t="n">
        <v>1187</v>
      </c>
      <c r="P23" s="4" t="n">
        <f aca="false">IF(A23=A22,P22+1-M22,0)</f>
        <v>5</v>
      </c>
    </row>
    <row r="24" customFormat="false" ht="15" hidden="false" customHeight="false" outlineLevel="0" collapsed="false">
      <c r="A24" s="26" t="s">
        <v>3877</v>
      </c>
      <c r="B24" s="26" t="s">
        <v>49</v>
      </c>
      <c r="C24" s="26" t="s">
        <v>63</v>
      </c>
      <c r="D24" s="26" t="s">
        <v>3878</v>
      </c>
      <c r="E24" s="4" t="n">
        <v>11</v>
      </c>
      <c r="F24" s="4" t="s">
        <v>1327</v>
      </c>
      <c r="G24" s="4" t="s">
        <v>1648</v>
      </c>
      <c r="H24" s="4" t="n">
        <v>1969</v>
      </c>
      <c r="I24" s="4" t="s">
        <v>1649</v>
      </c>
      <c r="J24" s="25" t="str">
        <f aca="false">IF(M24=1,"✓","")</f>
        <v/>
      </c>
      <c r="K24" s="4" t="str">
        <f aca="false">IF(AND(M24=0,P24=0),"▶ NEXT","")</f>
        <v/>
      </c>
      <c r="L24" s="4" t="n">
        <f aca="false">INDEX('Master List'!$F$2:$F$2594,O24)</f>
        <v>2</v>
      </c>
      <c r="M24" s="4" t="n">
        <f aca="false">INDEX('Master List'!$G$2:$G$2594,O24)</f>
        <v>0</v>
      </c>
      <c r="N24" s="4" t="str">
        <f aca="false">IF(K24="","",A24)</f>
        <v/>
      </c>
      <c r="O24" s="4" t="n">
        <v>497</v>
      </c>
      <c r="P24" s="4" t="n">
        <f aca="false">IF(A24=A23,P23+1-M23,0)</f>
        <v>6</v>
      </c>
    </row>
    <row r="25" customFormat="false" ht="15" hidden="false" customHeight="false" outlineLevel="0" collapsed="false">
      <c r="A25" s="26" t="s">
        <v>3879</v>
      </c>
      <c r="B25" s="26" t="s">
        <v>49</v>
      </c>
      <c r="C25" s="26" t="s">
        <v>63</v>
      </c>
      <c r="D25" s="26" t="s">
        <v>3880</v>
      </c>
      <c r="E25" s="4" t="n">
        <v>1</v>
      </c>
      <c r="F25" s="4" t="s">
        <v>144</v>
      </c>
      <c r="G25" s="7" t="s">
        <v>142</v>
      </c>
      <c r="H25" s="4" t="n">
        <v>1941</v>
      </c>
      <c r="I25" s="4" t="s">
        <v>143</v>
      </c>
      <c r="J25" s="25" t="str">
        <f aca="false">IF(M25=1,"✓","")</f>
        <v/>
      </c>
      <c r="K25" s="4" t="str">
        <f aca="false">IF(AND(M25=0,P25=0),"▶ NEXT","")</f>
        <v>▶ NEXT</v>
      </c>
      <c r="L25" s="4" t="n">
        <f aca="false">INDEX('Master List'!$F$2:$F$2594,O25)</f>
        <v>13</v>
      </c>
      <c r="M25" s="4" t="n">
        <f aca="false">INDEX('Master List'!$G$2:$G$2594,O25)</f>
        <v>0</v>
      </c>
      <c r="N25" s="4" t="str">
        <f aca="false">IF(K25="","",A25)</f>
        <v>N003</v>
      </c>
      <c r="O25" s="4" t="n">
        <v>462</v>
      </c>
      <c r="P25" s="4" t="n">
        <f aca="false">IF(A25=A24,P24+1-M24,0)</f>
        <v>0</v>
      </c>
    </row>
    <row r="26" customFormat="false" ht="15" hidden="false" customHeight="false" outlineLevel="0" collapsed="false">
      <c r="A26" s="26" t="s">
        <v>3879</v>
      </c>
      <c r="B26" s="26" t="s">
        <v>49</v>
      </c>
      <c r="C26" s="26" t="s">
        <v>63</v>
      </c>
      <c r="D26" s="26" t="s">
        <v>3880</v>
      </c>
      <c r="E26" s="4" t="n">
        <v>2</v>
      </c>
      <c r="F26" s="4" t="s">
        <v>144</v>
      </c>
      <c r="G26" s="7" t="s">
        <v>254</v>
      </c>
      <c r="H26" s="4" t="n">
        <v>1962</v>
      </c>
      <c r="I26" s="4" t="s">
        <v>255</v>
      </c>
      <c r="J26" s="25" t="str">
        <f aca="false">IF(M26=1,"✓","")</f>
        <v/>
      </c>
      <c r="K26" s="4" t="str">
        <f aca="false">IF(AND(M26=0,P26=0),"▶ NEXT","")</f>
        <v/>
      </c>
      <c r="L26" s="4" t="n">
        <f aca="false">INDEX('Master List'!$F$2:$F$2594,O26)</f>
        <v>5</v>
      </c>
      <c r="M26" s="4" t="n">
        <f aca="false">INDEX('Master List'!$G$2:$G$2594,O26)</f>
        <v>0</v>
      </c>
      <c r="N26" s="4" t="str">
        <f aca="false">IF(K26="","",A26)</f>
        <v/>
      </c>
      <c r="O26" s="4" t="n">
        <v>1313</v>
      </c>
      <c r="P26" s="4" t="n">
        <f aca="false">IF(A26=A25,P25+1-M25,0)</f>
        <v>1</v>
      </c>
    </row>
    <row r="27" customFormat="false" ht="15" hidden="false" customHeight="false" outlineLevel="0" collapsed="false">
      <c r="A27" s="26" t="s">
        <v>3879</v>
      </c>
      <c r="B27" s="26" t="s">
        <v>49</v>
      </c>
      <c r="C27" s="26" t="s">
        <v>63</v>
      </c>
      <c r="D27" s="26" t="s">
        <v>3880</v>
      </c>
      <c r="E27" s="4" t="n">
        <v>3</v>
      </c>
      <c r="F27" s="4" t="s">
        <v>213</v>
      </c>
      <c r="G27" s="4" t="s">
        <v>298</v>
      </c>
      <c r="H27" s="4" t="n">
        <v>1927</v>
      </c>
      <c r="I27" s="4" t="s">
        <v>299</v>
      </c>
      <c r="J27" s="25" t="str">
        <f aca="false">IF(M27=1,"✓","")</f>
        <v/>
      </c>
      <c r="K27" s="4" t="str">
        <f aca="false">IF(AND(M27=0,P27=0),"▶ NEXT","")</f>
        <v/>
      </c>
      <c r="L27" s="4" t="n">
        <f aca="false">INDEX('Master List'!$F$2:$F$2594,O27)</f>
        <v>5</v>
      </c>
      <c r="M27" s="4" t="n">
        <f aca="false">INDEX('Master List'!$G$2:$G$2594,O27)</f>
        <v>0</v>
      </c>
      <c r="N27" s="4" t="str">
        <f aca="false">IF(K27="","",A27)</f>
        <v/>
      </c>
      <c r="O27" s="4" t="n">
        <v>2202</v>
      </c>
      <c r="P27" s="4" t="n">
        <f aca="false">IF(A27=A26,P26+1-M26,0)</f>
        <v>2</v>
      </c>
    </row>
    <row r="28" customFormat="false" ht="15" hidden="false" customHeight="false" outlineLevel="0" collapsed="false">
      <c r="A28" s="26" t="s">
        <v>3879</v>
      </c>
      <c r="B28" s="26" t="s">
        <v>49</v>
      </c>
      <c r="C28" s="26" t="s">
        <v>63</v>
      </c>
      <c r="D28" s="26" t="s">
        <v>3880</v>
      </c>
      <c r="E28" s="4" t="n">
        <v>4</v>
      </c>
      <c r="F28" s="4" t="s">
        <v>213</v>
      </c>
      <c r="G28" s="4" t="s">
        <v>538</v>
      </c>
      <c r="H28" s="4" t="n">
        <v>1949</v>
      </c>
      <c r="I28" s="4" t="s">
        <v>539</v>
      </c>
      <c r="J28" s="25" t="str">
        <f aca="false">IF(M28=1,"✓","")</f>
        <v/>
      </c>
      <c r="K28" s="4" t="str">
        <f aca="false">IF(AND(M28=0,P28=0),"▶ NEXT","")</f>
        <v/>
      </c>
      <c r="L28" s="4" t="n">
        <f aca="false">INDEX('Master List'!$F$2:$F$2594,O28)</f>
        <v>3</v>
      </c>
      <c r="M28" s="4" t="n">
        <f aca="false">INDEX('Master List'!$G$2:$G$2594,O28)</f>
        <v>0</v>
      </c>
      <c r="N28" s="4" t="str">
        <f aca="false">IF(K28="","",A28)</f>
        <v/>
      </c>
      <c r="O28" s="4" t="n">
        <v>2281</v>
      </c>
      <c r="P28" s="4" t="n">
        <f aca="false">IF(A28=A27,P27+1-M27,0)</f>
        <v>3</v>
      </c>
    </row>
    <row r="29" customFormat="false" ht="15" hidden="false" customHeight="false" outlineLevel="0" collapsed="false">
      <c r="A29" s="26" t="s">
        <v>3879</v>
      </c>
      <c r="B29" s="26" t="s">
        <v>49</v>
      </c>
      <c r="C29" s="26" t="s">
        <v>63</v>
      </c>
      <c r="D29" s="26" t="s">
        <v>3880</v>
      </c>
      <c r="E29" s="4" t="n">
        <v>5</v>
      </c>
      <c r="F29" s="4" t="s">
        <v>213</v>
      </c>
      <c r="G29" s="4" t="s">
        <v>972</v>
      </c>
      <c r="H29" s="4" t="n">
        <v>1964</v>
      </c>
      <c r="I29" s="4" t="s">
        <v>751</v>
      </c>
      <c r="J29" s="25" t="str">
        <f aca="false">IF(M29=1,"✓","")</f>
        <v/>
      </c>
      <c r="K29" s="4" t="str">
        <f aca="false">IF(AND(M29=0,P29=0),"▶ NEXT","")</f>
        <v/>
      </c>
      <c r="L29" s="4" t="n">
        <f aca="false">INDEX('Master List'!$F$2:$F$2594,O29)</f>
        <v>2</v>
      </c>
      <c r="M29" s="4" t="n">
        <f aca="false">INDEX('Master List'!$G$2:$G$2594,O29)</f>
        <v>0</v>
      </c>
      <c r="N29" s="4" t="str">
        <f aca="false">IF(K29="","",A29)</f>
        <v/>
      </c>
      <c r="O29" s="4" t="n">
        <v>1098</v>
      </c>
      <c r="P29" s="4" t="n">
        <f aca="false">IF(A29=A28,P28+1-M28,0)</f>
        <v>4</v>
      </c>
    </row>
    <row r="30" customFormat="false" ht="15" hidden="false" customHeight="false" outlineLevel="0" collapsed="false">
      <c r="A30" s="26" t="s">
        <v>3879</v>
      </c>
      <c r="B30" s="26" t="s">
        <v>49</v>
      </c>
      <c r="C30" s="26" t="s">
        <v>63</v>
      </c>
      <c r="D30" s="26" t="s">
        <v>3880</v>
      </c>
      <c r="E30" s="4" t="n">
        <v>6</v>
      </c>
      <c r="F30" s="4" t="s">
        <v>213</v>
      </c>
      <c r="G30" s="4" t="s">
        <v>360</v>
      </c>
      <c r="H30" s="4" t="n">
        <v>1978</v>
      </c>
      <c r="I30" s="4" t="s">
        <v>361</v>
      </c>
      <c r="J30" s="25" t="str">
        <f aca="false">IF(M30=1,"✓","")</f>
        <v>✓</v>
      </c>
      <c r="K30" s="4" t="str">
        <f aca="false">IF(AND(M30=0,P30=0),"▶ NEXT","")</f>
        <v/>
      </c>
      <c r="L30" s="4" t="n">
        <f aca="false">INDEX('Master List'!$F$2:$F$2594,O30)</f>
        <v>4</v>
      </c>
      <c r="M30" s="4" t="n">
        <f aca="false">INDEX('Master List'!$G$2:$G$2594,O30)</f>
        <v>1</v>
      </c>
      <c r="N30" s="4" t="str">
        <f aca="false">IF(K30="","",A30)</f>
        <v/>
      </c>
      <c r="O30" s="4" t="n">
        <v>580</v>
      </c>
      <c r="P30" s="4" t="n">
        <f aca="false">IF(A30=A29,P29+1-M29,0)</f>
        <v>5</v>
      </c>
    </row>
    <row r="31" customFormat="false" ht="15" hidden="false" customHeight="false" outlineLevel="0" collapsed="false">
      <c r="A31" s="26" t="s">
        <v>3879</v>
      </c>
      <c r="B31" s="26" t="s">
        <v>49</v>
      </c>
      <c r="C31" s="26" t="s">
        <v>63</v>
      </c>
      <c r="D31" s="26" t="s">
        <v>3880</v>
      </c>
      <c r="E31" s="4" t="n">
        <v>7</v>
      </c>
      <c r="F31" s="4" t="s">
        <v>213</v>
      </c>
      <c r="G31" s="4" t="s">
        <v>591</v>
      </c>
      <c r="H31" s="4" t="n">
        <v>1970</v>
      </c>
      <c r="I31" s="4" t="s">
        <v>592</v>
      </c>
      <c r="J31" s="25" t="str">
        <f aca="false">IF(M31=1,"✓","")</f>
        <v/>
      </c>
      <c r="K31" s="4" t="str">
        <f aca="false">IF(AND(M31=0,P31=0),"▶ NEXT","")</f>
        <v/>
      </c>
      <c r="L31" s="4" t="n">
        <f aca="false">INDEX('Master List'!$F$2:$F$2594,O31)</f>
        <v>3</v>
      </c>
      <c r="M31" s="4" t="n">
        <f aca="false">INDEX('Master List'!$G$2:$G$2594,O31)</f>
        <v>0</v>
      </c>
      <c r="N31" s="4" t="str">
        <f aca="false">IF(K31="","",A31)</f>
        <v/>
      </c>
      <c r="O31" s="4" t="n">
        <v>513</v>
      </c>
      <c r="P31" s="4" t="n">
        <f aca="false">IF(A31=A30,P30+1-M30,0)</f>
        <v>5</v>
      </c>
    </row>
    <row r="32" customFormat="false" ht="15" hidden="false" customHeight="false" outlineLevel="0" collapsed="false">
      <c r="A32" s="26" t="s">
        <v>3879</v>
      </c>
      <c r="B32" s="26" t="s">
        <v>49</v>
      </c>
      <c r="C32" s="26" t="s">
        <v>63</v>
      </c>
      <c r="D32" s="26" t="s">
        <v>3880</v>
      </c>
      <c r="E32" s="4" t="n">
        <v>8</v>
      </c>
      <c r="F32" s="4" t="s">
        <v>213</v>
      </c>
      <c r="G32" s="4" t="s">
        <v>201</v>
      </c>
      <c r="H32" s="4" t="n">
        <v>1979</v>
      </c>
      <c r="I32" s="4" t="s">
        <v>172</v>
      </c>
      <c r="J32" s="25" t="str">
        <f aca="false">IF(M32=1,"✓","")</f>
        <v>✓</v>
      </c>
      <c r="K32" s="4" t="str">
        <f aca="false">IF(AND(M32=0,P32=0),"▶ NEXT","")</f>
        <v/>
      </c>
      <c r="L32" s="4" t="n">
        <f aca="false">INDEX('Master List'!$F$2:$F$2594,O32)</f>
        <v>7</v>
      </c>
      <c r="M32" s="4" t="n">
        <f aca="false">INDEX('Master List'!$G$2:$G$2594,O32)</f>
        <v>1</v>
      </c>
      <c r="N32" s="4" t="str">
        <f aca="false">IF(K32="","",A32)</f>
        <v/>
      </c>
      <c r="O32" s="4" t="n">
        <v>121</v>
      </c>
      <c r="P32" s="4" t="n">
        <f aca="false">IF(A32=A31,P31+1-M31,0)</f>
        <v>6</v>
      </c>
    </row>
    <row r="33" customFormat="false" ht="15" hidden="false" customHeight="false" outlineLevel="0" collapsed="false">
      <c r="A33" s="26" t="s">
        <v>3879</v>
      </c>
      <c r="B33" s="26" t="s">
        <v>49</v>
      </c>
      <c r="C33" s="26" t="s">
        <v>63</v>
      </c>
      <c r="D33" s="26" t="s">
        <v>3880</v>
      </c>
      <c r="E33" s="4" t="n">
        <v>9</v>
      </c>
      <c r="F33" s="4" t="s">
        <v>213</v>
      </c>
      <c r="G33" s="4" t="s">
        <v>230</v>
      </c>
      <c r="H33" s="4" t="n">
        <v>2000</v>
      </c>
      <c r="I33" s="4" t="s">
        <v>193</v>
      </c>
      <c r="J33" s="25" t="str">
        <f aca="false">IF(M33=1,"✓","")</f>
        <v>✓</v>
      </c>
      <c r="K33" s="4" t="str">
        <f aca="false">IF(AND(M33=0,P33=0),"▶ NEXT","")</f>
        <v/>
      </c>
      <c r="L33" s="4" t="n">
        <f aca="false">INDEX('Master List'!$F$2:$F$2594,O33)</f>
        <v>5</v>
      </c>
      <c r="M33" s="4" t="n">
        <f aca="false">INDEX('Master List'!$G$2:$G$2594,O33)</f>
        <v>1</v>
      </c>
      <c r="N33" s="4" t="str">
        <f aca="false">IF(K33="","",A33)</f>
        <v/>
      </c>
      <c r="O33" s="4" t="n">
        <v>1129</v>
      </c>
      <c r="P33" s="4" t="n">
        <f aca="false">IF(A33=A32,P32+1-M32,0)</f>
        <v>6</v>
      </c>
    </row>
    <row r="34" customFormat="false" ht="15" hidden="false" customHeight="false" outlineLevel="0" collapsed="false">
      <c r="A34" s="26" t="s">
        <v>3879</v>
      </c>
      <c r="B34" s="26" t="s">
        <v>49</v>
      </c>
      <c r="C34" s="26" t="s">
        <v>63</v>
      </c>
      <c r="D34" s="26" t="s">
        <v>3880</v>
      </c>
      <c r="E34" s="4" t="n">
        <v>10</v>
      </c>
      <c r="F34" s="4" t="s">
        <v>213</v>
      </c>
      <c r="G34" s="4" t="s">
        <v>383</v>
      </c>
      <c r="H34" s="4" t="n">
        <v>2006</v>
      </c>
      <c r="I34" s="4" t="s">
        <v>384</v>
      </c>
      <c r="J34" s="25" t="str">
        <f aca="false">IF(M34=1,"✓","")</f>
        <v>✓</v>
      </c>
      <c r="K34" s="4" t="str">
        <f aca="false">IF(AND(M34=0,P34=0),"▶ NEXT","")</f>
        <v/>
      </c>
      <c r="L34" s="4" t="n">
        <f aca="false">INDEX('Master List'!$F$2:$F$2594,O34)</f>
        <v>4</v>
      </c>
      <c r="M34" s="4" t="n">
        <f aca="false">INDEX('Master List'!$G$2:$G$2594,O34)</f>
        <v>1</v>
      </c>
      <c r="N34" s="4" t="str">
        <f aca="false">IF(K34="","",A34)</f>
        <v/>
      </c>
      <c r="O34" s="4" t="n">
        <v>444</v>
      </c>
      <c r="P34" s="4" t="n">
        <f aca="false">IF(A34=A33,P33+1-M33,0)</f>
        <v>6</v>
      </c>
    </row>
    <row r="35" customFormat="false" ht="15" hidden="false" customHeight="false" outlineLevel="0" collapsed="false">
      <c r="A35" s="26" t="s">
        <v>3879</v>
      </c>
      <c r="B35" s="26" t="s">
        <v>49</v>
      </c>
      <c r="C35" s="26" t="s">
        <v>63</v>
      </c>
      <c r="D35" s="26" t="s">
        <v>3880</v>
      </c>
      <c r="E35" s="4" t="n">
        <v>11</v>
      </c>
      <c r="F35" s="4" t="s">
        <v>213</v>
      </c>
      <c r="G35" s="4" t="s">
        <v>277</v>
      </c>
      <c r="H35" s="4" t="n">
        <v>2007</v>
      </c>
      <c r="I35" s="4" t="s">
        <v>278</v>
      </c>
      <c r="J35" s="25" t="str">
        <f aca="false">IF(M35=1,"✓","")</f>
        <v>✓</v>
      </c>
      <c r="K35" s="4" t="str">
        <f aca="false">IF(AND(M35=0,P35=0),"▶ NEXT","")</f>
        <v/>
      </c>
      <c r="L35" s="4" t="n">
        <f aca="false">INDEX('Master List'!$F$2:$F$2594,O35)</f>
        <v>5</v>
      </c>
      <c r="M35" s="4" t="n">
        <f aca="false">INDEX('Master List'!$G$2:$G$2594,O35)</f>
        <v>1</v>
      </c>
      <c r="N35" s="4" t="str">
        <f aca="false">IF(K35="","",A35)</f>
        <v/>
      </c>
      <c r="O35" s="4" t="n">
        <v>2269</v>
      </c>
      <c r="P35" s="4" t="n">
        <f aca="false">IF(A35=A34,P34+1-M34,0)</f>
        <v>6</v>
      </c>
    </row>
    <row r="36" customFormat="false" ht="15" hidden="false" customHeight="false" outlineLevel="0" collapsed="false">
      <c r="A36" s="26" t="s">
        <v>3879</v>
      </c>
      <c r="B36" s="26" t="s">
        <v>49</v>
      </c>
      <c r="C36" s="26" t="s">
        <v>63</v>
      </c>
      <c r="D36" s="26" t="s">
        <v>3880</v>
      </c>
      <c r="E36" s="4" t="n">
        <v>12</v>
      </c>
      <c r="F36" s="4" t="s">
        <v>213</v>
      </c>
      <c r="G36" s="4" t="s">
        <v>650</v>
      </c>
      <c r="H36" s="4" t="n">
        <v>2018</v>
      </c>
      <c r="I36" s="4" t="s">
        <v>384</v>
      </c>
      <c r="J36" s="25" t="str">
        <f aca="false">IF(M36=1,"✓","")</f>
        <v/>
      </c>
      <c r="K36" s="4" t="str">
        <f aca="false">IF(AND(M36=0,P36=0),"▶ NEXT","")</f>
        <v/>
      </c>
      <c r="L36" s="4" t="n">
        <f aca="false">INDEX('Master List'!$F$2:$F$2594,O36)</f>
        <v>3</v>
      </c>
      <c r="M36" s="4" t="n">
        <f aca="false">INDEX('Master List'!$G$2:$G$2594,O36)</f>
        <v>0</v>
      </c>
      <c r="N36" s="4" t="str">
        <f aca="false">IF(K36="","",A36)</f>
        <v/>
      </c>
      <c r="O36" s="4" t="n">
        <v>1926</v>
      </c>
      <c r="P36" s="4" t="n">
        <f aca="false">IF(A36=A35,P35+1-M35,0)</f>
        <v>6</v>
      </c>
    </row>
    <row r="37" customFormat="false" ht="15" hidden="false" customHeight="false" outlineLevel="0" collapsed="false">
      <c r="A37" s="26" t="s">
        <v>3879</v>
      </c>
      <c r="B37" s="26" t="s">
        <v>49</v>
      </c>
      <c r="C37" s="26" t="s">
        <v>63</v>
      </c>
      <c r="D37" s="26" t="s">
        <v>3880</v>
      </c>
      <c r="E37" s="4" t="n">
        <v>13</v>
      </c>
      <c r="F37" s="4" t="s">
        <v>1327</v>
      </c>
      <c r="G37" s="4" t="s">
        <v>1402</v>
      </c>
      <c r="H37" s="4" t="n">
        <v>2007</v>
      </c>
      <c r="I37" s="4" t="s">
        <v>1403</v>
      </c>
      <c r="J37" s="25" t="str">
        <f aca="false">IF(M37=1,"✓","")</f>
        <v/>
      </c>
      <c r="K37" s="4" t="str">
        <f aca="false">IF(AND(M37=0,P37=0),"▶ NEXT","")</f>
        <v/>
      </c>
      <c r="L37" s="4" t="n">
        <f aca="false">INDEX('Master List'!$F$2:$F$2594,O37)</f>
        <v>2</v>
      </c>
      <c r="M37" s="4" t="n">
        <f aca="false">INDEX('Master List'!$G$2:$G$2594,O37)</f>
        <v>0</v>
      </c>
      <c r="N37" s="4" t="str">
        <f aca="false">IF(K37="","",A37)</f>
        <v/>
      </c>
      <c r="O37" s="4" t="n">
        <v>141</v>
      </c>
      <c r="P37" s="4" t="n">
        <f aca="false">IF(A37=A36,P36+1-M36,0)</f>
        <v>7</v>
      </c>
    </row>
    <row r="38" customFormat="false" ht="15" hidden="false" customHeight="false" outlineLevel="0" collapsed="false">
      <c r="A38" s="26" t="s">
        <v>3881</v>
      </c>
      <c r="B38" s="26" t="s">
        <v>49</v>
      </c>
      <c r="C38" s="26" t="s">
        <v>63</v>
      </c>
      <c r="D38" s="26" t="s">
        <v>3882</v>
      </c>
      <c r="E38" s="4" t="n">
        <v>1</v>
      </c>
      <c r="F38" s="4" t="s">
        <v>144</v>
      </c>
      <c r="G38" s="7" t="s">
        <v>231</v>
      </c>
      <c r="H38" s="4" t="n">
        <v>1925</v>
      </c>
      <c r="I38" s="4" t="s">
        <v>232</v>
      </c>
      <c r="J38" s="25" t="str">
        <f aca="false">IF(M38=1,"✓","")</f>
        <v/>
      </c>
      <c r="K38" s="4" t="str">
        <f aca="false">IF(AND(M38=0,P38=0),"▶ NEXT","")</f>
        <v>▶ NEXT</v>
      </c>
      <c r="L38" s="4" t="n">
        <f aca="false">INDEX('Master List'!$F$2:$F$2594,O38)</f>
        <v>5</v>
      </c>
      <c r="M38" s="4" t="n">
        <f aca="false">INDEX('Master List'!$G$2:$G$2594,O38)</f>
        <v>0</v>
      </c>
      <c r="N38" s="4" t="str">
        <f aca="false">IF(K38="","",A38)</f>
        <v>N004</v>
      </c>
      <c r="O38" s="4" t="n">
        <v>199</v>
      </c>
      <c r="P38" s="4" t="n">
        <f aca="false">IF(A38=A37,P37+1-M37,0)</f>
        <v>0</v>
      </c>
    </row>
    <row r="39" customFormat="false" ht="15" hidden="false" customHeight="false" outlineLevel="0" collapsed="false">
      <c r="A39" s="26" t="s">
        <v>3881</v>
      </c>
      <c r="B39" s="26" t="s">
        <v>49</v>
      </c>
      <c r="C39" s="26" t="s">
        <v>63</v>
      </c>
      <c r="D39" s="26" t="s">
        <v>3882</v>
      </c>
      <c r="E39" s="4" t="n">
        <v>2</v>
      </c>
      <c r="F39" s="4" t="s">
        <v>144</v>
      </c>
      <c r="G39" s="7" t="s">
        <v>177</v>
      </c>
      <c r="H39" s="4" t="n">
        <v>1960</v>
      </c>
      <c r="I39" s="4" t="s">
        <v>162</v>
      </c>
      <c r="J39" s="25" t="str">
        <f aca="false">IF(M39=1,"✓","")</f>
        <v>✓</v>
      </c>
      <c r="K39" s="4" t="str">
        <f aca="false">IF(AND(M39=0,P39=0),"▶ NEXT","")</f>
        <v/>
      </c>
      <c r="L39" s="4" t="n">
        <f aca="false">INDEX('Master List'!$F$2:$F$2594,O39)</f>
        <v>8</v>
      </c>
      <c r="M39" s="4" t="n">
        <f aca="false">INDEX('Master List'!$G$2:$G$2594,O39)</f>
        <v>1</v>
      </c>
      <c r="N39" s="4" t="str">
        <f aca="false">IF(K39="","",A39)</f>
        <v/>
      </c>
      <c r="O39" s="4" t="n">
        <v>1826</v>
      </c>
      <c r="P39" s="4" t="n">
        <f aca="false">IF(A39=A38,P38+1-M38,0)</f>
        <v>1</v>
      </c>
    </row>
    <row r="40" customFormat="false" ht="15" hidden="false" customHeight="false" outlineLevel="0" collapsed="false">
      <c r="A40" s="26" t="s">
        <v>3881</v>
      </c>
      <c r="B40" s="26" t="s">
        <v>49</v>
      </c>
      <c r="C40" s="26" t="s">
        <v>63</v>
      </c>
      <c r="D40" s="26" t="s">
        <v>3882</v>
      </c>
      <c r="E40" s="4" t="n">
        <v>3</v>
      </c>
      <c r="F40" s="4" t="s">
        <v>213</v>
      </c>
      <c r="G40" s="4" t="s">
        <v>562</v>
      </c>
      <c r="H40" s="4" t="n">
        <v>1916</v>
      </c>
      <c r="I40" s="4" t="s">
        <v>531</v>
      </c>
      <c r="J40" s="25" t="str">
        <f aca="false">IF(M40=1,"✓","")</f>
        <v/>
      </c>
      <c r="K40" s="4" t="str">
        <f aca="false">IF(AND(M40=0,P40=0),"▶ NEXT","")</f>
        <v/>
      </c>
      <c r="L40" s="4" t="n">
        <f aca="false">INDEX('Master List'!$F$2:$F$2594,O40)</f>
        <v>3</v>
      </c>
      <c r="M40" s="4" t="n">
        <f aca="false">INDEX('Master List'!$G$2:$G$2594,O40)</f>
        <v>0</v>
      </c>
      <c r="N40" s="4" t="str">
        <f aca="false">IF(K40="","",A40)</f>
        <v/>
      </c>
      <c r="O40" s="4" t="n">
        <v>1158</v>
      </c>
      <c r="P40" s="4" t="n">
        <f aca="false">IF(A40=A39,P39+1-M39,0)</f>
        <v>1</v>
      </c>
    </row>
    <row r="41" customFormat="false" ht="15" hidden="false" customHeight="false" outlineLevel="0" collapsed="false">
      <c r="A41" s="26" t="s">
        <v>3881</v>
      </c>
      <c r="B41" s="26" t="s">
        <v>49</v>
      </c>
      <c r="C41" s="26" t="s">
        <v>63</v>
      </c>
      <c r="D41" s="26" t="s">
        <v>3882</v>
      </c>
      <c r="E41" s="4" t="n">
        <v>4</v>
      </c>
      <c r="F41" s="4" t="s">
        <v>213</v>
      </c>
      <c r="G41" s="4" t="s">
        <v>300</v>
      </c>
      <c r="H41" s="4" t="n">
        <v>1967</v>
      </c>
      <c r="I41" s="4" t="s">
        <v>301</v>
      </c>
      <c r="J41" s="25" t="str">
        <f aca="false">IF(M41=1,"✓","")</f>
        <v>✓</v>
      </c>
      <c r="K41" s="4" t="str">
        <f aca="false">IF(AND(M41=0,P41=0),"▶ NEXT","")</f>
        <v/>
      </c>
      <c r="L41" s="4" t="n">
        <f aca="false">INDEX('Master List'!$F$2:$F$2594,O41)</f>
        <v>5</v>
      </c>
      <c r="M41" s="4" t="n">
        <f aca="false">INDEX('Master List'!$G$2:$G$2594,O41)</f>
        <v>1</v>
      </c>
      <c r="N41" s="4" t="str">
        <f aca="false">IF(K41="","",A41)</f>
        <v/>
      </c>
      <c r="O41" s="4" t="n">
        <v>314</v>
      </c>
      <c r="P41" s="4" t="n">
        <f aca="false">IF(A41=A40,P40+1-M40,0)</f>
        <v>2</v>
      </c>
    </row>
    <row r="42" customFormat="false" ht="15" hidden="false" customHeight="false" outlineLevel="0" collapsed="false">
      <c r="A42" s="26" t="s">
        <v>3881</v>
      </c>
      <c r="B42" s="26" t="s">
        <v>49</v>
      </c>
      <c r="C42" s="26" t="s">
        <v>63</v>
      </c>
      <c r="D42" s="26" t="s">
        <v>3882</v>
      </c>
      <c r="E42" s="4" t="n">
        <v>5</v>
      </c>
      <c r="F42" s="4" t="s">
        <v>213</v>
      </c>
      <c r="G42" s="4" t="s">
        <v>478</v>
      </c>
      <c r="H42" s="4" t="n">
        <v>1971</v>
      </c>
      <c r="I42" s="4" t="s">
        <v>479</v>
      </c>
      <c r="J42" s="25" t="str">
        <f aca="false">IF(M42=1,"✓","")</f>
        <v>✓</v>
      </c>
      <c r="K42" s="4" t="str">
        <f aca="false">IF(AND(M42=0,P42=0),"▶ NEXT","")</f>
        <v/>
      </c>
      <c r="L42" s="4" t="n">
        <f aca="false">INDEX('Master List'!$F$2:$F$2594,O42)</f>
        <v>3</v>
      </c>
      <c r="M42" s="4" t="n">
        <f aca="false">INDEX('Master List'!$G$2:$G$2594,O42)</f>
        <v>1</v>
      </c>
      <c r="N42" s="4" t="str">
        <f aca="false">IF(K42="","",A42)</f>
        <v/>
      </c>
      <c r="O42" s="4" t="n">
        <v>851</v>
      </c>
      <c r="P42" s="4" t="n">
        <f aca="false">IF(A42=A41,P41+1-M41,0)</f>
        <v>2</v>
      </c>
    </row>
    <row r="43" customFormat="false" ht="15" hidden="false" customHeight="false" outlineLevel="0" collapsed="false">
      <c r="A43" s="26" t="s">
        <v>3881</v>
      </c>
      <c r="B43" s="26" t="s">
        <v>49</v>
      </c>
      <c r="C43" s="26" t="s">
        <v>63</v>
      </c>
      <c r="D43" s="26" t="s">
        <v>3882</v>
      </c>
      <c r="E43" s="4" t="n">
        <v>6</v>
      </c>
      <c r="F43" s="4" t="s">
        <v>213</v>
      </c>
      <c r="G43" s="4" t="s">
        <v>390</v>
      </c>
      <c r="H43" s="4" t="n">
        <v>1973</v>
      </c>
      <c r="I43" s="4" t="s">
        <v>391</v>
      </c>
      <c r="J43" s="25" t="str">
        <f aca="false">IF(M43=1,"✓","")</f>
        <v/>
      </c>
      <c r="K43" s="4" t="str">
        <f aca="false">IF(AND(M43=0,P43=0),"▶ NEXT","")</f>
        <v/>
      </c>
      <c r="L43" s="4" t="n">
        <f aca="false">INDEX('Master List'!$F$2:$F$2594,O43)</f>
        <v>4</v>
      </c>
      <c r="M43" s="4" t="n">
        <f aca="false">INDEX('Master List'!$G$2:$G$2594,O43)</f>
        <v>0</v>
      </c>
      <c r="N43" s="4" t="str">
        <f aca="false">IF(K43="","",A43)</f>
        <v/>
      </c>
      <c r="O43" s="4" t="n">
        <v>659</v>
      </c>
      <c r="P43" s="4" t="n">
        <f aca="false">IF(A43=A42,P42+1-M42,0)</f>
        <v>2</v>
      </c>
    </row>
    <row r="44" customFormat="false" ht="15" hidden="false" customHeight="false" outlineLevel="0" collapsed="false">
      <c r="A44" s="26" t="s">
        <v>3881</v>
      </c>
      <c r="B44" s="26" t="s">
        <v>49</v>
      </c>
      <c r="C44" s="26" t="s">
        <v>63</v>
      </c>
      <c r="D44" s="26" t="s">
        <v>3882</v>
      </c>
      <c r="E44" s="4" t="n">
        <v>7</v>
      </c>
      <c r="F44" s="4" t="s">
        <v>213</v>
      </c>
      <c r="G44" s="4" t="s">
        <v>171</v>
      </c>
      <c r="H44" s="4" t="n">
        <v>1974</v>
      </c>
      <c r="I44" s="4" t="s">
        <v>172</v>
      </c>
      <c r="J44" s="25" t="str">
        <f aca="false">IF(M44=1,"✓","")</f>
        <v>✓</v>
      </c>
      <c r="K44" s="4" t="str">
        <f aca="false">IF(AND(M44=0,P44=0),"▶ NEXT","")</f>
        <v/>
      </c>
      <c r="L44" s="4" t="n">
        <f aca="false">INDEX('Master List'!$F$2:$F$2594,O44)</f>
        <v>8</v>
      </c>
      <c r="M44" s="4" t="n">
        <f aca="false">INDEX('Master List'!$G$2:$G$2594,O44)</f>
        <v>1</v>
      </c>
      <c r="N44" s="4" t="str">
        <f aca="false">IF(K44="","",A44)</f>
        <v/>
      </c>
      <c r="O44" s="4" t="n">
        <v>520</v>
      </c>
      <c r="P44" s="4" t="n">
        <f aca="false">IF(A44=A43,P43+1-M43,0)</f>
        <v>3</v>
      </c>
    </row>
    <row r="45" customFormat="false" ht="15" hidden="false" customHeight="false" outlineLevel="0" collapsed="false">
      <c r="A45" s="26" t="s">
        <v>3881</v>
      </c>
      <c r="B45" s="26" t="s">
        <v>49</v>
      </c>
      <c r="C45" s="26" t="s">
        <v>63</v>
      </c>
      <c r="D45" s="26" t="s">
        <v>3882</v>
      </c>
      <c r="E45" s="4" t="n">
        <v>8</v>
      </c>
      <c r="F45" s="4" t="s">
        <v>213</v>
      </c>
      <c r="G45" s="4" t="s">
        <v>1101</v>
      </c>
      <c r="H45" s="4" t="n">
        <v>1991</v>
      </c>
      <c r="I45" s="4" t="s">
        <v>816</v>
      </c>
      <c r="J45" s="25" t="str">
        <f aca="false">IF(M45=1,"✓","")</f>
        <v/>
      </c>
      <c r="K45" s="4" t="str">
        <f aca="false">IF(AND(M45=0,P45=0),"▶ NEXT","")</f>
        <v/>
      </c>
      <c r="L45" s="4" t="n">
        <f aca="false">INDEX('Master List'!$F$2:$F$2594,O45)</f>
        <v>2</v>
      </c>
      <c r="M45" s="4" t="n">
        <f aca="false">INDEX('Master List'!$G$2:$G$2594,O45)</f>
        <v>0</v>
      </c>
      <c r="N45" s="4" t="str">
        <f aca="false">IF(K45="","",A45)</f>
        <v/>
      </c>
      <c r="O45" s="4" t="n">
        <v>1206</v>
      </c>
      <c r="P45" s="4" t="n">
        <f aca="false">IF(A45=A44,P44+1-M44,0)</f>
        <v>3</v>
      </c>
    </row>
    <row r="46" customFormat="false" ht="15" hidden="false" customHeight="false" outlineLevel="0" collapsed="false">
      <c r="A46" s="26" t="s">
        <v>3881</v>
      </c>
      <c r="B46" s="26" t="s">
        <v>49</v>
      </c>
      <c r="C46" s="26" t="s">
        <v>63</v>
      </c>
      <c r="D46" s="26" t="s">
        <v>3882</v>
      </c>
      <c r="E46" s="4" t="n">
        <v>9</v>
      </c>
      <c r="F46" s="4" t="s">
        <v>213</v>
      </c>
      <c r="G46" s="4" t="s">
        <v>341</v>
      </c>
      <c r="H46" s="4" t="n">
        <v>2000</v>
      </c>
      <c r="I46" s="4" t="s">
        <v>342</v>
      </c>
      <c r="J46" s="25" t="str">
        <f aca="false">IF(M46=1,"✓","")</f>
        <v>✓</v>
      </c>
      <c r="K46" s="4" t="str">
        <f aca="false">IF(AND(M46=0,P46=0),"▶ NEXT","")</f>
        <v/>
      </c>
      <c r="L46" s="4" t="n">
        <f aca="false">INDEX('Master List'!$F$2:$F$2594,O46)</f>
        <v>4</v>
      </c>
      <c r="M46" s="4" t="n">
        <f aca="false">INDEX('Master List'!$G$2:$G$2594,O46)</f>
        <v>1</v>
      </c>
      <c r="N46" s="4" t="str">
        <f aca="false">IF(K46="","",A46)</f>
        <v/>
      </c>
      <c r="O46" s="4" t="n">
        <v>1475</v>
      </c>
      <c r="P46" s="4" t="n">
        <f aca="false">IF(A46=A45,P45+1-M45,0)</f>
        <v>4</v>
      </c>
    </row>
    <row r="47" customFormat="false" ht="15" hidden="false" customHeight="false" outlineLevel="0" collapsed="false">
      <c r="A47" s="26" t="s">
        <v>3881</v>
      </c>
      <c r="B47" s="26" t="s">
        <v>49</v>
      </c>
      <c r="C47" s="26" t="s">
        <v>63</v>
      </c>
      <c r="D47" s="26" t="s">
        <v>3882</v>
      </c>
      <c r="E47" s="4" t="n">
        <v>10</v>
      </c>
      <c r="F47" s="4" t="s">
        <v>213</v>
      </c>
      <c r="G47" s="4" t="s">
        <v>871</v>
      </c>
      <c r="H47" s="4" t="n">
        <v>2015</v>
      </c>
      <c r="I47" s="4" t="s">
        <v>872</v>
      </c>
      <c r="J47" s="25" t="str">
        <f aca="false">IF(M47=1,"✓","")</f>
        <v/>
      </c>
      <c r="K47" s="4" t="str">
        <f aca="false">IF(AND(M47=0,P47=0),"▶ NEXT","")</f>
        <v/>
      </c>
      <c r="L47" s="4" t="n">
        <f aca="false">INDEX('Master List'!$F$2:$F$2594,O47)</f>
        <v>2</v>
      </c>
      <c r="M47" s="4" t="n">
        <f aca="false">INDEX('Master List'!$G$2:$G$2594,O47)</f>
        <v>0</v>
      </c>
      <c r="N47" s="4" t="str">
        <f aca="false">IF(K47="","",A47)</f>
        <v/>
      </c>
      <c r="O47" s="4" t="n">
        <v>1407</v>
      </c>
      <c r="P47" s="4" t="n">
        <f aca="false">IF(A47=A46,P46+1-M46,0)</f>
        <v>4</v>
      </c>
    </row>
    <row r="48" customFormat="false" ht="15" hidden="false" customHeight="false" outlineLevel="0" collapsed="false">
      <c r="A48" s="26" t="s">
        <v>3881</v>
      </c>
      <c r="B48" s="26" t="s">
        <v>49</v>
      </c>
      <c r="C48" s="26" t="s">
        <v>63</v>
      </c>
      <c r="D48" s="26" t="s">
        <v>3882</v>
      </c>
      <c r="E48" s="4" t="n">
        <v>11</v>
      </c>
      <c r="F48" s="4" t="s">
        <v>1327</v>
      </c>
      <c r="G48" s="4" t="s">
        <v>506</v>
      </c>
      <c r="H48" s="4" t="n">
        <v>1998</v>
      </c>
      <c r="I48" s="4" t="s">
        <v>490</v>
      </c>
      <c r="J48" s="25" t="str">
        <f aca="false">IF(M48=1,"✓","")</f>
        <v/>
      </c>
      <c r="K48" s="4" t="str">
        <f aca="false">IF(AND(M48=0,P48=0),"▶ NEXT","")</f>
        <v/>
      </c>
      <c r="L48" s="4" t="n">
        <f aca="false">INDEX('Master List'!$F$2:$F$2594,O48)</f>
        <v>3</v>
      </c>
      <c r="M48" s="4" t="n">
        <f aca="false">INDEX('Master List'!$G$2:$G$2594,O48)</f>
        <v>0</v>
      </c>
      <c r="N48" s="4" t="str">
        <f aca="false">IF(K48="","",A48)</f>
        <v/>
      </c>
      <c r="O48" s="4" t="n">
        <v>1699</v>
      </c>
      <c r="P48" s="4" t="n">
        <f aca="false">IF(A48=A47,P47+1-M47,0)</f>
        <v>5</v>
      </c>
    </row>
    <row r="49" customFormat="false" ht="15" hidden="false" customHeight="false" outlineLevel="0" collapsed="false">
      <c r="A49" s="26" t="s">
        <v>3881</v>
      </c>
      <c r="B49" s="26" t="s">
        <v>49</v>
      </c>
      <c r="C49" s="26" t="s">
        <v>63</v>
      </c>
      <c r="D49" s="26" t="s">
        <v>3882</v>
      </c>
      <c r="E49" s="4" t="n">
        <v>12</v>
      </c>
      <c r="F49" s="4" t="s">
        <v>1327</v>
      </c>
      <c r="G49" s="4" t="s">
        <v>1392</v>
      </c>
      <c r="H49" s="4" t="n">
        <v>1999</v>
      </c>
      <c r="I49" s="4" t="s">
        <v>490</v>
      </c>
      <c r="J49" s="25" t="str">
        <f aca="false">IF(M49=1,"✓","")</f>
        <v>✓</v>
      </c>
      <c r="K49" s="4" t="str">
        <f aca="false">IF(AND(M49=0,P49=0),"▶ NEXT","")</f>
        <v/>
      </c>
      <c r="L49" s="4" t="n">
        <f aca="false">INDEX('Master List'!$F$2:$F$2594,O49)</f>
        <v>2</v>
      </c>
      <c r="M49" s="4" t="n">
        <f aca="false">INDEX('Master List'!$G$2:$G$2594,O49)</f>
        <v>1</v>
      </c>
      <c r="N49" s="4" t="str">
        <f aca="false">IF(K49="","",A49)</f>
        <v/>
      </c>
      <c r="O49" s="4" t="n">
        <v>1341</v>
      </c>
      <c r="P49" s="4" t="n">
        <f aca="false">IF(A49=A48,P48+1-M48,0)</f>
        <v>6</v>
      </c>
    </row>
    <row r="50" customFormat="false" ht="15" hidden="false" customHeight="false" outlineLevel="0" collapsed="false">
      <c r="A50" s="26" t="s">
        <v>3883</v>
      </c>
      <c r="B50" s="26" t="s">
        <v>49</v>
      </c>
      <c r="C50" s="26" t="s">
        <v>63</v>
      </c>
      <c r="D50" s="26" t="s">
        <v>3884</v>
      </c>
      <c r="E50" s="4" t="n">
        <v>1</v>
      </c>
      <c r="F50" s="4" t="s">
        <v>144</v>
      </c>
      <c r="G50" s="7" t="s">
        <v>171</v>
      </c>
      <c r="H50" s="4" t="n">
        <v>1974</v>
      </c>
      <c r="I50" s="4" t="s">
        <v>172</v>
      </c>
      <c r="J50" s="25" t="str">
        <f aca="false">IF(M50=1,"✓","")</f>
        <v>✓</v>
      </c>
      <c r="K50" s="4" t="str">
        <f aca="false">IF(AND(M50=0,P50=0),"▶ NEXT","")</f>
        <v/>
      </c>
      <c r="L50" s="4" t="n">
        <f aca="false">INDEX('Master List'!$F$2:$F$2594,O50)</f>
        <v>8</v>
      </c>
      <c r="M50" s="4" t="n">
        <f aca="false">INDEX('Master List'!$G$2:$G$2594,O50)</f>
        <v>1</v>
      </c>
      <c r="N50" s="4" t="str">
        <f aca="false">IF(K50="","",A50)</f>
        <v/>
      </c>
      <c r="O50" s="4" t="n">
        <v>520</v>
      </c>
      <c r="P50" s="4" t="n">
        <f aca="false">IF(A50=A49,P49+1-M49,0)</f>
        <v>0</v>
      </c>
    </row>
    <row r="51" customFormat="false" ht="15" hidden="false" customHeight="false" outlineLevel="0" collapsed="false">
      <c r="A51" s="26" t="s">
        <v>3883</v>
      </c>
      <c r="B51" s="26" t="s">
        <v>49</v>
      </c>
      <c r="C51" s="26" t="s">
        <v>63</v>
      </c>
      <c r="D51" s="26" t="s">
        <v>3884</v>
      </c>
      <c r="E51" s="4" t="n">
        <v>2</v>
      </c>
      <c r="F51" s="4" t="s">
        <v>144</v>
      </c>
      <c r="G51" s="7" t="s">
        <v>247</v>
      </c>
      <c r="H51" s="4" t="n">
        <v>1931</v>
      </c>
      <c r="I51" s="4" t="s">
        <v>248</v>
      </c>
      <c r="J51" s="25" t="str">
        <f aca="false">IF(M51=1,"✓","")</f>
        <v>✓</v>
      </c>
      <c r="K51" s="4" t="str">
        <f aca="false">IF(AND(M51=0,P51=0),"▶ NEXT","")</f>
        <v/>
      </c>
      <c r="L51" s="4" t="n">
        <f aca="false">INDEX('Master List'!$F$2:$F$2594,O51)</f>
        <v>5</v>
      </c>
      <c r="M51" s="4" t="n">
        <f aca="false">INDEX('Master List'!$G$2:$G$2594,O51)</f>
        <v>1</v>
      </c>
      <c r="N51" s="4" t="str">
        <f aca="false">IF(K51="","",A51)</f>
        <v/>
      </c>
      <c r="O51" s="4" t="n">
        <v>1398</v>
      </c>
      <c r="P51" s="4" t="n">
        <f aca="false">IF(A51=A50,P50+1-M50,0)</f>
        <v>0</v>
      </c>
    </row>
    <row r="52" customFormat="false" ht="15" hidden="false" customHeight="false" outlineLevel="0" collapsed="false">
      <c r="A52" s="26" t="s">
        <v>3883</v>
      </c>
      <c r="B52" s="26" t="s">
        <v>49</v>
      </c>
      <c r="C52" s="26" t="s">
        <v>63</v>
      </c>
      <c r="D52" s="26" t="s">
        <v>3884</v>
      </c>
      <c r="E52" s="4" t="n">
        <v>3</v>
      </c>
      <c r="F52" s="4" t="s">
        <v>213</v>
      </c>
      <c r="G52" s="4" t="s">
        <v>487</v>
      </c>
      <c r="H52" s="4" t="n">
        <v>1981</v>
      </c>
      <c r="I52" s="4" t="s">
        <v>488</v>
      </c>
      <c r="J52" s="25" t="str">
        <f aca="false">IF(M52=1,"✓","")</f>
        <v>✓</v>
      </c>
      <c r="K52" s="4" t="str">
        <f aca="false">IF(AND(M52=0,P52=0),"▶ NEXT","")</f>
        <v/>
      </c>
      <c r="L52" s="4" t="n">
        <f aca="false">INDEX('Master List'!$F$2:$F$2594,O52)</f>
        <v>3</v>
      </c>
      <c r="M52" s="4" t="n">
        <f aca="false">INDEX('Master List'!$G$2:$G$2594,O52)</f>
        <v>1</v>
      </c>
      <c r="N52" s="4" t="str">
        <f aca="false">IF(K52="","",A52)</f>
        <v/>
      </c>
      <c r="O52" s="4" t="n">
        <v>295</v>
      </c>
      <c r="P52" s="4" t="n">
        <f aca="false">IF(A52=A51,P51+1-M51,0)</f>
        <v>0</v>
      </c>
    </row>
    <row r="53" customFormat="false" ht="15" hidden="false" customHeight="false" outlineLevel="0" collapsed="false">
      <c r="A53" s="26" t="s">
        <v>3883</v>
      </c>
      <c r="B53" s="26" t="s">
        <v>49</v>
      </c>
      <c r="C53" s="26" t="s">
        <v>63</v>
      </c>
      <c r="D53" s="26" t="s">
        <v>3884</v>
      </c>
      <c r="E53" s="4" t="n">
        <v>4</v>
      </c>
      <c r="F53" s="4" t="s">
        <v>213</v>
      </c>
      <c r="G53" s="4" t="s">
        <v>201</v>
      </c>
      <c r="H53" s="4" t="n">
        <v>1979</v>
      </c>
      <c r="I53" s="4" t="s">
        <v>172</v>
      </c>
      <c r="J53" s="25" t="str">
        <f aca="false">IF(M53=1,"✓","")</f>
        <v>✓</v>
      </c>
      <c r="K53" s="4" t="str">
        <f aca="false">IF(AND(M53=0,P53=0),"▶ NEXT","")</f>
        <v/>
      </c>
      <c r="L53" s="4" t="n">
        <f aca="false">INDEX('Master List'!$F$2:$F$2594,O53)</f>
        <v>7</v>
      </c>
      <c r="M53" s="4" t="n">
        <f aca="false">INDEX('Master List'!$G$2:$G$2594,O53)</f>
        <v>1</v>
      </c>
      <c r="N53" s="4" t="str">
        <f aca="false">IF(K53="","",A53)</f>
        <v/>
      </c>
      <c r="O53" s="4" t="n">
        <v>121</v>
      </c>
      <c r="P53" s="4" t="n">
        <f aca="false">IF(A53=A52,P52+1-M52,0)</f>
        <v>0</v>
      </c>
    </row>
    <row r="54" customFormat="false" ht="15" hidden="false" customHeight="false" outlineLevel="0" collapsed="false">
      <c r="A54" s="26" t="s">
        <v>3883</v>
      </c>
      <c r="B54" s="26" t="s">
        <v>49</v>
      </c>
      <c r="C54" s="26" t="s">
        <v>63</v>
      </c>
      <c r="D54" s="26" t="s">
        <v>3884</v>
      </c>
      <c r="E54" s="4" t="n">
        <v>5</v>
      </c>
      <c r="F54" s="4" t="s">
        <v>213</v>
      </c>
      <c r="G54" s="4" t="s">
        <v>473</v>
      </c>
      <c r="H54" s="4" t="n">
        <v>1968</v>
      </c>
      <c r="I54" s="4" t="s">
        <v>395</v>
      </c>
      <c r="J54" s="25" t="str">
        <f aca="false">IF(M54=1,"✓","")</f>
        <v>✓</v>
      </c>
      <c r="K54" s="4" t="str">
        <f aca="false">IF(AND(M54=0,P54=0),"▶ NEXT","")</f>
        <v/>
      </c>
      <c r="L54" s="4" t="n">
        <f aca="false">INDEX('Master List'!$F$2:$F$2594,O54)</f>
        <v>3</v>
      </c>
      <c r="M54" s="4" t="n">
        <f aca="false">INDEX('Master List'!$G$2:$G$2594,O54)</f>
        <v>1</v>
      </c>
      <c r="N54" s="4" t="str">
        <f aca="false">IF(K54="","",A54)</f>
        <v/>
      </c>
      <c r="O54" s="4" t="n">
        <v>1673</v>
      </c>
      <c r="P54" s="4" t="n">
        <f aca="false">IF(A54=A53,P53+1-M53,0)</f>
        <v>0</v>
      </c>
    </row>
    <row r="55" customFormat="false" ht="15" hidden="false" customHeight="false" outlineLevel="0" collapsed="false">
      <c r="A55" s="26" t="s">
        <v>3883</v>
      </c>
      <c r="B55" s="26" t="s">
        <v>49</v>
      </c>
      <c r="C55" s="26" t="s">
        <v>63</v>
      </c>
      <c r="D55" s="26" t="s">
        <v>3884</v>
      </c>
      <c r="E55" s="4" t="n">
        <v>6</v>
      </c>
      <c r="F55" s="4" t="s">
        <v>213</v>
      </c>
      <c r="G55" s="4" t="s">
        <v>218</v>
      </c>
      <c r="H55" s="4" t="n">
        <v>1977</v>
      </c>
      <c r="I55" s="4" t="s">
        <v>154</v>
      </c>
      <c r="J55" s="25" t="str">
        <f aca="false">IF(M55=1,"✓","")</f>
        <v>✓</v>
      </c>
      <c r="K55" s="4" t="str">
        <f aca="false">IF(AND(M55=0,P55=0),"▶ NEXT","")</f>
        <v/>
      </c>
      <c r="L55" s="4" t="n">
        <f aca="false">INDEX('Master List'!$F$2:$F$2594,O55)</f>
        <v>6</v>
      </c>
      <c r="M55" s="4" t="n">
        <f aca="false">INDEX('Master List'!$G$2:$G$2594,O55)</f>
        <v>1</v>
      </c>
      <c r="N55" s="4" t="str">
        <f aca="false">IF(K55="","",A55)</f>
        <v/>
      </c>
      <c r="O55" s="4" t="n">
        <v>740</v>
      </c>
      <c r="P55" s="4" t="n">
        <f aca="false">IF(A55=A54,P54+1-M54,0)</f>
        <v>0</v>
      </c>
    </row>
    <row r="56" customFormat="false" ht="15" hidden="false" customHeight="false" outlineLevel="0" collapsed="false">
      <c r="A56" s="26" t="s">
        <v>3883</v>
      </c>
      <c r="B56" s="26" t="s">
        <v>49</v>
      </c>
      <c r="C56" s="26" t="s">
        <v>63</v>
      </c>
      <c r="D56" s="26" t="s">
        <v>3884</v>
      </c>
      <c r="E56" s="4" t="n">
        <v>7</v>
      </c>
      <c r="F56" s="4" t="s">
        <v>213</v>
      </c>
      <c r="G56" s="4" t="s">
        <v>2988</v>
      </c>
      <c r="H56" s="4" t="n">
        <v>2012</v>
      </c>
      <c r="I56" s="4" t="s">
        <v>2989</v>
      </c>
      <c r="J56" s="25" t="str">
        <f aca="false">IF(M56=1,"✓","")</f>
        <v/>
      </c>
      <c r="K56" s="4" t="str">
        <f aca="false">IF(AND(M56=0,P56=0),"▶ NEXT","")</f>
        <v>▶ NEXT</v>
      </c>
      <c r="L56" s="4" t="n">
        <f aca="false">INDEX('Master List'!$F$2:$F$2594,O56)</f>
        <v>1</v>
      </c>
      <c r="M56" s="4" t="n">
        <f aca="false">INDEX('Master List'!$G$2:$G$2594,O56)</f>
        <v>0</v>
      </c>
      <c r="N56" s="4" t="str">
        <f aca="false">IF(K56="","",A56)</f>
        <v>N005</v>
      </c>
      <c r="O56" s="4" t="n">
        <v>226</v>
      </c>
      <c r="P56" s="4" t="n">
        <f aca="false">IF(A56=A55,P55+1-M55,0)</f>
        <v>0</v>
      </c>
    </row>
    <row r="57" customFormat="false" ht="15" hidden="false" customHeight="false" outlineLevel="0" collapsed="false">
      <c r="A57" s="26" t="s">
        <v>3883</v>
      </c>
      <c r="B57" s="26" t="s">
        <v>49</v>
      </c>
      <c r="C57" s="26" t="s">
        <v>63</v>
      </c>
      <c r="D57" s="26" t="s">
        <v>3884</v>
      </c>
      <c r="E57" s="4" t="n">
        <v>8</v>
      </c>
      <c r="F57" s="4" t="s">
        <v>213</v>
      </c>
      <c r="G57" s="4" t="s">
        <v>1248</v>
      </c>
      <c r="H57" s="4" t="n">
        <v>2019</v>
      </c>
      <c r="I57" s="4" t="s">
        <v>1249</v>
      </c>
      <c r="J57" s="25" t="str">
        <f aca="false">IF(M57=1,"✓","")</f>
        <v>✓</v>
      </c>
      <c r="K57" s="4" t="str">
        <f aca="false">IF(AND(M57=0,P57=0),"▶ NEXT","")</f>
        <v/>
      </c>
      <c r="L57" s="4" t="n">
        <f aca="false">INDEX('Master List'!$F$2:$F$2594,O57)</f>
        <v>2</v>
      </c>
      <c r="M57" s="4" t="n">
        <f aca="false">INDEX('Master List'!$G$2:$G$2594,O57)</f>
        <v>1</v>
      </c>
      <c r="N57" s="4" t="str">
        <f aca="false">IF(K57="","",A57)</f>
        <v/>
      </c>
      <c r="O57" s="4" t="n">
        <v>2121</v>
      </c>
      <c r="P57" s="4" t="n">
        <f aca="false">IF(A57=A56,P56+1-M56,0)</f>
        <v>1</v>
      </c>
    </row>
    <row r="58" customFormat="false" ht="15" hidden="false" customHeight="false" outlineLevel="0" collapsed="false">
      <c r="A58" s="26" t="s">
        <v>3883</v>
      </c>
      <c r="B58" s="26" t="s">
        <v>49</v>
      </c>
      <c r="C58" s="26" t="s">
        <v>63</v>
      </c>
      <c r="D58" s="26" t="s">
        <v>3884</v>
      </c>
      <c r="E58" s="4" t="n">
        <v>9</v>
      </c>
      <c r="F58" s="4" t="s">
        <v>213</v>
      </c>
      <c r="G58" s="4" t="s">
        <v>399</v>
      </c>
      <c r="H58" s="4" t="n">
        <v>2023</v>
      </c>
      <c r="I58" s="4" t="s">
        <v>400</v>
      </c>
      <c r="J58" s="25" t="str">
        <f aca="false">IF(M58=1,"✓","")</f>
        <v/>
      </c>
      <c r="K58" s="4" t="str">
        <f aca="false">IF(AND(M58=0,P58=0),"▶ NEXT","")</f>
        <v/>
      </c>
      <c r="L58" s="4" t="n">
        <f aca="false">INDEX('Master List'!$F$2:$F$2594,O58)</f>
        <v>4</v>
      </c>
      <c r="M58" s="4" t="n">
        <f aca="false">INDEX('Master List'!$G$2:$G$2594,O58)</f>
        <v>0</v>
      </c>
      <c r="N58" s="4" t="str">
        <f aca="false">IF(K58="","",A58)</f>
        <v/>
      </c>
      <c r="O58" s="4" t="n">
        <v>2591</v>
      </c>
      <c r="P58" s="4" t="n">
        <f aca="false">IF(A58=A57,P57+1-M57,0)</f>
        <v>1</v>
      </c>
    </row>
    <row r="59" customFormat="false" ht="15" hidden="false" customHeight="false" outlineLevel="0" collapsed="false">
      <c r="A59" s="26" t="s">
        <v>3883</v>
      </c>
      <c r="B59" s="26" t="s">
        <v>49</v>
      </c>
      <c r="C59" s="26" t="s">
        <v>63</v>
      </c>
      <c r="D59" s="26" t="s">
        <v>3884</v>
      </c>
      <c r="E59" s="4" t="n">
        <v>10</v>
      </c>
      <c r="F59" s="4" t="s">
        <v>1327</v>
      </c>
      <c r="G59" s="4" t="s">
        <v>456</v>
      </c>
      <c r="H59" s="4" t="n">
        <v>1956</v>
      </c>
      <c r="I59" s="4" t="s">
        <v>215</v>
      </c>
      <c r="J59" s="25" t="str">
        <f aca="false">IF(M59=1,"✓","")</f>
        <v>✓</v>
      </c>
      <c r="K59" s="4" t="str">
        <f aca="false">IF(AND(M59=0,P59=0),"▶ NEXT","")</f>
        <v/>
      </c>
      <c r="L59" s="4" t="n">
        <f aca="false">INDEX('Master List'!$F$2:$F$2594,O59)</f>
        <v>3</v>
      </c>
      <c r="M59" s="4" t="n">
        <f aca="false">INDEX('Master List'!$G$2:$G$2594,O59)</f>
        <v>1</v>
      </c>
      <c r="N59" s="4" t="str">
        <f aca="false">IF(K59="","",A59)</f>
        <v/>
      </c>
      <c r="O59" s="4" t="n">
        <v>1422</v>
      </c>
      <c r="P59" s="4" t="n">
        <f aca="false">IF(A59=A58,P58+1-M58,0)</f>
        <v>2</v>
      </c>
    </row>
    <row r="60" customFormat="false" ht="15" hidden="false" customHeight="false" outlineLevel="0" collapsed="false">
      <c r="A60" s="26" t="s">
        <v>3885</v>
      </c>
      <c r="B60" s="26" t="s">
        <v>49</v>
      </c>
      <c r="C60" s="26" t="s">
        <v>63</v>
      </c>
      <c r="D60" s="26" t="s">
        <v>3886</v>
      </c>
      <c r="E60" s="4" t="n">
        <v>1</v>
      </c>
      <c r="F60" s="4" t="s">
        <v>144</v>
      </c>
      <c r="G60" s="7" t="s">
        <v>308</v>
      </c>
      <c r="H60" s="4" t="n">
        <v>1958</v>
      </c>
      <c r="I60" s="4" t="s">
        <v>143</v>
      </c>
      <c r="J60" s="25" t="str">
        <f aca="false">IF(M60=1,"✓","")</f>
        <v/>
      </c>
      <c r="K60" s="4" t="str">
        <f aca="false">IF(AND(M60=0,P60=0),"▶ NEXT","")</f>
        <v>▶ NEXT</v>
      </c>
      <c r="L60" s="4" t="n">
        <f aca="false">INDEX('Master List'!$F$2:$F$2594,O60)</f>
        <v>4</v>
      </c>
      <c r="M60" s="4" t="n">
        <f aca="false">INDEX('Master List'!$G$2:$G$2594,O60)</f>
        <v>0</v>
      </c>
      <c r="N60" s="4" t="str">
        <f aca="false">IF(K60="","",A60)</f>
        <v>N006</v>
      </c>
      <c r="O60" s="4" t="n">
        <v>2344</v>
      </c>
      <c r="P60" s="4" t="n">
        <f aca="false">IF(A60=A59,P59+1-M59,0)</f>
        <v>0</v>
      </c>
    </row>
    <row r="61" customFormat="false" ht="15" hidden="false" customHeight="false" outlineLevel="0" collapsed="false">
      <c r="A61" s="26" t="s">
        <v>3885</v>
      </c>
      <c r="B61" s="26" t="s">
        <v>49</v>
      </c>
      <c r="C61" s="26" t="s">
        <v>63</v>
      </c>
      <c r="D61" s="26" t="s">
        <v>3886</v>
      </c>
      <c r="E61" s="4" t="n">
        <v>2</v>
      </c>
      <c r="F61" s="4" t="s">
        <v>144</v>
      </c>
      <c r="G61" s="7" t="s">
        <v>251</v>
      </c>
      <c r="H61" s="4" t="n">
        <v>1948</v>
      </c>
      <c r="I61" s="4" t="s">
        <v>162</v>
      </c>
      <c r="J61" s="25" t="str">
        <f aca="false">IF(M61=1,"✓","")</f>
        <v/>
      </c>
      <c r="K61" s="4" t="str">
        <f aca="false">IF(AND(M61=0,P61=0),"▶ NEXT","")</f>
        <v/>
      </c>
      <c r="L61" s="4" t="n">
        <f aca="false">INDEX('Master List'!$F$2:$F$2594,O61)</f>
        <v>5</v>
      </c>
      <c r="M61" s="4" t="n">
        <f aca="false">INDEX('Master List'!$G$2:$G$2594,O61)</f>
        <v>0</v>
      </c>
      <c r="N61" s="4" t="str">
        <f aca="false">IF(K61="","",A61)</f>
        <v/>
      </c>
      <c r="O61" s="4" t="n">
        <v>1933</v>
      </c>
      <c r="P61" s="4" t="n">
        <f aca="false">IF(A61=A60,P60+1-M60,0)</f>
        <v>1</v>
      </c>
    </row>
    <row r="62" customFormat="false" ht="15" hidden="false" customHeight="false" outlineLevel="0" collapsed="false">
      <c r="A62" s="26" t="s">
        <v>3885</v>
      </c>
      <c r="B62" s="26" t="s">
        <v>49</v>
      </c>
      <c r="C62" s="26" t="s">
        <v>63</v>
      </c>
      <c r="D62" s="26" t="s">
        <v>3886</v>
      </c>
      <c r="E62" s="4" t="n">
        <v>3</v>
      </c>
      <c r="F62" s="4" t="s">
        <v>213</v>
      </c>
      <c r="G62" s="4" t="s">
        <v>318</v>
      </c>
      <c r="H62" s="4" t="n">
        <v>1990</v>
      </c>
      <c r="I62" s="4" t="s">
        <v>164</v>
      </c>
      <c r="J62" s="25" t="str">
        <f aca="false">IF(M62=1,"✓","")</f>
        <v>✓</v>
      </c>
      <c r="K62" s="4" t="str">
        <f aca="false">IF(AND(M62=0,P62=0),"▶ NEXT","")</f>
        <v/>
      </c>
      <c r="L62" s="4" t="n">
        <f aca="false">INDEX('Master List'!$F$2:$F$2594,O62)</f>
        <v>4</v>
      </c>
      <c r="M62" s="4" t="n">
        <f aca="false">INDEX('Master List'!$G$2:$G$2594,O62)</f>
        <v>1</v>
      </c>
      <c r="N62" s="4" t="str">
        <f aca="false">IF(K62="","",A62)</f>
        <v/>
      </c>
      <c r="O62" s="4" t="n">
        <v>936</v>
      </c>
      <c r="P62" s="4" t="n">
        <f aca="false">IF(A62=A61,P61+1-M61,0)</f>
        <v>2</v>
      </c>
    </row>
    <row r="63" customFormat="false" ht="15" hidden="false" customHeight="false" outlineLevel="0" collapsed="false">
      <c r="A63" s="26" t="s">
        <v>3885</v>
      </c>
      <c r="B63" s="26" t="s">
        <v>49</v>
      </c>
      <c r="C63" s="26" t="s">
        <v>63</v>
      </c>
      <c r="D63" s="26" t="s">
        <v>3886</v>
      </c>
      <c r="E63" s="4" t="n">
        <v>4</v>
      </c>
      <c r="F63" s="4" t="s">
        <v>213</v>
      </c>
      <c r="G63" s="4" t="s">
        <v>616</v>
      </c>
      <c r="H63" s="4" t="n">
        <v>1992</v>
      </c>
      <c r="I63" s="4" t="s">
        <v>197</v>
      </c>
      <c r="J63" s="25" t="str">
        <f aca="false">IF(M63=1,"✓","")</f>
        <v>✓</v>
      </c>
      <c r="K63" s="4" t="str">
        <f aca="false">IF(AND(M63=0,P63=0),"▶ NEXT","")</f>
        <v/>
      </c>
      <c r="L63" s="4" t="n">
        <f aca="false">INDEX('Master List'!$F$2:$F$2594,O63)</f>
        <v>3</v>
      </c>
      <c r="M63" s="4" t="n">
        <f aca="false">INDEX('Master List'!$G$2:$G$2594,O63)</f>
        <v>1</v>
      </c>
      <c r="N63" s="4" t="str">
        <f aca="false">IF(K63="","",A63)</f>
        <v/>
      </c>
      <c r="O63" s="4" t="n">
        <v>1779</v>
      </c>
      <c r="P63" s="4" t="n">
        <f aca="false">IF(A63=A62,P62+1-M62,0)</f>
        <v>2</v>
      </c>
    </row>
    <row r="64" customFormat="false" ht="15" hidden="false" customHeight="false" outlineLevel="0" collapsed="false">
      <c r="A64" s="26" t="s">
        <v>3885</v>
      </c>
      <c r="B64" s="26" t="s">
        <v>49</v>
      </c>
      <c r="C64" s="26" t="s">
        <v>63</v>
      </c>
      <c r="D64" s="26" t="s">
        <v>3886</v>
      </c>
      <c r="E64" s="4" t="n">
        <v>5</v>
      </c>
      <c r="F64" s="4" t="s">
        <v>213</v>
      </c>
      <c r="G64" s="4" t="s">
        <v>503</v>
      </c>
      <c r="H64" s="4" t="n">
        <v>1997</v>
      </c>
      <c r="I64" s="4" t="s">
        <v>278</v>
      </c>
      <c r="J64" s="25" t="str">
        <f aca="false">IF(M64=1,"✓","")</f>
        <v>✓</v>
      </c>
      <c r="K64" s="4" t="str">
        <f aca="false">IF(AND(M64=0,P64=0),"▶ NEXT","")</f>
        <v/>
      </c>
      <c r="L64" s="4" t="n">
        <f aca="false">INDEX('Master List'!$F$2:$F$2594,O64)</f>
        <v>3</v>
      </c>
      <c r="M64" s="4" t="n">
        <f aca="false">INDEX('Master List'!$G$2:$G$2594,O64)</f>
        <v>1</v>
      </c>
      <c r="N64" s="4" t="str">
        <f aca="false">IF(K64="","",A64)</f>
        <v/>
      </c>
      <c r="O64" s="4" t="n">
        <v>315</v>
      </c>
      <c r="P64" s="4" t="n">
        <f aca="false">IF(A64=A63,P63+1-M63,0)</f>
        <v>2</v>
      </c>
    </row>
    <row r="65" customFormat="false" ht="15" hidden="false" customHeight="false" outlineLevel="0" collapsed="false">
      <c r="A65" s="26" t="s">
        <v>3885</v>
      </c>
      <c r="B65" s="26" t="s">
        <v>49</v>
      </c>
      <c r="C65" s="26" t="s">
        <v>63</v>
      </c>
      <c r="D65" s="26" t="s">
        <v>3886</v>
      </c>
      <c r="E65" s="4" t="n">
        <v>6</v>
      </c>
      <c r="F65" s="4" t="s">
        <v>213</v>
      </c>
      <c r="G65" s="4" t="s">
        <v>1396</v>
      </c>
      <c r="H65" s="4" t="n">
        <v>2002</v>
      </c>
      <c r="I65" s="4" t="s">
        <v>1397</v>
      </c>
      <c r="J65" s="25" t="str">
        <f aca="false">IF(M65=1,"✓","")</f>
        <v/>
      </c>
      <c r="K65" s="4" t="str">
        <f aca="false">IF(AND(M65=0,P65=0),"▶ NEXT","")</f>
        <v/>
      </c>
      <c r="L65" s="4" t="n">
        <f aca="false">INDEX('Master List'!$F$2:$F$2594,O65)</f>
        <v>2</v>
      </c>
      <c r="M65" s="4" t="n">
        <f aca="false">INDEX('Master List'!$G$2:$G$2594,O65)</f>
        <v>0</v>
      </c>
      <c r="N65" s="4" t="str">
        <f aca="false">IF(K65="","",A65)</f>
        <v/>
      </c>
      <c r="O65" s="4" t="n">
        <v>1949</v>
      </c>
      <c r="P65" s="4" t="n">
        <f aca="false">IF(A65=A64,P64+1-M64,0)</f>
        <v>2</v>
      </c>
    </row>
    <row r="66" customFormat="false" ht="15" hidden="false" customHeight="false" outlineLevel="0" collapsed="false">
      <c r="A66" s="26" t="s">
        <v>3885</v>
      </c>
      <c r="B66" s="26" t="s">
        <v>49</v>
      </c>
      <c r="C66" s="26" t="s">
        <v>63</v>
      </c>
      <c r="D66" s="26" t="s">
        <v>3886</v>
      </c>
      <c r="E66" s="4" t="n">
        <v>7</v>
      </c>
      <c r="F66" s="4" t="s">
        <v>213</v>
      </c>
      <c r="G66" s="4" t="s">
        <v>383</v>
      </c>
      <c r="H66" s="4" t="n">
        <v>2006</v>
      </c>
      <c r="I66" s="4" t="s">
        <v>384</v>
      </c>
      <c r="J66" s="25" t="str">
        <f aca="false">IF(M66=1,"✓","")</f>
        <v>✓</v>
      </c>
      <c r="K66" s="4" t="str">
        <f aca="false">IF(AND(M66=0,P66=0),"▶ NEXT","")</f>
        <v/>
      </c>
      <c r="L66" s="4" t="n">
        <f aca="false">INDEX('Master List'!$F$2:$F$2594,O66)</f>
        <v>4</v>
      </c>
      <c r="M66" s="4" t="n">
        <f aca="false">INDEX('Master List'!$G$2:$G$2594,O66)</f>
        <v>1</v>
      </c>
      <c r="N66" s="4" t="str">
        <f aca="false">IF(K66="","",A66)</f>
        <v/>
      </c>
      <c r="O66" s="4" t="n">
        <v>444</v>
      </c>
      <c r="P66" s="4" t="n">
        <f aca="false">IF(A66=A65,P65+1-M65,0)</f>
        <v>3</v>
      </c>
    </row>
    <row r="67" customFormat="false" ht="15" hidden="false" customHeight="false" outlineLevel="0" collapsed="false">
      <c r="A67" s="26" t="s">
        <v>3885</v>
      </c>
      <c r="B67" s="26" t="s">
        <v>49</v>
      </c>
      <c r="C67" s="26" t="s">
        <v>63</v>
      </c>
      <c r="D67" s="26" t="s">
        <v>3886</v>
      </c>
      <c r="E67" s="4" t="n">
        <v>8</v>
      </c>
      <c r="F67" s="4" t="s">
        <v>213</v>
      </c>
      <c r="G67" s="4" t="s">
        <v>3045</v>
      </c>
      <c r="H67" s="4" t="n">
        <v>2014</v>
      </c>
      <c r="I67" s="4" t="s">
        <v>1137</v>
      </c>
      <c r="J67" s="25" t="str">
        <f aca="false">IF(M67=1,"✓","")</f>
        <v>✓</v>
      </c>
      <c r="K67" s="4" t="str">
        <f aca="false">IF(AND(M67=0,P67=0),"▶ NEXT","")</f>
        <v/>
      </c>
      <c r="L67" s="4" t="n">
        <f aca="false">INDEX('Master List'!$F$2:$F$2594,O67)</f>
        <v>1</v>
      </c>
      <c r="M67" s="4" t="n">
        <f aca="false">INDEX('Master List'!$G$2:$G$2594,O67)</f>
        <v>1</v>
      </c>
      <c r="N67" s="4" t="str">
        <f aca="false">IF(K67="","",A67)</f>
        <v/>
      </c>
      <c r="O67" s="4" t="n">
        <v>257</v>
      </c>
      <c r="P67" s="4" t="n">
        <f aca="false">IF(A67=A66,P66+1-M66,0)</f>
        <v>3</v>
      </c>
    </row>
    <row r="68" customFormat="false" ht="15" hidden="false" customHeight="false" outlineLevel="0" collapsed="false">
      <c r="A68" s="26" t="s">
        <v>3885</v>
      </c>
      <c r="B68" s="26" t="s">
        <v>49</v>
      </c>
      <c r="C68" s="26" t="s">
        <v>63</v>
      </c>
      <c r="D68" s="26" t="s">
        <v>3886</v>
      </c>
      <c r="E68" s="4" t="n">
        <v>9</v>
      </c>
      <c r="F68" s="4" t="s">
        <v>213</v>
      </c>
      <c r="G68" s="4" t="s">
        <v>1223</v>
      </c>
      <c r="H68" s="4" t="n">
        <v>2015</v>
      </c>
      <c r="I68" s="4" t="s">
        <v>1224</v>
      </c>
      <c r="J68" s="25" t="str">
        <f aca="false">IF(M68=1,"✓","")</f>
        <v/>
      </c>
      <c r="K68" s="4" t="str">
        <f aca="false">IF(AND(M68=0,P68=0),"▶ NEXT","")</f>
        <v/>
      </c>
      <c r="L68" s="4" t="n">
        <f aca="false">INDEX('Master List'!$F$2:$F$2594,O68)</f>
        <v>2</v>
      </c>
      <c r="M68" s="4" t="n">
        <f aca="false">INDEX('Master List'!$G$2:$G$2594,O68)</f>
        <v>0</v>
      </c>
      <c r="N68" s="4" t="str">
        <f aca="false">IF(K68="","",A68)</f>
        <v/>
      </c>
      <c r="O68" s="4" t="n">
        <v>2432</v>
      </c>
      <c r="P68" s="4" t="n">
        <f aca="false">IF(A68=A67,P67+1-M67,0)</f>
        <v>3</v>
      </c>
    </row>
    <row r="69" customFormat="false" ht="15" hidden="false" customHeight="false" outlineLevel="0" collapsed="false">
      <c r="A69" s="26" t="s">
        <v>3885</v>
      </c>
      <c r="B69" s="26" t="s">
        <v>49</v>
      </c>
      <c r="C69" s="26" t="s">
        <v>63</v>
      </c>
      <c r="D69" s="26" t="s">
        <v>3886</v>
      </c>
      <c r="E69" s="4" t="n">
        <v>10</v>
      </c>
      <c r="F69" s="4" t="s">
        <v>213</v>
      </c>
      <c r="G69" s="4" t="s">
        <v>1250</v>
      </c>
      <c r="H69" s="4" t="n">
        <v>2019</v>
      </c>
      <c r="I69" s="4" t="s">
        <v>1251</v>
      </c>
      <c r="J69" s="25" t="str">
        <f aca="false">IF(M69=1,"✓","")</f>
        <v>✓</v>
      </c>
      <c r="K69" s="4" t="str">
        <f aca="false">IF(AND(M69=0,P69=0),"▶ NEXT","")</f>
        <v/>
      </c>
      <c r="L69" s="4" t="n">
        <f aca="false">INDEX('Master List'!$F$2:$F$2594,O69)</f>
        <v>2</v>
      </c>
      <c r="M69" s="4" t="n">
        <f aca="false">INDEX('Master List'!$G$2:$G$2594,O69)</f>
        <v>1</v>
      </c>
      <c r="N69" s="4" t="str">
        <f aca="false">IF(K69="","",A69)</f>
        <v/>
      </c>
      <c r="O69" s="4" t="n">
        <v>9</v>
      </c>
      <c r="P69" s="4" t="n">
        <f aca="false">IF(A69=A68,P68+1-M68,0)</f>
        <v>4</v>
      </c>
    </row>
    <row r="70" customFormat="false" ht="15" hidden="false" customHeight="false" outlineLevel="0" collapsed="false">
      <c r="A70" s="26" t="s">
        <v>3885</v>
      </c>
      <c r="B70" s="26" t="s">
        <v>49</v>
      </c>
      <c r="C70" s="26" t="s">
        <v>63</v>
      </c>
      <c r="D70" s="26" t="s">
        <v>3886</v>
      </c>
      <c r="E70" s="4" t="n">
        <v>11</v>
      </c>
      <c r="F70" s="4" t="s">
        <v>1327</v>
      </c>
      <c r="G70" s="4" t="s">
        <v>1133</v>
      </c>
      <c r="H70" s="4" t="n">
        <v>2000</v>
      </c>
      <c r="I70" s="4" t="s">
        <v>618</v>
      </c>
      <c r="J70" s="25" t="str">
        <f aca="false">IF(M70=1,"✓","")</f>
        <v/>
      </c>
      <c r="K70" s="4" t="str">
        <f aca="false">IF(AND(M70=0,P70=0),"▶ NEXT","")</f>
        <v/>
      </c>
      <c r="L70" s="4" t="n">
        <f aca="false">INDEX('Master List'!$F$2:$F$2594,O70)</f>
        <v>2</v>
      </c>
      <c r="M70" s="4" t="n">
        <f aca="false">INDEX('Master List'!$G$2:$G$2594,O70)</f>
        <v>0</v>
      </c>
      <c r="N70" s="4" t="str">
        <f aca="false">IF(K70="","",A70)</f>
        <v/>
      </c>
      <c r="O70" s="4" t="n">
        <v>2484</v>
      </c>
      <c r="P70" s="4" t="n">
        <f aca="false">IF(A70=A69,P69+1-M69,0)</f>
        <v>4</v>
      </c>
    </row>
    <row r="71" customFormat="false" ht="15" hidden="false" customHeight="false" outlineLevel="0" collapsed="false">
      <c r="A71" s="26" t="s">
        <v>3885</v>
      </c>
      <c r="B71" s="26" t="s">
        <v>49</v>
      </c>
      <c r="C71" s="26" t="s">
        <v>63</v>
      </c>
      <c r="D71" s="26" t="s">
        <v>3886</v>
      </c>
      <c r="E71" s="4" t="n">
        <v>12</v>
      </c>
      <c r="F71" s="4" t="s">
        <v>1327</v>
      </c>
      <c r="G71" s="4" t="s">
        <v>3732</v>
      </c>
      <c r="H71" s="4" t="n">
        <v>2003</v>
      </c>
      <c r="I71" s="4" t="s">
        <v>827</v>
      </c>
      <c r="J71" s="25" t="str">
        <f aca="false">IF(M71=1,"✓","")</f>
        <v/>
      </c>
      <c r="K71" s="4" t="str">
        <f aca="false">IF(AND(M71=0,P71=0),"▶ NEXT","")</f>
        <v/>
      </c>
      <c r="L71" s="4" t="n">
        <f aca="false">INDEX('Master List'!$F$2:$F$2594,O71)</f>
        <v>1</v>
      </c>
      <c r="M71" s="4" t="n">
        <f aca="false">INDEX('Master List'!$G$2:$G$2594,O71)</f>
        <v>0</v>
      </c>
      <c r="N71" s="4" t="str">
        <f aca="false">IF(K71="","",A71)</f>
        <v/>
      </c>
      <c r="O71" s="4" t="n">
        <v>717</v>
      </c>
      <c r="P71" s="4" t="n">
        <f aca="false">IF(A71=A70,P70+1-M70,0)</f>
        <v>5</v>
      </c>
    </row>
    <row r="72" customFormat="false" ht="15" hidden="false" customHeight="false" outlineLevel="0" collapsed="false">
      <c r="A72" s="26" t="s">
        <v>3887</v>
      </c>
      <c r="B72" s="26" t="s">
        <v>49</v>
      </c>
      <c r="C72" s="26" t="s">
        <v>64</v>
      </c>
      <c r="D72" s="26" t="s">
        <v>3888</v>
      </c>
      <c r="E72" s="4" t="n">
        <v>1</v>
      </c>
      <c r="F72" s="4" t="s">
        <v>144</v>
      </c>
      <c r="G72" s="7" t="s">
        <v>220</v>
      </c>
      <c r="H72" s="4" t="n">
        <v>1950</v>
      </c>
      <c r="I72" s="4" t="s">
        <v>156</v>
      </c>
      <c r="J72" s="25" t="str">
        <f aca="false">IF(M72=1,"✓","")</f>
        <v>✓</v>
      </c>
      <c r="K72" s="4" t="str">
        <f aca="false">IF(AND(M72=0,P72=0),"▶ NEXT","")</f>
        <v/>
      </c>
      <c r="L72" s="4" t="n">
        <f aca="false">INDEX('Master List'!$F$2:$F$2594,O72)</f>
        <v>6</v>
      </c>
      <c r="M72" s="4" t="n">
        <f aca="false">INDEX('Master List'!$G$2:$G$2594,O72)</f>
        <v>1</v>
      </c>
      <c r="N72" s="4" t="str">
        <f aca="false">IF(K72="","",A72)</f>
        <v/>
      </c>
      <c r="O72" s="4" t="n">
        <v>1860</v>
      </c>
      <c r="P72" s="4" t="n">
        <f aca="false">IF(A72=A71,P71+1-M71,0)</f>
        <v>0</v>
      </c>
    </row>
    <row r="73" customFormat="false" ht="15" hidden="false" customHeight="false" outlineLevel="0" collapsed="false">
      <c r="A73" s="26" t="s">
        <v>3887</v>
      </c>
      <c r="B73" s="26" t="s">
        <v>49</v>
      </c>
      <c r="C73" s="26" t="s">
        <v>64</v>
      </c>
      <c r="D73" s="26" t="s">
        <v>3888</v>
      </c>
      <c r="E73" s="4" t="n">
        <v>2</v>
      </c>
      <c r="F73" s="4" t="s">
        <v>144</v>
      </c>
      <c r="G73" s="7" t="s">
        <v>207</v>
      </c>
      <c r="H73" s="4" t="n">
        <v>1994</v>
      </c>
      <c r="I73" s="4" t="s">
        <v>208</v>
      </c>
      <c r="J73" s="25" t="str">
        <f aca="false">IF(M73=1,"✓","")</f>
        <v>✓</v>
      </c>
      <c r="K73" s="4" t="str">
        <f aca="false">IF(AND(M73=0,P73=0),"▶ NEXT","")</f>
        <v/>
      </c>
      <c r="L73" s="4" t="n">
        <f aca="false">INDEX('Master List'!$F$2:$F$2594,O73)</f>
        <v>6</v>
      </c>
      <c r="M73" s="4" t="n">
        <f aca="false">INDEX('Master List'!$G$2:$G$2594,O73)</f>
        <v>1</v>
      </c>
      <c r="N73" s="4" t="str">
        <f aca="false">IF(K73="","",A73)</f>
        <v/>
      </c>
      <c r="O73" s="4" t="n">
        <v>1830</v>
      </c>
      <c r="P73" s="4" t="n">
        <f aca="false">IF(A73=A72,P72+1-M72,0)</f>
        <v>0</v>
      </c>
    </row>
    <row r="74" customFormat="false" ht="15" hidden="false" customHeight="false" outlineLevel="0" collapsed="false">
      <c r="A74" s="26" t="s">
        <v>3887</v>
      </c>
      <c r="B74" s="26" t="s">
        <v>49</v>
      </c>
      <c r="C74" s="26" t="s">
        <v>64</v>
      </c>
      <c r="D74" s="26" t="s">
        <v>3888</v>
      </c>
      <c r="E74" s="4" t="n">
        <v>3</v>
      </c>
      <c r="F74" s="4" t="s">
        <v>213</v>
      </c>
      <c r="G74" s="4" t="s">
        <v>142</v>
      </c>
      <c r="H74" s="4" t="n">
        <v>1941</v>
      </c>
      <c r="I74" s="4" t="s">
        <v>143</v>
      </c>
      <c r="J74" s="25" t="str">
        <f aca="false">IF(M74=1,"✓","")</f>
        <v/>
      </c>
      <c r="K74" s="4" t="str">
        <f aca="false">IF(AND(M74=0,P74=0),"▶ NEXT","")</f>
        <v>▶ NEXT</v>
      </c>
      <c r="L74" s="4" t="n">
        <f aca="false">INDEX('Master List'!$F$2:$F$2594,O74)</f>
        <v>13</v>
      </c>
      <c r="M74" s="4" t="n">
        <f aca="false">INDEX('Master List'!$G$2:$G$2594,O74)</f>
        <v>0</v>
      </c>
      <c r="N74" s="4" t="str">
        <f aca="false">IF(K74="","",A74)</f>
        <v>N007</v>
      </c>
      <c r="O74" s="4" t="n">
        <v>462</v>
      </c>
      <c r="P74" s="4" t="n">
        <f aca="false">IF(A74=A73,P73+1-M73,0)</f>
        <v>0</v>
      </c>
    </row>
    <row r="75" customFormat="false" ht="15" hidden="false" customHeight="false" outlineLevel="0" collapsed="false">
      <c r="A75" s="26" t="s">
        <v>3887</v>
      </c>
      <c r="B75" s="26" t="s">
        <v>49</v>
      </c>
      <c r="C75" s="26" t="s">
        <v>64</v>
      </c>
      <c r="D75" s="26" t="s">
        <v>3888</v>
      </c>
      <c r="E75" s="4" t="n">
        <v>4</v>
      </c>
      <c r="F75" s="4" t="s">
        <v>213</v>
      </c>
      <c r="G75" s="4" t="s">
        <v>458</v>
      </c>
      <c r="H75" s="4" t="n">
        <v>1961</v>
      </c>
      <c r="I75" s="4" t="s">
        <v>272</v>
      </c>
      <c r="J75" s="25" t="str">
        <f aca="false">IF(M75=1,"✓","")</f>
        <v/>
      </c>
      <c r="K75" s="4" t="str">
        <f aca="false">IF(AND(M75=0,P75=0),"▶ NEXT","")</f>
        <v/>
      </c>
      <c r="L75" s="4" t="n">
        <f aca="false">INDEX('Master List'!$F$2:$F$2594,O75)</f>
        <v>3</v>
      </c>
      <c r="M75" s="4" t="n">
        <f aca="false">INDEX('Master List'!$G$2:$G$2594,O75)</f>
        <v>0</v>
      </c>
      <c r="N75" s="4" t="str">
        <f aca="false">IF(K75="","",A75)</f>
        <v/>
      </c>
      <c r="O75" s="4" t="n">
        <v>1305</v>
      </c>
      <c r="P75" s="4" t="n">
        <f aca="false">IF(A75=A74,P74+1-M74,0)</f>
        <v>1</v>
      </c>
    </row>
    <row r="76" customFormat="false" ht="15" hidden="false" customHeight="false" outlineLevel="0" collapsed="false">
      <c r="A76" s="26" t="s">
        <v>3887</v>
      </c>
      <c r="B76" s="26" t="s">
        <v>49</v>
      </c>
      <c r="C76" s="26" t="s">
        <v>64</v>
      </c>
      <c r="D76" s="26" t="s">
        <v>3888</v>
      </c>
      <c r="E76" s="4" t="n">
        <v>5</v>
      </c>
      <c r="F76" s="4" t="s">
        <v>213</v>
      </c>
      <c r="G76" s="4" t="s">
        <v>576</v>
      </c>
      <c r="H76" s="4" t="n">
        <v>1956</v>
      </c>
      <c r="I76" s="4" t="s">
        <v>187</v>
      </c>
      <c r="J76" s="25" t="str">
        <f aca="false">IF(M76=1,"✓","")</f>
        <v>✓</v>
      </c>
      <c r="K76" s="4" t="str">
        <f aca="false">IF(AND(M76=0,P76=0),"▶ NEXT","")</f>
        <v/>
      </c>
      <c r="L76" s="4" t="n">
        <f aca="false">INDEX('Master List'!$F$2:$F$2594,O76)</f>
        <v>3</v>
      </c>
      <c r="M76" s="4" t="n">
        <f aca="false">INDEX('Master List'!$G$2:$G$2594,O76)</f>
        <v>1</v>
      </c>
      <c r="N76" s="4" t="str">
        <f aca="false">IF(K76="","",A76)</f>
        <v/>
      </c>
      <c r="O76" s="4" t="n">
        <v>1252</v>
      </c>
      <c r="P76" s="4" t="n">
        <f aca="false">IF(A76=A75,P75+1-M75,0)</f>
        <v>2</v>
      </c>
    </row>
    <row r="77" customFormat="false" ht="15" hidden="false" customHeight="false" outlineLevel="0" collapsed="false">
      <c r="A77" s="26" t="s">
        <v>3887</v>
      </c>
      <c r="B77" s="26" t="s">
        <v>49</v>
      </c>
      <c r="C77" s="26" t="s">
        <v>64</v>
      </c>
      <c r="D77" s="26" t="s">
        <v>3888</v>
      </c>
      <c r="E77" s="4" t="n">
        <v>6</v>
      </c>
      <c r="F77" s="4" t="s">
        <v>213</v>
      </c>
      <c r="G77" s="4" t="s">
        <v>2601</v>
      </c>
      <c r="H77" s="4" t="n">
        <v>1995</v>
      </c>
      <c r="I77" s="4" t="s">
        <v>2602</v>
      </c>
      <c r="J77" s="25" t="str">
        <f aca="false">IF(M77=1,"✓","")</f>
        <v/>
      </c>
      <c r="K77" s="4" t="str">
        <f aca="false">IF(AND(M77=0,P77=0),"▶ NEXT","")</f>
        <v/>
      </c>
      <c r="L77" s="4" t="n">
        <f aca="false">INDEX('Master List'!$F$2:$F$2594,O77)</f>
        <v>1</v>
      </c>
      <c r="M77" s="4" t="n">
        <f aca="false">INDEX('Master List'!$G$2:$G$2594,O77)</f>
        <v>0</v>
      </c>
      <c r="N77" s="4" t="str">
        <f aca="false">IF(K77="","",A77)</f>
        <v/>
      </c>
      <c r="O77" s="4" t="n">
        <v>2416</v>
      </c>
      <c r="P77" s="4" t="n">
        <f aca="false">IF(A77=A76,P76+1-M76,0)</f>
        <v>2</v>
      </c>
    </row>
    <row r="78" customFormat="false" ht="15" hidden="false" customHeight="false" outlineLevel="0" collapsed="false">
      <c r="A78" s="26" t="s">
        <v>3887</v>
      </c>
      <c r="B78" s="26" t="s">
        <v>49</v>
      </c>
      <c r="C78" s="26" t="s">
        <v>64</v>
      </c>
      <c r="D78" s="26" t="s">
        <v>3888</v>
      </c>
      <c r="E78" s="4" t="n">
        <v>7</v>
      </c>
      <c r="F78" s="4" t="s">
        <v>213</v>
      </c>
      <c r="G78" s="4" t="s">
        <v>341</v>
      </c>
      <c r="H78" s="4" t="n">
        <v>2000</v>
      </c>
      <c r="I78" s="4" t="s">
        <v>342</v>
      </c>
      <c r="J78" s="25" t="str">
        <f aca="false">IF(M78=1,"✓","")</f>
        <v>✓</v>
      </c>
      <c r="K78" s="4" t="str">
        <f aca="false">IF(AND(M78=0,P78=0),"▶ NEXT","")</f>
        <v/>
      </c>
      <c r="L78" s="4" t="n">
        <f aca="false">INDEX('Master List'!$F$2:$F$2594,O78)</f>
        <v>4</v>
      </c>
      <c r="M78" s="4" t="n">
        <f aca="false">INDEX('Master List'!$G$2:$G$2594,O78)</f>
        <v>1</v>
      </c>
      <c r="N78" s="4" t="str">
        <f aca="false">IF(K78="","",A78)</f>
        <v/>
      </c>
      <c r="O78" s="4" t="n">
        <v>1475</v>
      </c>
      <c r="P78" s="4" t="n">
        <f aca="false">IF(A78=A77,P77+1-M77,0)</f>
        <v>3</v>
      </c>
    </row>
    <row r="79" customFormat="false" ht="15" hidden="false" customHeight="false" outlineLevel="0" collapsed="false">
      <c r="A79" s="26" t="s">
        <v>3887</v>
      </c>
      <c r="B79" s="26" t="s">
        <v>49</v>
      </c>
      <c r="C79" s="26" t="s">
        <v>64</v>
      </c>
      <c r="D79" s="26" t="s">
        <v>3888</v>
      </c>
      <c r="E79" s="4" t="n">
        <v>8</v>
      </c>
      <c r="F79" s="4" t="s">
        <v>213</v>
      </c>
      <c r="G79" s="4" t="s">
        <v>510</v>
      </c>
      <c r="H79" s="4" t="n">
        <v>2004</v>
      </c>
      <c r="I79" s="4" t="s">
        <v>511</v>
      </c>
      <c r="J79" s="25" t="str">
        <f aca="false">IF(M79=1,"✓","")</f>
        <v>✓</v>
      </c>
      <c r="K79" s="4" t="str">
        <f aca="false">IF(AND(M79=0,P79=0),"▶ NEXT","")</f>
        <v/>
      </c>
      <c r="L79" s="4" t="n">
        <f aca="false">INDEX('Master List'!$F$2:$F$2594,O79)</f>
        <v>3</v>
      </c>
      <c r="M79" s="4" t="n">
        <f aca="false">INDEX('Master List'!$G$2:$G$2594,O79)</f>
        <v>1</v>
      </c>
      <c r="N79" s="4" t="str">
        <f aca="false">IF(K79="","",A79)</f>
        <v/>
      </c>
      <c r="O79" s="4" t="n">
        <v>745</v>
      </c>
      <c r="P79" s="4" t="n">
        <f aca="false">IF(A79=A78,P78+1-M78,0)</f>
        <v>3</v>
      </c>
    </row>
    <row r="80" customFormat="false" ht="15" hidden="false" customHeight="false" outlineLevel="0" collapsed="false">
      <c r="A80" s="26" t="s">
        <v>3887</v>
      </c>
      <c r="B80" s="26" t="s">
        <v>49</v>
      </c>
      <c r="C80" s="26" t="s">
        <v>64</v>
      </c>
      <c r="D80" s="26" t="s">
        <v>3888</v>
      </c>
      <c r="E80" s="4" t="n">
        <v>9</v>
      </c>
      <c r="F80" s="4" t="s">
        <v>213</v>
      </c>
      <c r="G80" s="4" t="s">
        <v>153</v>
      </c>
      <c r="H80" s="4" t="n">
        <v>2001</v>
      </c>
      <c r="I80" s="4" t="s">
        <v>154</v>
      </c>
      <c r="J80" s="25" t="str">
        <f aca="false">IF(M80=1,"✓","")</f>
        <v>✓</v>
      </c>
      <c r="K80" s="4" t="str">
        <f aca="false">IF(AND(M80=0,P80=0),"▶ NEXT","")</f>
        <v/>
      </c>
      <c r="L80" s="4" t="n">
        <f aca="false">INDEX('Master List'!$F$2:$F$2594,O80)</f>
        <v>9</v>
      </c>
      <c r="M80" s="4" t="n">
        <f aca="false">INDEX('Master List'!$G$2:$G$2594,O80)</f>
        <v>1</v>
      </c>
      <c r="N80" s="4" t="str">
        <f aca="false">IF(K80="","",A80)</f>
        <v/>
      </c>
      <c r="O80" s="4" t="n">
        <v>1555</v>
      </c>
      <c r="P80" s="4" t="n">
        <f aca="false">IF(A80=A79,P79+1-M79,0)</f>
        <v>3</v>
      </c>
    </row>
    <row r="81" customFormat="false" ht="15" hidden="false" customHeight="false" outlineLevel="0" collapsed="false">
      <c r="A81" s="26" t="s">
        <v>3887</v>
      </c>
      <c r="B81" s="26" t="s">
        <v>49</v>
      </c>
      <c r="C81" s="26" t="s">
        <v>64</v>
      </c>
      <c r="D81" s="26" t="s">
        <v>3888</v>
      </c>
      <c r="E81" s="4" t="n">
        <v>10</v>
      </c>
      <c r="F81" s="4" t="s">
        <v>1327</v>
      </c>
      <c r="G81" s="4" t="s">
        <v>1398</v>
      </c>
      <c r="H81" s="4" t="n">
        <v>2002</v>
      </c>
      <c r="I81" s="4" t="s">
        <v>1399</v>
      </c>
      <c r="J81" s="25" t="str">
        <f aca="false">IF(M81=1,"✓","")</f>
        <v/>
      </c>
      <c r="K81" s="4" t="str">
        <f aca="false">IF(AND(M81=0,P81=0),"▶ NEXT","")</f>
        <v/>
      </c>
      <c r="L81" s="4" t="n">
        <f aca="false">INDEX('Master List'!$F$2:$F$2594,O81)</f>
        <v>2</v>
      </c>
      <c r="M81" s="4" t="n">
        <f aca="false">INDEX('Master List'!$G$2:$G$2594,O81)</f>
        <v>0</v>
      </c>
      <c r="N81" s="4" t="str">
        <f aca="false">IF(K81="","",A81)</f>
        <v/>
      </c>
      <c r="O81" s="4" t="n">
        <v>1167</v>
      </c>
      <c r="P81" s="4" t="n">
        <f aca="false">IF(A81=A80,P80+1-M80,0)</f>
        <v>3</v>
      </c>
    </row>
    <row r="82" customFormat="false" ht="15" hidden="false" customHeight="false" outlineLevel="0" collapsed="false">
      <c r="A82" s="26" t="s">
        <v>3887</v>
      </c>
      <c r="B82" s="26" t="s">
        <v>49</v>
      </c>
      <c r="C82" s="26" t="s">
        <v>64</v>
      </c>
      <c r="D82" s="26" t="s">
        <v>3888</v>
      </c>
      <c r="E82" s="4" t="n">
        <v>11</v>
      </c>
      <c r="F82" s="4" t="s">
        <v>1327</v>
      </c>
      <c r="G82" s="4" t="s">
        <v>271</v>
      </c>
      <c r="H82" s="4" t="n">
        <v>1959</v>
      </c>
      <c r="I82" s="4" t="s">
        <v>272</v>
      </c>
      <c r="J82" s="25" t="str">
        <f aca="false">IF(M82=1,"✓","")</f>
        <v/>
      </c>
      <c r="K82" s="4" t="str">
        <f aca="false">IF(AND(M82=0,P82=0),"▶ NEXT","")</f>
        <v/>
      </c>
      <c r="L82" s="4" t="n">
        <f aca="false">INDEX('Master List'!$F$2:$F$2594,O82)</f>
        <v>6</v>
      </c>
      <c r="M82" s="4" t="n">
        <f aca="false">INDEX('Master List'!$G$2:$G$2594,O82)</f>
        <v>0</v>
      </c>
      <c r="N82" s="4" t="str">
        <f aca="false">IF(K82="","",A82)</f>
        <v/>
      </c>
      <c r="O82" s="4" t="n">
        <v>1040</v>
      </c>
      <c r="P82" s="4" t="n">
        <f aca="false">IF(A82=A81,P81+1-M81,0)</f>
        <v>4</v>
      </c>
    </row>
    <row r="83" customFormat="false" ht="15" hidden="false" customHeight="false" outlineLevel="0" collapsed="false">
      <c r="A83" s="26" t="s">
        <v>3889</v>
      </c>
      <c r="B83" s="26" t="s">
        <v>49</v>
      </c>
      <c r="C83" s="26" t="s">
        <v>64</v>
      </c>
      <c r="D83" s="26" t="s">
        <v>3890</v>
      </c>
      <c r="E83" s="4" t="n">
        <v>1</v>
      </c>
      <c r="F83" s="4" t="s">
        <v>144</v>
      </c>
      <c r="G83" s="7" t="s">
        <v>334</v>
      </c>
      <c r="H83" s="4" t="n">
        <v>1942</v>
      </c>
      <c r="I83" s="4" t="s">
        <v>335</v>
      </c>
      <c r="J83" s="25" t="str">
        <f aca="false">IF(M83=1,"✓","")</f>
        <v/>
      </c>
      <c r="K83" s="4" t="str">
        <f aca="false">IF(AND(M83=0,P83=0),"▶ NEXT","")</f>
        <v>▶ NEXT</v>
      </c>
      <c r="L83" s="4" t="n">
        <f aca="false">INDEX('Master List'!$F$2:$F$2594,O83)</f>
        <v>4</v>
      </c>
      <c r="M83" s="4" t="n">
        <f aca="false">INDEX('Master List'!$G$2:$G$2594,O83)</f>
        <v>0</v>
      </c>
      <c r="N83" s="4" t="str">
        <f aca="false">IF(K83="","",A83)</f>
        <v>N008</v>
      </c>
      <c r="O83" s="4" t="n">
        <v>403</v>
      </c>
      <c r="P83" s="4" t="n">
        <f aca="false">IF(A83=A82,P82+1-M82,0)</f>
        <v>0</v>
      </c>
    </row>
    <row r="84" customFormat="false" ht="15" hidden="false" customHeight="false" outlineLevel="0" collapsed="false">
      <c r="A84" s="26" t="s">
        <v>3889</v>
      </c>
      <c r="B84" s="26" t="s">
        <v>49</v>
      </c>
      <c r="C84" s="26" t="s">
        <v>64</v>
      </c>
      <c r="D84" s="26" t="s">
        <v>3890</v>
      </c>
      <c r="E84" s="4" t="n">
        <v>2</v>
      </c>
      <c r="F84" s="4" t="s">
        <v>144</v>
      </c>
      <c r="G84" s="7" t="s">
        <v>194</v>
      </c>
      <c r="H84" s="4" t="n">
        <v>1974</v>
      </c>
      <c r="I84" s="4" t="s">
        <v>195</v>
      </c>
      <c r="J84" s="25" t="str">
        <f aca="false">IF(M84=1,"✓","")</f>
        <v>✓</v>
      </c>
      <c r="K84" s="4" t="str">
        <f aca="false">IF(AND(M84=0,P84=0),"▶ NEXT","")</f>
        <v/>
      </c>
      <c r="L84" s="4" t="n">
        <f aca="false">INDEX('Master List'!$F$2:$F$2594,O84)</f>
        <v>6</v>
      </c>
      <c r="M84" s="4" t="n">
        <f aca="false">INDEX('Master List'!$G$2:$G$2594,O84)</f>
        <v>1</v>
      </c>
      <c r="N84" s="4" t="str">
        <f aca="false">IF(K84="","",A84)</f>
        <v/>
      </c>
      <c r="O84" s="4" t="n">
        <v>450</v>
      </c>
      <c r="P84" s="4" t="n">
        <f aca="false">IF(A84=A83,P83+1-M83,0)</f>
        <v>1</v>
      </c>
    </row>
    <row r="85" customFormat="false" ht="15" hidden="false" customHeight="false" outlineLevel="0" collapsed="false">
      <c r="A85" s="26" t="s">
        <v>3889</v>
      </c>
      <c r="B85" s="26" t="s">
        <v>49</v>
      </c>
      <c r="C85" s="26" t="s">
        <v>64</v>
      </c>
      <c r="D85" s="26" t="s">
        <v>3890</v>
      </c>
      <c r="E85" s="4" t="n">
        <v>3</v>
      </c>
      <c r="F85" s="4" t="s">
        <v>213</v>
      </c>
      <c r="G85" s="4" t="s">
        <v>2410</v>
      </c>
      <c r="H85" s="4" t="n">
        <v>1985</v>
      </c>
      <c r="I85" s="4" t="s">
        <v>439</v>
      </c>
      <c r="J85" s="25" t="str">
        <f aca="false">IF(M85=1,"✓","")</f>
        <v>✓</v>
      </c>
      <c r="K85" s="4" t="str">
        <f aca="false">IF(AND(M85=0,P85=0),"▶ NEXT","")</f>
        <v/>
      </c>
      <c r="L85" s="4" t="n">
        <f aca="false">INDEX('Master List'!$F$2:$F$2594,O85)</f>
        <v>1</v>
      </c>
      <c r="M85" s="4" t="n">
        <f aca="false">INDEX('Master List'!$G$2:$G$2594,O85)</f>
        <v>1</v>
      </c>
      <c r="N85" s="4" t="str">
        <f aca="false">IF(K85="","",A85)</f>
        <v/>
      </c>
      <c r="O85" s="4" t="n">
        <v>2537</v>
      </c>
      <c r="P85" s="4" t="n">
        <f aca="false">IF(A85=A84,P84+1-M84,0)</f>
        <v>1</v>
      </c>
    </row>
    <row r="86" customFormat="false" ht="15" hidden="false" customHeight="false" outlineLevel="0" collapsed="false">
      <c r="A86" s="26" t="s">
        <v>3889</v>
      </c>
      <c r="B86" s="26" t="s">
        <v>49</v>
      </c>
      <c r="C86" s="26" t="s">
        <v>64</v>
      </c>
      <c r="D86" s="26" t="s">
        <v>3890</v>
      </c>
      <c r="E86" s="4" t="n">
        <v>4</v>
      </c>
      <c r="F86" s="4" t="s">
        <v>213</v>
      </c>
      <c r="G86" s="4" t="s">
        <v>1069</v>
      </c>
      <c r="H86" s="4" t="n">
        <v>1985</v>
      </c>
      <c r="I86" s="4" t="s">
        <v>1070</v>
      </c>
      <c r="J86" s="25" t="str">
        <f aca="false">IF(M86=1,"✓","")</f>
        <v>✓</v>
      </c>
      <c r="K86" s="4" t="str">
        <f aca="false">IF(AND(M86=0,P86=0),"▶ NEXT","")</f>
        <v/>
      </c>
      <c r="L86" s="4" t="n">
        <f aca="false">INDEX('Master List'!$F$2:$F$2594,O86)</f>
        <v>2</v>
      </c>
      <c r="M86" s="4" t="n">
        <f aca="false">INDEX('Master List'!$G$2:$G$2594,O86)</f>
        <v>1</v>
      </c>
      <c r="N86" s="4" t="str">
        <f aca="false">IF(K86="","",A86)</f>
        <v/>
      </c>
      <c r="O86" s="4" t="n">
        <v>164</v>
      </c>
      <c r="P86" s="4" t="n">
        <f aca="false">IF(A86=A85,P85+1-M85,0)</f>
        <v>1</v>
      </c>
    </row>
    <row r="87" customFormat="false" ht="15" hidden="false" customHeight="false" outlineLevel="0" collapsed="false">
      <c r="A87" s="26" t="s">
        <v>3889</v>
      </c>
      <c r="B87" s="26" t="s">
        <v>49</v>
      </c>
      <c r="C87" s="26" t="s">
        <v>64</v>
      </c>
      <c r="D87" s="26" t="s">
        <v>3890</v>
      </c>
      <c r="E87" s="4" t="n">
        <v>5</v>
      </c>
      <c r="F87" s="4" t="s">
        <v>213</v>
      </c>
      <c r="G87" s="4" t="s">
        <v>1057</v>
      </c>
      <c r="H87" s="4" t="n">
        <v>1982</v>
      </c>
      <c r="I87" s="4" t="s">
        <v>1058</v>
      </c>
      <c r="J87" s="25" t="str">
        <f aca="false">IF(M87=1,"✓","")</f>
        <v/>
      </c>
      <c r="K87" s="4" t="str">
        <f aca="false">IF(AND(M87=0,P87=0),"▶ NEXT","")</f>
        <v/>
      </c>
      <c r="L87" s="4" t="n">
        <f aca="false">INDEX('Master List'!$F$2:$F$2594,O87)</f>
        <v>2</v>
      </c>
      <c r="M87" s="4" t="n">
        <f aca="false">INDEX('Master List'!$G$2:$G$2594,O87)</f>
        <v>0</v>
      </c>
      <c r="N87" s="4" t="str">
        <f aca="false">IF(K87="","",A87)</f>
        <v/>
      </c>
      <c r="O87" s="4" t="n">
        <v>2335</v>
      </c>
      <c r="P87" s="4" t="n">
        <f aca="false">IF(A87=A86,P86+1-M86,0)</f>
        <v>1</v>
      </c>
    </row>
    <row r="88" customFormat="false" ht="15" hidden="false" customHeight="false" outlineLevel="0" collapsed="false">
      <c r="A88" s="26" t="s">
        <v>3889</v>
      </c>
      <c r="B88" s="26" t="s">
        <v>49</v>
      </c>
      <c r="C88" s="26" t="s">
        <v>64</v>
      </c>
      <c r="D88" s="26" t="s">
        <v>3890</v>
      </c>
      <c r="E88" s="4" t="n">
        <v>6</v>
      </c>
      <c r="F88" s="4" t="s">
        <v>213</v>
      </c>
      <c r="G88" s="4" t="s">
        <v>495</v>
      </c>
      <c r="H88" s="4" t="n">
        <v>1991</v>
      </c>
      <c r="I88" s="4" t="s">
        <v>496</v>
      </c>
      <c r="J88" s="25" t="str">
        <f aca="false">IF(M88=1,"✓","")</f>
        <v>✓</v>
      </c>
      <c r="K88" s="4" t="str">
        <f aca="false">IF(AND(M88=0,P88=0),"▶ NEXT","")</f>
        <v/>
      </c>
      <c r="L88" s="4" t="n">
        <f aca="false">INDEX('Master List'!$F$2:$F$2594,O88)</f>
        <v>3</v>
      </c>
      <c r="M88" s="4" t="n">
        <f aca="false">INDEX('Master List'!$G$2:$G$2594,O88)</f>
        <v>1</v>
      </c>
      <c r="N88" s="4" t="str">
        <f aca="false">IF(K88="","",A88)</f>
        <v/>
      </c>
      <c r="O88" s="4" t="n">
        <v>2069</v>
      </c>
      <c r="P88" s="4" t="n">
        <f aca="false">IF(A88=A87,P87+1-M87,0)</f>
        <v>2</v>
      </c>
    </row>
    <row r="89" customFormat="false" ht="15" hidden="false" customHeight="false" outlineLevel="0" collapsed="false">
      <c r="A89" s="26" t="s">
        <v>3889</v>
      </c>
      <c r="B89" s="26" t="s">
        <v>49</v>
      </c>
      <c r="C89" s="26" t="s">
        <v>64</v>
      </c>
      <c r="D89" s="26" t="s">
        <v>3890</v>
      </c>
      <c r="E89" s="4" t="n">
        <v>7</v>
      </c>
      <c r="F89" s="4" t="s">
        <v>213</v>
      </c>
      <c r="G89" s="4" t="s">
        <v>259</v>
      </c>
      <c r="H89" s="4" t="n">
        <v>1993</v>
      </c>
      <c r="I89" s="4" t="s">
        <v>260</v>
      </c>
      <c r="J89" s="25" t="str">
        <f aca="false">IF(M89=1,"✓","")</f>
        <v>✓</v>
      </c>
      <c r="K89" s="4" t="str">
        <f aca="false">IF(AND(M89=0,P89=0),"▶ NEXT","")</f>
        <v/>
      </c>
      <c r="L89" s="4" t="n">
        <f aca="false">INDEX('Master List'!$F$2:$F$2594,O89)</f>
        <v>5</v>
      </c>
      <c r="M89" s="4" t="n">
        <f aca="false">INDEX('Master List'!$G$2:$G$2594,O89)</f>
        <v>1</v>
      </c>
      <c r="N89" s="4" t="str">
        <f aca="false">IF(K89="","",A89)</f>
        <v/>
      </c>
      <c r="O89" s="4" t="n">
        <v>970</v>
      </c>
      <c r="P89" s="4" t="n">
        <f aca="false">IF(A89=A88,P88+1-M88,0)</f>
        <v>2</v>
      </c>
    </row>
    <row r="90" customFormat="false" ht="15" hidden="false" customHeight="false" outlineLevel="0" collapsed="false">
      <c r="A90" s="26" t="s">
        <v>3889</v>
      </c>
      <c r="B90" s="26" t="s">
        <v>49</v>
      </c>
      <c r="C90" s="26" t="s">
        <v>64</v>
      </c>
      <c r="D90" s="26" t="s">
        <v>3890</v>
      </c>
      <c r="E90" s="4" t="n">
        <v>8</v>
      </c>
      <c r="F90" s="4" t="s">
        <v>213</v>
      </c>
      <c r="G90" s="4" t="s">
        <v>368</v>
      </c>
      <c r="H90" s="4" t="n">
        <v>1988</v>
      </c>
      <c r="I90" s="4" t="s">
        <v>369</v>
      </c>
      <c r="J90" s="25" t="str">
        <f aca="false">IF(M90=1,"✓","")</f>
        <v/>
      </c>
      <c r="K90" s="4" t="str">
        <f aca="false">IF(AND(M90=0,P90=0),"▶ NEXT","")</f>
        <v/>
      </c>
      <c r="L90" s="4" t="n">
        <f aca="false">INDEX('Master List'!$F$2:$F$2594,O90)</f>
        <v>4</v>
      </c>
      <c r="M90" s="4" t="n">
        <f aca="false">INDEX('Master List'!$G$2:$G$2594,O90)</f>
        <v>0</v>
      </c>
      <c r="N90" s="4" t="str">
        <f aca="false">IF(K90="","",A90)</f>
        <v/>
      </c>
      <c r="O90" s="4" t="n">
        <v>992</v>
      </c>
      <c r="P90" s="4" t="n">
        <f aca="false">IF(A90=A89,P89+1-M89,0)</f>
        <v>2</v>
      </c>
    </row>
    <row r="91" customFormat="false" ht="15" hidden="false" customHeight="false" outlineLevel="0" collapsed="false">
      <c r="A91" s="26" t="s">
        <v>3889</v>
      </c>
      <c r="B91" s="26" t="s">
        <v>49</v>
      </c>
      <c r="C91" s="26" t="s">
        <v>64</v>
      </c>
      <c r="D91" s="26" t="s">
        <v>3890</v>
      </c>
      <c r="E91" s="4" t="n">
        <v>9</v>
      </c>
      <c r="F91" s="4" t="s">
        <v>213</v>
      </c>
      <c r="G91" s="4" t="s">
        <v>378</v>
      </c>
      <c r="H91" s="4" t="n">
        <v>1995</v>
      </c>
      <c r="I91" s="4" t="s">
        <v>379</v>
      </c>
      <c r="J91" s="25" t="str">
        <f aca="false">IF(M91=1,"✓","")</f>
        <v>✓</v>
      </c>
      <c r="K91" s="4" t="str">
        <f aca="false">IF(AND(M91=0,P91=0),"▶ NEXT","")</f>
        <v/>
      </c>
      <c r="L91" s="4" t="n">
        <f aca="false">INDEX('Master List'!$F$2:$F$2594,O91)</f>
        <v>4</v>
      </c>
      <c r="M91" s="4" t="n">
        <f aca="false">INDEX('Master List'!$G$2:$G$2594,O91)</f>
        <v>1</v>
      </c>
      <c r="N91" s="4" t="str">
        <f aca="false">IF(K91="","",A91)</f>
        <v/>
      </c>
      <c r="O91" s="4" t="n">
        <v>2353</v>
      </c>
      <c r="P91" s="4" t="n">
        <f aca="false">IF(A91=A90,P90+1-M90,0)</f>
        <v>3</v>
      </c>
    </row>
    <row r="92" customFormat="false" ht="15" hidden="false" customHeight="false" outlineLevel="0" collapsed="false">
      <c r="A92" s="27" t="s">
        <v>3891</v>
      </c>
      <c r="B92" s="27" t="s">
        <v>50</v>
      </c>
      <c r="C92" s="27" t="s">
        <v>65</v>
      </c>
      <c r="D92" s="27" t="s">
        <v>3892</v>
      </c>
      <c r="E92" s="4" t="n">
        <v>1</v>
      </c>
      <c r="F92" s="4" t="s">
        <v>144</v>
      </c>
      <c r="G92" s="7" t="s">
        <v>1425</v>
      </c>
      <c r="H92" s="4" t="n">
        <v>1895</v>
      </c>
      <c r="I92" s="4" t="s">
        <v>1426</v>
      </c>
      <c r="J92" s="25" t="str">
        <f aca="false">IF(M92=1,"✓","")</f>
        <v/>
      </c>
      <c r="K92" s="4" t="str">
        <f aca="false">IF(AND(M92=0,P92=0),"▶ NEXT","")</f>
        <v>▶ NEXT</v>
      </c>
      <c r="L92" s="4" t="n">
        <f aca="false">INDEX('Master List'!$F$2:$F$2594,O92)</f>
        <v>1</v>
      </c>
      <c r="M92" s="4" t="n">
        <f aca="false">INDEX('Master List'!$G$2:$G$2594,O92)</f>
        <v>0</v>
      </c>
      <c r="N92" s="4" t="str">
        <f aca="false">IF(K92="","",A92)</f>
        <v>N009</v>
      </c>
      <c r="O92" s="4" t="n">
        <v>2551</v>
      </c>
      <c r="P92" s="4" t="n">
        <f aca="false">IF(A92=A91,P91+1-M91,0)</f>
        <v>0</v>
      </c>
    </row>
    <row r="93" customFormat="false" ht="15" hidden="false" customHeight="false" outlineLevel="0" collapsed="false">
      <c r="A93" s="27" t="s">
        <v>3891</v>
      </c>
      <c r="B93" s="27" t="s">
        <v>50</v>
      </c>
      <c r="C93" s="27" t="s">
        <v>65</v>
      </c>
      <c r="D93" s="27" t="s">
        <v>3892</v>
      </c>
      <c r="E93" s="4" t="n">
        <v>2</v>
      </c>
      <c r="F93" s="4" t="s">
        <v>144</v>
      </c>
      <c r="G93" s="7" t="s">
        <v>1427</v>
      </c>
      <c r="H93" s="4" t="n">
        <v>1896</v>
      </c>
      <c r="I93" s="4" t="s">
        <v>1428</v>
      </c>
      <c r="J93" s="25" t="str">
        <f aca="false">IF(M93=1,"✓","")</f>
        <v>✓</v>
      </c>
      <c r="K93" s="4" t="str">
        <f aca="false">IF(AND(M93=0,P93=0),"▶ NEXT","")</f>
        <v/>
      </c>
      <c r="L93" s="4" t="n">
        <f aca="false">INDEX('Master List'!$F$2:$F$2594,O93)</f>
        <v>1</v>
      </c>
      <c r="M93" s="4" t="n">
        <f aca="false">INDEX('Master List'!$G$2:$G$2594,O93)</f>
        <v>1</v>
      </c>
      <c r="N93" s="4" t="str">
        <f aca="false">IF(K93="","",A93)</f>
        <v/>
      </c>
      <c r="O93" s="4" t="n">
        <v>131</v>
      </c>
      <c r="P93" s="4" t="n">
        <f aca="false">IF(A93=A92,P92+1-M92,0)</f>
        <v>1</v>
      </c>
    </row>
    <row r="94" customFormat="false" ht="15" hidden="false" customHeight="false" outlineLevel="0" collapsed="false">
      <c r="A94" s="27" t="s">
        <v>3891</v>
      </c>
      <c r="B94" s="27" t="s">
        <v>50</v>
      </c>
      <c r="C94" s="27" t="s">
        <v>65</v>
      </c>
      <c r="D94" s="27" t="s">
        <v>3892</v>
      </c>
      <c r="E94" s="4" t="n">
        <v>3</v>
      </c>
      <c r="F94" s="4" t="s">
        <v>213</v>
      </c>
      <c r="G94" s="4" t="s">
        <v>719</v>
      </c>
      <c r="H94" s="4" t="n">
        <v>1902</v>
      </c>
      <c r="I94" s="4" t="s">
        <v>720</v>
      </c>
      <c r="J94" s="25" t="str">
        <f aca="false">IF(M94=1,"✓","")</f>
        <v>✓</v>
      </c>
      <c r="K94" s="4" t="str">
        <f aca="false">IF(AND(M94=0,P94=0),"▶ NEXT","")</f>
        <v/>
      </c>
      <c r="L94" s="4" t="n">
        <f aca="false">INDEX('Master List'!$F$2:$F$2594,O94)</f>
        <v>2</v>
      </c>
      <c r="M94" s="4" t="n">
        <f aca="false">INDEX('Master List'!$G$2:$G$2594,O94)</f>
        <v>1</v>
      </c>
      <c r="N94" s="4" t="str">
        <f aca="false">IF(K94="","",A94)</f>
        <v/>
      </c>
      <c r="O94" s="4" t="n">
        <v>2368</v>
      </c>
      <c r="P94" s="4" t="n">
        <f aca="false">IF(A94=A93,P93+1-M93,0)</f>
        <v>1</v>
      </c>
    </row>
    <row r="95" customFormat="false" ht="15" hidden="false" customHeight="false" outlineLevel="0" collapsed="false">
      <c r="A95" s="27" t="s">
        <v>3891</v>
      </c>
      <c r="B95" s="27" t="s">
        <v>50</v>
      </c>
      <c r="C95" s="27" t="s">
        <v>65</v>
      </c>
      <c r="D95" s="27" t="s">
        <v>3892</v>
      </c>
      <c r="E95" s="4" t="n">
        <v>4</v>
      </c>
      <c r="F95" s="4" t="s">
        <v>213</v>
      </c>
      <c r="G95" s="4" t="s">
        <v>528</v>
      </c>
      <c r="H95" s="4" t="n">
        <v>1903</v>
      </c>
      <c r="I95" s="4" t="s">
        <v>529</v>
      </c>
      <c r="J95" s="25" t="str">
        <f aca="false">IF(M95=1,"✓","")</f>
        <v/>
      </c>
      <c r="K95" s="4" t="str">
        <f aca="false">IF(AND(M95=0,P95=0),"▶ NEXT","")</f>
        <v/>
      </c>
      <c r="L95" s="4" t="n">
        <f aca="false">INDEX('Master List'!$F$2:$F$2594,O95)</f>
        <v>3</v>
      </c>
      <c r="M95" s="4" t="n">
        <f aca="false">INDEX('Master List'!$G$2:$G$2594,O95)</f>
        <v>0</v>
      </c>
      <c r="N95" s="4" t="str">
        <f aca="false">IF(K95="","",A95)</f>
        <v/>
      </c>
      <c r="O95" s="4" t="n">
        <v>957</v>
      </c>
      <c r="P95" s="4" t="n">
        <f aca="false">IF(A95=A94,P94+1-M94,0)</f>
        <v>1</v>
      </c>
    </row>
    <row r="96" customFormat="false" ht="15" hidden="false" customHeight="false" outlineLevel="0" collapsed="false">
      <c r="A96" s="27" t="s">
        <v>3891</v>
      </c>
      <c r="B96" s="27" t="s">
        <v>50</v>
      </c>
      <c r="C96" s="27" t="s">
        <v>65</v>
      </c>
      <c r="D96" s="27" t="s">
        <v>3892</v>
      </c>
      <c r="E96" s="4" t="n">
        <v>5</v>
      </c>
      <c r="F96" s="4" t="s">
        <v>213</v>
      </c>
      <c r="G96" s="4" t="s">
        <v>1665</v>
      </c>
      <c r="H96" s="4" t="n">
        <v>1901</v>
      </c>
      <c r="I96" s="4" t="s">
        <v>1666</v>
      </c>
      <c r="J96" s="25" t="str">
        <f aca="false">IF(M96=1,"✓","")</f>
        <v>✓</v>
      </c>
      <c r="K96" s="4" t="str">
        <f aca="false">IF(AND(M96=0,P96=0),"▶ NEXT","")</f>
        <v/>
      </c>
      <c r="L96" s="4" t="n">
        <f aca="false">INDEX('Master List'!$F$2:$F$2594,O96)</f>
        <v>1</v>
      </c>
      <c r="M96" s="4" t="n">
        <f aca="false">INDEX('Master List'!$G$2:$G$2594,O96)</f>
        <v>1</v>
      </c>
      <c r="N96" s="4" t="str">
        <f aca="false">IF(K96="","",A96)</f>
        <v/>
      </c>
      <c r="O96" s="4" t="n">
        <v>249</v>
      </c>
      <c r="P96" s="4" t="n">
        <f aca="false">IF(A96=A95,P95+1-M95,0)</f>
        <v>2</v>
      </c>
    </row>
    <row r="97" customFormat="false" ht="15" hidden="false" customHeight="false" outlineLevel="0" collapsed="false">
      <c r="A97" s="27" t="s">
        <v>3891</v>
      </c>
      <c r="B97" s="27" t="s">
        <v>50</v>
      </c>
      <c r="C97" s="27" t="s">
        <v>65</v>
      </c>
      <c r="D97" s="27" t="s">
        <v>3892</v>
      </c>
      <c r="E97" s="4" t="n">
        <v>6</v>
      </c>
      <c r="F97" s="4" t="s">
        <v>213</v>
      </c>
      <c r="G97" s="4" t="s">
        <v>1667</v>
      </c>
      <c r="H97" s="4" t="n">
        <v>1908</v>
      </c>
      <c r="I97" s="4" t="s">
        <v>1668</v>
      </c>
      <c r="J97" s="25" t="str">
        <f aca="false">IF(M97=1,"✓","")</f>
        <v/>
      </c>
      <c r="K97" s="4" t="str">
        <f aca="false">IF(AND(M97=0,P97=0),"▶ NEXT","")</f>
        <v/>
      </c>
      <c r="L97" s="4" t="n">
        <f aca="false">INDEX('Master List'!$F$2:$F$2594,O97)</f>
        <v>1</v>
      </c>
      <c r="M97" s="4" t="n">
        <f aca="false">INDEX('Master List'!$G$2:$G$2594,O97)</f>
        <v>0</v>
      </c>
      <c r="N97" s="4" t="str">
        <f aca="false">IF(K97="","",A97)</f>
        <v/>
      </c>
      <c r="O97" s="4" t="n">
        <v>782</v>
      </c>
      <c r="P97" s="4" t="n">
        <f aca="false">IF(A97=A96,P96+1-M96,0)</f>
        <v>2</v>
      </c>
    </row>
    <row r="98" customFormat="false" ht="15" hidden="false" customHeight="false" outlineLevel="0" collapsed="false">
      <c r="A98" s="27" t="s">
        <v>3891</v>
      </c>
      <c r="B98" s="27" t="s">
        <v>50</v>
      </c>
      <c r="C98" s="27" t="s">
        <v>65</v>
      </c>
      <c r="D98" s="27" t="s">
        <v>3892</v>
      </c>
      <c r="E98" s="4" t="n">
        <v>7</v>
      </c>
      <c r="F98" s="4" t="s">
        <v>213</v>
      </c>
      <c r="G98" s="4" t="s">
        <v>1669</v>
      </c>
      <c r="H98" s="4" t="n">
        <v>1914</v>
      </c>
      <c r="I98" s="4" t="s">
        <v>1670</v>
      </c>
      <c r="J98" s="25" t="str">
        <f aca="false">IF(M98=1,"✓","")</f>
        <v/>
      </c>
      <c r="K98" s="4" t="str">
        <f aca="false">IF(AND(M98=0,P98=0),"▶ NEXT","")</f>
        <v/>
      </c>
      <c r="L98" s="4" t="n">
        <f aca="false">INDEX('Master List'!$F$2:$F$2594,O98)</f>
        <v>1</v>
      </c>
      <c r="M98" s="4" t="n">
        <f aca="false">INDEX('Master List'!$G$2:$G$2594,O98)</f>
        <v>0</v>
      </c>
      <c r="N98" s="4" t="str">
        <f aca="false">IF(K98="","",A98)</f>
        <v/>
      </c>
      <c r="O98" s="4" t="n">
        <v>378</v>
      </c>
      <c r="P98" s="4" t="n">
        <f aca="false">IF(A98=A97,P97+1-M97,0)</f>
        <v>3</v>
      </c>
    </row>
    <row r="99" customFormat="false" ht="15" hidden="false" customHeight="false" outlineLevel="0" collapsed="false">
      <c r="A99" s="27" t="s">
        <v>3891</v>
      </c>
      <c r="B99" s="27" t="s">
        <v>50</v>
      </c>
      <c r="C99" s="27" t="s">
        <v>65</v>
      </c>
      <c r="D99" s="27" t="s">
        <v>3892</v>
      </c>
      <c r="E99" s="4" t="n">
        <v>8</v>
      </c>
      <c r="F99" s="4" t="s">
        <v>213</v>
      </c>
      <c r="G99" s="4" t="s">
        <v>1671</v>
      </c>
      <c r="H99" s="4" t="n">
        <v>1915</v>
      </c>
      <c r="I99" s="4" t="s">
        <v>1672</v>
      </c>
      <c r="J99" s="25" t="str">
        <f aca="false">IF(M99=1,"✓","")</f>
        <v/>
      </c>
      <c r="K99" s="4" t="str">
        <f aca="false">IF(AND(M99=0,P99=0),"▶ NEXT","")</f>
        <v/>
      </c>
      <c r="L99" s="4" t="n">
        <f aca="false">INDEX('Master List'!$F$2:$F$2594,O99)</f>
        <v>1</v>
      </c>
      <c r="M99" s="4" t="n">
        <f aca="false">INDEX('Master List'!$G$2:$G$2594,O99)</f>
        <v>0</v>
      </c>
      <c r="N99" s="4" t="str">
        <f aca="false">IF(K99="","",A99)</f>
        <v/>
      </c>
      <c r="O99" s="4" t="n">
        <v>2419</v>
      </c>
      <c r="P99" s="4" t="n">
        <f aca="false">IF(A99=A98,P98+1-M98,0)</f>
        <v>4</v>
      </c>
    </row>
    <row r="100" customFormat="false" ht="15" hidden="false" customHeight="false" outlineLevel="0" collapsed="false">
      <c r="A100" s="27" t="s">
        <v>3891</v>
      </c>
      <c r="B100" s="27" t="s">
        <v>50</v>
      </c>
      <c r="C100" s="27" t="s">
        <v>65</v>
      </c>
      <c r="D100" s="27" t="s">
        <v>3892</v>
      </c>
      <c r="E100" s="4" t="n">
        <v>9</v>
      </c>
      <c r="F100" s="4" t="s">
        <v>1327</v>
      </c>
      <c r="G100" s="4" t="s">
        <v>3270</v>
      </c>
      <c r="H100" s="4" t="n">
        <v>1894</v>
      </c>
      <c r="I100" s="4" t="s">
        <v>3271</v>
      </c>
      <c r="J100" s="25" t="str">
        <f aca="false">IF(M100=1,"✓","")</f>
        <v>✓</v>
      </c>
      <c r="K100" s="4" t="str">
        <f aca="false">IF(AND(M100=0,P100=0),"▶ NEXT","")</f>
        <v/>
      </c>
      <c r="L100" s="4" t="n">
        <f aca="false">INDEX('Master List'!$F$2:$F$2594,O100)</f>
        <v>1</v>
      </c>
      <c r="M100" s="4" t="n">
        <f aca="false">INDEX('Master List'!$G$2:$G$2594,O100)</f>
        <v>1</v>
      </c>
      <c r="N100" s="4" t="str">
        <f aca="false">IF(K100="","",A100)</f>
        <v/>
      </c>
      <c r="O100" s="4" t="n">
        <v>710</v>
      </c>
      <c r="P100" s="4" t="n">
        <f aca="false">IF(A100=A99,P99+1-M99,0)</f>
        <v>5</v>
      </c>
    </row>
    <row r="101" customFormat="false" ht="15" hidden="false" customHeight="false" outlineLevel="0" collapsed="false">
      <c r="A101" s="27" t="s">
        <v>3891</v>
      </c>
      <c r="B101" s="27" t="s">
        <v>50</v>
      </c>
      <c r="C101" s="27" t="s">
        <v>65</v>
      </c>
      <c r="D101" s="27" t="s">
        <v>3892</v>
      </c>
      <c r="E101" s="4" t="n">
        <v>10</v>
      </c>
      <c r="F101" s="4" t="s">
        <v>1327</v>
      </c>
      <c r="G101" s="4" t="s">
        <v>3272</v>
      </c>
      <c r="H101" s="4" t="n">
        <v>1905</v>
      </c>
      <c r="I101" s="4" t="s">
        <v>3273</v>
      </c>
      <c r="J101" s="25" t="str">
        <f aca="false">IF(M101=1,"✓","")</f>
        <v/>
      </c>
      <c r="K101" s="4" t="str">
        <f aca="false">IF(AND(M101=0,P101=0),"▶ NEXT","")</f>
        <v/>
      </c>
      <c r="L101" s="4" t="n">
        <f aca="false">INDEX('Master List'!$F$2:$F$2594,O101)</f>
        <v>1</v>
      </c>
      <c r="M101" s="4" t="n">
        <f aca="false">INDEX('Master List'!$G$2:$G$2594,O101)</f>
        <v>0</v>
      </c>
      <c r="N101" s="4" t="str">
        <f aca="false">IF(K101="","",A101)</f>
        <v/>
      </c>
      <c r="O101" s="4" t="n">
        <v>1891</v>
      </c>
      <c r="P101" s="4" t="n">
        <f aca="false">IF(A101=A100,P100+1-M100,0)</f>
        <v>5</v>
      </c>
    </row>
    <row r="102" customFormat="false" ht="15" hidden="false" customHeight="false" outlineLevel="0" collapsed="false">
      <c r="A102" s="27" t="s">
        <v>3891</v>
      </c>
      <c r="B102" s="27" t="s">
        <v>50</v>
      </c>
      <c r="C102" s="27" t="s">
        <v>65</v>
      </c>
      <c r="D102" s="27" t="s">
        <v>3892</v>
      </c>
      <c r="E102" s="4" t="n">
        <v>11</v>
      </c>
      <c r="F102" s="4" t="s">
        <v>1327</v>
      </c>
      <c r="G102" s="4" t="s">
        <v>1294</v>
      </c>
      <c r="H102" s="4" t="n">
        <v>1913</v>
      </c>
      <c r="I102" s="4" t="s">
        <v>1295</v>
      </c>
      <c r="J102" s="25" t="str">
        <f aca="false">IF(M102=1,"✓","")</f>
        <v/>
      </c>
      <c r="K102" s="4" t="str">
        <f aca="false">IF(AND(M102=0,P102=0),"▶ NEXT","")</f>
        <v/>
      </c>
      <c r="L102" s="4" t="n">
        <f aca="false">INDEX('Master List'!$F$2:$F$2594,O102)</f>
        <v>2</v>
      </c>
      <c r="M102" s="4" t="n">
        <f aca="false">INDEX('Master List'!$G$2:$G$2594,O102)</f>
        <v>0</v>
      </c>
      <c r="N102" s="4" t="str">
        <f aca="false">IF(K102="","",A102)</f>
        <v/>
      </c>
      <c r="O102" s="4" t="n">
        <v>2209</v>
      </c>
      <c r="P102" s="4" t="n">
        <f aca="false">IF(A102=A101,P101+1-M101,0)</f>
        <v>6</v>
      </c>
    </row>
    <row r="103" customFormat="false" ht="15" hidden="false" customHeight="false" outlineLevel="0" collapsed="false">
      <c r="A103" s="27" t="s">
        <v>3893</v>
      </c>
      <c r="B103" s="27" t="s">
        <v>50</v>
      </c>
      <c r="C103" s="27" t="s">
        <v>65</v>
      </c>
      <c r="D103" s="27" t="s">
        <v>3894</v>
      </c>
      <c r="E103" s="4" t="n">
        <v>1</v>
      </c>
      <c r="F103" s="4" t="s">
        <v>144</v>
      </c>
      <c r="G103" s="7" t="s">
        <v>530</v>
      </c>
      <c r="H103" s="4" t="n">
        <v>1915</v>
      </c>
      <c r="I103" s="4" t="s">
        <v>531</v>
      </c>
      <c r="J103" s="25" t="str">
        <f aca="false">IF(M103=1,"✓","")</f>
        <v/>
      </c>
      <c r="K103" s="4" t="str">
        <f aca="false">IF(AND(M103=0,P103=0),"▶ NEXT","")</f>
        <v>▶ NEXT</v>
      </c>
      <c r="L103" s="4" t="n">
        <f aca="false">INDEX('Master List'!$F$2:$F$2594,O103)</f>
        <v>3</v>
      </c>
      <c r="M103" s="4" t="n">
        <f aca="false">INDEX('Master List'!$G$2:$G$2594,O103)</f>
        <v>0</v>
      </c>
      <c r="N103" s="4" t="str">
        <f aca="false">IF(K103="","",A103)</f>
        <v>N010</v>
      </c>
      <c r="O103" s="4" t="n">
        <v>259</v>
      </c>
      <c r="P103" s="4" t="n">
        <f aca="false">IF(A103=A102,P102+1-M102,0)</f>
        <v>0</v>
      </c>
    </row>
    <row r="104" customFormat="false" ht="15" hidden="false" customHeight="false" outlineLevel="0" collapsed="false">
      <c r="A104" s="27" t="s">
        <v>3893</v>
      </c>
      <c r="B104" s="27" t="s">
        <v>50</v>
      </c>
      <c r="C104" s="27" t="s">
        <v>65</v>
      </c>
      <c r="D104" s="27" t="s">
        <v>3894</v>
      </c>
      <c r="E104" s="4" t="n">
        <v>2</v>
      </c>
      <c r="F104" s="4" t="s">
        <v>213</v>
      </c>
      <c r="G104" s="4" t="s">
        <v>562</v>
      </c>
      <c r="H104" s="4" t="n">
        <v>1916</v>
      </c>
      <c r="I104" s="4" t="s">
        <v>531</v>
      </c>
      <c r="J104" s="25" t="str">
        <f aca="false">IF(M104=1,"✓","")</f>
        <v/>
      </c>
      <c r="K104" s="4" t="str">
        <f aca="false">IF(AND(M104=0,P104=0),"▶ NEXT","")</f>
        <v/>
      </c>
      <c r="L104" s="4" t="n">
        <f aca="false">INDEX('Master List'!$F$2:$F$2594,O104)</f>
        <v>3</v>
      </c>
      <c r="M104" s="4" t="n">
        <f aca="false">INDEX('Master List'!$G$2:$G$2594,O104)</f>
        <v>0</v>
      </c>
      <c r="N104" s="4" t="str">
        <f aca="false">IF(K104="","",A104)</f>
        <v/>
      </c>
      <c r="O104" s="4" t="n">
        <v>1158</v>
      </c>
      <c r="P104" s="4" t="n">
        <f aca="false">IF(A104=A103,P103+1-M103,0)</f>
        <v>1</v>
      </c>
    </row>
    <row r="105" customFormat="false" ht="15" hidden="false" customHeight="false" outlineLevel="0" collapsed="false">
      <c r="A105" s="27" t="s">
        <v>3893</v>
      </c>
      <c r="B105" s="27" t="s">
        <v>50</v>
      </c>
      <c r="C105" s="27" t="s">
        <v>65</v>
      </c>
      <c r="D105" s="27" t="s">
        <v>3894</v>
      </c>
      <c r="E105" s="4" t="n">
        <v>3</v>
      </c>
      <c r="F105" s="4" t="s">
        <v>213</v>
      </c>
      <c r="G105" s="4" t="s">
        <v>1673</v>
      </c>
      <c r="H105" s="4" t="n">
        <v>1919</v>
      </c>
      <c r="I105" s="4" t="s">
        <v>531</v>
      </c>
      <c r="J105" s="25" t="str">
        <f aca="false">IF(M105=1,"✓","")</f>
        <v/>
      </c>
      <c r="K105" s="4" t="str">
        <f aca="false">IF(AND(M105=0,P105=0),"▶ NEXT","")</f>
        <v/>
      </c>
      <c r="L105" s="4" t="n">
        <f aca="false">INDEX('Master List'!$F$2:$F$2594,O105)</f>
        <v>1</v>
      </c>
      <c r="M105" s="4" t="n">
        <f aca="false">INDEX('Master List'!$G$2:$G$2594,O105)</f>
        <v>0</v>
      </c>
      <c r="N105" s="4" t="str">
        <f aca="false">IF(K105="","",A105)</f>
        <v/>
      </c>
      <c r="O105" s="4" t="n">
        <v>356</v>
      </c>
      <c r="P105" s="4" t="n">
        <f aca="false">IF(A105=A104,P104+1-M104,0)</f>
        <v>2</v>
      </c>
    </row>
    <row r="106" customFormat="false" ht="15" hidden="false" customHeight="false" outlineLevel="0" collapsed="false">
      <c r="A106" s="27" t="s">
        <v>3893</v>
      </c>
      <c r="B106" s="27" t="s">
        <v>50</v>
      </c>
      <c r="C106" s="27" t="s">
        <v>65</v>
      </c>
      <c r="D106" s="27" t="s">
        <v>3894</v>
      </c>
      <c r="E106" s="4" t="n">
        <v>4</v>
      </c>
      <c r="F106" s="4" t="s">
        <v>213</v>
      </c>
      <c r="G106" s="4" t="s">
        <v>721</v>
      </c>
      <c r="H106" s="4" t="n">
        <v>1920</v>
      </c>
      <c r="I106" s="4" t="s">
        <v>722</v>
      </c>
      <c r="J106" s="25" t="str">
        <f aca="false">IF(M106=1,"✓","")</f>
        <v/>
      </c>
      <c r="K106" s="4" t="str">
        <f aca="false">IF(AND(M106=0,P106=0),"▶ NEXT","")</f>
        <v/>
      </c>
      <c r="L106" s="4" t="n">
        <f aca="false">INDEX('Master List'!$F$2:$F$2594,O106)</f>
        <v>2</v>
      </c>
      <c r="M106" s="4" t="n">
        <f aca="false">INDEX('Master List'!$G$2:$G$2594,O106)</f>
        <v>0</v>
      </c>
      <c r="N106" s="4" t="str">
        <f aca="false">IF(K106="","",A106)</f>
        <v/>
      </c>
      <c r="O106" s="4" t="n">
        <v>2535</v>
      </c>
      <c r="P106" s="4" t="n">
        <f aca="false">IF(A106=A105,P105+1-M105,0)</f>
        <v>3</v>
      </c>
    </row>
    <row r="107" customFormat="false" ht="15" hidden="false" customHeight="false" outlineLevel="0" collapsed="false">
      <c r="A107" s="27" t="s">
        <v>3893</v>
      </c>
      <c r="B107" s="27" t="s">
        <v>50</v>
      </c>
      <c r="C107" s="27" t="s">
        <v>65</v>
      </c>
      <c r="D107" s="27" t="s">
        <v>3894</v>
      </c>
      <c r="E107" s="4" t="n">
        <v>5</v>
      </c>
      <c r="F107" s="4" t="s">
        <v>213</v>
      </c>
      <c r="G107" s="4" t="s">
        <v>725</v>
      </c>
      <c r="H107" s="4" t="n">
        <v>1924</v>
      </c>
      <c r="I107" s="4" t="s">
        <v>726</v>
      </c>
      <c r="J107" s="25" t="str">
        <f aca="false">IF(M107=1,"✓","")</f>
        <v/>
      </c>
      <c r="K107" s="4" t="str">
        <f aca="false">IF(AND(M107=0,P107=0),"▶ NEXT","")</f>
        <v/>
      </c>
      <c r="L107" s="4" t="n">
        <f aca="false">INDEX('Master List'!$F$2:$F$2594,O107)</f>
        <v>3</v>
      </c>
      <c r="M107" s="4" t="n">
        <f aca="false">INDEX('Master List'!$G$2:$G$2594,O107)</f>
        <v>0</v>
      </c>
      <c r="N107" s="4" t="str">
        <f aca="false">IF(K107="","",A107)</f>
        <v/>
      </c>
      <c r="O107" s="4" t="n">
        <v>959</v>
      </c>
      <c r="P107" s="4" t="n">
        <f aca="false">IF(A107=A106,P106+1-M106,0)</f>
        <v>4</v>
      </c>
    </row>
    <row r="108" customFormat="false" ht="15" hidden="false" customHeight="false" outlineLevel="0" collapsed="false">
      <c r="A108" s="27" t="s">
        <v>3893</v>
      </c>
      <c r="B108" s="27" t="s">
        <v>50</v>
      </c>
      <c r="C108" s="27" t="s">
        <v>65</v>
      </c>
      <c r="D108" s="27" t="s">
        <v>3894</v>
      </c>
      <c r="E108" s="4" t="n">
        <v>6</v>
      </c>
      <c r="F108" s="4" t="s">
        <v>213</v>
      </c>
      <c r="G108" s="4" t="s">
        <v>899</v>
      </c>
      <c r="H108" s="4" t="n">
        <v>1925</v>
      </c>
      <c r="I108" s="4" t="s">
        <v>535</v>
      </c>
      <c r="J108" s="25" t="str">
        <f aca="false">IF(M108=1,"✓","")</f>
        <v/>
      </c>
      <c r="K108" s="4" t="str">
        <f aca="false">IF(AND(M108=0,P108=0),"▶ NEXT","")</f>
        <v/>
      </c>
      <c r="L108" s="4" t="n">
        <f aca="false">INDEX('Master List'!$F$2:$F$2594,O108)</f>
        <v>2</v>
      </c>
      <c r="M108" s="4" t="n">
        <f aca="false">INDEX('Master List'!$G$2:$G$2594,O108)</f>
        <v>0</v>
      </c>
      <c r="N108" s="4" t="str">
        <f aca="false">IF(K108="","",A108)</f>
        <v/>
      </c>
      <c r="O108" s="4" t="n">
        <v>246</v>
      </c>
      <c r="P108" s="4" t="n">
        <f aca="false">IF(A108=A107,P107+1-M107,0)</f>
        <v>5</v>
      </c>
    </row>
    <row r="109" customFormat="false" ht="15" hidden="false" customHeight="false" outlineLevel="0" collapsed="false">
      <c r="A109" s="27" t="s">
        <v>3893</v>
      </c>
      <c r="B109" s="27" t="s">
        <v>50</v>
      </c>
      <c r="C109" s="27" t="s">
        <v>65</v>
      </c>
      <c r="D109" s="27" t="s">
        <v>3894</v>
      </c>
      <c r="E109" s="4" t="n">
        <v>7</v>
      </c>
      <c r="F109" s="4" t="s">
        <v>144</v>
      </c>
      <c r="G109" s="7" t="s">
        <v>534</v>
      </c>
      <c r="H109" s="4" t="n">
        <v>1928</v>
      </c>
      <c r="I109" s="4" t="s">
        <v>535</v>
      </c>
      <c r="J109" s="25" t="str">
        <f aca="false">IF(M109=1,"✓","")</f>
        <v/>
      </c>
      <c r="K109" s="4" t="str">
        <f aca="false">IF(AND(M109=0,P109=0),"▶ NEXT","")</f>
        <v/>
      </c>
      <c r="L109" s="4" t="n">
        <f aca="false">INDEX('Master List'!$F$2:$F$2594,O109)</f>
        <v>3</v>
      </c>
      <c r="M109" s="4" t="n">
        <f aca="false">INDEX('Master List'!$G$2:$G$2594,O109)</f>
        <v>0</v>
      </c>
      <c r="N109" s="4" t="str">
        <f aca="false">IF(K109="","",A109)</f>
        <v/>
      </c>
      <c r="O109" s="4" t="n">
        <v>544</v>
      </c>
      <c r="P109" s="4" t="n">
        <f aca="false">IF(A109=A108,P108+1-M108,0)</f>
        <v>6</v>
      </c>
    </row>
    <row r="110" customFormat="false" ht="15" hidden="false" customHeight="false" outlineLevel="0" collapsed="false">
      <c r="A110" s="27" t="s">
        <v>3893</v>
      </c>
      <c r="B110" s="27" t="s">
        <v>50</v>
      </c>
      <c r="C110" s="27" t="s">
        <v>65</v>
      </c>
      <c r="D110" s="27" t="s">
        <v>3894</v>
      </c>
      <c r="E110" s="4" t="n">
        <v>8</v>
      </c>
      <c r="F110" s="4" t="s">
        <v>213</v>
      </c>
      <c r="G110" s="4" t="s">
        <v>1689</v>
      </c>
      <c r="H110" s="4" t="n">
        <v>1927</v>
      </c>
      <c r="I110" s="4" t="s">
        <v>564</v>
      </c>
      <c r="J110" s="25" t="str">
        <f aca="false">IF(M110=1,"✓","")</f>
        <v/>
      </c>
      <c r="K110" s="4" t="str">
        <f aca="false">IF(AND(M110=0,P110=0),"▶ NEXT","")</f>
        <v/>
      </c>
      <c r="L110" s="4" t="n">
        <f aca="false">INDEX('Master List'!$F$2:$F$2594,O110)</f>
        <v>1</v>
      </c>
      <c r="M110" s="4" t="n">
        <f aca="false">INDEX('Master List'!$G$2:$G$2594,O110)</f>
        <v>0</v>
      </c>
      <c r="N110" s="4" t="str">
        <f aca="false">IF(K110="","",A110)</f>
        <v/>
      </c>
      <c r="O110" s="4" t="n">
        <v>2525</v>
      </c>
      <c r="P110" s="4" t="n">
        <f aca="false">IF(A110=A109,P109+1-M109,0)</f>
        <v>7</v>
      </c>
    </row>
    <row r="111" customFormat="false" ht="15" hidden="false" customHeight="false" outlineLevel="0" collapsed="false">
      <c r="A111" s="27" t="s">
        <v>3893</v>
      </c>
      <c r="B111" s="27" t="s">
        <v>50</v>
      </c>
      <c r="C111" s="27" t="s">
        <v>65</v>
      </c>
      <c r="D111" s="27" t="s">
        <v>3894</v>
      </c>
      <c r="E111" s="4" t="n">
        <v>9</v>
      </c>
      <c r="F111" s="4" t="s">
        <v>213</v>
      </c>
      <c r="G111" s="4" t="s">
        <v>1269</v>
      </c>
      <c r="H111" s="4" t="n">
        <v>1928</v>
      </c>
      <c r="I111" s="4" t="s">
        <v>1270</v>
      </c>
      <c r="J111" s="25" t="str">
        <f aca="false">IF(M111=1,"✓","")</f>
        <v/>
      </c>
      <c r="K111" s="4" t="str">
        <f aca="false">IF(AND(M111=0,P111=0),"▶ NEXT","")</f>
        <v/>
      </c>
      <c r="L111" s="4" t="n">
        <f aca="false">INDEX('Master List'!$F$2:$F$2594,O111)</f>
        <v>2</v>
      </c>
      <c r="M111" s="4" t="n">
        <f aca="false">INDEX('Master List'!$G$2:$G$2594,O111)</f>
        <v>0</v>
      </c>
      <c r="N111" s="4" t="str">
        <f aca="false">IF(K111="","",A111)</f>
        <v/>
      </c>
      <c r="O111" s="4" t="n">
        <v>2520</v>
      </c>
      <c r="P111" s="4" t="n">
        <f aca="false">IF(A111=A110,P110+1-M110,0)</f>
        <v>8</v>
      </c>
    </row>
    <row r="112" customFormat="false" ht="15" hidden="false" customHeight="false" outlineLevel="0" collapsed="false">
      <c r="A112" s="27" t="s">
        <v>3893</v>
      </c>
      <c r="B112" s="27" t="s">
        <v>50</v>
      </c>
      <c r="C112" s="27" t="s">
        <v>65</v>
      </c>
      <c r="D112" s="27" t="s">
        <v>3894</v>
      </c>
      <c r="E112" s="4" t="n">
        <v>10</v>
      </c>
      <c r="F112" s="4" t="s">
        <v>1327</v>
      </c>
      <c r="G112" s="4" t="s">
        <v>3277</v>
      </c>
      <c r="H112" s="4" t="n">
        <v>1923</v>
      </c>
      <c r="I112" s="4" t="s">
        <v>3278</v>
      </c>
      <c r="J112" s="25" t="str">
        <f aca="false">IF(M112=1,"✓","")</f>
        <v/>
      </c>
      <c r="K112" s="4" t="str">
        <f aca="false">IF(AND(M112=0,P112=0),"▶ NEXT","")</f>
        <v/>
      </c>
      <c r="L112" s="4" t="n">
        <f aca="false">INDEX('Master List'!$F$2:$F$2594,O112)</f>
        <v>1</v>
      </c>
      <c r="M112" s="4" t="n">
        <f aca="false">INDEX('Master List'!$G$2:$G$2594,O112)</f>
        <v>0</v>
      </c>
      <c r="N112" s="4" t="str">
        <f aca="false">IF(K112="","",A112)</f>
        <v/>
      </c>
      <c r="O112" s="4" t="n">
        <v>1961</v>
      </c>
      <c r="P112" s="4" t="n">
        <f aca="false">IF(A112=A111,P111+1-M111,0)</f>
        <v>9</v>
      </c>
    </row>
    <row r="113" customFormat="false" ht="15" hidden="false" customHeight="false" outlineLevel="0" collapsed="false">
      <c r="A113" s="27" t="s">
        <v>3895</v>
      </c>
      <c r="B113" s="27" t="s">
        <v>50</v>
      </c>
      <c r="C113" s="27" t="s">
        <v>65</v>
      </c>
      <c r="D113" s="27" t="s">
        <v>3896</v>
      </c>
      <c r="E113" s="4" t="n">
        <v>1</v>
      </c>
      <c r="F113" s="4" t="s">
        <v>144</v>
      </c>
      <c r="G113" s="7" t="s">
        <v>332</v>
      </c>
      <c r="H113" s="4" t="n">
        <v>1924</v>
      </c>
      <c r="I113" s="4" t="s">
        <v>333</v>
      </c>
      <c r="J113" s="25" t="str">
        <f aca="false">IF(M113=1,"✓","")</f>
        <v/>
      </c>
      <c r="K113" s="4" t="str">
        <f aca="false">IF(AND(M113=0,P113=0),"▶ NEXT","")</f>
        <v>▶ NEXT</v>
      </c>
      <c r="L113" s="4" t="n">
        <f aca="false">INDEX('Master List'!$F$2:$F$2594,O113)</f>
        <v>4</v>
      </c>
      <c r="M113" s="4" t="n">
        <f aca="false">INDEX('Master List'!$G$2:$G$2594,O113)</f>
        <v>0</v>
      </c>
      <c r="N113" s="4" t="str">
        <f aca="false">IF(K113="","",A113)</f>
        <v>N011</v>
      </c>
      <c r="O113" s="4" t="n">
        <v>2043</v>
      </c>
      <c r="P113" s="4" t="n">
        <f aca="false">IF(A113=A112,P112+1-M112,0)</f>
        <v>0</v>
      </c>
    </row>
    <row r="114" customFormat="false" ht="15" hidden="false" customHeight="false" outlineLevel="0" collapsed="false">
      <c r="A114" s="27" t="s">
        <v>3895</v>
      </c>
      <c r="B114" s="27" t="s">
        <v>50</v>
      </c>
      <c r="C114" s="27" t="s">
        <v>65</v>
      </c>
      <c r="D114" s="27" t="s">
        <v>3896</v>
      </c>
      <c r="E114" s="4" t="n">
        <v>2</v>
      </c>
      <c r="F114" s="4" t="s">
        <v>144</v>
      </c>
      <c r="G114" s="7" t="s">
        <v>532</v>
      </c>
      <c r="H114" s="4" t="n">
        <v>1926</v>
      </c>
      <c r="I114" s="4" t="s">
        <v>533</v>
      </c>
      <c r="J114" s="25" t="str">
        <f aca="false">IF(M114=1,"✓","")</f>
        <v/>
      </c>
      <c r="K114" s="4" t="str">
        <f aca="false">IF(AND(M114=0,P114=0),"▶ NEXT","")</f>
        <v/>
      </c>
      <c r="L114" s="4" t="n">
        <f aca="false">INDEX('Master List'!$F$2:$F$2594,O114)</f>
        <v>3</v>
      </c>
      <c r="M114" s="4" t="n">
        <f aca="false">INDEX('Master List'!$G$2:$G$2594,O114)</f>
        <v>0</v>
      </c>
      <c r="N114" s="4" t="str">
        <f aca="false">IF(K114="","",A114)</f>
        <v/>
      </c>
      <c r="O114" s="4" t="n">
        <v>883</v>
      </c>
      <c r="P114" s="4" t="n">
        <f aca="false">IF(A114=A113,P113+1-M113,0)</f>
        <v>1</v>
      </c>
    </row>
    <row r="115" customFormat="false" ht="15" hidden="false" customHeight="false" outlineLevel="0" collapsed="false">
      <c r="A115" s="27" t="s">
        <v>3895</v>
      </c>
      <c r="B115" s="27" t="s">
        <v>50</v>
      </c>
      <c r="C115" s="27" t="s">
        <v>65</v>
      </c>
      <c r="D115" s="27" t="s">
        <v>3896</v>
      </c>
      <c r="E115" s="4" t="n">
        <v>3</v>
      </c>
      <c r="F115" s="4" t="s">
        <v>213</v>
      </c>
      <c r="G115" s="4" t="s">
        <v>897</v>
      </c>
      <c r="H115" s="4" t="n">
        <v>1921</v>
      </c>
      <c r="I115" s="4" t="s">
        <v>344</v>
      </c>
      <c r="J115" s="25" t="str">
        <f aca="false">IF(M115=1,"✓","")</f>
        <v/>
      </c>
      <c r="K115" s="4" t="str">
        <f aca="false">IF(AND(M115=0,P115=0),"▶ NEXT","")</f>
        <v/>
      </c>
      <c r="L115" s="4" t="n">
        <f aca="false">INDEX('Master List'!$F$2:$F$2594,O115)</f>
        <v>2</v>
      </c>
      <c r="M115" s="4" t="n">
        <f aca="false">INDEX('Master List'!$G$2:$G$2594,O115)</f>
        <v>0</v>
      </c>
      <c r="N115" s="4" t="str">
        <f aca="false">IF(K115="","",A115)</f>
        <v/>
      </c>
      <c r="O115" s="4" t="n">
        <v>1237</v>
      </c>
      <c r="P115" s="4" t="n">
        <f aca="false">IF(A115=A114,P114+1-M114,0)</f>
        <v>2</v>
      </c>
    </row>
    <row r="116" customFormat="false" ht="15" hidden="false" customHeight="false" outlineLevel="0" collapsed="false">
      <c r="A116" s="27" t="s">
        <v>3895</v>
      </c>
      <c r="B116" s="27" t="s">
        <v>50</v>
      </c>
      <c r="C116" s="27" t="s">
        <v>65</v>
      </c>
      <c r="D116" s="27" t="s">
        <v>3896</v>
      </c>
      <c r="E116" s="4" t="n">
        <v>4</v>
      </c>
      <c r="F116" s="4" t="s">
        <v>213</v>
      </c>
      <c r="G116" s="4" t="s">
        <v>655</v>
      </c>
      <c r="H116" s="4" t="n">
        <v>1925</v>
      </c>
      <c r="I116" s="4" t="s">
        <v>344</v>
      </c>
      <c r="J116" s="25" t="str">
        <f aca="false">IF(M116=1,"✓","")</f>
        <v>✓</v>
      </c>
      <c r="K116" s="4" t="str">
        <f aca="false">IF(AND(M116=0,P116=0),"▶ NEXT","")</f>
        <v/>
      </c>
      <c r="L116" s="4" t="n">
        <f aca="false">INDEX('Master List'!$F$2:$F$2594,O116)</f>
        <v>3</v>
      </c>
      <c r="M116" s="4" t="n">
        <f aca="false">INDEX('Master List'!$G$2:$G$2594,O116)</f>
        <v>1</v>
      </c>
      <c r="N116" s="4" t="str">
        <f aca="false">IF(K116="","",A116)</f>
        <v/>
      </c>
      <c r="O116" s="4" t="n">
        <v>916</v>
      </c>
      <c r="P116" s="4" t="n">
        <f aca="false">IF(A116=A115,P115+1-M115,0)</f>
        <v>3</v>
      </c>
    </row>
    <row r="117" customFormat="false" ht="15" hidden="false" customHeight="false" outlineLevel="0" collapsed="false">
      <c r="A117" s="27" t="s">
        <v>3895</v>
      </c>
      <c r="B117" s="27" t="s">
        <v>50</v>
      </c>
      <c r="C117" s="27" t="s">
        <v>65</v>
      </c>
      <c r="D117" s="27" t="s">
        <v>3896</v>
      </c>
      <c r="E117" s="4" t="n">
        <v>5</v>
      </c>
      <c r="F117" s="4" t="s">
        <v>213</v>
      </c>
      <c r="G117" s="4" t="s">
        <v>1679</v>
      </c>
      <c r="H117" s="4" t="n">
        <v>1923</v>
      </c>
      <c r="I117" s="4" t="s">
        <v>1680</v>
      </c>
      <c r="J117" s="25" t="str">
        <f aca="false">IF(M117=1,"✓","")</f>
        <v/>
      </c>
      <c r="K117" s="4" t="str">
        <f aca="false">IF(AND(M117=0,P117=0),"▶ NEXT","")</f>
        <v/>
      </c>
      <c r="L117" s="4" t="n">
        <f aca="false">INDEX('Master List'!$F$2:$F$2594,O117)</f>
        <v>1</v>
      </c>
      <c r="M117" s="4" t="n">
        <f aca="false">INDEX('Master List'!$G$2:$G$2594,O117)</f>
        <v>0</v>
      </c>
      <c r="N117" s="4" t="str">
        <f aca="false">IF(K117="","",A117)</f>
        <v/>
      </c>
      <c r="O117" s="4" t="n">
        <v>1956</v>
      </c>
      <c r="P117" s="4" t="n">
        <f aca="false">IF(A117=A116,P116+1-M116,0)</f>
        <v>3</v>
      </c>
    </row>
    <row r="118" customFormat="false" ht="15" hidden="false" customHeight="false" outlineLevel="0" collapsed="false">
      <c r="A118" s="27" t="s">
        <v>3895</v>
      </c>
      <c r="B118" s="27" t="s">
        <v>50</v>
      </c>
      <c r="C118" s="27" t="s">
        <v>65</v>
      </c>
      <c r="D118" s="27" t="s">
        <v>3896</v>
      </c>
      <c r="E118" s="4" t="n">
        <v>6</v>
      </c>
      <c r="F118" s="4" t="s">
        <v>213</v>
      </c>
      <c r="G118" s="4" t="s">
        <v>1694</v>
      </c>
      <c r="H118" s="4" t="n">
        <v>1928</v>
      </c>
      <c r="I118" s="4" t="s">
        <v>1695</v>
      </c>
      <c r="J118" s="25" t="str">
        <f aca="false">IF(M118=1,"✓","")</f>
        <v/>
      </c>
      <c r="K118" s="4" t="str">
        <f aca="false">IF(AND(M118=0,P118=0),"▶ NEXT","")</f>
        <v/>
      </c>
      <c r="L118" s="4" t="n">
        <f aca="false">INDEX('Master List'!$F$2:$F$2594,O118)</f>
        <v>1</v>
      </c>
      <c r="M118" s="4" t="n">
        <f aca="false">INDEX('Master List'!$G$2:$G$2594,O118)</f>
        <v>0</v>
      </c>
      <c r="N118" s="4" t="str">
        <f aca="false">IF(K118="","",A118)</f>
        <v/>
      </c>
      <c r="O118" s="4" t="n">
        <v>2153</v>
      </c>
      <c r="P118" s="4" t="n">
        <f aca="false">IF(A118=A117,P117+1-M117,0)</f>
        <v>4</v>
      </c>
    </row>
    <row r="119" customFormat="false" ht="15" hidden="false" customHeight="false" outlineLevel="0" collapsed="false">
      <c r="A119" s="27" t="s">
        <v>3895</v>
      </c>
      <c r="B119" s="27" t="s">
        <v>50</v>
      </c>
      <c r="C119" s="27" t="s">
        <v>65</v>
      </c>
      <c r="D119" s="27" t="s">
        <v>3896</v>
      </c>
      <c r="E119" s="4" t="n">
        <v>7</v>
      </c>
      <c r="F119" s="4" t="s">
        <v>213</v>
      </c>
      <c r="G119" s="4" t="s">
        <v>343</v>
      </c>
      <c r="H119" s="4" t="n">
        <v>1931</v>
      </c>
      <c r="I119" s="4" t="s">
        <v>344</v>
      </c>
      <c r="J119" s="25" t="str">
        <f aca="false">IF(M119=1,"✓","")</f>
        <v/>
      </c>
      <c r="K119" s="4" t="str">
        <f aca="false">IF(AND(M119=0,P119=0),"▶ NEXT","")</f>
        <v/>
      </c>
      <c r="L119" s="4" t="n">
        <f aca="false">INDEX('Master List'!$F$2:$F$2594,O119)</f>
        <v>5</v>
      </c>
      <c r="M119" s="4" t="n">
        <f aca="false">INDEX('Master List'!$G$2:$G$2594,O119)</f>
        <v>0</v>
      </c>
      <c r="N119" s="4" t="str">
        <f aca="false">IF(K119="","",A119)</f>
        <v/>
      </c>
      <c r="O119" s="4" t="n">
        <v>464</v>
      </c>
      <c r="P119" s="4" t="n">
        <f aca="false">IF(A119=A118,P118+1-M118,0)</f>
        <v>5</v>
      </c>
    </row>
    <row r="120" customFormat="false" ht="15" hidden="false" customHeight="false" outlineLevel="0" collapsed="false">
      <c r="A120" s="27" t="s">
        <v>3895</v>
      </c>
      <c r="B120" s="27" t="s">
        <v>50</v>
      </c>
      <c r="C120" s="27" t="s">
        <v>65</v>
      </c>
      <c r="D120" s="27" t="s">
        <v>3896</v>
      </c>
      <c r="E120" s="4" t="n">
        <v>8</v>
      </c>
      <c r="F120" s="4" t="s">
        <v>213</v>
      </c>
      <c r="G120" s="4" t="s">
        <v>1298</v>
      </c>
      <c r="H120" s="4" t="n">
        <v>1923</v>
      </c>
      <c r="I120" s="4" t="s">
        <v>333</v>
      </c>
      <c r="J120" s="25" t="str">
        <f aca="false">IF(M120=1,"✓","")</f>
        <v/>
      </c>
      <c r="K120" s="4" t="str">
        <f aca="false">IF(AND(M120=0,P120=0),"▶ NEXT","")</f>
        <v/>
      </c>
      <c r="L120" s="4" t="n">
        <f aca="false">INDEX('Master List'!$F$2:$F$2594,O120)</f>
        <v>2</v>
      </c>
      <c r="M120" s="4" t="n">
        <f aca="false">INDEX('Master List'!$G$2:$G$2594,O120)</f>
        <v>0</v>
      </c>
      <c r="N120" s="4" t="str">
        <f aca="false">IF(K120="","",A120)</f>
        <v/>
      </c>
      <c r="O120" s="4" t="n">
        <v>1698</v>
      </c>
      <c r="P120" s="4" t="n">
        <f aca="false">IF(A120=A119,P119+1-M119,0)</f>
        <v>6</v>
      </c>
    </row>
    <row r="121" customFormat="false" ht="15" hidden="false" customHeight="false" outlineLevel="0" collapsed="false">
      <c r="A121" s="27" t="s">
        <v>3895</v>
      </c>
      <c r="B121" s="27" t="s">
        <v>50</v>
      </c>
      <c r="C121" s="27" t="s">
        <v>65</v>
      </c>
      <c r="D121" s="27" t="s">
        <v>3896</v>
      </c>
      <c r="E121" s="4" t="n">
        <v>9</v>
      </c>
      <c r="F121" s="4" t="s">
        <v>213</v>
      </c>
      <c r="G121" s="4" t="s">
        <v>1685</v>
      </c>
      <c r="H121" s="4" t="n">
        <v>1925</v>
      </c>
      <c r="I121" s="4" t="s">
        <v>1680</v>
      </c>
      <c r="J121" s="25" t="str">
        <f aca="false">IF(M121=1,"✓","")</f>
        <v/>
      </c>
      <c r="K121" s="4" t="str">
        <f aca="false">IF(AND(M121=0,P121=0),"▶ NEXT","")</f>
        <v/>
      </c>
      <c r="L121" s="4" t="n">
        <f aca="false">INDEX('Master List'!$F$2:$F$2594,O121)</f>
        <v>1</v>
      </c>
      <c r="M121" s="4" t="n">
        <f aca="false">INDEX('Master List'!$G$2:$G$2594,O121)</f>
        <v>0</v>
      </c>
      <c r="N121" s="4" t="str">
        <f aca="false">IF(K121="","",A121)</f>
        <v/>
      </c>
      <c r="O121" s="4" t="n">
        <v>854</v>
      </c>
      <c r="P121" s="4" t="n">
        <f aca="false">IF(A121=A120,P120+1-M120,0)</f>
        <v>7</v>
      </c>
    </row>
    <row r="122" customFormat="false" ht="15" hidden="false" customHeight="false" outlineLevel="0" collapsed="false">
      <c r="A122" s="27" t="s">
        <v>3895</v>
      </c>
      <c r="B122" s="27" t="s">
        <v>50</v>
      </c>
      <c r="C122" s="27" t="s">
        <v>65</v>
      </c>
      <c r="D122" s="27" t="s">
        <v>3896</v>
      </c>
      <c r="E122" s="4" t="n">
        <v>10</v>
      </c>
      <c r="F122" s="4" t="s">
        <v>1327</v>
      </c>
      <c r="G122" s="4" t="s">
        <v>3275</v>
      </c>
      <c r="H122" s="4" t="n">
        <v>1920</v>
      </c>
      <c r="I122" s="4" t="s">
        <v>3276</v>
      </c>
      <c r="J122" s="25" t="str">
        <f aca="false">IF(M122=1,"✓","")</f>
        <v/>
      </c>
      <c r="K122" s="4" t="str">
        <f aca="false">IF(AND(M122=0,P122=0),"▶ NEXT","")</f>
        <v/>
      </c>
      <c r="L122" s="4" t="n">
        <f aca="false">INDEX('Master List'!$F$2:$F$2594,O122)</f>
        <v>1</v>
      </c>
      <c r="M122" s="4" t="n">
        <f aca="false">INDEX('Master List'!$G$2:$G$2594,O122)</f>
        <v>0</v>
      </c>
      <c r="N122" s="4" t="str">
        <f aca="false">IF(K122="","",A122)</f>
        <v/>
      </c>
      <c r="O122" s="4" t="n">
        <v>1682</v>
      </c>
      <c r="P122" s="4" t="n">
        <f aca="false">IF(A122=A121,P121+1-M121,0)</f>
        <v>8</v>
      </c>
    </row>
    <row r="123" customFormat="false" ht="15" hidden="false" customHeight="false" outlineLevel="0" collapsed="false">
      <c r="A123" s="27" t="s">
        <v>3895</v>
      </c>
      <c r="B123" s="27" t="s">
        <v>50</v>
      </c>
      <c r="C123" s="27" t="s">
        <v>65</v>
      </c>
      <c r="D123" s="27" t="s">
        <v>3896</v>
      </c>
      <c r="E123" s="4" t="n">
        <v>11</v>
      </c>
      <c r="F123" s="4" t="s">
        <v>1327</v>
      </c>
      <c r="G123" s="4" t="s">
        <v>3290</v>
      </c>
      <c r="H123" s="4" t="n">
        <v>1925</v>
      </c>
      <c r="I123" s="4" t="s">
        <v>333</v>
      </c>
      <c r="J123" s="25" t="str">
        <f aca="false">IF(M123=1,"✓","")</f>
        <v/>
      </c>
      <c r="K123" s="4" t="str">
        <f aca="false">IF(AND(M123=0,P123=0),"▶ NEXT","")</f>
        <v/>
      </c>
      <c r="L123" s="4" t="n">
        <f aca="false">INDEX('Master List'!$F$2:$F$2594,O123)</f>
        <v>1</v>
      </c>
      <c r="M123" s="4" t="n">
        <f aca="false">INDEX('Master List'!$G$2:$G$2594,O123)</f>
        <v>0</v>
      </c>
      <c r="N123" s="4" t="str">
        <f aca="false">IF(K123="","",A123)</f>
        <v/>
      </c>
      <c r="O123" s="4" t="n">
        <v>2018</v>
      </c>
      <c r="P123" s="4" t="n">
        <f aca="false">IF(A123=A122,P122+1-M122,0)</f>
        <v>9</v>
      </c>
    </row>
    <row r="124" customFormat="false" ht="15" hidden="false" customHeight="false" outlineLevel="0" collapsed="false">
      <c r="A124" s="27" t="s">
        <v>3897</v>
      </c>
      <c r="B124" s="27" t="s">
        <v>50</v>
      </c>
      <c r="C124" s="27" t="s">
        <v>65</v>
      </c>
      <c r="D124" s="27" t="s">
        <v>3898</v>
      </c>
      <c r="E124" s="4" t="n">
        <v>1</v>
      </c>
      <c r="F124" s="4" t="s">
        <v>144</v>
      </c>
      <c r="G124" s="7" t="s">
        <v>330</v>
      </c>
      <c r="H124" s="4" t="n">
        <v>1920</v>
      </c>
      <c r="I124" s="4" t="s">
        <v>331</v>
      </c>
      <c r="J124" s="25" t="str">
        <f aca="false">IF(M124=1,"✓","")</f>
        <v/>
      </c>
      <c r="K124" s="4" t="str">
        <f aca="false">IF(AND(M124=0,P124=0),"▶ NEXT","")</f>
        <v>▶ NEXT</v>
      </c>
      <c r="L124" s="4" t="n">
        <f aca="false">INDEX('Master List'!$F$2:$F$2594,O124)</f>
        <v>4</v>
      </c>
      <c r="M124" s="4" t="n">
        <f aca="false">INDEX('Master List'!$G$2:$G$2594,O124)</f>
        <v>0</v>
      </c>
      <c r="N124" s="4" t="str">
        <f aca="false">IF(K124="","",A124)</f>
        <v>N012</v>
      </c>
      <c r="O124" s="4" t="n">
        <v>377</v>
      </c>
      <c r="P124" s="4" t="n">
        <f aca="false">IF(A124=A123,P123+1-M123,0)</f>
        <v>0</v>
      </c>
    </row>
    <row r="125" customFormat="false" ht="15" hidden="false" customHeight="false" outlineLevel="0" collapsed="false">
      <c r="A125" s="27" t="s">
        <v>3897</v>
      </c>
      <c r="B125" s="27" t="s">
        <v>50</v>
      </c>
      <c r="C125" s="27" t="s">
        <v>65</v>
      </c>
      <c r="D125" s="27" t="s">
        <v>3898</v>
      </c>
      <c r="E125" s="4" t="n">
        <v>2</v>
      </c>
      <c r="F125" s="4" t="s">
        <v>144</v>
      </c>
      <c r="G125" s="7" t="s">
        <v>448</v>
      </c>
      <c r="H125" s="4" t="n">
        <v>1922</v>
      </c>
      <c r="I125" s="4" t="s">
        <v>299</v>
      </c>
      <c r="J125" s="25" t="str">
        <f aca="false">IF(M125=1,"✓","")</f>
        <v/>
      </c>
      <c r="K125" s="4" t="str">
        <f aca="false">IF(AND(M125=0,P125=0),"▶ NEXT","")</f>
        <v/>
      </c>
      <c r="L125" s="4" t="n">
        <f aca="false">INDEX('Master List'!$F$2:$F$2594,O125)</f>
        <v>3</v>
      </c>
      <c r="M125" s="4" t="n">
        <f aca="false">INDEX('Master List'!$G$2:$G$2594,O125)</f>
        <v>0</v>
      </c>
      <c r="N125" s="4" t="str">
        <f aca="false">IF(K125="","",A125)</f>
        <v/>
      </c>
      <c r="O125" s="4" t="n">
        <v>1632</v>
      </c>
      <c r="P125" s="4" t="n">
        <f aca="false">IF(A125=A124,P124+1-M124,0)</f>
        <v>1</v>
      </c>
    </row>
    <row r="126" customFormat="false" ht="15" hidden="false" customHeight="false" outlineLevel="0" collapsed="false">
      <c r="A126" s="27" t="s">
        <v>3897</v>
      </c>
      <c r="B126" s="27" t="s">
        <v>50</v>
      </c>
      <c r="C126" s="27" t="s">
        <v>65</v>
      </c>
      <c r="D126" s="27" t="s">
        <v>3898</v>
      </c>
      <c r="E126" s="4" t="n">
        <v>3</v>
      </c>
      <c r="F126" s="4" t="s">
        <v>213</v>
      </c>
      <c r="G126" s="4" t="s">
        <v>898</v>
      </c>
      <c r="H126" s="4" t="n">
        <v>1922</v>
      </c>
      <c r="I126" s="4" t="s">
        <v>248</v>
      </c>
      <c r="J126" s="25" t="str">
        <f aca="false">IF(M126=1,"✓","")</f>
        <v/>
      </c>
      <c r="K126" s="4" t="str">
        <f aca="false">IF(AND(M126=0,P126=0),"▶ NEXT","")</f>
        <v/>
      </c>
      <c r="L126" s="4" t="n">
        <f aca="false">INDEX('Master List'!$F$2:$F$2594,O126)</f>
        <v>2</v>
      </c>
      <c r="M126" s="4" t="n">
        <f aca="false">INDEX('Master List'!$G$2:$G$2594,O126)</f>
        <v>0</v>
      </c>
      <c r="N126" s="4" t="str">
        <f aca="false">IF(K126="","",A126)</f>
        <v/>
      </c>
      <c r="O126" s="4" t="n">
        <v>669</v>
      </c>
      <c r="P126" s="4" t="n">
        <f aca="false">IF(A126=A125,P125+1-M125,0)</f>
        <v>2</v>
      </c>
    </row>
    <row r="127" customFormat="false" ht="15" hidden="false" customHeight="false" outlineLevel="0" collapsed="false">
      <c r="A127" s="27" t="s">
        <v>3897</v>
      </c>
      <c r="B127" s="27" t="s">
        <v>50</v>
      </c>
      <c r="C127" s="27" t="s">
        <v>65</v>
      </c>
      <c r="D127" s="27" t="s">
        <v>3898</v>
      </c>
      <c r="E127" s="4" t="n">
        <v>4</v>
      </c>
      <c r="F127" s="4" t="s">
        <v>213</v>
      </c>
      <c r="G127" s="4" t="s">
        <v>1683</v>
      </c>
      <c r="H127" s="4" t="n">
        <v>1924</v>
      </c>
      <c r="I127" s="4" t="s">
        <v>299</v>
      </c>
      <c r="J127" s="25" t="str">
        <f aca="false">IF(M127=1,"✓","")</f>
        <v/>
      </c>
      <c r="K127" s="4" t="str">
        <f aca="false">IF(AND(M127=0,P127=0),"▶ NEXT","")</f>
        <v/>
      </c>
      <c r="L127" s="4" t="n">
        <f aca="false">INDEX('Master List'!$F$2:$F$2594,O127)</f>
        <v>1</v>
      </c>
      <c r="M127" s="4" t="n">
        <f aca="false">INDEX('Master List'!$G$2:$G$2594,O127)</f>
        <v>0</v>
      </c>
      <c r="N127" s="4" t="str">
        <f aca="false">IF(K127="","",A127)</f>
        <v/>
      </c>
      <c r="O127" s="4" t="n">
        <v>1296</v>
      </c>
      <c r="P127" s="4" t="n">
        <f aca="false">IF(A127=A126,P126+1-M126,0)</f>
        <v>3</v>
      </c>
    </row>
    <row r="128" customFormat="false" ht="15" hidden="false" customHeight="false" outlineLevel="0" collapsed="false">
      <c r="A128" s="27" t="s">
        <v>3897</v>
      </c>
      <c r="B128" s="27" t="s">
        <v>50</v>
      </c>
      <c r="C128" s="27" t="s">
        <v>65</v>
      </c>
      <c r="D128" s="27" t="s">
        <v>3898</v>
      </c>
      <c r="E128" s="4" t="n">
        <v>5</v>
      </c>
      <c r="F128" s="4" t="s">
        <v>213</v>
      </c>
      <c r="G128" s="4" t="s">
        <v>281</v>
      </c>
      <c r="H128" s="4" t="n">
        <v>1927</v>
      </c>
      <c r="I128" s="4" t="s">
        <v>248</v>
      </c>
      <c r="J128" s="25" t="str">
        <f aca="false">IF(M128=1,"✓","")</f>
        <v>✓</v>
      </c>
      <c r="K128" s="4" t="str">
        <f aca="false">IF(AND(M128=0,P128=0),"▶ NEXT","")</f>
        <v/>
      </c>
      <c r="L128" s="4" t="n">
        <f aca="false">INDEX('Master List'!$F$2:$F$2594,O128)</f>
        <v>5</v>
      </c>
      <c r="M128" s="4" t="n">
        <f aca="false">INDEX('Master List'!$G$2:$G$2594,O128)</f>
        <v>1</v>
      </c>
      <c r="N128" s="4" t="str">
        <f aca="false">IF(K128="","",A128)</f>
        <v/>
      </c>
      <c r="O128" s="4" t="n">
        <v>1487</v>
      </c>
      <c r="P128" s="4" t="n">
        <f aca="false">IF(A128=A127,P127+1-M127,0)</f>
        <v>4</v>
      </c>
    </row>
    <row r="129" customFormat="false" ht="15" hidden="false" customHeight="false" outlineLevel="0" collapsed="false">
      <c r="A129" s="27" t="s">
        <v>3897</v>
      </c>
      <c r="B129" s="27" t="s">
        <v>50</v>
      </c>
      <c r="C129" s="27" t="s">
        <v>65</v>
      </c>
      <c r="D129" s="27" t="s">
        <v>3898</v>
      </c>
      <c r="E129" s="4" t="n">
        <v>6</v>
      </c>
      <c r="F129" s="4" t="s">
        <v>213</v>
      </c>
      <c r="G129" s="4" t="s">
        <v>901</v>
      </c>
      <c r="H129" s="4" t="n">
        <v>1926</v>
      </c>
      <c r="I129" s="4" t="s">
        <v>299</v>
      </c>
      <c r="J129" s="25" t="str">
        <f aca="false">IF(M129=1,"✓","")</f>
        <v/>
      </c>
      <c r="K129" s="4" t="str">
        <f aca="false">IF(AND(M129=0,P129=0),"▶ NEXT","")</f>
        <v/>
      </c>
      <c r="L129" s="4" t="n">
        <f aca="false">INDEX('Master List'!$F$2:$F$2594,O129)</f>
        <v>2</v>
      </c>
      <c r="M129" s="4" t="n">
        <f aca="false">INDEX('Master List'!$G$2:$G$2594,O129)</f>
        <v>0</v>
      </c>
      <c r="N129" s="4" t="str">
        <f aca="false">IF(K129="","",A129)</f>
        <v/>
      </c>
      <c r="O129" s="4" t="n">
        <v>794</v>
      </c>
      <c r="P129" s="4" t="n">
        <f aca="false">IF(A129=A128,P128+1-M128,0)</f>
        <v>4</v>
      </c>
    </row>
    <row r="130" customFormat="false" ht="15" hidden="false" customHeight="false" outlineLevel="0" collapsed="false">
      <c r="A130" s="27" t="s">
        <v>3897</v>
      </c>
      <c r="B130" s="27" t="s">
        <v>50</v>
      </c>
      <c r="C130" s="27" t="s">
        <v>65</v>
      </c>
      <c r="D130" s="27" t="s">
        <v>3898</v>
      </c>
      <c r="E130" s="4" t="n">
        <v>7</v>
      </c>
      <c r="F130" s="4" t="s">
        <v>213</v>
      </c>
      <c r="G130" s="4" t="s">
        <v>1271</v>
      </c>
      <c r="H130" s="4" t="n">
        <v>1929</v>
      </c>
      <c r="I130" s="4" t="s">
        <v>1272</v>
      </c>
      <c r="J130" s="25" t="str">
        <f aca="false">IF(M130=1,"✓","")</f>
        <v/>
      </c>
      <c r="K130" s="4" t="str">
        <f aca="false">IF(AND(M130=0,P130=0),"▶ NEXT","")</f>
        <v/>
      </c>
      <c r="L130" s="4" t="n">
        <f aca="false">INDEX('Master List'!$F$2:$F$2594,O130)</f>
        <v>2</v>
      </c>
      <c r="M130" s="4" t="n">
        <f aca="false">INDEX('Master List'!$G$2:$G$2594,O130)</f>
        <v>0</v>
      </c>
      <c r="N130" s="4" t="str">
        <f aca="false">IF(K130="","",A130)</f>
        <v/>
      </c>
      <c r="O130" s="4" t="n">
        <v>1712</v>
      </c>
      <c r="P130" s="4" t="n">
        <f aca="false">IF(A130=A129,P129+1-M129,0)</f>
        <v>5</v>
      </c>
    </row>
    <row r="131" customFormat="false" ht="15" hidden="false" customHeight="false" outlineLevel="0" collapsed="false">
      <c r="A131" s="27" t="s">
        <v>3897</v>
      </c>
      <c r="B131" s="27" t="s">
        <v>50</v>
      </c>
      <c r="C131" s="27" t="s">
        <v>65</v>
      </c>
      <c r="D131" s="27" t="s">
        <v>3898</v>
      </c>
      <c r="E131" s="4" t="n">
        <v>8</v>
      </c>
      <c r="F131" s="4" t="s">
        <v>213</v>
      </c>
      <c r="G131" s="4" t="s">
        <v>902</v>
      </c>
      <c r="H131" s="4" t="n">
        <v>1928</v>
      </c>
      <c r="I131" s="4" t="s">
        <v>248</v>
      </c>
      <c r="J131" s="25" t="str">
        <f aca="false">IF(M131=1,"✓","")</f>
        <v/>
      </c>
      <c r="K131" s="4" t="str">
        <f aca="false">IF(AND(M131=0,P131=0),"▶ NEXT","")</f>
        <v/>
      </c>
      <c r="L131" s="4" t="n">
        <f aca="false">INDEX('Master List'!$F$2:$F$2594,O131)</f>
        <v>2</v>
      </c>
      <c r="M131" s="4" t="n">
        <f aca="false">INDEX('Master List'!$G$2:$G$2594,O131)</f>
        <v>0</v>
      </c>
      <c r="N131" s="4" t="str">
        <f aca="false">IF(K131="","",A131)</f>
        <v/>
      </c>
      <c r="O131" s="4" t="n">
        <v>2133</v>
      </c>
      <c r="P131" s="4" t="n">
        <f aca="false">IF(A131=A130,P130+1-M130,0)</f>
        <v>6</v>
      </c>
    </row>
    <row r="132" customFormat="false" ht="15" hidden="false" customHeight="false" outlineLevel="0" collapsed="false">
      <c r="A132" s="27" t="s">
        <v>3897</v>
      </c>
      <c r="B132" s="27" t="s">
        <v>50</v>
      </c>
      <c r="C132" s="27" t="s">
        <v>65</v>
      </c>
      <c r="D132" s="27" t="s">
        <v>3898</v>
      </c>
      <c r="E132" s="4" t="n">
        <v>9</v>
      </c>
      <c r="F132" s="4" t="s">
        <v>213</v>
      </c>
      <c r="G132" s="4" t="s">
        <v>1676</v>
      </c>
      <c r="H132" s="4" t="n">
        <v>1920</v>
      </c>
      <c r="I132" s="4" t="s">
        <v>1677</v>
      </c>
      <c r="J132" s="25" t="str">
        <f aca="false">IF(M132=1,"✓","")</f>
        <v/>
      </c>
      <c r="K132" s="4" t="str">
        <f aca="false">IF(AND(M132=0,P132=0),"▶ NEXT","")</f>
        <v/>
      </c>
      <c r="L132" s="4" t="n">
        <f aca="false">INDEX('Master List'!$F$2:$F$2594,O132)</f>
        <v>1</v>
      </c>
      <c r="M132" s="4" t="n">
        <f aca="false">INDEX('Master List'!$G$2:$G$2594,O132)</f>
        <v>0</v>
      </c>
      <c r="N132" s="4" t="str">
        <f aca="false">IF(K132="","",A132)</f>
        <v/>
      </c>
      <c r="O132" s="4" t="n">
        <v>920</v>
      </c>
      <c r="P132" s="4" t="n">
        <f aca="false">IF(A132=A131,P131+1-M131,0)</f>
        <v>7</v>
      </c>
    </row>
    <row r="133" customFormat="false" ht="15" hidden="false" customHeight="false" outlineLevel="0" collapsed="false">
      <c r="A133" s="27" t="s">
        <v>3897</v>
      </c>
      <c r="B133" s="27" t="s">
        <v>50</v>
      </c>
      <c r="C133" s="27" t="s">
        <v>65</v>
      </c>
      <c r="D133" s="27" t="s">
        <v>3898</v>
      </c>
      <c r="E133" s="4" t="n">
        <v>10</v>
      </c>
      <c r="F133" s="4" t="s">
        <v>1327</v>
      </c>
      <c r="G133" s="4" t="s">
        <v>3279</v>
      </c>
      <c r="H133" s="4" t="n">
        <v>1923</v>
      </c>
      <c r="I133" s="4" t="s">
        <v>3280</v>
      </c>
      <c r="J133" s="25" t="str">
        <f aca="false">IF(M133=1,"✓","")</f>
        <v/>
      </c>
      <c r="K133" s="4" t="str">
        <f aca="false">IF(AND(M133=0,P133=0),"▶ NEXT","")</f>
        <v/>
      </c>
      <c r="L133" s="4" t="n">
        <f aca="false">INDEX('Master List'!$F$2:$F$2594,O133)</f>
        <v>1</v>
      </c>
      <c r="M133" s="4" t="n">
        <f aca="false">INDEX('Master List'!$G$2:$G$2594,O133)</f>
        <v>0</v>
      </c>
      <c r="N133" s="4" t="str">
        <f aca="false">IF(K133="","",A133)</f>
        <v/>
      </c>
      <c r="O133" s="4" t="n">
        <v>2468</v>
      </c>
      <c r="P133" s="4" t="n">
        <f aca="false">IF(A133=A132,P132+1-M132,0)</f>
        <v>8</v>
      </c>
    </row>
    <row r="134" customFormat="false" ht="15" hidden="false" customHeight="false" outlineLevel="0" collapsed="false">
      <c r="A134" s="27" t="s">
        <v>3897</v>
      </c>
      <c r="B134" s="27" t="s">
        <v>50</v>
      </c>
      <c r="C134" s="27" t="s">
        <v>65</v>
      </c>
      <c r="D134" s="27" t="s">
        <v>3898</v>
      </c>
      <c r="E134" s="4" t="n">
        <v>11</v>
      </c>
      <c r="F134" s="4" t="s">
        <v>1327</v>
      </c>
      <c r="G134" s="4" t="s">
        <v>3283</v>
      </c>
      <c r="H134" s="4" t="n">
        <v>1924</v>
      </c>
      <c r="I134" s="4" t="s">
        <v>3284</v>
      </c>
      <c r="J134" s="25" t="str">
        <f aca="false">IF(M134=1,"✓","")</f>
        <v/>
      </c>
      <c r="K134" s="4" t="str">
        <f aca="false">IF(AND(M134=0,P134=0),"▶ NEXT","")</f>
        <v/>
      </c>
      <c r="L134" s="4" t="n">
        <f aca="false">INDEX('Master List'!$F$2:$F$2594,O134)</f>
        <v>1</v>
      </c>
      <c r="M134" s="4" t="n">
        <f aca="false">INDEX('Master List'!$G$2:$G$2594,O134)</f>
        <v>0</v>
      </c>
      <c r="N134" s="4" t="str">
        <f aca="false">IF(K134="","",A134)</f>
        <v/>
      </c>
      <c r="O134" s="4" t="n">
        <v>2473</v>
      </c>
      <c r="P134" s="4" t="n">
        <f aca="false">IF(A134=A133,P133+1-M133,0)</f>
        <v>9</v>
      </c>
    </row>
    <row r="135" customFormat="false" ht="15" hidden="false" customHeight="false" outlineLevel="0" collapsed="false">
      <c r="A135" s="27" t="s">
        <v>3897</v>
      </c>
      <c r="B135" s="27" t="s">
        <v>50</v>
      </c>
      <c r="C135" s="27" t="s">
        <v>65</v>
      </c>
      <c r="D135" s="27" t="s">
        <v>3898</v>
      </c>
      <c r="E135" s="4" t="n">
        <v>12</v>
      </c>
      <c r="F135" s="4" t="s">
        <v>1327</v>
      </c>
      <c r="G135" s="4" t="s">
        <v>3306</v>
      </c>
      <c r="H135" s="4" t="n">
        <v>1930</v>
      </c>
      <c r="I135" s="4" t="s">
        <v>3307</v>
      </c>
      <c r="J135" s="25" t="str">
        <f aca="false">IF(M135=1,"✓","")</f>
        <v/>
      </c>
      <c r="K135" s="4" t="str">
        <f aca="false">IF(AND(M135=0,P135=0),"▶ NEXT","")</f>
        <v/>
      </c>
      <c r="L135" s="4" t="n">
        <f aca="false">INDEX('Master List'!$F$2:$F$2594,O135)</f>
        <v>1</v>
      </c>
      <c r="M135" s="4" t="n">
        <f aca="false">INDEX('Master List'!$G$2:$G$2594,O135)</f>
        <v>0</v>
      </c>
      <c r="N135" s="4" t="str">
        <f aca="false">IF(K135="","",A135)</f>
        <v/>
      </c>
      <c r="O135" s="4" t="n">
        <v>1741</v>
      </c>
      <c r="P135" s="4" t="n">
        <f aca="false">IF(A135=A134,P134+1-M134,0)</f>
        <v>10</v>
      </c>
    </row>
    <row r="136" customFormat="false" ht="15" hidden="false" customHeight="false" outlineLevel="0" collapsed="false">
      <c r="A136" s="27" t="s">
        <v>3899</v>
      </c>
      <c r="B136" s="27" t="s">
        <v>50</v>
      </c>
      <c r="C136" s="27" t="s">
        <v>65</v>
      </c>
      <c r="D136" s="27" t="s">
        <v>3900</v>
      </c>
      <c r="E136" s="4" t="n">
        <v>1</v>
      </c>
      <c r="F136" s="4" t="s">
        <v>144</v>
      </c>
      <c r="G136" s="7" t="s">
        <v>231</v>
      </c>
      <c r="H136" s="4" t="n">
        <v>1925</v>
      </c>
      <c r="I136" s="4" t="s">
        <v>232</v>
      </c>
      <c r="J136" s="25" t="str">
        <f aca="false">IF(M136=1,"✓","")</f>
        <v/>
      </c>
      <c r="K136" s="4" t="str">
        <f aca="false">IF(AND(M136=0,P136=0),"▶ NEXT","")</f>
        <v>▶ NEXT</v>
      </c>
      <c r="L136" s="4" t="n">
        <f aca="false">INDEX('Master List'!$F$2:$F$2594,O136)</f>
        <v>5</v>
      </c>
      <c r="M136" s="4" t="n">
        <f aca="false">INDEX('Master List'!$G$2:$G$2594,O136)</f>
        <v>0</v>
      </c>
      <c r="N136" s="4" t="str">
        <f aca="false">IF(K136="","",A136)</f>
        <v>N013</v>
      </c>
      <c r="O136" s="4" t="n">
        <v>199</v>
      </c>
      <c r="P136" s="4" t="n">
        <f aca="false">IF(A136=A135,P135+1-M135,0)</f>
        <v>0</v>
      </c>
    </row>
    <row r="137" customFormat="false" ht="15" hidden="false" customHeight="false" outlineLevel="0" collapsed="false">
      <c r="A137" s="27" t="s">
        <v>3899</v>
      </c>
      <c r="B137" s="27" t="s">
        <v>50</v>
      </c>
      <c r="C137" s="27" t="s">
        <v>65</v>
      </c>
      <c r="D137" s="27" t="s">
        <v>3900</v>
      </c>
      <c r="E137" s="4" t="n">
        <v>2</v>
      </c>
      <c r="F137" s="4" t="s">
        <v>144</v>
      </c>
      <c r="G137" s="7" t="s">
        <v>180</v>
      </c>
      <c r="H137" s="4" t="n">
        <v>1929</v>
      </c>
      <c r="I137" s="4" t="s">
        <v>181</v>
      </c>
      <c r="J137" s="25" t="str">
        <f aca="false">IF(M137=1,"✓","")</f>
        <v/>
      </c>
      <c r="K137" s="4" t="str">
        <f aca="false">IF(AND(M137=0,P137=0),"▶ NEXT","")</f>
        <v/>
      </c>
      <c r="L137" s="4" t="n">
        <f aca="false">INDEX('Master List'!$F$2:$F$2594,O137)</f>
        <v>7</v>
      </c>
      <c r="M137" s="4" t="n">
        <f aca="false">INDEX('Master List'!$G$2:$G$2594,O137)</f>
        <v>0</v>
      </c>
      <c r="N137" s="4" t="str">
        <f aca="false">IF(K137="","",A137)</f>
        <v/>
      </c>
      <c r="O137" s="4" t="n">
        <v>1434</v>
      </c>
      <c r="P137" s="4" t="n">
        <f aca="false">IF(A137=A136,P136+1-M136,0)</f>
        <v>1</v>
      </c>
    </row>
    <row r="138" customFormat="false" ht="15" hidden="false" customHeight="false" outlineLevel="0" collapsed="false">
      <c r="A138" s="27" t="s">
        <v>3899</v>
      </c>
      <c r="B138" s="27" t="s">
        <v>50</v>
      </c>
      <c r="C138" s="27" t="s">
        <v>65</v>
      </c>
      <c r="D138" s="27" t="s">
        <v>3900</v>
      </c>
      <c r="E138" s="4" t="n">
        <v>3</v>
      </c>
      <c r="F138" s="4" t="s">
        <v>213</v>
      </c>
      <c r="G138" s="4" t="s">
        <v>900</v>
      </c>
      <c r="H138" s="4" t="n">
        <v>1925</v>
      </c>
      <c r="I138" s="4" t="s">
        <v>232</v>
      </c>
      <c r="J138" s="25" t="str">
        <f aca="false">IF(M138=1,"✓","")</f>
        <v/>
      </c>
      <c r="K138" s="4" t="str">
        <f aca="false">IF(AND(M138=0,P138=0),"▶ NEXT","")</f>
        <v/>
      </c>
      <c r="L138" s="4" t="n">
        <f aca="false">INDEX('Master List'!$F$2:$F$2594,O138)</f>
        <v>2</v>
      </c>
      <c r="M138" s="4" t="n">
        <f aca="false">INDEX('Master List'!$G$2:$G$2594,O138)</f>
        <v>0</v>
      </c>
      <c r="N138" s="4" t="str">
        <f aca="false">IF(K138="","",A138)</f>
        <v/>
      </c>
      <c r="O138" s="4" t="n">
        <v>2185</v>
      </c>
      <c r="P138" s="4" t="n">
        <f aca="false">IF(A138=A137,P137+1-M137,0)</f>
        <v>2</v>
      </c>
    </row>
    <row r="139" customFormat="false" ht="15" hidden="false" customHeight="false" outlineLevel="0" collapsed="false">
      <c r="A139" s="27" t="s">
        <v>3899</v>
      </c>
      <c r="B139" s="27" t="s">
        <v>50</v>
      </c>
      <c r="C139" s="27" t="s">
        <v>65</v>
      </c>
      <c r="D139" s="27" t="s">
        <v>3900</v>
      </c>
      <c r="E139" s="4" t="n">
        <v>4</v>
      </c>
      <c r="F139" s="4" t="s">
        <v>213</v>
      </c>
      <c r="G139" s="4" t="s">
        <v>1192</v>
      </c>
      <c r="H139" s="4" t="n">
        <v>1926</v>
      </c>
      <c r="I139" s="4" t="s">
        <v>1686</v>
      </c>
      <c r="J139" s="25" t="str">
        <f aca="false">IF(M139=1,"✓","")</f>
        <v/>
      </c>
      <c r="K139" s="4" t="str">
        <f aca="false">IF(AND(M139=0,P139=0),"▶ NEXT","")</f>
        <v/>
      </c>
      <c r="L139" s="4" t="n">
        <f aca="false">INDEX('Master List'!$F$2:$F$2594,O139)</f>
        <v>1</v>
      </c>
      <c r="M139" s="4" t="n">
        <f aca="false">INDEX('Master List'!$G$2:$G$2594,O139)</f>
        <v>0</v>
      </c>
      <c r="N139" s="4" t="str">
        <f aca="false">IF(K139="","",A139)</f>
        <v/>
      </c>
      <c r="O139" s="4" t="n">
        <v>1537</v>
      </c>
      <c r="P139" s="4" t="n">
        <f aca="false">IF(A139=A138,P138+1-M138,0)</f>
        <v>3</v>
      </c>
    </row>
    <row r="140" customFormat="false" ht="15" hidden="false" customHeight="false" outlineLevel="0" collapsed="false">
      <c r="A140" s="27" t="s">
        <v>3899</v>
      </c>
      <c r="B140" s="27" t="s">
        <v>50</v>
      </c>
      <c r="C140" s="27" t="s">
        <v>65</v>
      </c>
      <c r="D140" s="27" t="s">
        <v>3900</v>
      </c>
      <c r="E140" s="4" t="n">
        <v>5</v>
      </c>
      <c r="F140" s="4" t="s">
        <v>213</v>
      </c>
      <c r="G140" s="4" t="s">
        <v>903</v>
      </c>
      <c r="H140" s="4" t="n">
        <v>1928</v>
      </c>
      <c r="I140" s="4" t="s">
        <v>904</v>
      </c>
      <c r="J140" s="25" t="str">
        <f aca="false">IF(M140=1,"✓","")</f>
        <v/>
      </c>
      <c r="K140" s="4" t="str">
        <f aca="false">IF(AND(M140=0,P140=0),"▶ NEXT","")</f>
        <v/>
      </c>
      <c r="L140" s="4" t="n">
        <f aca="false">INDEX('Master List'!$F$2:$F$2594,O140)</f>
        <v>2</v>
      </c>
      <c r="M140" s="4" t="n">
        <f aca="false">INDEX('Master List'!$G$2:$G$2594,O140)</f>
        <v>0</v>
      </c>
      <c r="N140" s="4" t="str">
        <f aca="false">IF(K140="","",A140)</f>
        <v/>
      </c>
      <c r="O140" s="4" t="n">
        <v>1648</v>
      </c>
      <c r="P140" s="4" t="n">
        <f aca="false">IF(A140=A139,P139+1-M139,0)</f>
        <v>4</v>
      </c>
    </row>
    <row r="141" customFormat="false" ht="15" hidden="false" customHeight="false" outlineLevel="0" collapsed="false">
      <c r="A141" s="27" t="s">
        <v>3899</v>
      </c>
      <c r="B141" s="27" t="s">
        <v>50</v>
      </c>
      <c r="C141" s="27" t="s">
        <v>65</v>
      </c>
      <c r="D141" s="27" t="s">
        <v>3900</v>
      </c>
      <c r="E141" s="4" t="n">
        <v>6</v>
      </c>
      <c r="F141" s="4" t="s">
        <v>213</v>
      </c>
      <c r="G141" s="4" t="s">
        <v>1707</v>
      </c>
      <c r="H141" s="4" t="n">
        <v>1930</v>
      </c>
      <c r="I141" s="4" t="s">
        <v>1708</v>
      </c>
      <c r="J141" s="25" t="str">
        <f aca="false">IF(M141=1,"✓","")</f>
        <v/>
      </c>
      <c r="K141" s="4" t="str">
        <f aca="false">IF(AND(M141=0,P141=0),"▶ NEXT","")</f>
        <v/>
      </c>
      <c r="L141" s="4" t="n">
        <f aca="false">INDEX('Master List'!$F$2:$F$2594,O141)</f>
        <v>1</v>
      </c>
      <c r="M141" s="4" t="n">
        <f aca="false">INDEX('Master List'!$G$2:$G$2594,O141)</f>
        <v>0</v>
      </c>
      <c r="N141" s="4" t="str">
        <f aca="false">IF(K141="","",A141)</f>
        <v/>
      </c>
      <c r="O141" s="4" t="n">
        <v>701</v>
      </c>
      <c r="P141" s="4" t="n">
        <f aca="false">IF(A141=A140,P140+1-M140,0)</f>
        <v>5</v>
      </c>
    </row>
    <row r="142" customFormat="false" ht="15" hidden="false" customHeight="false" outlineLevel="0" collapsed="false">
      <c r="A142" s="27" t="s">
        <v>3899</v>
      </c>
      <c r="B142" s="27" t="s">
        <v>50</v>
      </c>
      <c r="C142" s="27" t="s">
        <v>65</v>
      </c>
      <c r="D142" s="27" t="s">
        <v>3900</v>
      </c>
      <c r="E142" s="4" t="n">
        <v>7</v>
      </c>
      <c r="F142" s="4" t="s">
        <v>1327</v>
      </c>
      <c r="G142" s="4" t="s">
        <v>3285</v>
      </c>
      <c r="H142" s="4" t="n">
        <v>1924</v>
      </c>
      <c r="I142" s="4" t="s">
        <v>3286</v>
      </c>
      <c r="J142" s="25" t="str">
        <f aca="false">IF(M142=1,"✓","")</f>
        <v/>
      </c>
      <c r="K142" s="4" t="str">
        <f aca="false">IF(AND(M142=0,P142=0),"▶ NEXT","")</f>
        <v/>
      </c>
      <c r="L142" s="4" t="n">
        <f aca="false">INDEX('Master List'!$F$2:$F$2594,O142)</f>
        <v>1</v>
      </c>
      <c r="M142" s="4" t="n">
        <f aca="false">INDEX('Master List'!$G$2:$G$2594,O142)</f>
        <v>0</v>
      </c>
      <c r="N142" s="4" t="str">
        <f aca="false">IF(K142="","",A142)</f>
        <v/>
      </c>
      <c r="O142" s="4" t="n">
        <v>766</v>
      </c>
      <c r="P142" s="4" t="n">
        <f aca="false">IF(A142=A141,P141+1-M141,0)</f>
        <v>6</v>
      </c>
    </row>
    <row r="143" customFormat="false" ht="15" hidden="false" customHeight="false" outlineLevel="0" collapsed="false">
      <c r="A143" s="27" t="s">
        <v>3899</v>
      </c>
      <c r="B143" s="27" t="s">
        <v>50</v>
      </c>
      <c r="C143" s="27" t="s">
        <v>65</v>
      </c>
      <c r="D143" s="27" t="s">
        <v>3900</v>
      </c>
      <c r="E143" s="4" t="n">
        <v>8</v>
      </c>
      <c r="F143" s="4" t="s">
        <v>1327</v>
      </c>
      <c r="G143" s="4" t="s">
        <v>3297</v>
      </c>
      <c r="H143" s="4" t="n">
        <v>1927</v>
      </c>
      <c r="I143" s="4" t="s">
        <v>3298</v>
      </c>
      <c r="J143" s="25" t="str">
        <f aca="false">IF(M143=1,"✓","")</f>
        <v/>
      </c>
      <c r="K143" s="4" t="str">
        <f aca="false">IF(AND(M143=0,P143=0),"▶ NEXT","")</f>
        <v/>
      </c>
      <c r="L143" s="4" t="n">
        <f aca="false">INDEX('Master List'!$F$2:$F$2594,O143)</f>
        <v>1</v>
      </c>
      <c r="M143" s="4" t="n">
        <f aca="false">INDEX('Master List'!$G$2:$G$2594,O143)</f>
        <v>0</v>
      </c>
      <c r="N143" s="4" t="str">
        <f aca="false">IF(K143="","",A143)</f>
        <v/>
      </c>
      <c r="O143" s="4" t="n">
        <v>210</v>
      </c>
      <c r="P143" s="4" t="n">
        <f aca="false">IF(A143=A142,P142+1-M142,0)</f>
        <v>7</v>
      </c>
    </row>
    <row r="144" customFormat="false" ht="15" hidden="false" customHeight="false" outlineLevel="0" collapsed="false">
      <c r="A144" s="27" t="s">
        <v>3899</v>
      </c>
      <c r="B144" s="27" t="s">
        <v>50</v>
      </c>
      <c r="C144" s="27" t="s">
        <v>65</v>
      </c>
      <c r="D144" s="27" t="s">
        <v>3900</v>
      </c>
      <c r="E144" s="4" t="n">
        <v>9</v>
      </c>
      <c r="F144" s="4" t="s">
        <v>1327</v>
      </c>
      <c r="G144" s="4" t="s">
        <v>3303</v>
      </c>
      <c r="H144" s="4" t="n">
        <v>1929</v>
      </c>
      <c r="I144" s="4" t="s">
        <v>1708</v>
      </c>
      <c r="J144" s="25" t="str">
        <f aca="false">IF(M144=1,"✓","")</f>
        <v/>
      </c>
      <c r="K144" s="4" t="str">
        <f aca="false">IF(AND(M144=0,P144=0),"▶ NEXT","")</f>
        <v/>
      </c>
      <c r="L144" s="4" t="n">
        <f aca="false">INDEX('Master List'!$F$2:$F$2594,O144)</f>
        <v>1</v>
      </c>
      <c r="M144" s="4" t="n">
        <f aca="false">INDEX('Master List'!$G$2:$G$2594,O144)</f>
        <v>0</v>
      </c>
      <c r="N144" s="4" t="str">
        <f aca="false">IF(K144="","",A144)</f>
        <v/>
      </c>
      <c r="O144" s="4" t="n">
        <v>132</v>
      </c>
      <c r="P144" s="4" t="n">
        <f aca="false">IF(A144=A143,P143+1-M143,0)</f>
        <v>8</v>
      </c>
    </row>
    <row r="145" customFormat="false" ht="15" hidden="false" customHeight="false" outlineLevel="0" collapsed="false">
      <c r="A145" s="27" t="s">
        <v>3901</v>
      </c>
      <c r="B145" s="27" t="s">
        <v>50</v>
      </c>
      <c r="C145" s="27" t="s">
        <v>65</v>
      </c>
      <c r="D145" s="27" t="s">
        <v>3902</v>
      </c>
      <c r="E145" s="4" t="n">
        <v>1</v>
      </c>
      <c r="F145" s="4" t="s">
        <v>144</v>
      </c>
      <c r="G145" s="7" t="s">
        <v>245</v>
      </c>
      <c r="H145" s="4" t="n">
        <v>1928</v>
      </c>
      <c r="I145" s="4" t="s">
        <v>246</v>
      </c>
      <c r="J145" s="25" t="str">
        <f aca="false">IF(M145=1,"✓","")</f>
        <v/>
      </c>
      <c r="K145" s="4" t="str">
        <f aca="false">IF(AND(M145=0,P145=0),"▶ NEXT","")</f>
        <v>▶ NEXT</v>
      </c>
      <c r="L145" s="4" t="n">
        <f aca="false">INDEX('Master List'!$F$2:$F$2594,O145)</f>
        <v>5</v>
      </c>
      <c r="M145" s="4" t="n">
        <f aca="false">INDEX('Master List'!$G$2:$G$2594,O145)</f>
        <v>0</v>
      </c>
      <c r="N145" s="4" t="str">
        <f aca="false">IF(K145="","",A145)</f>
        <v>N014</v>
      </c>
      <c r="O145" s="4" t="n">
        <v>1729</v>
      </c>
      <c r="P145" s="4" t="n">
        <f aca="false">IF(A145=A144,P144+1-M144,0)</f>
        <v>0</v>
      </c>
    </row>
    <row r="146" customFormat="false" ht="15" hidden="false" customHeight="false" outlineLevel="0" collapsed="false">
      <c r="A146" s="27" t="s">
        <v>3901</v>
      </c>
      <c r="B146" s="27" t="s">
        <v>50</v>
      </c>
      <c r="C146" s="27" t="s">
        <v>65</v>
      </c>
      <c r="D146" s="27" t="s">
        <v>3902</v>
      </c>
      <c r="E146" s="4" t="n">
        <v>2</v>
      </c>
      <c r="F146" s="4" t="s">
        <v>144</v>
      </c>
      <c r="G146" s="7" t="s">
        <v>401</v>
      </c>
      <c r="H146" s="4" t="n">
        <v>1929</v>
      </c>
      <c r="I146" s="4" t="s">
        <v>402</v>
      </c>
      <c r="J146" s="25" t="str">
        <f aca="false">IF(M146=1,"✓","")</f>
        <v/>
      </c>
      <c r="K146" s="4" t="str">
        <f aca="false">IF(AND(M146=0,P146=0),"▶ NEXT","")</f>
        <v/>
      </c>
      <c r="L146" s="4" t="n">
        <f aca="false">INDEX('Master List'!$F$2:$F$2594,O146)</f>
        <v>3</v>
      </c>
      <c r="M146" s="4" t="n">
        <f aca="false">INDEX('Master List'!$G$2:$G$2594,O146)</f>
        <v>0</v>
      </c>
      <c r="N146" s="4" t="str">
        <f aca="false">IF(K146="","",A146)</f>
        <v/>
      </c>
      <c r="O146" s="4" t="n">
        <v>2397</v>
      </c>
      <c r="P146" s="4" t="n">
        <f aca="false">IF(A146=A145,P145+1-M145,0)</f>
        <v>1</v>
      </c>
    </row>
    <row r="147" customFormat="false" ht="15" hidden="false" customHeight="false" outlineLevel="0" collapsed="false">
      <c r="A147" s="27" t="s">
        <v>3901</v>
      </c>
      <c r="B147" s="27" t="s">
        <v>50</v>
      </c>
      <c r="C147" s="27" t="s">
        <v>65</v>
      </c>
      <c r="D147" s="27" t="s">
        <v>3902</v>
      </c>
      <c r="E147" s="4" t="n">
        <v>3</v>
      </c>
      <c r="F147" s="4" t="s">
        <v>213</v>
      </c>
      <c r="G147" s="4" t="s">
        <v>1690</v>
      </c>
      <c r="H147" s="4" t="n">
        <v>1927</v>
      </c>
      <c r="I147" s="4" t="s">
        <v>1682</v>
      </c>
      <c r="J147" s="25" t="str">
        <f aca="false">IF(M147=1,"✓","")</f>
        <v/>
      </c>
      <c r="K147" s="4" t="str">
        <f aca="false">IF(AND(M147=0,P147=0),"▶ NEXT","")</f>
        <v/>
      </c>
      <c r="L147" s="4" t="n">
        <f aca="false">INDEX('Master List'!$F$2:$F$2594,O147)</f>
        <v>1</v>
      </c>
      <c r="M147" s="4" t="n">
        <f aca="false">INDEX('Master List'!$G$2:$G$2594,O147)</f>
        <v>0</v>
      </c>
      <c r="N147" s="4" t="str">
        <f aca="false">IF(K147="","",A147)</f>
        <v/>
      </c>
      <c r="O147" s="4" t="n">
        <v>1585</v>
      </c>
      <c r="P147" s="4" t="n">
        <f aca="false">IF(A147=A146,P146+1-M146,0)</f>
        <v>2</v>
      </c>
    </row>
    <row r="148" customFormat="false" ht="15" hidden="false" customHeight="false" outlineLevel="0" collapsed="false">
      <c r="A148" s="27" t="s">
        <v>3901</v>
      </c>
      <c r="B148" s="27" t="s">
        <v>50</v>
      </c>
      <c r="C148" s="27" t="s">
        <v>65</v>
      </c>
      <c r="D148" s="27" t="s">
        <v>3902</v>
      </c>
      <c r="E148" s="4" t="n">
        <v>4</v>
      </c>
      <c r="F148" s="4" t="s">
        <v>213</v>
      </c>
      <c r="G148" s="4" t="s">
        <v>1681</v>
      </c>
      <c r="H148" s="4" t="n">
        <v>1923</v>
      </c>
      <c r="I148" s="4" t="s">
        <v>1682</v>
      </c>
      <c r="J148" s="25" t="str">
        <f aca="false">IF(M148=1,"✓","")</f>
        <v/>
      </c>
      <c r="K148" s="4" t="str">
        <f aca="false">IF(AND(M148=0,P148=0),"▶ NEXT","")</f>
        <v/>
      </c>
      <c r="L148" s="4" t="n">
        <f aca="false">INDEX('Master List'!$F$2:$F$2594,O148)</f>
        <v>1</v>
      </c>
      <c r="M148" s="4" t="n">
        <f aca="false">INDEX('Master List'!$G$2:$G$2594,O148)</f>
        <v>0</v>
      </c>
      <c r="N148" s="4" t="str">
        <f aca="false">IF(K148="","",A148)</f>
        <v/>
      </c>
      <c r="O148" s="4" t="n">
        <v>1936</v>
      </c>
      <c r="P148" s="4" t="n">
        <f aca="false">IF(A148=A147,P147+1-M147,0)</f>
        <v>3</v>
      </c>
    </row>
    <row r="149" customFormat="false" ht="15" hidden="false" customHeight="false" outlineLevel="0" collapsed="false">
      <c r="A149" s="27" t="s">
        <v>3901</v>
      </c>
      <c r="B149" s="27" t="s">
        <v>50</v>
      </c>
      <c r="C149" s="27" t="s">
        <v>65</v>
      </c>
      <c r="D149" s="27" t="s">
        <v>3902</v>
      </c>
      <c r="E149" s="4" t="n">
        <v>5</v>
      </c>
      <c r="F149" s="4" t="s">
        <v>213</v>
      </c>
      <c r="G149" s="4" t="s">
        <v>1687</v>
      </c>
      <c r="H149" s="4" t="n">
        <v>1926</v>
      </c>
      <c r="I149" s="4" t="s">
        <v>1688</v>
      </c>
      <c r="J149" s="25" t="str">
        <f aca="false">IF(M149=1,"✓","")</f>
        <v/>
      </c>
      <c r="K149" s="4" t="str">
        <f aca="false">IF(AND(M149=0,P149=0),"▶ NEXT","")</f>
        <v/>
      </c>
      <c r="L149" s="4" t="n">
        <f aca="false">INDEX('Master List'!$F$2:$F$2594,O149)</f>
        <v>1</v>
      </c>
      <c r="M149" s="4" t="n">
        <f aca="false">INDEX('Master List'!$G$2:$G$2594,O149)</f>
        <v>0</v>
      </c>
      <c r="N149" s="4" t="str">
        <f aca="false">IF(K149="","",A149)</f>
        <v/>
      </c>
      <c r="O149" s="4" t="n">
        <v>1481</v>
      </c>
      <c r="P149" s="4" t="n">
        <f aca="false">IF(A149=A148,P148+1-M148,0)</f>
        <v>4</v>
      </c>
    </row>
    <row r="150" customFormat="false" ht="15" hidden="false" customHeight="false" outlineLevel="0" collapsed="false">
      <c r="A150" s="27" t="s">
        <v>3901</v>
      </c>
      <c r="B150" s="27" t="s">
        <v>50</v>
      </c>
      <c r="C150" s="27" t="s">
        <v>65</v>
      </c>
      <c r="D150" s="27" t="s">
        <v>3902</v>
      </c>
      <c r="E150" s="4" t="n">
        <v>6</v>
      </c>
      <c r="F150" s="4" t="s">
        <v>213</v>
      </c>
      <c r="G150" s="4" t="s">
        <v>1696</v>
      </c>
      <c r="H150" s="4" t="n">
        <v>1928</v>
      </c>
      <c r="I150" s="4" t="s">
        <v>1697</v>
      </c>
      <c r="J150" s="25" t="str">
        <f aca="false">IF(M150=1,"✓","")</f>
        <v/>
      </c>
      <c r="K150" s="4" t="str">
        <f aca="false">IF(AND(M150=0,P150=0),"▶ NEXT","")</f>
        <v/>
      </c>
      <c r="L150" s="4" t="n">
        <f aca="false">INDEX('Master List'!$F$2:$F$2594,O150)</f>
        <v>1</v>
      </c>
      <c r="M150" s="4" t="n">
        <f aca="false">INDEX('Master List'!$G$2:$G$2594,O150)</f>
        <v>0</v>
      </c>
      <c r="N150" s="4" t="str">
        <f aca="false">IF(K150="","",A150)</f>
        <v/>
      </c>
      <c r="O150" s="4" t="n">
        <v>777</v>
      </c>
      <c r="P150" s="4" t="n">
        <f aca="false">IF(A150=A149,P149+1-M149,0)</f>
        <v>5</v>
      </c>
    </row>
    <row r="151" customFormat="false" ht="15" hidden="false" customHeight="false" outlineLevel="0" collapsed="false">
      <c r="A151" s="27" t="s">
        <v>3901</v>
      </c>
      <c r="B151" s="27" t="s">
        <v>50</v>
      </c>
      <c r="C151" s="27" t="s">
        <v>65</v>
      </c>
      <c r="D151" s="27" t="s">
        <v>3902</v>
      </c>
      <c r="E151" s="4" t="n">
        <v>7</v>
      </c>
      <c r="F151" s="4" t="s">
        <v>1327</v>
      </c>
      <c r="G151" s="4" t="s">
        <v>3287</v>
      </c>
      <c r="H151" s="4" t="n">
        <v>1924</v>
      </c>
      <c r="I151" s="4" t="s">
        <v>3288</v>
      </c>
      <c r="J151" s="25" t="str">
        <f aca="false">IF(M151=1,"✓","")</f>
        <v/>
      </c>
      <c r="K151" s="4" t="str">
        <f aca="false">IF(AND(M151=0,P151=0),"▶ NEXT","")</f>
        <v/>
      </c>
      <c r="L151" s="4" t="n">
        <f aca="false">INDEX('Master List'!$F$2:$F$2594,O151)</f>
        <v>1</v>
      </c>
      <c r="M151" s="4" t="n">
        <f aca="false">INDEX('Master List'!$G$2:$G$2594,O151)</f>
        <v>0</v>
      </c>
      <c r="N151" s="4" t="str">
        <f aca="false">IF(K151="","",A151)</f>
        <v/>
      </c>
      <c r="O151" s="4" t="n">
        <v>178</v>
      </c>
      <c r="P151" s="4" t="n">
        <f aca="false">IF(A151=A150,P150+1-M150,0)</f>
        <v>6</v>
      </c>
    </row>
    <row r="152" customFormat="false" ht="15" hidden="false" customHeight="false" outlineLevel="0" collapsed="false">
      <c r="A152" s="27" t="s">
        <v>3901</v>
      </c>
      <c r="B152" s="27" t="s">
        <v>50</v>
      </c>
      <c r="C152" s="27" t="s">
        <v>65</v>
      </c>
      <c r="D152" s="27" t="s">
        <v>3902</v>
      </c>
      <c r="E152" s="4" t="n">
        <v>8</v>
      </c>
      <c r="F152" s="4" t="s">
        <v>1327</v>
      </c>
      <c r="G152" s="4" t="s">
        <v>3289</v>
      </c>
      <c r="H152" s="4" t="n">
        <v>1924</v>
      </c>
      <c r="I152" s="4" t="s">
        <v>1712</v>
      </c>
      <c r="J152" s="25" t="str">
        <f aca="false">IF(M152=1,"✓","")</f>
        <v/>
      </c>
      <c r="K152" s="4" t="str">
        <f aca="false">IF(AND(M152=0,P152=0),"▶ NEXT","")</f>
        <v/>
      </c>
      <c r="L152" s="4" t="n">
        <f aca="false">INDEX('Master List'!$F$2:$F$2594,O152)</f>
        <v>1</v>
      </c>
      <c r="M152" s="4" t="n">
        <f aca="false">INDEX('Master List'!$G$2:$G$2594,O152)</f>
        <v>0</v>
      </c>
      <c r="N152" s="4" t="str">
        <f aca="false">IF(K152="","",A152)</f>
        <v/>
      </c>
      <c r="O152" s="4" t="n">
        <v>737</v>
      </c>
      <c r="P152" s="4" t="n">
        <f aca="false">IF(A152=A151,P151+1-M151,0)</f>
        <v>7</v>
      </c>
    </row>
    <row r="153" customFormat="false" ht="15" hidden="false" customHeight="false" outlineLevel="0" collapsed="false">
      <c r="A153" s="27" t="s">
        <v>3901</v>
      </c>
      <c r="B153" s="27" t="s">
        <v>50</v>
      </c>
      <c r="C153" s="27" t="s">
        <v>65</v>
      </c>
      <c r="D153" s="27" t="s">
        <v>3902</v>
      </c>
      <c r="E153" s="4" t="n">
        <v>9</v>
      </c>
      <c r="F153" s="4" t="s">
        <v>1327</v>
      </c>
      <c r="G153" s="4" t="s">
        <v>3281</v>
      </c>
      <c r="H153" s="4" t="n">
        <v>1923</v>
      </c>
      <c r="I153" s="4" t="s">
        <v>1699</v>
      </c>
      <c r="J153" s="25" t="str">
        <f aca="false">IF(M153=1,"✓","")</f>
        <v/>
      </c>
      <c r="K153" s="4" t="str">
        <f aca="false">IF(AND(M153=0,P153=0),"▶ NEXT","")</f>
        <v/>
      </c>
      <c r="L153" s="4" t="n">
        <f aca="false">INDEX('Master List'!$F$2:$F$2594,O153)</f>
        <v>1</v>
      </c>
      <c r="M153" s="4" t="n">
        <f aca="false">INDEX('Master List'!$G$2:$G$2594,O153)</f>
        <v>0</v>
      </c>
      <c r="N153" s="4" t="str">
        <f aca="false">IF(K153="","",A153)</f>
        <v/>
      </c>
      <c r="O153" s="4" t="n">
        <v>2097</v>
      </c>
      <c r="P153" s="4" t="n">
        <f aca="false">IF(A153=A152,P152+1-M152,0)</f>
        <v>8</v>
      </c>
    </row>
    <row r="154" customFormat="false" ht="15" hidden="false" customHeight="false" outlineLevel="0" collapsed="false">
      <c r="A154" s="27" t="s">
        <v>3901</v>
      </c>
      <c r="B154" s="27" t="s">
        <v>50</v>
      </c>
      <c r="C154" s="27" t="s">
        <v>65</v>
      </c>
      <c r="D154" s="27" t="s">
        <v>3902</v>
      </c>
      <c r="E154" s="4" t="n">
        <v>10</v>
      </c>
      <c r="F154" s="4" t="s">
        <v>1327</v>
      </c>
      <c r="G154" s="4" t="s">
        <v>3282</v>
      </c>
      <c r="H154" s="4" t="n">
        <v>1923</v>
      </c>
      <c r="I154" s="4" t="s">
        <v>1697</v>
      </c>
      <c r="J154" s="25" t="str">
        <f aca="false">IF(M154=1,"✓","")</f>
        <v/>
      </c>
      <c r="K154" s="4" t="str">
        <f aca="false">IF(AND(M154=0,P154=0),"▶ NEXT","")</f>
        <v/>
      </c>
      <c r="L154" s="4" t="n">
        <f aca="false">INDEX('Master List'!$F$2:$F$2594,O154)</f>
        <v>1</v>
      </c>
      <c r="M154" s="4" t="n">
        <f aca="false">INDEX('Master List'!$G$2:$G$2594,O154)</f>
        <v>0</v>
      </c>
      <c r="N154" s="4" t="str">
        <f aca="false">IF(K154="","",A154)</f>
        <v/>
      </c>
      <c r="O154" s="4" t="n">
        <v>490</v>
      </c>
      <c r="P154" s="4" t="n">
        <f aca="false">IF(A154=A153,P153+1-M153,0)</f>
        <v>9</v>
      </c>
    </row>
    <row r="155" customFormat="false" ht="15" hidden="false" customHeight="false" outlineLevel="0" collapsed="false">
      <c r="A155" s="27" t="s">
        <v>3903</v>
      </c>
      <c r="B155" s="27" t="s">
        <v>50</v>
      </c>
      <c r="C155" s="27" t="s">
        <v>65</v>
      </c>
      <c r="D155" s="27" t="s">
        <v>3904</v>
      </c>
      <c r="E155" s="4" t="n">
        <v>1</v>
      </c>
      <c r="F155" s="4" t="s">
        <v>144</v>
      </c>
      <c r="G155" s="7" t="s">
        <v>298</v>
      </c>
      <c r="H155" s="4" t="n">
        <v>1927</v>
      </c>
      <c r="I155" s="4" t="s">
        <v>299</v>
      </c>
      <c r="J155" s="25" t="str">
        <f aca="false">IF(M155=1,"✓","")</f>
        <v/>
      </c>
      <c r="K155" s="4" t="str">
        <f aca="false">IF(AND(M155=0,P155=0),"▶ NEXT","")</f>
        <v>▶ NEXT</v>
      </c>
      <c r="L155" s="4" t="n">
        <f aca="false">INDEX('Master List'!$F$2:$F$2594,O155)</f>
        <v>5</v>
      </c>
      <c r="M155" s="4" t="n">
        <f aca="false">INDEX('Master List'!$G$2:$G$2594,O155)</f>
        <v>0</v>
      </c>
      <c r="N155" s="4" t="str">
        <f aca="false">IF(K155="","",A155)</f>
        <v>N015</v>
      </c>
      <c r="O155" s="4" t="n">
        <v>2202</v>
      </c>
      <c r="P155" s="4" t="n">
        <f aca="false">IF(A155=A154,P154+1-M154,0)</f>
        <v>0</v>
      </c>
    </row>
    <row r="156" customFormat="false" ht="15" hidden="false" customHeight="false" outlineLevel="0" collapsed="false">
      <c r="A156" s="27" t="s">
        <v>3903</v>
      </c>
      <c r="B156" s="27" t="s">
        <v>50</v>
      </c>
      <c r="C156" s="27" t="s">
        <v>65</v>
      </c>
      <c r="D156" s="27" t="s">
        <v>3904</v>
      </c>
      <c r="E156" s="4" t="n">
        <v>2</v>
      </c>
      <c r="F156" s="4" t="s">
        <v>213</v>
      </c>
      <c r="G156" s="4" t="s">
        <v>1269</v>
      </c>
      <c r="H156" s="4" t="n">
        <v>1928</v>
      </c>
      <c r="I156" s="4" t="s">
        <v>1270</v>
      </c>
      <c r="J156" s="25" t="str">
        <f aca="false">IF(M156=1,"✓","")</f>
        <v/>
      </c>
      <c r="K156" s="4" t="str">
        <f aca="false">IF(AND(M156=0,P156=0),"▶ NEXT","")</f>
        <v/>
      </c>
      <c r="L156" s="4" t="n">
        <f aca="false">INDEX('Master List'!$F$2:$F$2594,O156)</f>
        <v>2</v>
      </c>
      <c r="M156" s="4" t="n">
        <f aca="false">INDEX('Master List'!$G$2:$G$2594,O156)</f>
        <v>0</v>
      </c>
      <c r="N156" s="4" t="str">
        <f aca="false">IF(K156="","",A156)</f>
        <v/>
      </c>
      <c r="O156" s="4" t="n">
        <v>2520</v>
      </c>
      <c r="P156" s="4" t="n">
        <f aca="false">IF(A156=A155,P155+1-M155,0)</f>
        <v>1</v>
      </c>
    </row>
    <row r="157" customFormat="false" ht="15" hidden="false" customHeight="false" outlineLevel="0" collapsed="false">
      <c r="A157" s="27" t="s">
        <v>3903</v>
      </c>
      <c r="B157" s="27" t="s">
        <v>50</v>
      </c>
      <c r="C157" s="27" t="s">
        <v>65</v>
      </c>
      <c r="D157" s="27" t="s">
        <v>3904</v>
      </c>
      <c r="E157" s="4" t="n">
        <v>3</v>
      </c>
      <c r="F157" s="4" t="s">
        <v>213</v>
      </c>
      <c r="G157" s="4" t="s">
        <v>534</v>
      </c>
      <c r="H157" s="4" t="n">
        <v>1928</v>
      </c>
      <c r="I157" s="4" t="s">
        <v>535</v>
      </c>
      <c r="J157" s="25" t="str">
        <f aca="false">IF(M157=1,"✓","")</f>
        <v/>
      </c>
      <c r="K157" s="4" t="str">
        <f aca="false">IF(AND(M157=0,P157=0),"▶ NEXT","")</f>
        <v/>
      </c>
      <c r="L157" s="4" t="n">
        <f aca="false">INDEX('Master List'!$F$2:$F$2594,O157)</f>
        <v>3</v>
      </c>
      <c r="M157" s="4" t="n">
        <f aca="false">INDEX('Master List'!$G$2:$G$2594,O157)</f>
        <v>0</v>
      </c>
      <c r="N157" s="4" t="str">
        <f aca="false">IF(K157="","",A157)</f>
        <v/>
      </c>
      <c r="O157" s="4" t="n">
        <v>544</v>
      </c>
      <c r="P157" s="4" t="n">
        <f aca="false">IF(A157=A156,P156+1-M156,0)</f>
        <v>2</v>
      </c>
    </row>
    <row r="158" customFormat="false" ht="15" hidden="false" customHeight="false" outlineLevel="0" collapsed="false">
      <c r="A158" s="27" t="s">
        <v>3903</v>
      </c>
      <c r="B158" s="27" t="s">
        <v>50</v>
      </c>
      <c r="C158" s="27" t="s">
        <v>65</v>
      </c>
      <c r="D158" s="27" t="s">
        <v>3904</v>
      </c>
      <c r="E158" s="4" t="n">
        <v>4</v>
      </c>
      <c r="F158" s="4" t="s">
        <v>213</v>
      </c>
      <c r="G158" s="4" t="s">
        <v>1271</v>
      </c>
      <c r="H158" s="4" t="n">
        <v>1929</v>
      </c>
      <c r="I158" s="4" t="s">
        <v>1272</v>
      </c>
      <c r="J158" s="25" t="str">
        <f aca="false">IF(M158=1,"✓","")</f>
        <v/>
      </c>
      <c r="K158" s="4" t="str">
        <f aca="false">IF(AND(M158=0,P158=0),"▶ NEXT","")</f>
        <v/>
      </c>
      <c r="L158" s="4" t="n">
        <f aca="false">INDEX('Master List'!$F$2:$F$2594,O158)</f>
        <v>2</v>
      </c>
      <c r="M158" s="4" t="n">
        <f aca="false">INDEX('Master List'!$G$2:$G$2594,O158)</f>
        <v>0</v>
      </c>
      <c r="N158" s="4" t="str">
        <f aca="false">IF(K158="","",A158)</f>
        <v/>
      </c>
      <c r="O158" s="4" t="n">
        <v>1712</v>
      </c>
      <c r="P158" s="4" t="n">
        <f aca="false">IF(A158=A157,P157+1-M157,0)</f>
        <v>3</v>
      </c>
    </row>
    <row r="159" customFormat="false" ht="15" hidden="false" customHeight="false" outlineLevel="0" collapsed="false">
      <c r="A159" s="27" t="s">
        <v>3903</v>
      </c>
      <c r="B159" s="27" t="s">
        <v>50</v>
      </c>
      <c r="C159" s="27" t="s">
        <v>65</v>
      </c>
      <c r="D159" s="27" t="s">
        <v>3904</v>
      </c>
      <c r="E159" s="4" t="n">
        <v>5</v>
      </c>
      <c r="F159" s="4" t="s">
        <v>213</v>
      </c>
      <c r="G159" s="4" t="s">
        <v>180</v>
      </c>
      <c r="H159" s="4" t="n">
        <v>1929</v>
      </c>
      <c r="I159" s="4" t="s">
        <v>181</v>
      </c>
      <c r="J159" s="25" t="str">
        <f aca="false">IF(M159=1,"✓","")</f>
        <v/>
      </c>
      <c r="K159" s="4" t="str">
        <f aca="false">IF(AND(M159=0,P159=0),"▶ NEXT","")</f>
        <v/>
      </c>
      <c r="L159" s="4" t="n">
        <f aca="false">INDEX('Master List'!$F$2:$F$2594,O159)</f>
        <v>7</v>
      </c>
      <c r="M159" s="4" t="n">
        <f aca="false">INDEX('Master List'!$G$2:$G$2594,O159)</f>
        <v>0</v>
      </c>
      <c r="N159" s="4" t="str">
        <f aca="false">IF(K159="","",A159)</f>
        <v/>
      </c>
      <c r="O159" s="4" t="n">
        <v>1434</v>
      </c>
      <c r="P159" s="4" t="n">
        <f aca="false">IF(A159=A158,P158+1-M158,0)</f>
        <v>4</v>
      </c>
    </row>
    <row r="160" customFormat="false" ht="15" hidden="false" customHeight="false" outlineLevel="0" collapsed="false">
      <c r="A160" s="27" t="s">
        <v>3903</v>
      </c>
      <c r="B160" s="27" t="s">
        <v>50</v>
      </c>
      <c r="C160" s="27" t="s">
        <v>65</v>
      </c>
      <c r="D160" s="27" t="s">
        <v>3904</v>
      </c>
      <c r="E160" s="4" t="n">
        <v>6</v>
      </c>
      <c r="F160" s="4" t="s">
        <v>1327</v>
      </c>
      <c r="G160" s="4" t="s">
        <v>3300</v>
      </c>
      <c r="H160" s="4" t="n">
        <v>1928</v>
      </c>
      <c r="I160" s="4" t="s">
        <v>3301</v>
      </c>
      <c r="J160" s="25" t="str">
        <f aca="false">IF(M160=1,"✓","")</f>
        <v/>
      </c>
      <c r="K160" s="4" t="str">
        <f aca="false">IF(AND(M160=0,P160=0),"▶ NEXT","")</f>
        <v/>
      </c>
      <c r="L160" s="4" t="n">
        <f aca="false">INDEX('Master List'!$F$2:$F$2594,O160)</f>
        <v>1</v>
      </c>
      <c r="M160" s="4" t="n">
        <f aca="false">INDEX('Master List'!$G$2:$G$2594,O160)</f>
        <v>0</v>
      </c>
      <c r="N160" s="4" t="str">
        <f aca="false">IF(K160="","",A160)</f>
        <v/>
      </c>
      <c r="O160" s="4" t="n">
        <v>1375</v>
      </c>
      <c r="P160" s="4" t="n">
        <f aca="false">IF(A160=A159,P159+1-M159,0)</f>
        <v>5</v>
      </c>
    </row>
    <row r="161" customFormat="false" ht="15" hidden="false" customHeight="false" outlineLevel="0" collapsed="false">
      <c r="A161" s="27" t="s">
        <v>3903</v>
      </c>
      <c r="B161" s="27" t="s">
        <v>50</v>
      </c>
      <c r="C161" s="27" t="s">
        <v>65</v>
      </c>
      <c r="D161" s="27" t="s">
        <v>3904</v>
      </c>
      <c r="E161" s="4" t="n">
        <v>7</v>
      </c>
      <c r="F161" s="4" t="s">
        <v>1327</v>
      </c>
      <c r="G161" s="4" t="s">
        <v>1302</v>
      </c>
      <c r="H161" s="4" t="n">
        <v>1932</v>
      </c>
      <c r="I161" s="4" t="s">
        <v>146</v>
      </c>
      <c r="J161" s="25" t="str">
        <f aca="false">IF(M161=1,"✓","")</f>
        <v/>
      </c>
      <c r="K161" s="4" t="str">
        <f aca="false">IF(AND(M161=0,P161=0),"▶ NEXT","")</f>
        <v/>
      </c>
      <c r="L161" s="4" t="n">
        <f aca="false">INDEX('Master List'!$F$2:$F$2594,O161)</f>
        <v>2</v>
      </c>
      <c r="M161" s="4" t="n">
        <f aca="false">INDEX('Master List'!$G$2:$G$2594,O161)</f>
        <v>0</v>
      </c>
      <c r="N161" s="4" t="str">
        <f aca="false">IF(K161="","",A161)</f>
        <v/>
      </c>
      <c r="O161" s="4" t="n">
        <v>1111</v>
      </c>
      <c r="P161" s="4" t="n">
        <f aca="false">IF(A161=A160,P160+1-M160,0)</f>
        <v>6</v>
      </c>
    </row>
    <row r="162" customFormat="false" ht="15" hidden="false" customHeight="false" outlineLevel="0" collapsed="false">
      <c r="A162" s="27" t="s">
        <v>3903</v>
      </c>
      <c r="B162" s="27" t="s">
        <v>50</v>
      </c>
      <c r="C162" s="27" t="s">
        <v>65</v>
      </c>
      <c r="D162" s="27" t="s">
        <v>3904</v>
      </c>
      <c r="E162" s="4" t="n">
        <v>8</v>
      </c>
      <c r="F162" s="4" t="s">
        <v>1327</v>
      </c>
      <c r="G162" s="4" t="s">
        <v>3291</v>
      </c>
      <c r="H162" s="4" t="n">
        <v>1926</v>
      </c>
      <c r="I162" s="4" t="s">
        <v>3292</v>
      </c>
      <c r="J162" s="25" t="str">
        <f aca="false">IF(M162=1,"✓","")</f>
        <v/>
      </c>
      <c r="K162" s="4" t="str">
        <f aca="false">IF(AND(M162=0,P162=0),"▶ NEXT","")</f>
        <v/>
      </c>
      <c r="L162" s="4" t="n">
        <f aca="false">INDEX('Master List'!$F$2:$F$2594,O162)</f>
        <v>1</v>
      </c>
      <c r="M162" s="4" t="n">
        <f aca="false">INDEX('Master List'!$G$2:$G$2594,O162)</f>
        <v>0</v>
      </c>
      <c r="N162" s="4" t="str">
        <f aca="false">IF(K162="","",A162)</f>
        <v/>
      </c>
      <c r="O162" s="4" t="n">
        <v>1704</v>
      </c>
      <c r="P162" s="4" t="n">
        <f aca="false">IF(A162=A161,P161+1-M161,0)</f>
        <v>7</v>
      </c>
    </row>
    <row r="163" customFormat="false" ht="15" hidden="false" customHeight="false" outlineLevel="0" collapsed="false">
      <c r="A163" s="27" t="s">
        <v>3903</v>
      </c>
      <c r="B163" s="27" t="s">
        <v>50</v>
      </c>
      <c r="C163" s="27" t="s">
        <v>65</v>
      </c>
      <c r="D163" s="27" t="s">
        <v>3904</v>
      </c>
      <c r="E163" s="4" t="n">
        <v>9</v>
      </c>
      <c r="F163" s="4" t="s">
        <v>1327</v>
      </c>
      <c r="G163" s="4" t="s">
        <v>3299</v>
      </c>
      <c r="H163" s="4" t="n">
        <v>1927</v>
      </c>
      <c r="I163" s="4" t="s">
        <v>1710</v>
      </c>
      <c r="J163" s="25" t="str">
        <f aca="false">IF(M163=1,"✓","")</f>
        <v/>
      </c>
      <c r="K163" s="4" t="str">
        <f aca="false">IF(AND(M163=0,P163=0),"▶ NEXT","")</f>
        <v/>
      </c>
      <c r="L163" s="4" t="n">
        <f aca="false">INDEX('Master List'!$F$2:$F$2594,O163)</f>
        <v>1</v>
      </c>
      <c r="M163" s="4" t="n">
        <f aca="false">INDEX('Master List'!$G$2:$G$2594,O163)</f>
        <v>0</v>
      </c>
      <c r="N163" s="4" t="str">
        <f aca="false">IF(K163="","",A163)</f>
        <v/>
      </c>
      <c r="O163" s="4" t="n">
        <v>2404</v>
      </c>
      <c r="P163" s="4" t="n">
        <f aca="false">IF(A163=A162,P162+1-M162,0)</f>
        <v>8</v>
      </c>
    </row>
    <row r="164" customFormat="false" ht="15" hidden="false" customHeight="false" outlineLevel="0" collapsed="false">
      <c r="A164" s="27" t="s">
        <v>3903</v>
      </c>
      <c r="B164" s="27" t="s">
        <v>50</v>
      </c>
      <c r="C164" s="27" t="s">
        <v>65</v>
      </c>
      <c r="D164" s="27" t="s">
        <v>3904</v>
      </c>
      <c r="E164" s="4" t="n">
        <v>10</v>
      </c>
      <c r="F164" s="4" t="s">
        <v>1327</v>
      </c>
      <c r="G164" s="4" t="s">
        <v>3302</v>
      </c>
      <c r="H164" s="4" t="n">
        <v>1928</v>
      </c>
      <c r="I164" s="4" t="s">
        <v>1710</v>
      </c>
      <c r="J164" s="25" t="str">
        <f aca="false">IF(M164=1,"✓","")</f>
        <v/>
      </c>
      <c r="K164" s="4" t="str">
        <f aca="false">IF(AND(M164=0,P164=0),"▶ NEXT","")</f>
        <v/>
      </c>
      <c r="L164" s="4" t="n">
        <f aca="false">INDEX('Master List'!$F$2:$F$2594,O164)</f>
        <v>1</v>
      </c>
      <c r="M164" s="4" t="n">
        <f aca="false">INDEX('Master List'!$G$2:$G$2594,O164)</f>
        <v>0</v>
      </c>
      <c r="N164" s="4" t="str">
        <f aca="false">IF(K164="","",A164)</f>
        <v/>
      </c>
      <c r="O164" s="4" t="n">
        <v>647</v>
      </c>
      <c r="P164" s="4" t="n">
        <f aca="false">IF(A164=A163,P163+1-M163,0)</f>
        <v>9</v>
      </c>
    </row>
    <row r="165" customFormat="false" ht="15" hidden="false" customHeight="false" outlineLevel="0" collapsed="false">
      <c r="A165" s="27" t="s">
        <v>3905</v>
      </c>
      <c r="B165" s="27" t="s">
        <v>50</v>
      </c>
      <c r="C165" s="27" t="s">
        <v>66</v>
      </c>
      <c r="D165" s="27" t="s">
        <v>3906</v>
      </c>
      <c r="E165" s="4" t="n">
        <v>1</v>
      </c>
      <c r="F165" s="4" t="s">
        <v>144</v>
      </c>
      <c r="G165" s="7" t="s">
        <v>727</v>
      </c>
      <c r="H165" s="4" t="n">
        <v>1927</v>
      </c>
      <c r="I165" s="4" t="s">
        <v>728</v>
      </c>
      <c r="J165" s="25" t="str">
        <f aca="false">IF(M165=1,"✓","")</f>
        <v/>
      </c>
      <c r="K165" s="4" t="str">
        <f aca="false">IF(AND(M165=0,P165=0),"▶ NEXT","")</f>
        <v>▶ NEXT</v>
      </c>
      <c r="L165" s="4" t="n">
        <f aca="false">INDEX('Master List'!$F$2:$F$2594,O165)</f>
        <v>2</v>
      </c>
      <c r="M165" s="4" t="n">
        <f aca="false">INDEX('Master List'!$G$2:$G$2594,O165)</f>
        <v>0</v>
      </c>
      <c r="N165" s="4" t="str">
        <f aca="false">IF(K165="","",A165)</f>
        <v>N016</v>
      </c>
      <c r="O165" s="4" t="n">
        <v>1198</v>
      </c>
      <c r="P165" s="4" t="n">
        <f aca="false">IF(A165=A164,P164+1-M164,0)</f>
        <v>0</v>
      </c>
    </row>
    <row r="166" customFormat="false" ht="15" hidden="false" customHeight="false" outlineLevel="0" collapsed="false">
      <c r="A166" s="27" t="s">
        <v>3905</v>
      </c>
      <c r="B166" s="27" t="s">
        <v>50</v>
      </c>
      <c r="C166" s="27" t="s">
        <v>66</v>
      </c>
      <c r="D166" s="27" t="s">
        <v>3906</v>
      </c>
      <c r="E166" s="4" t="n">
        <v>2</v>
      </c>
      <c r="F166" s="4" t="s">
        <v>144</v>
      </c>
      <c r="G166" s="7" t="s">
        <v>247</v>
      </c>
      <c r="H166" s="4" t="n">
        <v>1931</v>
      </c>
      <c r="I166" s="4" t="s">
        <v>248</v>
      </c>
      <c r="J166" s="25" t="str">
        <f aca="false">IF(M166=1,"✓","")</f>
        <v>✓</v>
      </c>
      <c r="K166" s="4" t="str">
        <f aca="false">IF(AND(M166=0,P166=0),"▶ NEXT","")</f>
        <v/>
      </c>
      <c r="L166" s="4" t="n">
        <f aca="false">INDEX('Master List'!$F$2:$F$2594,O166)</f>
        <v>5</v>
      </c>
      <c r="M166" s="4" t="n">
        <f aca="false">INDEX('Master List'!$G$2:$G$2594,O166)</f>
        <v>1</v>
      </c>
      <c r="N166" s="4" t="str">
        <f aca="false">IF(K166="","",A166)</f>
        <v/>
      </c>
      <c r="O166" s="4" t="n">
        <v>1398</v>
      </c>
      <c r="P166" s="4" t="n">
        <f aca="false">IF(A166=A165,P165+1-M165,0)</f>
        <v>1</v>
      </c>
    </row>
    <row r="167" customFormat="false" ht="15" hidden="false" customHeight="false" outlineLevel="0" collapsed="false">
      <c r="A167" s="27" t="s">
        <v>3905</v>
      </c>
      <c r="B167" s="27" t="s">
        <v>50</v>
      </c>
      <c r="C167" s="27" t="s">
        <v>66</v>
      </c>
      <c r="D167" s="27" t="s">
        <v>3906</v>
      </c>
      <c r="E167" s="4" t="n">
        <v>3</v>
      </c>
      <c r="F167" s="4" t="s">
        <v>213</v>
      </c>
      <c r="G167" s="4" t="s">
        <v>729</v>
      </c>
      <c r="H167" s="4" t="n">
        <v>1930</v>
      </c>
      <c r="I167" s="4" t="s">
        <v>730</v>
      </c>
      <c r="J167" s="25" t="str">
        <f aca="false">IF(M167=1,"✓","")</f>
        <v/>
      </c>
      <c r="K167" s="4" t="str">
        <f aca="false">IF(AND(M167=0,P167=0),"▶ NEXT","")</f>
        <v/>
      </c>
      <c r="L167" s="4" t="n">
        <f aca="false">INDEX('Master List'!$F$2:$F$2594,O167)</f>
        <v>2</v>
      </c>
      <c r="M167" s="4" t="n">
        <f aca="false">INDEX('Master List'!$G$2:$G$2594,O167)</f>
        <v>0</v>
      </c>
      <c r="N167" s="4" t="str">
        <f aca="false">IF(K167="","",A167)</f>
        <v/>
      </c>
      <c r="O167" s="4" t="n">
        <v>72</v>
      </c>
      <c r="P167" s="4" t="n">
        <f aca="false">IF(A167=A166,P166+1-M166,0)</f>
        <v>1</v>
      </c>
    </row>
    <row r="168" customFormat="false" ht="15" hidden="false" customHeight="false" outlineLevel="0" collapsed="false">
      <c r="A168" s="27" t="s">
        <v>3905</v>
      </c>
      <c r="B168" s="27" t="s">
        <v>50</v>
      </c>
      <c r="C168" s="27" t="s">
        <v>66</v>
      </c>
      <c r="D168" s="27" t="s">
        <v>3906</v>
      </c>
      <c r="E168" s="4" t="n">
        <v>4</v>
      </c>
      <c r="F168" s="4" t="s">
        <v>213</v>
      </c>
      <c r="G168" s="4" t="s">
        <v>1709</v>
      </c>
      <c r="H168" s="4" t="n">
        <v>1930</v>
      </c>
      <c r="I168" s="4" t="s">
        <v>1710</v>
      </c>
      <c r="J168" s="25" t="str">
        <f aca="false">IF(M168=1,"✓","")</f>
        <v/>
      </c>
      <c r="K168" s="4" t="str">
        <f aca="false">IF(AND(M168=0,P168=0),"▶ NEXT","")</f>
        <v/>
      </c>
      <c r="L168" s="4" t="n">
        <f aca="false">INDEX('Master List'!$F$2:$F$2594,O168)</f>
        <v>1</v>
      </c>
      <c r="M168" s="4" t="n">
        <f aca="false">INDEX('Master List'!$G$2:$G$2594,O168)</f>
        <v>0</v>
      </c>
      <c r="N168" s="4" t="str">
        <f aca="false">IF(K168="","",A168)</f>
        <v/>
      </c>
      <c r="O168" s="4" t="n">
        <v>297</v>
      </c>
      <c r="P168" s="4" t="n">
        <f aca="false">IF(A168=A167,P167+1-M167,0)</f>
        <v>2</v>
      </c>
    </row>
    <row r="169" customFormat="false" ht="15" hidden="false" customHeight="false" outlineLevel="0" collapsed="false">
      <c r="A169" s="27" t="s">
        <v>3905</v>
      </c>
      <c r="B169" s="27" t="s">
        <v>50</v>
      </c>
      <c r="C169" s="27" t="s">
        <v>66</v>
      </c>
      <c r="D169" s="27" t="s">
        <v>3906</v>
      </c>
      <c r="E169" s="4" t="n">
        <v>5</v>
      </c>
      <c r="F169" s="4" t="s">
        <v>213</v>
      </c>
      <c r="G169" s="4" t="s">
        <v>1700</v>
      </c>
      <c r="H169" s="4" t="n">
        <v>1929</v>
      </c>
      <c r="I169" s="4" t="s">
        <v>162</v>
      </c>
      <c r="J169" s="25" t="str">
        <f aca="false">IF(M169=1,"✓","")</f>
        <v/>
      </c>
      <c r="K169" s="4" t="str">
        <f aca="false">IF(AND(M169=0,P169=0),"▶ NEXT","")</f>
        <v/>
      </c>
      <c r="L169" s="4" t="n">
        <f aca="false">INDEX('Master List'!$F$2:$F$2594,O169)</f>
        <v>1</v>
      </c>
      <c r="M169" s="4" t="n">
        <f aca="false">INDEX('Master List'!$G$2:$G$2594,O169)</f>
        <v>0</v>
      </c>
      <c r="N169" s="4" t="str">
        <f aca="false">IF(K169="","",A169)</f>
        <v/>
      </c>
      <c r="O169" s="4" t="n">
        <v>276</v>
      </c>
      <c r="P169" s="4" t="n">
        <f aca="false">IF(A169=A168,P168+1-M168,0)</f>
        <v>3</v>
      </c>
    </row>
    <row r="170" customFormat="false" ht="15" hidden="false" customHeight="false" outlineLevel="0" collapsed="false">
      <c r="A170" s="27" t="s">
        <v>3905</v>
      </c>
      <c r="B170" s="27" t="s">
        <v>50</v>
      </c>
      <c r="C170" s="27" t="s">
        <v>66</v>
      </c>
      <c r="D170" s="27" t="s">
        <v>3906</v>
      </c>
      <c r="E170" s="4" t="n">
        <v>6</v>
      </c>
      <c r="F170" s="4" t="s">
        <v>213</v>
      </c>
      <c r="G170" s="4" t="s">
        <v>1701</v>
      </c>
      <c r="H170" s="4" t="n">
        <v>1929</v>
      </c>
      <c r="I170" s="4" t="s">
        <v>1304</v>
      </c>
      <c r="J170" s="25" t="str">
        <f aca="false">IF(M170=1,"✓","")</f>
        <v/>
      </c>
      <c r="K170" s="4" t="str">
        <f aca="false">IF(AND(M170=0,P170=0),"▶ NEXT","")</f>
        <v/>
      </c>
      <c r="L170" s="4" t="n">
        <f aca="false">INDEX('Master List'!$F$2:$F$2594,O170)</f>
        <v>1</v>
      </c>
      <c r="M170" s="4" t="n">
        <f aca="false">INDEX('Master List'!$G$2:$G$2594,O170)</f>
        <v>0</v>
      </c>
      <c r="N170" s="4" t="str">
        <f aca="false">IF(K170="","",A170)</f>
        <v/>
      </c>
      <c r="O170" s="4" t="n">
        <v>125</v>
      </c>
      <c r="P170" s="4" t="n">
        <f aca="false">IF(A170=A169,P169+1-M169,0)</f>
        <v>4</v>
      </c>
    </row>
    <row r="171" customFormat="false" ht="15" hidden="false" customHeight="false" outlineLevel="0" collapsed="false">
      <c r="A171" s="27" t="s">
        <v>3905</v>
      </c>
      <c r="B171" s="27" t="s">
        <v>50</v>
      </c>
      <c r="C171" s="27" t="s">
        <v>66</v>
      </c>
      <c r="D171" s="27" t="s">
        <v>3906</v>
      </c>
      <c r="E171" s="4" t="n">
        <v>7</v>
      </c>
      <c r="F171" s="4" t="s">
        <v>213</v>
      </c>
      <c r="G171" s="4" t="s">
        <v>1303</v>
      </c>
      <c r="H171" s="4" t="n">
        <v>1932</v>
      </c>
      <c r="I171" s="4" t="s">
        <v>1304</v>
      </c>
      <c r="J171" s="25" t="str">
        <f aca="false">IF(M171=1,"✓","")</f>
        <v/>
      </c>
      <c r="K171" s="4" t="str">
        <f aca="false">IF(AND(M171=0,P171=0),"▶ NEXT","")</f>
        <v/>
      </c>
      <c r="L171" s="4" t="n">
        <f aca="false">INDEX('Master List'!$F$2:$F$2594,O171)</f>
        <v>2</v>
      </c>
      <c r="M171" s="4" t="n">
        <f aca="false">INDEX('Master List'!$G$2:$G$2594,O171)</f>
        <v>0</v>
      </c>
      <c r="N171" s="4" t="str">
        <f aca="false">IF(K171="","",A171)</f>
        <v/>
      </c>
      <c r="O171" s="4" t="n">
        <v>1390</v>
      </c>
      <c r="P171" s="4" t="n">
        <f aca="false">IF(A171=A170,P170+1-M170,0)</f>
        <v>5</v>
      </c>
    </row>
    <row r="172" customFormat="false" ht="15" hidden="false" customHeight="false" outlineLevel="0" collapsed="false">
      <c r="A172" s="27" t="s">
        <v>3905</v>
      </c>
      <c r="B172" s="27" t="s">
        <v>50</v>
      </c>
      <c r="C172" s="27" t="s">
        <v>66</v>
      </c>
      <c r="D172" s="27" t="s">
        <v>3906</v>
      </c>
      <c r="E172" s="4" t="n">
        <v>8</v>
      </c>
      <c r="F172" s="4" t="s">
        <v>213</v>
      </c>
      <c r="G172" s="4" t="s">
        <v>1711</v>
      </c>
      <c r="H172" s="4" t="n">
        <v>1930</v>
      </c>
      <c r="I172" s="4" t="s">
        <v>1712</v>
      </c>
      <c r="J172" s="25" t="str">
        <f aca="false">IF(M172=1,"✓","")</f>
        <v/>
      </c>
      <c r="K172" s="4" t="str">
        <f aca="false">IF(AND(M172=0,P172=0),"▶ NEXT","")</f>
        <v/>
      </c>
      <c r="L172" s="4" t="n">
        <f aca="false">INDEX('Master List'!$F$2:$F$2594,O172)</f>
        <v>1</v>
      </c>
      <c r="M172" s="4" t="n">
        <f aca="false">INDEX('Master List'!$G$2:$G$2594,O172)</f>
        <v>0</v>
      </c>
      <c r="N172" s="4" t="str">
        <f aca="false">IF(K172="","",A172)</f>
        <v/>
      </c>
      <c r="O172" s="4" t="n">
        <v>2401</v>
      </c>
      <c r="P172" s="4" t="n">
        <f aca="false">IF(A172=A171,P171+1-M171,0)</f>
        <v>6</v>
      </c>
    </row>
    <row r="173" customFormat="false" ht="15" hidden="false" customHeight="false" outlineLevel="0" collapsed="false">
      <c r="A173" s="27" t="s">
        <v>3905</v>
      </c>
      <c r="B173" s="27" t="s">
        <v>50</v>
      </c>
      <c r="C173" s="27" t="s">
        <v>66</v>
      </c>
      <c r="D173" s="27" t="s">
        <v>3906</v>
      </c>
      <c r="E173" s="4" t="n">
        <v>9</v>
      </c>
      <c r="F173" s="4" t="s">
        <v>213</v>
      </c>
      <c r="G173" s="4" t="s">
        <v>224</v>
      </c>
      <c r="H173" s="4" t="n">
        <v>1952</v>
      </c>
      <c r="I173" s="4" t="s">
        <v>225</v>
      </c>
      <c r="J173" s="25" t="str">
        <f aca="false">IF(M173=1,"✓","")</f>
        <v/>
      </c>
      <c r="K173" s="4" t="str">
        <f aca="false">IF(AND(M173=0,P173=0),"▶ NEXT","")</f>
        <v/>
      </c>
      <c r="L173" s="4" t="n">
        <f aca="false">INDEX('Master List'!$F$2:$F$2594,O173)</f>
        <v>6</v>
      </c>
      <c r="M173" s="4" t="n">
        <f aca="false">INDEX('Master List'!$G$2:$G$2594,O173)</f>
        <v>0</v>
      </c>
      <c r="N173" s="4" t="str">
        <f aca="false">IF(K173="","",A173)</f>
        <v/>
      </c>
      <c r="O173" s="4" t="n">
        <v>2080</v>
      </c>
      <c r="P173" s="4" t="n">
        <f aca="false">IF(A173=A172,P172+1-M172,0)</f>
        <v>7</v>
      </c>
    </row>
    <row r="174" customFormat="false" ht="15" hidden="false" customHeight="false" outlineLevel="0" collapsed="false">
      <c r="A174" s="27" t="s">
        <v>3907</v>
      </c>
      <c r="B174" s="27" t="s">
        <v>50</v>
      </c>
      <c r="C174" s="27" t="s">
        <v>66</v>
      </c>
      <c r="D174" s="27" t="s">
        <v>3908</v>
      </c>
      <c r="E174" s="4" t="n">
        <v>1</v>
      </c>
      <c r="F174" s="4" t="s">
        <v>144</v>
      </c>
      <c r="G174" s="7" t="s">
        <v>1433</v>
      </c>
      <c r="H174" s="4" t="n">
        <v>1933</v>
      </c>
      <c r="I174" s="4" t="s">
        <v>1434</v>
      </c>
      <c r="J174" s="25" t="str">
        <f aca="false">IF(M174=1,"✓","")</f>
        <v/>
      </c>
      <c r="K174" s="4" t="str">
        <f aca="false">IF(AND(M174=0,P174=0),"▶ NEXT","")</f>
        <v>▶ NEXT</v>
      </c>
      <c r="L174" s="4" t="n">
        <f aca="false">INDEX('Master List'!$F$2:$F$2594,O174)</f>
        <v>1</v>
      </c>
      <c r="M174" s="4" t="n">
        <f aca="false">INDEX('Master List'!$G$2:$G$2594,O174)</f>
        <v>0</v>
      </c>
      <c r="N174" s="4" t="str">
        <f aca="false">IF(K174="","",A174)</f>
        <v>N017</v>
      </c>
      <c r="O174" s="4" t="n">
        <v>161</v>
      </c>
      <c r="P174" s="4" t="n">
        <f aca="false">IF(A174=A173,P173+1-M173,0)</f>
        <v>0</v>
      </c>
    </row>
    <row r="175" customFormat="false" ht="15" hidden="false" customHeight="false" outlineLevel="0" collapsed="false">
      <c r="A175" s="27" t="s">
        <v>3907</v>
      </c>
      <c r="B175" s="27" t="s">
        <v>50</v>
      </c>
      <c r="C175" s="27" t="s">
        <v>66</v>
      </c>
      <c r="D175" s="27" t="s">
        <v>3908</v>
      </c>
      <c r="E175" s="4" t="n">
        <v>2</v>
      </c>
      <c r="F175" s="4" t="s">
        <v>144</v>
      </c>
      <c r="G175" s="7" t="s">
        <v>656</v>
      </c>
      <c r="H175" s="4" t="n">
        <v>1932</v>
      </c>
      <c r="I175" s="4" t="s">
        <v>348</v>
      </c>
      <c r="J175" s="25" t="str">
        <f aca="false">IF(M175=1,"✓","")</f>
        <v/>
      </c>
      <c r="K175" s="4" t="str">
        <f aca="false">IF(AND(M175=0,P175=0),"▶ NEXT","")</f>
        <v/>
      </c>
      <c r="L175" s="4" t="n">
        <f aca="false">INDEX('Master List'!$F$2:$F$2594,O175)</f>
        <v>2</v>
      </c>
      <c r="M175" s="4" t="n">
        <f aca="false">INDEX('Master List'!$G$2:$G$2594,O175)</f>
        <v>0</v>
      </c>
      <c r="N175" s="4" t="str">
        <f aca="false">IF(K175="","",A175)</f>
        <v/>
      </c>
      <c r="O175" s="4" t="n">
        <v>2377</v>
      </c>
      <c r="P175" s="4" t="n">
        <f aca="false">IF(A175=A174,P174+1-M174,0)</f>
        <v>1</v>
      </c>
    </row>
    <row r="176" customFormat="false" ht="15" hidden="false" customHeight="false" outlineLevel="0" collapsed="false">
      <c r="A176" s="27" t="s">
        <v>3907</v>
      </c>
      <c r="B176" s="27" t="s">
        <v>50</v>
      </c>
      <c r="C176" s="27" t="s">
        <v>66</v>
      </c>
      <c r="D176" s="27" t="s">
        <v>3908</v>
      </c>
      <c r="E176" s="4" t="n">
        <v>3</v>
      </c>
      <c r="F176" s="4" t="s">
        <v>213</v>
      </c>
      <c r="G176" s="4" t="s">
        <v>563</v>
      </c>
      <c r="H176" s="4" t="n">
        <v>1931</v>
      </c>
      <c r="I176" s="4" t="s">
        <v>564</v>
      </c>
      <c r="J176" s="25" t="str">
        <f aca="false">IF(M176=1,"✓","")</f>
        <v/>
      </c>
      <c r="K176" s="4" t="str">
        <f aca="false">IF(AND(M176=0,P176=0),"▶ NEXT","")</f>
        <v/>
      </c>
      <c r="L176" s="4" t="n">
        <f aca="false">INDEX('Master List'!$F$2:$F$2594,O176)</f>
        <v>3</v>
      </c>
      <c r="M176" s="4" t="n">
        <f aca="false">INDEX('Master List'!$G$2:$G$2594,O176)</f>
        <v>0</v>
      </c>
      <c r="N176" s="4" t="str">
        <f aca="false">IF(K176="","",A176)</f>
        <v/>
      </c>
      <c r="O176" s="4" t="n">
        <v>1828</v>
      </c>
      <c r="P176" s="4" t="n">
        <f aca="false">IF(A176=A175,P175+1-M175,0)</f>
        <v>2</v>
      </c>
    </row>
    <row r="177" customFormat="false" ht="15" hidden="false" customHeight="false" outlineLevel="0" collapsed="false">
      <c r="A177" s="27" t="s">
        <v>3907</v>
      </c>
      <c r="B177" s="27" t="s">
        <v>50</v>
      </c>
      <c r="C177" s="27" t="s">
        <v>66</v>
      </c>
      <c r="D177" s="27" t="s">
        <v>3908</v>
      </c>
      <c r="E177" s="4" t="n">
        <v>4</v>
      </c>
      <c r="F177" s="4" t="s">
        <v>213</v>
      </c>
      <c r="G177" s="4" t="s">
        <v>565</v>
      </c>
      <c r="H177" s="4" t="n">
        <v>1932</v>
      </c>
      <c r="I177" s="4" t="s">
        <v>168</v>
      </c>
      <c r="J177" s="25" t="str">
        <f aca="false">IF(M177=1,"✓","")</f>
        <v/>
      </c>
      <c r="K177" s="4" t="str">
        <f aca="false">IF(AND(M177=0,P177=0),"▶ NEXT","")</f>
        <v/>
      </c>
      <c r="L177" s="4" t="n">
        <f aca="false">INDEX('Master List'!$F$2:$F$2594,O177)</f>
        <v>3</v>
      </c>
      <c r="M177" s="4" t="n">
        <f aca="false">INDEX('Master List'!$G$2:$G$2594,O177)</f>
        <v>0</v>
      </c>
      <c r="N177" s="4" t="str">
        <f aca="false">IF(K177="","",A177)</f>
        <v/>
      </c>
      <c r="O177" s="4" t="n">
        <v>1983</v>
      </c>
      <c r="P177" s="4" t="n">
        <f aca="false">IF(A177=A176,P176+1-M176,0)</f>
        <v>3</v>
      </c>
    </row>
    <row r="178" customFormat="false" ht="15" hidden="false" customHeight="false" outlineLevel="0" collapsed="false">
      <c r="A178" s="27" t="s">
        <v>3907</v>
      </c>
      <c r="B178" s="27" t="s">
        <v>50</v>
      </c>
      <c r="C178" s="27" t="s">
        <v>66</v>
      </c>
      <c r="D178" s="27" t="s">
        <v>3908</v>
      </c>
      <c r="E178" s="4" t="n">
        <v>5</v>
      </c>
      <c r="F178" s="4" t="s">
        <v>213</v>
      </c>
      <c r="G178" s="4" t="s">
        <v>1724</v>
      </c>
      <c r="H178" s="4" t="n">
        <v>1932</v>
      </c>
      <c r="I178" s="4" t="s">
        <v>1725</v>
      </c>
      <c r="J178" s="25" t="str">
        <f aca="false">IF(M178=1,"✓","")</f>
        <v/>
      </c>
      <c r="K178" s="4" t="str">
        <f aca="false">IF(AND(M178=0,P178=0),"▶ NEXT","")</f>
        <v/>
      </c>
      <c r="L178" s="4" t="n">
        <f aca="false">INDEX('Master List'!$F$2:$F$2594,O178)</f>
        <v>1</v>
      </c>
      <c r="M178" s="4" t="n">
        <f aca="false">INDEX('Master List'!$G$2:$G$2594,O178)</f>
        <v>0</v>
      </c>
      <c r="N178" s="4" t="str">
        <f aca="false">IF(K178="","",A178)</f>
        <v/>
      </c>
      <c r="O178" s="4" t="n">
        <v>1874</v>
      </c>
      <c r="P178" s="4" t="n">
        <f aca="false">IF(A178=A177,P177+1-M177,0)</f>
        <v>4</v>
      </c>
    </row>
    <row r="179" customFormat="false" ht="15" hidden="false" customHeight="false" outlineLevel="0" collapsed="false">
      <c r="A179" s="27" t="s">
        <v>3907</v>
      </c>
      <c r="B179" s="27" t="s">
        <v>50</v>
      </c>
      <c r="C179" s="27" t="s">
        <v>66</v>
      </c>
      <c r="D179" s="27" t="s">
        <v>3908</v>
      </c>
      <c r="E179" s="4" t="n">
        <v>6</v>
      </c>
      <c r="F179" s="4" t="s">
        <v>213</v>
      </c>
      <c r="G179" s="4" t="s">
        <v>906</v>
      </c>
      <c r="H179" s="4" t="n">
        <v>1932</v>
      </c>
      <c r="I179" s="4" t="s">
        <v>907</v>
      </c>
      <c r="J179" s="25" t="str">
        <f aca="false">IF(M179=1,"✓","")</f>
        <v/>
      </c>
      <c r="K179" s="4" t="str">
        <f aca="false">IF(AND(M179=0,P179=0),"▶ NEXT","")</f>
        <v/>
      </c>
      <c r="L179" s="4" t="n">
        <f aca="false">INDEX('Master List'!$F$2:$F$2594,O179)</f>
        <v>2</v>
      </c>
      <c r="M179" s="4" t="n">
        <f aca="false">INDEX('Master List'!$G$2:$G$2594,O179)</f>
        <v>0</v>
      </c>
      <c r="N179" s="4" t="str">
        <f aca="false">IF(K179="","",A179)</f>
        <v/>
      </c>
      <c r="O179" s="4" t="n">
        <v>848</v>
      </c>
      <c r="P179" s="4" t="n">
        <f aca="false">IF(A179=A178,P178+1-M178,0)</f>
        <v>5</v>
      </c>
    </row>
    <row r="180" customFormat="false" ht="15" hidden="false" customHeight="false" outlineLevel="0" collapsed="false">
      <c r="A180" s="27" t="s">
        <v>3907</v>
      </c>
      <c r="B180" s="27" t="s">
        <v>50</v>
      </c>
      <c r="C180" s="27" t="s">
        <v>66</v>
      </c>
      <c r="D180" s="27" t="s">
        <v>3908</v>
      </c>
      <c r="E180" s="4" t="n">
        <v>7</v>
      </c>
      <c r="F180" s="4" t="s">
        <v>213</v>
      </c>
      <c r="G180" s="4" t="s">
        <v>908</v>
      </c>
      <c r="H180" s="4" t="n">
        <v>1932</v>
      </c>
      <c r="I180" s="4" t="s">
        <v>909</v>
      </c>
      <c r="J180" s="25" t="str">
        <f aca="false">IF(M180=1,"✓","")</f>
        <v/>
      </c>
      <c r="K180" s="4" t="str">
        <f aca="false">IF(AND(M180=0,P180=0),"▶ NEXT","")</f>
        <v/>
      </c>
      <c r="L180" s="4" t="n">
        <f aca="false">INDEX('Master List'!$F$2:$F$2594,O180)</f>
        <v>2</v>
      </c>
      <c r="M180" s="4" t="n">
        <f aca="false">INDEX('Master List'!$G$2:$G$2594,O180)</f>
        <v>0</v>
      </c>
      <c r="N180" s="4" t="str">
        <f aca="false">IF(K180="","",A180)</f>
        <v/>
      </c>
      <c r="O180" s="4" t="n">
        <v>1097</v>
      </c>
      <c r="P180" s="4" t="n">
        <f aca="false">IF(A180=A179,P179+1-M179,0)</f>
        <v>6</v>
      </c>
    </row>
    <row r="181" customFormat="false" ht="15" hidden="false" customHeight="false" outlineLevel="0" collapsed="false">
      <c r="A181" s="27" t="s">
        <v>3907</v>
      </c>
      <c r="B181" s="27" t="s">
        <v>50</v>
      </c>
      <c r="C181" s="27" t="s">
        <v>66</v>
      </c>
      <c r="D181" s="27" t="s">
        <v>3908</v>
      </c>
      <c r="E181" s="4" t="n">
        <v>8</v>
      </c>
      <c r="F181" s="4" t="s">
        <v>213</v>
      </c>
      <c r="G181" s="4" t="s">
        <v>1740</v>
      </c>
      <c r="H181" s="4" t="n">
        <v>1933</v>
      </c>
      <c r="I181" s="4" t="s">
        <v>564</v>
      </c>
      <c r="J181" s="25" t="str">
        <f aca="false">IF(M181=1,"✓","")</f>
        <v/>
      </c>
      <c r="K181" s="4" t="str">
        <f aca="false">IF(AND(M181=0,P181=0),"▶ NEXT","")</f>
        <v/>
      </c>
      <c r="L181" s="4" t="n">
        <f aca="false">INDEX('Master List'!$F$2:$F$2594,O181)</f>
        <v>1</v>
      </c>
      <c r="M181" s="4" t="n">
        <f aca="false">INDEX('Master List'!$G$2:$G$2594,O181)</f>
        <v>0</v>
      </c>
      <c r="N181" s="4" t="str">
        <f aca="false">IF(K181="","",A181)</f>
        <v/>
      </c>
      <c r="O181" s="4" t="n">
        <v>1027</v>
      </c>
      <c r="P181" s="4" t="n">
        <f aca="false">IF(A181=A180,P180+1-M180,0)</f>
        <v>7</v>
      </c>
    </row>
    <row r="182" customFormat="false" ht="15" hidden="false" customHeight="false" outlineLevel="0" collapsed="false">
      <c r="A182" s="27" t="s">
        <v>3907</v>
      </c>
      <c r="B182" s="27" t="s">
        <v>50</v>
      </c>
      <c r="C182" s="27" t="s">
        <v>66</v>
      </c>
      <c r="D182" s="27" t="s">
        <v>3908</v>
      </c>
      <c r="E182" s="4" t="n">
        <v>9</v>
      </c>
      <c r="F182" s="4" t="s">
        <v>213</v>
      </c>
      <c r="G182" s="4" t="s">
        <v>1741</v>
      </c>
      <c r="H182" s="4" t="n">
        <v>1933</v>
      </c>
      <c r="I182" s="4" t="s">
        <v>1742</v>
      </c>
      <c r="J182" s="25" t="str">
        <f aca="false">IF(M182=1,"✓","")</f>
        <v/>
      </c>
      <c r="K182" s="4" t="str">
        <f aca="false">IF(AND(M182=0,P182=0),"▶ NEXT","")</f>
        <v/>
      </c>
      <c r="L182" s="4" t="n">
        <f aca="false">INDEX('Master List'!$F$2:$F$2594,O182)</f>
        <v>1</v>
      </c>
      <c r="M182" s="4" t="n">
        <f aca="false">INDEX('Master List'!$G$2:$G$2594,O182)</f>
        <v>0</v>
      </c>
      <c r="N182" s="4" t="str">
        <f aca="false">IF(K182="","",A182)</f>
        <v/>
      </c>
      <c r="O182" s="4" t="n">
        <v>727</v>
      </c>
      <c r="P182" s="4" t="n">
        <f aca="false">IF(A182=A181,P181+1-M181,0)</f>
        <v>8</v>
      </c>
    </row>
    <row r="183" customFormat="false" ht="15" hidden="false" customHeight="false" outlineLevel="0" collapsed="false">
      <c r="A183" s="27" t="s">
        <v>3907</v>
      </c>
      <c r="B183" s="27" t="s">
        <v>50</v>
      </c>
      <c r="C183" s="27" t="s">
        <v>66</v>
      </c>
      <c r="D183" s="27" t="s">
        <v>3908</v>
      </c>
      <c r="E183" s="4" t="n">
        <v>10</v>
      </c>
      <c r="F183" s="4" t="s">
        <v>213</v>
      </c>
      <c r="G183" s="4" t="s">
        <v>1743</v>
      </c>
      <c r="H183" s="4" t="n">
        <v>1933</v>
      </c>
      <c r="I183" s="4" t="s">
        <v>348</v>
      </c>
      <c r="J183" s="25" t="str">
        <f aca="false">IF(M183=1,"✓","")</f>
        <v/>
      </c>
      <c r="K183" s="4" t="str">
        <f aca="false">IF(AND(M183=0,P183=0),"▶ NEXT","")</f>
        <v/>
      </c>
      <c r="L183" s="4" t="n">
        <f aca="false">INDEX('Master List'!$F$2:$F$2594,O183)</f>
        <v>1</v>
      </c>
      <c r="M183" s="4" t="n">
        <f aca="false">INDEX('Master List'!$G$2:$G$2594,O183)</f>
        <v>0</v>
      </c>
      <c r="N183" s="4" t="str">
        <f aca="false">IF(K183="","",A183)</f>
        <v/>
      </c>
      <c r="O183" s="4" t="n">
        <v>613</v>
      </c>
      <c r="P183" s="4" t="n">
        <f aca="false">IF(A183=A182,P182+1-M182,0)</f>
        <v>9</v>
      </c>
    </row>
    <row r="184" customFormat="false" ht="15" hidden="false" customHeight="false" outlineLevel="0" collapsed="false">
      <c r="A184" s="27" t="s">
        <v>3907</v>
      </c>
      <c r="B184" s="27" t="s">
        <v>50</v>
      </c>
      <c r="C184" s="27" t="s">
        <v>66</v>
      </c>
      <c r="D184" s="27" t="s">
        <v>3908</v>
      </c>
      <c r="E184" s="4" t="n">
        <v>11</v>
      </c>
      <c r="F184" s="4" t="s">
        <v>213</v>
      </c>
      <c r="G184" s="4" t="s">
        <v>449</v>
      </c>
      <c r="H184" s="4" t="n">
        <v>1933</v>
      </c>
      <c r="I184" s="4" t="s">
        <v>450</v>
      </c>
      <c r="J184" s="25" t="str">
        <f aca="false">IF(M184=1,"✓","")</f>
        <v/>
      </c>
      <c r="K184" s="4" t="str">
        <f aca="false">IF(AND(M184=0,P184=0),"▶ NEXT","")</f>
        <v/>
      </c>
      <c r="L184" s="4" t="n">
        <f aca="false">INDEX('Master List'!$F$2:$F$2594,O184)</f>
        <v>3</v>
      </c>
      <c r="M184" s="4" t="n">
        <f aca="false">INDEX('Master List'!$G$2:$G$2594,O184)</f>
        <v>0</v>
      </c>
      <c r="N184" s="4" t="str">
        <f aca="false">IF(K184="","",A184)</f>
        <v/>
      </c>
      <c r="O184" s="4" t="n">
        <v>686</v>
      </c>
      <c r="P184" s="4" t="n">
        <f aca="false">IF(A184=A183,P183+1-M183,0)</f>
        <v>10</v>
      </c>
    </row>
    <row r="185" customFormat="false" ht="15" hidden="false" customHeight="false" outlineLevel="0" collapsed="false">
      <c r="A185" s="27" t="s">
        <v>3907</v>
      </c>
      <c r="B185" s="27" t="s">
        <v>50</v>
      </c>
      <c r="C185" s="27" t="s">
        <v>66</v>
      </c>
      <c r="D185" s="27" t="s">
        <v>3908</v>
      </c>
      <c r="E185" s="4" t="n">
        <v>12</v>
      </c>
      <c r="F185" s="4" t="s">
        <v>213</v>
      </c>
      <c r="G185" s="4" t="s">
        <v>1726</v>
      </c>
      <c r="H185" s="4" t="n">
        <v>1932</v>
      </c>
      <c r="I185" s="4" t="s">
        <v>1727</v>
      </c>
      <c r="J185" s="25" t="str">
        <f aca="false">IF(M185=1,"✓","")</f>
        <v/>
      </c>
      <c r="K185" s="4" t="str">
        <f aca="false">IF(AND(M185=0,P185=0),"▶ NEXT","")</f>
        <v/>
      </c>
      <c r="L185" s="4" t="n">
        <f aca="false">INDEX('Master List'!$F$2:$F$2594,O185)</f>
        <v>1</v>
      </c>
      <c r="M185" s="4" t="n">
        <f aca="false">INDEX('Master List'!$G$2:$G$2594,O185)</f>
        <v>0</v>
      </c>
      <c r="N185" s="4" t="str">
        <f aca="false">IF(K185="","",A185)</f>
        <v/>
      </c>
      <c r="O185" s="4" t="n">
        <v>1170</v>
      </c>
      <c r="P185" s="4" t="n">
        <f aca="false">IF(A185=A184,P184+1-M184,0)</f>
        <v>11</v>
      </c>
    </row>
    <row r="186" customFormat="false" ht="15" hidden="false" customHeight="false" outlineLevel="0" collapsed="false">
      <c r="A186" s="27" t="s">
        <v>3907</v>
      </c>
      <c r="B186" s="27" t="s">
        <v>50</v>
      </c>
      <c r="C186" s="27" t="s">
        <v>66</v>
      </c>
      <c r="D186" s="27" t="s">
        <v>3908</v>
      </c>
      <c r="E186" s="4" t="n">
        <v>13</v>
      </c>
      <c r="F186" s="4" t="s">
        <v>1327</v>
      </c>
      <c r="G186" s="4" t="s">
        <v>3309</v>
      </c>
      <c r="H186" s="4" t="n">
        <v>1931</v>
      </c>
      <c r="I186" s="4" t="s">
        <v>564</v>
      </c>
      <c r="J186" s="25" t="str">
        <f aca="false">IF(M186=1,"✓","")</f>
        <v/>
      </c>
      <c r="K186" s="4" t="str">
        <f aca="false">IF(AND(M186=0,P186=0),"▶ NEXT","")</f>
        <v/>
      </c>
      <c r="L186" s="4" t="n">
        <f aca="false">INDEX('Master List'!$F$2:$F$2594,O186)</f>
        <v>1</v>
      </c>
      <c r="M186" s="4" t="n">
        <f aca="false">INDEX('Master List'!$G$2:$G$2594,O186)</f>
        <v>0</v>
      </c>
      <c r="N186" s="4" t="str">
        <f aca="false">IF(K186="","",A186)</f>
        <v/>
      </c>
      <c r="O186" s="4" t="n">
        <v>1955</v>
      </c>
      <c r="P186" s="4" t="n">
        <f aca="false">IF(A186=A185,P185+1-M185,0)</f>
        <v>12</v>
      </c>
    </row>
    <row r="187" customFormat="false" ht="15" hidden="false" customHeight="false" outlineLevel="0" collapsed="false">
      <c r="A187" s="27" t="s">
        <v>3907</v>
      </c>
      <c r="B187" s="27" t="s">
        <v>50</v>
      </c>
      <c r="C187" s="27" t="s">
        <v>66</v>
      </c>
      <c r="D187" s="27" t="s">
        <v>3908</v>
      </c>
      <c r="E187" s="4" t="n">
        <v>14</v>
      </c>
      <c r="F187" s="4" t="s">
        <v>1327</v>
      </c>
      <c r="G187" s="4" t="s">
        <v>3317</v>
      </c>
      <c r="H187" s="4" t="n">
        <v>1933</v>
      </c>
      <c r="I187" s="4" t="s">
        <v>335</v>
      </c>
      <c r="J187" s="25" t="str">
        <f aca="false">IF(M187=1,"✓","")</f>
        <v/>
      </c>
      <c r="K187" s="4" t="str">
        <f aca="false">IF(AND(M187=0,P187=0),"▶ NEXT","")</f>
        <v/>
      </c>
      <c r="L187" s="4" t="n">
        <f aca="false">INDEX('Master List'!$F$2:$F$2594,O187)</f>
        <v>1</v>
      </c>
      <c r="M187" s="4" t="n">
        <f aca="false">INDEX('Master List'!$G$2:$G$2594,O187)</f>
        <v>0</v>
      </c>
      <c r="N187" s="4" t="str">
        <f aca="false">IF(K187="","",A187)</f>
        <v/>
      </c>
      <c r="O187" s="4" t="n">
        <v>798</v>
      </c>
      <c r="P187" s="4" t="n">
        <f aca="false">IF(A187=A186,P186+1-M186,0)</f>
        <v>13</v>
      </c>
    </row>
    <row r="188" customFormat="false" ht="15" hidden="false" customHeight="false" outlineLevel="0" collapsed="false">
      <c r="A188" s="27" t="s">
        <v>3907</v>
      </c>
      <c r="B188" s="27" t="s">
        <v>50</v>
      </c>
      <c r="C188" s="27" t="s">
        <v>66</v>
      </c>
      <c r="D188" s="27" t="s">
        <v>3908</v>
      </c>
      <c r="E188" s="4" t="n">
        <v>15</v>
      </c>
      <c r="F188" s="4" t="s">
        <v>1327</v>
      </c>
      <c r="G188" s="4" t="s">
        <v>3310</v>
      </c>
      <c r="H188" s="4" t="n">
        <v>1932</v>
      </c>
      <c r="I188" s="4" t="s">
        <v>909</v>
      </c>
      <c r="J188" s="25" t="str">
        <f aca="false">IF(M188=1,"✓","")</f>
        <v/>
      </c>
      <c r="K188" s="4" t="str">
        <f aca="false">IF(AND(M188=0,P188=0),"▶ NEXT","")</f>
        <v/>
      </c>
      <c r="L188" s="4" t="n">
        <f aca="false">INDEX('Master List'!$F$2:$F$2594,O188)</f>
        <v>1</v>
      </c>
      <c r="M188" s="4" t="n">
        <f aca="false">INDEX('Master List'!$G$2:$G$2594,O188)</f>
        <v>0</v>
      </c>
      <c r="N188" s="4" t="str">
        <f aca="false">IF(K188="","",A188)</f>
        <v/>
      </c>
      <c r="O188" s="4" t="n">
        <v>2295</v>
      </c>
      <c r="P188" s="4" t="n">
        <f aca="false">IF(A188=A187,P187+1-M187,0)</f>
        <v>14</v>
      </c>
    </row>
    <row r="189" customFormat="false" ht="15" hidden="false" customHeight="false" outlineLevel="0" collapsed="false">
      <c r="A189" s="27" t="s">
        <v>3909</v>
      </c>
      <c r="B189" s="27" t="s">
        <v>50</v>
      </c>
      <c r="C189" s="27" t="s">
        <v>67</v>
      </c>
      <c r="D189" s="27" t="s">
        <v>3910</v>
      </c>
      <c r="E189" s="4" t="n">
        <v>1</v>
      </c>
      <c r="F189" s="4" t="s">
        <v>144</v>
      </c>
      <c r="G189" s="7" t="s">
        <v>175</v>
      </c>
      <c r="H189" s="4" t="n">
        <v>1934</v>
      </c>
      <c r="I189" s="4" t="s">
        <v>176</v>
      </c>
      <c r="J189" s="25" t="str">
        <f aca="false">IF(M189=1,"✓","")</f>
        <v/>
      </c>
      <c r="K189" s="4" t="str">
        <f aca="false">IF(AND(M189=0,P189=0),"▶ NEXT","")</f>
        <v>▶ NEXT</v>
      </c>
      <c r="L189" s="4" t="n">
        <f aca="false">INDEX('Master List'!$F$2:$F$2594,O189)</f>
        <v>7</v>
      </c>
      <c r="M189" s="4" t="n">
        <f aca="false">INDEX('Master List'!$G$2:$G$2594,O189)</f>
        <v>0</v>
      </c>
      <c r="N189" s="4" t="str">
        <f aca="false">IF(K189="","",A189)</f>
        <v>N018</v>
      </c>
      <c r="O189" s="4" t="n">
        <v>1176</v>
      </c>
      <c r="P189" s="4" t="n">
        <f aca="false">IF(A189=A188,P188+1-M188,0)</f>
        <v>0</v>
      </c>
    </row>
    <row r="190" customFormat="false" ht="15" hidden="false" customHeight="false" outlineLevel="0" collapsed="false">
      <c r="A190" s="27" t="s">
        <v>3909</v>
      </c>
      <c r="B190" s="27" t="s">
        <v>50</v>
      </c>
      <c r="C190" s="27" t="s">
        <v>67</v>
      </c>
      <c r="D190" s="27" t="s">
        <v>3910</v>
      </c>
      <c r="E190" s="4" t="n">
        <v>2</v>
      </c>
      <c r="F190" s="4" t="s">
        <v>144</v>
      </c>
      <c r="G190" s="7" t="s">
        <v>345</v>
      </c>
      <c r="H190" s="4" t="n">
        <v>1939</v>
      </c>
      <c r="I190" s="4" t="s">
        <v>346</v>
      </c>
      <c r="J190" s="25" t="str">
        <f aca="false">IF(M190=1,"✓","")</f>
        <v/>
      </c>
      <c r="K190" s="4" t="str">
        <f aca="false">IF(AND(M190=0,P190=0),"▶ NEXT","")</f>
        <v/>
      </c>
      <c r="L190" s="4" t="n">
        <f aca="false">INDEX('Master List'!$F$2:$F$2594,O190)</f>
        <v>4</v>
      </c>
      <c r="M190" s="4" t="n">
        <f aca="false">INDEX('Master List'!$G$2:$G$2594,O190)</f>
        <v>0</v>
      </c>
      <c r="N190" s="4" t="str">
        <f aca="false">IF(K190="","",A190)</f>
        <v/>
      </c>
      <c r="O190" s="4" t="n">
        <v>2540</v>
      </c>
      <c r="P190" s="4" t="n">
        <f aca="false">IF(A190=A189,P189+1-M189,0)</f>
        <v>1</v>
      </c>
    </row>
    <row r="191" customFormat="false" ht="15" hidden="false" customHeight="false" outlineLevel="0" collapsed="false">
      <c r="A191" s="27" t="s">
        <v>3909</v>
      </c>
      <c r="B191" s="27" t="s">
        <v>50</v>
      </c>
      <c r="C191" s="27" t="s">
        <v>67</v>
      </c>
      <c r="D191" s="27" t="s">
        <v>3910</v>
      </c>
      <c r="E191" s="4" t="n">
        <v>3</v>
      </c>
      <c r="F191" s="4" t="s">
        <v>144</v>
      </c>
      <c r="G191" s="7" t="s">
        <v>334</v>
      </c>
      <c r="H191" s="4" t="n">
        <v>1942</v>
      </c>
      <c r="I191" s="4" t="s">
        <v>335</v>
      </c>
      <c r="J191" s="25" t="str">
        <f aca="false">IF(M191=1,"✓","")</f>
        <v/>
      </c>
      <c r="K191" s="4" t="str">
        <f aca="false">IF(AND(M191=0,P191=0),"▶ NEXT","")</f>
        <v/>
      </c>
      <c r="L191" s="4" t="n">
        <f aca="false">INDEX('Master List'!$F$2:$F$2594,O191)</f>
        <v>4</v>
      </c>
      <c r="M191" s="4" t="n">
        <f aca="false">INDEX('Master List'!$G$2:$G$2594,O191)</f>
        <v>0</v>
      </c>
      <c r="N191" s="4" t="str">
        <f aca="false">IF(K191="","",A191)</f>
        <v/>
      </c>
      <c r="O191" s="4" t="n">
        <v>403</v>
      </c>
      <c r="P191" s="4" t="n">
        <f aca="false">IF(A191=A190,P190+1-M190,0)</f>
        <v>2</v>
      </c>
    </row>
    <row r="192" customFormat="false" ht="15" hidden="false" customHeight="false" outlineLevel="0" collapsed="false">
      <c r="A192" s="27" t="s">
        <v>3909</v>
      </c>
      <c r="B192" s="27" t="s">
        <v>50</v>
      </c>
      <c r="C192" s="27" t="s">
        <v>67</v>
      </c>
      <c r="D192" s="27" t="s">
        <v>3910</v>
      </c>
      <c r="E192" s="4" t="n">
        <v>4</v>
      </c>
      <c r="F192" s="4" t="s">
        <v>213</v>
      </c>
      <c r="G192" s="4" t="s">
        <v>302</v>
      </c>
      <c r="H192" s="4" t="n">
        <v>1939</v>
      </c>
      <c r="I192" s="4" t="s">
        <v>205</v>
      </c>
      <c r="J192" s="25" t="str">
        <f aca="false">IF(M192=1,"✓","")</f>
        <v/>
      </c>
      <c r="K192" s="4" t="str">
        <f aca="false">IF(AND(M192=0,P192=0),"▶ NEXT","")</f>
        <v/>
      </c>
      <c r="L192" s="4" t="n">
        <f aca="false">INDEX('Master List'!$F$2:$F$2594,O192)</f>
        <v>4</v>
      </c>
      <c r="M192" s="4" t="n">
        <f aca="false">INDEX('Master List'!$G$2:$G$2594,O192)</f>
        <v>0</v>
      </c>
      <c r="N192" s="4" t="str">
        <f aca="false">IF(K192="","",A192)</f>
        <v/>
      </c>
      <c r="O192" s="4" t="n">
        <v>2143</v>
      </c>
      <c r="P192" s="4" t="n">
        <f aca="false">IF(A192=A191,P191+1-M191,0)</f>
        <v>3</v>
      </c>
    </row>
    <row r="193" customFormat="false" ht="15" hidden="false" customHeight="false" outlineLevel="0" collapsed="false">
      <c r="A193" s="27" t="s">
        <v>3909</v>
      </c>
      <c r="B193" s="27" t="s">
        <v>50</v>
      </c>
      <c r="C193" s="27" t="s">
        <v>67</v>
      </c>
      <c r="D193" s="27" t="s">
        <v>3910</v>
      </c>
      <c r="E193" s="4" t="n">
        <v>5</v>
      </c>
      <c r="F193" s="4" t="s">
        <v>213</v>
      </c>
      <c r="G193" s="4" t="s">
        <v>914</v>
      </c>
      <c r="H193" s="4" t="n">
        <v>1939</v>
      </c>
      <c r="I193" s="4" t="s">
        <v>346</v>
      </c>
      <c r="J193" s="25" t="str">
        <f aca="false">IF(M193=1,"✓","")</f>
        <v/>
      </c>
      <c r="K193" s="4" t="str">
        <f aca="false">IF(AND(M193=0,P193=0),"▶ NEXT","")</f>
        <v/>
      </c>
      <c r="L193" s="4" t="n">
        <f aca="false">INDEX('Master List'!$F$2:$F$2594,O193)</f>
        <v>2</v>
      </c>
      <c r="M193" s="4" t="n">
        <f aca="false">INDEX('Master List'!$G$2:$G$2594,O193)</f>
        <v>0</v>
      </c>
      <c r="N193" s="4" t="str">
        <f aca="false">IF(K193="","",A193)</f>
        <v/>
      </c>
      <c r="O193" s="4" t="n">
        <v>923</v>
      </c>
      <c r="P193" s="4" t="n">
        <f aca="false">IF(A193=A192,P192+1-M192,0)</f>
        <v>4</v>
      </c>
    </row>
    <row r="194" customFormat="false" ht="15" hidden="false" customHeight="false" outlineLevel="0" collapsed="false">
      <c r="A194" s="27" t="s">
        <v>3909</v>
      </c>
      <c r="B194" s="27" t="s">
        <v>50</v>
      </c>
      <c r="C194" s="27" t="s">
        <v>67</v>
      </c>
      <c r="D194" s="27" t="s">
        <v>3910</v>
      </c>
      <c r="E194" s="4" t="n">
        <v>6</v>
      </c>
      <c r="F194" s="4" t="s">
        <v>213</v>
      </c>
      <c r="G194" s="4" t="s">
        <v>303</v>
      </c>
      <c r="H194" s="4" t="n">
        <v>1939</v>
      </c>
      <c r="I194" s="4" t="s">
        <v>176</v>
      </c>
      <c r="J194" s="25" t="str">
        <f aca="false">IF(M194=1,"✓","")</f>
        <v/>
      </c>
      <c r="K194" s="4" t="str">
        <f aca="false">IF(AND(M194=0,P194=0),"▶ NEXT","")</f>
        <v/>
      </c>
      <c r="L194" s="4" t="n">
        <f aca="false">INDEX('Master List'!$F$2:$F$2594,O194)</f>
        <v>4</v>
      </c>
      <c r="M194" s="4" t="n">
        <f aca="false">INDEX('Master List'!$G$2:$G$2594,O194)</f>
        <v>0</v>
      </c>
      <c r="N194" s="4" t="str">
        <f aca="false">IF(K194="","",A194)</f>
        <v/>
      </c>
      <c r="O194" s="4" t="n">
        <v>1550</v>
      </c>
      <c r="P194" s="4" t="n">
        <f aca="false">IF(A194=A193,P193+1-M193,0)</f>
        <v>5</v>
      </c>
    </row>
    <row r="195" customFormat="false" ht="15" hidden="false" customHeight="false" outlineLevel="0" collapsed="false">
      <c r="A195" s="27" t="s">
        <v>3909</v>
      </c>
      <c r="B195" s="27" t="s">
        <v>50</v>
      </c>
      <c r="C195" s="27" t="s">
        <v>67</v>
      </c>
      <c r="D195" s="27" t="s">
        <v>3910</v>
      </c>
      <c r="E195" s="4" t="n">
        <v>7</v>
      </c>
      <c r="F195" s="4" t="s">
        <v>213</v>
      </c>
      <c r="G195" s="4" t="s">
        <v>204</v>
      </c>
      <c r="H195" s="4" t="n">
        <v>1940</v>
      </c>
      <c r="I195" s="4" t="s">
        <v>205</v>
      </c>
      <c r="J195" s="25" t="str">
        <f aca="false">IF(M195=1,"✓","")</f>
        <v/>
      </c>
      <c r="K195" s="4" t="str">
        <f aca="false">IF(AND(M195=0,P195=0),"▶ NEXT","")</f>
        <v/>
      </c>
      <c r="L195" s="4" t="n">
        <f aca="false">INDEX('Master List'!$F$2:$F$2594,O195)</f>
        <v>7</v>
      </c>
      <c r="M195" s="4" t="n">
        <f aca="false">INDEX('Master List'!$G$2:$G$2594,O195)</f>
        <v>0</v>
      </c>
      <c r="N195" s="4" t="str">
        <f aca="false">IF(K195="","",A195)</f>
        <v/>
      </c>
      <c r="O195" s="4" t="n">
        <v>946</v>
      </c>
      <c r="P195" s="4" t="n">
        <f aca="false">IF(A195=A194,P194+1-M194,0)</f>
        <v>6</v>
      </c>
    </row>
    <row r="196" customFormat="false" ht="15" hidden="false" customHeight="false" outlineLevel="0" collapsed="false">
      <c r="A196" s="27" t="s">
        <v>3909</v>
      </c>
      <c r="B196" s="27" t="s">
        <v>50</v>
      </c>
      <c r="C196" s="27" t="s">
        <v>67</v>
      </c>
      <c r="D196" s="27" t="s">
        <v>3910</v>
      </c>
      <c r="E196" s="4" t="n">
        <v>8</v>
      </c>
      <c r="F196" s="4" t="s">
        <v>213</v>
      </c>
      <c r="G196" s="4" t="s">
        <v>282</v>
      </c>
      <c r="H196" s="4" t="n">
        <v>1941</v>
      </c>
      <c r="I196" s="4" t="s">
        <v>283</v>
      </c>
      <c r="J196" s="25" t="str">
        <f aca="false">IF(M196=1,"✓","")</f>
        <v/>
      </c>
      <c r="K196" s="4" t="str">
        <f aca="false">IF(AND(M196=0,P196=0),"▶ NEXT","")</f>
        <v/>
      </c>
      <c r="L196" s="4" t="n">
        <f aca="false">INDEX('Master List'!$F$2:$F$2594,O196)</f>
        <v>5</v>
      </c>
      <c r="M196" s="4" t="n">
        <f aca="false">INDEX('Master List'!$G$2:$G$2594,O196)</f>
        <v>0</v>
      </c>
      <c r="N196" s="4" t="str">
        <f aca="false">IF(K196="","",A196)</f>
        <v/>
      </c>
      <c r="O196" s="4" t="n">
        <v>1419</v>
      </c>
      <c r="P196" s="4" t="n">
        <f aca="false">IF(A196=A195,P195+1-M195,0)</f>
        <v>7</v>
      </c>
    </row>
    <row r="197" customFormat="false" ht="15" hidden="false" customHeight="false" outlineLevel="0" collapsed="false">
      <c r="A197" s="27" t="s">
        <v>3909</v>
      </c>
      <c r="B197" s="27" t="s">
        <v>50</v>
      </c>
      <c r="C197" s="27" t="s">
        <v>67</v>
      </c>
      <c r="D197" s="27" t="s">
        <v>3910</v>
      </c>
      <c r="E197" s="4" t="n">
        <v>9</v>
      </c>
      <c r="F197" s="4" t="s">
        <v>213</v>
      </c>
      <c r="G197" s="4" t="s">
        <v>142</v>
      </c>
      <c r="H197" s="4" t="n">
        <v>1941</v>
      </c>
      <c r="I197" s="4" t="s">
        <v>143</v>
      </c>
      <c r="J197" s="25" t="str">
        <f aca="false">IF(M197=1,"✓","")</f>
        <v/>
      </c>
      <c r="K197" s="4" t="str">
        <f aca="false">IF(AND(M197=0,P197=0),"▶ NEXT","")</f>
        <v/>
      </c>
      <c r="L197" s="4" t="n">
        <f aca="false">INDEX('Master List'!$F$2:$F$2594,O197)</f>
        <v>13</v>
      </c>
      <c r="M197" s="4" t="n">
        <f aca="false">INDEX('Master List'!$G$2:$G$2594,O197)</f>
        <v>0</v>
      </c>
      <c r="N197" s="4" t="str">
        <f aca="false">IF(K197="","",A197)</f>
        <v/>
      </c>
      <c r="O197" s="4" t="n">
        <v>462</v>
      </c>
      <c r="P197" s="4" t="n">
        <f aca="false">IF(A197=A196,P196+1-M196,0)</f>
        <v>8</v>
      </c>
    </row>
    <row r="198" customFormat="false" ht="15" hidden="false" customHeight="false" outlineLevel="0" collapsed="false">
      <c r="A198" s="27" t="s">
        <v>3909</v>
      </c>
      <c r="B198" s="27" t="s">
        <v>50</v>
      </c>
      <c r="C198" s="27" t="s">
        <v>67</v>
      </c>
      <c r="D198" s="27" t="s">
        <v>3910</v>
      </c>
      <c r="E198" s="4" t="n">
        <v>10</v>
      </c>
      <c r="F198" s="4" t="s">
        <v>213</v>
      </c>
      <c r="G198" s="4" t="s">
        <v>737</v>
      </c>
      <c r="H198" s="4" t="n">
        <v>1938</v>
      </c>
      <c r="I198" s="4" t="s">
        <v>738</v>
      </c>
      <c r="J198" s="25" t="str">
        <f aca="false">IF(M198=1,"✓","")</f>
        <v/>
      </c>
      <c r="K198" s="4" t="str">
        <f aca="false">IF(AND(M198=0,P198=0),"▶ NEXT","")</f>
        <v/>
      </c>
      <c r="L198" s="4" t="n">
        <f aca="false">INDEX('Master List'!$F$2:$F$2594,O198)</f>
        <v>2</v>
      </c>
      <c r="M198" s="4" t="n">
        <f aca="false">INDEX('Master List'!$G$2:$G$2594,O198)</f>
        <v>0</v>
      </c>
      <c r="N198" s="4" t="str">
        <f aca="false">IF(K198="","",A198)</f>
        <v/>
      </c>
      <c r="O198" s="4" t="n">
        <v>45</v>
      </c>
      <c r="P198" s="4" t="n">
        <f aca="false">IF(A198=A197,P197+1-M197,0)</f>
        <v>9</v>
      </c>
    </row>
    <row r="199" customFormat="false" ht="15" hidden="false" customHeight="false" outlineLevel="0" collapsed="false">
      <c r="A199" s="27" t="s">
        <v>3909</v>
      </c>
      <c r="B199" s="27" t="s">
        <v>50</v>
      </c>
      <c r="C199" s="27" t="s">
        <v>67</v>
      </c>
      <c r="D199" s="27" t="s">
        <v>3910</v>
      </c>
      <c r="E199" s="4" t="n">
        <v>11</v>
      </c>
      <c r="F199" s="4" t="s">
        <v>213</v>
      </c>
      <c r="G199" s="4" t="s">
        <v>304</v>
      </c>
      <c r="H199" s="4" t="n">
        <v>1946</v>
      </c>
      <c r="I199" s="4" t="s">
        <v>305</v>
      </c>
      <c r="J199" s="25" t="str">
        <f aca="false">IF(M199=1,"✓","")</f>
        <v/>
      </c>
      <c r="K199" s="4" t="str">
        <f aca="false">IF(AND(M199=0,P199=0),"▶ NEXT","")</f>
        <v/>
      </c>
      <c r="L199" s="4" t="n">
        <f aca="false">INDEX('Master List'!$F$2:$F$2594,O199)</f>
        <v>5</v>
      </c>
      <c r="M199" s="4" t="n">
        <f aca="false">INDEX('Master List'!$G$2:$G$2594,O199)</f>
        <v>0</v>
      </c>
      <c r="N199" s="4" t="str">
        <f aca="false">IF(K199="","",A199)</f>
        <v/>
      </c>
      <c r="O199" s="4" t="n">
        <v>231</v>
      </c>
      <c r="P199" s="4" t="n">
        <f aca="false">IF(A199=A198,P198+1-M198,0)</f>
        <v>10</v>
      </c>
    </row>
    <row r="200" customFormat="false" ht="15" hidden="false" customHeight="false" outlineLevel="0" collapsed="false">
      <c r="A200" s="27" t="s">
        <v>3909</v>
      </c>
      <c r="B200" s="27" t="s">
        <v>50</v>
      </c>
      <c r="C200" s="27" t="s">
        <v>67</v>
      </c>
      <c r="D200" s="27" t="s">
        <v>3910</v>
      </c>
      <c r="E200" s="4" t="n">
        <v>12</v>
      </c>
      <c r="F200" s="4" t="s">
        <v>213</v>
      </c>
      <c r="G200" s="4" t="s">
        <v>306</v>
      </c>
      <c r="H200" s="4" t="n">
        <v>1946</v>
      </c>
      <c r="I200" s="4" t="s">
        <v>176</v>
      </c>
      <c r="J200" s="25" t="str">
        <f aca="false">IF(M200=1,"✓","")</f>
        <v>✓</v>
      </c>
      <c r="K200" s="4" t="str">
        <f aca="false">IF(AND(M200=0,P200=0),"▶ NEXT","")</f>
        <v/>
      </c>
      <c r="L200" s="4" t="n">
        <f aca="false">INDEX('Master List'!$F$2:$F$2594,O200)</f>
        <v>4</v>
      </c>
      <c r="M200" s="4" t="n">
        <f aca="false">INDEX('Master List'!$G$2:$G$2594,O200)</f>
        <v>1</v>
      </c>
      <c r="N200" s="4" t="str">
        <f aca="false">IF(K200="","",A200)</f>
        <v/>
      </c>
      <c r="O200" s="4" t="n">
        <v>1178</v>
      </c>
      <c r="P200" s="4" t="n">
        <f aca="false">IF(A200=A199,P199+1-M199,0)</f>
        <v>11</v>
      </c>
    </row>
    <row r="201" customFormat="false" ht="15" hidden="false" customHeight="false" outlineLevel="0" collapsed="false">
      <c r="A201" s="27" t="s">
        <v>3909</v>
      </c>
      <c r="B201" s="27" t="s">
        <v>50</v>
      </c>
      <c r="C201" s="27" t="s">
        <v>67</v>
      </c>
      <c r="D201" s="27" t="s">
        <v>3910</v>
      </c>
      <c r="E201" s="4" t="n">
        <v>13</v>
      </c>
      <c r="F201" s="4" t="s">
        <v>213</v>
      </c>
      <c r="G201" s="4" t="s">
        <v>932</v>
      </c>
      <c r="H201" s="4" t="n">
        <v>1950</v>
      </c>
      <c r="I201" s="4" t="s">
        <v>933</v>
      </c>
      <c r="J201" s="25" t="str">
        <f aca="false">IF(M201=1,"✓","")</f>
        <v/>
      </c>
      <c r="K201" s="4" t="str">
        <f aca="false">IF(AND(M201=0,P201=0),"▶ NEXT","")</f>
        <v/>
      </c>
      <c r="L201" s="4" t="n">
        <f aca="false">INDEX('Master List'!$F$2:$F$2594,O201)</f>
        <v>2</v>
      </c>
      <c r="M201" s="4" t="n">
        <f aca="false">INDEX('Master List'!$G$2:$G$2594,O201)</f>
        <v>0</v>
      </c>
      <c r="N201" s="4" t="str">
        <f aca="false">IF(K201="","",A201)</f>
        <v/>
      </c>
      <c r="O201" s="4" t="n">
        <v>68</v>
      </c>
      <c r="P201" s="4" t="n">
        <f aca="false">IF(A201=A200,P200+1-M200,0)</f>
        <v>11</v>
      </c>
    </row>
    <row r="202" customFormat="false" ht="15" hidden="false" customHeight="false" outlineLevel="0" collapsed="false">
      <c r="A202" s="27" t="s">
        <v>3909</v>
      </c>
      <c r="B202" s="27" t="s">
        <v>50</v>
      </c>
      <c r="C202" s="27" t="s">
        <v>67</v>
      </c>
      <c r="D202" s="27" t="s">
        <v>3910</v>
      </c>
      <c r="E202" s="4" t="n">
        <v>14</v>
      </c>
      <c r="F202" s="4" t="s">
        <v>213</v>
      </c>
      <c r="G202" s="4" t="s">
        <v>284</v>
      </c>
      <c r="H202" s="4" t="n">
        <v>1950</v>
      </c>
      <c r="I202" s="4" t="s">
        <v>200</v>
      </c>
      <c r="J202" s="25" t="str">
        <f aca="false">IF(M202=1,"✓","")</f>
        <v>✓</v>
      </c>
      <c r="K202" s="4" t="str">
        <f aca="false">IF(AND(M202=0,P202=0),"▶ NEXT","")</f>
        <v/>
      </c>
      <c r="L202" s="4" t="n">
        <f aca="false">INDEX('Master List'!$F$2:$F$2594,O202)</f>
        <v>5</v>
      </c>
      <c r="M202" s="4" t="n">
        <f aca="false">INDEX('Master List'!$G$2:$G$2594,O202)</f>
        <v>1</v>
      </c>
      <c r="N202" s="4" t="str">
        <f aca="false">IF(K202="","",A202)</f>
        <v/>
      </c>
      <c r="O202" s="4" t="n">
        <v>2203</v>
      </c>
      <c r="P202" s="4" t="n">
        <f aca="false">IF(A202=A201,P201+1-M201,0)</f>
        <v>12</v>
      </c>
    </row>
    <row r="203" customFormat="false" ht="15" hidden="false" customHeight="false" outlineLevel="0" collapsed="false">
      <c r="A203" s="27" t="s">
        <v>3909</v>
      </c>
      <c r="B203" s="27" t="s">
        <v>50</v>
      </c>
      <c r="C203" s="27" t="s">
        <v>67</v>
      </c>
      <c r="D203" s="27" t="s">
        <v>3910</v>
      </c>
      <c r="E203" s="4" t="n">
        <v>15</v>
      </c>
      <c r="F203" s="4" t="s">
        <v>1327</v>
      </c>
      <c r="G203" s="4" t="s">
        <v>1309</v>
      </c>
      <c r="H203" s="4" t="n">
        <v>1939</v>
      </c>
      <c r="I203" s="4" t="s">
        <v>168</v>
      </c>
      <c r="J203" s="25" t="str">
        <f aca="false">IF(M203=1,"✓","")</f>
        <v>✓</v>
      </c>
      <c r="K203" s="4" t="str">
        <f aca="false">IF(AND(M203=0,P203=0),"▶ NEXT","")</f>
        <v/>
      </c>
      <c r="L203" s="4" t="n">
        <f aca="false">INDEX('Master List'!$F$2:$F$2594,O203)</f>
        <v>2</v>
      </c>
      <c r="M203" s="4" t="n">
        <f aca="false">INDEX('Master List'!$G$2:$G$2594,O203)</f>
        <v>1</v>
      </c>
      <c r="N203" s="4" t="str">
        <f aca="false">IF(K203="","",A203)</f>
        <v/>
      </c>
      <c r="O203" s="4" t="n">
        <v>1684</v>
      </c>
      <c r="P203" s="4" t="n">
        <f aca="false">IF(A203=A202,P202+1-M202,0)</f>
        <v>12</v>
      </c>
    </row>
    <row r="204" customFormat="false" ht="15" hidden="false" customHeight="false" outlineLevel="0" collapsed="false">
      <c r="A204" s="27" t="s">
        <v>3909</v>
      </c>
      <c r="B204" s="27" t="s">
        <v>50</v>
      </c>
      <c r="C204" s="27" t="s">
        <v>67</v>
      </c>
      <c r="D204" s="27" t="s">
        <v>3910</v>
      </c>
      <c r="E204" s="4" t="n">
        <v>16</v>
      </c>
      <c r="F204" s="4" t="s">
        <v>1327</v>
      </c>
      <c r="G204" s="4" t="s">
        <v>347</v>
      </c>
      <c r="H204" s="4" t="n">
        <v>1940</v>
      </c>
      <c r="I204" s="4" t="s">
        <v>348</v>
      </c>
      <c r="J204" s="25" t="str">
        <f aca="false">IF(M204=1,"✓","")</f>
        <v/>
      </c>
      <c r="K204" s="4" t="str">
        <f aca="false">IF(AND(M204=0,P204=0),"▶ NEXT","")</f>
        <v/>
      </c>
      <c r="L204" s="4" t="n">
        <f aca="false">INDEX('Master List'!$F$2:$F$2594,O204)</f>
        <v>4</v>
      </c>
      <c r="M204" s="4" t="n">
        <f aca="false">INDEX('Master List'!$G$2:$G$2594,O204)</f>
        <v>0</v>
      </c>
      <c r="N204" s="4" t="str">
        <f aca="false">IF(K204="","",A204)</f>
        <v/>
      </c>
      <c r="O204" s="4" t="n">
        <v>2055</v>
      </c>
      <c r="P204" s="4" t="n">
        <f aca="false">IF(A204=A203,P203+1-M203,0)</f>
        <v>12</v>
      </c>
    </row>
    <row r="205" customFormat="false" ht="15" hidden="false" customHeight="false" outlineLevel="0" collapsed="false">
      <c r="A205" s="27" t="s">
        <v>3911</v>
      </c>
      <c r="B205" s="27" t="s">
        <v>50</v>
      </c>
      <c r="C205" s="27" t="s">
        <v>67</v>
      </c>
      <c r="D205" s="27" t="s">
        <v>3912</v>
      </c>
      <c r="E205" s="4" t="n">
        <v>1</v>
      </c>
      <c r="F205" s="4" t="s">
        <v>144</v>
      </c>
      <c r="G205" s="7" t="s">
        <v>374</v>
      </c>
      <c r="H205" s="4" t="n">
        <v>1954</v>
      </c>
      <c r="I205" s="4" t="s">
        <v>375</v>
      </c>
      <c r="J205" s="25" t="str">
        <f aca="false">IF(M205=1,"✓","")</f>
        <v/>
      </c>
      <c r="K205" s="4" t="str">
        <f aca="false">IF(AND(M205=0,P205=0),"▶ NEXT","")</f>
        <v>▶ NEXT</v>
      </c>
      <c r="L205" s="4" t="n">
        <f aca="false">INDEX('Master List'!$F$2:$F$2594,O205)</f>
        <v>4</v>
      </c>
      <c r="M205" s="4" t="n">
        <f aca="false">INDEX('Master List'!$G$2:$G$2594,O205)</f>
        <v>0</v>
      </c>
      <c r="N205" s="4" t="str">
        <f aca="false">IF(K205="","",A205)</f>
        <v>N019</v>
      </c>
      <c r="O205" s="4" t="n">
        <v>1667</v>
      </c>
      <c r="P205" s="4" t="n">
        <f aca="false">IF(A205=A204,P204+1-M204,0)</f>
        <v>0</v>
      </c>
    </row>
    <row r="206" customFormat="false" ht="15" hidden="false" customHeight="false" outlineLevel="0" collapsed="false">
      <c r="A206" s="27" t="s">
        <v>3911</v>
      </c>
      <c r="B206" s="27" t="s">
        <v>50</v>
      </c>
      <c r="C206" s="27" t="s">
        <v>67</v>
      </c>
      <c r="D206" s="27" t="s">
        <v>3912</v>
      </c>
      <c r="E206" s="4" t="n">
        <v>2</v>
      </c>
      <c r="F206" s="4" t="s">
        <v>144</v>
      </c>
      <c r="G206" s="7" t="s">
        <v>190</v>
      </c>
      <c r="H206" s="4" t="n">
        <v>1954</v>
      </c>
      <c r="I206" s="4" t="s">
        <v>162</v>
      </c>
      <c r="J206" s="25" t="str">
        <f aca="false">IF(M206=1,"✓","")</f>
        <v>✓</v>
      </c>
      <c r="K206" s="4" t="str">
        <f aca="false">IF(AND(M206=0,P206=0),"▶ NEXT","")</f>
        <v/>
      </c>
      <c r="L206" s="4" t="n">
        <f aca="false">INDEX('Master List'!$F$2:$F$2594,O206)</f>
        <v>6</v>
      </c>
      <c r="M206" s="4" t="n">
        <f aca="false">INDEX('Master List'!$G$2:$G$2594,O206)</f>
        <v>1</v>
      </c>
      <c r="N206" s="4" t="str">
        <f aca="false">IF(K206="","",A206)</f>
        <v/>
      </c>
      <c r="O206" s="4" t="n">
        <v>1866</v>
      </c>
      <c r="P206" s="4" t="n">
        <f aca="false">IF(A206=A205,P205+1-M205,0)</f>
        <v>1</v>
      </c>
    </row>
    <row r="207" customFormat="false" ht="15" hidden="false" customHeight="false" outlineLevel="0" collapsed="false">
      <c r="A207" s="27" t="s">
        <v>3911</v>
      </c>
      <c r="B207" s="27" t="s">
        <v>50</v>
      </c>
      <c r="C207" s="27" t="s">
        <v>67</v>
      </c>
      <c r="D207" s="27" t="s">
        <v>3912</v>
      </c>
      <c r="E207" s="4" t="n">
        <v>3</v>
      </c>
      <c r="F207" s="4" t="s">
        <v>213</v>
      </c>
      <c r="G207" s="4" t="s">
        <v>573</v>
      </c>
      <c r="H207" s="4" t="n">
        <v>1951</v>
      </c>
      <c r="I207" s="4" t="s">
        <v>375</v>
      </c>
      <c r="J207" s="25" t="str">
        <f aca="false">IF(M207=1,"✓","")</f>
        <v/>
      </c>
      <c r="K207" s="4" t="str">
        <f aca="false">IF(AND(M207=0,P207=0),"▶ NEXT","")</f>
        <v/>
      </c>
      <c r="L207" s="4" t="n">
        <f aca="false">INDEX('Master List'!$F$2:$F$2594,O207)</f>
        <v>3</v>
      </c>
      <c r="M207" s="4" t="n">
        <f aca="false">INDEX('Master List'!$G$2:$G$2594,O207)</f>
        <v>0</v>
      </c>
      <c r="N207" s="4" t="str">
        <f aca="false">IF(K207="","",A207)</f>
        <v/>
      </c>
      <c r="O207" s="4" t="n">
        <v>2184</v>
      </c>
      <c r="P207" s="4" t="n">
        <f aca="false">IF(A207=A206,P206+1-M206,0)</f>
        <v>1</v>
      </c>
    </row>
    <row r="208" customFormat="false" ht="15" hidden="false" customHeight="false" outlineLevel="0" collapsed="false">
      <c r="A208" s="27" t="s">
        <v>3911</v>
      </c>
      <c r="B208" s="27" t="s">
        <v>50</v>
      </c>
      <c r="C208" s="27" t="s">
        <v>67</v>
      </c>
      <c r="D208" s="27" t="s">
        <v>3912</v>
      </c>
      <c r="E208" s="4" t="n">
        <v>4</v>
      </c>
      <c r="F208" s="4" t="s">
        <v>213</v>
      </c>
      <c r="G208" s="4" t="s">
        <v>352</v>
      </c>
      <c r="H208" s="4" t="n">
        <v>1952</v>
      </c>
      <c r="I208" s="4" t="s">
        <v>353</v>
      </c>
      <c r="J208" s="25" t="str">
        <f aca="false">IF(M208=1,"✓","")</f>
        <v/>
      </c>
      <c r="K208" s="4" t="str">
        <f aca="false">IF(AND(M208=0,P208=0),"▶ NEXT","")</f>
        <v/>
      </c>
      <c r="L208" s="4" t="n">
        <f aca="false">INDEX('Master List'!$F$2:$F$2594,O208)</f>
        <v>4</v>
      </c>
      <c r="M208" s="4" t="n">
        <f aca="false">INDEX('Master List'!$G$2:$G$2594,O208)</f>
        <v>0</v>
      </c>
      <c r="N208" s="4" t="str">
        <f aca="false">IF(K208="","",A208)</f>
        <v/>
      </c>
      <c r="O208" s="4" t="n">
        <v>1035</v>
      </c>
      <c r="P208" s="4" t="n">
        <f aca="false">IF(A208=A207,P207+1-M207,0)</f>
        <v>2</v>
      </c>
    </row>
    <row r="209" customFormat="false" ht="15" hidden="false" customHeight="false" outlineLevel="0" collapsed="false">
      <c r="A209" s="27" t="s">
        <v>3911</v>
      </c>
      <c r="B209" s="27" t="s">
        <v>50</v>
      </c>
      <c r="C209" s="27" t="s">
        <v>67</v>
      </c>
      <c r="D209" s="27" t="s">
        <v>3912</v>
      </c>
      <c r="E209" s="4" t="n">
        <v>5</v>
      </c>
      <c r="F209" s="4" t="s">
        <v>213</v>
      </c>
      <c r="G209" s="4" t="s">
        <v>269</v>
      </c>
      <c r="H209" s="4" t="n">
        <v>1955</v>
      </c>
      <c r="I209" s="4" t="s">
        <v>270</v>
      </c>
      <c r="J209" s="25" t="str">
        <f aca="false">IF(M209=1,"✓","")</f>
        <v/>
      </c>
      <c r="K209" s="4" t="str">
        <f aca="false">IF(AND(M209=0,P209=0),"▶ NEXT","")</f>
        <v/>
      </c>
      <c r="L209" s="4" t="n">
        <f aca="false">INDEX('Master List'!$F$2:$F$2594,O209)</f>
        <v>5</v>
      </c>
      <c r="M209" s="4" t="n">
        <f aca="false">INDEX('Master List'!$G$2:$G$2594,O209)</f>
        <v>0</v>
      </c>
      <c r="N209" s="4" t="str">
        <f aca="false">IF(K209="","",A209)</f>
        <v/>
      </c>
      <c r="O209" s="4" t="n">
        <v>1868</v>
      </c>
      <c r="P209" s="4" t="n">
        <f aca="false">IF(A209=A208,P208+1-M208,0)</f>
        <v>3</v>
      </c>
    </row>
    <row r="210" customFormat="false" ht="15" hidden="false" customHeight="false" outlineLevel="0" collapsed="false">
      <c r="A210" s="27" t="s">
        <v>3911</v>
      </c>
      <c r="B210" s="27" t="s">
        <v>50</v>
      </c>
      <c r="C210" s="27" t="s">
        <v>67</v>
      </c>
      <c r="D210" s="27" t="s">
        <v>3912</v>
      </c>
      <c r="E210" s="4" t="n">
        <v>6</v>
      </c>
      <c r="F210" s="4" t="s">
        <v>213</v>
      </c>
      <c r="G210" s="4" t="s">
        <v>221</v>
      </c>
      <c r="H210" s="4" t="n">
        <v>1956</v>
      </c>
      <c r="I210" s="4" t="s">
        <v>205</v>
      </c>
      <c r="J210" s="25" t="str">
        <f aca="false">IF(M210=1,"✓","")</f>
        <v>✓</v>
      </c>
      <c r="K210" s="4" t="str">
        <f aca="false">IF(AND(M210=0,P210=0),"▶ NEXT","")</f>
        <v/>
      </c>
      <c r="L210" s="4" t="n">
        <f aca="false">INDEX('Master List'!$F$2:$F$2594,O210)</f>
        <v>6</v>
      </c>
      <c r="M210" s="4" t="n">
        <f aca="false">INDEX('Master List'!$G$2:$G$2594,O210)</f>
        <v>1</v>
      </c>
      <c r="N210" s="4" t="str">
        <f aca="false">IF(K210="","",A210)</f>
        <v/>
      </c>
      <c r="O210" s="4" t="n">
        <v>1998</v>
      </c>
      <c r="P210" s="4" t="n">
        <f aca="false">IF(A210=A209,P209+1-M209,0)</f>
        <v>4</v>
      </c>
    </row>
    <row r="211" customFormat="false" ht="15" hidden="false" customHeight="false" outlineLevel="0" collapsed="false">
      <c r="A211" s="27" t="s">
        <v>3911</v>
      </c>
      <c r="B211" s="27" t="s">
        <v>50</v>
      </c>
      <c r="C211" s="27" t="s">
        <v>67</v>
      </c>
      <c r="D211" s="27" t="s">
        <v>3912</v>
      </c>
      <c r="E211" s="4" t="n">
        <v>7</v>
      </c>
      <c r="F211" s="4" t="s">
        <v>213</v>
      </c>
      <c r="G211" s="4" t="s">
        <v>408</v>
      </c>
      <c r="H211" s="4" t="n">
        <v>1956</v>
      </c>
      <c r="I211" s="4" t="s">
        <v>409</v>
      </c>
      <c r="J211" s="25" t="str">
        <f aca="false">IF(M211=1,"✓","")</f>
        <v/>
      </c>
      <c r="K211" s="4" t="str">
        <f aca="false">IF(AND(M211=0,P211=0),"▶ NEXT","")</f>
        <v/>
      </c>
      <c r="L211" s="4" t="n">
        <f aca="false">INDEX('Master List'!$F$2:$F$2594,O211)</f>
        <v>3</v>
      </c>
      <c r="M211" s="4" t="n">
        <f aca="false">INDEX('Master List'!$G$2:$G$2594,O211)</f>
        <v>0</v>
      </c>
      <c r="N211" s="4" t="str">
        <f aca="false">IF(K211="","",A211)</f>
        <v/>
      </c>
      <c r="O211" s="4" t="n">
        <v>1160</v>
      </c>
      <c r="P211" s="4" t="n">
        <f aca="false">IF(A211=A210,P210+1-M210,0)</f>
        <v>4</v>
      </c>
    </row>
    <row r="212" customFormat="false" ht="15" hidden="false" customHeight="false" outlineLevel="0" collapsed="false">
      <c r="A212" s="27" t="s">
        <v>3911</v>
      </c>
      <c r="B212" s="27" t="s">
        <v>50</v>
      </c>
      <c r="C212" s="27" t="s">
        <v>67</v>
      </c>
      <c r="D212" s="27" t="s">
        <v>3912</v>
      </c>
      <c r="E212" s="4" t="n">
        <v>8</v>
      </c>
      <c r="F212" s="4" t="s">
        <v>213</v>
      </c>
      <c r="G212" s="4" t="s">
        <v>410</v>
      </c>
      <c r="H212" s="4" t="n">
        <v>1957</v>
      </c>
      <c r="I212" s="4" t="s">
        <v>411</v>
      </c>
      <c r="J212" s="25" t="str">
        <f aca="false">IF(M212=1,"✓","")</f>
        <v/>
      </c>
      <c r="K212" s="4" t="str">
        <f aca="false">IF(AND(M212=0,P212=0),"▶ NEXT","")</f>
        <v/>
      </c>
      <c r="L212" s="4" t="n">
        <f aca="false">INDEX('Master List'!$F$2:$F$2594,O212)</f>
        <v>4</v>
      </c>
      <c r="M212" s="4" t="n">
        <f aca="false">INDEX('Master List'!$G$2:$G$2594,O212)</f>
        <v>0</v>
      </c>
      <c r="N212" s="4" t="str">
        <f aca="false">IF(K212="","",A212)</f>
        <v/>
      </c>
      <c r="O212" s="4" t="n">
        <v>2215</v>
      </c>
      <c r="P212" s="4" t="n">
        <f aca="false">IF(A212=A211,P211+1-M211,0)</f>
        <v>5</v>
      </c>
    </row>
    <row r="213" customFormat="false" ht="15" hidden="false" customHeight="false" outlineLevel="0" collapsed="false">
      <c r="A213" s="27" t="s">
        <v>3911</v>
      </c>
      <c r="B213" s="27" t="s">
        <v>50</v>
      </c>
      <c r="C213" s="27" t="s">
        <v>67</v>
      </c>
      <c r="D213" s="27" t="s">
        <v>3912</v>
      </c>
      <c r="E213" s="4" t="n">
        <v>9</v>
      </c>
      <c r="F213" s="4" t="s">
        <v>213</v>
      </c>
      <c r="G213" s="4" t="s">
        <v>307</v>
      </c>
      <c r="H213" s="4" t="n">
        <v>1957</v>
      </c>
      <c r="I213" s="4" t="s">
        <v>187</v>
      </c>
      <c r="J213" s="25" t="str">
        <f aca="false">IF(M213=1,"✓","")</f>
        <v>✓</v>
      </c>
      <c r="K213" s="4" t="str">
        <f aca="false">IF(AND(M213=0,P213=0),"▶ NEXT","")</f>
        <v/>
      </c>
      <c r="L213" s="4" t="n">
        <f aca="false">INDEX('Master List'!$F$2:$F$2594,O213)</f>
        <v>5</v>
      </c>
      <c r="M213" s="4" t="n">
        <f aca="false">INDEX('Master List'!$G$2:$G$2594,O213)</f>
        <v>1</v>
      </c>
      <c r="N213" s="4" t="str">
        <f aca="false">IF(K213="","",A213)</f>
        <v/>
      </c>
      <c r="O213" s="4" t="n">
        <v>1735</v>
      </c>
      <c r="P213" s="4" t="n">
        <f aca="false">IF(A213=A212,P212+1-M212,0)</f>
        <v>6</v>
      </c>
    </row>
    <row r="214" customFormat="false" ht="15" hidden="false" customHeight="false" outlineLevel="0" collapsed="false">
      <c r="A214" s="27" t="s">
        <v>3911</v>
      </c>
      <c r="B214" s="27" t="s">
        <v>50</v>
      </c>
      <c r="C214" s="27" t="s">
        <v>67</v>
      </c>
      <c r="D214" s="27" t="s">
        <v>3912</v>
      </c>
      <c r="E214" s="4" t="n">
        <v>10</v>
      </c>
      <c r="F214" s="4" t="s">
        <v>213</v>
      </c>
      <c r="G214" s="4" t="s">
        <v>161</v>
      </c>
      <c r="H214" s="4" t="n">
        <v>1958</v>
      </c>
      <c r="I214" s="4" t="s">
        <v>162</v>
      </c>
      <c r="J214" s="25" t="str">
        <f aca="false">IF(M214=1,"✓","")</f>
        <v/>
      </c>
      <c r="K214" s="4" t="str">
        <f aca="false">IF(AND(M214=0,P214=0),"▶ NEXT","")</f>
        <v/>
      </c>
      <c r="L214" s="4" t="n">
        <f aca="false">INDEX('Master List'!$F$2:$F$2594,O214)</f>
        <v>7</v>
      </c>
      <c r="M214" s="4" t="n">
        <f aca="false">INDEX('Master List'!$G$2:$G$2594,O214)</f>
        <v>0</v>
      </c>
      <c r="N214" s="4" t="str">
        <f aca="false">IF(K214="","",A214)</f>
        <v/>
      </c>
      <c r="O214" s="4" t="n">
        <v>2429</v>
      </c>
      <c r="P214" s="4" t="n">
        <f aca="false">IF(A214=A213,P213+1-M213,0)</f>
        <v>6</v>
      </c>
    </row>
    <row r="215" customFormat="false" ht="15" hidden="false" customHeight="false" outlineLevel="0" collapsed="false">
      <c r="A215" s="27" t="s">
        <v>3911</v>
      </c>
      <c r="B215" s="27" t="s">
        <v>50</v>
      </c>
      <c r="C215" s="27" t="s">
        <v>67</v>
      </c>
      <c r="D215" s="27" t="s">
        <v>3912</v>
      </c>
      <c r="E215" s="4" t="n">
        <v>11</v>
      </c>
      <c r="F215" s="4" t="s">
        <v>213</v>
      </c>
      <c r="G215" s="4" t="s">
        <v>413</v>
      </c>
      <c r="H215" s="4" t="n">
        <v>1959</v>
      </c>
      <c r="I215" s="4" t="s">
        <v>200</v>
      </c>
      <c r="J215" s="25" t="str">
        <f aca="false">IF(M215=1,"✓","")</f>
        <v/>
      </c>
      <c r="K215" s="4" t="str">
        <f aca="false">IF(AND(M215=0,P215=0),"▶ NEXT","")</f>
        <v/>
      </c>
      <c r="L215" s="4" t="n">
        <f aca="false">INDEX('Master List'!$F$2:$F$2594,O215)</f>
        <v>4</v>
      </c>
      <c r="M215" s="4" t="n">
        <f aca="false">INDEX('Master List'!$G$2:$G$2594,O215)</f>
        <v>0</v>
      </c>
      <c r="N215" s="4" t="str">
        <f aca="false">IF(K215="","",A215)</f>
        <v/>
      </c>
      <c r="O215" s="4" t="n">
        <v>2107</v>
      </c>
      <c r="P215" s="4" t="n">
        <f aca="false">IF(A215=A214,P214+1-M214,0)</f>
        <v>7</v>
      </c>
    </row>
    <row r="216" customFormat="false" ht="15" hidden="false" customHeight="false" outlineLevel="0" collapsed="false">
      <c r="A216" s="27" t="s">
        <v>3911</v>
      </c>
      <c r="B216" s="27" t="s">
        <v>50</v>
      </c>
      <c r="C216" s="27" t="s">
        <v>67</v>
      </c>
      <c r="D216" s="27" t="s">
        <v>3912</v>
      </c>
      <c r="E216" s="4" t="n">
        <v>12</v>
      </c>
      <c r="F216" s="4" t="s">
        <v>213</v>
      </c>
      <c r="G216" s="4" t="s">
        <v>950</v>
      </c>
      <c r="H216" s="4" t="n">
        <v>1959</v>
      </c>
      <c r="I216" s="4" t="s">
        <v>951</v>
      </c>
      <c r="J216" s="25" t="str">
        <f aca="false">IF(M216=1,"✓","")</f>
        <v/>
      </c>
      <c r="K216" s="4" t="str">
        <f aca="false">IF(AND(M216=0,P216=0),"▶ NEXT","")</f>
        <v/>
      </c>
      <c r="L216" s="4" t="n">
        <f aca="false">INDEX('Master List'!$F$2:$F$2594,O216)</f>
        <v>2</v>
      </c>
      <c r="M216" s="4" t="n">
        <f aca="false">INDEX('Master List'!$G$2:$G$2594,O216)</f>
        <v>0</v>
      </c>
      <c r="N216" s="4" t="str">
        <f aca="false">IF(K216="","",A216)</f>
        <v/>
      </c>
      <c r="O216" s="4" t="n">
        <v>99</v>
      </c>
      <c r="P216" s="4" t="n">
        <f aca="false">IF(A216=A215,P215+1-M215,0)</f>
        <v>8</v>
      </c>
    </row>
    <row r="217" customFormat="false" ht="15" hidden="false" customHeight="false" outlineLevel="0" collapsed="false">
      <c r="A217" s="27" t="s">
        <v>3911</v>
      </c>
      <c r="B217" s="27" t="s">
        <v>50</v>
      </c>
      <c r="C217" s="27" t="s">
        <v>67</v>
      </c>
      <c r="D217" s="27" t="s">
        <v>3912</v>
      </c>
      <c r="E217" s="4" t="n">
        <v>13</v>
      </c>
      <c r="F217" s="4" t="s">
        <v>1327</v>
      </c>
      <c r="G217" s="4" t="s">
        <v>701</v>
      </c>
      <c r="H217" s="4" t="n">
        <v>1956</v>
      </c>
      <c r="I217" s="4" t="s">
        <v>270</v>
      </c>
      <c r="J217" s="25" t="str">
        <f aca="false">IF(M217=1,"✓","")</f>
        <v/>
      </c>
      <c r="K217" s="4" t="str">
        <f aca="false">IF(AND(M217=0,P217=0),"▶ NEXT","")</f>
        <v/>
      </c>
      <c r="L217" s="4" t="n">
        <f aca="false">INDEX('Master List'!$F$2:$F$2594,O217)</f>
        <v>3</v>
      </c>
      <c r="M217" s="4" t="n">
        <f aca="false">INDEX('Master List'!$G$2:$G$2594,O217)</f>
        <v>0</v>
      </c>
      <c r="N217" s="4" t="str">
        <f aca="false">IF(K217="","",A217)</f>
        <v/>
      </c>
      <c r="O217" s="4" t="n">
        <v>252</v>
      </c>
      <c r="P217" s="4" t="n">
        <f aca="false">IF(A217=A216,P216+1-M216,0)</f>
        <v>9</v>
      </c>
    </row>
    <row r="218" customFormat="false" ht="15" hidden="false" customHeight="false" outlineLevel="0" collapsed="false">
      <c r="A218" s="27" t="s">
        <v>3911</v>
      </c>
      <c r="B218" s="27" t="s">
        <v>50</v>
      </c>
      <c r="C218" s="27" t="s">
        <v>67</v>
      </c>
      <c r="D218" s="27" t="s">
        <v>3912</v>
      </c>
      <c r="E218" s="4" t="n">
        <v>14</v>
      </c>
      <c r="F218" s="4" t="s">
        <v>1327</v>
      </c>
      <c r="G218" s="4" t="s">
        <v>1321</v>
      </c>
      <c r="H218" s="4" t="n">
        <v>1957</v>
      </c>
      <c r="I218" s="4" t="s">
        <v>375</v>
      </c>
      <c r="J218" s="25" t="str">
        <f aca="false">IF(M218=1,"✓","")</f>
        <v/>
      </c>
      <c r="K218" s="4" t="str">
        <f aca="false">IF(AND(M218=0,P218=0),"▶ NEXT","")</f>
        <v/>
      </c>
      <c r="L218" s="4" t="n">
        <f aca="false">INDEX('Master List'!$F$2:$F$2594,O218)</f>
        <v>2</v>
      </c>
      <c r="M218" s="4" t="n">
        <f aca="false">INDEX('Master List'!$G$2:$G$2594,O218)</f>
        <v>0</v>
      </c>
      <c r="N218" s="4" t="str">
        <f aca="false">IF(K218="","",A218)</f>
        <v/>
      </c>
      <c r="O218" s="4" t="n">
        <v>770</v>
      </c>
      <c r="P218" s="4" t="n">
        <f aca="false">IF(A218=A217,P217+1-M217,0)</f>
        <v>10</v>
      </c>
    </row>
    <row r="219" customFormat="false" ht="15" hidden="false" customHeight="false" outlineLevel="0" collapsed="false">
      <c r="A219" s="27" t="s">
        <v>3913</v>
      </c>
      <c r="B219" s="27" t="s">
        <v>50</v>
      </c>
      <c r="C219" s="27" t="s">
        <v>68</v>
      </c>
      <c r="D219" s="27" t="s">
        <v>3914</v>
      </c>
      <c r="E219" s="4" t="n">
        <v>1</v>
      </c>
      <c r="F219" s="4" t="s">
        <v>144</v>
      </c>
      <c r="G219" s="7" t="s">
        <v>159</v>
      </c>
      <c r="H219" s="4" t="n">
        <v>1948</v>
      </c>
      <c r="I219" s="4" t="s">
        <v>160</v>
      </c>
      <c r="J219" s="25" t="str">
        <f aca="false">IF(M219=1,"✓","")</f>
        <v/>
      </c>
      <c r="K219" s="4" t="str">
        <f aca="false">IF(AND(M219=0,P219=0),"▶ NEXT","")</f>
        <v>▶ NEXT</v>
      </c>
      <c r="L219" s="4" t="n">
        <f aca="false">INDEX('Master List'!$F$2:$F$2594,O219)</f>
        <v>7</v>
      </c>
      <c r="M219" s="4" t="n">
        <f aca="false">INDEX('Master List'!$G$2:$G$2594,O219)</f>
        <v>0</v>
      </c>
      <c r="N219" s="4" t="str">
        <f aca="false">IF(K219="","",A219)</f>
        <v>N020</v>
      </c>
      <c r="O219" s="4" t="n">
        <v>238</v>
      </c>
      <c r="P219" s="4" t="n">
        <f aca="false">IF(A219=A218,P218+1-M218,0)</f>
        <v>0</v>
      </c>
    </row>
    <row r="220" customFormat="false" ht="15" hidden="false" customHeight="false" outlineLevel="0" collapsed="false">
      <c r="A220" s="27" t="s">
        <v>3913</v>
      </c>
      <c r="B220" s="27" t="s">
        <v>50</v>
      </c>
      <c r="C220" s="27" t="s">
        <v>68</v>
      </c>
      <c r="D220" s="27" t="s">
        <v>3914</v>
      </c>
      <c r="E220" s="4" t="n">
        <v>2</v>
      </c>
      <c r="F220" s="4" t="s">
        <v>144</v>
      </c>
      <c r="G220" s="7" t="s">
        <v>220</v>
      </c>
      <c r="H220" s="4" t="n">
        <v>1950</v>
      </c>
      <c r="I220" s="4" t="s">
        <v>156</v>
      </c>
      <c r="J220" s="25" t="str">
        <f aca="false">IF(M220=1,"✓","")</f>
        <v>✓</v>
      </c>
      <c r="K220" s="4" t="str">
        <f aca="false">IF(AND(M220=0,P220=0),"▶ NEXT","")</f>
        <v/>
      </c>
      <c r="L220" s="4" t="n">
        <f aca="false">INDEX('Master List'!$F$2:$F$2594,O220)</f>
        <v>6</v>
      </c>
      <c r="M220" s="4" t="n">
        <f aca="false">INDEX('Master List'!$G$2:$G$2594,O220)</f>
        <v>1</v>
      </c>
      <c r="N220" s="4" t="str">
        <f aca="false">IF(K220="","",A220)</f>
        <v/>
      </c>
      <c r="O220" s="4" t="n">
        <v>1860</v>
      </c>
      <c r="P220" s="4" t="n">
        <f aca="false">IF(A220=A219,P219+1-M219,0)</f>
        <v>1</v>
      </c>
    </row>
    <row r="221" customFormat="false" ht="15" hidden="false" customHeight="false" outlineLevel="0" collapsed="false">
      <c r="A221" s="27" t="s">
        <v>3913</v>
      </c>
      <c r="B221" s="27" t="s">
        <v>50</v>
      </c>
      <c r="C221" s="27" t="s">
        <v>68</v>
      </c>
      <c r="D221" s="27" t="s">
        <v>3914</v>
      </c>
      <c r="E221" s="4" t="n">
        <v>3</v>
      </c>
      <c r="F221" s="4" t="s">
        <v>213</v>
      </c>
      <c r="G221" s="4" t="s">
        <v>349</v>
      </c>
      <c r="H221" s="4" t="n">
        <v>1945</v>
      </c>
      <c r="I221" s="4" t="s">
        <v>268</v>
      </c>
      <c r="J221" s="25" t="str">
        <f aca="false">IF(M221=1,"✓","")</f>
        <v/>
      </c>
      <c r="K221" s="4" t="str">
        <f aca="false">IF(AND(M221=0,P221=0),"▶ NEXT","")</f>
        <v/>
      </c>
      <c r="L221" s="4" t="n">
        <f aca="false">INDEX('Master List'!$F$2:$F$2594,O221)</f>
        <v>4</v>
      </c>
      <c r="M221" s="4" t="n">
        <f aca="false">INDEX('Master List'!$G$2:$G$2594,O221)</f>
        <v>0</v>
      </c>
      <c r="N221" s="4" t="str">
        <f aca="false">IF(K221="","",A221)</f>
        <v/>
      </c>
      <c r="O221" s="4" t="n">
        <v>1928</v>
      </c>
      <c r="P221" s="4" t="n">
        <f aca="false">IF(A221=A220,P220+1-M220,0)</f>
        <v>1</v>
      </c>
    </row>
    <row r="222" customFormat="false" ht="15" hidden="false" customHeight="false" outlineLevel="0" collapsed="false">
      <c r="A222" s="27" t="s">
        <v>3913</v>
      </c>
      <c r="B222" s="27" t="s">
        <v>50</v>
      </c>
      <c r="C222" s="27" t="s">
        <v>68</v>
      </c>
      <c r="D222" s="27" t="s">
        <v>3914</v>
      </c>
      <c r="E222" s="4" t="n">
        <v>4</v>
      </c>
      <c r="F222" s="4" t="s">
        <v>213</v>
      </c>
      <c r="G222" s="4" t="s">
        <v>145</v>
      </c>
      <c r="H222" s="4" t="n">
        <v>1953</v>
      </c>
      <c r="I222" s="4" t="s">
        <v>146</v>
      </c>
      <c r="J222" s="25" t="str">
        <f aca="false">IF(M222=1,"✓","")</f>
        <v/>
      </c>
      <c r="K222" s="4" t="str">
        <f aca="false">IF(AND(M222=0,P222=0),"▶ NEXT","")</f>
        <v/>
      </c>
      <c r="L222" s="4" t="n">
        <f aca="false">INDEX('Master List'!$F$2:$F$2594,O222)</f>
        <v>10</v>
      </c>
      <c r="M222" s="4" t="n">
        <f aca="false">INDEX('Master List'!$G$2:$G$2594,O222)</f>
        <v>0</v>
      </c>
      <c r="N222" s="4" t="str">
        <f aca="false">IF(K222="","",A222)</f>
        <v/>
      </c>
      <c r="O222" s="4" t="n">
        <v>2328</v>
      </c>
      <c r="P222" s="4" t="n">
        <f aca="false">IF(A222=A221,P221+1-M221,0)</f>
        <v>2</v>
      </c>
    </row>
    <row r="223" customFormat="false" ht="15" hidden="false" customHeight="false" outlineLevel="0" collapsed="false">
      <c r="A223" s="27" t="s">
        <v>3913</v>
      </c>
      <c r="B223" s="27" t="s">
        <v>50</v>
      </c>
      <c r="C223" s="27" t="s">
        <v>68</v>
      </c>
      <c r="D223" s="27" t="s">
        <v>3914</v>
      </c>
      <c r="E223" s="4" t="n">
        <v>5</v>
      </c>
      <c r="F223" s="4" t="s">
        <v>213</v>
      </c>
      <c r="G223" s="4" t="s">
        <v>285</v>
      </c>
      <c r="H223" s="4" t="n">
        <v>1953</v>
      </c>
      <c r="I223" s="4" t="s">
        <v>286</v>
      </c>
      <c r="J223" s="25" t="str">
        <f aca="false">IF(M223=1,"✓","")</f>
        <v/>
      </c>
      <c r="K223" s="4" t="str">
        <f aca="false">IF(AND(M223=0,P223=0),"▶ NEXT","")</f>
        <v/>
      </c>
      <c r="L223" s="4" t="n">
        <f aca="false">INDEX('Master List'!$F$2:$F$2594,O223)</f>
        <v>5</v>
      </c>
      <c r="M223" s="4" t="n">
        <f aca="false">INDEX('Master List'!$G$2:$G$2594,O223)</f>
        <v>0</v>
      </c>
      <c r="N223" s="4" t="str">
        <f aca="false">IF(K223="","",A223)</f>
        <v/>
      </c>
      <c r="O223" s="4" t="n">
        <v>2393</v>
      </c>
      <c r="P223" s="4" t="n">
        <f aca="false">IF(A223=A222,P222+1-M222,0)</f>
        <v>3</v>
      </c>
    </row>
    <row r="224" customFormat="false" ht="15" hidden="false" customHeight="false" outlineLevel="0" collapsed="false">
      <c r="A224" s="27" t="s">
        <v>3913</v>
      </c>
      <c r="B224" s="27" t="s">
        <v>50</v>
      </c>
      <c r="C224" s="27" t="s">
        <v>68</v>
      </c>
      <c r="D224" s="27" t="s">
        <v>3914</v>
      </c>
      <c r="E224" s="4" t="n">
        <v>6</v>
      </c>
      <c r="F224" s="4" t="s">
        <v>213</v>
      </c>
      <c r="G224" s="4" t="s">
        <v>155</v>
      </c>
      <c r="H224" s="4" t="n">
        <v>1954</v>
      </c>
      <c r="I224" s="4" t="s">
        <v>156</v>
      </c>
      <c r="J224" s="25" t="str">
        <f aca="false">IF(M224=1,"✓","")</f>
        <v/>
      </c>
      <c r="K224" s="4" t="str">
        <f aca="false">IF(AND(M224=0,P224=0),"▶ NEXT","")</f>
        <v/>
      </c>
      <c r="L224" s="4" t="n">
        <f aca="false">INDEX('Master List'!$F$2:$F$2594,O224)</f>
        <v>8</v>
      </c>
      <c r="M224" s="4" t="n">
        <f aca="false">INDEX('Master List'!$G$2:$G$2594,O224)</f>
        <v>0</v>
      </c>
      <c r="N224" s="4" t="str">
        <f aca="false">IF(K224="","",A224)</f>
        <v/>
      </c>
      <c r="O224" s="4" t="n">
        <v>2021</v>
      </c>
      <c r="P224" s="4" t="n">
        <f aca="false">IF(A224=A223,P223+1-M223,0)</f>
        <v>4</v>
      </c>
    </row>
    <row r="225" customFormat="false" ht="15" hidden="false" customHeight="false" outlineLevel="0" collapsed="false">
      <c r="A225" s="27" t="s">
        <v>3913</v>
      </c>
      <c r="B225" s="27" t="s">
        <v>50</v>
      </c>
      <c r="C225" s="27" t="s">
        <v>68</v>
      </c>
      <c r="D225" s="27" t="s">
        <v>3914</v>
      </c>
      <c r="E225" s="4" t="n">
        <v>7</v>
      </c>
      <c r="F225" s="4" t="s">
        <v>213</v>
      </c>
      <c r="G225" s="4" t="s">
        <v>252</v>
      </c>
      <c r="H225" s="4" t="n">
        <v>1955</v>
      </c>
      <c r="I225" s="4" t="s">
        <v>253</v>
      </c>
      <c r="J225" s="25" t="str">
        <f aca="false">IF(M225=1,"✓","")</f>
        <v/>
      </c>
      <c r="K225" s="4" t="str">
        <f aca="false">IF(AND(M225=0,P225=0),"▶ NEXT","")</f>
        <v/>
      </c>
      <c r="L225" s="4" t="n">
        <f aca="false">INDEX('Master List'!$F$2:$F$2594,O225)</f>
        <v>5</v>
      </c>
      <c r="M225" s="4" t="n">
        <f aca="false">INDEX('Master List'!$G$2:$G$2594,O225)</f>
        <v>0</v>
      </c>
      <c r="N225" s="4" t="str">
        <f aca="false">IF(K225="","",A225)</f>
        <v/>
      </c>
      <c r="O225" s="4" t="n">
        <v>1734</v>
      </c>
      <c r="P225" s="4" t="n">
        <f aca="false">IF(A225=A224,P224+1-M224,0)</f>
        <v>5</v>
      </c>
    </row>
    <row r="226" customFormat="false" ht="15" hidden="false" customHeight="false" outlineLevel="0" collapsed="false">
      <c r="A226" s="27" t="s">
        <v>3913</v>
      </c>
      <c r="B226" s="27" t="s">
        <v>50</v>
      </c>
      <c r="C226" s="27" t="s">
        <v>68</v>
      </c>
      <c r="D226" s="27" t="s">
        <v>3914</v>
      </c>
      <c r="E226" s="4" t="n">
        <v>8</v>
      </c>
      <c r="F226" s="4" t="s">
        <v>213</v>
      </c>
      <c r="G226" s="4" t="s">
        <v>198</v>
      </c>
      <c r="H226" s="4" t="n">
        <v>1957</v>
      </c>
      <c r="I226" s="4" t="s">
        <v>170</v>
      </c>
      <c r="J226" s="25" t="str">
        <f aca="false">IF(M226=1,"✓","")</f>
        <v>✓</v>
      </c>
      <c r="K226" s="4" t="str">
        <f aca="false">IF(AND(M226=0,P226=0),"▶ NEXT","")</f>
        <v/>
      </c>
      <c r="L226" s="4" t="n">
        <f aca="false">INDEX('Master List'!$F$2:$F$2594,O226)</f>
        <v>6</v>
      </c>
      <c r="M226" s="4" t="n">
        <f aca="false">INDEX('Master List'!$G$2:$G$2594,O226)</f>
        <v>1</v>
      </c>
      <c r="N226" s="4" t="str">
        <f aca="false">IF(K226="","",A226)</f>
        <v/>
      </c>
      <c r="O226" s="4" t="n">
        <v>2025</v>
      </c>
      <c r="P226" s="4" t="n">
        <f aca="false">IF(A226=A225,P225+1-M225,0)</f>
        <v>6</v>
      </c>
    </row>
    <row r="227" customFormat="false" ht="15" hidden="false" customHeight="false" outlineLevel="0" collapsed="false">
      <c r="A227" s="27" t="s">
        <v>3913</v>
      </c>
      <c r="B227" s="27" t="s">
        <v>50</v>
      </c>
      <c r="C227" s="27" t="s">
        <v>68</v>
      </c>
      <c r="D227" s="27" t="s">
        <v>3914</v>
      </c>
      <c r="E227" s="4" t="n">
        <v>9</v>
      </c>
      <c r="F227" s="4" t="s">
        <v>213</v>
      </c>
      <c r="G227" s="4" t="s">
        <v>169</v>
      </c>
      <c r="H227" s="4" t="n">
        <v>1957</v>
      </c>
      <c r="I227" s="4" t="s">
        <v>170</v>
      </c>
      <c r="J227" s="25" t="str">
        <f aca="false">IF(M227=1,"✓","")</f>
        <v/>
      </c>
      <c r="K227" s="4" t="str">
        <f aca="false">IF(AND(M227=0,P227=0),"▶ NEXT","")</f>
        <v/>
      </c>
      <c r="L227" s="4" t="n">
        <f aca="false">INDEX('Master List'!$F$2:$F$2594,O227)</f>
        <v>8</v>
      </c>
      <c r="M227" s="4" t="n">
        <f aca="false">INDEX('Master List'!$G$2:$G$2594,O227)</f>
        <v>0</v>
      </c>
      <c r="N227" s="4" t="str">
        <f aca="false">IF(K227="","",A227)</f>
        <v/>
      </c>
      <c r="O227" s="4" t="n">
        <v>2516</v>
      </c>
      <c r="P227" s="4" t="n">
        <f aca="false">IF(A227=A226,P226+1-M226,0)</f>
        <v>6</v>
      </c>
    </row>
    <row r="228" customFormat="false" ht="15" hidden="false" customHeight="false" outlineLevel="0" collapsed="false">
      <c r="A228" s="27" t="s">
        <v>3913</v>
      </c>
      <c r="B228" s="27" t="s">
        <v>50</v>
      </c>
      <c r="C228" s="27" t="s">
        <v>68</v>
      </c>
      <c r="D228" s="27" t="s">
        <v>3914</v>
      </c>
      <c r="E228" s="4" t="n">
        <v>10</v>
      </c>
      <c r="F228" s="4" t="s">
        <v>213</v>
      </c>
      <c r="G228" s="4" t="s">
        <v>946</v>
      </c>
      <c r="H228" s="4" t="n">
        <v>1957</v>
      </c>
      <c r="I228" s="4" t="s">
        <v>179</v>
      </c>
      <c r="J228" s="25" t="str">
        <f aca="false">IF(M228=1,"✓","")</f>
        <v/>
      </c>
      <c r="K228" s="4" t="str">
        <f aca="false">IF(AND(M228=0,P228=0),"▶ NEXT","")</f>
        <v/>
      </c>
      <c r="L228" s="4" t="n">
        <f aca="false">INDEX('Master List'!$F$2:$F$2594,O228)</f>
        <v>2</v>
      </c>
      <c r="M228" s="4" t="n">
        <f aca="false">INDEX('Master List'!$G$2:$G$2594,O228)</f>
        <v>0</v>
      </c>
      <c r="N228" s="4" t="str">
        <f aca="false">IF(K228="","",A228)</f>
        <v/>
      </c>
      <c r="O228" s="4" t="n">
        <v>1614</v>
      </c>
      <c r="P228" s="4" t="n">
        <f aca="false">IF(A228=A227,P227+1-M227,0)</f>
        <v>7</v>
      </c>
    </row>
    <row r="229" customFormat="false" ht="15" hidden="false" customHeight="false" outlineLevel="0" collapsed="false">
      <c r="A229" s="27" t="s">
        <v>3913</v>
      </c>
      <c r="B229" s="27" t="s">
        <v>50</v>
      </c>
      <c r="C229" s="27" t="s">
        <v>68</v>
      </c>
      <c r="D229" s="27" t="s">
        <v>3914</v>
      </c>
      <c r="E229" s="4" t="n">
        <v>11</v>
      </c>
      <c r="F229" s="4" t="s">
        <v>213</v>
      </c>
      <c r="G229" s="4" t="s">
        <v>752</v>
      </c>
      <c r="H229" s="4" t="n">
        <v>1958</v>
      </c>
      <c r="I229" s="4" t="s">
        <v>753</v>
      </c>
      <c r="J229" s="25" t="str">
        <f aca="false">IF(M229=1,"✓","")</f>
        <v/>
      </c>
      <c r="K229" s="4" t="str">
        <f aca="false">IF(AND(M229=0,P229=0),"▶ NEXT","")</f>
        <v/>
      </c>
      <c r="L229" s="4" t="n">
        <f aca="false">INDEX('Master List'!$F$2:$F$2594,O229)</f>
        <v>2</v>
      </c>
      <c r="M229" s="4" t="n">
        <f aca="false">INDEX('Master List'!$G$2:$G$2594,O229)</f>
        <v>0</v>
      </c>
      <c r="N229" s="4" t="str">
        <f aca="false">IF(K229="","",A229)</f>
        <v/>
      </c>
      <c r="O229" s="4" t="n">
        <v>136</v>
      </c>
      <c r="P229" s="4" t="n">
        <f aca="false">IF(A229=A228,P228+1-M228,0)</f>
        <v>8</v>
      </c>
    </row>
    <row r="230" customFormat="false" ht="15" hidden="false" customHeight="false" outlineLevel="0" collapsed="false">
      <c r="A230" s="27" t="s">
        <v>3913</v>
      </c>
      <c r="B230" s="27" t="s">
        <v>50</v>
      </c>
      <c r="C230" s="27" t="s">
        <v>68</v>
      </c>
      <c r="D230" s="27" t="s">
        <v>3914</v>
      </c>
      <c r="E230" s="4" t="n">
        <v>12</v>
      </c>
      <c r="F230" s="4" t="s">
        <v>213</v>
      </c>
      <c r="G230" s="4" t="s">
        <v>750</v>
      </c>
      <c r="H230" s="4" t="n">
        <v>1957</v>
      </c>
      <c r="I230" s="4" t="s">
        <v>751</v>
      </c>
      <c r="J230" s="25" t="str">
        <f aca="false">IF(M230=1,"✓","")</f>
        <v/>
      </c>
      <c r="K230" s="4" t="str">
        <f aca="false">IF(AND(M230=0,P230=0),"▶ NEXT","")</f>
        <v/>
      </c>
      <c r="L230" s="4" t="n">
        <f aca="false">INDEX('Master List'!$F$2:$F$2594,O230)</f>
        <v>2</v>
      </c>
      <c r="M230" s="4" t="n">
        <f aca="false">INDEX('Master List'!$G$2:$G$2594,O230)</f>
        <v>0</v>
      </c>
      <c r="N230" s="4" t="str">
        <f aca="false">IF(K230="","",A230)</f>
        <v/>
      </c>
      <c r="O230" s="4" t="n">
        <v>525</v>
      </c>
      <c r="P230" s="4" t="n">
        <f aca="false">IF(A230=A229,P229+1-M229,0)</f>
        <v>9</v>
      </c>
    </row>
    <row r="231" customFormat="false" ht="15" hidden="false" customHeight="false" outlineLevel="0" collapsed="false">
      <c r="A231" s="27" t="s">
        <v>3913</v>
      </c>
      <c r="B231" s="27" t="s">
        <v>50</v>
      </c>
      <c r="C231" s="27" t="s">
        <v>68</v>
      </c>
      <c r="D231" s="27" t="s">
        <v>3914</v>
      </c>
      <c r="E231" s="4" t="n">
        <v>13</v>
      </c>
      <c r="F231" s="4" t="s">
        <v>1327</v>
      </c>
      <c r="G231" s="4" t="s">
        <v>457</v>
      </c>
      <c r="H231" s="4" t="n">
        <v>1959</v>
      </c>
      <c r="I231" s="4" t="s">
        <v>215</v>
      </c>
      <c r="J231" s="25" t="str">
        <f aca="false">IF(M231=1,"✓","")</f>
        <v>✓</v>
      </c>
      <c r="K231" s="4" t="str">
        <f aca="false">IF(AND(M231=0,P231=0),"▶ NEXT","")</f>
        <v/>
      </c>
      <c r="L231" s="4" t="n">
        <f aca="false">INDEX('Master List'!$F$2:$F$2594,O231)</f>
        <v>3</v>
      </c>
      <c r="M231" s="4" t="n">
        <f aca="false">INDEX('Master List'!$G$2:$G$2594,O231)</f>
        <v>1</v>
      </c>
      <c r="N231" s="4" t="str">
        <f aca="false">IF(K231="","",A231)</f>
        <v/>
      </c>
      <c r="O231" s="4" t="n">
        <v>1762</v>
      </c>
      <c r="P231" s="4" t="n">
        <f aca="false">IF(A231=A230,P230+1-M230,0)</f>
        <v>10</v>
      </c>
    </row>
    <row r="232" customFormat="false" ht="15" hidden="false" customHeight="false" outlineLevel="0" collapsed="false">
      <c r="A232" s="27" t="s">
        <v>3913</v>
      </c>
      <c r="B232" s="27" t="s">
        <v>50</v>
      </c>
      <c r="C232" s="27" t="s">
        <v>68</v>
      </c>
      <c r="D232" s="27" t="s">
        <v>3914</v>
      </c>
      <c r="E232" s="4" t="n">
        <v>14</v>
      </c>
      <c r="F232" s="4" t="s">
        <v>1327</v>
      </c>
      <c r="G232" s="4" t="s">
        <v>267</v>
      </c>
      <c r="H232" s="4" t="n">
        <v>1954</v>
      </c>
      <c r="I232" s="4" t="s">
        <v>268</v>
      </c>
      <c r="J232" s="25" t="str">
        <f aca="false">IF(M232=1,"✓","")</f>
        <v/>
      </c>
      <c r="K232" s="4" t="str">
        <f aca="false">IF(AND(M232=0,P232=0),"▶ NEXT","")</f>
        <v/>
      </c>
      <c r="L232" s="4" t="n">
        <f aca="false">INDEX('Master List'!$F$2:$F$2594,O232)</f>
        <v>6</v>
      </c>
      <c r="M232" s="4" t="n">
        <f aca="false">INDEX('Master List'!$G$2:$G$2594,O232)</f>
        <v>0</v>
      </c>
      <c r="N232" s="4" t="str">
        <f aca="false">IF(K232="","",A232)</f>
        <v/>
      </c>
      <c r="O232" s="4" t="n">
        <v>1219</v>
      </c>
      <c r="P232" s="4" t="n">
        <f aca="false">IF(A232=A231,P231+1-M231,0)</f>
        <v>10</v>
      </c>
    </row>
    <row r="233" customFormat="false" ht="15" hidden="false" customHeight="false" outlineLevel="0" collapsed="false">
      <c r="A233" s="27" t="s">
        <v>3915</v>
      </c>
      <c r="B233" s="27" t="s">
        <v>50</v>
      </c>
      <c r="C233" s="27" t="s">
        <v>69</v>
      </c>
      <c r="D233" s="27" t="s">
        <v>3916</v>
      </c>
      <c r="E233" s="4" t="n">
        <v>1</v>
      </c>
      <c r="F233" s="4" t="s">
        <v>144</v>
      </c>
      <c r="G233" s="7" t="s">
        <v>149</v>
      </c>
      <c r="H233" s="4" t="n">
        <v>1959</v>
      </c>
      <c r="I233" s="4" t="s">
        <v>150</v>
      </c>
      <c r="J233" s="25" t="str">
        <f aca="false">IF(M233=1,"✓","")</f>
        <v/>
      </c>
      <c r="K233" s="4" t="str">
        <f aca="false">IF(AND(M233=0,P233=0),"▶ NEXT","")</f>
        <v>▶ NEXT</v>
      </c>
      <c r="L233" s="4" t="n">
        <f aca="false">INDEX('Master List'!$F$2:$F$2594,O233)</f>
        <v>8</v>
      </c>
      <c r="M233" s="4" t="n">
        <f aca="false">INDEX('Master List'!$G$2:$G$2594,O233)</f>
        <v>0</v>
      </c>
      <c r="N233" s="4" t="str">
        <f aca="false">IF(K233="","",A233)</f>
        <v>N021</v>
      </c>
      <c r="O233" s="4" t="n">
        <v>25</v>
      </c>
      <c r="P233" s="4" t="n">
        <f aca="false">IF(A233=A232,P232+1-M232,0)</f>
        <v>0</v>
      </c>
    </row>
    <row r="234" customFormat="false" ht="15" hidden="false" customHeight="false" outlineLevel="0" collapsed="false">
      <c r="A234" s="27" t="s">
        <v>3915</v>
      </c>
      <c r="B234" s="27" t="s">
        <v>50</v>
      </c>
      <c r="C234" s="27" t="s">
        <v>69</v>
      </c>
      <c r="D234" s="27" t="s">
        <v>3916</v>
      </c>
      <c r="E234" s="4" t="n">
        <v>2</v>
      </c>
      <c r="F234" s="4" t="s">
        <v>144</v>
      </c>
      <c r="G234" s="7" t="s">
        <v>151</v>
      </c>
      <c r="H234" s="4" t="n">
        <v>1960</v>
      </c>
      <c r="I234" s="4" t="s">
        <v>152</v>
      </c>
      <c r="J234" s="25" t="str">
        <f aca="false">IF(M234=1,"✓","")</f>
        <v/>
      </c>
      <c r="K234" s="4" t="str">
        <f aca="false">IF(AND(M234=0,P234=0),"▶ NEXT","")</f>
        <v/>
      </c>
      <c r="L234" s="4" t="n">
        <f aca="false">INDEX('Master List'!$F$2:$F$2594,O234)</f>
        <v>9</v>
      </c>
      <c r="M234" s="4" t="n">
        <f aca="false">INDEX('Master List'!$G$2:$G$2594,O234)</f>
        <v>0</v>
      </c>
      <c r="N234" s="4" t="str">
        <f aca="false">IF(K234="","",A234)</f>
        <v/>
      </c>
      <c r="O234" s="4" t="n">
        <v>342</v>
      </c>
      <c r="P234" s="4" t="n">
        <f aca="false">IF(A234=A233,P233+1-M233,0)</f>
        <v>1</v>
      </c>
    </row>
    <row r="235" customFormat="false" ht="15" hidden="false" customHeight="false" outlineLevel="0" collapsed="false">
      <c r="A235" s="27" t="s">
        <v>3915</v>
      </c>
      <c r="B235" s="27" t="s">
        <v>50</v>
      </c>
      <c r="C235" s="27" t="s">
        <v>69</v>
      </c>
      <c r="D235" s="27" t="s">
        <v>3916</v>
      </c>
      <c r="E235" s="4" t="n">
        <v>3</v>
      </c>
      <c r="F235" s="4" t="s">
        <v>213</v>
      </c>
      <c r="G235" s="4" t="s">
        <v>271</v>
      </c>
      <c r="H235" s="4" t="n">
        <v>1959</v>
      </c>
      <c r="I235" s="4" t="s">
        <v>272</v>
      </c>
      <c r="J235" s="25" t="str">
        <f aca="false">IF(M235=1,"✓","")</f>
        <v/>
      </c>
      <c r="K235" s="4" t="str">
        <f aca="false">IF(AND(M235=0,P235=0),"▶ NEXT","")</f>
        <v/>
      </c>
      <c r="L235" s="4" t="n">
        <f aca="false">INDEX('Master List'!$F$2:$F$2594,O235)</f>
        <v>6</v>
      </c>
      <c r="M235" s="4" t="n">
        <f aca="false">INDEX('Master List'!$G$2:$G$2594,O235)</f>
        <v>0</v>
      </c>
      <c r="N235" s="4" t="str">
        <f aca="false">IF(K235="","",A235)</f>
        <v/>
      </c>
      <c r="O235" s="4" t="n">
        <v>1040</v>
      </c>
      <c r="P235" s="4" t="n">
        <f aca="false">IF(A235=A234,P234+1-M234,0)</f>
        <v>2</v>
      </c>
    </row>
    <row r="236" customFormat="false" ht="15" hidden="false" customHeight="false" outlineLevel="0" collapsed="false">
      <c r="A236" s="27" t="s">
        <v>3915</v>
      </c>
      <c r="B236" s="27" t="s">
        <v>50</v>
      </c>
      <c r="C236" s="27" t="s">
        <v>69</v>
      </c>
      <c r="D236" s="27" t="s">
        <v>3916</v>
      </c>
      <c r="E236" s="4" t="n">
        <v>4</v>
      </c>
      <c r="F236" s="4" t="s">
        <v>213</v>
      </c>
      <c r="G236" s="4" t="s">
        <v>216</v>
      </c>
      <c r="H236" s="4" t="n">
        <v>1960</v>
      </c>
      <c r="I236" s="4" t="s">
        <v>217</v>
      </c>
      <c r="J236" s="25" t="str">
        <f aca="false">IF(M236=1,"✓","")</f>
        <v/>
      </c>
      <c r="K236" s="4" t="str">
        <f aca="false">IF(AND(M236=0,P236=0),"▶ NEXT","")</f>
        <v/>
      </c>
      <c r="L236" s="4" t="n">
        <f aca="false">INDEX('Master List'!$F$2:$F$2594,O236)</f>
        <v>6</v>
      </c>
      <c r="M236" s="4" t="n">
        <f aca="false">INDEX('Master List'!$G$2:$G$2594,O236)</f>
        <v>0</v>
      </c>
      <c r="N236" s="4" t="str">
        <f aca="false">IF(K236="","",A236)</f>
        <v/>
      </c>
      <c r="O236" s="4" t="n">
        <v>154</v>
      </c>
      <c r="P236" s="4" t="n">
        <f aca="false">IF(A236=A235,P235+1-M235,0)</f>
        <v>3</v>
      </c>
    </row>
    <row r="237" customFormat="false" ht="15" hidden="false" customHeight="false" outlineLevel="0" collapsed="false">
      <c r="A237" s="27" t="s">
        <v>3915</v>
      </c>
      <c r="B237" s="27" t="s">
        <v>50</v>
      </c>
      <c r="C237" s="27" t="s">
        <v>69</v>
      </c>
      <c r="D237" s="27" t="s">
        <v>3916</v>
      </c>
      <c r="E237" s="4" t="n">
        <v>5</v>
      </c>
      <c r="F237" s="4" t="s">
        <v>213</v>
      </c>
      <c r="G237" s="4" t="s">
        <v>287</v>
      </c>
      <c r="H237" s="4" t="n">
        <v>1960</v>
      </c>
      <c r="I237" s="4" t="s">
        <v>179</v>
      </c>
      <c r="J237" s="25" t="str">
        <f aca="false">IF(M237=1,"✓","")</f>
        <v>✓</v>
      </c>
      <c r="K237" s="4" t="str">
        <f aca="false">IF(AND(M237=0,P237=0),"▶ NEXT","")</f>
        <v/>
      </c>
      <c r="L237" s="4" t="n">
        <f aca="false">INDEX('Master List'!$F$2:$F$2594,O237)</f>
        <v>5</v>
      </c>
      <c r="M237" s="4" t="n">
        <f aca="false">INDEX('Master List'!$G$2:$G$2594,O237)</f>
        <v>1</v>
      </c>
      <c r="N237" s="4" t="str">
        <f aca="false">IF(K237="","",A237)</f>
        <v/>
      </c>
      <c r="O237" s="4" t="n">
        <v>655</v>
      </c>
      <c r="P237" s="4" t="n">
        <f aca="false">IF(A237=A236,P236+1-M236,0)</f>
        <v>4</v>
      </c>
    </row>
    <row r="238" customFormat="false" ht="15" hidden="false" customHeight="false" outlineLevel="0" collapsed="false">
      <c r="A238" s="27" t="s">
        <v>3915</v>
      </c>
      <c r="B238" s="27" t="s">
        <v>50</v>
      </c>
      <c r="C238" s="27" t="s">
        <v>69</v>
      </c>
      <c r="D238" s="27" t="s">
        <v>3916</v>
      </c>
      <c r="E238" s="4" t="n">
        <v>6</v>
      </c>
      <c r="F238" s="4" t="s">
        <v>213</v>
      </c>
      <c r="G238" s="4" t="s">
        <v>178</v>
      </c>
      <c r="H238" s="4" t="n">
        <v>1963</v>
      </c>
      <c r="I238" s="4" t="s">
        <v>179</v>
      </c>
      <c r="J238" s="25" t="str">
        <f aca="false">IF(M238=1,"✓","")</f>
        <v/>
      </c>
      <c r="K238" s="4" t="str">
        <f aca="false">IF(AND(M238=0,P238=0),"▶ NEXT","")</f>
        <v/>
      </c>
      <c r="L238" s="4" t="n">
        <f aca="false">INDEX('Master List'!$F$2:$F$2594,O238)</f>
        <v>7</v>
      </c>
      <c r="M238" s="4" t="n">
        <f aca="false">INDEX('Master List'!$G$2:$G$2594,O238)</f>
        <v>0</v>
      </c>
      <c r="N238" s="4" t="str">
        <f aca="false">IF(K238="","",A238)</f>
        <v/>
      </c>
      <c r="O238" s="4" t="n">
        <v>32</v>
      </c>
      <c r="P238" s="4" t="n">
        <f aca="false">IF(A238=A237,P237+1-M237,0)</f>
        <v>4</v>
      </c>
    </row>
    <row r="239" customFormat="false" ht="15" hidden="false" customHeight="false" outlineLevel="0" collapsed="false">
      <c r="A239" s="27" t="s">
        <v>3915</v>
      </c>
      <c r="B239" s="27" t="s">
        <v>50</v>
      </c>
      <c r="C239" s="27" t="s">
        <v>69</v>
      </c>
      <c r="D239" s="27" t="s">
        <v>3916</v>
      </c>
      <c r="E239" s="4" t="n">
        <v>7</v>
      </c>
      <c r="F239" s="4" t="s">
        <v>213</v>
      </c>
      <c r="G239" s="4" t="s">
        <v>157</v>
      </c>
      <c r="H239" s="4" t="n">
        <v>1962</v>
      </c>
      <c r="I239" s="4" t="s">
        <v>158</v>
      </c>
      <c r="J239" s="25" t="str">
        <f aca="false">IF(M239=1,"✓","")</f>
        <v/>
      </c>
      <c r="K239" s="4" t="str">
        <f aca="false">IF(AND(M239=0,P239=0),"▶ NEXT","")</f>
        <v/>
      </c>
      <c r="L239" s="4" t="n">
        <f aca="false">INDEX('Master List'!$F$2:$F$2594,O239)</f>
        <v>7</v>
      </c>
      <c r="M239" s="4" t="n">
        <f aca="false">INDEX('Master List'!$G$2:$G$2594,O239)</f>
        <v>0</v>
      </c>
      <c r="N239" s="4" t="str">
        <f aca="false">IF(K239="","",A239)</f>
        <v/>
      </c>
      <c r="O239" s="4" t="n">
        <v>475</v>
      </c>
      <c r="P239" s="4" t="n">
        <f aca="false">IF(A239=A238,P238+1-M238,0)</f>
        <v>5</v>
      </c>
    </row>
    <row r="240" customFormat="false" ht="15" hidden="false" customHeight="false" outlineLevel="0" collapsed="false">
      <c r="A240" s="27" t="s">
        <v>3915</v>
      </c>
      <c r="B240" s="27" t="s">
        <v>50</v>
      </c>
      <c r="C240" s="27" t="s">
        <v>69</v>
      </c>
      <c r="D240" s="27" t="s">
        <v>3916</v>
      </c>
      <c r="E240" s="4" t="n">
        <v>8</v>
      </c>
      <c r="F240" s="4" t="s">
        <v>213</v>
      </c>
      <c r="G240" s="4" t="s">
        <v>583</v>
      </c>
      <c r="H240" s="4" t="n">
        <v>1962</v>
      </c>
      <c r="I240" s="4" t="s">
        <v>195</v>
      </c>
      <c r="J240" s="25" t="str">
        <f aca="false">IF(M240=1,"✓","")</f>
        <v/>
      </c>
      <c r="K240" s="4" t="str">
        <f aca="false">IF(AND(M240=0,P240=0),"▶ NEXT","")</f>
        <v/>
      </c>
      <c r="L240" s="4" t="n">
        <f aca="false">INDEX('Master List'!$F$2:$F$2594,O240)</f>
        <v>3</v>
      </c>
      <c r="M240" s="4" t="n">
        <f aca="false">INDEX('Master List'!$G$2:$G$2594,O240)</f>
        <v>0</v>
      </c>
      <c r="N240" s="4" t="str">
        <f aca="false">IF(K240="","",A240)</f>
        <v/>
      </c>
      <c r="O240" s="4" t="n">
        <v>1268</v>
      </c>
      <c r="P240" s="4" t="n">
        <f aca="false">IF(A240=A239,P239+1-M239,0)</f>
        <v>6</v>
      </c>
    </row>
    <row r="241" customFormat="false" ht="15" hidden="false" customHeight="false" outlineLevel="0" collapsed="false">
      <c r="A241" s="27" t="s">
        <v>3915</v>
      </c>
      <c r="B241" s="27" t="s">
        <v>50</v>
      </c>
      <c r="C241" s="27" t="s">
        <v>69</v>
      </c>
      <c r="D241" s="27" t="s">
        <v>3916</v>
      </c>
      <c r="E241" s="4" t="n">
        <v>9</v>
      </c>
      <c r="F241" s="4" t="s">
        <v>213</v>
      </c>
      <c r="G241" s="4" t="s">
        <v>191</v>
      </c>
      <c r="H241" s="4" t="n">
        <v>1966</v>
      </c>
      <c r="I241" s="4" t="s">
        <v>170</v>
      </c>
      <c r="J241" s="25" t="str">
        <f aca="false">IF(M241=1,"✓","")</f>
        <v/>
      </c>
      <c r="K241" s="4" t="str">
        <f aca="false">IF(AND(M241=0,P241=0),"▶ NEXT","")</f>
        <v/>
      </c>
      <c r="L241" s="4" t="n">
        <f aca="false">INDEX('Master List'!$F$2:$F$2594,O241)</f>
        <v>7</v>
      </c>
      <c r="M241" s="4" t="n">
        <f aca="false">INDEX('Master List'!$G$2:$G$2594,O241)</f>
        <v>0</v>
      </c>
      <c r="N241" s="4" t="str">
        <f aca="false">IF(K241="","",A241)</f>
        <v/>
      </c>
      <c r="O241" s="4" t="n">
        <v>1749</v>
      </c>
      <c r="P241" s="4" t="n">
        <f aca="false">IF(A241=A240,P240+1-M240,0)</f>
        <v>7</v>
      </c>
    </row>
    <row r="242" customFormat="false" ht="15" hidden="false" customHeight="false" outlineLevel="0" collapsed="false">
      <c r="A242" s="27" t="s">
        <v>3915</v>
      </c>
      <c r="B242" s="27" t="s">
        <v>50</v>
      </c>
      <c r="C242" s="27" t="s">
        <v>69</v>
      </c>
      <c r="D242" s="27" t="s">
        <v>3916</v>
      </c>
      <c r="E242" s="4" t="n">
        <v>10</v>
      </c>
      <c r="F242" s="4" t="s">
        <v>213</v>
      </c>
      <c r="G242" s="4" t="s">
        <v>227</v>
      </c>
      <c r="H242" s="4" t="n">
        <v>1966</v>
      </c>
      <c r="I242" s="4" t="s">
        <v>228</v>
      </c>
      <c r="J242" s="25" t="str">
        <f aca="false">IF(M242=1,"✓","")</f>
        <v/>
      </c>
      <c r="K242" s="4" t="str">
        <f aca="false">IF(AND(M242=0,P242=0),"▶ NEXT","")</f>
        <v/>
      </c>
      <c r="L242" s="4" t="n">
        <f aca="false">INDEX('Master List'!$F$2:$F$2594,O242)</f>
        <v>6</v>
      </c>
      <c r="M242" s="4" t="n">
        <f aca="false">INDEX('Master List'!$G$2:$G$2594,O242)</f>
        <v>0</v>
      </c>
      <c r="N242" s="4" t="str">
        <f aca="false">IF(K242="","",A242)</f>
        <v/>
      </c>
      <c r="O242" s="4" t="n">
        <v>554</v>
      </c>
      <c r="P242" s="4" t="n">
        <f aca="false">IF(A242=A241,P241+1-M241,0)</f>
        <v>8</v>
      </c>
    </row>
    <row r="243" customFormat="false" ht="15" hidden="false" customHeight="false" outlineLevel="0" collapsed="false">
      <c r="A243" s="27" t="s">
        <v>3915</v>
      </c>
      <c r="B243" s="27" t="s">
        <v>50</v>
      </c>
      <c r="C243" s="27" t="s">
        <v>69</v>
      </c>
      <c r="D243" s="27" t="s">
        <v>3916</v>
      </c>
      <c r="E243" s="4" t="n">
        <v>11</v>
      </c>
      <c r="F243" s="4" t="s">
        <v>213</v>
      </c>
      <c r="G243" s="4" t="s">
        <v>463</v>
      </c>
      <c r="H243" s="4" t="n">
        <v>1964</v>
      </c>
      <c r="I243" s="4" t="s">
        <v>464</v>
      </c>
      <c r="J243" s="25" t="str">
        <f aca="false">IF(M243=1,"✓","")</f>
        <v/>
      </c>
      <c r="K243" s="4" t="str">
        <f aca="false">IF(AND(M243=0,P243=0),"▶ NEXT","")</f>
        <v/>
      </c>
      <c r="L243" s="4" t="n">
        <f aca="false">INDEX('Master List'!$F$2:$F$2594,O243)</f>
        <v>3</v>
      </c>
      <c r="M243" s="4" t="n">
        <f aca="false">INDEX('Master List'!$G$2:$G$2594,O243)</f>
        <v>0</v>
      </c>
      <c r="N243" s="4" t="str">
        <f aca="false">IF(K243="","",A243)</f>
        <v/>
      </c>
      <c r="O243" s="4" t="n">
        <v>267</v>
      </c>
      <c r="P243" s="4" t="n">
        <f aca="false">IF(A243=A242,P242+1-M242,0)</f>
        <v>9</v>
      </c>
    </row>
    <row r="244" customFormat="false" ht="15" hidden="false" customHeight="false" outlineLevel="0" collapsed="false">
      <c r="A244" s="27" t="s">
        <v>3915</v>
      </c>
      <c r="B244" s="27" t="s">
        <v>50</v>
      </c>
      <c r="C244" s="27" t="s">
        <v>69</v>
      </c>
      <c r="D244" s="27" t="s">
        <v>3916</v>
      </c>
      <c r="E244" s="4" t="n">
        <v>12</v>
      </c>
      <c r="F244" s="4" t="s">
        <v>213</v>
      </c>
      <c r="G244" s="4" t="s">
        <v>994</v>
      </c>
      <c r="H244" s="4" t="n">
        <v>1968</v>
      </c>
      <c r="I244" s="4" t="s">
        <v>995</v>
      </c>
      <c r="J244" s="25" t="str">
        <f aca="false">IF(M244=1,"✓","")</f>
        <v/>
      </c>
      <c r="K244" s="4" t="str">
        <f aca="false">IF(AND(M244=0,P244=0),"▶ NEXT","")</f>
        <v/>
      </c>
      <c r="L244" s="4" t="n">
        <f aca="false">INDEX('Master List'!$F$2:$F$2594,O244)</f>
        <v>2</v>
      </c>
      <c r="M244" s="4" t="n">
        <f aca="false">INDEX('Master List'!$G$2:$G$2594,O244)</f>
        <v>0</v>
      </c>
      <c r="N244" s="4" t="str">
        <f aca="false">IF(K244="","",A244)</f>
        <v/>
      </c>
      <c r="O244" s="4" t="n">
        <v>590</v>
      </c>
      <c r="P244" s="4" t="n">
        <f aca="false">IF(A244=A243,P243+1-M243,0)</f>
        <v>10</v>
      </c>
    </row>
    <row r="245" customFormat="false" ht="15" hidden="false" customHeight="false" outlineLevel="0" collapsed="false">
      <c r="A245" s="27" t="s">
        <v>3915</v>
      </c>
      <c r="B245" s="27" t="s">
        <v>50</v>
      </c>
      <c r="C245" s="27" t="s">
        <v>69</v>
      </c>
      <c r="D245" s="27" t="s">
        <v>3916</v>
      </c>
      <c r="E245" s="4" t="n">
        <v>13</v>
      </c>
      <c r="F245" s="4" t="s">
        <v>213</v>
      </c>
      <c r="G245" s="4" t="s">
        <v>778</v>
      </c>
      <c r="H245" s="4" t="n">
        <v>1968</v>
      </c>
      <c r="I245" s="4" t="s">
        <v>779</v>
      </c>
      <c r="J245" s="25" t="str">
        <f aca="false">IF(M245=1,"✓","")</f>
        <v/>
      </c>
      <c r="K245" s="4" t="str">
        <f aca="false">IF(AND(M245=0,P245=0),"▶ NEXT","")</f>
        <v/>
      </c>
      <c r="L245" s="4" t="n">
        <f aca="false">INDEX('Master List'!$F$2:$F$2594,O245)</f>
        <v>2</v>
      </c>
      <c r="M245" s="4" t="n">
        <f aca="false">INDEX('Master List'!$G$2:$G$2594,O245)</f>
        <v>0</v>
      </c>
      <c r="N245" s="4" t="str">
        <f aca="false">IF(K245="","",A245)</f>
        <v/>
      </c>
      <c r="O245" s="4" t="n">
        <v>1479</v>
      </c>
      <c r="P245" s="4" t="n">
        <f aca="false">IF(A245=A244,P244+1-M244,0)</f>
        <v>11</v>
      </c>
    </row>
    <row r="246" customFormat="false" ht="15" hidden="false" customHeight="false" outlineLevel="0" collapsed="false">
      <c r="A246" s="27" t="s">
        <v>3915</v>
      </c>
      <c r="B246" s="27" t="s">
        <v>50</v>
      </c>
      <c r="C246" s="27" t="s">
        <v>69</v>
      </c>
      <c r="D246" s="27" t="s">
        <v>3916</v>
      </c>
      <c r="E246" s="4" t="n">
        <v>14</v>
      </c>
      <c r="F246" s="4" t="s">
        <v>213</v>
      </c>
      <c r="G246" s="4" t="s">
        <v>339</v>
      </c>
      <c r="H246" s="4" t="n">
        <v>1973</v>
      </c>
      <c r="I246" s="4" t="s">
        <v>340</v>
      </c>
      <c r="J246" s="25" t="str">
        <f aca="false">IF(M246=1,"✓","")</f>
        <v/>
      </c>
      <c r="K246" s="4" t="str">
        <f aca="false">IF(AND(M246=0,P246=0),"▶ NEXT","")</f>
        <v/>
      </c>
      <c r="L246" s="4" t="n">
        <f aca="false">INDEX('Master List'!$F$2:$F$2594,O246)</f>
        <v>4</v>
      </c>
      <c r="M246" s="4" t="n">
        <f aca="false">INDEX('Master List'!$G$2:$G$2594,O246)</f>
        <v>0</v>
      </c>
      <c r="N246" s="4" t="str">
        <f aca="false">IF(K246="","",A246)</f>
        <v/>
      </c>
      <c r="O246" s="4" t="n">
        <v>2349</v>
      </c>
      <c r="P246" s="4" t="n">
        <f aca="false">IF(A246=A245,P245+1-M245,0)</f>
        <v>12</v>
      </c>
    </row>
    <row r="247" customFormat="false" ht="15" hidden="false" customHeight="false" outlineLevel="0" collapsed="false">
      <c r="A247" s="27" t="s">
        <v>3915</v>
      </c>
      <c r="B247" s="27" t="s">
        <v>50</v>
      </c>
      <c r="C247" s="27" t="s">
        <v>69</v>
      </c>
      <c r="D247" s="27" t="s">
        <v>3916</v>
      </c>
      <c r="E247" s="4" t="n">
        <v>15</v>
      </c>
      <c r="F247" s="4" t="s">
        <v>1327</v>
      </c>
      <c r="G247" s="4" t="s">
        <v>1337</v>
      </c>
      <c r="H247" s="4" t="n">
        <v>1969</v>
      </c>
      <c r="I247" s="4" t="s">
        <v>1338</v>
      </c>
      <c r="J247" s="25" t="str">
        <f aca="false">IF(M247=1,"✓","")</f>
        <v/>
      </c>
      <c r="K247" s="4" t="str">
        <f aca="false">IF(AND(M247=0,P247=0),"▶ NEXT","")</f>
        <v/>
      </c>
      <c r="L247" s="4" t="n">
        <f aca="false">INDEX('Master List'!$F$2:$F$2594,O247)</f>
        <v>2</v>
      </c>
      <c r="M247" s="4" t="n">
        <f aca="false">INDEX('Master List'!$G$2:$G$2594,O247)</f>
        <v>0</v>
      </c>
      <c r="N247" s="4" t="str">
        <f aca="false">IF(K247="","",A247)</f>
        <v/>
      </c>
      <c r="O247" s="4" t="n">
        <v>524</v>
      </c>
      <c r="P247" s="4" t="n">
        <f aca="false">IF(A247=A246,P246+1-M246,0)</f>
        <v>13</v>
      </c>
    </row>
    <row r="248" customFormat="false" ht="15" hidden="false" customHeight="false" outlineLevel="0" collapsed="false">
      <c r="A248" s="27" t="s">
        <v>3915</v>
      </c>
      <c r="B248" s="27" t="s">
        <v>50</v>
      </c>
      <c r="C248" s="27" t="s">
        <v>69</v>
      </c>
      <c r="D248" s="27" t="s">
        <v>3916</v>
      </c>
      <c r="E248" s="4" t="n">
        <v>16</v>
      </c>
      <c r="F248" s="4" t="s">
        <v>1327</v>
      </c>
      <c r="G248" s="4" t="s">
        <v>703</v>
      </c>
      <c r="H248" s="4" t="n">
        <v>1966</v>
      </c>
      <c r="I248" s="4" t="s">
        <v>472</v>
      </c>
      <c r="J248" s="25" t="str">
        <f aca="false">IF(M248=1,"✓","")</f>
        <v/>
      </c>
      <c r="K248" s="4" t="str">
        <f aca="false">IF(AND(M248=0,P248=0),"▶ NEXT","")</f>
        <v/>
      </c>
      <c r="L248" s="4" t="n">
        <f aca="false">INDEX('Master List'!$F$2:$F$2594,O248)</f>
        <v>3</v>
      </c>
      <c r="M248" s="4" t="n">
        <f aca="false">INDEX('Master List'!$G$2:$G$2594,O248)</f>
        <v>0</v>
      </c>
      <c r="N248" s="4" t="str">
        <f aca="false">IF(K248="","",A248)</f>
        <v/>
      </c>
      <c r="O248" s="4" t="n">
        <v>2324</v>
      </c>
      <c r="P248" s="4" t="n">
        <f aca="false">IF(A248=A247,P247+1-M247,0)</f>
        <v>14</v>
      </c>
    </row>
    <row r="249" customFormat="false" ht="15" hidden="false" customHeight="false" outlineLevel="0" collapsed="false">
      <c r="A249" s="27" t="s">
        <v>3917</v>
      </c>
      <c r="B249" s="27" t="s">
        <v>50</v>
      </c>
      <c r="C249" s="27" t="s">
        <v>70</v>
      </c>
      <c r="D249" s="27" t="s">
        <v>3918</v>
      </c>
      <c r="E249" s="4" t="n">
        <v>1</v>
      </c>
      <c r="F249" s="4" t="s">
        <v>144</v>
      </c>
      <c r="G249" s="7" t="s">
        <v>300</v>
      </c>
      <c r="H249" s="4" t="n">
        <v>1967</v>
      </c>
      <c r="I249" s="4" t="s">
        <v>301</v>
      </c>
      <c r="J249" s="25" t="str">
        <f aca="false">IF(M249=1,"✓","")</f>
        <v>✓</v>
      </c>
      <c r="K249" s="4" t="str">
        <f aca="false">IF(AND(M249=0,P249=0),"▶ NEXT","")</f>
        <v/>
      </c>
      <c r="L249" s="4" t="n">
        <f aca="false">INDEX('Master List'!$F$2:$F$2594,O249)</f>
        <v>5</v>
      </c>
      <c r="M249" s="4" t="n">
        <f aca="false">INDEX('Master List'!$G$2:$G$2594,O249)</f>
        <v>1</v>
      </c>
      <c r="N249" s="4" t="str">
        <f aca="false">IF(K249="","",A249)</f>
        <v/>
      </c>
      <c r="O249" s="4" t="n">
        <v>314</v>
      </c>
      <c r="P249" s="4" t="n">
        <f aca="false">IF(A249=A248,P248+1-M248,0)</f>
        <v>0</v>
      </c>
    </row>
    <row r="250" customFormat="false" ht="15" hidden="false" customHeight="false" outlineLevel="0" collapsed="false">
      <c r="A250" s="27" t="s">
        <v>3917</v>
      </c>
      <c r="B250" s="27" t="s">
        <v>50</v>
      </c>
      <c r="C250" s="27" t="s">
        <v>70</v>
      </c>
      <c r="D250" s="27" t="s">
        <v>3918</v>
      </c>
      <c r="E250" s="4" t="n">
        <v>2</v>
      </c>
      <c r="F250" s="4" t="s">
        <v>144</v>
      </c>
      <c r="G250" s="7" t="s">
        <v>417</v>
      </c>
      <c r="H250" s="4" t="n">
        <v>1967</v>
      </c>
      <c r="I250" s="4" t="s">
        <v>357</v>
      </c>
      <c r="J250" s="25" t="str">
        <f aca="false">IF(M250=1,"✓","")</f>
        <v>✓</v>
      </c>
      <c r="K250" s="4" t="str">
        <f aca="false">IF(AND(M250=0,P250=0),"▶ NEXT","")</f>
        <v/>
      </c>
      <c r="L250" s="4" t="n">
        <f aca="false">INDEX('Master List'!$F$2:$F$2594,O250)</f>
        <v>3</v>
      </c>
      <c r="M250" s="4" t="n">
        <f aca="false">INDEX('Master List'!$G$2:$G$2594,O250)</f>
        <v>1</v>
      </c>
      <c r="N250" s="4" t="str">
        <f aca="false">IF(K250="","",A250)</f>
        <v/>
      </c>
      <c r="O250" s="4" t="n">
        <v>939</v>
      </c>
      <c r="P250" s="4" t="n">
        <f aca="false">IF(A250=A249,P249+1-M249,0)</f>
        <v>0</v>
      </c>
    </row>
    <row r="251" customFormat="false" ht="15" hidden="false" customHeight="false" outlineLevel="0" collapsed="false">
      <c r="A251" s="27" t="s">
        <v>3917</v>
      </c>
      <c r="B251" s="27" t="s">
        <v>50</v>
      </c>
      <c r="C251" s="27" t="s">
        <v>70</v>
      </c>
      <c r="D251" s="27" t="s">
        <v>3918</v>
      </c>
      <c r="E251" s="4" t="n">
        <v>3</v>
      </c>
      <c r="F251" s="4" t="s">
        <v>213</v>
      </c>
      <c r="G251" s="4" t="s">
        <v>186</v>
      </c>
      <c r="H251" s="4" t="n">
        <v>1968</v>
      </c>
      <c r="I251" s="4" t="s">
        <v>187</v>
      </c>
      <c r="J251" s="25" t="str">
        <f aca="false">IF(M251=1,"✓","")</f>
        <v>✓</v>
      </c>
      <c r="K251" s="4" t="str">
        <f aca="false">IF(AND(M251=0,P251=0),"▶ NEXT","")</f>
        <v/>
      </c>
      <c r="L251" s="4" t="n">
        <f aca="false">INDEX('Master List'!$F$2:$F$2594,O251)</f>
        <v>7</v>
      </c>
      <c r="M251" s="4" t="n">
        <f aca="false">INDEX('Master List'!$G$2:$G$2594,O251)</f>
        <v>1</v>
      </c>
      <c r="N251" s="4" t="str">
        <f aca="false">IF(K251="","",A251)</f>
        <v/>
      </c>
      <c r="O251" s="4" t="n">
        <v>12</v>
      </c>
      <c r="P251" s="4" t="n">
        <f aca="false">IF(A251=A250,P250+1-M250,0)</f>
        <v>0</v>
      </c>
    </row>
    <row r="252" customFormat="false" ht="15" hidden="false" customHeight="false" outlineLevel="0" collapsed="false">
      <c r="A252" s="27" t="s">
        <v>3917</v>
      </c>
      <c r="B252" s="27" t="s">
        <v>50</v>
      </c>
      <c r="C252" s="27" t="s">
        <v>70</v>
      </c>
      <c r="D252" s="27" t="s">
        <v>3918</v>
      </c>
      <c r="E252" s="4" t="n">
        <v>4</v>
      </c>
      <c r="F252" s="4" t="s">
        <v>213</v>
      </c>
      <c r="G252" s="4" t="s">
        <v>476</v>
      </c>
      <c r="H252" s="4" t="n">
        <v>1969</v>
      </c>
      <c r="I252" s="4" t="s">
        <v>477</v>
      </c>
      <c r="J252" s="25" t="str">
        <f aca="false">IF(M252=1,"✓","")</f>
        <v/>
      </c>
      <c r="K252" s="4" t="str">
        <f aca="false">IF(AND(M252=0,P252=0),"▶ NEXT","")</f>
        <v>▶ NEXT</v>
      </c>
      <c r="L252" s="4" t="n">
        <f aca="false">INDEX('Master List'!$F$2:$F$2594,O252)</f>
        <v>3</v>
      </c>
      <c r="M252" s="4" t="n">
        <f aca="false">INDEX('Master List'!$G$2:$G$2594,O252)</f>
        <v>0</v>
      </c>
      <c r="N252" s="4" t="str">
        <f aca="false">IF(K252="","",A252)</f>
        <v>N022</v>
      </c>
      <c r="O252" s="4" t="n">
        <v>706</v>
      </c>
      <c r="P252" s="4" t="n">
        <f aca="false">IF(A252=A251,P251+1-M251,0)</f>
        <v>0</v>
      </c>
    </row>
    <row r="253" customFormat="false" ht="15" hidden="false" customHeight="false" outlineLevel="0" collapsed="false">
      <c r="A253" s="27" t="s">
        <v>3917</v>
      </c>
      <c r="B253" s="27" t="s">
        <v>50</v>
      </c>
      <c r="C253" s="27" t="s">
        <v>70</v>
      </c>
      <c r="D253" s="27" t="s">
        <v>3918</v>
      </c>
      <c r="E253" s="4" t="n">
        <v>5</v>
      </c>
      <c r="F253" s="4" t="s">
        <v>213</v>
      </c>
      <c r="G253" s="4" t="s">
        <v>588</v>
      </c>
      <c r="H253" s="4" t="n">
        <v>1969</v>
      </c>
      <c r="I253" s="4" t="s">
        <v>589</v>
      </c>
      <c r="J253" s="25" t="str">
        <f aca="false">IF(M253=1,"✓","")</f>
        <v>✓</v>
      </c>
      <c r="K253" s="4" t="str">
        <f aca="false">IF(AND(M253=0,P253=0),"▶ NEXT","")</f>
        <v/>
      </c>
      <c r="L253" s="4" t="n">
        <f aca="false">INDEX('Master List'!$F$2:$F$2594,O253)</f>
        <v>3</v>
      </c>
      <c r="M253" s="4" t="n">
        <f aca="false">INDEX('Master List'!$G$2:$G$2594,O253)</f>
        <v>1</v>
      </c>
      <c r="N253" s="4" t="str">
        <f aca="false">IF(K253="","",A253)</f>
        <v/>
      </c>
      <c r="O253" s="4" t="n">
        <v>1493</v>
      </c>
      <c r="P253" s="4" t="n">
        <f aca="false">IF(A253=A252,P252+1-M252,0)</f>
        <v>1</v>
      </c>
    </row>
    <row r="254" customFormat="false" ht="15" hidden="false" customHeight="false" outlineLevel="0" collapsed="false">
      <c r="A254" s="27" t="s">
        <v>3917</v>
      </c>
      <c r="B254" s="27" t="s">
        <v>50</v>
      </c>
      <c r="C254" s="27" t="s">
        <v>70</v>
      </c>
      <c r="D254" s="27" t="s">
        <v>3918</v>
      </c>
      <c r="E254" s="4" t="n">
        <v>6</v>
      </c>
      <c r="F254" s="4" t="s">
        <v>213</v>
      </c>
      <c r="G254" s="4" t="s">
        <v>593</v>
      </c>
      <c r="H254" s="4" t="n">
        <v>1970</v>
      </c>
      <c r="I254" s="4" t="s">
        <v>594</v>
      </c>
      <c r="J254" s="25" t="str">
        <f aca="false">IF(M254=1,"✓","")</f>
        <v>✓</v>
      </c>
      <c r="K254" s="4" t="str">
        <f aca="false">IF(AND(M254=0,P254=0),"▶ NEXT","")</f>
        <v/>
      </c>
      <c r="L254" s="4" t="n">
        <f aca="false">INDEX('Master List'!$F$2:$F$2594,O254)</f>
        <v>3</v>
      </c>
      <c r="M254" s="4" t="n">
        <f aca="false">INDEX('Master List'!$G$2:$G$2594,O254)</f>
        <v>1</v>
      </c>
      <c r="N254" s="4" t="str">
        <f aca="false">IF(K254="","",A254)</f>
        <v/>
      </c>
      <c r="O254" s="4" t="n">
        <v>816</v>
      </c>
      <c r="P254" s="4" t="n">
        <f aca="false">IF(A254=A253,P253+1-M253,0)</f>
        <v>1</v>
      </c>
    </row>
    <row r="255" customFormat="false" ht="15" hidden="false" customHeight="false" outlineLevel="0" collapsed="false">
      <c r="A255" s="27" t="s">
        <v>3917</v>
      </c>
      <c r="B255" s="27" t="s">
        <v>50</v>
      </c>
      <c r="C255" s="27" t="s">
        <v>70</v>
      </c>
      <c r="D255" s="27" t="s">
        <v>3918</v>
      </c>
      <c r="E255" s="4" t="n">
        <v>7</v>
      </c>
      <c r="F255" s="4" t="s">
        <v>213</v>
      </c>
      <c r="G255" s="4" t="s">
        <v>387</v>
      </c>
      <c r="H255" s="4" t="n">
        <v>1971</v>
      </c>
      <c r="I255" s="4" t="s">
        <v>197</v>
      </c>
      <c r="J255" s="25" t="str">
        <f aca="false">IF(M255=1,"✓","")</f>
        <v/>
      </c>
      <c r="K255" s="4" t="str">
        <f aca="false">IF(AND(M255=0,P255=0),"▶ NEXT","")</f>
        <v/>
      </c>
      <c r="L255" s="4" t="n">
        <f aca="false">INDEX('Master List'!$F$2:$F$2594,O255)</f>
        <v>4</v>
      </c>
      <c r="M255" s="4" t="n">
        <f aca="false">INDEX('Master List'!$G$2:$G$2594,O255)</f>
        <v>0</v>
      </c>
      <c r="N255" s="4" t="str">
        <f aca="false">IF(K255="","",A255)</f>
        <v/>
      </c>
      <c r="O255" s="4" t="n">
        <v>1467</v>
      </c>
      <c r="P255" s="4" t="n">
        <f aca="false">IF(A255=A254,P254+1-M254,0)</f>
        <v>1</v>
      </c>
    </row>
    <row r="256" customFormat="false" ht="15" hidden="false" customHeight="false" outlineLevel="0" collapsed="false">
      <c r="A256" s="27" t="s">
        <v>3917</v>
      </c>
      <c r="B256" s="27" t="s">
        <v>50</v>
      </c>
      <c r="C256" s="27" t="s">
        <v>70</v>
      </c>
      <c r="D256" s="27" t="s">
        <v>3918</v>
      </c>
      <c r="E256" s="4" t="n">
        <v>8</v>
      </c>
      <c r="F256" s="4" t="s">
        <v>213</v>
      </c>
      <c r="G256" s="4" t="s">
        <v>388</v>
      </c>
      <c r="H256" s="4" t="n">
        <v>1971</v>
      </c>
      <c r="I256" s="4" t="s">
        <v>389</v>
      </c>
      <c r="J256" s="25" t="str">
        <f aca="false">IF(M256=1,"✓","")</f>
        <v/>
      </c>
      <c r="K256" s="4" t="str">
        <f aca="false">IF(AND(M256=0,P256=0),"▶ NEXT","")</f>
        <v/>
      </c>
      <c r="L256" s="4" t="n">
        <f aca="false">INDEX('Master List'!$F$2:$F$2594,O256)</f>
        <v>4</v>
      </c>
      <c r="M256" s="4" t="n">
        <f aca="false">INDEX('Master List'!$G$2:$G$2594,O256)</f>
        <v>0</v>
      </c>
      <c r="N256" s="4" t="str">
        <f aca="false">IF(K256="","",A256)</f>
        <v/>
      </c>
      <c r="O256" s="4" t="n">
        <v>1300</v>
      </c>
      <c r="P256" s="4" t="n">
        <f aca="false">IF(A256=A255,P255+1-M255,0)</f>
        <v>2</v>
      </c>
    </row>
    <row r="257" customFormat="false" ht="15" hidden="false" customHeight="false" outlineLevel="0" collapsed="false">
      <c r="A257" s="27" t="s">
        <v>3917</v>
      </c>
      <c r="B257" s="27" t="s">
        <v>50</v>
      </c>
      <c r="C257" s="27" t="s">
        <v>70</v>
      </c>
      <c r="D257" s="27" t="s">
        <v>3918</v>
      </c>
      <c r="E257" s="4" t="n">
        <v>9</v>
      </c>
      <c r="F257" s="4" t="s">
        <v>213</v>
      </c>
      <c r="G257" s="4" t="s">
        <v>206</v>
      </c>
      <c r="H257" s="4" t="n">
        <v>1972</v>
      </c>
      <c r="I257" s="4" t="s">
        <v>172</v>
      </c>
      <c r="J257" s="25" t="str">
        <f aca="false">IF(M257=1,"✓","")</f>
        <v>✓</v>
      </c>
      <c r="K257" s="4" t="str">
        <f aca="false">IF(AND(M257=0,P257=0),"▶ NEXT","")</f>
        <v/>
      </c>
      <c r="L257" s="4" t="n">
        <f aca="false">INDEX('Master List'!$F$2:$F$2594,O257)</f>
        <v>6</v>
      </c>
      <c r="M257" s="4" t="n">
        <f aca="false">INDEX('Master List'!$G$2:$G$2594,O257)</f>
        <v>1</v>
      </c>
      <c r="N257" s="4" t="str">
        <f aca="false">IF(K257="","",A257)</f>
        <v/>
      </c>
      <c r="O257" s="4" t="n">
        <v>909</v>
      </c>
      <c r="P257" s="4" t="n">
        <f aca="false">IF(A257=A256,P256+1-M256,0)</f>
        <v>3</v>
      </c>
    </row>
    <row r="258" customFormat="false" ht="15" hidden="false" customHeight="false" outlineLevel="0" collapsed="false">
      <c r="A258" s="27" t="s">
        <v>3917</v>
      </c>
      <c r="B258" s="27" t="s">
        <v>50</v>
      </c>
      <c r="C258" s="27" t="s">
        <v>70</v>
      </c>
      <c r="D258" s="27" t="s">
        <v>3918</v>
      </c>
      <c r="E258" s="4" t="n">
        <v>10</v>
      </c>
      <c r="F258" s="4" t="s">
        <v>213</v>
      </c>
      <c r="G258" s="4" t="s">
        <v>600</v>
      </c>
      <c r="H258" s="4" t="n">
        <v>1973</v>
      </c>
      <c r="I258" s="4" t="s">
        <v>164</v>
      </c>
      <c r="J258" s="25" t="str">
        <f aca="false">IF(M258=1,"✓","")</f>
        <v>✓</v>
      </c>
      <c r="K258" s="4" t="str">
        <f aca="false">IF(AND(M258=0,P258=0),"▶ NEXT","")</f>
        <v/>
      </c>
      <c r="L258" s="4" t="n">
        <f aca="false">INDEX('Master List'!$F$2:$F$2594,O258)</f>
        <v>3</v>
      </c>
      <c r="M258" s="4" t="n">
        <f aca="false">INDEX('Master List'!$G$2:$G$2594,O258)</f>
        <v>1</v>
      </c>
      <c r="N258" s="4" t="str">
        <f aca="false">IF(K258="","",A258)</f>
        <v/>
      </c>
      <c r="O258" s="4" t="n">
        <v>1468</v>
      </c>
      <c r="P258" s="4" t="n">
        <f aca="false">IF(A258=A257,P257+1-M257,0)</f>
        <v>3</v>
      </c>
    </row>
    <row r="259" customFormat="false" ht="15" hidden="false" customHeight="false" outlineLevel="0" collapsed="false">
      <c r="A259" s="27" t="s">
        <v>3917</v>
      </c>
      <c r="B259" s="27" t="s">
        <v>50</v>
      </c>
      <c r="C259" s="27" t="s">
        <v>70</v>
      </c>
      <c r="D259" s="27" t="s">
        <v>3918</v>
      </c>
      <c r="E259" s="4" t="n">
        <v>11</v>
      </c>
      <c r="F259" s="4" t="s">
        <v>213</v>
      </c>
      <c r="G259" s="4" t="s">
        <v>194</v>
      </c>
      <c r="H259" s="4" t="n">
        <v>1974</v>
      </c>
      <c r="I259" s="4" t="s">
        <v>195</v>
      </c>
      <c r="J259" s="25" t="str">
        <f aca="false">IF(M259=1,"✓","")</f>
        <v>✓</v>
      </c>
      <c r="K259" s="4" t="str">
        <f aca="false">IF(AND(M259=0,P259=0),"▶ NEXT","")</f>
        <v/>
      </c>
      <c r="L259" s="4" t="n">
        <f aca="false">INDEX('Master List'!$F$2:$F$2594,O259)</f>
        <v>6</v>
      </c>
      <c r="M259" s="4" t="n">
        <f aca="false">INDEX('Master List'!$G$2:$G$2594,O259)</f>
        <v>1</v>
      </c>
      <c r="N259" s="4" t="str">
        <f aca="false">IF(K259="","",A259)</f>
        <v/>
      </c>
      <c r="O259" s="4" t="n">
        <v>450</v>
      </c>
      <c r="P259" s="4" t="n">
        <f aca="false">IF(A259=A258,P258+1-M258,0)</f>
        <v>3</v>
      </c>
    </row>
    <row r="260" customFormat="false" ht="15" hidden="false" customHeight="false" outlineLevel="0" collapsed="false">
      <c r="A260" s="27" t="s">
        <v>3917</v>
      </c>
      <c r="B260" s="27" t="s">
        <v>50</v>
      </c>
      <c r="C260" s="27" t="s">
        <v>70</v>
      </c>
      <c r="D260" s="27" t="s">
        <v>3918</v>
      </c>
      <c r="E260" s="4" t="n">
        <v>12</v>
      </c>
      <c r="F260" s="4" t="s">
        <v>213</v>
      </c>
      <c r="G260" s="4" t="s">
        <v>196</v>
      </c>
      <c r="H260" s="4" t="n">
        <v>1975</v>
      </c>
      <c r="I260" s="4" t="s">
        <v>197</v>
      </c>
      <c r="J260" s="25" t="str">
        <f aca="false">IF(M260=1,"✓","")</f>
        <v>✓</v>
      </c>
      <c r="K260" s="4" t="str">
        <f aca="false">IF(AND(M260=0,P260=0),"▶ NEXT","")</f>
        <v/>
      </c>
      <c r="L260" s="4" t="n">
        <f aca="false">INDEX('Master List'!$F$2:$F$2594,O260)</f>
        <v>6</v>
      </c>
      <c r="M260" s="4" t="n">
        <f aca="false">INDEX('Master List'!$G$2:$G$2594,O260)</f>
        <v>1</v>
      </c>
      <c r="N260" s="4" t="str">
        <f aca="false">IF(K260="","",A260)</f>
        <v/>
      </c>
      <c r="O260" s="4" t="n">
        <v>1587</v>
      </c>
      <c r="P260" s="4" t="n">
        <f aca="false">IF(A260=A259,P259+1-M259,0)</f>
        <v>3</v>
      </c>
    </row>
    <row r="261" customFormat="false" ht="15" hidden="false" customHeight="false" outlineLevel="0" collapsed="false">
      <c r="A261" s="27" t="s">
        <v>3917</v>
      </c>
      <c r="B261" s="27" t="s">
        <v>50</v>
      </c>
      <c r="C261" s="27" t="s">
        <v>70</v>
      </c>
      <c r="D261" s="27" t="s">
        <v>3918</v>
      </c>
      <c r="E261" s="4" t="n">
        <v>13</v>
      </c>
      <c r="F261" s="4" t="s">
        <v>213</v>
      </c>
      <c r="G261" s="4" t="s">
        <v>482</v>
      </c>
      <c r="H261" s="4" t="n">
        <v>1975</v>
      </c>
      <c r="I261" s="4" t="s">
        <v>189</v>
      </c>
      <c r="J261" s="25" t="str">
        <f aca="false">IF(M261=1,"✓","")</f>
        <v>✓</v>
      </c>
      <c r="K261" s="4" t="str">
        <f aca="false">IF(AND(M261=0,P261=0),"▶ NEXT","")</f>
        <v/>
      </c>
      <c r="L261" s="4" t="n">
        <f aca="false">INDEX('Master List'!$F$2:$F$2594,O261)</f>
        <v>3</v>
      </c>
      <c r="M261" s="4" t="n">
        <f aca="false">INDEX('Master List'!$G$2:$G$2594,O261)</f>
        <v>1</v>
      </c>
      <c r="N261" s="4" t="str">
        <f aca="false">IF(K261="","",A261)</f>
        <v/>
      </c>
      <c r="O261" s="4" t="n">
        <v>650</v>
      </c>
      <c r="P261" s="4" t="n">
        <f aca="false">IF(A261=A260,P260+1-M260,0)</f>
        <v>3</v>
      </c>
    </row>
    <row r="262" customFormat="false" ht="15" hidden="false" customHeight="false" outlineLevel="0" collapsed="false">
      <c r="A262" s="27" t="s">
        <v>3917</v>
      </c>
      <c r="B262" s="27" t="s">
        <v>50</v>
      </c>
      <c r="C262" s="27" t="s">
        <v>70</v>
      </c>
      <c r="D262" s="27" t="s">
        <v>3918</v>
      </c>
      <c r="E262" s="4" t="n">
        <v>14</v>
      </c>
      <c r="F262" s="4" t="s">
        <v>213</v>
      </c>
      <c r="G262" s="4" t="s">
        <v>163</v>
      </c>
      <c r="H262" s="4" t="n">
        <v>1976</v>
      </c>
      <c r="I262" s="4" t="s">
        <v>164</v>
      </c>
      <c r="J262" s="25" t="str">
        <f aca="false">IF(M262=1,"✓","")</f>
        <v>✓</v>
      </c>
      <c r="K262" s="4" t="str">
        <f aca="false">IF(AND(M262=0,P262=0),"▶ NEXT","")</f>
        <v/>
      </c>
      <c r="L262" s="4" t="n">
        <f aca="false">INDEX('Master List'!$F$2:$F$2594,O262)</f>
        <v>8</v>
      </c>
      <c r="M262" s="4" t="n">
        <f aca="false">INDEX('Master List'!$G$2:$G$2594,O262)</f>
        <v>1</v>
      </c>
      <c r="N262" s="4" t="str">
        <f aca="false">IF(K262="","",A262)</f>
        <v/>
      </c>
      <c r="O262" s="4" t="n">
        <v>2248</v>
      </c>
      <c r="P262" s="4" t="n">
        <f aca="false">IF(A262=A261,P261+1-M261,0)</f>
        <v>3</v>
      </c>
    </row>
    <row r="263" customFormat="false" ht="15" hidden="false" customHeight="false" outlineLevel="0" collapsed="false">
      <c r="A263" s="27" t="s">
        <v>3917</v>
      </c>
      <c r="B263" s="27" t="s">
        <v>50</v>
      </c>
      <c r="C263" s="27" t="s">
        <v>70</v>
      </c>
      <c r="D263" s="27" t="s">
        <v>3918</v>
      </c>
      <c r="E263" s="4" t="n">
        <v>15</v>
      </c>
      <c r="F263" s="4" t="s">
        <v>213</v>
      </c>
      <c r="G263" s="4" t="s">
        <v>188</v>
      </c>
      <c r="H263" s="4" t="n">
        <v>1976</v>
      </c>
      <c r="I263" s="4" t="s">
        <v>189</v>
      </c>
      <c r="J263" s="25" t="str">
        <f aca="false">IF(M263=1,"✓","")</f>
        <v>✓</v>
      </c>
      <c r="K263" s="4" t="str">
        <f aca="false">IF(AND(M263=0,P263=0),"▶ NEXT","")</f>
        <v/>
      </c>
      <c r="L263" s="4" t="n">
        <f aca="false">INDEX('Master List'!$F$2:$F$2594,O263)</f>
        <v>7</v>
      </c>
      <c r="M263" s="4" t="n">
        <f aca="false">INDEX('Master List'!$G$2:$G$2594,O263)</f>
        <v>1</v>
      </c>
      <c r="N263" s="4" t="str">
        <f aca="false">IF(K263="","",A263)</f>
        <v/>
      </c>
      <c r="O263" s="4" t="n">
        <v>1593</v>
      </c>
      <c r="P263" s="4" t="n">
        <f aca="false">IF(A263=A262,P262+1-M262,0)</f>
        <v>3</v>
      </c>
    </row>
    <row r="264" customFormat="false" ht="15" hidden="false" customHeight="false" outlineLevel="0" collapsed="false">
      <c r="A264" s="27" t="s">
        <v>3917</v>
      </c>
      <c r="B264" s="27" t="s">
        <v>50</v>
      </c>
      <c r="C264" s="27" t="s">
        <v>70</v>
      </c>
      <c r="D264" s="27" t="s">
        <v>3918</v>
      </c>
      <c r="E264" s="4" t="n">
        <v>16</v>
      </c>
      <c r="F264" s="4" t="s">
        <v>213</v>
      </c>
      <c r="G264" s="4" t="s">
        <v>603</v>
      </c>
      <c r="H264" s="4" t="n">
        <v>1977</v>
      </c>
      <c r="I264" s="4" t="s">
        <v>604</v>
      </c>
      <c r="J264" s="25" t="str">
        <f aca="false">IF(M264=1,"✓","")</f>
        <v>✓</v>
      </c>
      <c r="K264" s="4" t="str">
        <f aca="false">IF(AND(M264=0,P264=0),"▶ NEXT","")</f>
        <v/>
      </c>
      <c r="L264" s="4" t="n">
        <f aca="false">INDEX('Master List'!$F$2:$F$2594,O264)</f>
        <v>3</v>
      </c>
      <c r="M264" s="4" t="n">
        <f aca="false">INDEX('Master List'!$G$2:$G$2594,O264)</f>
        <v>1</v>
      </c>
      <c r="N264" s="4" t="str">
        <f aca="false">IF(K264="","",A264)</f>
        <v/>
      </c>
      <c r="O264" s="4" t="n">
        <v>112</v>
      </c>
      <c r="P264" s="4" t="n">
        <f aca="false">IF(A264=A263,P263+1-M263,0)</f>
        <v>3</v>
      </c>
    </row>
    <row r="265" customFormat="false" ht="15" hidden="false" customHeight="false" outlineLevel="0" collapsed="false">
      <c r="A265" s="27" t="s">
        <v>3917</v>
      </c>
      <c r="B265" s="27" t="s">
        <v>50</v>
      </c>
      <c r="C265" s="27" t="s">
        <v>70</v>
      </c>
      <c r="D265" s="27" t="s">
        <v>3918</v>
      </c>
      <c r="E265" s="4" t="n">
        <v>17</v>
      </c>
      <c r="F265" s="4" t="s">
        <v>213</v>
      </c>
      <c r="G265" s="4" t="s">
        <v>605</v>
      </c>
      <c r="H265" s="4" t="n">
        <v>1978</v>
      </c>
      <c r="I265" s="4" t="s">
        <v>606</v>
      </c>
      <c r="J265" s="25" t="str">
        <f aca="false">IF(M265=1,"✓","")</f>
        <v/>
      </c>
      <c r="K265" s="4" t="str">
        <f aca="false">IF(AND(M265=0,P265=0),"▶ NEXT","")</f>
        <v/>
      </c>
      <c r="L265" s="4" t="n">
        <f aca="false">INDEX('Master List'!$F$2:$F$2594,O265)</f>
        <v>3</v>
      </c>
      <c r="M265" s="4" t="n">
        <f aca="false">INDEX('Master List'!$G$2:$G$2594,O265)</f>
        <v>0</v>
      </c>
      <c r="N265" s="4" t="str">
        <f aca="false">IF(K265="","",A265)</f>
        <v/>
      </c>
      <c r="O265" s="4" t="n">
        <v>605</v>
      </c>
      <c r="P265" s="4" t="n">
        <f aca="false">IF(A265=A264,P264+1-M264,0)</f>
        <v>3</v>
      </c>
    </row>
    <row r="266" customFormat="false" ht="15" hidden="false" customHeight="false" outlineLevel="0" collapsed="false">
      <c r="A266" s="27" t="s">
        <v>3917</v>
      </c>
      <c r="B266" s="27" t="s">
        <v>50</v>
      </c>
      <c r="C266" s="27" t="s">
        <v>70</v>
      </c>
      <c r="D266" s="27" t="s">
        <v>3918</v>
      </c>
      <c r="E266" s="4" t="n">
        <v>18</v>
      </c>
      <c r="F266" s="4" t="s">
        <v>213</v>
      </c>
      <c r="G266" s="4" t="s">
        <v>201</v>
      </c>
      <c r="H266" s="4" t="n">
        <v>1979</v>
      </c>
      <c r="I266" s="4" t="s">
        <v>172</v>
      </c>
      <c r="J266" s="25" t="str">
        <f aca="false">IF(M266=1,"✓","")</f>
        <v>✓</v>
      </c>
      <c r="K266" s="4" t="str">
        <f aca="false">IF(AND(M266=0,P266=0),"▶ NEXT","")</f>
        <v/>
      </c>
      <c r="L266" s="4" t="n">
        <f aca="false">INDEX('Master List'!$F$2:$F$2594,O266)</f>
        <v>7</v>
      </c>
      <c r="M266" s="4" t="n">
        <f aca="false">INDEX('Master List'!$G$2:$G$2594,O266)</f>
        <v>1</v>
      </c>
      <c r="N266" s="4" t="str">
        <f aca="false">IF(K266="","",A266)</f>
        <v/>
      </c>
      <c r="O266" s="4" t="n">
        <v>121</v>
      </c>
      <c r="P266" s="4" t="n">
        <f aca="false">IF(A266=A265,P265+1-M265,0)</f>
        <v>4</v>
      </c>
    </row>
    <row r="267" customFormat="false" ht="15" hidden="false" customHeight="false" outlineLevel="0" collapsed="false">
      <c r="A267" s="27" t="s">
        <v>3917</v>
      </c>
      <c r="B267" s="27" t="s">
        <v>50</v>
      </c>
      <c r="C267" s="27" t="s">
        <v>70</v>
      </c>
      <c r="D267" s="27" t="s">
        <v>3918</v>
      </c>
      <c r="E267" s="4" t="n">
        <v>19</v>
      </c>
      <c r="F267" s="4" t="s">
        <v>213</v>
      </c>
      <c r="G267" s="4" t="s">
        <v>1047</v>
      </c>
      <c r="H267" s="4" t="n">
        <v>1980</v>
      </c>
      <c r="I267" s="4" t="s">
        <v>606</v>
      </c>
      <c r="J267" s="25" t="str">
        <f aca="false">IF(M267=1,"✓","")</f>
        <v/>
      </c>
      <c r="K267" s="4" t="str">
        <f aca="false">IF(AND(M267=0,P267=0),"▶ NEXT","")</f>
        <v/>
      </c>
      <c r="L267" s="4" t="n">
        <f aca="false">INDEX('Master List'!$F$2:$F$2594,O267)</f>
        <v>2</v>
      </c>
      <c r="M267" s="4" t="n">
        <f aca="false">INDEX('Master List'!$G$2:$G$2594,O267)</f>
        <v>0</v>
      </c>
      <c r="N267" s="4" t="str">
        <f aca="false">IF(K267="","",A267)</f>
        <v/>
      </c>
      <c r="O267" s="4" t="n">
        <v>1014</v>
      </c>
      <c r="P267" s="4" t="n">
        <f aca="false">IF(A267=A266,P266+1-M266,0)</f>
        <v>4</v>
      </c>
    </row>
    <row r="268" customFormat="false" ht="15" hidden="false" customHeight="false" outlineLevel="0" collapsed="false">
      <c r="A268" s="27" t="s">
        <v>3917</v>
      </c>
      <c r="B268" s="27" t="s">
        <v>50</v>
      </c>
      <c r="C268" s="27" t="s">
        <v>70</v>
      </c>
      <c r="D268" s="27" t="s">
        <v>3918</v>
      </c>
      <c r="E268" s="4" t="n">
        <v>20</v>
      </c>
      <c r="F268" s="4" t="s">
        <v>1327</v>
      </c>
      <c r="G268" s="4" t="s">
        <v>1343</v>
      </c>
      <c r="H268" s="4" t="n">
        <v>1971</v>
      </c>
      <c r="I268" s="4" t="s">
        <v>1344</v>
      </c>
      <c r="J268" s="25" t="str">
        <f aca="false">IF(M268=1,"✓","")</f>
        <v/>
      </c>
      <c r="K268" s="4" t="str">
        <f aca="false">IF(AND(M268=0,P268=0),"▶ NEXT","")</f>
        <v/>
      </c>
      <c r="L268" s="4" t="n">
        <f aca="false">INDEX('Master List'!$F$2:$F$2594,O268)</f>
        <v>2</v>
      </c>
      <c r="M268" s="4" t="n">
        <f aca="false">INDEX('Master List'!$G$2:$G$2594,O268)</f>
        <v>0</v>
      </c>
      <c r="N268" s="4" t="str">
        <f aca="false">IF(K268="","",A268)</f>
        <v/>
      </c>
      <c r="O268" s="4" t="n">
        <v>2391</v>
      </c>
      <c r="P268" s="4" t="n">
        <f aca="false">IF(A268=A267,P267+1-M267,0)</f>
        <v>5</v>
      </c>
    </row>
    <row r="269" customFormat="false" ht="15" hidden="false" customHeight="false" outlineLevel="0" collapsed="false">
      <c r="A269" s="27" t="s">
        <v>3917</v>
      </c>
      <c r="B269" s="27" t="s">
        <v>50</v>
      </c>
      <c r="C269" s="27" t="s">
        <v>70</v>
      </c>
      <c r="D269" s="27" t="s">
        <v>3918</v>
      </c>
      <c r="E269" s="4" t="n">
        <v>21</v>
      </c>
      <c r="F269" s="4" t="s">
        <v>1327</v>
      </c>
      <c r="G269" s="4" t="s">
        <v>1347</v>
      </c>
      <c r="H269" s="4" t="n">
        <v>1972</v>
      </c>
      <c r="I269" s="4" t="s">
        <v>594</v>
      </c>
      <c r="J269" s="25" t="str">
        <f aca="false">IF(M269=1,"✓","")</f>
        <v/>
      </c>
      <c r="K269" s="4" t="str">
        <f aca="false">IF(AND(M269=0,P269=0),"▶ NEXT","")</f>
        <v/>
      </c>
      <c r="L269" s="4" t="n">
        <f aca="false">INDEX('Master List'!$F$2:$F$2594,O269)</f>
        <v>2</v>
      </c>
      <c r="M269" s="4" t="n">
        <f aca="false">INDEX('Master List'!$G$2:$G$2594,O269)</f>
        <v>0</v>
      </c>
      <c r="N269" s="4" t="str">
        <f aca="false">IF(K269="","",A269)</f>
        <v/>
      </c>
      <c r="O269" s="4" t="n">
        <v>1259</v>
      </c>
      <c r="P269" s="4" t="n">
        <f aca="false">IF(A269=A268,P268+1-M268,0)</f>
        <v>6</v>
      </c>
    </row>
    <row r="270" customFormat="false" ht="15" hidden="false" customHeight="false" outlineLevel="0" collapsed="false">
      <c r="A270" s="27" t="s">
        <v>3917</v>
      </c>
      <c r="B270" s="27" t="s">
        <v>50</v>
      </c>
      <c r="C270" s="27" t="s">
        <v>70</v>
      </c>
      <c r="D270" s="27" t="s">
        <v>3918</v>
      </c>
      <c r="E270" s="4" t="n">
        <v>22</v>
      </c>
      <c r="F270" s="4" t="s">
        <v>1327</v>
      </c>
      <c r="G270" s="4" t="s">
        <v>595</v>
      </c>
      <c r="H270" s="4" t="n">
        <v>1970</v>
      </c>
      <c r="I270" s="4" t="s">
        <v>596</v>
      </c>
      <c r="J270" s="25" t="str">
        <f aca="false">IF(M270=1,"✓","")</f>
        <v/>
      </c>
      <c r="K270" s="4" t="str">
        <f aca="false">IF(AND(M270=0,P270=0),"▶ NEXT","")</f>
        <v/>
      </c>
      <c r="L270" s="4" t="n">
        <f aca="false">INDEX('Master List'!$F$2:$F$2594,O270)</f>
        <v>3</v>
      </c>
      <c r="M270" s="4" t="n">
        <f aca="false">INDEX('Master List'!$G$2:$G$2594,O270)</f>
        <v>0</v>
      </c>
      <c r="N270" s="4" t="str">
        <f aca="false">IF(K270="","",A270)</f>
        <v/>
      </c>
      <c r="O270" s="4" t="n">
        <v>2461</v>
      </c>
      <c r="P270" s="4" t="n">
        <f aca="false">IF(A270=A269,P269+1-M269,0)</f>
        <v>7</v>
      </c>
    </row>
    <row r="271" customFormat="false" ht="15" hidden="false" customHeight="false" outlineLevel="0" collapsed="false">
      <c r="A271" s="27" t="s">
        <v>3919</v>
      </c>
      <c r="B271" s="27" t="s">
        <v>50</v>
      </c>
      <c r="C271" s="27" t="s">
        <v>71</v>
      </c>
      <c r="D271" s="27" t="s">
        <v>3920</v>
      </c>
      <c r="E271" s="4" t="n">
        <v>1</v>
      </c>
      <c r="F271" s="4" t="s">
        <v>144</v>
      </c>
      <c r="G271" s="7" t="s">
        <v>182</v>
      </c>
      <c r="H271" s="4" t="n">
        <v>1975</v>
      </c>
      <c r="I271" s="4" t="s">
        <v>183</v>
      </c>
      <c r="J271" s="25" t="str">
        <f aca="false">IF(M271=1,"✓","")</f>
        <v>✓</v>
      </c>
      <c r="K271" s="4" t="str">
        <f aca="false">IF(AND(M271=0,P271=0),"▶ NEXT","")</f>
        <v/>
      </c>
      <c r="L271" s="4" t="n">
        <f aca="false">INDEX('Master List'!$F$2:$F$2594,O271)</f>
        <v>7</v>
      </c>
      <c r="M271" s="4" t="n">
        <f aca="false">INDEX('Master List'!$G$2:$G$2594,O271)</f>
        <v>1</v>
      </c>
      <c r="N271" s="4" t="str">
        <f aca="false">IF(K271="","",A271)</f>
        <v/>
      </c>
      <c r="O271" s="4" t="n">
        <v>1196</v>
      </c>
      <c r="P271" s="4" t="n">
        <f aca="false">IF(A271=A270,P270+1-M270,0)</f>
        <v>0</v>
      </c>
    </row>
    <row r="272" customFormat="false" ht="15" hidden="false" customHeight="false" outlineLevel="0" collapsed="false">
      <c r="A272" s="27" t="s">
        <v>3919</v>
      </c>
      <c r="B272" s="27" t="s">
        <v>50</v>
      </c>
      <c r="C272" s="27" t="s">
        <v>71</v>
      </c>
      <c r="D272" s="27" t="s">
        <v>3920</v>
      </c>
      <c r="E272" s="4" t="n">
        <v>2</v>
      </c>
      <c r="F272" s="4" t="s">
        <v>144</v>
      </c>
      <c r="G272" s="7" t="s">
        <v>256</v>
      </c>
      <c r="H272" s="4" t="n">
        <v>1977</v>
      </c>
      <c r="I272" s="4" t="s">
        <v>257</v>
      </c>
      <c r="J272" s="25" t="str">
        <f aca="false">IF(M272=1,"✓","")</f>
        <v>✓</v>
      </c>
      <c r="K272" s="4" t="str">
        <f aca="false">IF(AND(M272=0,P272=0),"▶ NEXT","")</f>
        <v/>
      </c>
      <c r="L272" s="4" t="n">
        <f aca="false">INDEX('Master List'!$F$2:$F$2594,O272)</f>
        <v>5</v>
      </c>
      <c r="M272" s="4" t="n">
        <f aca="false">INDEX('Master List'!$G$2:$G$2594,O272)</f>
        <v>1</v>
      </c>
      <c r="N272" s="4" t="str">
        <f aca="false">IF(K272="","",A272)</f>
        <v/>
      </c>
      <c r="O272" s="4" t="n">
        <v>2149</v>
      </c>
      <c r="P272" s="4" t="n">
        <f aca="false">IF(A272=A271,P271+1-M271,0)</f>
        <v>0</v>
      </c>
    </row>
    <row r="273" customFormat="false" ht="15" hidden="false" customHeight="false" outlineLevel="0" collapsed="false">
      <c r="A273" s="27" t="s">
        <v>3919</v>
      </c>
      <c r="B273" s="27" t="s">
        <v>50</v>
      </c>
      <c r="C273" s="27" t="s">
        <v>71</v>
      </c>
      <c r="D273" s="27" t="s">
        <v>3920</v>
      </c>
      <c r="E273" s="4" t="n">
        <v>3</v>
      </c>
      <c r="F273" s="4" t="s">
        <v>213</v>
      </c>
      <c r="G273" s="4" t="s">
        <v>806</v>
      </c>
      <c r="H273" s="4" t="n">
        <v>1977</v>
      </c>
      <c r="I273" s="4" t="s">
        <v>183</v>
      </c>
      <c r="J273" s="25" t="str">
        <f aca="false">IF(M273=1,"✓","")</f>
        <v>✓</v>
      </c>
      <c r="K273" s="4" t="str">
        <f aca="false">IF(AND(M273=0,P273=0),"▶ NEXT","")</f>
        <v/>
      </c>
      <c r="L273" s="4" t="n">
        <f aca="false">INDEX('Master List'!$F$2:$F$2594,O273)</f>
        <v>2</v>
      </c>
      <c r="M273" s="4" t="n">
        <f aca="false">INDEX('Master List'!$G$2:$G$2594,O273)</f>
        <v>1</v>
      </c>
      <c r="N273" s="4" t="str">
        <f aca="false">IF(K273="","",A273)</f>
        <v/>
      </c>
      <c r="O273" s="4" t="n">
        <v>479</v>
      </c>
      <c r="P273" s="4" t="n">
        <f aca="false">IF(A273=A272,P272+1-M272,0)</f>
        <v>0</v>
      </c>
    </row>
    <row r="274" customFormat="false" ht="15" hidden="false" customHeight="false" outlineLevel="0" collapsed="false">
      <c r="A274" s="27" t="s">
        <v>3919</v>
      </c>
      <c r="B274" s="27" t="s">
        <v>50</v>
      </c>
      <c r="C274" s="27" t="s">
        <v>71</v>
      </c>
      <c r="D274" s="27" t="s">
        <v>3920</v>
      </c>
      <c r="E274" s="4" t="n">
        <v>4</v>
      </c>
      <c r="F274" s="4" t="s">
        <v>213</v>
      </c>
      <c r="G274" s="4" t="s">
        <v>2304</v>
      </c>
      <c r="H274" s="4" t="n">
        <v>1978</v>
      </c>
      <c r="I274" s="4" t="s">
        <v>2286</v>
      </c>
      <c r="J274" s="25" t="str">
        <f aca="false">IF(M274=1,"✓","")</f>
        <v/>
      </c>
      <c r="K274" s="4" t="str">
        <f aca="false">IF(AND(M274=0,P274=0),"▶ NEXT","")</f>
        <v>▶ NEXT</v>
      </c>
      <c r="L274" s="4" t="n">
        <f aca="false">INDEX('Master List'!$F$2:$F$2594,O274)</f>
        <v>1</v>
      </c>
      <c r="M274" s="4" t="n">
        <f aca="false">INDEX('Master List'!$G$2:$G$2594,O274)</f>
        <v>0</v>
      </c>
      <c r="N274" s="4" t="str">
        <f aca="false">IF(K274="","",A274)</f>
        <v>N023</v>
      </c>
      <c r="O274" s="4" t="n">
        <v>2206</v>
      </c>
      <c r="P274" s="4" t="n">
        <f aca="false">IF(A274=A273,P273+1-M273,0)</f>
        <v>0</v>
      </c>
    </row>
    <row r="275" customFormat="false" ht="15" hidden="false" customHeight="false" outlineLevel="0" collapsed="false">
      <c r="A275" s="27" t="s">
        <v>3919</v>
      </c>
      <c r="B275" s="27" t="s">
        <v>50</v>
      </c>
      <c r="C275" s="27" t="s">
        <v>71</v>
      </c>
      <c r="D275" s="27" t="s">
        <v>3920</v>
      </c>
      <c r="E275" s="4" t="n">
        <v>5</v>
      </c>
      <c r="F275" s="4" t="s">
        <v>213</v>
      </c>
      <c r="G275" s="4" t="s">
        <v>362</v>
      </c>
      <c r="H275" s="4" t="n">
        <v>1979</v>
      </c>
      <c r="I275" s="4" t="s">
        <v>174</v>
      </c>
      <c r="J275" s="25" t="str">
        <f aca="false">IF(M275=1,"✓","")</f>
        <v>✓</v>
      </c>
      <c r="K275" s="4" t="str">
        <f aca="false">IF(AND(M275=0,P275=0),"▶ NEXT","")</f>
        <v/>
      </c>
      <c r="L275" s="4" t="n">
        <f aca="false">INDEX('Master List'!$F$2:$F$2594,O275)</f>
        <v>4</v>
      </c>
      <c r="M275" s="4" t="n">
        <f aca="false">INDEX('Master List'!$G$2:$G$2594,O275)</f>
        <v>1</v>
      </c>
      <c r="N275" s="4" t="str">
        <f aca="false">IF(K275="","",A275)</f>
        <v/>
      </c>
      <c r="O275" s="4" t="n">
        <v>66</v>
      </c>
      <c r="P275" s="4" t="n">
        <f aca="false">IF(A275=A274,P274+1-M274,0)</f>
        <v>1</v>
      </c>
    </row>
    <row r="276" customFormat="false" ht="15" hidden="false" customHeight="false" outlineLevel="0" collapsed="false">
      <c r="A276" s="27" t="s">
        <v>3919</v>
      </c>
      <c r="B276" s="27" t="s">
        <v>50</v>
      </c>
      <c r="C276" s="27" t="s">
        <v>71</v>
      </c>
      <c r="D276" s="27" t="s">
        <v>3920</v>
      </c>
      <c r="E276" s="4" t="n">
        <v>6</v>
      </c>
      <c r="F276" s="4" t="s">
        <v>213</v>
      </c>
      <c r="G276" s="4" t="s">
        <v>363</v>
      </c>
      <c r="H276" s="4" t="n">
        <v>1981</v>
      </c>
      <c r="I276" s="4" t="s">
        <v>183</v>
      </c>
      <c r="J276" s="25" t="str">
        <f aca="false">IF(M276=1,"✓","")</f>
        <v>✓</v>
      </c>
      <c r="K276" s="4" t="str">
        <f aca="false">IF(AND(M276=0,P276=0),"▶ NEXT","")</f>
        <v/>
      </c>
      <c r="L276" s="4" t="n">
        <f aca="false">INDEX('Master List'!$F$2:$F$2594,O276)</f>
        <v>4</v>
      </c>
      <c r="M276" s="4" t="n">
        <f aca="false">INDEX('Master List'!$G$2:$G$2594,O276)</f>
        <v>1</v>
      </c>
      <c r="N276" s="4" t="str">
        <f aca="false">IF(K276="","",A276)</f>
        <v/>
      </c>
      <c r="O276" s="4" t="n">
        <v>1853</v>
      </c>
      <c r="P276" s="4" t="n">
        <f aca="false">IF(A276=A275,P275+1-M275,0)</f>
        <v>1</v>
      </c>
    </row>
    <row r="277" customFormat="false" ht="15" hidden="false" customHeight="false" outlineLevel="0" collapsed="false">
      <c r="A277" s="27" t="s">
        <v>3919</v>
      </c>
      <c r="B277" s="27" t="s">
        <v>50</v>
      </c>
      <c r="C277" s="27" t="s">
        <v>71</v>
      </c>
      <c r="D277" s="27" t="s">
        <v>3920</v>
      </c>
      <c r="E277" s="4" t="n">
        <v>7</v>
      </c>
      <c r="F277" s="4" t="s">
        <v>213</v>
      </c>
      <c r="G277" s="4" t="s">
        <v>609</v>
      </c>
      <c r="H277" s="4" t="n">
        <v>1982</v>
      </c>
      <c r="I277" s="4" t="s">
        <v>183</v>
      </c>
      <c r="J277" s="25" t="str">
        <f aca="false">IF(M277=1,"✓","")</f>
        <v>✓</v>
      </c>
      <c r="K277" s="4" t="str">
        <f aca="false">IF(AND(M277=0,P277=0),"▶ NEXT","")</f>
        <v/>
      </c>
      <c r="L277" s="4" t="n">
        <f aca="false">INDEX('Master List'!$F$2:$F$2594,O277)</f>
        <v>3</v>
      </c>
      <c r="M277" s="4" t="n">
        <f aca="false">INDEX('Master List'!$G$2:$G$2594,O277)</f>
        <v>1</v>
      </c>
      <c r="N277" s="4" t="str">
        <f aca="false">IF(K277="","",A277)</f>
        <v/>
      </c>
      <c r="O277" s="4" t="n">
        <v>697</v>
      </c>
      <c r="P277" s="4" t="n">
        <f aca="false">IF(A277=A276,P276+1-M276,0)</f>
        <v>1</v>
      </c>
    </row>
    <row r="278" customFormat="false" ht="15" hidden="false" customHeight="false" outlineLevel="0" collapsed="false">
      <c r="A278" s="27" t="s">
        <v>3919</v>
      </c>
      <c r="B278" s="27" t="s">
        <v>50</v>
      </c>
      <c r="C278" s="27" t="s">
        <v>71</v>
      </c>
      <c r="D278" s="27" t="s">
        <v>3920</v>
      </c>
      <c r="E278" s="4" t="n">
        <v>8</v>
      </c>
      <c r="F278" s="4" t="s">
        <v>213</v>
      </c>
      <c r="G278" s="4" t="s">
        <v>2425</v>
      </c>
      <c r="H278" s="4" t="n">
        <v>1986</v>
      </c>
      <c r="I278" s="4" t="s">
        <v>2426</v>
      </c>
      <c r="J278" s="25" t="str">
        <f aca="false">IF(M278=1,"✓","")</f>
        <v>✓</v>
      </c>
      <c r="K278" s="4" t="str">
        <f aca="false">IF(AND(M278=0,P278=0),"▶ NEXT","")</f>
        <v/>
      </c>
      <c r="L278" s="4" t="n">
        <f aca="false">INDEX('Master List'!$F$2:$F$2594,O278)</f>
        <v>1</v>
      </c>
      <c r="M278" s="4" t="n">
        <f aca="false">INDEX('Master List'!$G$2:$G$2594,O278)</f>
        <v>1</v>
      </c>
      <c r="N278" s="4" t="str">
        <f aca="false">IF(K278="","",A278)</f>
        <v/>
      </c>
      <c r="O278" s="4" t="n">
        <v>2336</v>
      </c>
      <c r="P278" s="4" t="n">
        <f aca="false">IF(A278=A277,P277+1-M277,0)</f>
        <v>1</v>
      </c>
    </row>
    <row r="279" customFormat="false" ht="15" hidden="false" customHeight="false" outlineLevel="0" collapsed="false">
      <c r="A279" s="27" t="s">
        <v>3919</v>
      </c>
      <c r="B279" s="27" t="s">
        <v>50</v>
      </c>
      <c r="C279" s="27" t="s">
        <v>71</v>
      </c>
      <c r="D279" s="27" t="s">
        <v>3920</v>
      </c>
      <c r="E279" s="4" t="n">
        <v>9</v>
      </c>
      <c r="F279" s="4" t="s">
        <v>213</v>
      </c>
      <c r="G279" s="4" t="s">
        <v>368</v>
      </c>
      <c r="H279" s="4" t="n">
        <v>1988</v>
      </c>
      <c r="I279" s="4" t="s">
        <v>369</v>
      </c>
      <c r="J279" s="25" t="str">
        <f aca="false">IF(M279=1,"✓","")</f>
        <v/>
      </c>
      <c r="K279" s="4" t="str">
        <f aca="false">IF(AND(M279=0,P279=0),"▶ NEXT","")</f>
        <v/>
      </c>
      <c r="L279" s="4" t="n">
        <f aca="false">INDEX('Master List'!$F$2:$F$2594,O279)</f>
        <v>4</v>
      </c>
      <c r="M279" s="4" t="n">
        <f aca="false">INDEX('Master List'!$G$2:$G$2594,O279)</f>
        <v>0</v>
      </c>
      <c r="N279" s="4" t="str">
        <f aca="false">IF(K279="","",A279)</f>
        <v/>
      </c>
      <c r="O279" s="4" t="n">
        <v>992</v>
      </c>
      <c r="P279" s="4" t="n">
        <f aca="false">IF(A279=A278,P278+1-M278,0)</f>
        <v>1</v>
      </c>
    </row>
    <row r="280" customFormat="false" ht="15" hidden="false" customHeight="false" outlineLevel="0" collapsed="false">
      <c r="A280" s="27" t="s">
        <v>3919</v>
      </c>
      <c r="B280" s="27" t="s">
        <v>50</v>
      </c>
      <c r="C280" s="27" t="s">
        <v>71</v>
      </c>
      <c r="D280" s="27" t="s">
        <v>3920</v>
      </c>
      <c r="E280" s="4" t="n">
        <v>10</v>
      </c>
      <c r="F280" s="4" t="s">
        <v>213</v>
      </c>
      <c r="G280" s="4" t="s">
        <v>2488</v>
      </c>
      <c r="H280" s="4" t="n">
        <v>1989</v>
      </c>
      <c r="I280" s="4" t="s">
        <v>1111</v>
      </c>
      <c r="J280" s="25" t="str">
        <f aca="false">IF(M280=1,"✓","")</f>
        <v>✓</v>
      </c>
      <c r="K280" s="4" t="str">
        <f aca="false">IF(AND(M280=0,P280=0),"▶ NEXT","")</f>
        <v/>
      </c>
      <c r="L280" s="4" t="n">
        <f aca="false">INDEX('Master List'!$F$2:$F$2594,O280)</f>
        <v>1</v>
      </c>
      <c r="M280" s="4" t="n">
        <f aca="false">INDEX('Master List'!$G$2:$G$2594,O280)</f>
        <v>1</v>
      </c>
      <c r="N280" s="4" t="str">
        <f aca="false">IF(K280="","",A280)</f>
        <v/>
      </c>
      <c r="O280" s="4" t="n">
        <v>194</v>
      </c>
      <c r="P280" s="4" t="n">
        <f aca="false">IF(A280=A279,P279+1-M279,0)</f>
        <v>2</v>
      </c>
    </row>
    <row r="281" customFormat="false" ht="15" hidden="false" customHeight="false" outlineLevel="0" collapsed="false">
      <c r="A281" s="27" t="s">
        <v>3919</v>
      </c>
      <c r="B281" s="27" t="s">
        <v>50</v>
      </c>
      <c r="C281" s="27" t="s">
        <v>71</v>
      </c>
      <c r="D281" s="27" t="s">
        <v>3920</v>
      </c>
      <c r="E281" s="4" t="n">
        <v>11</v>
      </c>
      <c r="F281" s="4" t="s">
        <v>1327</v>
      </c>
      <c r="G281" s="4" t="s">
        <v>3613</v>
      </c>
      <c r="H281" s="4" t="n">
        <v>1983</v>
      </c>
      <c r="I281" s="4" t="s">
        <v>2453</v>
      </c>
      <c r="J281" s="25" t="str">
        <f aca="false">IF(M281=1,"✓","")</f>
        <v/>
      </c>
      <c r="K281" s="4" t="str">
        <f aca="false">IF(AND(M281=0,P281=0),"▶ NEXT","")</f>
        <v/>
      </c>
      <c r="L281" s="4" t="n">
        <f aca="false">INDEX('Master List'!$F$2:$F$2594,O281)</f>
        <v>1</v>
      </c>
      <c r="M281" s="4" t="n">
        <f aca="false">INDEX('Master List'!$G$2:$G$2594,O281)</f>
        <v>0</v>
      </c>
      <c r="N281" s="4" t="str">
        <f aca="false">IF(K281="","",A281)</f>
        <v/>
      </c>
      <c r="O281" s="4" t="n">
        <v>818</v>
      </c>
      <c r="P281" s="4" t="n">
        <f aca="false">IF(A281=A280,P280+1-M280,0)</f>
        <v>2</v>
      </c>
    </row>
    <row r="282" customFormat="false" ht="15" hidden="false" customHeight="false" outlineLevel="0" collapsed="false">
      <c r="A282" s="27" t="s">
        <v>3919</v>
      </c>
      <c r="B282" s="27" t="s">
        <v>50</v>
      </c>
      <c r="C282" s="27" t="s">
        <v>71</v>
      </c>
      <c r="D282" s="27" t="s">
        <v>3920</v>
      </c>
      <c r="E282" s="4" t="n">
        <v>12</v>
      </c>
      <c r="F282" s="4" t="s">
        <v>1327</v>
      </c>
      <c r="G282" s="4" t="s">
        <v>3621</v>
      </c>
      <c r="H282" s="4" t="n">
        <v>1984</v>
      </c>
      <c r="I282" s="4" t="s">
        <v>3622</v>
      </c>
      <c r="J282" s="25" t="str">
        <f aca="false">IF(M282=1,"✓","")</f>
        <v/>
      </c>
      <c r="K282" s="4" t="str">
        <f aca="false">IF(AND(M282=0,P282=0),"▶ NEXT","")</f>
        <v/>
      </c>
      <c r="L282" s="4" t="n">
        <f aca="false">INDEX('Master List'!$F$2:$F$2594,O282)</f>
        <v>1</v>
      </c>
      <c r="M282" s="4" t="n">
        <f aca="false">INDEX('Master List'!$G$2:$G$2594,O282)</f>
        <v>0</v>
      </c>
      <c r="N282" s="4" t="str">
        <f aca="false">IF(K282="","",A282)</f>
        <v/>
      </c>
      <c r="O282" s="4" t="n">
        <v>234</v>
      </c>
      <c r="P282" s="4" t="n">
        <f aca="false">IF(A282=A281,P281+1-M281,0)</f>
        <v>3</v>
      </c>
    </row>
    <row r="283" customFormat="false" ht="15" hidden="false" customHeight="false" outlineLevel="0" collapsed="false">
      <c r="A283" s="27" t="s">
        <v>3921</v>
      </c>
      <c r="B283" s="27" t="s">
        <v>50</v>
      </c>
      <c r="C283" s="27" t="s">
        <v>71</v>
      </c>
      <c r="D283" s="27" t="s">
        <v>3922</v>
      </c>
      <c r="E283" s="4" t="n">
        <v>1</v>
      </c>
      <c r="F283" s="4" t="s">
        <v>144</v>
      </c>
      <c r="G283" s="7" t="s">
        <v>244</v>
      </c>
      <c r="H283" s="4" t="n">
        <v>1980</v>
      </c>
      <c r="I283" s="4" t="s">
        <v>164</v>
      </c>
      <c r="J283" s="25" t="str">
        <f aca="false">IF(M283=1,"✓","")</f>
        <v>✓</v>
      </c>
      <c r="K283" s="4" t="str">
        <f aca="false">IF(AND(M283=0,P283=0),"▶ NEXT","")</f>
        <v/>
      </c>
      <c r="L283" s="4" t="n">
        <f aca="false">INDEX('Master List'!$F$2:$F$2594,O283)</f>
        <v>5</v>
      </c>
      <c r="M283" s="4" t="n">
        <f aca="false">INDEX('Master List'!$G$2:$G$2594,O283)</f>
        <v>1</v>
      </c>
      <c r="N283" s="4" t="str">
        <f aca="false">IF(K283="","",A283)</f>
        <v/>
      </c>
      <c r="O283" s="4" t="n">
        <v>1850</v>
      </c>
      <c r="P283" s="4" t="n">
        <f aca="false">IF(A283=A282,P282+1-M282,0)</f>
        <v>0</v>
      </c>
    </row>
    <row r="284" customFormat="false" ht="15" hidden="false" customHeight="false" outlineLevel="0" collapsed="false">
      <c r="A284" s="27" t="s">
        <v>3921</v>
      </c>
      <c r="B284" s="27" t="s">
        <v>50</v>
      </c>
      <c r="C284" s="27" t="s">
        <v>71</v>
      </c>
      <c r="D284" s="27" t="s">
        <v>3922</v>
      </c>
      <c r="E284" s="4" t="n">
        <v>2</v>
      </c>
      <c r="F284" s="4" t="s">
        <v>144</v>
      </c>
      <c r="G284" s="7" t="s">
        <v>317</v>
      </c>
      <c r="H284" s="4" t="n">
        <v>1986</v>
      </c>
      <c r="I284" s="4" t="s">
        <v>154</v>
      </c>
      <c r="J284" s="25" t="str">
        <f aca="false">IF(M284=1,"✓","")</f>
        <v>✓</v>
      </c>
      <c r="K284" s="4" t="str">
        <f aca="false">IF(AND(M284=0,P284=0),"▶ NEXT","")</f>
        <v/>
      </c>
      <c r="L284" s="4" t="n">
        <f aca="false">INDEX('Master List'!$F$2:$F$2594,O284)</f>
        <v>4</v>
      </c>
      <c r="M284" s="4" t="n">
        <f aca="false">INDEX('Master List'!$G$2:$G$2594,O284)</f>
        <v>1</v>
      </c>
      <c r="N284" s="4" t="str">
        <f aca="false">IF(K284="","",A284)</f>
        <v/>
      </c>
      <c r="O284" s="4" t="n">
        <v>302</v>
      </c>
      <c r="P284" s="4" t="n">
        <f aca="false">IF(A284=A283,P283+1-M283,0)</f>
        <v>0</v>
      </c>
    </row>
    <row r="285" customFormat="false" ht="15" hidden="false" customHeight="false" outlineLevel="0" collapsed="false">
      <c r="A285" s="27" t="s">
        <v>3921</v>
      </c>
      <c r="B285" s="27" t="s">
        <v>50</v>
      </c>
      <c r="C285" s="27" t="s">
        <v>71</v>
      </c>
      <c r="D285" s="27" t="s">
        <v>3922</v>
      </c>
      <c r="E285" s="4" t="n">
        <v>3</v>
      </c>
      <c r="F285" s="4" t="s">
        <v>213</v>
      </c>
      <c r="G285" s="4" t="s">
        <v>313</v>
      </c>
      <c r="H285" s="4" t="n">
        <v>1980</v>
      </c>
      <c r="I285" s="4" t="s">
        <v>187</v>
      </c>
      <c r="J285" s="25" t="str">
        <f aca="false">IF(M285=1,"✓","")</f>
        <v>✓</v>
      </c>
      <c r="K285" s="4" t="str">
        <f aca="false">IF(AND(M285=0,P285=0),"▶ NEXT","")</f>
        <v/>
      </c>
      <c r="L285" s="4" t="n">
        <f aca="false">INDEX('Master List'!$F$2:$F$2594,O285)</f>
        <v>4</v>
      </c>
      <c r="M285" s="4" t="n">
        <f aca="false">INDEX('Master List'!$G$2:$G$2594,O285)</f>
        <v>1</v>
      </c>
      <c r="N285" s="4" t="str">
        <f aca="false">IF(K285="","",A285)</f>
        <v/>
      </c>
      <c r="O285" s="4" t="n">
        <v>2046</v>
      </c>
      <c r="P285" s="4" t="n">
        <f aca="false">IF(A285=A284,P284+1-M284,0)</f>
        <v>0</v>
      </c>
    </row>
    <row r="286" customFormat="false" ht="15" hidden="false" customHeight="false" outlineLevel="0" collapsed="false">
      <c r="A286" s="27" t="s">
        <v>3921</v>
      </c>
      <c r="B286" s="27" t="s">
        <v>50</v>
      </c>
      <c r="C286" s="27" t="s">
        <v>71</v>
      </c>
      <c r="D286" s="27" t="s">
        <v>3922</v>
      </c>
      <c r="E286" s="4" t="n">
        <v>4</v>
      </c>
      <c r="F286" s="4" t="s">
        <v>213</v>
      </c>
      <c r="G286" s="4" t="s">
        <v>173</v>
      </c>
      <c r="H286" s="4" t="n">
        <v>1982</v>
      </c>
      <c r="I286" s="4" t="s">
        <v>174</v>
      </c>
      <c r="J286" s="25" t="str">
        <f aca="false">IF(M286=1,"✓","")</f>
        <v>✓</v>
      </c>
      <c r="K286" s="4" t="str">
        <f aca="false">IF(AND(M286=0,P286=0),"▶ NEXT","")</f>
        <v/>
      </c>
      <c r="L286" s="4" t="n">
        <f aca="false">INDEX('Master List'!$F$2:$F$2594,O286)</f>
        <v>8</v>
      </c>
      <c r="M286" s="4" t="n">
        <f aca="false">INDEX('Master List'!$G$2:$G$2594,O286)</f>
        <v>1</v>
      </c>
      <c r="N286" s="4" t="str">
        <f aca="false">IF(K286="","",A286)</f>
        <v/>
      </c>
      <c r="O286" s="4" t="n">
        <v>279</v>
      </c>
      <c r="P286" s="4" t="n">
        <f aca="false">IF(A286=A285,P285+1-M285,0)</f>
        <v>0</v>
      </c>
    </row>
    <row r="287" customFormat="false" ht="15" hidden="false" customHeight="false" outlineLevel="0" collapsed="false">
      <c r="A287" s="27" t="s">
        <v>3921</v>
      </c>
      <c r="B287" s="27" t="s">
        <v>50</v>
      </c>
      <c r="C287" s="27" t="s">
        <v>71</v>
      </c>
      <c r="D287" s="27" t="s">
        <v>3922</v>
      </c>
      <c r="E287" s="4" t="n">
        <v>5</v>
      </c>
      <c r="F287" s="4" t="s">
        <v>213</v>
      </c>
      <c r="G287" s="4" t="s">
        <v>314</v>
      </c>
      <c r="H287" s="4" t="n">
        <v>1982</v>
      </c>
      <c r="I287" s="4" t="s">
        <v>164</v>
      </c>
      <c r="J287" s="25" t="str">
        <f aca="false">IF(M287=1,"✓","")</f>
        <v>✓</v>
      </c>
      <c r="K287" s="4" t="str">
        <f aca="false">IF(AND(M287=0,P287=0),"▶ NEXT","")</f>
        <v/>
      </c>
      <c r="L287" s="4" t="n">
        <f aca="false">INDEX('Master List'!$F$2:$F$2594,O287)</f>
        <v>4</v>
      </c>
      <c r="M287" s="4" t="n">
        <f aca="false">INDEX('Master List'!$G$2:$G$2594,O287)</f>
        <v>1</v>
      </c>
      <c r="N287" s="4" t="str">
        <f aca="false">IF(K287="","",A287)</f>
        <v/>
      </c>
      <c r="O287" s="4" t="n">
        <v>1258</v>
      </c>
      <c r="P287" s="4" t="n">
        <f aca="false">IF(A287=A286,P286+1-M286,0)</f>
        <v>0</v>
      </c>
    </row>
    <row r="288" customFormat="false" ht="15" hidden="false" customHeight="false" outlineLevel="0" collapsed="false">
      <c r="A288" s="27" t="s">
        <v>3921</v>
      </c>
      <c r="B288" s="27" t="s">
        <v>50</v>
      </c>
      <c r="C288" s="27" t="s">
        <v>71</v>
      </c>
      <c r="D288" s="27" t="s">
        <v>3922</v>
      </c>
      <c r="E288" s="4" t="n">
        <v>6</v>
      </c>
      <c r="F288" s="4" t="s">
        <v>213</v>
      </c>
      <c r="G288" s="4" t="s">
        <v>315</v>
      </c>
      <c r="H288" s="4" t="n">
        <v>1983</v>
      </c>
      <c r="I288" s="4" t="s">
        <v>316</v>
      </c>
      <c r="J288" s="25" t="str">
        <f aca="false">IF(M288=1,"✓","")</f>
        <v>✓</v>
      </c>
      <c r="K288" s="4" t="str">
        <f aca="false">IF(AND(M288=0,P288=0),"▶ NEXT","")</f>
        <v/>
      </c>
      <c r="L288" s="4" t="n">
        <f aca="false">INDEX('Master List'!$F$2:$F$2594,O288)</f>
        <v>5</v>
      </c>
      <c r="M288" s="4" t="n">
        <f aca="false">INDEX('Master List'!$G$2:$G$2594,O288)</f>
        <v>1</v>
      </c>
      <c r="N288" s="4" t="str">
        <f aca="false">IF(K288="","",A288)</f>
        <v/>
      </c>
      <c r="O288" s="4" t="n">
        <v>2434</v>
      </c>
      <c r="P288" s="4" t="n">
        <f aca="false">IF(A288=A287,P287+1-M287,0)</f>
        <v>0</v>
      </c>
    </row>
    <row r="289" customFormat="false" ht="15" hidden="false" customHeight="false" outlineLevel="0" collapsed="false">
      <c r="A289" s="27" t="s">
        <v>3921</v>
      </c>
      <c r="B289" s="27" t="s">
        <v>50</v>
      </c>
      <c r="C289" s="27" t="s">
        <v>71</v>
      </c>
      <c r="D289" s="27" t="s">
        <v>3922</v>
      </c>
      <c r="E289" s="4" t="n">
        <v>7</v>
      </c>
      <c r="F289" s="4" t="s">
        <v>213</v>
      </c>
      <c r="G289" s="4" t="s">
        <v>394</v>
      </c>
      <c r="H289" s="4" t="n">
        <v>1984</v>
      </c>
      <c r="I289" s="4" t="s">
        <v>395</v>
      </c>
      <c r="J289" s="25" t="str">
        <f aca="false">IF(M289=1,"✓","")</f>
        <v/>
      </c>
      <c r="K289" s="4" t="str">
        <f aca="false">IF(AND(M289=0,P289=0),"▶ NEXT","")</f>
        <v>▶ NEXT</v>
      </c>
      <c r="L289" s="4" t="n">
        <f aca="false">INDEX('Master List'!$F$2:$F$2594,O289)</f>
        <v>4</v>
      </c>
      <c r="M289" s="4" t="n">
        <f aca="false">INDEX('Master List'!$G$2:$G$2594,O289)</f>
        <v>0</v>
      </c>
      <c r="N289" s="4" t="str">
        <f aca="false">IF(K289="","",A289)</f>
        <v>N024</v>
      </c>
      <c r="O289" s="4" t="n">
        <v>1669</v>
      </c>
      <c r="P289" s="4" t="n">
        <f aca="false">IF(A289=A288,P288+1-M288,0)</f>
        <v>0</v>
      </c>
    </row>
    <row r="290" customFormat="false" ht="15" hidden="false" customHeight="false" outlineLevel="0" collapsed="false">
      <c r="A290" s="27" t="s">
        <v>3921</v>
      </c>
      <c r="B290" s="27" t="s">
        <v>50</v>
      </c>
      <c r="C290" s="27" t="s">
        <v>71</v>
      </c>
      <c r="D290" s="27" t="s">
        <v>3922</v>
      </c>
      <c r="E290" s="4" t="n">
        <v>8</v>
      </c>
      <c r="F290" s="4" t="s">
        <v>213</v>
      </c>
      <c r="G290" s="4" t="s">
        <v>366</v>
      </c>
      <c r="H290" s="4" t="n">
        <v>1985</v>
      </c>
      <c r="I290" s="4" t="s">
        <v>367</v>
      </c>
      <c r="J290" s="25" t="str">
        <f aca="false">IF(M290=1,"✓","")</f>
        <v/>
      </c>
      <c r="K290" s="4" t="str">
        <f aca="false">IF(AND(M290=0,P290=0),"▶ NEXT","")</f>
        <v/>
      </c>
      <c r="L290" s="4" t="n">
        <f aca="false">INDEX('Master List'!$F$2:$F$2594,O290)</f>
        <v>4</v>
      </c>
      <c r="M290" s="4" t="n">
        <f aca="false">INDEX('Master List'!$G$2:$G$2594,O290)</f>
        <v>0</v>
      </c>
      <c r="N290" s="4" t="str">
        <f aca="false">IF(K290="","",A290)</f>
        <v/>
      </c>
      <c r="O290" s="4" t="n">
        <v>337</v>
      </c>
      <c r="P290" s="4" t="n">
        <f aca="false">IF(A290=A289,P289+1-M289,0)</f>
        <v>1</v>
      </c>
    </row>
    <row r="291" customFormat="false" ht="15" hidden="false" customHeight="false" outlineLevel="0" collapsed="false">
      <c r="A291" s="27" t="s">
        <v>3921</v>
      </c>
      <c r="B291" s="27" t="s">
        <v>50</v>
      </c>
      <c r="C291" s="27" t="s">
        <v>71</v>
      </c>
      <c r="D291" s="27" t="s">
        <v>3922</v>
      </c>
      <c r="E291" s="4" t="n">
        <v>9</v>
      </c>
      <c r="F291" s="4" t="s">
        <v>213</v>
      </c>
      <c r="G291" s="4" t="s">
        <v>398</v>
      </c>
      <c r="H291" s="4" t="n">
        <v>1985</v>
      </c>
      <c r="I291" s="4" t="s">
        <v>164</v>
      </c>
      <c r="J291" s="25" t="str">
        <f aca="false">IF(M291=1,"✓","")</f>
        <v>✓</v>
      </c>
      <c r="K291" s="4" t="str">
        <f aca="false">IF(AND(M291=0,P291=0),"▶ NEXT","")</f>
        <v/>
      </c>
      <c r="L291" s="4" t="n">
        <f aca="false">INDEX('Master List'!$F$2:$F$2594,O291)</f>
        <v>4</v>
      </c>
      <c r="M291" s="4" t="n">
        <f aca="false">INDEX('Master List'!$G$2:$G$2594,O291)</f>
        <v>1</v>
      </c>
      <c r="N291" s="4" t="str">
        <f aca="false">IF(K291="","",A291)</f>
        <v/>
      </c>
      <c r="O291" s="4" t="n">
        <v>49</v>
      </c>
      <c r="P291" s="4" t="n">
        <f aca="false">IF(A291=A290,P290+1-M290,0)</f>
        <v>2</v>
      </c>
    </row>
    <row r="292" customFormat="false" ht="15" hidden="false" customHeight="false" outlineLevel="0" collapsed="false">
      <c r="A292" s="27" t="s">
        <v>3921</v>
      </c>
      <c r="B292" s="27" t="s">
        <v>50</v>
      </c>
      <c r="C292" s="27" t="s">
        <v>71</v>
      </c>
      <c r="D292" s="27" t="s">
        <v>3922</v>
      </c>
      <c r="E292" s="4" t="n">
        <v>10</v>
      </c>
      <c r="F292" s="4" t="s">
        <v>213</v>
      </c>
      <c r="G292" s="4" t="s">
        <v>147</v>
      </c>
      <c r="H292" s="4" t="n">
        <v>1989</v>
      </c>
      <c r="I292" s="4" t="s">
        <v>148</v>
      </c>
      <c r="J292" s="25" t="str">
        <f aca="false">IF(M292=1,"✓","")</f>
        <v>✓</v>
      </c>
      <c r="K292" s="4" t="str">
        <f aca="false">IF(AND(M292=0,P292=0),"▶ NEXT","")</f>
        <v/>
      </c>
      <c r="L292" s="4" t="n">
        <f aca="false">INDEX('Master List'!$F$2:$F$2594,O292)</f>
        <v>11</v>
      </c>
      <c r="M292" s="4" t="n">
        <f aca="false">INDEX('Master List'!$G$2:$G$2594,O292)</f>
        <v>1</v>
      </c>
      <c r="N292" s="4" t="str">
        <f aca="false">IF(K292="","",A292)</f>
        <v/>
      </c>
      <c r="O292" s="4" t="n">
        <v>646</v>
      </c>
      <c r="P292" s="4" t="n">
        <f aca="false">IF(A292=A291,P291+1-M291,0)</f>
        <v>2</v>
      </c>
    </row>
    <row r="293" customFormat="false" ht="15" hidden="false" customHeight="false" outlineLevel="0" collapsed="false">
      <c r="A293" s="27" t="s">
        <v>3921</v>
      </c>
      <c r="B293" s="27" t="s">
        <v>50</v>
      </c>
      <c r="C293" s="27" t="s">
        <v>71</v>
      </c>
      <c r="D293" s="27" t="s">
        <v>3922</v>
      </c>
      <c r="E293" s="4" t="n">
        <v>11</v>
      </c>
      <c r="F293" s="4" t="s">
        <v>1327</v>
      </c>
      <c r="G293" s="4" t="s">
        <v>559</v>
      </c>
      <c r="H293" s="4" t="n">
        <v>1981</v>
      </c>
      <c r="I293" s="4" t="s">
        <v>296</v>
      </c>
      <c r="J293" s="25" t="str">
        <f aca="false">IF(M293=1,"✓","")</f>
        <v/>
      </c>
      <c r="K293" s="4" t="str">
        <f aca="false">IF(AND(M293=0,P293=0),"▶ NEXT","")</f>
        <v/>
      </c>
      <c r="L293" s="4" t="n">
        <f aca="false">INDEX('Master List'!$F$2:$F$2594,O293)</f>
        <v>4</v>
      </c>
      <c r="M293" s="4" t="n">
        <f aca="false">INDEX('Master List'!$G$2:$G$2594,O293)</f>
        <v>0</v>
      </c>
      <c r="N293" s="4" t="str">
        <f aca="false">IF(K293="","",A293)</f>
        <v/>
      </c>
      <c r="O293" s="4" t="n">
        <v>2274</v>
      </c>
      <c r="P293" s="4" t="n">
        <f aca="false">IF(A293=A292,P292+1-M292,0)</f>
        <v>2</v>
      </c>
    </row>
    <row r="294" customFormat="false" ht="15" hidden="false" customHeight="false" outlineLevel="0" collapsed="false">
      <c r="A294" s="27" t="s">
        <v>3921</v>
      </c>
      <c r="B294" s="27" t="s">
        <v>50</v>
      </c>
      <c r="C294" s="27" t="s">
        <v>71</v>
      </c>
      <c r="D294" s="27" t="s">
        <v>3922</v>
      </c>
      <c r="E294" s="4" t="n">
        <v>12</v>
      </c>
      <c r="F294" s="4" t="s">
        <v>1327</v>
      </c>
      <c r="G294" s="4" t="s">
        <v>3627</v>
      </c>
      <c r="H294" s="4" t="n">
        <v>1985</v>
      </c>
      <c r="I294" s="4" t="s">
        <v>479</v>
      </c>
      <c r="J294" s="25" t="str">
        <f aca="false">IF(M294=1,"✓","")</f>
        <v>✓</v>
      </c>
      <c r="K294" s="4" t="str">
        <f aca="false">IF(AND(M294=0,P294=0),"▶ NEXT","")</f>
        <v/>
      </c>
      <c r="L294" s="4" t="n">
        <f aca="false">INDEX('Master List'!$F$2:$F$2594,O294)</f>
        <v>1</v>
      </c>
      <c r="M294" s="4" t="n">
        <f aca="false">INDEX('Master List'!$G$2:$G$2594,O294)</f>
        <v>1</v>
      </c>
      <c r="N294" s="4" t="str">
        <f aca="false">IF(K294="","",A294)</f>
        <v/>
      </c>
      <c r="O294" s="4" t="n">
        <v>2320</v>
      </c>
      <c r="P294" s="4" t="n">
        <f aca="false">IF(A294=A293,P293+1-M293,0)</f>
        <v>3</v>
      </c>
    </row>
    <row r="295" customFormat="false" ht="15" hidden="false" customHeight="false" outlineLevel="0" collapsed="false">
      <c r="A295" s="27" t="s">
        <v>3923</v>
      </c>
      <c r="B295" s="27" t="s">
        <v>50</v>
      </c>
      <c r="C295" s="27" t="s">
        <v>72</v>
      </c>
      <c r="D295" s="27" t="s">
        <v>3924</v>
      </c>
      <c r="E295" s="4" t="n">
        <v>1</v>
      </c>
      <c r="F295" s="4" t="s">
        <v>144</v>
      </c>
      <c r="G295" s="7" t="s">
        <v>680</v>
      </c>
      <c r="H295" s="4" t="n">
        <v>1984</v>
      </c>
      <c r="I295" s="4" t="s">
        <v>615</v>
      </c>
      <c r="J295" s="25" t="str">
        <f aca="false">IF(M295=1,"✓","")</f>
        <v/>
      </c>
      <c r="K295" s="4" t="str">
        <f aca="false">IF(AND(M295=0,P295=0),"▶ NEXT","")</f>
        <v>▶ NEXT</v>
      </c>
      <c r="L295" s="4" t="n">
        <f aca="false">INDEX('Master List'!$F$2:$F$2594,O295)</f>
        <v>2</v>
      </c>
      <c r="M295" s="4" t="n">
        <f aca="false">INDEX('Master List'!$G$2:$G$2594,O295)</f>
        <v>0</v>
      </c>
      <c r="N295" s="4" t="str">
        <f aca="false">IF(K295="","",A295)</f>
        <v>N025</v>
      </c>
      <c r="O295" s="4" t="n">
        <v>2176</v>
      </c>
      <c r="P295" s="4" t="n">
        <f aca="false">IF(A295=A294,P294+1-M294,0)</f>
        <v>0</v>
      </c>
    </row>
    <row r="296" customFormat="false" ht="15" hidden="false" customHeight="false" outlineLevel="0" collapsed="false">
      <c r="A296" s="27" t="s">
        <v>3923</v>
      </c>
      <c r="B296" s="27" t="s">
        <v>50</v>
      </c>
      <c r="C296" s="27" t="s">
        <v>72</v>
      </c>
      <c r="D296" s="27" t="s">
        <v>3924</v>
      </c>
      <c r="E296" s="4" t="n">
        <v>2</v>
      </c>
      <c r="F296" s="4" t="s">
        <v>144</v>
      </c>
      <c r="G296" s="7" t="s">
        <v>489</v>
      </c>
      <c r="H296" s="4" t="n">
        <v>1989</v>
      </c>
      <c r="I296" s="4" t="s">
        <v>490</v>
      </c>
      <c r="J296" s="25" t="str">
        <f aca="false">IF(M296=1,"✓","")</f>
        <v/>
      </c>
      <c r="K296" s="4" t="str">
        <f aca="false">IF(AND(M296=0,P296=0),"▶ NEXT","")</f>
        <v/>
      </c>
      <c r="L296" s="4" t="n">
        <f aca="false">INDEX('Master List'!$F$2:$F$2594,O296)</f>
        <v>3</v>
      </c>
      <c r="M296" s="4" t="n">
        <f aca="false">INDEX('Master List'!$G$2:$G$2594,O296)</f>
        <v>0</v>
      </c>
      <c r="N296" s="4" t="str">
        <f aca="false">IF(K296="","",A296)</f>
        <v/>
      </c>
      <c r="O296" s="4" t="n">
        <v>2027</v>
      </c>
      <c r="P296" s="4" t="n">
        <f aca="false">IF(A296=A295,P295+1-M295,0)</f>
        <v>1</v>
      </c>
    </row>
    <row r="297" customFormat="false" ht="15" hidden="false" customHeight="false" outlineLevel="0" collapsed="false">
      <c r="A297" s="27" t="s">
        <v>3923</v>
      </c>
      <c r="B297" s="27" t="s">
        <v>50</v>
      </c>
      <c r="C297" s="27" t="s">
        <v>72</v>
      </c>
      <c r="D297" s="27" t="s">
        <v>3924</v>
      </c>
      <c r="E297" s="4" t="n">
        <v>3</v>
      </c>
      <c r="F297" s="4" t="s">
        <v>213</v>
      </c>
      <c r="G297" s="4" t="s">
        <v>396</v>
      </c>
      <c r="H297" s="4" t="n">
        <v>1984</v>
      </c>
      <c r="I297" s="4" t="s">
        <v>397</v>
      </c>
      <c r="J297" s="25" t="str">
        <f aca="false">IF(M297=1,"✓","")</f>
        <v>✓</v>
      </c>
      <c r="K297" s="4" t="str">
        <f aca="false">IF(AND(M297=0,P297=0),"▶ NEXT","")</f>
        <v/>
      </c>
      <c r="L297" s="4" t="n">
        <f aca="false">INDEX('Master List'!$F$2:$F$2594,O297)</f>
        <v>4</v>
      </c>
      <c r="M297" s="4" t="n">
        <f aca="false">INDEX('Master List'!$G$2:$G$2594,O297)</f>
        <v>1</v>
      </c>
      <c r="N297" s="4" t="str">
        <f aca="false">IF(K297="","",A297)</f>
        <v/>
      </c>
      <c r="O297" s="4" t="n">
        <v>294</v>
      </c>
      <c r="P297" s="4" t="n">
        <f aca="false">IF(A297=A296,P296+1-M296,0)</f>
        <v>2</v>
      </c>
    </row>
    <row r="298" customFormat="false" ht="15" hidden="false" customHeight="false" outlineLevel="0" collapsed="false">
      <c r="A298" s="27" t="s">
        <v>3923</v>
      </c>
      <c r="B298" s="27" t="s">
        <v>50</v>
      </c>
      <c r="C298" s="27" t="s">
        <v>72</v>
      </c>
      <c r="D298" s="27" t="s">
        <v>3924</v>
      </c>
      <c r="E298" s="4" t="n">
        <v>4</v>
      </c>
      <c r="F298" s="4" t="s">
        <v>213</v>
      </c>
      <c r="G298" s="4" t="s">
        <v>1075</v>
      </c>
      <c r="H298" s="4" t="n">
        <v>1986</v>
      </c>
      <c r="I298" s="4" t="s">
        <v>148</v>
      </c>
      <c r="J298" s="25" t="str">
        <f aca="false">IF(M298=1,"✓","")</f>
        <v/>
      </c>
      <c r="K298" s="4" t="str">
        <f aca="false">IF(AND(M298=0,P298=0),"▶ NEXT","")</f>
        <v/>
      </c>
      <c r="L298" s="4" t="n">
        <f aca="false">INDEX('Master List'!$F$2:$F$2594,O298)</f>
        <v>2</v>
      </c>
      <c r="M298" s="4" t="n">
        <f aca="false">INDEX('Master List'!$G$2:$G$2594,O298)</f>
        <v>0</v>
      </c>
      <c r="N298" s="4" t="str">
        <f aca="false">IF(K298="","",A298)</f>
        <v/>
      </c>
      <c r="O298" s="4" t="n">
        <v>2040</v>
      </c>
      <c r="P298" s="4" t="n">
        <f aca="false">IF(A298=A297,P297+1-M297,0)</f>
        <v>2</v>
      </c>
    </row>
    <row r="299" customFormat="false" ht="15" hidden="false" customHeight="false" outlineLevel="0" collapsed="false">
      <c r="A299" s="27" t="s">
        <v>3923</v>
      </c>
      <c r="B299" s="27" t="s">
        <v>50</v>
      </c>
      <c r="C299" s="27" t="s">
        <v>72</v>
      </c>
      <c r="D299" s="27" t="s">
        <v>3924</v>
      </c>
      <c r="E299" s="4" t="n">
        <v>5</v>
      </c>
      <c r="F299" s="4" t="s">
        <v>213</v>
      </c>
      <c r="G299" s="4" t="s">
        <v>370</v>
      </c>
      <c r="H299" s="4" t="n">
        <v>1990</v>
      </c>
      <c r="I299" s="4" t="s">
        <v>320</v>
      </c>
      <c r="J299" s="25" t="str">
        <f aca="false">IF(M299=1,"✓","")</f>
        <v/>
      </c>
      <c r="K299" s="4" t="str">
        <f aca="false">IF(AND(M299=0,P299=0),"▶ NEXT","")</f>
        <v/>
      </c>
      <c r="L299" s="4" t="n">
        <f aca="false">INDEX('Master List'!$F$2:$F$2594,O299)</f>
        <v>4</v>
      </c>
      <c r="M299" s="4" t="n">
        <f aca="false">INDEX('Master List'!$G$2:$G$2594,O299)</f>
        <v>0</v>
      </c>
      <c r="N299" s="4" t="str">
        <f aca="false">IF(K299="","",A299)</f>
        <v/>
      </c>
      <c r="O299" s="4" t="n">
        <v>2086</v>
      </c>
      <c r="P299" s="4" t="n">
        <f aca="false">IF(A299=A298,P298+1-M298,0)</f>
        <v>3</v>
      </c>
    </row>
    <row r="300" customFormat="false" ht="15" hidden="false" customHeight="false" outlineLevel="0" collapsed="false">
      <c r="A300" s="27" t="s">
        <v>3923</v>
      </c>
      <c r="B300" s="27" t="s">
        <v>50</v>
      </c>
      <c r="C300" s="27" t="s">
        <v>72</v>
      </c>
      <c r="D300" s="27" t="s">
        <v>3924</v>
      </c>
      <c r="E300" s="4" t="n">
        <v>6</v>
      </c>
      <c r="F300" s="4" t="s">
        <v>213</v>
      </c>
      <c r="G300" s="4" t="s">
        <v>258</v>
      </c>
      <c r="H300" s="4" t="n">
        <v>1992</v>
      </c>
      <c r="I300" s="4" t="s">
        <v>208</v>
      </c>
      <c r="J300" s="25" t="str">
        <f aca="false">IF(M300=1,"✓","")</f>
        <v>✓</v>
      </c>
      <c r="K300" s="4" t="str">
        <f aca="false">IF(AND(M300=0,P300=0),"▶ NEXT","")</f>
        <v/>
      </c>
      <c r="L300" s="4" t="n">
        <f aca="false">INDEX('Master List'!$F$2:$F$2594,O300)</f>
        <v>5</v>
      </c>
      <c r="M300" s="4" t="n">
        <f aca="false">INDEX('Master List'!$G$2:$G$2594,O300)</f>
        <v>1</v>
      </c>
      <c r="N300" s="4" t="str">
        <f aca="false">IF(K300="","",A300)</f>
        <v/>
      </c>
      <c r="O300" s="4" t="n">
        <v>1892</v>
      </c>
      <c r="P300" s="4" t="n">
        <f aca="false">IF(A300=A299,P299+1-M299,0)</f>
        <v>4</v>
      </c>
    </row>
    <row r="301" customFormat="false" ht="15" hidden="false" customHeight="false" outlineLevel="0" collapsed="false">
      <c r="A301" s="27" t="s">
        <v>3923</v>
      </c>
      <c r="B301" s="27" t="s">
        <v>50</v>
      </c>
      <c r="C301" s="27" t="s">
        <v>72</v>
      </c>
      <c r="D301" s="27" t="s">
        <v>3924</v>
      </c>
      <c r="E301" s="4" t="n">
        <v>7</v>
      </c>
      <c r="F301" s="4" t="s">
        <v>213</v>
      </c>
      <c r="G301" s="4" t="s">
        <v>1104</v>
      </c>
      <c r="H301" s="4" t="n">
        <v>1994</v>
      </c>
      <c r="I301" s="4" t="s">
        <v>1105</v>
      </c>
      <c r="J301" s="25" t="str">
        <f aca="false">IF(M301=1,"✓","")</f>
        <v/>
      </c>
      <c r="K301" s="4" t="str">
        <f aca="false">IF(AND(M301=0,P301=0),"▶ NEXT","")</f>
        <v/>
      </c>
      <c r="L301" s="4" t="n">
        <f aca="false">INDEX('Master List'!$F$2:$F$2594,O301)</f>
        <v>2</v>
      </c>
      <c r="M301" s="4" t="n">
        <f aca="false">INDEX('Master List'!$G$2:$G$2594,O301)</f>
        <v>0</v>
      </c>
      <c r="N301" s="4" t="str">
        <f aca="false">IF(K301="","",A301)</f>
        <v/>
      </c>
      <c r="O301" s="4" t="n">
        <v>476</v>
      </c>
      <c r="P301" s="4" t="n">
        <f aca="false">IF(A301=A300,P300+1-M300,0)</f>
        <v>4</v>
      </c>
    </row>
    <row r="302" customFormat="false" ht="15" hidden="false" customHeight="false" outlineLevel="0" collapsed="false">
      <c r="A302" s="27" t="s">
        <v>3923</v>
      </c>
      <c r="B302" s="27" t="s">
        <v>50</v>
      </c>
      <c r="C302" s="27" t="s">
        <v>72</v>
      </c>
      <c r="D302" s="27" t="s">
        <v>3924</v>
      </c>
      <c r="E302" s="4" t="n">
        <v>8</v>
      </c>
      <c r="F302" s="4" t="s">
        <v>213</v>
      </c>
      <c r="G302" s="4" t="s">
        <v>2603</v>
      </c>
      <c r="H302" s="4" t="n">
        <v>1995</v>
      </c>
      <c r="I302" s="4" t="s">
        <v>718</v>
      </c>
      <c r="J302" s="25" t="str">
        <f aca="false">IF(M302=1,"✓","")</f>
        <v/>
      </c>
      <c r="K302" s="4" t="str">
        <f aca="false">IF(AND(M302=0,P302=0),"▶ NEXT","")</f>
        <v/>
      </c>
      <c r="L302" s="4" t="n">
        <f aca="false">INDEX('Master List'!$F$2:$F$2594,O302)</f>
        <v>1</v>
      </c>
      <c r="M302" s="4" t="n">
        <f aca="false">INDEX('Master List'!$G$2:$G$2594,O302)</f>
        <v>0</v>
      </c>
      <c r="N302" s="4" t="str">
        <f aca="false">IF(K302="","",A302)</f>
        <v/>
      </c>
      <c r="O302" s="4" t="n">
        <v>1954</v>
      </c>
      <c r="P302" s="4" t="n">
        <f aca="false">IF(A302=A301,P301+1-M301,0)</f>
        <v>5</v>
      </c>
    </row>
    <row r="303" customFormat="false" ht="15" hidden="false" customHeight="false" outlineLevel="0" collapsed="false">
      <c r="A303" s="27" t="s">
        <v>3923</v>
      </c>
      <c r="B303" s="27" t="s">
        <v>50</v>
      </c>
      <c r="C303" s="27" t="s">
        <v>72</v>
      </c>
      <c r="D303" s="27" t="s">
        <v>3924</v>
      </c>
      <c r="E303" s="4" t="n">
        <v>9</v>
      </c>
      <c r="F303" s="4" t="s">
        <v>213</v>
      </c>
      <c r="G303" s="4" t="s">
        <v>427</v>
      </c>
      <c r="H303" s="4" t="n">
        <v>1996</v>
      </c>
      <c r="I303" s="4" t="s">
        <v>397</v>
      </c>
      <c r="J303" s="25" t="str">
        <f aca="false">IF(M303=1,"✓","")</f>
        <v>✓</v>
      </c>
      <c r="K303" s="4" t="str">
        <f aca="false">IF(AND(M303=0,P303=0),"▶ NEXT","")</f>
        <v/>
      </c>
      <c r="L303" s="4" t="n">
        <f aca="false">INDEX('Master List'!$F$2:$F$2594,O303)</f>
        <v>3</v>
      </c>
      <c r="M303" s="4" t="n">
        <f aca="false">INDEX('Master List'!$G$2:$G$2594,O303)</f>
        <v>1</v>
      </c>
      <c r="N303" s="4" t="str">
        <f aca="false">IF(K303="","",A303)</f>
        <v/>
      </c>
      <c r="O303" s="4" t="n">
        <v>787</v>
      </c>
      <c r="P303" s="4" t="n">
        <f aca="false">IF(A303=A302,P302+1-M302,0)</f>
        <v>6</v>
      </c>
    </row>
    <row r="304" customFormat="false" ht="15" hidden="false" customHeight="false" outlineLevel="0" collapsed="false">
      <c r="A304" s="27" t="s">
        <v>3923</v>
      </c>
      <c r="B304" s="27" t="s">
        <v>50</v>
      </c>
      <c r="C304" s="27" t="s">
        <v>72</v>
      </c>
      <c r="D304" s="27" t="s">
        <v>3924</v>
      </c>
      <c r="E304" s="4" t="n">
        <v>10</v>
      </c>
      <c r="F304" s="4" t="s">
        <v>213</v>
      </c>
      <c r="G304" s="4" t="s">
        <v>273</v>
      </c>
      <c r="H304" s="4" t="n">
        <v>1998</v>
      </c>
      <c r="I304" s="4" t="s">
        <v>274</v>
      </c>
      <c r="J304" s="25" t="str">
        <f aca="false">IF(M304=1,"✓","")</f>
        <v>✓</v>
      </c>
      <c r="K304" s="4" t="str">
        <f aca="false">IF(AND(M304=0,P304=0),"▶ NEXT","")</f>
        <v/>
      </c>
      <c r="L304" s="4" t="n">
        <f aca="false">INDEX('Master List'!$F$2:$F$2594,O304)</f>
        <v>5</v>
      </c>
      <c r="M304" s="4" t="n">
        <f aca="false">INDEX('Master List'!$G$2:$G$2594,O304)</f>
        <v>1</v>
      </c>
      <c r="N304" s="4" t="str">
        <f aca="false">IF(K304="","",A304)</f>
        <v/>
      </c>
      <c r="O304" s="4" t="n">
        <v>1948</v>
      </c>
      <c r="P304" s="4" t="n">
        <f aca="false">IF(A304=A303,P303+1-M303,0)</f>
        <v>6</v>
      </c>
    </row>
    <row r="305" customFormat="false" ht="15" hidden="false" customHeight="false" outlineLevel="0" collapsed="false">
      <c r="A305" s="27" t="s">
        <v>3923</v>
      </c>
      <c r="B305" s="27" t="s">
        <v>50</v>
      </c>
      <c r="C305" s="27" t="s">
        <v>72</v>
      </c>
      <c r="D305" s="27" t="s">
        <v>3924</v>
      </c>
      <c r="E305" s="4" t="n">
        <v>11</v>
      </c>
      <c r="F305" s="4" t="s">
        <v>213</v>
      </c>
      <c r="G305" s="4" t="s">
        <v>623</v>
      </c>
      <c r="H305" s="4" t="n">
        <v>1998</v>
      </c>
      <c r="I305" s="4" t="s">
        <v>624</v>
      </c>
      <c r="J305" s="25" t="str">
        <f aca="false">IF(M305=1,"✓","")</f>
        <v/>
      </c>
      <c r="K305" s="4" t="str">
        <f aca="false">IF(AND(M305=0,P305=0),"▶ NEXT","")</f>
        <v/>
      </c>
      <c r="L305" s="4" t="n">
        <f aca="false">INDEX('Master List'!$F$2:$F$2594,O305)</f>
        <v>3</v>
      </c>
      <c r="M305" s="4" t="n">
        <f aca="false">INDEX('Master List'!$G$2:$G$2594,O305)</f>
        <v>0</v>
      </c>
      <c r="N305" s="4" t="str">
        <f aca="false">IF(K305="","",A305)</f>
        <v/>
      </c>
      <c r="O305" s="4" t="n">
        <v>986</v>
      </c>
      <c r="P305" s="4" t="n">
        <f aca="false">IF(A305=A304,P304+1-M304,0)</f>
        <v>6</v>
      </c>
    </row>
    <row r="306" customFormat="false" ht="15" hidden="false" customHeight="false" outlineLevel="0" collapsed="false">
      <c r="A306" s="27" t="s">
        <v>3923</v>
      </c>
      <c r="B306" s="27" t="s">
        <v>50</v>
      </c>
      <c r="C306" s="27" t="s">
        <v>72</v>
      </c>
      <c r="D306" s="27" t="s">
        <v>3924</v>
      </c>
      <c r="E306" s="4" t="n">
        <v>12</v>
      </c>
      <c r="F306" s="4" t="s">
        <v>213</v>
      </c>
      <c r="G306" s="4" t="s">
        <v>507</v>
      </c>
      <c r="H306" s="4" t="n">
        <v>1999</v>
      </c>
      <c r="I306" s="4" t="s">
        <v>508</v>
      </c>
      <c r="J306" s="25" t="str">
        <f aca="false">IF(M306=1,"✓","")</f>
        <v>✓</v>
      </c>
      <c r="K306" s="4" t="str">
        <f aca="false">IF(AND(M306=0,P306=0),"▶ NEXT","")</f>
        <v/>
      </c>
      <c r="L306" s="4" t="n">
        <f aca="false">INDEX('Master List'!$F$2:$F$2594,O306)</f>
        <v>3</v>
      </c>
      <c r="M306" s="4" t="n">
        <f aca="false">INDEX('Master List'!$G$2:$G$2594,O306)</f>
        <v>1</v>
      </c>
      <c r="N306" s="4" t="str">
        <f aca="false">IF(K306="","",A306)</f>
        <v/>
      </c>
      <c r="O306" s="4" t="n">
        <v>217</v>
      </c>
      <c r="P306" s="4" t="n">
        <f aca="false">IF(A306=A305,P305+1-M305,0)</f>
        <v>7</v>
      </c>
    </row>
    <row r="307" customFormat="false" ht="15" hidden="false" customHeight="false" outlineLevel="0" collapsed="false">
      <c r="A307" s="27" t="s">
        <v>3923</v>
      </c>
      <c r="B307" s="27" t="s">
        <v>50</v>
      </c>
      <c r="C307" s="27" t="s">
        <v>72</v>
      </c>
      <c r="D307" s="27" t="s">
        <v>3924</v>
      </c>
      <c r="E307" s="4" t="n">
        <v>13</v>
      </c>
      <c r="F307" s="4" t="s">
        <v>213</v>
      </c>
      <c r="G307" s="4" t="s">
        <v>428</v>
      </c>
      <c r="H307" s="4" t="n">
        <v>1999</v>
      </c>
      <c r="I307" s="4" t="s">
        <v>429</v>
      </c>
      <c r="J307" s="25" t="str">
        <f aca="false">IF(M307=1,"✓","")</f>
        <v>✓</v>
      </c>
      <c r="K307" s="4" t="str">
        <f aca="false">IF(AND(M307=0,P307=0),"▶ NEXT","")</f>
        <v/>
      </c>
      <c r="L307" s="4" t="n">
        <f aca="false">INDEX('Master List'!$F$2:$F$2594,O307)</f>
        <v>4</v>
      </c>
      <c r="M307" s="4" t="n">
        <f aca="false">INDEX('Master List'!$G$2:$G$2594,O307)</f>
        <v>1</v>
      </c>
      <c r="N307" s="4" t="str">
        <f aca="false">IF(K307="","",A307)</f>
        <v/>
      </c>
      <c r="O307" s="4" t="n">
        <v>716</v>
      </c>
      <c r="P307" s="4" t="n">
        <f aca="false">IF(A307=A306,P306+1-M306,0)</f>
        <v>7</v>
      </c>
    </row>
    <row r="308" customFormat="false" ht="15" hidden="false" customHeight="false" outlineLevel="0" collapsed="false">
      <c r="A308" s="27" t="s">
        <v>3923</v>
      </c>
      <c r="B308" s="27" t="s">
        <v>50</v>
      </c>
      <c r="C308" s="27" t="s">
        <v>72</v>
      </c>
      <c r="D308" s="27" t="s">
        <v>3924</v>
      </c>
      <c r="E308" s="4" t="n">
        <v>14</v>
      </c>
      <c r="F308" s="4" t="s">
        <v>213</v>
      </c>
      <c r="G308" s="4" t="s">
        <v>509</v>
      </c>
      <c r="H308" s="4" t="n">
        <v>1999</v>
      </c>
      <c r="I308" s="4" t="s">
        <v>278</v>
      </c>
      <c r="J308" s="25" t="str">
        <f aca="false">IF(M308=1,"✓","")</f>
        <v>✓</v>
      </c>
      <c r="K308" s="4" t="str">
        <f aca="false">IF(AND(M308=0,P308=0),"▶ NEXT","")</f>
        <v/>
      </c>
      <c r="L308" s="4" t="n">
        <f aca="false">INDEX('Master List'!$F$2:$F$2594,O308)</f>
        <v>3</v>
      </c>
      <c r="M308" s="4" t="n">
        <f aca="false">INDEX('Master List'!$G$2:$G$2594,O308)</f>
        <v>1</v>
      </c>
      <c r="N308" s="4" t="str">
        <f aca="false">IF(K308="","",A308)</f>
        <v/>
      </c>
      <c r="O308" s="4" t="n">
        <v>1415</v>
      </c>
      <c r="P308" s="4" t="n">
        <f aca="false">IF(A308=A307,P307+1-M307,0)</f>
        <v>7</v>
      </c>
    </row>
    <row r="309" customFormat="false" ht="15" hidden="false" customHeight="false" outlineLevel="0" collapsed="false">
      <c r="A309" s="27" t="s">
        <v>3923</v>
      </c>
      <c r="B309" s="27" t="s">
        <v>50</v>
      </c>
      <c r="C309" s="27" t="s">
        <v>72</v>
      </c>
      <c r="D309" s="27" t="s">
        <v>3924</v>
      </c>
      <c r="E309" s="4" t="n">
        <v>15</v>
      </c>
      <c r="F309" s="4" t="s">
        <v>1327</v>
      </c>
      <c r="G309" s="4" t="s">
        <v>3669</v>
      </c>
      <c r="H309" s="4" t="n">
        <v>1992</v>
      </c>
      <c r="I309" s="4" t="s">
        <v>3670</v>
      </c>
      <c r="J309" s="25" t="str">
        <f aca="false">IF(M309=1,"✓","")</f>
        <v/>
      </c>
      <c r="K309" s="4" t="str">
        <f aca="false">IF(AND(M309=0,P309=0),"▶ NEXT","")</f>
        <v/>
      </c>
      <c r="L309" s="4" t="n">
        <f aca="false">INDEX('Master List'!$F$2:$F$2594,O309)</f>
        <v>1</v>
      </c>
      <c r="M309" s="4" t="n">
        <f aca="false">INDEX('Master List'!$G$2:$G$2594,O309)</f>
        <v>0</v>
      </c>
      <c r="N309" s="4" t="str">
        <f aca="false">IF(K309="","",A309)</f>
        <v/>
      </c>
      <c r="O309" s="4" t="n">
        <v>879</v>
      </c>
      <c r="P309" s="4" t="n">
        <f aca="false">IF(A309=A308,P308+1-M308,0)</f>
        <v>7</v>
      </c>
    </row>
    <row r="310" customFormat="false" ht="15" hidden="false" customHeight="false" outlineLevel="0" collapsed="false">
      <c r="A310" s="27" t="s">
        <v>3923</v>
      </c>
      <c r="B310" s="27" t="s">
        <v>50</v>
      </c>
      <c r="C310" s="27" t="s">
        <v>72</v>
      </c>
      <c r="D310" s="27" t="s">
        <v>3924</v>
      </c>
      <c r="E310" s="4" t="n">
        <v>16</v>
      </c>
      <c r="F310" s="4" t="s">
        <v>1327</v>
      </c>
      <c r="G310" s="4" t="s">
        <v>1378</v>
      </c>
      <c r="H310" s="4" t="n">
        <v>1991</v>
      </c>
      <c r="I310" s="4" t="s">
        <v>718</v>
      </c>
      <c r="J310" s="25" t="str">
        <f aca="false">IF(M310=1,"✓","")</f>
        <v/>
      </c>
      <c r="K310" s="4" t="str">
        <f aca="false">IF(AND(M310=0,P310=0),"▶ NEXT","")</f>
        <v/>
      </c>
      <c r="L310" s="4" t="n">
        <f aca="false">INDEX('Master List'!$F$2:$F$2594,O310)</f>
        <v>2</v>
      </c>
      <c r="M310" s="4" t="n">
        <f aca="false">INDEX('Master List'!$G$2:$G$2594,O310)</f>
        <v>0</v>
      </c>
      <c r="N310" s="4" t="str">
        <f aca="false">IF(K310="","",A310)</f>
        <v/>
      </c>
      <c r="O310" s="4" t="n">
        <v>1786</v>
      </c>
      <c r="P310" s="4" t="n">
        <f aca="false">IF(A310=A309,P309+1-M309,0)</f>
        <v>8</v>
      </c>
    </row>
    <row r="311" customFormat="false" ht="15" hidden="false" customHeight="false" outlineLevel="0" collapsed="false">
      <c r="A311" s="27" t="s">
        <v>3923</v>
      </c>
      <c r="B311" s="27" t="s">
        <v>50</v>
      </c>
      <c r="C311" s="27" t="s">
        <v>72</v>
      </c>
      <c r="D311" s="27" t="s">
        <v>3924</v>
      </c>
      <c r="E311" s="4" t="n">
        <v>17</v>
      </c>
      <c r="F311" s="4" t="s">
        <v>1327</v>
      </c>
      <c r="G311" s="4" t="s">
        <v>3686</v>
      </c>
      <c r="H311" s="4" t="n">
        <v>1995</v>
      </c>
      <c r="I311" s="4" t="s">
        <v>624</v>
      </c>
      <c r="J311" s="25" t="str">
        <f aca="false">IF(M311=1,"✓","")</f>
        <v/>
      </c>
      <c r="K311" s="4" t="str">
        <f aca="false">IF(AND(M311=0,P311=0),"▶ NEXT","")</f>
        <v/>
      </c>
      <c r="L311" s="4" t="n">
        <f aca="false">INDEX('Master List'!$F$2:$F$2594,O311)</f>
        <v>1</v>
      </c>
      <c r="M311" s="4" t="n">
        <f aca="false">INDEX('Master List'!$G$2:$G$2594,O311)</f>
        <v>0</v>
      </c>
      <c r="N311" s="4" t="str">
        <f aca="false">IF(K311="","",A311)</f>
        <v/>
      </c>
      <c r="O311" s="4" t="n">
        <v>2480</v>
      </c>
      <c r="P311" s="4" t="n">
        <f aca="false">IF(A311=A310,P310+1-M310,0)</f>
        <v>9</v>
      </c>
    </row>
    <row r="312" customFormat="false" ht="15" hidden="false" customHeight="false" outlineLevel="0" collapsed="false">
      <c r="A312" s="27" t="s">
        <v>3925</v>
      </c>
      <c r="B312" s="27" t="s">
        <v>50</v>
      </c>
      <c r="C312" s="27" t="s">
        <v>73</v>
      </c>
      <c r="D312" s="27" t="s">
        <v>3926</v>
      </c>
      <c r="E312" s="4" t="n">
        <v>1</v>
      </c>
      <c r="F312" s="4" t="s">
        <v>144</v>
      </c>
      <c r="G312" s="7" t="s">
        <v>230</v>
      </c>
      <c r="H312" s="4" t="n">
        <v>2000</v>
      </c>
      <c r="I312" s="4" t="s">
        <v>193</v>
      </c>
      <c r="J312" s="25" t="str">
        <f aca="false">IF(M312=1,"✓","")</f>
        <v>✓</v>
      </c>
      <c r="K312" s="4" t="str">
        <f aca="false">IF(AND(M312=0,P312=0),"▶ NEXT","")</f>
        <v/>
      </c>
      <c r="L312" s="4" t="n">
        <f aca="false">INDEX('Master List'!$F$2:$F$2594,O312)</f>
        <v>5</v>
      </c>
      <c r="M312" s="4" t="n">
        <f aca="false">INDEX('Master List'!$G$2:$G$2594,O312)</f>
        <v>1</v>
      </c>
      <c r="N312" s="4" t="str">
        <f aca="false">IF(K312="","",A312)</f>
        <v/>
      </c>
      <c r="O312" s="4" t="n">
        <v>1129</v>
      </c>
      <c r="P312" s="4" t="n">
        <f aca="false">IF(A312=A311,P311+1-M311,0)</f>
        <v>0</v>
      </c>
    </row>
    <row r="313" customFormat="false" ht="15" hidden="false" customHeight="false" outlineLevel="0" collapsed="false">
      <c r="A313" s="27" t="s">
        <v>3925</v>
      </c>
      <c r="B313" s="27" t="s">
        <v>50</v>
      </c>
      <c r="C313" s="27" t="s">
        <v>73</v>
      </c>
      <c r="D313" s="27" t="s">
        <v>3926</v>
      </c>
      <c r="E313" s="4" t="n">
        <v>2</v>
      </c>
      <c r="F313" s="4" t="s">
        <v>144</v>
      </c>
      <c r="G313" s="7" t="s">
        <v>153</v>
      </c>
      <c r="H313" s="4" t="n">
        <v>2001</v>
      </c>
      <c r="I313" s="4" t="s">
        <v>154</v>
      </c>
      <c r="J313" s="25" t="str">
        <f aca="false">IF(M313=1,"✓","")</f>
        <v>✓</v>
      </c>
      <c r="K313" s="4" t="str">
        <f aca="false">IF(AND(M313=0,P313=0),"▶ NEXT","")</f>
        <v/>
      </c>
      <c r="L313" s="4" t="n">
        <f aca="false">INDEX('Master List'!$F$2:$F$2594,O313)</f>
        <v>9</v>
      </c>
      <c r="M313" s="4" t="n">
        <f aca="false">INDEX('Master List'!$G$2:$G$2594,O313)</f>
        <v>1</v>
      </c>
      <c r="N313" s="4" t="str">
        <f aca="false">IF(K313="","",A313)</f>
        <v/>
      </c>
      <c r="O313" s="4" t="n">
        <v>1555</v>
      </c>
      <c r="P313" s="4" t="n">
        <f aca="false">IF(A313=A312,P312+1-M312,0)</f>
        <v>0</v>
      </c>
    </row>
    <row r="314" customFormat="false" ht="15" hidden="false" customHeight="false" outlineLevel="0" collapsed="false">
      <c r="A314" s="27" t="s">
        <v>3925</v>
      </c>
      <c r="B314" s="27" t="s">
        <v>50</v>
      </c>
      <c r="C314" s="27" t="s">
        <v>73</v>
      </c>
      <c r="D314" s="27" t="s">
        <v>3926</v>
      </c>
      <c r="E314" s="4" t="n">
        <v>3</v>
      </c>
      <c r="F314" s="4" t="s">
        <v>213</v>
      </c>
      <c r="G314" s="4" t="s">
        <v>381</v>
      </c>
      <c r="H314" s="4" t="n">
        <v>2001</v>
      </c>
      <c r="I314" s="4" t="s">
        <v>382</v>
      </c>
      <c r="J314" s="25" t="str">
        <f aca="false">IF(M314=1,"✓","")</f>
        <v/>
      </c>
      <c r="K314" s="4" t="str">
        <f aca="false">IF(AND(M314=0,P314=0),"▶ NEXT","")</f>
        <v>▶ NEXT</v>
      </c>
      <c r="L314" s="4" t="n">
        <f aca="false">INDEX('Master List'!$F$2:$F$2594,O314)</f>
        <v>4</v>
      </c>
      <c r="M314" s="4" t="n">
        <f aca="false">INDEX('Master List'!$G$2:$G$2594,O314)</f>
        <v>0</v>
      </c>
      <c r="N314" s="4" t="str">
        <f aca="false">IF(K314="","",A314)</f>
        <v>N026</v>
      </c>
      <c r="O314" s="4" t="n">
        <v>2136</v>
      </c>
      <c r="P314" s="4" t="n">
        <f aca="false">IF(A314=A313,P313+1-M313,0)</f>
        <v>0</v>
      </c>
    </row>
    <row r="315" customFormat="false" ht="15" hidden="false" customHeight="false" outlineLevel="0" collapsed="false">
      <c r="A315" s="27" t="s">
        <v>3925</v>
      </c>
      <c r="B315" s="27" t="s">
        <v>50</v>
      </c>
      <c r="C315" s="27" t="s">
        <v>73</v>
      </c>
      <c r="D315" s="27" t="s">
        <v>3926</v>
      </c>
      <c r="E315" s="4" t="n">
        <v>4</v>
      </c>
      <c r="F315" s="4" t="s">
        <v>213</v>
      </c>
      <c r="G315" s="4" t="s">
        <v>222</v>
      </c>
      <c r="H315" s="4" t="n">
        <v>2000</v>
      </c>
      <c r="I315" s="4" t="s">
        <v>223</v>
      </c>
      <c r="J315" s="25" t="str">
        <f aca="false">IF(M315=1,"✓","")</f>
        <v/>
      </c>
      <c r="K315" s="4" t="str">
        <f aca="false">IF(AND(M315=0,P315=0),"▶ NEXT","")</f>
        <v/>
      </c>
      <c r="L315" s="4" t="n">
        <f aca="false">INDEX('Master List'!$F$2:$F$2594,O315)</f>
        <v>6</v>
      </c>
      <c r="M315" s="4" t="n">
        <f aca="false">INDEX('Master List'!$G$2:$G$2594,O315)</f>
        <v>0</v>
      </c>
      <c r="N315" s="4" t="str">
        <f aca="false">IF(K315="","",A315)</f>
        <v/>
      </c>
      <c r="O315" s="4" t="n">
        <v>2569</v>
      </c>
      <c r="P315" s="4" t="n">
        <f aca="false">IF(A315=A314,P314+1-M314,0)</f>
        <v>1</v>
      </c>
    </row>
    <row r="316" customFormat="false" ht="15" hidden="false" customHeight="false" outlineLevel="0" collapsed="false">
      <c r="A316" s="27" t="s">
        <v>3925</v>
      </c>
      <c r="B316" s="27" t="s">
        <v>50</v>
      </c>
      <c r="C316" s="27" t="s">
        <v>73</v>
      </c>
      <c r="D316" s="27" t="s">
        <v>3926</v>
      </c>
      <c r="E316" s="4" t="n">
        <v>5</v>
      </c>
      <c r="F316" s="4" t="s">
        <v>213</v>
      </c>
      <c r="G316" s="4" t="s">
        <v>275</v>
      </c>
      <c r="H316" s="4" t="n">
        <v>2003</v>
      </c>
      <c r="I316" s="4" t="s">
        <v>276</v>
      </c>
      <c r="J316" s="25" t="str">
        <f aca="false">IF(M316=1,"✓","")</f>
        <v/>
      </c>
      <c r="K316" s="4" t="str">
        <f aca="false">IF(AND(M316=0,P316=0),"▶ NEXT","")</f>
        <v/>
      </c>
      <c r="L316" s="4" t="n">
        <f aca="false">INDEX('Master List'!$F$2:$F$2594,O316)</f>
        <v>5</v>
      </c>
      <c r="M316" s="4" t="n">
        <f aca="false">INDEX('Master List'!$G$2:$G$2594,O316)</f>
        <v>0</v>
      </c>
      <c r="N316" s="4" t="str">
        <f aca="false">IF(K316="","",A316)</f>
        <v/>
      </c>
      <c r="O316" s="4" t="n">
        <v>1478</v>
      </c>
      <c r="P316" s="4" t="n">
        <f aca="false">IF(A316=A315,P315+1-M315,0)</f>
        <v>2</v>
      </c>
    </row>
    <row r="317" customFormat="false" ht="15" hidden="false" customHeight="false" outlineLevel="0" collapsed="false">
      <c r="A317" s="27" t="s">
        <v>3925</v>
      </c>
      <c r="B317" s="27" t="s">
        <v>50</v>
      </c>
      <c r="C317" s="27" t="s">
        <v>73</v>
      </c>
      <c r="D317" s="27" t="s">
        <v>3926</v>
      </c>
      <c r="E317" s="4" t="n">
        <v>6</v>
      </c>
      <c r="F317" s="4" t="s">
        <v>213</v>
      </c>
      <c r="G317" s="4" t="s">
        <v>515</v>
      </c>
      <c r="H317" s="4" t="n">
        <v>2005</v>
      </c>
      <c r="I317" s="4" t="s">
        <v>516</v>
      </c>
      <c r="J317" s="25" t="str">
        <f aca="false">IF(M317=1,"✓","")</f>
        <v/>
      </c>
      <c r="K317" s="4" t="str">
        <f aca="false">IF(AND(M317=0,P317=0),"▶ NEXT","")</f>
        <v/>
      </c>
      <c r="L317" s="4" t="n">
        <f aca="false">INDEX('Master List'!$F$2:$F$2594,O317)</f>
        <v>3</v>
      </c>
      <c r="M317" s="4" t="n">
        <f aca="false">INDEX('Master List'!$G$2:$G$2594,O317)</f>
        <v>0</v>
      </c>
      <c r="N317" s="4" t="str">
        <f aca="false">IF(K317="","",A317)</f>
        <v/>
      </c>
      <c r="O317" s="4" t="n">
        <v>379</v>
      </c>
      <c r="P317" s="4" t="n">
        <f aca="false">IF(A317=A316,P316+1-M316,0)</f>
        <v>3</v>
      </c>
    </row>
    <row r="318" customFormat="false" ht="15" hidden="false" customHeight="false" outlineLevel="0" collapsed="false">
      <c r="A318" s="27" t="s">
        <v>3925</v>
      </c>
      <c r="B318" s="27" t="s">
        <v>50</v>
      </c>
      <c r="C318" s="27" t="s">
        <v>73</v>
      </c>
      <c r="D318" s="27" t="s">
        <v>3926</v>
      </c>
      <c r="E318" s="4" t="n">
        <v>7</v>
      </c>
      <c r="F318" s="4" t="s">
        <v>213</v>
      </c>
      <c r="G318" s="4" t="s">
        <v>383</v>
      </c>
      <c r="H318" s="4" t="n">
        <v>2006</v>
      </c>
      <c r="I318" s="4" t="s">
        <v>384</v>
      </c>
      <c r="J318" s="25" t="str">
        <f aca="false">IF(M318=1,"✓","")</f>
        <v>✓</v>
      </c>
      <c r="K318" s="4" t="str">
        <f aca="false">IF(AND(M318=0,P318=0),"▶ NEXT","")</f>
        <v/>
      </c>
      <c r="L318" s="4" t="n">
        <f aca="false">INDEX('Master List'!$F$2:$F$2594,O318)</f>
        <v>4</v>
      </c>
      <c r="M318" s="4" t="n">
        <f aca="false">INDEX('Master List'!$G$2:$G$2594,O318)</f>
        <v>1</v>
      </c>
      <c r="N318" s="4" t="str">
        <f aca="false">IF(K318="","",A318)</f>
        <v/>
      </c>
      <c r="O318" s="4" t="n">
        <v>444</v>
      </c>
      <c r="P318" s="4" t="n">
        <f aca="false">IF(A318=A317,P317+1-M317,0)</f>
        <v>4</v>
      </c>
    </row>
    <row r="319" customFormat="false" ht="15" hidden="false" customHeight="false" outlineLevel="0" collapsed="false">
      <c r="A319" s="27" t="s">
        <v>3925</v>
      </c>
      <c r="B319" s="27" t="s">
        <v>50</v>
      </c>
      <c r="C319" s="27" t="s">
        <v>73</v>
      </c>
      <c r="D319" s="27" t="s">
        <v>3926</v>
      </c>
      <c r="E319" s="4" t="n">
        <v>8</v>
      </c>
      <c r="F319" s="4" t="s">
        <v>213</v>
      </c>
      <c r="G319" s="4" t="s">
        <v>322</v>
      </c>
      <c r="H319" s="4" t="n">
        <v>2007</v>
      </c>
      <c r="I319" s="4" t="s">
        <v>323</v>
      </c>
      <c r="J319" s="25" t="str">
        <f aca="false">IF(M319=1,"✓","")</f>
        <v>✓</v>
      </c>
      <c r="K319" s="4" t="str">
        <f aca="false">IF(AND(M319=0,P319=0),"▶ NEXT","")</f>
        <v/>
      </c>
      <c r="L319" s="4" t="n">
        <f aca="false">INDEX('Master List'!$F$2:$F$2594,O319)</f>
        <v>4</v>
      </c>
      <c r="M319" s="4" t="n">
        <f aca="false">INDEX('Master List'!$G$2:$G$2594,O319)</f>
        <v>1</v>
      </c>
      <c r="N319" s="4" t="str">
        <f aca="false">IF(K319="","",A319)</f>
        <v/>
      </c>
      <c r="O319" s="4" t="n">
        <v>1622</v>
      </c>
      <c r="P319" s="4" t="n">
        <f aca="false">IF(A319=A318,P318+1-M318,0)</f>
        <v>4</v>
      </c>
    </row>
    <row r="320" customFormat="false" ht="15" hidden="false" customHeight="false" outlineLevel="0" collapsed="false">
      <c r="A320" s="27" t="s">
        <v>3925</v>
      </c>
      <c r="B320" s="27" t="s">
        <v>50</v>
      </c>
      <c r="C320" s="27" t="s">
        <v>73</v>
      </c>
      <c r="D320" s="27" t="s">
        <v>3926</v>
      </c>
      <c r="E320" s="4" t="n">
        <v>9</v>
      </c>
      <c r="F320" s="4" t="s">
        <v>213</v>
      </c>
      <c r="G320" s="4" t="s">
        <v>277</v>
      </c>
      <c r="H320" s="4" t="n">
        <v>2007</v>
      </c>
      <c r="I320" s="4" t="s">
        <v>278</v>
      </c>
      <c r="J320" s="25" t="str">
        <f aca="false">IF(M320=1,"✓","")</f>
        <v>✓</v>
      </c>
      <c r="K320" s="4" t="str">
        <f aca="false">IF(AND(M320=0,P320=0),"▶ NEXT","")</f>
        <v/>
      </c>
      <c r="L320" s="4" t="n">
        <f aca="false">INDEX('Master List'!$F$2:$F$2594,O320)</f>
        <v>5</v>
      </c>
      <c r="M320" s="4" t="n">
        <f aca="false">INDEX('Master List'!$G$2:$G$2594,O320)</f>
        <v>1</v>
      </c>
      <c r="N320" s="4" t="str">
        <f aca="false">IF(K320="","",A320)</f>
        <v/>
      </c>
      <c r="O320" s="4" t="n">
        <v>2269</v>
      </c>
      <c r="P320" s="4" t="n">
        <f aca="false">IF(A320=A319,P319+1-M319,0)</f>
        <v>4</v>
      </c>
    </row>
    <row r="321" customFormat="false" ht="15" hidden="false" customHeight="false" outlineLevel="0" collapsed="false">
      <c r="A321" s="27" t="s">
        <v>3925</v>
      </c>
      <c r="B321" s="27" t="s">
        <v>50</v>
      </c>
      <c r="C321" s="27" t="s">
        <v>73</v>
      </c>
      <c r="D321" s="27" t="s">
        <v>3926</v>
      </c>
      <c r="E321" s="4" t="n">
        <v>10</v>
      </c>
      <c r="F321" s="4" t="s">
        <v>213</v>
      </c>
      <c r="G321" s="4" t="s">
        <v>324</v>
      </c>
      <c r="H321" s="4" t="n">
        <v>2007</v>
      </c>
      <c r="I321" s="4" t="s">
        <v>325</v>
      </c>
      <c r="J321" s="25" t="str">
        <f aca="false">IF(M321=1,"✓","")</f>
        <v/>
      </c>
      <c r="K321" s="4" t="str">
        <f aca="false">IF(AND(M321=0,P321=0),"▶ NEXT","")</f>
        <v/>
      </c>
      <c r="L321" s="4" t="n">
        <f aca="false">INDEX('Master List'!$F$2:$F$2594,O321)</f>
        <v>4</v>
      </c>
      <c r="M321" s="4" t="n">
        <f aca="false">INDEX('Master List'!$G$2:$G$2594,O321)</f>
        <v>0</v>
      </c>
      <c r="N321" s="4" t="str">
        <f aca="false">IF(K321="","",A321)</f>
        <v/>
      </c>
      <c r="O321" s="4" t="n">
        <v>2588</v>
      </c>
      <c r="P321" s="4" t="n">
        <f aca="false">IF(A321=A320,P320+1-M320,0)</f>
        <v>4</v>
      </c>
    </row>
    <row r="322" customFormat="false" ht="15" hidden="false" customHeight="false" outlineLevel="0" collapsed="false">
      <c r="A322" s="27" t="s">
        <v>3925</v>
      </c>
      <c r="B322" s="27" t="s">
        <v>50</v>
      </c>
      <c r="C322" s="27" t="s">
        <v>73</v>
      </c>
      <c r="D322" s="27" t="s">
        <v>3926</v>
      </c>
      <c r="E322" s="4" t="n">
        <v>11</v>
      </c>
      <c r="F322" s="4" t="s">
        <v>213</v>
      </c>
      <c r="G322" s="4" t="s">
        <v>518</v>
      </c>
      <c r="H322" s="4" t="n">
        <v>2011</v>
      </c>
      <c r="I322" s="4" t="s">
        <v>519</v>
      </c>
      <c r="J322" s="25" t="str">
        <f aca="false">IF(M322=1,"✓","")</f>
        <v/>
      </c>
      <c r="K322" s="4" t="str">
        <f aca="false">IF(AND(M322=0,P322=0),"▶ NEXT","")</f>
        <v/>
      </c>
      <c r="L322" s="4" t="n">
        <f aca="false">INDEX('Master List'!$F$2:$F$2594,O322)</f>
        <v>3</v>
      </c>
      <c r="M322" s="4" t="n">
        <f aca="false">INDEX('Master List'!$G$2:$G$2594,O322)</f>
        <v>0</v>
      </c>
      <c r="N322" s="4" t="str">
        <f aca="false">IF(K322="","",A322)</f>
        <v/>
      </c>
      <c r="O322" s="4" t="n">
        <v>2011</v>
      </c>
      <c r="P322" s="4" t="n">
        <f aca="false">IF(A322=A321,P321+1-M321,0)</f>
        <v>5</v>
      </c>
    </row>
    <row r="323" customFormat="false" ht="15" hidden="false" customHeight="false" outlineLevel="0" collapsed="false">
      <c r="A323" s="27" t="s">
        <v>3925</v>
      </c>
      <c r="B323" s="27" t="s">
        <v>50</v>
      </c>
      <c r="C323" s="27" t="s">
        <v>73</v>
      </c>
      <c r="D323" s="27" t="s">
        <v>3926</v>
      </c>
      <c r="E323" s="4" t="n">
        <v>12</v>
      </c>
      <c r="F323" s="4" t="s">
        <v>213</v>
      </c>
      <c r="G323" s="4" t="s">
        <v>1198</v>
      </c>
      <c r="H323" s="4" t="n">
        <v>2011</v>
      </c>
      <c r="I323" s="4" t="s">
        <v>361</v>
      </c>
      <c r="J323" s="25" t="str">
        <f aca="false">IF(M323=1,"✓","")</f>
        <v>✓</v>
      </c>
      <c r="K323" s="4" t="str">
        <f aca="false">IF(AND(M323=0,P323=0),"▶ NEXT","")</f>
        <v/>
      </c>
      <c r="L323" s="4" t="n">
        <f aca="false">INDEX('Master List'!$F$2:$F$2594,O323)</f>
        <v>2</v>
      </c>
      <c r="M323" s="4" t="n">
        <f aca="false">INDEX('Master List'!$G$2:$G$2594,O323)</f>
        <v>1</v>
      </c>
      <c r="N323" s="4" t="str">
        <f aca="false">IF(K323="","",A323)</f>
        <v/>
      </c>
      <c r="O323" s="4" t="n">
        <v>2363</v>
      </c>
      <c r="P323" s="4" t="n">
        <f aca="false">IF(A323=A322,P322+1-M322,0)</f>
        <v>6</v>
      </c>
    </row>
    <row r="324" customFormat="false" ht="15" hidden="false" customHeight="false" outlineLevel="0" collapsed="false">
      <c r="A324" s="27" t="s">
        <v>3925</v>
      </c>
      <c r="B324" s="27" t="s">
        <v>50</v>
      </c>
      <c r="C324" s="27" t="s">
        <v>73</v>
      </c>
      <c r="D324" s="27" t="s">
        <v>3926</v>
      </c>
      <c r="E324" s="4" t="n">
        <v>13</v>
      </c>
      <c r="F324" s="4" t="s">
        <v>213</v>
      </c>
      <c r="G324" s="4" t="s">
        <v>641</v>
      </c>
      <c r="H324" s="4" t="n">
        <v>2012</v>
      </c>
      <c r="I324" s="4" t="s">
        <v>278</v>
      </c>
      <c r="J324" s="25" t="str">
        <f aca="false">IF(M324=1,"✓","")</f>
        <v>✓</v>
      </c>
      <c r="K324" s="4" t="str">
        <f aca="false">IF(AND(M324=0,P324=0),"▶ NEXT","")</f>
        <v/>
      </c>
      <c r="L324" s="4" t="n">
        <f aca="false">INDEX('Master List'!$F$2:$F$2594,O324)</f>
        <v>3</v>
      </c>
      <c r="M324" s="4" t="n">
        <f aca="false">INDEX('Master List'!$G$2:$G$2594,O324)</f>
        <v>1</v>
      </c>
      <c r="N324" s="4" t="str">
        <f aca="false">IF(K324="","",A324)</f>
        <v/>
      </c>
      <c r="O324" s="4" t="n">
        <v>1458</v>
      </c>
      <c r="P324" s="4" t="n">
        <f aca="false">IF(A324=A323,P323+1-M323,0)</f>
        <v>6</v>
      </c>
    </row>
    <row r="325" customFormat="false" ht="15" hidden="false" customHeight="false" outlineLevel="0" collapsed="false">
      <c r="A325" s="27" t="s">
        <v>3925</v>
      </c>
      <c r="B325" s="27" t="s">
        <v>50</v>
      </c>
      <c r="C325" s="27" t="s">
        <v>73</v>
      </c>
      <c r="D325" s="27" t="s">
        <v>3926</v>
      </c>
      <c r="E325" s="4" t="n">
        <v>14</v>
      </c>
      <c r="F325" s="4" t="s">
        <v>213</v>
      </c>
      <c r="G325" s="4" t="s">
        <v>1201</v>
      </c>
      <c r="H325" s="4" t="n">
        <v>2012</v>
      </c>
      <c r="I325" s="4" t="s">
        <v>1202</v>
      </c>
      <c r="J325" s="25" t="str">
        <f aca="false">IF(M325=1,"✓","")</f>
        <v/>
      </c>
      <c r="K325" s="4" t="str">
        <f aca="false">IF(AND(M325=0,P325=0),"▶ NEXT","")</f>
        <v/>
      </c>
      <c r="L325" s="4" t="n">
        <f aca="false">INDEX('Master List'!$F$2:$F$2594,O325)</f>
        <v>2</v>
      </c>
      <c r="M325" s="4" t="n">
        <f aca="false">INDEX('Master List'!$G$2:$G$2594,O325)</f>
        <v>0</v>
      </c>
      <c r="N325" s="4" t="str">
        <f aca="false">IF(K325="","",A325)</f>
        <v/>
      </c>
      <c r="O325" s="4" t="n">
        <v>1054</v>
      </c>
      <c r="P325" s="4" t="n">
        <f aca="false">IF(A325=A324,P324+1-M324,0)</f>
        <v>6</v>
      </c>
    </row>
    <row r="326" customFormat="false" ht="15" hidden="false" customHeight="false" outlineLevel="0" collapsed="false">
      <c r="A326" s="27" t="s">
        <v>3925</v>
      </c>
      <c r="B326" s="27" t="s">
        <v>50</v>
      </c>
      <c r="C326" s="27" t="s">
        <v>73</v>
      </c>
      <c r="D326" s="27" t="s">
        <v>3926</v>
      </c>
      <c r="E326" s="4" t="n">
        <v>15</v>
      </c>
      <c r="F326" s="4" t="s">
        <v>213</v>
      </c>
      <c r="G326" s="4" t="s">
        <v>522</v>
      </c>
      <c r="H326" s="4" t="n">
        <v>2013</v>
      </c>
      <c r="I326" s="4" t="s">
        <v>323</v>
      </c>
      <c r="J326" s="25" t="str">
        <f aca="false">IF(M326=1,"✓","")</f>
        <v>✓</v>
      </c>
      <c r="K326" s="4" t="str">
        <f aca="false">IF(AND(M326=0,P326=0),"▶ NEXT","")</f>
        <v/>
      </c>
      <c r="L326" s="4" t="n">
        <f aca="false">INDEX('Master List'!$F$2:$F$2594,O326)</f>
        <v>3</v>
      </c>
      <c r="M326" s="4" t="n">
        <f aca="false">INDEX('Master List'!$G$2:$G$2594,O326)</f>
        <v>1</v>
      </c>
      <c r="N326" s="4" t="str">
        <f aca="false">IF(K326="","",A326)</f>
        <v/>
      </c>
      <c r="O326" s="4" t="n">
        <v>1149</v>
      </c>
      <c r="P326" s="4" t="n">
        <f aca="false">IF(A326=A325,P325+1-M325,0)</f>
        <v>7</v>
      </c>
    </row>
    <row r="327" customFormat="false" ht="15" hidden="false" customHeight="false" outlineLevel="0" collapsed="false">
      <c r="A327" s="27" t="s">
        <v>3925</v>
      </c>
      <c r="B327" s="27" t="s">
        <v>50</v>
      </c>
      <c r="C327" s="27" t="s">
        <v>73</v>
      </c>
      <c r="D327" s="27" t="s">
        <v>3926</v>
      </c>
      <c r="E327" s="4" t="n">
        <v>16</v>
      </c>
      <c r="F327" s="4" t="s">
        <v>1327</v>
      </c>
      <c r="G327" s="4" t="s">
        <v>443</v>
      </c>
      <c r="H327" s="4" t="n">
        <v>2004</v>
      </c>
      <c r="I327" s="4" t="s">
        <v>444</v>
      </c>
      <c r="J327" s="25" t="str">
        <f aca="false">IF(M327=1,"✓","")</f>
        <v/>
      </c>
      <c r="K327" s="4" t="str">
        <f aca="false">IF(AND(M327=0,P327=0),"▶ NEXT","")</f>
        <v/>
      </c>
      <c r="L327" s="4" t="n">
        <f aca="false">INDEX('Master List'!$F$2:$F$2594,O327)</f>
        <v>4</v>
      </c>
      <c r="M327" s="4" t="n">
        <f aca="false">INDEX('Master List'!$G$2:$G$2594,O327)</f>
        <v>0</v>
      </c>
      <c r="N327" s="4" t="str">
        <f aca="false">IF(K327="","",A327)</f>
        <v/>
      </c>
      <c r="O327" s="4" t="n">
        <v>2374</v>
      </c>
      <c r="P327" s="4" t="n">
        <f aca="false">IF(A327=A326,P326+1-M326,0)</f>
        <v>7</v>
      </c>
    </row>
    <row r="328" customFormat="false" ht="15" hidden="false" customHeight="false" outlineLevel="0" collapsed="false">
      <c r="A328" s="27" t="s">
        <v>3925</v>
      </c>
      <c r="B328" s="27" t="s">
        <v>50</v>
      </c>
      <c r="C328" s="27" t="s">
        <v>73</v>
      </c>
      <c r="D328" s="27" t="s">
        <v>3926</v>
      </c>
      <c r="E328" s="4" t="n">
        <v>17</v>
      </c>
      <c r="F328" s="4" t="s">
        <v>1327</v>
      </c>
      <c r="G328" s="4" t="s">
        <v>715</v>
      </c>
      <c r="H328" s="4" t="n">
        <v>2012</v>
      </c>
      <c r="I328" s="4" t="s">
        <v>716</v>
      </c>
      <c r="J328" s="25" t="str">
        <f aca="false">IF(M328=1,"✓","")</f>
        <v/>
      </c>
      <c r="K328" s="4" t="str">
        <f aca="false">IF(AND(M328=0,P328=0),"▶ NEXT","")</f>
        <v/>
      </c>
      <c r="L328" s="4" t="n">
        <f aca="false">INDEX('Master List'!$F$2:$F$2594,O328)</f>
        <v>3</v>
      </c>
      <c r="M328" s="4" t="n">
        <f aca="false">INDEX('Master List'!$G$2:$G$2594,O328)</f>
        <v>0</v>
      </c>
      <c r="N328" s="4" t="str">
        <f aca="false">IF(K328="","",A328)</f>
        <v/>
      </c>
      <c r="O328" s="4" t="n">
        <v>40</v>
      </c>
      <c r="P328" s="4" t="n">
        <f aca="false">IF(A328=A327,P327+1-M327,0)</f>
        <v>8</v>
      </c>
    </row>
    <row r="329" customFormat="false" ht="15" hidden="false" customHeight="false" outlineLevel="0" collapsed="false">
      <c r="A329" s="27" t="s">
        <v>3927</v>
      </c>
      <c r="B329" s="27" t="s">
        <v>50</v>
      </c>
      <c r="C329" s="27" t="s">
        <v>74</v>
      </c>
      <c r="D329" s="27" t="s">
        <v>3928</v>
      </c>
      <c r="E329" s="4" t="n">
        <v>1</v>
      </c>
      <c r="F329" s="4" t="s">
        <v>144</v>
      </c>
      <c r="G329" s="7" t="s">
        <v>165</v>
      </c>
      <c r="H329" s="4" t="n">
        <v>2016</v>
      </c>
      <c r="I329" s="4" t="s">
        <v>166</v>
      </c>
      <c r="J329" s="25" t="str">
        <f aca="false">IF(M329=1,"✓","")</f>
        <v>✓</v>
      </c>
      <c r="K329" s="4" t="str">
        <f aca="false">IF(AND(M329=0,P329=0),"▶ NEXT","")</f>
        <v/>
      </c>
      <c r="L329" s="4" t="n">
        <f aca="false">INDEX('Master List'!$F$2:$F$2594,O329)</f>
        <v>8</v>
      </c>
      <c r="M329" s="4" t="n">
        <f aca="false">INDEX('Master List'!$G$2:$G$2594,O329)</f>
        <v>1</v>
      </c>
      <c r="N329" s="4" t="str">
        <f aca="false">IF(K329="","",A329)</f>
        <v/>
      </c>
      <c r="O329" s="4" t="n">
        <v>1532</v>
      </c>
      <c r="P329" s="4" t="n">
        <f aca="false">IF(A329=A328,P328+1-M328,0)</f>
        <v>0</v>
      </c>
    </row>
    <row r="330" customFormat="false" ht="15" hidden="false" customHeight="false" outlineLevel="0" collapsed="false">
      <c r="A330" s="27" t="s">
        <v>3927</v>
      </c>
      <c r="B330" s="27" t="s">
        <v>50</v>
      </c>
      <c r="C330" s="27" t="s">
        <v>74</v>
      </c>
      <c r="D330" s="27" t="s">
        <v>3928</v>
      </c>
      <c r="E330" s="4" t="n">
        <v>2</v>
      </c>
      <c r="F330" s="4" t="s">
        <v>144</v>
      </c>
      <c r="G330" s="7" t="s">
        <v>297</v>
      </c>
      <c r="H330" s="4" t="n">
        <v>2019</v>
      </c>
      <c r="I330" s="4" t="s">
        <v>276</v>
      </c>
      <c r="J330" s="25" t="str">
        <f aca="false">IF(M330=1,"✓","")</f>
        <v>✓</v>
      </c>
      <c r="K330" s="4" t="str">
        <f aca="false">IF(AND(M330=0,P330=0),"▶ NEXT","")</f>
        <v/>
      </c>
      <c r="L330" s="4" t="n">
        <f aca="false">INDEX('Master List'!$F$2:$F$2594,O330)</f>
        <v>5</v>
      </c>
      <c r="M330" s="4" t="n">
        <f aca="false">INDEX('Master List'!$G$2:$G$2594,O330)</f>
        <v>1</v>
      </c>
      <c r="N330" s="4" t="str">
        <f aca="false">IF(K330="","",A330)</f>
        <v/>
      </c>
      <c r="O330" s="4" t="n">
        <v>1720</v>
      </c>
      <c r="P330" s="4" t="n">
        <f aca="false">IF(A330=A329,P329+1-M329,0)</f>
        <v>0</v>
      </c>
    </row>
    <row r="331" customFormat="false" ht="15" hidden="false" customHeight="false" outlineLevel="0" collapsed="false">
      <c r="A331" s="27" t="s">
        <v>3927</v>
      </c>
      <c r="B331" s="27" t="s">
        <v>50</v>
      </c>
      <c r="C331" s="27" t="s">
        <v>74</v>
      </c>
      <c r="D331" s="27" t="s">
        <v>3928</v>
      </c>
      <c r="E331" s="4" t="n">
        <v>3</v>
      </c>
      <c r="F331" s="4" t="s">
        <v>213</v>
      </c>
      <c r="G331" s="4" t="s">
        <v>279</v>
      </c>
      <c r="H331" s="4" t="n">
        <v>2017</v>
      </c>
      <c r="I331" s="4" t="s">
        <v>280</v>
      </c>
      <c r="J331" s="25" t="str">
        <f aca="false">IF(M331=1,"✓","")</f>
        <v>✓</v>
      </c>
      <c r="K331" s="4" t="str">
        <f aca="false">IF(AND(M331=0,P331=0),"▶ NEXT","")</f>
        <v/>
      </c>
      <c r="L331" s="4" t="n">
        <f aca="false">INDEX('Master List'!$F$2:$F$2594,O331)</f>
        <v>5</v>
      </c>
      <c r="M331" s="4" t="n">
        <f aca="false">INDEX('Master List'!$G$2:$G$2594,O331)</f>
        <v>1</v>
      </c>
      <c r="N331" s="4" t="str">
        <f aca="false">IF(K331="","",A331)</f>
        <v/>
      </c>
      <c r="O331" s="4" t="n">
        <v>889</v>
      </c>
      <c r="P331" s="4" t="n">
        <f aca="false">IF(A331=A330,P330+1-M330,0)</f>
        <v>0</v>
      </c>
    </row>
    <row r="332" customFormat="false" ht="15" hidden="false" customHeight="false" outlineLevel="0" collapsed="false">
      <c r="A332" s="27" t="s">
        <v>3927</v>
      </c>
      <c r="B332" s="27" t="s">
        <v>50</v>
      </c>
      <c r="C332" s="27" t="s">
        <v>74</v>
      </c>
      <c r="D332" s="27" t="s">
        <v>3928</v>
      </c>
      <c r="E332" s="4" t="n">
        <v>4</v>
      </c>
      <c r="F332" s="4" t="s">
        <v>213</v>
      </c>
      <c r="G332" s="4" t="s">
        <v>649</v>
      </c>
      <c r="H332" s="4" t="n">
        <v>2017</v>
      </c>
      <c r="I332" s="4" t="s">
        <v>278</v>
      </c>
      <c r="J332" s="25" t="str">
        <f aca="false">IF(M332=1,"✓","")</f>
        <v>✓</v>
      </c>
      <c r="K332" s="4" t="str">
        <f aca="false">IF(AND(M332=0,P332=0),"▶ NEXT","")</f>
        <v/>
      </c>
      <c r="L332" s="4" t="n">
        <f aca="false">INDEX('Master List'!$F$2:$F$2594,O332)</f>
        <v>3</v>
      </c>
      <c r="M332" s="4" t="n">
        <f aca="false">INDEX('Master List'!$G$2:$G$2594,O332)</f>
        <v>1</v>
      </c>
      <c r="N332" s="4" t="str">
        <f aca="false">IF(K332="","",A332)</f>
        <v/>
      </c>
      <c r="O332" s="4" t="n">
        <v>1754</v>
      </c>
      <c r="P332" s="4" t="n">
        <f aca="false">IF(A332=A331,P331+1-M331,0)</f>
        <v>0</v>
      </c>
    </row>
    <row r="333" customFormat="false" ht="15" hidden="false" customHeight="false" outlineLevel="0" collapsed="false">
      <c r="A333" s="27" t="s">
        <v>3927</v>
      </c>
      <c r="B333" s="27" t="s">
        <v>50</v>
      </c>
      <c r="C333" s="27" t="s">
        <v>74</v>
      </c>
      <c r="D333" s="27" t="s">
        <v>3928</v>
      </c>
      <c r="E333" s="4" t="n">
        <v>5</v>
      </c>
      <c r="F333" s="4" t="s">
        <v>213</v>
      </c>
      <c r="G333" s="4" t="s">
        <v>1242</v>
      </c>
      <c r="H333" s="4" t="n">
        <v>2018</v>
      </c>
      <c r="I333" s="4" t="s">
        <v>1243</v>
      </c>
      <c r="J333" s="25" t="str">
        <f aca="false">IF(M333=1,"✓","")</f>
        <v/>
      </c>
      <c r="K333" s="4" t="str">
        <f aca="false">IF(AND(M333=0,P333=0),"▶ NEXT","")</f>
        <v>▶ NEXT</v>
      </c>
      <c r="L333" s="4" t="n">
        <f aca="false">INDEX('Master List'!$F$2:$F$2594,O333)</f>
        <v>2</v>
      </c>
      <c r="M333" s="4" t="n">
        <f aca="false">INDEX('Master List'!$G$2:$G$2594,O333)</f>
        <v>0</v>
      </c>
      <c r="N333" s="4" t="str">
        <f aca="false">IF(K333="","",A333)</f>
        <v>N027</v>
      </c>
      <c r="O333" s="4" t="n">
        <v>371</v>
      </c>
      <c r="P333" s="4" t="n">
        <f aca="false">IF(A333=A332,P332+1-M332,0)</f>
        <v>0</v>
      </c>
    </row>
    <row r="334" customFormat="false" ht="15" hidden="false" customHeight="false" outlineLevel="0" collapsed="false">
      <c r="A334" s="27" t="s">
        <v>3927</v>
      </c>
      <c r="B334" s="27" t="s">
        <v>50</v>
      </c>
      <c r="C334" s="27" t="s">
        <v>74</v>
      </c>
      <c r="D334" s="27" t="s">
        <v>3928</v>
      </c>
      <c r="E334" s="4" t="n">
        <v>6</v>
      </c>
      <c r="F334" s="4" t="s">
        <v>213</v>
      </c>
      <c r="G334" s="4" t="s">
        <v>650</v>
      </c>
      <c r="H334" s="4" t="n">
        <v>2018</v>
      </c>
      <c r="I334" s="4" t="s">
        <v>384</v>
      </c>
      <c r="J334" s="25" t="str">
        <f aca="false">IF(M334=1,"✓","")</f>
        <v/>
      </c>
      <c r="K334" s="4" t="str">
        <f aca="false">IF(AND(M334=0,P334=0),"▶ NEXT","")</f>
        <v/>
      </c>
      <c r="L334" s="4" t="n">
        <f aca="false">INDEX('Master List'!$F$2:$F$2594,O334)</f>
        <v>3</v>
      </c>
      <c r="M334" s="4" t="n">
        <f aca="false">INDEX('Master List'!$G$2:$G$2594,O334)</f>
        <v>0</v>
      </c>
      <c r="N334" s="4" t="str">
        <f aca="false">IF(K334="","",A334)</f>
        <v/>
      </c>
      <c r="O334" s="4" t="n">
        <v>1926</v>
      </c>
      <c r="P334" s="4" t="n">
        <f aca="false">IF(A334=A333,P333+1-M333,0)</f>
        <v>1</v>
      </c>
    </row>
    <row r="335" customFormat="false" ht="15" hidden="false" customHeight="false" outlineLevel="0" collapsed="false">
      <c r="A335" s="27" t="s">
        <v>3927</v>
      </c>
      <c r="B335" s="27" t="s">
        <v>50</v>
      </c>
      <c r="C335" s="27" t="s">
        <v>74</v>
      </c>
      <c r="D335" s="27" t="s">
        <v>3928</v>
      </c>
      <c r="E335" s="4" t="n">
        <v>7</v>
      </c>
      <c r="F335" s="4" t="s">
        <v>213</v>
      </c>
      <c r="G335" s="4" t="s">
        <v>240</v>
      </c>
      <c r="H335" s="4" t="n">
        <v>2019</v>
      </c>
      <c r="I335" s="4" t="s">
        <v>241</v>
      </c>
      <c r="J335" s="25" t="str">
        <f aca="false">IF(M335=1,"✓","")</f>
        <v/>
      </c>
      <c r="K335" s="4" t="str">
        <f aca="false">IF(AND(M335=0,P335=0),"▶ NEXT","")</f>
        <v/>
      </c>
      <c r="L335" s="4" t="n">
        <f aca="false">INDEX('Master List'!$F$2:$F$2594,O335)</f>
        <v>6</v>
      </c>
      <c r="M335" s="4" t="n">
        <f aca="false">INDEX('Master List'!$G$2:$G$2594,O335)</f>
        <v>0</v>
      </c>
      <c r="N335" s="4" t="str">
        <f aca="false">IF(K335="","",A335)</f>
        <v/>
      </c>
      <c r="O335" s="4" t="n">
        <v>1799</v>
      </c>
      <c r="P335" s="4" t="n">
        <f aca="false">IF(A335=A334,P334+1-M334,0)</f>
        <v>2</v>
      </c>
    </row>
    <row r="336" customFormat="false" ht="15" hidden="false" customHeight="false" outlineLevel="0" collapsed="false">
      <c r="A336" s="27" t="s">
        <v>3927</v>
      </c>
      <c r="B336" s="27" t="s">
        <v>50</v>
      </c>
      <c r="C336" s="27" t="s">
        <v>74</v>
      </c>
      <c r="D336" s="27" t="s">
        <v>3928</v>
      </c>
      <c r="E336" s="4" t="n">
        <v>8</v>
      </c>
      <c r="F336" s="4" t="s">
        <v>213</v>
      </c>
      <c r="G336" s="4" t="s">
        <v>880</v>
      </c>
      <c r="H336" s="4" t="n">
        <v>2021</v>
      </c>
      <c r="I336" s="4" t="s">
        <v>881</v>
      </c>
      <c r="J336" s="25" t="str">
        <f aca="false">IF(M336=1,"✓","")</f>
        <v/>
      </c>
      <c r="K336" s="4" t="str">
        <f aca="false">IF(AND(M336=0,P336=0),"▶ NEXT","")</f>
        <v/>
      </c>
      <c r="L336" s="4" t="n">
        <f aca="false">INDEX('Master List'!$F$2:$F$2594,O336)</f>
        <v>2</v>
      </c>
      <c r="M336" s="4" t="n">
        <f aca="false">INDEX('Master List'!$G$2:$G$2594,O336)</f>
        <v>0</v>
      </c>
      <c r="N336" s="4" t="str">
        <f aca="false">IF(K336="","",A336)</f>
        <v/>
      </c>
      <c r="O336" s="4" t="n">
        <v>681</v>
      </c>
      <c r="P336" s="4" t="n">
        <f aca="false">IF(A336=A335,P335+1-M335,0)</f>
        <v>3</v>
      </c>
    </row>
    <row r="337" customFormat="false" ht="15" hidden="false" customHeight="false" outlineLevel="0" collapsed="false">
      <c r="A337" s="27" t="s">
        <v>3927</v>
      </c>
      <c r="B337" s="27" t="s">
        <v>50</v>
      </c>
      <c r="C337" s="27" t="s">
        <v>74</v>
      </c>
      <c r="D337" s="27" t="s">
        <v>3928</v>
      </c>
      <c r="E337" s="4" t="n">
        <v>9</v>
      </c>
      <c r="F337" s="4" t="s">
        <v>213</v>
      </c>
      <c r="G337" s="4" t="s">
        <v>211</v>
      </c>
      <c r="H337" s="4" t="n">
        <v>2022</v>
      </c>
      <c r="I337" s="4" t="s">
        <v>212</v>
      </c>
      <c r="J337" s="25" t="str">
        <f aca="false">IF(M337=1,"✓","")</f>
        <v/>
      </c>
      <c r="K337" s="4" t="str">
        <f aca="false">IF(AND(M337=0,P337=0),"▶ NEXT","")</f>
        <v/>
      </c>
      <c r="L337" s="4" t="n">
        <f aca="false">INDEX('Master List'!$F$2:$F$2594,O337)</f>
        <v>7</v>
      </c>
      <c r="M337" s="4" t="n">
        <f aca="false">INDEX('Master List'!$G$2:$G$2594,O337)</f>
        <v>0</v>
      </c>
      <c r="N337" s="4" t="str">
        <f aca="false">IF(K337="","",A337)</f>
        <v/>
      </c>
      <c r="O337" s="4" t="n">
        <v>53</v>
      </c>
      <c r="P337" s="4" t="n">
        <f aca="false">IF(A337=A336,P336+1-M336,0)</f>
        <v>4</v>
      </c>
    </row>
    <row r="338" customFormat="false" ht="15" hidden="false" customHeight="false" outlineLevel="0" collapsed="false">
      <c r="A338" s="27" t="s">
        <v>3927</v>
      </c>
      <c r="B338" s="27" t="s">
        <v>50</v>
      </c>
      <c r="C338" s="27" t="s">
        <v>74</v>
      </c>
      <c r="D338" s="27" t="s">
        <v>3928</v>
      </c>
      <c r="E338" s="4" t="n">
        <v>10</v>
      </c>
      <c r="F338" s="4" t="s">
        <v>213</v>
      </c>
      <c r="G338" s="4" t="s">
        <v>3217</v>
      </c>
      <c r="H338" s="4" t="n">
        <v>2022</v>
      </c>
      <c r="I338" s="4" t="s">
        <v>3218</v>
      </c>
      <c r="J338" s="25" t="str">
        <f aca="false">IF(M338=1,"✓","")</f>
        <v/>
      </c>
      <c r="K338" s="4" t="str">
        <f aca="false">IF(AND(M338=0,P338=0),"▶ NEXT","")</f>
        <v/>
      </c>
      <c r="L338" s="4" t="n">
        <f aca="false">INDEX('Master List'!$F$2:$F$2594,O338)</f>
        <v>1</v>
      </c>
      <c r="M338" s="4" t="n">
        <f aca="false">INDEX('Master List'!$G$2:$G$2594,O338)</f>
        <v>0</v>
      </c>
      <c r="N338" s="4" t="str">
        <f aca="false">IF(K338="","",A338)</f>
        <v/>
      </c>
      <c r="O338" s="4" t="n">
        <v>2242</v>
      </c>
      <c r="P338" s="4" t="n">
        <f aca="false">IF(A338=A337,P337+1-M337,0)</f>
        <v>5</v>
      </c>
    </row>
    <row r="339" customFormat="false" ht="15" hidden="false" customHeight="false" outlineLevel="0" collapsed="false">
      <c r="A339" s="27" t="s">
        <v>3927</v>
      </c>
      <c r="B339" s="27" t="s">
        <v>50</v>
      </c>
      <c r="C339" s="27" t="s">
        <v>74</v>
      </c>
      <c r="D339" s="27" t="s">
        <v>3928</v>
      </c>
      <c r="E339" s="4" t="n">
        <v>11</v>
      </c>
      <c r="F339" s="4" t="s">
        <v>213</v>
      </c>
      <c r="G339" s="4" t="s">
        <v>328</v>
      </c>
      <c r="H339" s="4" t="n">
        <v>2023</v>
      </c>
      <c r="I339" s="4" t="s">
        <v>329</v>
      </c>
      <c r="J339" s="25" t="str">
        <f aca="false">IF(M339=1,"✓","")</f>
        <v/>
      </c>
      <c r="K339" s="4" t="str">
        <f aca="false">IF(AND(M339=0,P339=0),"▶ NEXT","")</f>
        <v/>
      </c>
      <c r="L339" s="4" t="n">
        <f aca="false">INDEX('Master List'!$F$2:$F$2594,O339)</f>
        <v>5</v>
      </c>
      <c r="M339" s="4" t="n">
        <f aca="false">INDEX('Master List'!$G$2:$G$2594,O339)</f>
        <v>0</v>
      </c>
      <c r="N339" s="4" t="str">
        <f aca="false">IF(K339="","",A339)</f>
        <v/>
      </c>
      <c r="O339" s="4" t="n">
        <v>1731</v>
      </c>
      <c r="P339" s="4" t="n">
        <f aca="false">IF(A339=A338,P338+1-M338,0)</f>
        <v>6</v>
      </c>
    </row>
    <row r="340" customFormat="false" ht="15" hidden="false" customHeight="false" outlineLevel="0" collapsed="false">
      <c r="A340" s="27" t="s">
        <v>3927</v>
      </c>
      <c r="B340" s="27" t="s">
        <v>50</v>
      </c>
      <c r="C340" s="27" t="s">
        <v>74</v>
      </c>
      <c r="D340" s="27" t="s">
        <v>3928</v>
      </c>
      <c r="E340" s="4" t="n">
        <v>12</v>
      </c>
      <c r="F340" s="4" t="s">
        <v>213</v>
      </c>
      <c r="G340" s="4" t="s">
        <v>399</v>
      </c>
      <c r="H340" s="4" t="n">
        <v>2023</v>
      </c>
      <c r="I340" s="4" t="s">
        <v>400</v>
      </c>
      <c r="J340" s="25" t="str">
        <f aca="false">IF(M340=1,"✓","")</f>
        <v/>
      </c>
      <c r="K340" s="4" t="str">
        <f aca="false">IF(AND(M340=0,P340=0),"▶ NEXT","")</f>
        <v/>
      </c>
      <c r="L340" s="4" t="n">
        <f aca="false">INDEX('Master List'!$F$2:$F$2594,O340)</f>
        <v>4</v>
      </c>
      <c r="M340" s="4" t="n">
        <f aca="false">INDEX('Master List'!$G$2:$G$2594,O340)</f>
        <v>0</v>
      </c>
      <c r="N340" s="4" t="str">
        <f aca="false">IF(K340="","",A340)</f>
        <v/>
      </c>
      <c r="O340" s="4" t="n">
        <v>2591</v>
      </c>
      <c r="P340" s="4" t="n">
        <f aca="false">IF(A340=A339,P339+1-M339,0)</f>
        <v>7</v>
      </c>
    </row>
    <row r="341" customFormat="false" ht="15" hidden="false" customHeight="false" outlineLevel="0" collapsed="false">
      <c r="A341" s="27" t="s">
        <v>3927</v>
      </c>
      <c r="B341" s="27" t="s">
        <v>50</v>
      </c>
      <c r="C341" s="27" t="s">
        <v>74</v>
      </c>
      <c r="D341" s="27" t="s">
        <v>3928</v>
      </c>
      <c r="E341" s="4" t="n">
        <v>13</v>
      </c>
      <c r="F341" s="4" t="s">
        <v>213</v>
      </c>
      <c r="G341" s="4" t="s">
        <v>446</v>
      </c>
      <c r="H341" s="4" t="n">
        <v>2023</v>
      </c>
      <c r="I341" s="4" t="s">
        <v>447</v>
      </c>
      <c r="J341" s="25" t="str">
        <f aca="false">IF(M341=1,"✓","")</f>
        <v/>
      </c>
      <c r="K341" s="4" t="str">
        <f aca="false">IF(AND(M341=0,P341=0),"▶ NEXT","")</f>
        <v/>
      </c>
      <c r="L341" s="4" t="n">
        <f aca="false">INDEX('Master List'!$F$2:$F$2594,O341)</f>
        <v>4</v>
      </c>
      <c r="M341" s="4" t="n">
        <f aca="false">INDEX('Master List'!$G$2:$G$2594,O341)</f>
        <v>0</v>
      </c>
      <c r="N341" s="4" t="str">
        <f aca="false">IF(K341="","",A341)</f>
        <v/>
      </c>
      <c r="O341" s="4" t="n">
        <v>98</v>
      </c>
      <c r="P341" s="4" t="n">
        <f aca="false">IF(A341=A340,P340+1-M340,0)</f>
        <v>8</v>
      </c>
    </row>
    <row r="342" customFormat="false" ht="15" hidden="false" customHeight="false" outlineLevel="0" collapsed="false">
      <c r="A342" s="27" t="s">
        <v>3927</v>
      </c>
      <c r="B342" s="27" t="s">
        <v>50</v>
      </c>
      <c r="C342" s="27" t="s">
        <v>74</v>
      </c>
      <c r="D342" s="27" t="s">
        <v>3928</v>
      </c>
      <c r="E342" s="4" t="n">
        <v>14</v>
      </c>
      <c r="F342" s="4" t="s">
        <v>213</v>
      </c>
      <c r="G342" s="4" t="s">
        <v>697</v>
      </c>
      <c r="H342" s="4" t="n">
        <v>2023</v>
      </c>
      <c r="I342" s="4" t="s">
        <v>365</v>
      </c>
      <c r="J342" s="25" t="str">
        <f aca="false">IF(M342=1,"✓","")</f>
        <v>✓</v>
      </c>
      <c r="K342" s="4" t="str">
        <f aca="false">IF(AND(M342=0,P342=0),"▶ NEXT","")</f>
        <v/>
      </c>
      <c r="L342" s="4" t="n">
        <f aca="false">INDEX('Master List'!$F$2:$F$2594,O342)</f>
        <v>3</v>
      </c>
      <c r="M342" s="4" t="n">
        <f aca="false">INDEX('Master List'!$G$2:$G$2594,O342)</f>
        <v>1</v>
      </c>
      <c r="N342" s="4" t="str">
        <f aca="false">IF(K342="","",A342)</f>
        <v/>
      </c>
      <c r="O342" s="4" t="n">
        <v>1745</v>
      </c>
      <c r="P342" s="4" t="n">
        <f aca="false">IF(A342=A341,P341+1-M341,0)</f>
        <v>9</v>
      </c>
    </row>
    <row r="343" customFormat="false" ht="15" hidden="false" customHeight="false" outlineLevel="0" collapsed="false">
      <c r="A343" s="27" t="s">
        <v>3927</v>
      </c>
      <c r="B343" s="27" t="s">
        <v>50</v>
      </c>
      <c r="C343" s="27" t="s">
        <v>74</v>
      </c>
      <c r="D343" s="27" t="s">
        <v>3928</v>
      </c>
      <c r="E343" s="4" t="n">
        <v>15</v>
      </c>
      <c r="F343" s="4" t="s">
        <v>213</v>
      </c>
      <c r="G343" s="4" t="s">
        <v>1267</v>
      </c>
      <c r="H343" s="4" t="n">
        <v>2024</v>
      </c>
      <c r="I343" s="4" t="s">
        <v>1268</v>
      </c>
      <c r="J343" s="25" t="str">
        <f aca="false">IF(M343=1,"✓","")</f>
        <v/>
      </c>
      <c r="K343" s="4" t="str">
        <f aca="false">IF(AND(M343=0,P343=0),"▶ NEXT","")</f>
        <v/>
      </c>
      <c r="L343" s="4" t="n">
        <f aca="false">INDEX('Master List'!$F$2:$F$2594,O343)</f>
        <v>2</v>
      </c>
      <c r="M343" s="4" t="n">
        <f aca="false">INDEX('Master List'!$G$2:$G$2594,O343)</f>
        <v>0</v>
      </c>
      <c r="N343" s="4" t="str">
        <f aca="false">IF(K343="","",A343)</f>
        <v/>
      </c>
      <c r="O343" s="4" t="n">
        <v>79</v>
      </c>
      <c r="P343" s="4" t="n">
        <f aca="false">IF(A343=A342,P342+1-M342,0)</f>
        <v>9</v>
      </c>
    </row>
    <row r="344" customFormat="false" ht="15" hidden="false" customHeight="false" outlineLevel="0" collapsed="false">
      <c r="A344" s="27" t="s">
        <v>3927</v>
      </c>
      <c r="B344" s="27" t="s">
        <v>50</v>
      </c>
      <c r="C344" s="27" t="s">
        <v>74</v>
      </c>
      <c r="D344" s="27" t="s">
        <v>3928</v>
      </c>
      <c r="E344" s="4" t="n">
        <v>16</v>
      </c>
      <c r="F344" s="4" t="s">
        <v>213</v>
      </c>
      <c r="G344" s="4" t="s">
        <v>3251</v>
      </c>
      <c r="H344" s="4" t="n">
        <v>2024</v>
      </c>
      <c r="I344" s="4" t="s">
        <v>694</v>
      </c>
      <c r="J344" s="25" t="str">
        <f aca="false">IF(M344=1,"✓","")</f>
        <v/>
      </c>
      <c r="K344" s="4" t="str">
        <f aca="false">IF(AND(M344=0,P344=0),"▶ NEXT","")</f>
        <v/>
      </c>
      <c r="L344" s="4" t="n">
        <f aca="false">INDEX('Master List'!$F$2:$F$2594,O344)</f>
        <v>1</v>
      </c>
      <c r="M344" s="4" t="n">
        <f aca="false">INDEX('Master List'!$G$2:$G$2594,O344)</f>
        <v>0</v>
      </c>
      <c r="N344" s="4" t="str">
        <f aca="false">IF(K344="","",A344)</f>
        <v/>
      </c>
      <c r="O344" s="4" t="n">
        <v>115</v>
      </c>
      <c r="P344" s="4" t="n">
        <f aca="false">IF(A344=A343,P343+1-M343,0)</f>
        <v>10</v>
      </c>
    </row>
    <row r="345" customFormat="false" ht="15" hidden="false" customHeight="false" outlineLevel="0" collapsed="false">
      <c r="A345" s="27" t="s">
        <v>3927</v>
      </c>
      <c r="B345" s="27" t="s">
        <v>50</v>
      </c>
      <c r="C345" s="27" t="s">
        <v>74</v>
      </c>
      <c r="D345" s="27" t="s">
        <v>3928</v>
      </c>
      <c r="E345" s="4" t="n">
        <v>17</v>
      </c>
      <c r="F345" s="4" t="s">
        <v>213</v>
      </c>
      <c r="G345" s="4" t="s">
        <v>3252</v>
      </c>
      <c r="H345" s="4" t="n">
        <v>2024</v>
      </c>
      <c r="I345" s="4" t="s">
        <v>3253</v>
      </c>
      <c r="J345" s="25" t="str">
        <f aca="false">IF(M345=1,"✓","")</f>
        <v/>
      </c>
      <c r="K345" s="4" t="str">
        <f aca="false">IF(AND(M345=0,P345=0),"▶ NEXT","")</f>
        <v/>
      </c>
      <c r="L345" s="4" t="n">
        <f aca="false">INDEX('Master List'!$F$2:$F$2594,O345)</f>
        <v>1</v>
      </c>
      <c r="M345" s="4" t="n">
        <f aca="false">INDEX('Master List'!$G$2:$G$2594,O345)</f>
        <v>0</v>
      </c>
      <c r="N345" s="4" t="str">
        <f aca="false">IF(K345="","",A345)</f>
        <v/>
      </c>
      <c r="O345" s="4" t="n">
        <v>361</v>
      </c>
      <c r="P345" s="4" t="n">
        <f aca="false">IF(A345=A344,P344+1-M344,0)</f>
        <v>11</v>
      </c>
    </row>
    <row r="346" customFormat="false" ht="15" hidden="false" customHeight="false" outlineLevel="0" collapsed="false">
      <c r="A346" s="27" t="s">
        <v>3927</v>
      </c>
      <c r="B346" s="27" t="s">
        <v>50</v>
      </c>
      <c r="C346" s="27" t="s">
        <v>74</v>
      </c>
      <c r="D346" s="27" t="s">
        <v>3928</v>
      </c>
      <c r="E346" s="4" t="n">
        <v>18</v>
      </c>
      <c r="F346" s="4" t="s">
        <v>1327</v>
      </c>
      <c r="G346" s="4" t="s">
        <v>1423</v>
      </c>
      <c r="H346" s="4" t="n">
        <v>2023</v>
      </c>
      <c r="I346" s="4" t="s">
        <v>881</v>
      </c>
      <c r="J346" s="25" t="str">
        <f aca="false">IF(M346=1,"✓","")</f>
        <v/>
      </c>
      <c r="K346" s="4" t="str">
        <f aca="false">IF(AND(M346=0,P346=0),"▶ NEXT","")</f>
        <v/>
      </c>
      <c r="L346" s="4" t="n">
        <f aca="false">INDEX('Master List'!$F$2:$F$2594,O346)</f>
        <v>2</v>
      </c>
      <c r="M346" s="4" t="n">
        <f aca="false">INDEX('Master List'!$G$2:$G$2594,O346)</f>
        <v>0</v>
      </c>
      <c r="N346" s="4" t="str">
        <f aca="false">IF(K346="","",A346)</f>
        <v/>
      </c>
      <c r="O346" s="4" t="n">
        <v>755</v>
      </c>
      <c r="P346" s="4" t="n">
        <f aca="false">IF(A346=A345,P345+1-M345,0)</f>
        <v>12</v>
      </c>
    </row>
    <row r="347" customFormat="false" ht="15" hidden="false" customHeight="false" outlineLevel="0" collapsed="false">
      <c r="A347" s="28" t="s">
        <v>3929</v>
      </c>
      <c r="B347" s="28" t="s">
        <v>51</v>
      </c>
      <c r="C347" s="28" t="s">
        <v>75</v>
      </c>
      <c r="D347" s="28" t="s">
        <v>3930</v>
      </c>
      <c r="E347" s="4" t="n">
        <v>1</v>
      </c>
      <c r="F347" s="4" t="s">
        <v>144</v>
      </c>
      <c r="G347" s="7" t="s">
        <v>145</v>
      </c>
      <c r="H347" s="4" t="n">
        <v>1953</v>
      </c>
      <c r="I347" s="4" t="s">
        <v>146</v>
      </c>
      <c r="J347" s="25" t="str">
        <f aca="false">IF(M347=1,"✓","")</f>
        <v/>
      </c>
      <c r="K347" s="4" t="str">
        <f aca="false">IF(AND(M347=0,P347=0),"▶ NEXT","")</f>
        <v>▶ NEXT</v>
      </c>
      <c r="L347" s="4" t="n">
        <f aca="false">INDEX('Master List'!$F$2:$F$2594,O347)</f>
        <v>10</v>
      </c>
      <c r="M347" s="4" t="n">
        <f aca="false">INDEX('Master List'!$G$2:$G$2594,O347)</f>
        <v>0</v>
      </c>
      <c r="N347" s="4" t="str">
        <f aca="false">IF(K347="","",A347)</f>
        <v>N028</v>
      </c>
      <c r="O347" s="4" t="n">
        <v>2328</v>
      </c>
      <c r="P347" s="4" t="n">
        <f aca="false">IF(A347=A346,P346+1-M346,0)</f>
        <v>0</v>
      </c>
    </row>
    <row r="348" customFormat="false" ht="15" hidden="false" customHeight="false" outlineLevel="0" collapsed="false">
      <c r="A348" s="28" t="s">
        <v>3929</v>
      </c>
      <c r="B348" s="28" t="s">
        <v>51</v>
      </c>
      <c r="C348" s="28" t="s">
        <v>75</v>
      </c>
      <c r="D348" s="28" t="s">
        <v>3930</v>
      </c>
      <c r="E348" s="4" t="n">
        <v>2</v>
      </c>
      <c r="F348" s="4" t="s">
        <v>144</v>
      </c>
      <c r="G348" s="7" t="s">
        <v>155</v>
      </c>
      <c r="H348" s="4" t="n">
        <v>1954</v>
      </c>
      <c r="I348" s="4" t="s">
        <v>156</v>
      </c>
      <c r="J348" s="25" t="str">
        <f aca="false">IF(M348=1,"✓","")</f>
        <v/>
      </c>
      <c r="K348" s="4" t="str">
        <f aca="false">IF(AND(M348=0,P348=0),"▶ NEXT","")</f>
        <v/>
      </c>
      <c r="L348" s="4" t="n">
        <f aca="false">INDEX('Master List'!$F$2:$F$2594,O348)</f>
        <v>8</v>
      </c>
      <c r="M348" s="4" t="n">
        <f aca="false">INDEX('Master List'!$G$2:$G$2594,O348)</f>
        <v>0</v>
      </c>
      <c r="N348" s="4" t="str">
        <f aca="false">IF(K348="","",A348)</f>
        <v/>
      </c>
      <c r="O348" s="4" t="n">
        <v>2021</v>
      </c>
      <c r="P348" s="4" t="n">
        <f aca="false">IF(A348=A347,P347+1-M347,0)</f>
        <v>1</v>
      </c>
    </row>
    <row r="349" customFormat="false" ht="15" hidden="false" customHeight="false" outlineLevel="0" collapsed="false">
      <c r="A349" s="28" t="s">
        <v>3929</v>
      </c>
      <c r="B349" s="28" t="s">
        <v>51</v>
      </c>
      <c r="C349" s="28" t="s">
        <v>75</v>
      </c>
      <c r="D349" s="28" t="s">
        <v>3930</v>
      </c>
      <c r="E349" s="4" t="n">
        <v>3</v>
      </c>
      <c r="F349" s="4" t="s">
        <v>213</v>
      </c>
      <c r="G349" s="4" t="s">
        <v>350</v>
      </c>
      <c r="H349" s="4" t="n">
        <v>1949</v>
      </c>
      <c r="I349" s="4" t="s">
        <v>146</v>
      </c>
      <c r="J349" s="25" t="str">
        <f aca="false">IF(M349=1,"✓","")</f>
        <v/>
      </c>
      <c r="K349" s="4" t="str">
        <f aca="false">IF(AND(M349=0,P349=0),"▶ NEXT","")</f>
        <v/>
      </c>
      <c r="L349" s="4" t="n">
        <f aca="false">INDEX('Master List'!$F$2:$F$2594,O349)</f>
        <v>4</v>
      </c>
      <c r="M349" s="4" t="n">
        <f aca="false">INDEX('Master List'!$G$2:$G$2594,O349)</f>
        <v>0</v>
      </c>
      <c r="N349" s="4" t="str">
        <f aca="false">IF(K349="","",A349)</f>
        <v/>
      </c>
      <c r="O349" s="4" t="n">
        <v>1308</v>
      </c>
      <c r="P349" s="4" t="n">
        <f aca="false">IF(A349=A348,P348+1-M348,0)</f>
        <v>2</v>
      </c>
    </row>
    <row r="350" customFormat="false" ht="15" hidden="false" customHeight="false" outlineLevel="0" collapsed="false">
      <c r="A350" s="28" t="s">
        <v>3929</v>
      </c>
      <c r="B350" s="28" t="s">
        <v>51</v>
      </c>
      <c r="C350" s="28" t="s">
        <v>75</v>
      </c>
      <c r="D350" s="28" t="s">
        <v>3930</v>
      </c>
      <c r="E350" s="4" t="n">
        <v>4</v>
      </c>
      <c r="F350" s="4" t="s">
        <v>213</v>
      </c>
      <c r="G350" s="4" t="s">
        <v>285</v>
      </c>
      <c r="H350" s="4" t="n">
        <v>1953</v>
      </c>
      <c r="I350" s="4" t="s">
        <v>286</v>
      </c>
      <c r="J350" s="25" t="str">
        <f aca="false">IF(M350=1,"✓","")</f>
        <v/>
      </c>
      <c r="K350" s="4" t="str">
        <f aca="false">IF(AND(M350=0,P350=0),"▶ NEXT","")</f>
        <v/>
      </c>
      <c r="L350" s="4" t="n">
        <f aca="false">INDEX('Master List'!$F$2:$F$2594,O350)</f>
        <v>5</v>
      </c>
      <c r="M350" s="4" t="n">
        <f aca="false">INDEX('Master List'!$G$2:$G$2594,O350)</f>
        <v>0</v>
      </c>
      <c r="N350" s="4" t="str">
        <f aca="false">IF(K350="","",A350)</f>
        <v/>
      </c>
      <c r="O350" s="4" t="n">
        <v>2393</v>
      </c>
      <c r="P350" s="4" t="n">
        <f aca="false">IF(A350=A349,P349+1-M349,0)</f>
        <v>3</v>
      </c>
    </row>
    <row r="351" customFormat="false" ht="15" hidden="false" customHeight="false" outlineLevel="0" collapsed="false">
      <c r="A351" s="28" t="s">
        <v>3929</v>
      </c>
      <c r="B351" s="28" t="s">
        <v>51</v>
      </c>
      <c r="C351" s="28" t="s">
        <v>75</v>
      </c>
      <c r="D351" s="28" t="s">
        <v>3930</v>
      </c>
      <c r="E351" s="4" t="n">
        <v>5</v>
      </c>
      <c r="F351" s="4" t="s">
        <v>213</v>
      </c>
      <c r="G351" s="4" t="s">
        <v>235</v>
      </c>
      <c r="H351" s="4" t="n">
        <v>1952</v>
      </c>
      <c r="I351" s="4" t="s">
        <v>156</v>
      </c>
      <c r="J351" s="25" t="str">
        <f aca="false">IF(M351=1,"✓","")</f>
        <v>✓</v>
      </c>
      <c r="K351" s="4" t="str">
        <f aca="false">IF(AND(M351=0,P351=0),"▶ NEXT","")</f>
        <v/>
      </c>
      <c r="L351" s="4" t="n">
        <f aca="false">INDEX('Master List'!$F$2:$F$2594,O351)</f>
        <v>5</v>
      </c>
      <c r="M351" s="4" t="n">
        <f aca="false">INDEX('Master List'!$G$2:$G$2594,O351)</f>
        <v>1</v>
      </c>
      <c r="N351" s="4" t="str">
        <f aca="false">IF(K351="","",A351)</f>
        <v/>
      </c>
      <c r="O351" s="4" t="n">
        <v>1118</v>
      </c>
      <c r="P351" s="4" t="n">
        <f aca="false">IF(A351=A350,P350+1-M350,0)</f>
        <v>4</v>
      </c>
    </row>
    <row r="352" customFormat="false" ht="15" hidden="false" customHeight="false" outlineLevel="0" collapsed="false">
      <c r="A352" s="28" t="s">
        <v>3929</v>
      </c>
      <c r="B352" s="28" t="s">
        <v>51</v>
      </c>
      <c r="C352" s="28" t="s">
        <v>75</v>
      </c>
      <c r="D352" s="28" t="s">
        <v>3930</v>
      </c>
      <c r="E352" s="4" t="n">
        <v>6</v>
      </c>
      <c r="F352" s="4" t="s">
        <v>213</v>
      </c>
      <c r="G352" s="4" t="s">
        <v>575</v>
      </c>
      <c r="H352" s="4" t="n">
        <v>1954</v>
      </c>
      <c r="I352" s="4" t="s">
        <v>286</v>
      </c>
      <c r="J352" s="25" t="str">
        <f aca="false">IF(M352=1,"✓","")</f>
        <v/>
      </c>
      <c r="K352" s="4" t="str">
        <f aca="false">IF(AND(M352=0,P352=0),"▶ NEXT","")</f>
        <v/>
      </c>
      <c r="L352" s="4" t="n">
        <f aca="false">INDEX('Master List'!$F$2:$F$2594,O352)</f>
        <v>3</v>
      </c>
      <c r="M352" s="4" t="n">
        <f aca="false">INDEX('Master List'!$G$2:$G$2594,O352)</f>
        <v>0</v>
      </c>
      <c r="N352" s="4" t="str">
        <f aca="false">IF(K352="","",A352)</f>
        <v/>
      </c>
      <c r="O352" s="4" t="n">
        <v>1970</v>
      </c>
      <c r="P352" s="4" t="n">
        <f aca="false">IF(A352=A351,P351+1-M351,0)</f>
        <v>4</v>
      </c>
    </row>
    <row r="353" customFormat="false" ht="15" hidden="false" customHeight="false" outlineLevel="0" collapsed="false">
      <c r="A353" s="28" t="s">
        <v>3929</v>
      </c>
      <c r="B353" s="28" t="s">
        <v>51</v>
      </c>
      <c r="C353" s="28" t="s">
        <v>75</v>
      </c>
      <c r="D353" s="28" t="s">
        <v>3930</v>
      </c>
      <c r="E353" s="4" t="n">
        <v>7</v>
      </c>
      <c r="F353" s="4" t="s">
        <v>213</v>
      </c>
      <c r="G353" s="4" t="s">
        <v>945</v>
      </c>
      <c r="H353" s="4" t="n">
        <v>1955</v>
      </c>
      <c r="I353" s="4" t="s">
        <v>759</v>
      </c>
      <c r="J353" s="25" t="str">
        <f aca="false">IF(M353=1,"✓","")</f>
        <v/>
      </c>
      <c r="K353" s="4" t="str">
        <f aca="false">IF(AND(M353=0,P353=0),"▶ NEXT","")</f>
        <v/>
      </c>
      <c r="L353" s="4" t="n">
        <f aca="false">INDEX('Master List'!$F$2:$F$2594,O353)</f>
        <v>2</v>
      </c>
      <c r="M353" s="4" t="n">
        <f aca="false">INDEX('Master List'!$G$2:$G$2594,O353)</f>
        <v>0</v>
      </c>
      <c r="N353" s="4" t="str">
        <f aca="false">IF(K353="","",A353)</f>
        <v/>
      </c>
      <c r="O353" s="4" t="n">
        <v>821</v>
      </c>
      <c r="P353" s="4" t="n">
        <f aca="false">IF(A353=A352,P352+1-M352,0)</f>
        <v>5</v>
      </c>
    </row>
    <row r="354" customFormat="false" ht="15" hidden="false" customHeight="false" outlineLevel="0" collapsed="false">
      <c r="A354" s="28" t="s">
        <v>3929</v>
      </c>
      <c r="B354" s="28" t="s">
        <v>51</v>
      </c>
      <c r="C354" s="28" t="s">
        <v>75</v>
      </c>
      <c r="D354" s="28" t="s">
        <v>3930</v>
      </c>
      <c r="E354" s="4" t="n">
        <v>8</v>
      </c>
      <c r="F354" s="4" t="s">
        <v>213</v>
      </c>
      <c r="G354" s="4" t="s">
        <v>758</v>
      </c>
      <c r="H354" s="4" t="n">
        <v>1960</v>
      </c>
      <c r="I354" s="4" t="s">
        <v>759</v>
      </c>
      <c r="J354" s="25" t="str">
        <f aca="false">IF(M354=1,"✓","")</f>
        <v/>
      </c>
      <c r="K354" s="4" t="str">
        <f aca="false">IF(AND(M354=0,P354=0),"▶ NEXT","")</f>
        <v/>
      </c>
      <c r="L354" s="4" t="n">
        <f aca="false">INDEX('Master List'!$F$2:$F$2594,O354)</f>
        <v>2</v>
      </c>
      <c r="M354" s="4" t="n">
        <f aca="false">INDEX('Master List'!$G$2:$G$2594,O354)</f>
        <v>0</v>
      </c>
      <c r="N354" s="4" t="str">
        <f aca="false">IF(K354="","",A354)</f>
        <v/>
      </c>
      <c r="O354" s="4" t="n">
        <v>2492</v>
      </c>
      <c r="P354" s="4" t="n">
        <f aca="false">IF(A354=A353,P353+1-M353,0)</f>
        <v>6</v>
      </c>
    </row>
    <row r="355" customFormat="false" ht="15" hidden="false" customHeight="false" outlineLevel="0" collapsed="false">
      <c r="A355" s="28" t="s">
        <v>3929</v>
      </c>
      <c r="B355" s="28" t="s">
        <v>51</v>
      </c>
      <c r="C355" s="28" t="s">
        <v>75</v>
      </c>
      <c r="D355" s="28" t="s">
        <v>3930</v>
      </c>
      <c r="E355" s="4" t="n">
        <v>9</v>
      </c>
      <c r="F355" s="4" t="s">
        <v>213</v>
      </c>
      <c r="G355" s="4" t="s">
        <v>700</v>
      </c>
      <c r="H355" s="4" t="n">
        <v>1952</v>
      </c>
      <c r="I355" s="4" t="s">
        <v>286</v>
      </c>
      <c r="J355" s="25" t="str">
        <f aca="false">IF(M355=1,"✓","")</f>
        <v/>
      </c>
      <c r="K355" s="4" t="str">
        <f aca="false">IF(AND(M355=0,P355=0),"▶ NEXT","")</f>
        <v/>
      </c>
      <c r="L355" s="4" t="n">
        <f aca="false">INDEX('Master List'!$F$2:$F$2594,O355)</f>
        <v>3</v>
      </c>
      <c r="M355" s="4" t="n">
        <f aca="false">INDEX('Master List'!$G$2:$G$2594,O355)</f>
        <v>0</v>
      </c>
      <c r="N355" s="4" t="str">
        <f aca="false">IF(K355="","",A355)</f>
        <v/>
      </c>
      <c r="O355" s="4" t="n">
        <v>1334</v>
      </c>
      <c r="P355" s="4" t="n">
        <f aca="false">IF(A355=A354,P354+1-M354,0)</f>
        <v>7</v>
      </c>
    </row>
    <row r="356" customFormat="false" ht="15" hidden="false" customHeight="false" outlineLevel="0" collapsed="false">
      <c r="A356" s="28" t="s">
        <v>3929</v>
      </c>
      <c r="B356" s="28" t="s">
        <v>51</v>
      </c>
      <c r="C356" s="28" t="s">
        <v>75</v>
      </c>
      <c r="D356" s="28" t="s">
        <v>3930</v>
      </c>
      <c r="E356" s="4" t="n">
        <v>10</v>
      </c>
      <c r="F356" s="4" t="s">
        <v>213</v>
      </c>
      <c r="G356" s="4" t="s">
        <v>934</v>
      </c>
      <c r="H356" s="4" t="n">
        <v>1951</v>
      </c>
      <c r="I356" s="4" t="s">
        <v>146</v>
      </c>
      <c r="J356" s="25" t="str">
        <f aca="false">IF(M356=1,"✓","")</f>
        <v/>
      </c>
      <c r="K356" s="4" t="str">
        <f aca="false">IF(AND(M356=0,P356=0),"▶ NEXT","")</f>
        <v/>
      </c>
      <c r="L356" s="4" t="n">
        <f aca="false">INDEX('Master List'!$F$2:$F$2594,O356)</f>
        <v>2</v>
      </c>
      <c r="M356" s="4" t="n">
        <f aca="false">INDEX('Master List'!$G$2:$G$2594,O356)</f>
        <v>0</v>
      </c>
      <c r="N356" s="4" t="str">
        <f aca="false">IF(K356="","",A356)</f>
        <v/>
      </c>
      <c r="O356" s="4" t="n">
        <v>698</v>
      </c>
      <c r="P356" s="4" t="n">
        <f aca="false">IF(A356=A355,P355+1-M355,0)</f>
        <v>8</v>
      </c>
    </row>
    <row r="357" customFormat="false" ht="15" hidden="false" customHeight="false" outlineLevel="0" collapsed="false">
      <c r="A357" s="28" t="s">
        <v>3929</v>
      </c>
      <c r="B357" s="28" t="s">
        <v>51</v>
      </c>
      <c r="C357" s="28" t="s">
        <v>75</v>
      </c>
      <c r="D357" s="28" t="s">
        <v>3930</v>
      </c>
      <c r="E357" s="4" t="n">
        <v>11</v>
      </c>
      <c r="F357" s="4" t="s">
        <v>213</v>
      </c>
      <c r="G357" s="4" t="s">
        <v>540</v>
      </c>
      <c r="H357" s="4" t="n">
        <v>1962</v>
      </c>
      <c r="I357" s="4" t="s">
        <v>541</v>
      </c>
      <c r="J357" s="25" t="str">
        <f aca="false">IF(M357=1,"✓","")</f>
        <v/>
      </c>
      <c r="K357" s="4" t="str">
        <f aca="false">IF(AND(M357=0,P357=0),"▶ NEXT","")</f>
        <v/>
      </c>
      <c r="L357" s="4" t="n">
        <f aca="false">INDEX('Master List'!$F$2:$F$2594,O357)</f>
        <v>3</v>
      </c>
      <c r="M357" s="4" t="n">
        <f aca="false">INDEX('Master List'!$G$2:$G$2594,O357)</f>
        <v>0</v>
      </c>
      <c r="N357" s="4" t="str">
        <f aca="false">IF(K357="","",A357)</f>
        <v/>
      </c>
      <c r="O357" s="4" t="n">
        <v>991</v>
      </c>
      <c r="P357" s="4" t="n">
        <f aca="false">IF(A357=A356,P356+1-M356,0)</f>
        <v>9</v>
      </c>
    </row>
    <row r="358" customFormat="false" ht="15" hidden="false" customHeight="false" outlineLevel="0" collapsed="false">
      <c r="A358" s="28" t="s">
        <v>3929</v>
      </c>
      <c r="B358" s="28" t="s">
        <v>51</v>
      </c>
      <c r="C358" s="28" t="s">
        <v>75</v>
      </c>
      <c r="D358" s="28" t="s">
        <v>3930</v>
      </c>
      <c r="E358" s="4" t="n">
        <v>12</v>
      </c>
      <c r="F358" s="4" t="s">
        <v>213</v>
      </c>
      <c r="G358" s="4" t="s">
        <v>702</v>
      </c>
      <c r="H358" s="4" t="n">
        <v>1962</v>
      </c>
      <c r="I358" s="4" t="s">
        <v>146</v>
      </c>
      <c r="J358" s="25" t="str">
        <f aca="false">IF(M358=1,"✓","")</f>
        <v/>
      </c>
      <c r="K358" s="4" t="str">
        <f aca="false">IF(AND(M358=0,P358=0),"▶ NEXT","")</f>
        <v/>
      </c>
      <c r="L358" s="4" t="n">
        <f aca="false">INDEX('Master List'!$F$2:$F$2594,O358)</f>
        <v>3</v>
      </c>
      <c r="M358" s="4" t="n">
        <f aca="false">INDEX('Master List'!$G$2:$G$2594,O358)</f>
        <v>0</v>
      </c>
      <c r="N358" s="4" t="str">
        <f aca="false">IF(K358="","",A358)</f>
        <v/>
      </c>
      <c r="O358" s="4" t="n">
        <v>152</v>
      </c>
      <c r="P358" s="4" t="n">
        <f aca="false">IF(A358=A357,P357+1-M357,0)</f>
        <v>10</v>
      </c>
    </row>
    <row r="359" customFormat="false" ht="15" hidden="false" customHeight="false" outlineLevel="0" collapsed="false">
      <c r="A359" s="28" t="s">
        <v>3929</v>
      </c>
      <c r="B359" s="28" t="s">
        <v>51</v>
      </c>
      <c r="C359" s="28" t="s">
        <v>75</v>
      </c>
      <c r="D359" s="28" t="s">
        <v>3930</v>
      </c>
      <c r="E359" s="4" t="n">
        <v>13</v>
      </c>
      <c r="F359" s="4" t="s">
        <v>1327</v>
      </c>
      <c r="G359" s="4" t="s">
        <v>1310</v>
      </c>
      <c r="H359" s="4" t="n">
        <v>1939</v>
      </c>
      <c r="I359" s="4" t="s">
        <v>286</v>
      </c>
      <c r="J359" s="25" t="str">
        <f aca="false">IF(M359=1,"✓","")</f>
        <v/>
      </c>
      <c r="K359" s="4" t="str">
        <f aca="false">IF(AND(M359=0,P359=0),"▶ NEXT","")</f>
        <v/>
      </c>
      <c r="L359" s="4" t="n">
        <f aca="false">INDEX('Master List'!$F$2:$F$2594,O359)</f>
        <v>2</v>
      </c>
      <c r="M359" s="4" t="n">
        <f aca="false">INDEX('Master List'!$G$2:$G$2594,O359)</f>
        <v>0</v>
      </c>
      <c r="N359" s="4" t="str">
        <f aca="false">IF(K359="","",A359)</f>
        <v/>
      </c>
      <c r="O359" s="4" t="n">
        <v>2168</v>
      </c>
      <c r="P359" s="4" t="n">
        <f aca="false">IF(A359=A358,P358+1-M358,0)</f>
        <v>11</v>
      </c>
    </row>
    <row r="360" customFormat="false" ht="15" hidden="false" customHeight="false" outlineLevel="0" collapsed="false">
      <c r="A360" s="28" t="s">
        <v>3929</v>
      </c>
      <c r="B360" s="28" t="s">
        <v>51</v>
      </c>
      <c r="C360" s="28" t="s">
        <v>75</v>
      </c>
      <c r="D360" s="28" t="s">
        <v>3930</v>
      </c>
      <c r="E360" s="4" t="n">
        <v>14</v>
      </c>
      <c r="F360" s="4" t="s">
        <v>1327</v>
      </c>
      <c r="G360" s="4" t="s">
        <v>1308</v>
      </c>
      <c r="H360" s="4" t="n">
        <v>1936</v>
      </c>
      <c r="I360" s="4" t="s">
        <v>286</v>
      </c>
      <c r="J360" s="25" t="str">
        <f aca="false">IF(M360=1,"✓","")</f>
        <v/>
      </c>
      <c r="K360" s="4" t="str">
        <f aca="false">IF(AND(M360=0,P360=0),"▶ NEXT","")</f>
        <v/>
      </c>
      <c r="L360" s="4" t="n">
        <f aca="false">INDEX('Master List'!$F$2:$F$2594,O360)</f>
        <v>2</v>
      </c>
      <c r="M360" s="4" t="n">
        <f aca="false">INDEX('Master List'!$G$2:$G$2594,O360)</f>
        <v>0</v>
      </c>
      <c r="N360" s="4" t="str">
        <f aca="false">IF(K360="","",A360)</f>
        <v/>
      </c>
      <c r="O360" s="4" t="n">
        <v>2083</v>
      </c>
      <c r="P360" s="4" t="n">
        <f aca="false">IF(A360=A359,P359+1-M359,0)</f>
        <v>12</v>
      </c>
    </row>
    <row r="361" customFormat="false" ht="15" hidden="false" customHeight="false" outlineLevel="0" collapsed="false">
      <c r="A361" s="28" t="s">
        <v>3929</v>
      </c>
      <c r="B361" s="28" t="s">
        <v>51</v>
      </c>
      <c r="C361" s="28" t="s">
        <v>75</v>
      </c>
      <c r="D361" s="28" t="s">
        <v>3930</v>
      </c>
      <c r="E361" s="4" t="n">
        <v>15</v>
      </c>
      <c r="F361" s="4" t="s">
        <v>1327</v>
      </c>
      <c r="G361" s="4" t="s">
        <v>3376</v>
      </c>
      <c r="H361" s="4" t="n">
        <v>1954</v>
      </c>
      <c r="I361" s="4" t="s">
        <v>3377</v>
      </c>
      <c r="J361" s="25" t="str">
        <f aca="false">IF(M361=1,"✓","")</f>
        <v/>
      </c>
      <c r="K361" s="4" t="str">
        <f aca="false">IF(AND(M361=0,P361=0),"▶ NEXT","")</f>
        <v/>
      </c>
      <c r="L361" s="4" t="n">
        <f aca="false">INDEX('Master List'!$F$2:$F$2594,O361)</f>
        <v>1</v>
      </c>
      <c r="M361" s="4" t="n">
        <f aca="false">INDEX('Master List'!$G$2:$G$2594,O361)</f>
        <v>0</v>
      </c>
      <c r="N361" s="4" t="str">
        <f aca="false">IF(K361="","",A361)</f>
        <v/>
      </c>
      <c r="O361" s="4" t="n">
        <v>2384</v>
      </c>
      <c r="P361" s="4" t="n">
        <f aca="false">IF(A361=A360,P360+1-M360,0)</f>
        <v>13</v>
      </c>
    </row>
    <row r="362" customFormat="false" ht="15" hidden="false" customHeight="false" outlineLevel="0" collapsed="false">
      <c r="A362" s="28" t="s">
        <v>3931</v>
      </c>
      <c r="B362" s="28" t="s">
        <v>51</v>
      </c>
      <c r="C362" s="28" t="s">
        <v>75</v>
      </c>
      <c r="D362" s="28" t="s">
        <v>3932</v>
      </c>
      <c r="E362" s="4" t="n">
        <v>1</v>
      </c>
      <c r="F362" s="4" t="s">
        <v>144</v>
      </c>
      <c r="G362" s="7" t="s">
        <v>465</v>
      </c>
      <c r="H362" s="4" t="n">
        <v>1964</v>
      </c>
      <c r="I362" s="4" t="s">
        <v>466</v>
      </c>
      <c r="J362" s="25" t="str">
        <f aca="false">IF(M362=1,"✓","")</f>
        <v/>
      </c>
      <c r="K362" s="4" t="str">
        <f aca="false">IF(AND(M362=0,P362=0),"▶ NEXT","")</f>
        <v>▶ NEXT</v>
      </c>
      <c r="L362" s="4" t="n">
        <f aca="false">INDEX('Master List'!$F$2:$F$2594,O362)</f>
        <v>3</v>
      </c>
      <c r="M362" s="4" t="n">
        <f aca="false">INDEX('Master List'!$G$2:$G$2594,O362)</f>
        <v>0</v>
      </c>
      <c r="N362" s="4" t="str">
        <f aca="false">IF(K362="","",A362)</f>
        <v>N029</v>
      </c>
      <c r="O362" s="4" t="n">
        <v>2543</v>
      </c>
      <c r="P362" s="4" t="n">
        <f aca="false">IF(A362=A361,P361+1-M361,0)</f>
        <v>0</v>
      </c>
    </row>
    <row r="363" customFormat="false" ht="15" hidden="false" customHeight="false" outlineLevel="0" collapsed="false">
      <c r="A363" s="28" t="s">
        <v>3931</v>
      </c>
      <c r="B363" s="28" t="s">
        <v>51</v>
      </c>
      <c r="C363" s="28" t="s">
        <v>75</v>
      </c>
      <c r="D363" s="28" t="s">
        <v>3932</v>
      </c>
      <c r="E363" s="4" t="n">
        <v>2</v>
      </c>
      <c r="F363" s="4" t="s">
        <v>144</v>
      </c>
      <c r="G363" s="7" t="s">
        <v>376</v>
      </c>
      <c r="H363" s="4" t="n">
        <v>1964</v>
      </c>
      <c r="I363" s="4" t="s">
        <v>377</v>
      </c>
      <c r="J363" s="25" t="str">
        <f aca="false">IF(M363=1,"✓","")</f>
        <v/>
      </c>
      <c r="K363" s="4" t="str">
        <f aca="false">IF(AND(M363=0,P363=0),"▶ NEXT","")</f>
        <v/>
      </c>
      <c r="L363" s="4" t="n">
        <f aca="false">INDEX('Master List'!$F$2:$F$2594,O363)</f>
        <v>4</v>
      </c>
      <c r="M363" s="4" t="n">
        <f aca="false">INDEX('Master List'!$G$2:$G$2594,O363)</f>
        <v>0</v>
      </c>
      <c r="N363" s="4" t="str">
        <f aca="false">IF(K363="","",A363)</f>
        <v/>
      </c>
      <c r="O363" s="4" t="n">
        <v>1683</v>
      </c>
      <c r="P363" s="4" t="n">
        <f aca="false">IF(A363=A362,P362+1-M362,0)</f>
        <v>1</v>
      </c>
    </row>
    <row r="364" customFormat="false" ht="15" hidden="false" customHeight="false" outlineLevel="0" collapsed="false">
      <c r="A364" s="28" t="s">
        <v>3931</v>
      </c>
      <c r="B364" s="28" t="s">
        <v>51</v>
      </c>
      <c r="C364" s="28" t="s">
        <v>75</v>
      </c>
      <c r="D364" s="28" t="s">
        <v>3932</v>
      </c>
      <c r="E364" s="4" t="n">
        <v>3</v>
      </c>
      <c r="F364" s="4" t="s">
        <v>213</v>
      </c>
      <c r="G364" s="4" t="s">
        <v>1971</v>
      </c>
      <c r="H364" s="4" t="n">
        <v>1960</v>
      </c>
      <c r="I364" s="4" t="s">
        <v>995</v>
      </c>
      <c r="J364" s="25" t="str">
        <f aca="false">IF(M364=1,"✓","")</f>
        <v/>
      </c>
      <c r="K364" s="4" t="str">
        <f aca="false">IF(AND(M364=0,P364=0),"▶ NEXT","")</f>
        <v/>
      </c>
      <c r="L364" s="4" t="n">
        <f aca="false">INDEX('Master List'!$F$2:$F$2594,O364)</f>
        <v>1</v>
      </c>
      <c r="M364" s="4" t="n">
        <f aca="false">INDEX('Master List'!$G$2:$G$2594,O364)</f>
        <v>0</v>
      </c>
      <c r="N364" s="4" t="str">
        <f aca="false">IF(K364="","",A364)</f>
        <v/>
      </c>
      <c r="O364" s="4" t="n">
        <v>545</v>
      </c>
      <c r="P364" s="4" t="n">
        <f aca="false">IF(A364=A363,P363+1-M363,0)</f>
        <v>2</v>
      </c>
    </row>
    <row r="365" customFormat="false" ht="15" hidden="false" customHeight="false" outlineLevel="0" collapsed="false">
      <c r="A365" s="28" t="s">
        <v>3931</v>
      </c>
      <c r="B365" s="28" t="s">
        <v>51</v>
      </c>
      <c r="C365" s="28" t="s">
        <v>75</v>
      </c>
      <c r="D365" s="28" t="s">
        <v>3932</v>
      </c>
      <c r="E365" s="4" t="n">
        <v>4</v>
      </c>
      <c r="F365" s="4" t="s">
        <v>213</v>
      </c>
      <c r="G365" s="4" t="s">
        <v>1985</v>
      </c>
      <c r="H365" s="4" t="n">
        <v>1961</v>
      </c>
      <c r="I365" s="4" t="s">
        <v>1986</v>
      </c>
      <c r="J365" s="25" t="str">
        <f aca="false">IF(M365=1,"✓","")</f>
        <v/>
      </c>
      <c r="K365" s="4" t="str">
        <f aca="false">IF(AND(M365=0,P365=0),"▶ NEXT","")</f>
        <v/>
      </c>
      <c r="L365" s="4" t="n">
        <f aca="false">INDEX('Master List'!$F$2:$F$2594,O365)</f>
        <v>1</v>
      </c>
      <c r="M365" s="4" t="n">
        <f aca="false">INDEX('Master List'!$G$2:$G$2594,O365)</f>
        <v>0</v>
      </c>
      <c r="N365" s="4" t="str">
        <f aca="false">IF(K365="","",A365)</f>
        <v/>
      </c>
      <c r="O365" s="4" t="n">
        <v>1768</v>
      </c>
      <c r="P365" s="4" t="n">
        <f aca="false">IF(A365=A364,P364+1-M364,0)</f>
        <v>3</v>
      </c>
    </row>
    <row r="366" customFormat="false" ht="15" hidden="false" customHeight="false" outlineLevel="0" collapsed="false">
      <c r="A366" s="28" t="s">
        <v>3931</v>
      </c>
      <c r="B366" s="28" t="s">
        <v>51</v>
      </c>
      <c r="C366" s="28" t="s">
        <v>75</v>
      </c>
      <c r="D366" s="28" t="s">
        <v>3932</v>
      </c>
      <c r="E366" s="4" t="n">
        <v>5</v>
      </c>
      <c r="F366" s="4" t="s">
        <v>213</v>
      </c>
      <c r="G366" s="4" t="s">
        <v>2019</v>
      </c>
      <c r="H366" s="4" t="n">
        <v>1963</v>
      </c>
      <c r="I366" s="4" t="s">
        <v>1986</v>
      </c>
      <c r="J366" s="25" t="str">
        <f aca="false">IF(M366=1,"✓","")</f>
        <v/>
      </c>
      <c r="K366" s="4" t="str">
        <f aca="false">IF(AND(M366=0,P366=0),"▶ NEXT","")</f>
        <v/>
      </c>
      <c r="L366" s="4" t="n">
        <f aca="false">INDEX('Master List'!$F$2:$F$2594,O366)</f>
        <v>1</v>
      </c>
      <c r="M366" s="4" t="n">
        <f aca="false">INDEX('Master List'!$G$2:$G$2594,O366)</f>
        <v>0</v>
      </c>
      <c r="N366" s="4" t="str">
        <f aca="false">IF(K366="","",A366)</f>
        <v/>
      </c>
      <c r="O366" s="4" t="n">
        <v>1145</v>
      </c>
      <c r="P366" s="4" t="n">
        <f aca="false">IF(A366=A365,P365+1-M365,0)</f>
        <v>4</v>
      </c>
    </row>
    <row r="367" customFormat="false" ht="15" hidden="false" customHeight="false" outlineLevel="0" collapsed="false">
      <c r="A367" s="28" t="s">
        <v>3931</v>
      </c>
      <c r="B367" s="28" t="s">
        <v>51</v>
      </c>
      <c r="C367" s="28" t="s">
        <v>75</v>
      </c>
      <c r="D367" s="28" t="s">
        <v>3932</v>
      </c>
      <c r="E367" s="4" t="n">
        <v>6</v>
      </c>
      <c r="F367" s="4" t="s">
        <v>213</v>
      </c>
      <c r="G367" s="4" t="s">
        <v>2041</v>
      </c>
      <c r="H367" s="4" t="n">
        <v>1964</v>
      </c>
      <c r="I367" s="4" t="s">
        <v>1986</v>
      </c>
      <c r="J367" s="25" t="str">
        <f aca="false">IF(M367=1,"✓","")</f>
        <v/>
      </c>
      <c r="K367" s="4" t="str">
        <f aca="false">IF(AND(M367=0,P367=0),"▶ NEXT","")</f>
        <v/>
      </c>
      <c r="L367" s="4" t="n">
        <f aca="false">INDEX('Master List'!$F$2:$F$2594,O367)</f>
        <v>1</v>
      </c>
      <c r="M367" s="4" t="n">
        <f aca="false">INDEX('Master List'!$G$2:$G$2594,O367)</f>
        <v>0</v>
      </c>
      <c r="N367" s="4" t="str">
        <f aca="false">IF(K367="","",A367)</f>
        <v/>
      </c>
      <c r="O367" s="4" t="n">
        <v>1155</v>
      </c>
      <c r="P367" s="4" t="n">
        <f aca="false">IF(A367=A366,P366+1-M366,0)</f>
        <v>5</v>
      </c>
    </row>
    <row r="368" customFormat="false" ht="15" hidden="false" customHeight="false" outlineLevel="0" collapsed="false">
      <c r="A368" s="28" t="s">
        <v>3931</v>
      </c>
      <c r="B368" s="28" t="s">
        <v>51</v>
      </c>
      <c r="C368" s="28" t="s">
        <v>75</v>
      </c>
      <c r="D368" s="28" t="s">
        <v>3932</v>
      </c>
      <c r="E368" s="4" t="n">
        <v>7</v>
      </c>
      <c r="F368" s="4" t="s">
        <v>213</v>
      </c>
      <c r="G368" s="4" t="s">
        <v>994</v>
      </c>
      <c r="H368" s="4" t="n">
        <v>1968</v>
      </c>
      <c r="I368" s="4" t="s">
        <v>995</v>
      </c>
      <c r="J368" s="25" t="str">
        <f aca="false">IF(M368=1,"✓","")</f>
        <v/>
      </c>
      <c r="K368" s="4" t="str">
        <f aca="false">IF(AND(M368=0,P368=0),"▶ NEXT","")</f>
        <v/>
      </c>
      <c r="L368" s="4" t="n">
        <f aca="false">INDEX('Master List'!$F$2:$F$2594,O368)</f>
        <v>2</v>
      </c>
      <c r="M368" s="4" t="n">
        <f aca="false">INDEX('Master List'!$G$2:$G$2594,O368)</f>
        <v>0</v>
      </c>
      <c r="N368" s="4" t="str">
        <f aca="false">IF(K368="","",A368)</f>
        <v/>
      </c>
      <c r="O368" s="4" t="n">
        <v>590</v>
      </c>
      <c r="P368" s="4" t="n">
        <f aca="false">IF(A368=A367,P367+1-M367,0)</f>
        <v>6</v>
      </c>
    </row>
    <row r="369" customFormat="false" ht="15" hidden="false" customHeight="false" outlineLevel="0" collapsed="false">
      <c r="A369" s="28" t="s">
        <v>3931</v>
      </c>
      <c r="B369" s="28" t="s">
        <v>51</v>
      </c>
      <c r="C369" s="28" t="s">
        <v>75</v>
      </c>
      <c r="D369" s="28" t="s">
        <v>3932</v>
      </c>
      <c r="E369" s="4" t="n">
        <v>8</v>
      </c>
      <c r="F369" s="4" t="s">
        <v>213</v>
      </c>
      <c r="G369" s="4" t="s">
        <v>1003</v>
      </c>
      <c r="H369" s="4" t="n">
        <v>1969</v>
      </c>
      <c r="I369" s="4" t="s">
        <v>1004</v>
      </c>
      <c r="J369" s="25" t="str">
        <f aca="false">IF(M369=1,"✓","")</f>
        <v/>
      </c>
      <c r="K369" s="4" t="str">
        <f aca="false">IF(AND(M369=0,P369=0),"▶ NEXT","")</f>
        <v/>
      </c>
      <c r="L369" s="4" t="n">
        <f aca="false">INDEX('Master List'!$F$2:$F$2594,O369)</f>
        <v>2</v>
      </c>
      <c r="M369" s="4" t="n">
        <f aca="false">INDEX('Master List'!$G$2:$G$2594,O369)</f>
        <v>0</v>
      </c>
      <c r="N369" s="4" t="str">
        <f aca="false">IF(K369="","",A369)</f>
        <v/>
      </c>
      <c r="O369" s="4" t="n">
        <v>870</v>
      </c>
      <c r="P369" s="4" t="n">
        <f aca="false">IF(A369=A368,P368+1-M368,0)</f>
        <v>7</v>
      </c>
    </row>
    <row r="370" customFormat="false" ht="15" hidden="false" customHeight="false" outlineLevel="0" collapsed="false">
      <c r="A370" s="28" t="s">
        <v>3931</v>
      </c>
      <c r="B370" s="28" t="s">
        <v>51</v>
      </c>
      <c r="C370" s="28" t="s">
        <v>75</v>
      </c>
      <c r="D370" s="28" t="s">
        <v>3932</v>
      </c>
      <c r="E370" s="4" t="n">
        <v>9</v>
      </c>
      <c r="F370" s="4" t="s">
        <v>213</v>
      </c>
      <c r="G370" s="4" t="s">
        <v>2134</v>
      </c>
      <c r="H370" s="4" t="n">
        <v>1969</v>
      </c>
      <c r="I370" s="4" t="s">
        <v>2135</v>
      </c>
      <c r="J370" s="25" t="str">
        <f aca="false">IF(M370=1,"✓","")</f>
        <v/>
      </c>
      <c r="K370" s="4" t="str">
        <f aca="false">IF(AND(M370=0,P370=0),"▶ NEXT","")</f>
        <v/>
      </c>
      <c r="L370" s="4" t="n">
        <f aca="false">INDEX('Master List'!$F$2:$F$2594,O370)</f>
        <v>1</v>
      </c>
      <c r="M370" s="4" t="n">
        <f aca="false">INDEX('Master List'!$G$2:$G$2594,O370)</f>
        <v>0</v>
      </c>
      <c r="N370" s="4" t="str">
        <f aca="false">IF(K370="","",A370)</f>
        <v/>
      </c>
      <c r="O370" s="4" t="n">
        <v>742</v>
      </c>
      <c r="P370" s="4" t="n">
        <f aca="false">IF(A370=A369,P369+1-M369,0)</f>
        <v>8</v>
      </c>
    </row>
    <row r="371" customFormat="false" ht="15" hidden="false" customHeight="false" outlineLevel="0" collapsed="false">
      <c r="A371" s="28" t="s">
        <v>3931</v>
      </c>
      <c r="B371" s="28" t="s">
        <v>51</v>
      </c>
      <c r="C371" s="28" t="s">
        <v>75</v>
      </c>
      <c r="D371" s="28" t="s">
        <v>3932</v>
      </c>
      <c r="E371" s="4" t="n">
        <v>10</v>
      </c>
      <c r="F371" s="4" t="s">
        <v>213</v>
      </c>
      <c r="G371" s="4" t="s">
        <v>2281</v>
      </c>
      <c r="H371" s="4" t="n">
        <v>1976</v>
      </c>
      <c r="I371" s="4" t="s">
        <v>995</v>
      </c>
      <c r="J371" s="25" t="str">
        <f aca="false">IF(M371=1,"✓","")</f>
        <v/>
      </c>
      <c r="K371" s="4" t="str">
        <f aca="false">IF(AND(M371=0,P371=0),"▶ NEXT","")</f>
        <v/>
      </c>
      <c r="L371" s="4" t="n">
        <f aca="false">INDEX('Master List'!$F$2:$F$2594,O371)</f>
        <v>1</v>
      </c>
      <c r="M371" s="4" t="n">
        <f aca="false">INDEX('Master List'!$G$2:$G$2594,O371)</f>
        <v>0</v>
      </c>
      <c r="N371" s="4" t="str">
        <f aca="false">IF(K371="","",A371)</f>
        <v/>
      </c>
      <c r="O371" s="4" t="n">
        <v>1131</v>
      </c>
      <c r="P371" s="4" t="n">
        <f aca="false">IF(A371=A370,P370+1-M370,0)</f>
        <v>9</v>
      </c>
    </row>
    <row r="372" customFormat="false" ht="15" hidden="false" customHeight="false" outlineLevel="0" collapsed="false">
      <c r="A372" s="28" t="s">
        <v>3931</v>
      </c>
      <c r="B372" s="28" t="s">
        <v>51</v>
      </c>
      <c r="C372" s="28" t="s">
        <v>75</v>
      </c>
      <c r="D372" s="28" t="s">
        <v>3932</v>
      </c>
      <c r="E372" s="4" t="n">
        <v>11</v>
      </c>
      <c r="F372" s="4" t="s">
        <v>1327</v>
      </c>
      <c r="G372" s="4" t="s">
        <v>3434</v>
      </c>
      <c r="H372" s="4" t="n">
        <v>1966</v>
      </c>
      <c r="I372" s="4" t="s">
        <v>466</v>
      </c>
      <c r="J372" s="25" t="str">
        <f aca="false">IF(M372=1,"✓","")</f>
        <v/>
      </c>
      <c r="K372" s="4" t="str">
        <f aca="false">IF(AND(M372=0,P372=0),"▶ NEXT","")</f>
        <v/>
      </c>
      <c r="L372" s="4" t="n">
        <f aca="false">INDEX('Master List'!$F$2:$F$2594,O372)</f>
        <v>1</v>
      </c>
      <c r="M372" s="4" t="n">
        <f aca="false">INDEX('Master List'!$G$2:$G$2594,O372)</f>
        <v>0</v>
      </c>
      <c r="N372" s="4" t="str">
        <f aca="false">IF(K372="","",A372)</f>
        <v/>
      </c>
      <c r="O372" s="4" t="n">
        <v>771</v>
      </c>
      <c r="P372" s="4" t="n">
        <f aca="false">IF(A372=A371,P371+1-M371,0)</f>
        <v>10</v>
      </c>
    </row>
    <row r="373" customFormat="false" ht="15" hidden="false" customHeight="false" outlineLevel="0" collapsed="false">
      <c r="A373" s="28" t="s">
        <v>3931</v>
      </c>
      <c r="B373" s="28" t="s">
        <v>51</v>
      </c>
      <c r="C373" s="28" t="s">
        <v>75</v>
      </c>
      <c r="D373" s="28" t="s">
        <v>3932</v>
      </c>
      <c r="E373" s="4" t="n">
        <v>12</v>
      </c>
      <c r="F373" s="4" t="s">
        <v>1327</v>
      </c>
      <c r="G373" s="4" t="s">
        <v>1409</v>
      </c>
      <c r="H373" s="4" t="n">
        <v>1969</v>
      </c>
      <c r="I373" s="4" t="s">
        <v>995</v>
      </c>
      <c r="J373" s="25" t="str">
        <f aca="false">IF(M373=1,"✓","")</f>
        <v/>
      </c>
      <c r="K373" s="4" t="str">
        <f aca="false">IF(AND(M373=0,P373=0),"▶ NEXT","")</f>
        <v/>
      </c>
      <c r="L373" s="4" t="n">
        <f aca="false">INDEX('Master List'!$F$2:$F$2594,O373)</f>
        <v>1</v>
      </c>
      <c r="M373" s="4" t="n">
        <f aca="false">INDEX('Master List'!$G$2:$G$2594,O373)</f>
        <v>0</v>
      </c>
      <c r="N373" s="4" t="str">
        <f aca="false">IF(K373="","",A373)</f>
        <v/>
      </c>
      <c r="O373" s="4" t="n">
        <v>327</v>
      </c>
      <c r="P373" s="4" t="n">
        <f aca="false">IF(A373=A372,P372+1-M372,0)</f>
        <v>11</v>
      </c>
    </row>
    <row r="374" customFormat="false" ht="15" hidden="false" customHeight="false" outlineLevel="0" collapsed="false">
      <c r="A374" s="28" t="s">
        <v>3931</v>
      </c>
      <c r="B374" s="28" t="s">
        <v>51</v>
      </c>
      <c r="C374" s="28" t="s">
        <v>75</v>
      </c>
      <c r="D374" s="28" t="s">
        <v>3932</v>
      </c>
      <c r="E374" s="4" t="n">
        <v>13</v>
      </c>
      <c r="F374" s="4" t="s">
        <v>1327</v>
      </c>
      <c r="G374" s="4" t="s">
        <v>1325</v>
      </c>
      <c r="H374" s="4" t="n">
        <v>1964</v>
      </c>
      <c r="I374" s="4" t="s">
        <v>1326</v>
      </c>
      <c r="J374" s="25" t="str">
        <f aca="false">IF(M374=1,"✓","")</f>
        <v/>
      </c>
      <c r="K374" s="4" t="str">
        <f aca="false">IF(AND(M374=0,P374=0),"▶ NEXT","")</f>
        <v/>
      </c>
      <c r="L374" s="4" t="n">
        <f aca="false">INDEX('Master List'!$F$2:$F$2594,O374)</f>
        <v>3</v>
      </c>
      <c r="M374" s="4" t="n">
        <f aca="false">INDEX('Master List'!$G$2:$G$2594,O374)</f>
        <v>0</v>
      </c>
      <c r="N374" s="4" t="str">
        <f aca="false">IF(K374="","",A374)</f>
        <v/>
      </c>
      <c r="O374" s="4" t="n">
        <v>1708</v>
      </c>
      <c r="P374" s="4" t="n">
        <f aca="false">IF(A374=A373,P373+1-M373,0)</f>
        <v>12</v>
      </c>
    </row>
    <row r="375" customFormat="false" ht="15" hidden="false" customHeight="false" outlineLevel="0" collapsed="false">
      <c r="A375" s="28" t="s">
        <v>3933</v>
      </c>
      <c r="B375" s="28" t="s">
        <v>51</v>
      </c>
      <c r="C375" s="28" t="s">
        <v>75</v>
      </c>
      <c r="D375" s="28" t="s">
        <v>3934</v>
      </c>
      <c r="E375" s="4" t="n">
        <v>1</v>
      </c>
      <c r="F375" s="4" t="s">
        <v>144</v>
      </c>
      <c r="G375" s="7" t="s">
        <v>459</v>
      </c>
      <c r="H375" s="4" t="n">
        <v>1961</v>
      </c>
      <c r="I375" s="4" t="s">
        <v>156</v>
      </c>
      <c r="J375" s="25" t="str">
        <f aca="false">IF(M375=1,"✓","")</f>
        <v/>
      </c>
      <c r="K375" s="4" t="str">
        <f aca="false">IF(AND(M375=0,P375=0),"▶ NEXT","")</f>
        <v>▶ NEXT</v>
      </c>
      <c r="L375" s="4" t="n">
        <f aca="false">INDEX('Master List'!$F$2:$F$2594,O375)</f>
        <v>3</v>
      </c>
      <c r="M375" s="4" t="n">
        <f aca="false">INDEX('Master List'!$G$2:$G$2594,O375)</f>
        <v>0</v>
      </c>
      <c r="N375" s="4" t="str">
        <f aca="false">IF(K375="","",A375)</f>
        <v>N030</v>
      </c>
      <c r="O375" s="4" t="n">
        <v>2570</v>
      </c>
      <c r="P375" s="4" t="n">
        <f aca="false">IF(A375=A374,P374+1-M374,0)</f>
        <v>0</v>
      </c>
    </row>
    <row r="376" customFormat="false" ht="15" hidden="false" customHeight="false" outlineLevel="0" collapsed="false">
      <c r="A376" s="28" t="s">
        <v>3933</v>
      </c>
      <c r="B376" s="28" t="s">
        <v>51</v>
      </c>
      <c r="C376" s="28" t="s">
        <v>75</v>
      </c>
      <c r="D376" s="28" t="s">
        <v>3934</v>
      </c>
      <c r="E376" s="4" t="n">
        <v>2</v>
      </c>
      <c r="F376" s="4" t="s">
        <v>144</v>
      </c>
      <c r="G376" s="7" t="s">
        <v>540</v>
      </c>
      <c r="H376" s="4" t="n">
        <v>1962</v>
      </c>
      <c r="I376" s="4" t="s">
        <v>541</v>
      </c>
      <c r="J376" s="25" t="str">
        <f aca="false">IF(M376=1,"✓","")</f>
        <v/>
      </c>
      <c r="K376" s="4" t="str">
        <f aca="false">IF(AND(M376=0,P376=0),"▶ NEXT","")</f>
        <v/>
      </c>
      <c r="L376" s="4" t="n">
        <f aca="false">INDEX('Master List'!$F$2:$F$2594,O376)</f>
        <v>3</v>
      </c>
      <c r="M376" s="4" t="n">
        <f aca="false">INDEX('Master List'!$G$2:$G$2594,O376)</f>
        <v>0</v>
      </c>
      <c r="N376" s="4" t="str">
        <f aca="false">IF(K376="","",A376)</f>
        <v/>
      </c>
      <c r="O376" s="4" t="n">
        <v>991</v>
      </c>
      <c r="P376" s="4" t="n">
        <f aca="false">IF(A376=A375,P375+1-M375,0)</f>
        <v>1</v>
      </c>
    </row>
    <row r="377" customFormat="false" ht="15" hidden="false" customHeight="false" outlineLevel="0" collapsed="false">
      <c r="A377" s="28" t="s">
        <v>3933</v>
      </c>
      <c r="B377" s="28" t="s">
        <v>51</v>
      </c>
      <c r="C377" s="28" t="s">
        <v>75</v>
      </c>
      <c r="D377" s="28" t="s">
        <v>3934</v>
      </c>
      <c r="E377" s="4" t="n">
        <v>3</v>
      </c>
      <c r="F377" s="4" t="s">
        <v>213</v>
      </c>
      <c r="G377" s="4" t="s">
        <v>155</v>
      </c>
      <c r="H377" s="4" t="n">
        <v>1954</v>
      </c>
      <c r="I377" s="4" t="s">
        <v>156</v>
      </c>
      <c r="J377" s="25" t="str">
        <f aca="false">IF(M377=1,"✓","")</f>
        <v/>
      </c>
      <c r="K377" s="4" t="str">
        <f aca="false">IF(AND(M377=0,P377=0),"▶ NEXT","")</f>
        <v/>
      </c>
      <c r="L377" s="4" t="n">
        <f aca="false">INDEX('Master List'!$F$2:$F$2594,O377)</f>
        <v>8</v>
      </c>
      <c r="M377" s="4" t="n">
        <f aca="false">INDEX('Master List'!$G$2:$G$2594,O377)</f>
        <v>0</v>
      </c>
      <c r="N377" s="4" t="str">
        <f aca="false">IF(K377="","",A377)</f>
        <v/>
      </c>
      <c r="O377" s="4" t="n">
        <v>2021</v>
      </c>
      <c r="P377" s="4" t="n">
        <f aca="false">IF(A377=A376,P376+1-M376,0)</f>
        <v>2</v>
      </c>
    </row>
    <row r="378" customFormat="false" ht="15" hidden="false" customHeight="false" outlineLevel="0" collapsed="false">
      <c r="A378" s="28" t="s">
        <v>3933</v>
      </c>
      <c r="B378" s="28" t="s">
        <v>51</v>
      </c>
      <c r="C378" s="28" t="s">
        <v>75</v>
      </c>
      <c r="D378" s="28" t="s">
        <v>3934</v>
      </c>
      <c r="E378" s="4" t="n">
        <v>4</v>
      </c>
      <c r="F378" s="4" t="s">
        <v>213</v>
      </c>
      <c r="G378" s="4" t="s">
        <v>578</v>
      </c>
      <c r="H378" s="4" t="n">
        <v>1957</v>
      </c>
      <c r="I378" s="4" t="s">
        <v>156</v>
      </c>
      <c r="J378" s="25" t="str">
        <f aca="false">IF(M378=1,"✓","")</f>
        <v>✓</v>
      </c>
      <c r="K378" s="4" t="str">
        <f aca="false">IF(AND(M378=0,P378=0),"▶ NEXT","")</f>
        <v/>
      </c>
      <c r="L378" s="4" t="n">
        <f aca="false">INDEX('Master List'!$F$2:$F$2594,O378)</f>
        <v>3</v>
      </c>
      <c r="M378" s="4" t="n">
        <f aca="false">INDEX('Master List'!$G$2:$G$2594,O378)</f>
        <v>1</v>
      </c>
      <c r="N378" s="4" t="str">
        <f aca="false">IF(K378="","",A378)</f>
        <v/>
      </c>
      <c r="O378" s="4" t="n">
        <v>2298</v>
      </c>
      <c r="P378" s="4" t="n">
        <f aca="false">IF(A378=A377,P377+1-M377,0)</f>
        <v>3</v>
      </c>
    </row>
    <row r="379" customFormat="false" ht="15" hidden="false" customHeight="false" outlineLevel="0" collapsed="false">
      <c r="A379" s="28" t="s">
        <v>3933</v>
      </c>
      <c r="B379" s="28" t="s">
        <v>51</v>
      </c>
      <c r="C379" s="28" t="s">
        <v>75</v>
      </c>
      <c r="D379" s="28" t="s">
        <v>3934</v>
      </c>
      <c r="E379" s="4" t="n">
        <v>5</v>
      </c>
      <c r="F379" s="4" t="s">
        <v>213</v>
      </c>
      <c r="G379" s="4" t="s">
        <v>2009</v>
      </c>
      <c r="H379" s="4" t="n">
        <v>1962</v>
      </c>
      <c r="I379" s="4" t="s">
        <v>156</v>
      </c>
      <c r="J379" s="25" t="str">
        <f aca="false">IF(M379=1,"✓","")</f>
        <v/>
      </c>
      <c r="K379" s="4" t="str">
        <f aca="false">IF(AND(M379=0,P379=0),"▶ NEXT","")</f>
        <v/>
      </c>
      <c r="L379" s="4" t="n">
        <f aca="false">INDEX('Master List'!$F$2:$F$2594,O379)</f>
        <v>1</v>
      </c>
      <c r="M379" s="4" t="n">
        <f aca="false">INDEX('Master List'!$G$2:$G$2594,O379)</f>
        <v>0</v>
      </c>
      <c r="N379" s="4" t="str">
        <f aca="false">IF(K379="","",A379)</f>
        <v/>
      </c>
      <c r="O379" s="4" t="n">
        <v>1968</v>
      </c>
      <c r="P379" s="4" t="n">
        <f aca="false">IF(A379=A378,P378+1-M378,0)</f>
        <v>3</v>
      </c>
    </row>
    <row r="380" customFormat="false" ht="15" hidden="false" customHeight="false" outlineLevel="0" collapsed="false">
      <c r="A380" s="28" t="s">
        <v>3933</v>
      </c>
      <c r="B380" s="28" t="s">
        <v>51</v>
      </c>
      <c r="C380" s="28" t="s">
        <v>75</v>
      </c>
      <c r="D380" s="28" t="s">
        <v>3934</v>
      </c>
      <c r="E380" s="4" t="n">
        <v>6</v>
      </c>
      <c r="F380" s="4" t="s">
        <v>213</v>
      </c>
      <c r="G380" s="4" t="s">
        <v>2090</v>
      </c>
      <c r="H380" s="4" t="n">
        <v>1967</v>
      </c>
      <c r="I380" s="4" t="s">
        <v>541</v>
      </c>
      <c r="J380" s="25" t="str">
        <f aca="false">IF(M380=1,"✓","")</f>
        <v/>
      </c>
      <c r="K380" s="4" t="str">
        <f aca="false">IF(AND(M380=0,P380=0),"▶ NEXT","")</f>
        <v/>
      </c>
      <c r="L380" s="4" t="n">
        <f aca="false">INDEX('Master List'!$F$2:$F$2594,O380)</f>
        <v>1</v>
      </c>
      <c r="M380" s="4" t="n">
        <f aca="false">INDEX('Master List'!$G$2:$G$2594,O380)</f>
        <v>0</v>
      </c>
      <c r="N380" s="4" t="str">
        <f aca="false">IF(K380="","",A380)</f>
        <v/>
      </c>
      <c r="O380" s="4" t="n">
        <v>1967</v>
      </c>
      <c r="P380" s="4" t="n">
        <f aca="false">IF(A380=A379,P379+1-M379,0)</f>
        <v>4</v>
      </c>
    </row>
    <row r="381" customFormat="false" ht="15" hidden="false" customHeight="false" outlineLevel="0" collapsed="false">
      <c r="A381" s="28" t="s">
        <v>3933</v>
      </c>
      <c r="B381" s="28" t="s">
        <v>51</v>
      </c>
      <c r="C381" s="28" t="s">
        <v>75</v>
      </c>
      <c r="D381" s="28" t="s">
        <v>3934</v>
      </c>
      <c r="E381" s="4" t="n">
        <v>7</v>
      </c>
      <c r="F381" s="4" t="s">
        <v>213</v>
      </c>
      <c r="G381" s="4" t="s">
        <v>2075</v>
      </c>
      <c r="H381" s="4" t="n">
        <v>1966</v>
      </c>
      <c r="I381" s="4" t="s">
        <v>2076</v>
      </c>
      <c r="J381" s="25" t="str">
        <f aca="false">IF(M381=1,"✓","")</f>
        <v/>
      </c>
      <c r="K381" s="4" t="str">
        <f aca="false">IF(AND(M381=0,P381=0),"▶ NEXT","")</f>
        <v/>
      </c>
      <c r="L381" s="4" t="n">
        <f aca="false">INDEX('Master List'!$F$2:$F$2594,O381)</f>
        <v>1</v>
      </c>
      <c r="M381" s="4" t="n">
        <f aca="false">INDEX('Master List'!$G$2:$G$2594,O381)</f>
        <v>0</v>
      </c>
      <c r="N381" s="4" t="str">
        <f aca="false">IF(K381="","",A381)</f>
        <v/>
      </c>
      <c r="O381" s="4" t="n">
        <v>2221</v>
      </c>
      <c r="P381" s="4" t="n">
        <f aca="false">IF(A381=A380,P380+1-M380,0)</f>
        <v>5</v>
      </c>
    </row>
    <row r="382" customFormat="false" ht="15" hidden="false" customHeight="false" outlineLevel="0" collapsed="false">
      <c r="A382" s="28" t="s">
        <v>3933</v>
      </c>
      <c r="B382" s="28" t="s">
        <v>51</v>
      </c>
      <c r="C382" s="28" t="s">
        <v>75</v>
      </c>
      <c r="D382" s="28" t="s">
        <v>3934</v>
      </c>
      <c r="E382" s="4" t="n">
        <v>8</v>
      </c>
      <c r="F382" s="4" t="s">
        <v>213</v>
      </c>
      <c r="G382" s="4" t="s">
        <v>2119</v>
      </c>
      <c r="H382" s="4" t="n">
        <v>1968</v>
      </c>
      <c r="I382" s="4" t="s">
        <v>2076</v>
      </c>
      <c r="J382" s="25" t="str">
        <f aca="false">IF(M382=1,"✓","")</f>
        <v/>
      </c>
      <c r="K382" s="4" t="str">
        <f aca="false">IF(AND(M382=0,P382=0),"▶ NEXT","")</f>
        <v/>
      </c>
      <c r="L382" s="4" t="n">
        <f aca="false">INDEX('Master List'!$F$2:$F$2594,O382)</f>
        <v>1</v>
      </c>
      <c r="M382" s="4" t="n">
        <f aca="false">INDEX('Master List'!$G$2:$G$2594,O382)</f>
        <v>0</v>
      </c>
      <c r="N382" s="4" t="str">
        <f aca="false">IF(K382="","",A382)</f>
        <v/>
      </c>
      <c r="O382" s="4" t="n">
        <v>1240</v>
      </c>
      <c r="P382" s="4" t="n">
        <f aca="false">IF(A382=A381,P381+1-M381,0)</f>
        <v>6</v>
      </c>
    </row>
    <row r="383" customFormat="false" ht="15" hidden="false" customHeight="false" outlineLevel="0" collapsed="false">
      <c r="A383" s="28" t="s">
        <v>3933</v>
      </c>
      <c r="B383" s="28" t="s">
        <v>51</v>
      </c>
      <c r="C383" s="28" t="s">
        <v>75</v>
      </c>
      <c r="D383" s="28" t="s">
        <v>3934</v>
      </c>
      <c r="E383" s="4" t="n">
        <v>9</v>
      </c>
      <c r="F383" s="4" t="s">
        <v>213</v>
      </c>
      <c r="G383" s="4" t="s">
        <v>543</v>
      </c>
      <c r="H383" s="4" t="n">
        <v>1973</v>
      </c>
      <c r="I383" s="4" t="s">
        <v>544</v>
      </c>
      <c r="J383" s="25" t="str">
        <f aca="false">IF(M383=1,"✓","")</f>
        <v/>
      </c>
      <c r="K383" s="4" t="str">
        <f aca="false">IF(AND(M383=0,P383=0),"▶ NEXT","")</f>
        <v/>
      </c>
      <c r="L383" s="4" t="n">
        <f aca="false">INDEX('Master List'!$F$2:$F$2594,O383)</f>
        <v>3</v>
      </c>
      <c r="M383" s="4" t="n">
        <f aca="false">INDEX('Master List'!$G$2:$G$2594,O383)</f>
        <v>0</v>
      </c>
      <c r="N383" s="4" t="str">
        <f aca="false">IF(K383="","",A383)</f>
        <v/>
      </c>
      <c r="O383" s="4" t="n">
        <v>1281</v>
      </c>
      <c r="P383" s="4" t="n">
        <f aca="false">IF(A383=A382,P382+1-M382,0)</f>
        <v>7</v>
      </c>
    </row>
    <row r="384" customFormat="false" ht="15" hidden="false" customHeight="false" outlineLevel="0" collapsed="false">
      <c r="A384" s="28" t="s">
        <v>3933</v>
      </c>
      <c r="B384" s="28" t="s">
        <v>51</v>
      </c>
      <c r="C384" s="28" t="s">
        <v>75</v>
      </c>
      <c r="D384" s="28" t="s">
        <v>3934</v>
      </c>
      <c r="E384" s="4" t="n">
        <v>10</v>
      </c>
      <c r="F384" s="4" t="s">
        <v>213</v>
      </c>
      <c r="G384" s="4" t="s">
        <v>2192</v>
      </c>
      <c r="H384" s="4" t="n">
        <v>1972</v>
      </c>
      <c r="I384" s="4" t="s">
        <v>2193</v>
      </c>
      <c r="J384" s="25" t="str">
        <f aca="false">IF(M384=1,"✓","")</f>
        <v/>
      </c>
      <c r="K384" s="4" t="str">
        <f aca="false">IF(AND(M384=0,P384=0),"▶ NEXT","")</f>
        <v/>
      </c>
      <c r="L384" s="4" t="n">
        <f aca="false">INDEX('Master List'!$F$2:$F$2594,O384)</f>
        <v>1</v>
      </c>
      <c r="M384" s="4" t="n">
        <f aca="false">INDEX('Master List'!$G$2:$G$2594,O384)</f>
        <v>0</v>
      </c>
      <c r="N384" s="4" t="str">
        <f aca="false">IF(K384="","",A384)</f>
        <v/>
      </c>
      <c r="O384" s="4" t="n">
        <v>1372</v>
      </c>
      <c r="P384" s="4" t="n">
        <f aca="false">IF(A384=A383,P383+1-M383,0)</f>
        <v>8</v>
      </c>
    </row>
    <row r="385" customFormat="false" ht="15" hidden="false" customHeight="false" outlineLevel="0" collapsed="false">
      <c r="A385" s="28" t="s">
        <v>3933</v>
      </c>
      <c r="B385" s="28" t="s">
        <v>51</v>
      </c>
      <c r="C385" s="28" t="s">
        <v>75</v>
      </c>
      <c r="D385" s="28" t="s">
        <v>3934</v>
      </c>
      <c r="E385" s="4" t="n">
        <v>11</v>
      </c>
      <c r="F385" s="4" t="s">
        <v>213</v>
      </c>
      <c r="G385" s="4" t="s">
        <v>1071</v>
      </c>
      <c r="H385" s="4" t="n">
        <v>1985</v>
      </c>
      <c r="I385" s="4" t="s">
        <v>156</v>
      </c>
      <c r="J385" s="25" t="str">
        <f aca="false">IF(M385=1,"✓","")</f>
        <v/>
      </c>
      <c r="K385" s="4" t="str">
        <f aca="false">IF(AND(M385=0,P385=0),"▶ NEXT","")</f>
        <v/>
      </c>
      <c r="L385" s="4" t="n">
        <f aca="false">INDEX('Master List'!$F$2:$F$2594,O385)</f>
        <v>2</v>
      </c>
      <c r="M385" s="4" t="n">
        <f aca="false">INDEX('Master List'!$G$2:$G$2594,O385)</f>
        <v>0</v>
      </c>
      <c r="N385" s="4" t="str">
        <f aca="false">IF(K385="","",A385)</f>
        <v/>
      </c>
      <c r="O385" s="4" t="n">
        <v>1859</v>
      </c>
      <c r="P385" s="4" t="n">
        <f aca="false">IF(A385=A384,P384+1-M384,0)</f>
        <v>9</v>
      </c>
    </row>
    <row r="386" customFormat="false" ht="15" hidden="false" customHeight="false" outlineLevel="0" collapsed="false">
      <c r="A386" s="28" t="s">
        <v>3933</v>
      </c>
      <c r="B386" s="28" t="s">
        <v>51</v>
      </c>
      <c r="C386" s="28" t="s">
        <v>75</v>
      </c>
      <c r="D386" s="28" t="s">
        <v>3934</v>
      </c>
      <c r="E386" s="4" t="n">
        <v>12</v>
      </c>
      <c r="F386" s="4" t="s">
        <v>213</v>
      </c>
      <c r="G386" s="4" t="s">
        <v>2762</v>
      </c>
      <c r="H386" s="4" t="n">
        <v>2002</v>
      </c>
      <c r="I386" s="4" t="s">
        <v>2763</v>
      </c>
      <c r="J386" s="25" t="str">
        <f aca="false">IF(M386=1,"✓","")</f>
        <v/>
      </c>
      <c r="K386" s="4" t="str">
        <f aca="false">IF(AND(M386=0,P386=0),"▶ NEXT","")</f>
        <v/>
      </c>
      <c r="L386" s="4" t="n">
        <f aca="false">INDEX('Master List'!$F$2:$F$2594,O386)</f>
        <v>1</v>
      </c>
      <c r="M386" s="4" t="n">
        <f aca="false">INDEX('Master List'!$G$2:$G$2594,O386)</f>
        <v>0</v>
      </c>
      <c r="N386" s="4" t="str">
        <f aca="false">IF(K386="","",A386)</f>
        <v/>
      </c>
      <c r="O386" s="4" t="n">
        <v>2386</v>
      </c>
      <c r="P386" s="4" t="n">
        <f aca="false">IF(A386=A385,P385+1-M385,0)</f>
        <v>10</v>
      </c>
    </row>
    <row r="387" customFormat="false" ht="15" hidden="false" customHeight="false" outlineLevel="0" collapsed="false">
      <c r="A387" s="28" t="s">
        <v>3933</v>
      </c>
      <c r="B387" s="28" t="s">
        <v>51</v>
      </c>
      <c r="C387" s="28" t="s">
        <v>75</v>
      </c>
      <c r="D387" s="28" t="s">
        <v>3934</v>
      </c>
      <c r="E387" s="4" t="n">
        <v>13</v>
      </c>
      <c r="F387" s="4" t="s">
        <v>213</v>
      </c>
      <c r="G387" s="4" t="s">
        <v>2940</v>
      </c>
      <c r="H387" s="4" t="n">
        <v>2010</v>
      </c>
      <c r="I387" s="4" t="s">
        <v>1127</v>
      </c>
      <c r="J387" s="25" t="str">
        <f aca="false">IF(M387=1,"✓","")</f>
        <v/>
      </c>
      <c r="K387" s="4" t="str">
        <f aca="false">IF(AND(M387=0,P387=0),"▶ NEXT","")</f>
        <v/>
      </c>
      <c r="L387" s="4" t="n">
        <f aca="false">INDEX('Master List'!$F$2:$F$2594,O387)</f>
        <v>1</v>
      </c>
      <c r="M387" s="4" t="n">
        <f aca="false">INDEX('Master List'!$G$2:$G$2594,O387)</f>
        <v>0</v>
      </c>
      <c r="N387" s="4" t="str">
        <f aca="false">IF(K387="","",A387)</f>
        <v/>
      </c>
      <c r="O387" s="4" t="n">
        <v>7</v>
      </c>
      <c r="P387" s="4" t="n">
        <f aca="false">IF(A387=A386,P386+1-M386,0)</f>
        <v>11</v>
      </c>
    </row>
    <row r="388" customFormat="false" ht="15" hidden="false" customHeight="false" outlineLevel="0" collapsed="false">
      <c r="A388" s="28" t="s">
        <v>3933</v>
      </c>
      <c r="B388" s="28" t="s">
        <v>51</v>
      </c>
      <c r="C388" s="28" t="s">
        <v>75</v>
      </c>
      <c r="D388" s="28" t="s">
        <v>3934</v>
      </c>
      <c r="E388" s="4" t="n">
        <v>14</v>
      </c>
      <c r="F388" s="4" t="s">
        <v>1327</v>
      </c>
      <c r="G388" s="4" t="s">
        <v>3733</v>
      </c>
      <c r="H388" s="4" t="n">
        <v>2003</v>
      </c>
      <c r="I388" s="4" t="s">
        <v>831</v>
      </c>
      <c r="J388" s="25" t="str">
        <f aca="false">IF(M388=1,"✓","")</f>
        <v/>
      </c>
      <c r="K388" s="4" t="str">
        <f aca="false">IF(AND(M388=0,P388=0),"▶ NEXT","")</f>
        <v/>
      </c>
      <c r="L388" s="4" t="n">
        <f aca="false">INDEX('Master List'!$F$2:$F$2594,O388)</f>
        <v>1</v>
      </c>
      <c r="M388" s="4" t="n">
        <f aca="false">INDEX('Master List'!$G$2:$G$2594,O388)</f>
        <v>0</v>
      </c>
      <c r="N388" s="4" t="str">
        <f aca="false">IF(K388="","",A388)</f>
        <v/>
      </c>
      <c r="O388" s="4" t="n">
        <v>2584</v>
      </c>
      <c r="P388" s="4" t="n">
        <f aca="false">IF(A388=A387,P387+1-M387,0)</f>
        <v>12</v>
      </c>
    </row>
    <row r="389" customFormat="false" ht="15" hidden="false" customHeight="false" outlineLevel="0" collapsed="false">
      <c r="A389" s="28" t="s">
        <v>3933</v>
      </c>
      <c r="B389" s="28" t="s">
        <v>51</v>
      </c>
      <c r="C389" s="28" t="s">
        <v>75</v>
      </c>
      <c r="D389" s="28" t="s">
        <v>3934</v>
      </c>
      <c r="E389" s="4" t="n">
        <v>15</v>
      </c>
      <c r="F389" s="4" t="s">
        <v>1327</v>
      </c>
      <c r="G389" s="4" t="s">
        <v>3378</v>
      </c>
      <c r="H389" s="4" t="n">
        <v>1954</v>
      </c>
      <c r="I389" s="4" t="s">
        <v>3379</v>
      </c>
      <c r="J389" s="25" t="str">
        <f aca="false">IF(M389=1,"✓","")</f>
        <v/>
      </c>
      <c r="K389" s="4" t="str">
        <f aca="false">IF(AND(M389=0,P389=0),"▶ NEXT","")</f>
        <v/>
      </c>
      <c r="L389" s="4" t="n">
        <f aca="false">INDEX('Master List'!$F$2:$F$2594,O389)</f>
        <v>1</v>
      </c>
      <c r="M389" s="4" t="n">
        <f aca="false">INDEX('Master List'!$G$2:$G$2594,O389)</f>
        <v>0</v>
      </c>
      <c r="N389" s="4" t="str">
        <f aca="false">IF(K389="","",A389)</f>
        <v/>
      </c>
      <c r="O389" s="4" t="n">
        <v>1966</v>
      </c>
      <c r="P389" s="4" t="n">
        <f aca="false">IF(A389=A388,P388+1-M388,0)</f>
        <v>13</v>
      </c>
    </row>
    <row r="390" customFormat="false" ht="15" hidden="false" customHeight="false" outlineLevel="0" collapsed="false">
      <c r="A390" s="28" t="s">
        <v>3935</v>
      </c>
      <c r="B390" s="28" t="s">
        <v>51</v>
      </c>
      <c r="C390" s="28" t="s">
        <v>75</v>
      </c>
      <c r="D390" s="28" t="s">
        <v>3936</v>
      </c>
      <c r="E390" s="4" t="n">
        <v>1</v>
      </c>
      <c r="F390" s="4" t="s">
        <v>144</v>
      </c>
      <c r="G390" s="7" t="s">
        <v>672</v>
      </c>
      <c r="H390" s="4" t="n">
        <v>1973</v>
      </c>
      <c r="I390" s="4" t="s">
        <v>673</v>
      </c>
      <c r="J390" s="25" t="str">
        <f aca="false">IF(M390=1,"✓","")</f>
        <v/>
      </c>
      <c r="K390" s="4" t="str">
        <f aca="false">IF(AND(M390=0,P390=0),"▶ NEXT","")</f>
        <v>▶ NEXT</v>
      </c>
      <c r="L390" s="4" t="n">
        <f aca="false">INDEX('Master List'!$F$2:$F$2594,O390)</f>
        <v>2</v>
      </c>
      <c r="M390" s="4" t="n">
        <f aca="false">INDEX('Master List'!$G$2:$G$2594,O390)</f>
        <v>0</v>
      </c>
      <c r="N390" s="4" t="str">
        <f aca="false">IF(K390="","",A390)</f>
        <v>N031</v>
      </c>
      <c r="O390" s="4" t="n">
        <v>198</v>
      </c>
      <c r="P390" s="4" t="n">
        <f aca="false">IF(A390=A389,P389+1-M389,0)</f>
        <v>0</v>
      </c>
    </row>
    <row r="391" customFormat="false" ht="15" hidden="false" customHeight="false" outlineLevel="0" collapsed="false">
      <c r="A391" s="28" t="s">
        <v>3935</v>
      </c>
      <c r="B391" s="28" t="s">
        <v>51</v>
      </c>
      <c r="C391" s="28" t="s">
        <v>75</v>
      </c>
      <c r="D391" s="28" t="s">
        <v>3936</v>
      </c>
      <c r="E391" s="4" t="n">
        <v>2</v>
      </c>
      <c r="F391" s="4" t="s">
        <v>144</v>
      </c>
      <c r="G391" s="7" t="s">
        <v>830</v>
      </c>
      <c r="H391" s="4" t="n">
        <v>1993</v>
      </c>
      <c r="I391" s="4" t="s">
        <v>831</v>
      </c>
      <c r="J391" s="25" t="str">
        <f aca="false">IF(M391=1,"✓","")</f>
        <v/>
      </c>
      <c r="K391" s="4" t="str">
        <f aca="false">IF(AND(M391=0,P391=0),"▶ NEXT","")</f>
        <v/>
      </c>
      <c r="L391" s="4" t="n">
        <f aca="false">INDEX('Master List'!$F$2:$F$2594,O391)</f>
        <v>2</v>
      </c>
      <c r="M391" s="4" t="n">
        <f aca="false">INDEX('Master List'!$G$2:$G$2594,O391)</f>
        <v>0</v>
      </c>
      <c r="N391" s="4" t="str">
        <f aca="false">IF(K391="","",A391)</f>
        <v/>
      </c>
      <c r="O391" s="4" t="n">
        <v>2112</v>
      </c>
      <c r="P391" s="4" t="n">
        <f aca="false">IF(A391=A390,P390+1-M390,0)</f>
        <v>1</v>
      </c>
    </row>
    <row r="392" customFormat="false" ht="15" hidden="false" customHeight="false" outlineLevel="0" collapsed="false">
      <c r="A392" s="28" t="s">
        <v>3935</v>
      </c>
      <c r="B392" s="28" t="s">
        <v>51</v>
      </c>
      <c r="C392" s="28" t="s">
        <v>75</v>
      </c>
      <c r="D392" s="28" t="s">
        <v>3936</v>
      </c>
      <c r="E392" s="4" t="n">
        <v>3</v>
      </c>
      <c r="F392" s="4" t="s">
        <v>213</v>
      </c>
      <c r="G392" s="4" t="s">
        <v>351</v>
      </c>
      <c r="H392" s="4" t="n">
        <v>1949</v>
      </c>
      <c r="I392" s="4" t="s">
        <v>156</v>
      </c>
      <c r="J392" s="25" t="str">
        <f aca="false">IF(M392=1,"✓","")</f>
        <v/>
      </c>
      <c r="K392" s="4" t="str">
        <f aca="false">IF(AND(M392=0,P392=0),"▶ NEXT","")</f>
        <v/>
      </c>
      <c r="L392" s="4" t="n">
        <f aca="false">INDEX('Master List'!$F$2:$F$2594,O392)</f>
        <v>4</v>
      </c>
      <c r="M392" s="4" t="n">
        <f aca="false">INDEX('Master List'!$G$2:$G$2594,O392)</f>
        <v>0</v>
      </c>
      <c r="N392" s="4" t="str">
        <f aca="false">IF(K392="","",A392)</f>
        <v/>
      </c>
      <c r="O392" s="4" t="n">
        <v>2179</v>
      </c>
      <c r="P392" s="4" t="n">
        <f aca="false">IF(A392=A391,P391+1-M391,0)</f>
        <v>2</v>
      </c>
    </row>
    <row r="393" customFormat="false" ht="15" hidden="false" customHeight="false" outlineLevel="0" collapsed="false">
      <c r="A393" s="28" t="s">
        <v>3935</v>
      </c>
      <c r="B393" s="28" t="s">
        <v>51</v>
      </c>
      <c r="C393" s="28" t="s">
        <v>75</v>
      </c>
      <c r="D393" s="28" t="s">
        <v>3936</v>
      </c>
      <c r="E393" s="4" t="n">
        <v>4</v>
      </c>
      <c r="F393" s="4" t="s">
        <v>213</v>
      </c>
      <c r="G393" s="4" t="s">
        <v>966</v>
      </c>
      <c r="H393" s="4" t="n">
        <v>1963</v>
      </c>
      <c r="I393" s="4" t="s">
        <v>156</v>
      </c>
      <c r="J393" s="25" t="str">
        <f aca="false">IF(M393=1,"✓","")</f>
        <v>✓</v>
      </c>
      <c r="K393" s="4" t="str">
        <f aca="false">IF(AND(M393=0,P393=0),"▶ NEXT","")</f>
        <v/>
      </c>
      <c r="L393" s="4" t="n">
        <f aca="false">INDEX('Master List'!$F$2:$F$2594,O393)</f>
        <v>2</v>
      </c>
      <c r="M393" s="4" t="n">
        <f aca="false">INDEX('Master List'!$G$2:$G$2594,O393)</f>
        <v>1</v>
      </c>
      <c r="N393" s="4" t="str">
        <f aca="false">IF(K393="","",A393)</f>
        <v/>
      </c>
      <c r="O393" s="4" t="n">
        <v>1032</v>
      </c>
      <c r="P393" s="4" t="n">
        <f aca="false">IF(A393=A392,P392+1-M392,0)</f>
        <v>3</v>
      </c>
    </row>
    <row r="394" customFormat="false" ht="15" hidden="false" customHeight="false" outlineLevel="0" collapsed="false">
      <c r="A394" s="28" t="s">
        <v>3935</v>
      </c>
      <c r="B394" s="28" t="s">
        <v>51</v>
      </c>
      <c r="C394" s="28" t="s">
        <v>75</v>
      </c>
      <c r="D394" s="28" t="s">
        <v>3936</v>
      </c>
      <c r="E394" s="4" t="n">
        <v>5</v>
      </c>
      <c r="F394" s="4" t="s">
        <v>213</v>
      </c>
      <c r="G394" s="4" t="s">
        <v>471</v>
      </c>
      <c r="H394" s="4" t="n">
        <v>1967</v>
      </c>
      <c r="I394" s="4" t="s">
        <v>472</v>
      </c>
      <c r="J394" s="25" t="str">
        <f aca="false">IF(M394=1,"✓","")</f>
        <v/>
      </c>
      <c r="K394" s="4" t="str">
        <f aca="false">IF(AND(M394=0,P394=0),"▶ NEXT","")</f>
        <v/>
      </c>
      <c r="L394" s="4" t="n">
        <f aca="false">INDEX('Master List'!$F$2:$F$2594,O394)</f>
        <v>3</v>
      </c>
      <c r="M394" s="4" t="n">
        <f aca="false">INDEX('Master List'!$G$2:$G$2594,O394)</f>
        <v>0</v>
      </c>
      <c r="N394" s="4" t="str">
        <f aca="false">IF(K394="","",A394)</f>
        <v/>
      </c>
      <c r="O394" s="4" t="n">
        <v>336</v>
      </c>
      <c r="P394" s="4" t="n">
        <f aca="false">IF(A394=A393,P393+1-M393,0)</f>
        <v>3</v>
      </c>
    </row>
    <row r="395" customFormat="false" ht="15" hidden="false" customHeight="false" outlineLevel="0" collapsed="false">
      <c r="A395" s="28" t="s">
        <v>3935</v>
      </c>
      <c r="B395" s="28" t="s">
        <v>51</v>
      </c>
      <c r="C395" s="28" t="s">
        <v>75</v>
      </c>
      <c r="D395" s="28" t="s">
        <v>3936</v>
      </c>
      <c r="E395" s="4" t="n">
        <v>6</v>
      </c>
      <c r="F395" s="4" t="s">
        <v>213</v>
      </c>
      <c r="G395" s="4" t="s">
        <v>703</v>
      </c>
      <c r="H395" s="4" t="n">
        <v>1966</v>
      </c>
      <c r="I395" s="4" t="s">
        <v>472</v>
      </c>
      <c r="J395" s="25" t="str">
        <f aca="false">IF(M395=1,"✓","")</f>
        <v/>
      </c>
      <c r="K395" s="4" t="str">
        <f aca="false">IF(AND(M395=0,P395=0),"▶ NEXT","")</f>
        <v/>
      </c>
      <c r="L395" s="4" t="n">
        <f aca="false">INDEX('Master List'!$F$2:$F$2594,O395)</f>
        <v>3</v>
      </c>
      <c r="M395" s="4" t="n">
        <f aca="false">INDEX('Master List'!$G$2:$G$2594,O395)</f>
        <v>0</v>
      </c>
      <c r="N395" s="4" t="str">
        <f aca="false">IF(K395="","",A395)</f>
        <v/>
      </c>
      <c r="O395" s="4" t="n">
        <v>2324</v>
      </c>
      <c r="P395" s="4" t="n">
        <f aca="false">IF(A395=A394,P394+1-M394,0)</f>
        <v>4</v>
      </c>
    </row>
    <row r="396" customFormat="false" ht="15" hidden="false" customHeight="false" outlineLevel="0" collapsed="false">
      <c r="A396" s="28" t="s">
        <v>3935</v>
      </c>
      <c r="B396" s="28" t="s">
        <v>51</v>
      </c>
      <c r="C396" s="28" t="s">
        <v>75</v>
      </c>
      <c r="D396" s="28" t="s">
        <v>3936</v>
      </c>
      <c r="E396" s="4" t="n">
        <v>7</v>
      </c>
      <c r="F396" s="4" t="s">
        <v>213</v>
      </c>
      <c r="G396" s="4" t="s">
        <v>1028</v>
      </c>
      <c r="H396" s="4" t="n">
        <v>1975</v>
      </c>
      <c r="I396" s="4" t="s">
        <v>673</v>
      </c>
      <c r="J396" s="25" t="str">
        <f aca="false">IF(M396=1,"✓","")</f>
        <v/>
      </c>
      <c r="K396" s="4" t="str">
        <f aca="false">IF(AND(M396=0,P396=0),"▶ NEXT","")</f>
        <v/>
      </c>
      <c r="L396" s="4" t="n">
        <f aca="false">INDEX('Master List'!$F$2:$F$2594,O396)</f>
        <v>2</v>
      </c>
      <c r="M396" s="4" t="n">
        <f aca="false">INDEX('Master List'!$G$2:$G$2594,O396)</f>
        <v>0</v>
      </c>
      <c r="N396" s="4" t="str">
        <f aca="false">IF(K396="","",A396)</f>
        <v/>
      </c>
      <c r="O396" s="4" t="n">
        <v>948</v>
      </c>
      <c r="P396" s="4" t="n">
        <f aca="false">IF(A396=A395,P395+1-M395,0)</f>
        <v>5</v>
      </c>
    </row>
    <row r="397" customFormat="false" ht="15" hidden="false" customHeight="false" outlineLevel="0" collapsed="false">
      <c r="A397" s="28" t="s">
        <v>3935</v>
      </c>
      <c r="B397" s="28" t="s">
        <v>51</v>
      </c>
      <c r="C397" s="28" t="s">
        <v>75</v>
      </c>
      <c r="D397" s="28" t="s">
        <v>3936</v>
      </c>
      <c r="E397" s="4" t="n">
        <v>8</v>
      </c>
      <c r="F397" s="4" t="s">
        <v>213</v>
      </c>
      <c r="G397" s="4" t="s">
        <v>1116</v>
      </c>
      <c r="H397" s="4" t="n">
        <v>1997</v>
      </c>
      <c r="I397" s="4" t="s">
        <v>831</v>
      </c>
      <c r="J397" s="25" t="str">
        <f aca="false">IF(M397=1,"✓","")</f>
        <v/>
      </c>
      <c r="K397" s="4" t="str">
        <f aca="false">IF(AND(M397=0,P397=0),"▶ NEXT","")</f>
        <v/>
      </c>
      <c r="L397" s="4" t="n">
        <f aca="false">INDEX('Master List'!$F$2:$F$2594,O397)</f>
        <v>2</v>
      </c>
      <c r="M397" s="4" t="n">
        <f aca="false">INDEX('Master List'!$G$2:$G$2594,O397)</f>
        <v>0</v>
      </c>
      <c r="N397" s="4" t="str">
        <f aca="false">IF(K397="","",A397)</f>
        <v/>
      </c>
      <c r="O397" s="4" t="n">
        <v>982</v>
      </c>
      <c r="P397" s="4" t="n">
        <f aca="false">IF(A397=A396,P396+1-M396,0)</f>
        <v>6</v>
      </c>
    </row>
    <row r="398" customFormat="false" ht="15" hidden="false" customHeight="false" outlineLevel="0" collapsed="false">
      <c r="A398" s="28" t="s">
        <v>3935</v>
      </c>
      <c r="B398" s="28" t="s">
        <v>51</v>
      </c>
      <c r="C398" s="28" t="s">
        <v>75</v>
      </c>
      <c r="D398" s="28" t="s">
        <v>3936</v>
      </c>
      <c r="E398" s="4" t="n">
        <v>9</v>
      </c>
      <c r="F398" s="4" t="s">
        <v>213</v>
      </c>
      <c r="G398" s="4" t="s">
        <v>2694</v>
      </c>
      <c r="H398" s="4" t="n">
        <v>1999</v>
      </c>
      <c r="I398" s="4" t="s">
        <v>1127</v>
      </c>
      <c r="J398" s="25" t="str">
        <f aca="false">IF(M398=1,"✓","")</f>
        <v/>
      </c>
      <c r="K398" s="4" t="str">
        <f aca="false">IF(AND(M398=0,P398=0),"▶ NEXT","")</f>
        <v/>
      </c>
      <c r="L398" s="4" t="n">
        <f aca="false">INDEX('Master List'!$F$2:$F$2594,O398)</f>
        <v>1</v>
      </c>
      <c r="M398" s="4" t="n">
        <f aca="false">INDEX('Master List'!$G$2:$G$2594,O398)</f>
        <v>0</v>
      </c>
      <c r="N398" s="4" t="str">
        <f aca="false">IF(K398="","",A398)</f>
        <v/>
      </c>
      <c r="O398" s="4" t="n">
        <v>585</v>
      </c>
      <c r="P398" s="4" t="n">
        <f aca="false">IF(A398=A397,P397+1-M397,0)</f>
        <v>7</v>
      </c>
    </row>
    <row r="399" customFormat="false" ht="15" hidden="false" customHeight="false" outlineLevel="0" collapsed="false">
      <c r="A399" s="28" t="s">
        <v>3935</v>
      </c>
      <c r="B399" s="28" t="s">
        <v>51</v>
      </c>
      <c r="C399" s="28" t="s">
        <v>75</v>
      </c>
      <c r="D399" s="28" t="s">
        <v>3936</v>
      </c>
      <c r="E399" s="4" t="n">
        <v>10</v>
      </c>
      <c r="F399" s="4" t="s">
        <v>1327</v>
      </c>
      <c r="G399" s="4" t="s">
        <v>1325</v>
      </c>
      <c r="H399" s="4" t="n">
        <v>1964</v>
      </c>
      <c r="I399" s="4" t="s">
        <v>1326</v>
      </c>
      <c r="J399" s="25" t="str">
        <f aca="false">IF(M399=1,"✓","")</f>
        <v/>
      </c>
      <c r="K399" s="4" t="str">
        <f aca="false">IF(AND(M399=0,P399=0),"▶ NEXT","")</f>
        <v/>
      </c>
      <c r="L399" s="4" t="n">
        <f aca="false">INDEX('Master List'!$F$2:$F$2594,O399)</f>
        <v>3</v>
      </c>
      <c r="M399" s="4" t="n">
        <f aca="false">INDEX('Master List'!$G$2:$G$2594,O399)</f>
        <v>0</v>
      </c>
      <c r="N399" s="4" t="str">
        <f aca="false">IF(K399="","",A399)</f>
        <v/>
      </c>
      <c r="O399" s="4" t="n">
        <v>1708</v>
      </c>
      <c r="P399" s="4" t="n">
        <f aca="false">IF(A399=A398,P398+1-M398,0)</f>
        <v>8</v>
      </c>
    </row>
    <row r="400" customFormat="false" ht="15" hidden="false" customHeight="false" outlineLevel="0" collapsed="false">
      <c r="A400" s="28" t="s">
        <v>3935</v>
      </c>
      <c r="B400" s="28" t="s">
        <v>51</v>
      </c>
      <c r="C400" s="28" t="s">
        <v>75</v>
      </c>
      <c r="D400" s="28" t="s">
        <v>3936</v>
      </c>
      <c r="E400" s="4" t="n">
        <v>11</v>
      </c>
      <c r="F400" s="4" t="s">
        <v>1327</v>
      </c>
      <c r="G400" s="4" t="s">
        <v>3419</v>
      </c>
      <c r="H400" s="4" t="n">
        <v>1963</v>
      </c>
      <c r="I400" s="4" t="s">
        <v>472</v>
      </c>
      <c r="J400" s="25" t="str">
        <f aca="false">IF(M400=1,"✓","")</f>
        <v/>
      </c>
      <c r="K400" s="4" t="str">
        <f aca="false">IF(AND(M400=0,P400=0),"▶ NEXT","")</f>
        <v/>
      </c>
      <c r="L400" s="4" t="n">
        <f aca="false">INDEX('Master List'!$F$2:$F$2594,O400)</f>
        <v>1</v>
      </c>
      <c r="M400" s="4" t="n">
        <f aca="false">INDEX('Master List'!$G$2:$G$2594,O400)</f>
        <v>0</v>
      </c>
      <c r="N400" s="4" t="str">
        <f aca="false">IF(K400="","",A400)</f>
        <v/>
      </c>
      <c r="O400" s="4" t="n">
        <v>2579</v>
      </c>
      <c r="P400" s="4" t="n">
        <f aca="false">IF(A400=A399,P399+1-M399,0)</f>
        <v>9</v>
      </c>
    </row>
    <row r="401" customFormat="false" ht="15" hidden="false" customHeight="false" outlineLevel="0" collapsed="false">
      <c r="A401" s="28" t="s">
        <v>3937</v>
      </c>
      <c r="B401" s="28" t="s">
        <v>51</v>
      </c>
      <c r="C401" s="28" t="s">
        <v>75</v>
      </c>
      <c r="D401" s="28" t="s">
        <v>3938</v>
      </c>
      <c r="E401" s="4" t="n">
        <v>1</v>
      </c>
      <c r="F401" s="4" t="s">
        <v>144</v>
      </c>
      <c r="G401" s="7" t="s">
        <v>819</v>
      </c>
      <c r="H401" s="4" t="n">
        <v>1988</v>
      </c>
      <c r="I401" s="4" t="s">
        <v>820</v>
      </c>
      <c r="J401" s="25" t="str">
        <f aca="false">IF(M401=1,"✓","")</f>
        <v/>
      </c>
      <c r="K401" s="4" t="str">
        <f aca="false">IF(AND(M401=0,P401=0),"▶ NEXT","")</f>
        <v>▶ NEXT</v>
      </c>
      <c r="L401" s="4" t="n">
        <f aca="false">INDEX('Master List'!$F$2:$F$2594,O401)</f>
        <v>2</v>
      </c>
      <c r="M401" s="4" t="n">
        <f aca="false">INDEX('Master List'!$G$2:$G$2594,O401)</f>
        <v>0</v>
      </c>
      <c r="N401" s="4" t="str">
        <f aca="false">IF(K401="","",A401)</f>
        <v>N032</v>
      </c>
      <c r="O401" s="4" t="n">
        <v>60</v>
      </c>
      <c r="P401" s="4" t="n">
        <f aca="false">IF(A401=A400,P400+1-M400,0)</f>
        <v>0</v>
      </c>
    </row>
    <row r="402" customFormat="false" ht="15" hidden="false" customHeight="false" outlineLevel="0" collapsed="false">
      <c r="A402" s="28" t="s">
        <v>3937</v>
      </c>
      <c r="B402" s="28" t="s">
        <v>51</v>
      </c>
      <c r="C402" s="28" t="s">
        <v>75</v>
      </c>
      <c r="D402" s="28" t="s">
        <v>3938</v>
      </c>
      <c r="E402" s="4" t="n">
        <v>2</v>
      </c>
      <c r="F402" s="4" t="s">
        <v>144</v>
      </c>
      <c r="G402" s="7" t="s">
        <v>836</v>
      </c>
      <c r="H402" s="4" t="n">
        <v>1995</v>
      </c>
      <c r="I402" s="4" t="s">
        <v>837</v>
      </c>
      <c r="J402" s="25" t="str">
        <f aca="false">IF(M402=1,"✓","")</f>
        <v>✓</v>
      </c>
      <c r="K402" s="4" t="str">
        <f aca="false">IF(AND(M402=0,P402=0),"▶ NEXT","")</f>
        <v/>
      </c>
      <c r="L402" s="4" t="n">
        <f aca="false">INDEX('Master List'!$F$2:$F$2594,O402)</f>
        <v>2</v>
      </c>
      <c r="M402" s="4" t="n">
        <f aca="false">INDEX('Master List'!$G$2:$G$2594,O402)</f>
        <v>1</v>
      </c>
      <c r="N402" s="4" t="str">
        <f aca="false">IF(K402="","",A402)</f>
        <v/>
      </c>
      <c r="O402" s="4" t="n">
        <v>891</v>
      </c>
      <c r="P402" s="4" t="n">
        <f aca="false">IF(A402=A401,P401+1-M401,0)</f>
        <v>1</v>
      </c>
    </row>
    <row r="403" customFormat="false" ht="15" hidden="false" customHeight="false" outlineLevel="0" collapsed="false">
      <c r="A403" s="28" t="s">
        <v>3937</v>
      </c>
      <c r="B403" s="28" t="s">
        <v>51</v>
      </c>
      <c r="C403" s="28" t="s">
        <v>75</v>
      </c>
      <c r="D403" s="28" t="s">
        <v>3938</v>
      </c>
      <c r="E403" s="4" t="n">
        <v>3</v>
      </c>
      <c r="F403" s="4" t="s">
        <v>213</v>
      </c>
      <c r="G403" s="4" t="s">
        <v>610</v>
      </c>
      <c r="H403" s="4" t="n">
        <v>1988</v>
      </c>
      <c r="I403" s="4" t="s">
        <v>611</v>
      </c>
      <c r="J403" s="25" t="str">
        <f aca="false">IF(M403=1,"✓","")</f>
        <v/>
      </c>
      <c r="K403" s="4" t="str">
        <f aca="false">IF(AND(M403=0,P403=0),"▶ NEXT","")</f>
        <v/>
      </c>
      <c r="L403" s="4" t="n">
        <f aca="false">INDEX('Master List'!$F$2:$F$2594,O403)</f>
        <v>3</v>
      </c>
      <c r="M403" s="4" t="n">
        <f aca="false">INDEX('Master List'!$G$2:$G$2594,O403)</f>
        <v>0</v>
      </c>
      <c r="N403" s="4" t="str">
        <f aca="false">IF(K403="","",A403)</f>
        <v/>
      </c>
      <c r="O403" s="4" t="n">
        <v>947</v>
      </c>
      <c r="P403" s="4" t="n">
        <f aca="false">IF(A403=A402,P402+1-M402,0)</f>
        <v>1</v>
      </c>
    </row>
    <row r="404" customFormat="false" ht="15" hidden="false" customHeight="false" outlineLevel="0" collapsed="false">
      <c r="A404" s="28" t="s">
        <v>3937</v>
      </c>
      <c r="B404" s="28" t="s">
        <v>51</v>
      </c>
      <c r="C404" s="28" t="s">
        <v>75</v>
      </c>
      <c r="D404" s="28" t="s">
        <v>3938</v>
      </c>
      <c r="E404" s="4" t="n">
        <v>4</v>
      </c>
      <c r="F404" s="4" t="s">
        <v>213</v>
      </c>
      <c r="G404" s="4" t="s">
        <v>2663</v>
      </c>
      <c r="H404" s="4" t="n">
        <v>1997</v>
      </c>
      <c r="I404" s="4" t="s">
        <v>635</v>
      </c>
      <c r="J404" s="25" t="str">
        <f aca="false">IF(M404=1,"✓","")</f>
        <v/>
      </c>
      <c r="K404" s="4" t="str">
        <f aca="false">IF(AND(M404=0,P404=0),"▶ NEXT","")</f>
        <v/>
      </c>
      <c r="L404" s="4" t="n">
        <f aca="false">INDEX('Master List'!$F$2:$F$2594,O404)</f>
        <v>1</v>
      </c>
      <c r="M404" s="4" t="n">
        <f aca="false">INDEX('Master List'!$G$2:$G$2594,O404)</f>
        <v>0</v>
      </c>
      <c r="N404" s="4" t="str">
        <f aca="false">IF(K404="","",A404)</f>
        <v/>
      </c>
      <c r="O404" s="4" t="n">
        <v>1744</v>
      </c>
      <c r="P404" s="4" t="n">
        <f aca="false">IF(A404=A403,P403+1-M403,0)</f>
        <v>2</v>
      </c>
    </row>
    <row r="405" customFormat="false" ht="15" hidden="false" customHeight="false" outlineLevel="0" collapsed="false">
      <c r="A405" s="28" t="s">
        <v>3937</v>
      </c>
      <c r="B405" s="28" t="s">
        <v>51</v>
      </c>
      <c r="C405" s="28" t="s">
        <v>75</v>
      </c>
      <c r="D405" s="28" t="s">
        <v>3938</v>
      </c>
      <c r="E405" s="4" t="n">
        <v>5</v>
      </c>
      <c r="F405" s="4" t="s">
        <v>213</v>
      </c>
      <c r="G405" s="4" t="s">
        <v>2734</v>
      </c>
      <c r="H405" s="4" t="n">
        <v>2001</v>
      </c>
      <c r="I405" s="4" t="s">
        <v>635</v>
      </c>
      <c r="J405" s="25" t="str">
        <f aca="false">IF(M405=1,"✓","")</f>
        <v/>
      </c>
      <c r="K405" s="4" t="str">
        <f aca="false">IF(AND(M405=0,P405=0),"▶ NEXT","")</f>
        <v/>
      </c>
      <c r="L405" s="4" t="n">
        <f aca="false">INDEX('Master List'!$F$2:$F$2594,O405)</f>
        <v>1</v>
      </c>
      <c r="M405" s="4" t="n">
        <f aca="false">INDEX('Master List'!$G$2:$G$2594,O405)</f>
        <v>0</v>
      </c>
      <c r="N405" s="4" t="str">
        <f aca="false">IF(K405="","",A405)</f>
        <v/>
      </c>
      <c r="O405" s="4" t="n">
        <v>1502</v>
      </c>
      <c r="P405" s="4" t="n">
        <f aca="false">IF(A405=A404,P404+1-M404,0)</f>
        <v>3</v>
      </c>
    </row>
    <row r="406" customFormat="false" ht="15" hidden="false" customHeight="false" outlineLevel="0" collapsed="false">
      <c r="A406" s="28" t="s">
        <v>3937</v>
      </c>
      <c r="B406" s="28" t="s">
        <v>51</v>
      </c>
      <c r="C406" s="28" t="s">
        <v>75</v>
      </c>
      <c r="D406" s="28" t="s">
        <v>3938</v>
      </c>
      <c r="E406" s="4" t="n">
        <v>6</v>
      </c>
      <c r="F406" s="4" t="s">
        <v>213</v>
      </c>
      <c r="G406" s="4" t="s">
        <v>634</v>
      </c>
      <c r="H406" s="4" t="n">
        <v>2003</v>
      </c>
      <c r="I406" s="4" t="s">
        <v>635</v>
      </c>
      <c r="J406" s="25" t="str">
        <f aca="false">IF(M406=1,"✓","")</f>
        <v/>
      </c>
      <c r="K406" s="4" t="str">
        <f aca="false">IF(AND(M406=0,P406=0),"▶ NEXT","")</f>
        <v/>
      </c>
      <c r="L406" s="4" t="n">
        <f aca="false">INDEX('Master List'!$F$2:$F$2594,O406)</f>
        <v>3</v>
      </c>
      <c r="M406" s="4" t="n">
        <f aca="false">INDEX('Master List'!$G$2:$G$2594,O406)</f>
        <v>0</v>
      </c>
      <c r="N406" s="4" t="str">
        <f aca="false">IF(K406="","",A406)</f>
        <v/>
      </c>
      <c r="O406" s="4" t="n">
        <v>2326</v>
      </c>
      <c r="P406" s="4" t="n">
        <f aca="false">IF(A406=A405,P405+1-M405,0)</f>
        <v>4</v>
      </c>
    </row>
    <row r="407" customFormat="false" ht="15" hidden="false" customHeight="false" outlineLevel="0" collapsed="false">
      <c r="A407" s="28" t="s">
        <v>3937</v>
      </c>
      <c r="B407" s="28" t="s">
        <v>51</v>
      </c>
      <c r="C407" s="28" t="s">
        <v>75</v>
      </c>
      <c r="D407" s="28" t="s">
        <v>3938</v>
      </c>
      <c r="E407" s="4" t="n">
        <v>7</v>
      </c>
      <c r="F407" s="4" t="s">
        <v>213</v>
      </c>
      <c r="G407" s="4" t="s">
        <v>1171</v>
      </c>
      <c r="H407" s="4" t="n">
        <v>2006</v>
      </c>
      <c r="I407" s="4" t="s">
        <v>635</v>
      </c>
      <c r="J407" s="25" t="str">
        <f aca="false">IF(M407=1,"✓","")</f>
        <v/>
      </c>
      <c r="K407" s="4" t="str">
        <f aca="false">IF(AND(M407=0,P407=0),"▶ NEXT","")</f>
        <v/>
      </c>
      <c r="L407" s="4" t="n">
        <f aca="false">INDEX('Master List'!$F$2:$F$2594,O407)</f>
        <v>2</v>
      </c>
      <c r="M407" s="4" t="n">
        <f aca="false">INDEX('Master List'!$G$2:$G$2594,O407)</f>
        <v>0</v>
      </c>
      <c r="N407" s="4" t="str">
        <f aca="false">IF(K407="","",A407)</f>
        <v/>
      </c>
      <c r="O407" s="4" t="n">
        <v>1717</v>
      </c>
      <c r="P407" s="4" t="n">
        <f aca="false">IF(A407=A406,P406+1-M406,0)</f>
        <v>5</v>
      </c>
    </row>
    <row r="408" customFormat="false" ht="15" hidden="false" customHeight="false" outlineLevel="0" collapsed="false">
      <c r="A408" s="28" t="s">
        <v>3937</v>
      </c>
      <c r="B408" s="28" t="s">
        <v>51</v>
      </c>
      <c r="C408" s="28" t="s">
        <v>75</v>
      </c>
      <c r="D408" s="28" t="s">
        <v>3938</v>
      </c>
      <c r="E408" s="4" t="n">
        <v>8</v>
      </c>
      <c r="F408" s="4" t="s">
        <v>213</v>
      </c>
      <c r="G408" s="4" t="s">
        <v>3088</v>
      </c>
      <c r="H408" s="4" t="n">
        <v>2016</v>
      </c>
      <c r="I408" s="4" t="s">
        <v>3089</v>
      </c>
      <c r="J408" s="25" t="str">
        <f aca="false">IF(M408=1,"✓","")</f>
        <v/>
      </c>
      <c r="K408" s="4" t="str">
        <f aca="false">IF(AND(M408=0,P408=0),"▶ NEXT","")</f>
        <v/>
      </c>
      <c r="L408" s="4" t="n">
        <f aca="false">INDEX('Master List'!$F$2:$F$2594,O408)</f>
        <v>1</v>
      </c>
      <c r="M408" s="4" t="n">
        <f aca="false">INDEX('Master List'!$G$2:$G$2594,O408)</f>
        <v>0</v>
      </c>
      <c r="N408" s="4" t="str">
        <f aca="false">IF(K408="","",A408)</f>
        <v/>
      </c>
      <c r="O408" s="4" t="n">
        <v>2577</v>
      </c>
      <c r="P408" s="4" t="n">
        <f aca="false">IF(A408=A407,P407+1-M407,0)</f>
        <v>6</v>
      </c>
    </row>
    <row r="409" customFormat="false" ht="15" hidden="false" customHeight="false" outlineLevel="0" collapsed="false">
      <c r="A409" s="28" t="s">
        <v>3937</v>
      </c>
      <c r="B409" s="28" t="s">
        <v>51</v>
      </c>
      <c r="C409" s="28" t="s">
        <v>75</v>
      </c>
      <c r="D409" s="28" t="s">
        <v>3938</v>
      </c>
      <c r="E409" s="4" t="n">
        <v>9</v>
      </c>
      <c r="F409" s="4" t="s">
        <v>213</v>
      </c>
      <c r="G409" s="4" t="s">
        <v>3090</v>
      </c>
      <c r="H409" s="4" t="n">
        <v>2016</v>
      </c>
      <c r="I409" s="4" t="s">
        <v>3091</v>
      </c>
      <c r="J409" s="25" t="str">
        <f aca="false">IF(M409=1,"✓","")</f>
        <v/>
      </c>
      <c r="K409" s="4" t="str">
        <f aca="false">IF(AND(M409=0,P409=0),"▶ NEXT","")</f>
        <v/>
      </c>
      <c r="L409" s="4" t="n">
        <f aca="false">INDEX('Master List'!$F$2:$F$2594,O409)</f>
        <v>1</v>
      </c>
      <c r="M409" s="4" t="n">
        <f aca="false">INDEX('Master List'!$G$2:$G$2594,O409)</f>
        <v>0</v>
      </c>
      <c r="N409" s="4" t="str">
        <f aca="false">IF(K409="","",A409)</f>
        <v/>
      </c>
      <c r="O409" s="4" t="n">
        <v>2072</v>
      </c>
      <c r="P409" s="4" t="n">
        <f aca="false">IF(A409=A408,P408+1-M408,0)</f>
        <v>7</v>
      </c>
    </row>
    <row r="410" customFormat="false" ht="15" hidden="false" customHeight="false" outlineLevel="0" collapsed="false">
      <c r="A410" s="28" t="s">
        <v>3937</v>
      </c>
      <c r="B410" s="28" t="s">
        <v>51</v>
      </c>
      <c r="C410" s="28" t="s">
        <v>75</v>
      </c>
      <c r="D410" s="28" t="s">
        <v>3938</v>
      </c>
      <c r="E410" s="4" t="n">
        <v>10</v>
      </c>
      <c r="F410" s="4" t="s">
        <v>213</v>
      </c>
      <c r="G410" s="4" t="s">
        <v>3019</v>
      </c>
      <c r="H410" s="4" t="n">
        <v>2013</v>
      </c>
      <c r="I410" s="4" t="s">
        <v>611</v>
      </c>
      <c r="J410" s="25" t="str">
        <f aca="false">IF(M410=1,"✓","")</f>
        <v/>
      </c>
      <c r="K410" s="4" t="str">
        <f aca="false">IF(AND(M410=0,P410=0),"▶ NEXT","")</f>
        <v/>
      </c>
      <c r="L410" s="4" t="n">
        <f aca="false">INDEX('Master List'!$F$2:$F$2594,O410)</f>
        <v>1</v>
      </c>
      <c r="M410" s="4" t="n">
        <f aca="false">INDEX('Master List'!$G$2:$G$2594,O410)</f>
        <v>0</v>
      </c>
      <c r="N410" s="4" t="str">
        <f aca="false">IF(K410="","",A410)</f>
        <v/>
      </c>
      <c r="O410" s="4" t="n">
        <v>2233</v>
      </c>
      <c r="P410" s="4" t="n">
        <f aca="false">IF(A410=A409,P409+1-M409,0)</f>
        <v>8</v>
      </c>
    </row>
    <row r="411" customFormat="false" ht="15" hidden="false" customHeight="false" outlineLevel="0" collapsed="false">
      <c r="A411" s="28" t="s">
        <v>3937</v>
      </c>
      <c r="B411" s="28" t="s">
        <v>51</v>
      </c>
      <c r="C411" s="28" t="s">
        <v>75</v>
      </c>
      <c r="D411" s="28" t="s">
        <v>3938</v>
      </c>
      <c r="E411" s="4" t="n">
        <v>11</v>
      </c>
      <c r="F411" s="4" t="s">
        <v>1327</v>
      </c>
      <c r="G411" s="4" t="s">
        <v>3507</v>
      </c>
      <c r="H411" s="4" t="n">
        <v>1973</v>
      </c>
      <c r="I411" s="4" t="s">
        <v>3508</v>
      </c>
      <c r="J411" s="25" t="str">
        <f aca="false">IF(M411=1,"✓","")</f>
        <v/>
      </c>
      <c r="K411" s="4" t="str">
        <f aca="false">IF(AND(M411=0,P411=0),"▶ NEXT","")</f>
        <v/>
      </c>
      <c r="L411" s="4" t="n">
        <f aca="false">INDEX('Master List'!$F$2:$F$2594,O411)</f>
        <v>1</v>
      </c>
      <c r="M411" s="4" t="n">
        <f aca="false">INDEX('Master List'!$G$2:$G$2594,O411)</f>
        <v>0</v>
      </c>
      <c r="N411" s="4" t="str">
        <f aca="false">IF(K411="","",A411)</f>
        <v/>
      </c>
      <c r="O411" s="4" t="n">
        <v>219</v>
      </c>
      <c r="P411" s="4" t="n">
        <f aca="false">IF(A411=A410,P410+1-M410,0)</f>
        <v>9</v>
      </c>
    </row>
    <row r="412" customFormat="false" ht="15" hidden="false" customHeight="false" outlineLevel="0" collapsed="false">
      <c r="A412" s="28" t="s">
        <v>3937</v>
      </c>
      <c r="B412" s="28" t="s">
        <v>51</v>
      </c>
      <c r="C412" s="28" t="s">
        <v>75</v>
      </c>
      <c r="D412" s="28" t="s">
        <v>3938</v>
      </c>
      <c r="E412" s="4" t="n">
        <v>12</v>
      </c>
      <c r="F412" s="4" t="s">
        <v>1327</v>
      </c>
      <c r="G412" s="4" t="s">
        <v>3628</v>
      </c>
      <c r="H412" s="4" t="n">
        <v>1985</v>
      </c>
      <c r="I412" s="4" t="s">
        <v>837</v>
      </c>
      <c r="J412" s="25" t="str">
        <f aca="false">IF(M412=1,"✓","")</f>
        <v/>
      </c>
      <c r="K412" s="4" t="str">
        <f aca="false">IF(AND(M412=0,P412=0),"▶ NEXT","")</f>
        <v/>
      </c>
      <c r="L412" s="4" t="n">
        <f aca="false">INDEX('Master List'!$F$2:$F$2594,O412)</f>
        <v>1</v>
      </c>
      <c r="M412" s="4" t="n">
        <f aca="false">INDEX('Master List'!$G$2:$G$2594,O412)</f>
        <v>0</v>
      </c>
      <c r="N412" s="4" t="str">
        <f aca="false">IF(K412="","",A412)</f>
        <v/>
      </c>
      <c r="O412" s="4" t="n">
        <v>106</v>
      </c>
      <c r="P412" s="4" t="n">
        <f aca="false">IF(A412=A411,P411+1-M411,0)</f>
        <v>10</v>
      </c>
    </row>
    <row r="413" customFormat="false" ht="15" hidden="false" customHeight="false" outlineLevel="0" collapsed="false">
      <c r="A413" s="28" t="s">
        <v>3937</v>
      </c>
      <c r="B413" s="28" t="s">
        <v>51</v>
      </c>
      <c r="C413" s="28" t="s">
        <v>75</v>
      </c>
      <c r="D413" s="28" t="s">
        <v>3938</v>
      </c>
      <c r="E413" s="4" t="n">
        <v>13</v>
      </c>
      <c r="F413" s="4" t="s">
        <v>1327</v>
      </c>
      <c r="G413" s="4" t="s">
        <v>3742</v>
      </c>
      <c r="H413" s="4" t="n">
        <v>2004</v>
      </c>
      <c r="I413" s="4" t="s">
        <v>3743</v>
      </c>
      <c r="J413" s="25" t="str">
        <f aca="false">IF(M413=1,"✓","")</f>
        <v/>
      </c>
      <c r="K413" s="4" t="str">
        <f aca="false">IF(AND(M413=0,P413=0),"▶ NEXT","")</f>
        <v/>
      </c>
      <c r="L413" s="4" t="n">
        <f aca="false">INDEX('Master List'!$F$2:$F$2594,O413)</f>
        <v>1</v>
      </c>
      <c r="M413" s="4" t="n">
        <f aca="false">INDEX('Master List'!$G$2:$G$2594,O413)</f>
        <v>0</v>
      </c>
      <c r="N413" s="4" t="str">
        <f aca="false">IF(K413="","",A413)</f>
        <v/>
      </c>
      <c r="O413" s="4" t="n">
        <v>1506</v>
      </c>
      <c r="P413" s="4" t="n">
        <f aca="false">IF(A413=A412,P412+1-M412,0)</f>
        <v>11</v>
      </c>
    </row>
    <row r="414" customFormat="false" ht="15" hidden="false" customHeight="false" outlineLevel="0" collapsed="false">
      <c r="A414" s="28" t="s">
        <v>3939</v>
      </c>
      <c r="B414" s="28" t="s">
        <v>51</v>
      </c>
      <c r="C414" s="28" t="s">
        <v>75</v>
      </c>
      <c r="D414" s="28" t="s">
        <v>3940</v>
      </c>
      <c r="E414" s="4" t="n">
        <v>1</v>
      </c>
      <c r="F414" s="4" t="s">
        <v>144</v>
      </c>
      <c r="G414" s="7" t="s">
        <v>1639</v>
      </c>
      <c r="H414" s="4" t="n">
        <v>2018</v>
      </c>
      <c r="I414" s="4" t="s">
        <v>1205</v>
      </c>
      <c r="J414" s="25" t="str">
        <f aca="false">IF(M414=1,"✓","")</f>
        <v/>
      </c>
      <c r="K414" s="4" t="str">
        <f aca="false">IF(AND(M414=0,P414=0),"▶ NEXT","")</f>
        <v>▶ NEXT</v>
      </c>
      <c r="L414" s="4" t="n">
        <f aca="false">INDEX('Master List'!$F$2:$F$2594,O414)</f>
        <v>1</v>
      </c>
      <c r="M414" s="4" t="n">
        <f aca="false">INDEX('Master List'!$G$2:$G$2594,O414)</f>
        <v>0</v>
      </c>
      <c r="N414" s="4" t="str">
        <f aca="false">IF(K414="","",A414)</f>
        <v>N033</v>
      </c>
      <c r="O414" s="4" t="n">
        <v>2057</v>
      </c>
      <c r="P414" s="4" t="n">
        <f aca="false">IF(A414=A413,P413+1-M413,0)</f>
        <v>0</v>
      </c>
    </row>
    <row r="415" customFormat="false" ht="15" hidden="false" customHeight="false" outlineLevel="0" collapsed="false">
      <c r="A415" s="28" t="s">
        <v>3939</v>
      </c>
      <c r="B415" s="28" t="s">
        <v>51</v>
      </c>
      <c r="C415" s="28" t="s">
        <v>75</v>
      </c>
      <c r="D415" s="28" t="s">
        <v>3940</v>
      </c>
      <c r="E415" s="4" t="n">
        <v>2</v>
      </c>
      <c r="F415" s="4" t="s">
        <v>144</v>
      </c>
      <c r="G415" s="7" t="s">
        <v>880</v>
      </c>
      <c r="H415" s="4" t="n">
        <v>2021</v>
      </c>
      <c r="I415" s="4" t="s">
        <v>881</v>
      </c>
      <c r="J415" s="25" t="str">
        <f aca="false">IF(M415=1,"✓","")</f>
        <v/>
      </c>
      <c r="K415" s="4" t="str">
        <f aca="false">IF(AND(M415=0,P415=0),"▶ NEXT","")</f>
        <v/>
      </c>
      <c r="L415" s="4" t="n">
        <f aca="false">INDEX('Master List'!$F$2:$F$2594,O415)</f>
        <v>2</v>
      </c>
      <c r="M415" s="4" t="n">
        <f aca="false">INDEX('Master List'!$G$2:$G$2594,O415)</f>
        <v>0</v>
      </c>
      <c r="N415" s="4" t="str">
        <f aca="false">IF(K415="","",A415)</f>
        <v/>
      </c>
      <c r="O415" s="4" t="n">
        <v>681</v>
      </c>
      <c r="P415" s="4" t="n">
        <f aca="false">IF(A415=A414,P414+1-M414,0)</f>
        <v>1</v>
      </c>
    </row>
    <row r="416" customFormat="false" ht="15" hidden="false" customHeight="false" outlineLevel="0" collapsed="false">
      <c r="A416" s="28" t="s">
        <v>3939</v>
      </c>
      <c r="B416" s="28" t="s">
        <v>51</v>
      </c>
      <c r="C416" s="28" t="s">
        <v>75</v>
      </c>
      <c r="D416" s="28" t="s">
        <v>3940</v>
      </c>
      <c r="E416" s="4" t="n">
        <v>3</v>
      </c>
      <c r="F416" s="4" t="s">
        <v>213</v>
      </c>
      <c r="G416" s="4" t="s">
        <v>2604</v>
      </c>
      <c r="H416" s="4" t="n">
        <v>1995</v>
      </c>
      <c r="I416" s="4" t="s">
        <v>1205</v>
      </c>
      <c r="J416" s="25" t="str">
        <f aca="false">IF(M416=1,"✓","")</f>
        <v/>
      </c>
      <c r="K416" s="4" t="str">
        <f aca="false">IF(AND(M416=0,P416=0),"▶ NEXT","")</f>
        <v/>
      </c>
      <c r="L416" s="4" t="n">
        <f aca="false">INDEX('Master List'!$F$2:$F$2594,O416)</f>
        <v>1</v>
      </c>
      <c r="M416" s="4" t="n">
        <f aca="false">INDEX('Master List'!$G$2:$G$2594,O416)</f>
        <v>0</v>
      </c>
      <c r="N416" s="4" t="str">
        <f aca="false">IF(K416="","",A416)</f>
        <v/>
      </c>
      <c r="O416" s="4" t="n">
        <v>1400</v>
      </c>
      <c r="P416" s="4" t="n">
        <f aca="false">IF(A416=A415,P415+1-M415,0)</f>
        <v>2</v>
      </c>
    </row>
    <row r="417" customFormat="false" ht="15" hidden="false" customHeight="false" outlineLevel="0" collapsed="false">
      <c r="A417" s="28" t="s">
        <v>3939</v>
      </c>
      <c r="B417" s="28" t="s">
        <v>51</v>
      </c>
      <c r="C417" s="28" t="s">
        <v>75</v>
      </c>
      <c r="D417" s="28" t="s">
        <v>3940</v>
      </c>
      <c r="E417" s="4" t="n">
        <v>4</v>
      </c>
      <c r="F417" s="4" t="s">
        <v>213</v>
      </c>
      <c r="G417" s="4" t="s">
        <v>2681</v>
      </c>
      <c r="H417" s="4" t="n">
        <v>1998</v>
      </c>
      <c r="I417" s="4" t="s">
        <v>1205</v>
      </c>
      <c r="J417" s="25" t="str">
        <f aca="false">IF(M417=1,"✓","")</f>
        <v/>
      </c>
      <c r="K417" s="4" t="str">
        <f aca="false">IF(AND(M417=0,P417=0),"▶ NEXT","")</f>
        <v/>
      </c>
      <c r="L417" s="4" t="n">
        <f aca="false">INDEX('Master List'!$F$2:$F$2594,O417)</f>
        <v>1</v>
      </c>
      <c r="M417" s="4" t="n">
        <f aca="false">INDEX('Master List'!$G$2:$G$2594,O417)</f>
        <v>0</v>
      </c>
      <c r="N417" s="4" t="str">
        <f aca="false">IF(K417="","",A417)</f>
        <v/>
      </c>
      <c r="O417" s="4" t="n">
        <v>50</v>
      </c>
      <c r="P417" s="4" t="n">
        <f aca="false">IF(A417=A416,P416+1-M416,0)</f>
        <v>3</v>
      </c>
    </row>
    <row r="418" customFormat="false" ht="15" hidden="false" customHeight="false" outlineLevel="0" collapsed="false">
      <c r="A418" s="28" t="s">
        <v>3939</v>
      </c>
      <c r="B418" s="28" t="s">
        <v>51</v>
      </c>
      <c r="C418" s="28" t="s">
        <v>75</v>
      </c>
      <c r="D418" s="28" t="s">
        <v>3940</v>
      </c>
      <c r="E418" s="4" t="n">
        <v>5</v>
      </c>
      <c r="F418" s="4" t="s">
        <v>213</v>
      </c>
      <c r="G418" s="4" t="s">
        <v>504</v>
      </c>
      <c r="H418" s="4" t="n">
        <v>1997</v>
      </c>
      <c r="I418" s="4" t="s">
        <v>505</v>
      </c>
      <c r="J418" s="25" t="str">
        <f aca="false">IF(M418=1,"✓","")</f>
        <v/>
      </c>
      <c r="K418" s="4" t="str">
        <f aca="false">IF(AND(M418=0,P418=0),"▶ NEXT","")</f>
        <v/>
      </c>
      <c r="L418" s="4" t="n">
        <f aca="false">INDEX('Master List'!$F$2:$F$2594,O418)</f>
        <v>4</v>
      </c>
      <c r="M418" s="4" t="n">
        <f aca="false">INDEX('Master List'!$G$2:$G$2594,O418)</f>
        <v>0</v>
      </c>
      <c r="N418" s="4" t="str">
        <f aca="false">IF(K418="","",A418)</f>
        <v/>
      </c>
      <c r="O418" s="4" t="n">
        <v>548</v>
      </c>
      <c r="P418" s="4" t="n">
        <f aca="false">IF(A418=A417,P417+1-M417,0)</f>
        <v>4</v>
      </c>
    </row>
    <row r="419" customFormat="false" ht="15" hidden="false" customHeight="false" outlineLevel="0" collapsed="false">
      <c r="A419" s="28" t="s">
        <v>3939</v>
      </c>
      <c r="B419" s="28" t="s">
        <v>51</v>
      </c>
      <c r="C419" s="28" t="s">
        <v>75</v>
      </c>
      <c r="D419" s="28" t="s">
        <v>3940</v>
      </c>
      <c r="E419" s="4" t="n">
        <v>6</v>
      </c>
      <c r="F419" s="4" t="s">
        <v>213</v>
      </c>
      <c r="G419" s="4" t="s">
        <v>1180</v>
      </c>
      <c r="H419" s="4" t="n">
        <v>2008</v>
      </c>
      <c r="I419" s="4" t="s">
        <v>505</v>
      </c>
      <c r="J419" s="25" t="str">
        <f aca="false">IF(M419=1,"✓","")</f>
        <v/>
      </c>
      <c r="K419" s="4" t="str">
        <f aca="false">IF(AND(M419=0,P419=0),"▶ NEXT","")</f>
        <v/>
      </c>
      <c r="L419" s="4" t="n">
        <f aca="false">INDEX('Master List'!$F$2:$F$2594,O419)</f>
        <v>2</v>
      </c>
      <c r="M419" s="4" t="n">
        <f aca="false">INDEX('Master List'!$G$2:$G$2594,O419)</f>
        <v>0</v>
      </c>
      <c r="N419" s="4" t="str">
        <f aca="false">IF(K419="","",A419)</f>
        <v/>
      </c>
      <c r="O419" s="4" t="n">
        <v>2327</v>
      </c>
      <c r="P419" s="4" t="n">
        <f aca="false">IF(A419=A418,P418+1-M418,0)</f>
        <v>5</v>
      </c>
    </row>
    <row r="420" customFormat="false" ht="15" hidden="false" customHeight="false" outlineLevel="0" collapsed="false">
      <c r="A420" s="28" t="s">
        <v>3939</v>
      </c>
      <c r="B420" s="28" t="s">
        <v>51</v>
      </c>
      <c r="C420" s="28" t="s">
        <v>75</v>
      </c>
      <c r="D420" s="28" t="s">
        <v>3940</v>
      </c>
      <c r="E420" s="4" t="n">
        <v>7</v>
      </c>
      <c r="F420" s="4" t="s">
        <v>213</v>
      </c>
      <c r="G420" s="4" t="s">
        <v>1407</v>
      </c>
      <c r="H420" s="4" t="n">
        <v>2008</v>
      </c>
      <c r="I420" s="4" t="s">
        <v>1205</v>
      </c>
      <c r="J420" s="25" t="str">
        <f aca="false">IF(M420=1,"✓","")</f>
        <v/>
      </c>
      <c r="K420" s="4" t="str">
        <f aca="false">IF(AND(M420=0,P420=0),"▶ NEXT","")</f>
        <v/>
      </c>
      <c r="L420" s="4" t="n">
        <f aca="false">INDEX('Master List'!$F$2:$F$2594,O420)</f>
        <v>2</v>
      </c>
      <c r="M420" s="4" t="n">
        <f aca="false">INDEX('Master List'!$G$2:$G$2594,O420)</f>
        <v>0</v>
      </c>
      <c r="N420" s="4" t="str">
        <f aca="false">IF(K420="","",A420)</f>
        <v/>
      </c>
      <c r="O420" s="4" t="n">
        <v>2158</v>
      </c>
      <c r="P420" s="4" t="n">
        <f aca="false">IF(A420=A419,P419+1-M419,0)</f>
        <v>6</v>
      </c>
    </row>
    <row r="421" customFormat="false" ht="15" hidden="false" customHeight="false" outlineLevel="0" collapsed="false">
      <c r="A421" s="28" t="s">
        <v>3939</v>
      </c>
      <c r="B421" s="28" t="s">
        <v>51</v>
      </c>
      <c r="C421" s="28" t="s">
        <v>75</v>
      </c>
      <c r="D421" s="28" t="s">
        <v>3940</v>
      </c>
      <c r="E421" s="4" t="n">
        <v>8</v>
      </c>
      <c r="F421" s="4" t="s">
        <v>213</v>
      </c>
      <c r="G421" s="4" t="s">
        <v>1204</v>
      </c>
      <c r="H421" s="4" t="n">
        <v>2013</v>
      </c>
      <c r="I421" s="4" t="s">
        <v>1205</v>
      </c>
      <c r="J421" s="25" t="str">
        <f aca="false">IF(M421=1,"✓","")</f>
        <v/>
      </c>
      <c r="K421" s="4" t="str">
        <f aca="false">IF(AND(M421=0,P421=0),"▶ NEXT","")</f>
        <v/>
      </c>
      <c r="L421" s="4" t="n">
        <f aca="false">INDEX('Master List'!$F$2:$F$2594,O421)</f>
        <v>2</v>
      </c>
      <c r="M421" s="4" t="n">
        <f aca="false">INDEX('Master List'!$G$2:$G$2594,O421)</f>
        <v>0</v>
      </c>
      <c r="N421" s="4" t="str">
        <f aca="false">IF(K421="","",A421)</f>
        <v/>
      </c>
      <c r="O421" s="4" t="n">
        <v>1338</v>
      </c>
      <c r="P421" s="4" t="n">
        <f aca="false">IF(A421=A420,P420+1-M420,0)</f>
        <v>7</v>
      </c>
    </row>
    <row r="422" customFormat="false" ht="15" hidden="false" customHeight="false" outlineLevel="0" collapsed="false">
      <c r="A422" s="28" t="s">
        <v>3939</v>
      </c>
      <c r="B422" s="28" t="s">
        <v>51</v>
      </c>
      <c r="C422" s="28" t="s">
        <v>75</v>
      </c>
      <c r="D422" s="28" t="s">
        <v>3940</v>
      </c>
      <c r="E422" s="4" t="n">
        <v>9</v>
      </c>
      <c r="F422" s="4" t="s">
        <v>213</v>
      </c>
      <c r="G422" s="4" t="s">
        <v>1259</v>
      </c>
      <c r="H422" s="4" t="n">
        <v>2021</v>
      </c>
      <c r="I422" s="4" t="s">
        <v>881</v>
      </c>
      <c r="J422" s="25" t="str">
        <f aca="false">IF(M422=1,"✓","")</f>
        <v/>
      </c>
      <c r="K422" s="4" t="str">
        <f aca="false">IF(AND(M422=0,P422=0),"▶ NEXT","")</f>
        <v/>
      </c>
      <c r="L422" s="4" t="n">
        <f aca="false">INDEX('Master List'!$F$2:$F$2594,O422)</f>
        <v>2</v>
      </c>
      <c r="M422" s="4" t="n">
        <f aca="false">INDEX('Master List'!$G$2:$G$2594,O422)</f>
        <v>0</v>
      </c>
      <c r="N422" s="4" t="str">
        <f aca="false">IF(K422="","",A422)</f>
        <v/>
      </c>
      <c r="O422" s="4" t="n">
        <v>2491</v>
      </c>
      <c r="P422" s="4" t="n">
        <f aca="false">IF(A422=A421,P421+1-M421,0)</f>
        <v>8</v>
      </c>
    </row>
    <row r="423" customFormat="false" ht="15" hidden="false" customHeight="false" outlineLevel="0" collapsed="false">
      <c r="A423" s="28" t="s">
        <v>3939</v>
      </c>
      <c r="B423" s="28" t="s">
        <v>51</v>
      </c>
      <c r="C423" s="28" t="s">
        <v>75</v>
      </c>
      <c r="D423" s="28" t="s">
        <v>3940</v>
      </c>
      <c r="E423" s="4" t="n">
        <v>10</v>
      </c>
      <c r="F423" s="4" t="s">
        <v>213</v>
      </c>
      <c r="G423" s="4" t="s">
        <v>1423</v>
      </c>
      <c r="H423" s="4" t="n">
        <v>2023</v>
      </c>
      <c r="I423" s="4" t="s">
        <v>881</v>
      </c>
      <c r="J423" s="25" t="str">
        <f aca="false">IF(M423=1,"✓","")</f>
        <v/>
      </c>
      <c r="K423" s="4" t="str">
        <f aca="false">IF(AND(M423=0,P423=0),"▶ NEXT","")</f>
        <v/>
      </c>
      <c r="L423" s="4" t="n">
        <f aca="false">INDEX('Master List'!$F$2:$F$2594,O423)</f>
        <v>2</v>
      </c>
      <c r="M423" s="4" t="n">
        <f aca="false">INDEX('Master List'!$G$2:$G$2594,O423)</f>
        <v>0</v>
      </c>
      <c r="N423" s="4" t="str">
        <f aca="false">IF(K423="","",A423)</f>
        <v/>
      </c>
      <c r="O423" s="4" t="n">
        <v>755</v>
      </c>
      <c r="P423" s="4" t="n">
        <f aca="false">IF(A423=A422,P422+1-M422,0)</f>
        <v>9</v>
      </c>
    </row>
    <row r="424" customFormat="false" ht="15" hidden="false" customHeight="false" outlineLevel="0" collapsed="false">
      <c r="A424" s="28" t="s">
        <v>3939</v>
      </c>
      <c r="B424" s="28" t="s">
        <v>51</v>
      </c>
      <c r="C424" s="28" t="s">
        <v>75</v>
      </c>
      <c r="D424" s="28" t="s">
        <v>3940</v>
      </c>
      <c r="E424" s="4" t="n">
        <v>11</v>
      </c>
      <c r="F424" s="4" t="s">
        <v>1327</v>
      </c>
      <c r="G424" s="4" t="s">
        <v>3826</v>
      </c>
      <c r="H424" s="4" t="n">
        <v>2015</v>
      </c>
      <c r="I424" s="4" t="s">
        <v>881</v>
      </c>
      <c r="J424" s="25" t="str">
        <f aca="false">IF(M424=1,"✓","")</f>
        <v/>
      </c>
      <c r="K424" s="4" t="str">
        <f aca="false">IF(AND(M424=0,P424=0),"▶ NEXT","")</f>
        <v/>
      </c>
      <c r="L424" s="4" t="n">
        <f aca="false">INDEX('Master List'!$F$2:$F$2594,O424)</f>
        <v>1</v>
      </c>
      <c r="M424" s="4" t="n">
        <f aca="false">INDEX('Master List'!$G$2:$G$2594,O424)</f>
        <v>0</v>
      </c>
      <c r="N424" s="4" t="str">
        <f aca="false">IF(K424="","",A424)</f>
        <v/>
      </c>
      <c r="O424" s="4" t="n">
        <v>989</v>
      </c>
      <c r="P424" s="4" t="n">
        <f aca="false">IF(A424=A423,P423+1-M423,0)</f>
        <v>10</v>
      </c>
    </row>
    <row r="425" customFormat="false" ht="15" hidden="false" customHeight="false" outlineLevel="0" collapsed="false">
      <c r="A425" s="28" t="s">
        <v>3939</v>
      </c>
      <c r="B425" s="28" t="s">
        <v>51</v>
      </c>
      <c r="C425" s="28" t="s">
        <v>75</v>
      </c>
      <c r="D425" s="28" t="s">
        <v>3940</v>
      </c>
      <c r="E425" s="4" t="n">
        <v>12</v>
      </c>
      <c r="F425" s="4" t="s">
        <v>1327</v>
      </c>
      <c r="G425" s="4" t="s">
        <v>3713</v>
      </c>
      <c r="H425" s="4" t="n">
        <v>2000</v>
      </c>
      <c r="I425" s="4" t="s">
        <v>3714</v>
      </c>
      <c r="J425" s="25" t="str">
        <f aca="false">IF(M425=1,"✓","")</f>
        <v/>
      </c>
      <c r="K425" s="4" t="str">
        <f aca="false">IF(AND(M425=0,P425=0),"▶ NEXT","")</f>
        <v/>
      </c>
      <c r="L425" s="4" t="n">
        <f aca="false">INDEX('Master List'!$F$2:$F$2594,O425)</f>
        <v>1</v>
      </c>
      <c r="M425" s="4" t="n">
        <f aca="false">INDEX('Master List'!$G$2:$G$2594,O425)</f>
        <v>0</v>
      </c>
      <c r="N425" s="4" t="str">
        <f aca="false">IF(K425="","",A425)</f>
        <v/>
      </c>
      <c r="O425" s="4" t="n">
        <v>747</v>
      </c>
      <c r="P425" s="4" t="n">
        <f aca="false">IF(A425=A424,P424+1-M424,0)</f>
        <v>11</v>
      </c>
    </row>
    <row r="426" customFormat="false" ht="15" hidden="false" customHeight="false" outlineLevel="0" collapsed="false">
      <c r="A426" s="28" t="s">
        <v>3939</v>
      </c>
      <c r="B426" s="28" t="s">
        <v>51</v>
      </c>
      <c r="C426" s="28" t="s">
        <v>75</v>
      </c>
      <c r="D426" s="28" t="s">
        <v>3940</v>
      </c>
      <c r="E426" s="4" t="n">
        <v>13</v>
      </c>
      <c r="F426" s="4" t="s">
        <v>1327</v>
      </c>
      <c r="G426" s="4" t="s">
        <v>3721</v>
      </c>
      <c r="H426" s="4" t="n">
        <v>2001</v>
      </c>
      <c r="I426" s="4" t="s">
        <v>3722</v>
      </c>
      <c r="J426" s="25" t="str">
        <f aca="false">IF(M426=1,"✓","")</f>
        <v/>
      </c>
      <c r="K426" s="4" t="str">
        <f aca="false">IF(AND(M426=0,P426=0),"▶ NEXT","")</f>
        <v/>
      </c>
      <c r="L426" s="4" t="n">
        <f aca="false">INDEX('Master List'!$F$2:$F$2594,O426)</f>
        <v>1</v>
      </c>
      <c r="M426" s="4" t="n">
        <f aca="false">INDEX('Master List'!$G$2:$G$2594,O426)</f>
        <v>0</v>
      </c>
      <c r="N426" s="4" t="str">
        <f aca="false">IF(K426="","",A426)</f>
        <v/>
      </c>
      <c r="O426" s="4" t="n">
        <v>69</v>
      </c>
      <c r="P426" s="4" t="n">
        <f aca="false">IF(A426=A425,P425+1-M425,0)</f>
        <v>12</v>
      </c>
    </row>
    <row r="427" customFormat="false" ht="15" hidden="false" customHeight="false" outlineLevel="0" collapsed="false">
      <c r="A427" s="28" t="s">
        <v>3941</v>
      </c>
      <c r="B427" s="28" t="s">
        <v>51</v>
      </c>
      <c r="C427" s="28" t="s">
        <v>76</v>
      </c>
      <c r="D427" s="28" t="s">
        <v>3942</v>
      </c>
      <c r="E427" s="4" t="n">
        <v>1</v>
      </c>
      <c r="F427" s="4" t="s">
        <v>144</v>
      </c>
      <c r="G427" s="7" t="s">
        <v>349</v>
      </c>
      <c r="H427" s="4" t="n">
        <v>1945</v>
      </c>
      <c r="I427" s="4" t="s">
        <v>268</v>
      </c>
      <c r="J427" s="25" t="str">
        <f aca="false">IF(M427=1,"✓","")</f>
        <v/>
      </c>
      <c r="K427" s="4" t="str">
        <f aca="false">IF(AND(M427=0,P427=0),"▶ NEXT","")</f>
        <v>▶ NEXT</v>
      </c>
      <c r="L427" s="4" t="n">
        <f aca="false">INDEX('Master List'!$F$2:$F$2594,O427)</f>
        <v>4</v>
      </c>
      <c r="M427" s="4" t="n">
        <f aca="false">INDEX('Master List'!$G$2:$G$2594,O427)</f>
        <v>0</v>
      </c>
      <c r="N427" s="4" t="str">
        <f aca="false">IF(K427="","",A427)</f>
        <v>N034</v>
      </c>
      <c r="O427" s="4" t="n">
        <v>1928</v>
      </c>
      <c r="P427" s="4" t="n">
        <f aca="false">IF(A427=A426,P426+1-M426,0)</f>
        <v>0</v>
      </c>
    </row>
    <row r="428" customFormat="false" ht="15" hidden="false" customHeight="false" outlineLevel="0" collapsed="false">
      <c r="A428" s="28" t="s">
        <v>3941</v>
      </c>
      <c r="B428" s="28" t="s">
        <v>51</v>
      </c>
      <c r="C428" s="28" t="s">
        <v>76</v>
      </c>
      <c r="D428" s="28" t="s">
        <v>3942</v>
      </c>
      <c r="E428" s="4" t="n">
        <v>2</v>
      </c>
      <c r="F428" s="4" t="s">
        <v>144</v>
      </c>
      <c r="G428" s="7" t="s">
        <v>159</v>
      </c>
      <c r="H428" s="4" t="n">
        <v>1948</v>
      </c>
      <c r="I428" s="4" t="s">
        <v>160</v>
      </c>
      <c r="J428" s="25" t="str">
        <f aca="false">IF(M428=1,"✓","")</f>
        <v/>
      </c>
      <c r="K428" s="4" t="str">
        <f aca="false">IF(AND(M428=0,P428=0),"▶ NEXT","")</f>
        <v/>
      </c>
      <c r="L428" s="4" t="n">
        <f aca="false">INDEX('Master List'!$F$2:$F$2594,O428)</f>
        <v>7</v>
      </c>
      <c r="M428" s="4" t="n">
        <f aca="false">INDEX('Master List'!$G$2:$G$2594,O428)</f>
        <v>0</v>
      </c>
      <c r="N428" s="4" t="str">
        <f aca="false">IF(K428="","",A428)</f>
        <v/>
      </c>
      <c r="O428" s="4" t="n">
        <v>238</v>
      </c>
      <c r="P428" s="4" t="n">
        <f aca="false">IF(A428=A427,P427+1-M427,0)</f>
        <v>1</v>
      </c>
    </row>
    <row r="429" customFormat="false" ht="15" hidden="false" customHeight="false" outlineLevel="0" collapsed="false">
      <c r="A429" s="28" t="s">
        <v>3941</v>
      </c>
      <c r="B429" s="28" t="s">
        <v>51</v>
      </c>
      <c r="C429" s="28" t="s">
        <v>76</v>
      </c>
      <c r="D429" s="28" t="s">
        <v>3942</v>
      </c>
      <c r="E429" s="4" t="n">
        <v>3</v>
      </c>
      <c r="F429" s="4" t="s">
        <v>213</v>
      </c>
      <c r="G429" s="4" t="s">
        <v>1803</v>
      </c>
      <c r="H429" s="4" t="n">
        <v>1943</v>
      </c>
      <c r="I429" s="4" t="s">
        <v>461</v>
      </c>
      <c r="J429" s="25" t="str">
        <f aca="false">IF(M429=1,"✓","")</f>
        <v/>
      </c>
      <c r="K429" s="4" t="str">
        <f aca="false">IF(AND(M429=0,P429=0),"▶ NEXT","")</f>
        <v/>
      </c>
      <c r="L429" s="4" t="n">
        <f aca="false">INDEX('Master List'!$F$2:$F$2594,O429)</f>
        <v>1</v>
      </c>
      <c r="M429" s="4" t="n">
        <f aca="false">INDEX('Master List'!$G$2:$G$2594,O429)</f>
        <v>0</v>
      </c>
      <c r="N429" s="4" t="str">
        <f aca="false">IF(K429="","",A429)</f>
        <v/>
      </c>
      <c r="O429" s="4" t="n">
        <v>1694</v>
      </c>
      <c r="P429" s="4" t="n">
        <f aca="false">IF(A429=A428,P428+1-M428,0)</f>
        <v>2</v>
      </c>
    </row>
    <row r="430" customFormat="false" ht="15" hidden="false" customHeight="false" outlineLevel="0" collapsed="false">
      <c r="A430" s="28" t="s">
        <v>3941</v>
      </c>
      <c r="B430" s="28" t="s">
        <v>51</v>
      </c>
      <c r="C430" s="28" t="s">
        <v>76</v>
      </c>
      <c r="D430" s="28" t="s">
        <v>3942</v>
      </c>
      <c r="E430" s="4" t="n">
        <v>4</v>
      </c>
      <c r="F430" s="4" t="s">
        <v>213</v>
      </c>
      <c r="G430" s="4" t="s">
        <v>1832</v>
      </c>
      <c r="H430" s="4" t="n">
        <v>1946</v>
      </c>
      <c r="I430" s="4" t="s">
        <v>160</v>
      </c>
      <c r="J430" s="25" t="str">
        <f aca="false">IF(M430=1,"✓","")</f>
        <v/>
      </c>
      <c r="K430" s="4" t="str">
        <f aca="false">IF(AND(M430=0,P430=0),"▶ NEXT","")</f>
        <v/>
      </c>
      <c r="L430" s="4" t="n">
        <f aca="false">INDEX('Master List'!$F$2:$F$2594,O430)</f>
        <v>1</v>
      </c>
      <c r="M430" s="4" t="n">
        <f aca="false">INDEX('Master List'!$G$2:$G$2594,O430)</f>
        <v>0</v>
      </c>
      <c r="N430" s="4" t="str">
        <f aca="false">IF(K430="","",A430)</f>
        <v/>
      </c>
      <c r="O430" s="4" t="n">
        <v>2050</v>
      </c>
      <c r="P430" s="4" t="n">
        <f aca="false">IF(A430=A429,P429+1-M429,0)</f>
        <v>3</v>
      </c>
    </row>
    <row r="431" customFormat="false" ht="15" hidden="false" customHeight="false" outlineLevel="0" collapsed="false">
      <c r="A431" s="28" t="s">
        <v>3941</v>
      </c>
      <c r="B431" s="28" t="s">
        <v>51</v>
      </c>
      <c r="C431" s="28" t="s">
        <v>76</v>
      </c>
      <c r="D431" s="28" t="s">
        <v>3942</v>
      </c>
      <c r="E431" s="4" t="n">
        <v>5</v>
      </c>
      <c r="F431" s="4" t="s">
        <v>213</v>
      </c>
      <c r="G431" s="4" t="s">
        <v>1833</v>
      </c>
      <c r="H431" s="4" t="n">
        <v>1946</v>
      </c>
      <c r="I431" s="4" t="s">
        <v>268</v>
      </c>
      <c r="J431" s="25" t="str">
        <f aca="false">IF(M431=1,"✓","")</f>
        <v/>
      </c>
      <c r="K431" s="4" t="str">
        <f aca="false">IF(AND(M431=0,P431=0),"▶ NEXT","")</f>
        <v/>
      </c>
      <c r="L431" s="4" t="n">
        <f aca="false">INDEX('Master List'!$F$2:$F$2594,O431)</f>
        <v>1</v>
      </c>
      <c r="M431" s="4" t="n">
        <f aca="false">INDEX('Master List'!$G$2:$G$2594,O431)</f>
        <v>0</v>
      </c>
      <c r="N431" s="4" t="str">
        <f aca="false">IF(K431="","",A431)</f>
        <v/>
      </c>
      <c r="O431" s="4" t="n">
        <v>1706</v>
      </c>
      <c r="P431" s="4" t="n">
        <f aca="false">IF(A431=A430,P430+1-M430,0)</f>
        <v>4</v>
      </c>
    </row>
    <row r="432" customFormat="false" ht="15" hidden="false" customHeight="false" outlineLevel="0" collapsed="false">
      <c r="A432" s="28" t="s">
        <v>3941</v>
      </c>
      <c r="B432" s="28" t="s">
        <v>51</v>
      </c>
      <c r="C432" s="28" t="s">
        <v>76</v>
      </c>
      <c r="D432" s="28" t="s">
        <v>3942</v>
      </c>
      <c r="E432" s="4" t="n">
        <v>6</v>
      </c>
      <c r="F432" s="4" t="s">
        <v>213</v>
      </c>
      <c r="G432" s="4" t="s">
        <v>927</v>
      </c>
      <c r="H432" s="4" t="n">
        <v>1948</v>
      </c>
      <c r="I432" s="4" t="s">
        <v>268</v>
      </c>
      <c r="J432" s="25" t="str">
        <f aca="false">IF(M432=1,"✓","")</f>
        <v/>
      </c>
      <c r="K432" s="4" t="str">
        <f aca="false">IF(AND(M432=0,P432=0),"▶ NEXT","")</f>
        <v/>
      </c>
      <c r="L432" s="4" t="n">
        <f aca="false">INDEX('Master List'!$F$2:$F$2594,O432)</f>
        <v>2</v>
      </c>
      <c r="M432" s="4" t="n">
        <f aca="false">INDEX('Master List'!$G$2:$G$2594,O432)</f>
        <v>0</v>
      </c>
      <c r="N432" s="4" t="str">
        <f aca="false">IF(K432="","",A432)</f>
        <v/>
      </c>
      <c r="O432" s="4" t="n">
        <v>886</v>
      </c>
      <c r="P432" s="4" t="n">
        <f aca="false">IF(A432=A431,P431+1-M431,0)</f>
        <v>5</v>
      </c>
    </row>
    <row r="433" customFormat="false" ht="15" hidden="false" customHeight="false" outlineLevel="0" collapsed="false">
      <c r="A433" s="28" t="s">
        <v>3941</v>
      </c>
      <c r="B433" s="28" t="s">
        <v>51</v>
      </c>
      <c r="C433" s="28" t="s">
        <v>76</v>
      </c>
      <c r="D433" s="28" t="s">
        <v>3942</v>
      </c>
      <c r="E433" s="4" t="n">
        <v>7</v>
      </c>
      <c r="F433" s="4" t="s">
        <v>213</v>
      </c>
      <c r="G433" s="4" t="s">
        <v>928</v>
      </c>
      <c r="H433" s="4" t="n">
        <v>1948</v>
      </c>
      <c r="I433" s="4" t="s">
        <v>461</v>
      </c>
      <c r="J433" s="25" t="str">
        <f aca="false">IF(M433=1,"✓","")</f>
        <v/>
      </c>
      <c r="K433" s="4" t="str">
        <f aca="false">IF(AND(M433=0,P433=0),"▶ NEXT","")</f>
        <v/>
      </c>
      <c r="L433" s="4" t="n">
        <f aca="false">INDEX('Master List'!$F$2:$F$2594,O433)</f>
        <v>2</v>
      </c>
      <c r="M433" s="4" t="n">
        <f aca="false">INDEX('Master List'!$G$2:$G$2594,O433)</f>
        <v>0</v>
      </c>
      <c r="N433" s="4" t="str">
        <f aca="false">IF(K433="","",A433)</f>
        <v/>
      </c>
      <c r="O433" s="4" t="n">
        <v>2256</v>
      </c>
      <c r="P433" s="4" t="n">
        <f aca="false">IF(A433=A432,P432+1-M432,0)</f>
        <v>6</v>
      </c>
    </row>
    <row r="434" customFormat="false" ht="15" hidden="false" customHeight="false" outlineLevel="0" collapsed="false">
      <c r="A434" s="28" t="s">
        <v>3941</v>
      </c>
      <c r="B434" s="28" t="s">
        <v>51</v>
      </c>
      <c r="C434" s="28" t="s">
        <v>76</v>
      </c>
      <c r="D434" s="28" t="s">
        <v>3942</v>
      </c>
      <c r="E434" s="4" t="n">
        <v>8</v>
      </c>
      <c r="F434" s="4" t="s">
        <v>213</v>
      </c>
      <c r="G434" s="4" t="s">
        <v>1862</v>
      </c>
      <c r="H434" s="4" t="n">
        <v>1949</v>
      </c>
      <c r="I434" s="4" t="s">
        <v>1863</v>
      </c>
      <c r="J434" s="25" t="str">
        <f aca="false">IF(M434=1,"✓","")</f>
        <v/>
      </c>
      <c r="K434" s="4" t="str">
        <f aca="false">IF(AND(M434=0,P434=0),"▶ NEXT","")</f>
        <v/>
      </c>
      <c r="L434" s="4" t="n">
        <f aca="false">INDEX('Master List'!$F$2:$F$2594,O434)</f>
        <v>1</v>
      </c>
      <c r="M434" s="4" t="n">
        <f aca="false">INDEX('Master List'!$G$2:$G$2594,O434)</f>
        <v>0</v>
      </c>
      <c r="N434" s="4" t="str">
        <f aca="false">IF(K434="","",A434)</f>
        <v/>
      </c>
      <c r="O434" s="4" t="n">
        <v>260</v>
      </c>
      <c r="P434" s="4" t="n">
        <f aca="false">IF(A434=A433,P433+1-M433,0)</f>
        <v>7</v>
      </c>
    </row>
    <row r="435" customFormat="false" ht="15" hidden="false" customHeight="false" outlineLevel="0" collapsed="false">
      <c r="A435" s="28" t="s">
        <v>3941</v>
      </c>
      <c r="B435" s="28" t="s">
        <v>51</v>
      </c>
      <c r="C435" s="28" t="s">
        <v>76</v>
      </c>
      <c r="D435" s="28" t="s">
        <v>3942</v>
      </c>
      <c r="E435" s="4" t="n">
        <v>9</v>
      </c>
      <c r="F435" s="4" t="s">
        <v>213</v>
      </c>
      <c r="G435" s="4" t="s">
        <v>226</v>
      </c>
      <c r="H435" s="4" t="n">
        <v>1952</v>
      </c>
      <c r="I435" s="4" t="s">
        <v>160</v>
      </c>
      <c r="J435" s="25" t="str">
        <f aca="false">IF(M435=1,"✓","")</f>
        <v/>
      </c>
      <c r="K435" s="4" t="str">
        <f aca="false">IF(AND(M435=0,P435=0),"▶ NEXT","")</f>
        <v/>
      </c>
      <c r="L435" s="4" t="n">
        <f aca="false">INDEX('Master List'!$F$2:$F$2594,O435)</f>
        <v>6</v>
      </c>
      <c r="M435" s="4" t="n">
        <f aca="false">INDEX('Master List'!$G$2:$G$2594,O435)</f>
        <v>0</v>
      </c>
      <c r="N435" s="4" t="str">
        <f aca="false">IF(K435="","",A435)</f>
        <v/>
      </c>
      <c r="O435" s="4" t="n">
        <v>2395</v>
      </c>
      <c r="P435" s="4" t="n">
        <f aca="false">IF(A435=A434,P434+1-M434,0)</f>
        <v>8</v>
      </c>
    </row>
    <row r="436" customFormat="false" ht="15" hidden="false" customHeight="false" outlineLevel="0" collapsed="false">
      <c r="A436" s="28" t="s">
        <v>3941</v>
      </c>
      <c r="B436" s="28" t="s">
        <v>51</v>
      </c>
      <c r="C436" s="28" t="s">
        <v>76</v>
      </c>
      <c r="D436" s="28" t="s">
        <v>3942</v>
      </c>
      <c r="E436" s="4" t="n">
        <v>10</v>
      </c>
      <c r="F436" s="4" t="s">
        <v>1327</v>
      </c>
      <c r="G436" s="4" t="s">
        <v>1645</v>
      </c>
      <c r="H436" s="4" t="n">
        <v>1950</v>
      </c>
      <c r="I436" s="4" t="s">
        <v>268</v>
      </c>
      <c r="J436" s="25" t="str">
        <f aca="false">IF(M436=1,"✓","")</f>
        <v/>
      </c>
      <c r="K436" s="4" t="str">
        <f aca="false">IF(AND(M436=0,P436=0),"▶ NEXT","")</f>
        <v/>
      </c>
      <c r="L436" s="4" t="n">
        <f aca="false">INDEX('Master List'!$F$2:$F$2594,O436)</f>
        <v>2</v>
      </c>
      <c r="M436" s="4" t="n">
        <f aca="false">INDEX('Master List'!$G$2:$G$2594,O436)</f>
        <v>0</v>
      </c>
      <c r="N436" s="4" t="str">
        <f aca="false">IF(K436="","",A436)</f>
        <v/>
      </c>
      <c r="O436" s="4" t="n">
        <v>2187</v>
      </c>
      <c r="P436" s="4" t="n">
        <f aca="false">IF(A436=A435,P435+1-M435,0)</f>
        <v>9</v>
      </c>
    </row>
    <row r="437" customFormat="false" ht="15" hidden="false" customHeight="false" outlineLevel="0" collapsed="false">
      <c r="A437" s="28" t="s">
        <v>3941</v>
      </c>
      <c r="B437" s="28" t="s">
        <v>51</v>
      </c>
      <c r="C437" s="28" t="s">
        <v>76</v>
      </c>
      <c r="D437" s="28" t="s">
        <v>3942</v>
      </c>
      <c r="E437" s="4" t="n">
        <v>11</v>
      </c>
      <c r="F437" s="4" t="s">
        <v>1327</v>
      </c>
      <c r="G437" s="4" t="s">
        <v>1322</v>
      </c>
      <c r="H437" s="4" t="n">
        <v>1957</v>
      </c>
      <c r="I437" s="4" t="s">
        <v>217</v>
      </c>
      <c r="J437" s="25" t="str">
        <f aca="false">IF(M437=1,"✓","")</f>
        <v/>
      </c>
      <c r="K437" s="4" t="str">
        <f aca="false">IF(AND(M437=0,P437=0),"▶ NEXT","")</f>
        <v/>
      </c>
      <c r="L437" s="4" t="n">
        <f aca="false">INDEX('Master List'!$F$2:$F$2594,O437)</f>
        <v>2</v>
      </c>
      <c r="M437" s="4" t="n">
        <f aca="false">INDEX('Master List'!$G$2:$G$2594,O437)</f>
        <v>0</v>
      </c>
      <c r="N437" s="4" t="str">
        <f aca="false">IF(K437="","",A437)</f>
        <v/>
      </c>
      <c r="O437" s="4" t="n">
        <v>966</v>
      </c>
      <c r="P437" s="4" t="n">
        <f aca="false">IF(A437=A436,P436+1-M436,0)</f>
        <v>10</v>
      </c>
    </row>
    <row r="438" customFormat="false" ht="15" hidden="false" customHeight="false" outlineLevel="0" collapsed="false">
      <c r="A438" s="28" t="s">
        <v>3943</v>
      </c>
      <c r="B438" s="28" t="s">
        <v>51</v>
      </c>
      <c r="C438" s="28" t="s">
        <v>76</v>
      </c>
      <c r="D438" s="28" t="s">
        <v>3944</v>
      </c>
      <c r="E438" s="4" t="n">
        <v>1</v>
      </c>
      <c r="F438" s="4" t="s">
        <v>144</v>
      </c>
      <c r="G438" s="7" t="s">
        <v>287</v>
      </c>
      <c r="H438" s="4" t="n">
        <v>1960</v>
      </c>
      <c r="I438" s="4" t="s">
        <v>179</v>
      </c>
      <c r="J438" s="25" t="str">
        <f aca="false">IF(M438=1,"✓","")</f>
        <v>✓</v>
      </c>
      <c r="K438" s="4" t="str">
        <f aca="false">IF(AND(M438=0,P438=0),"▶ NEXT","")</f>
        <v/>
      </c>
      <c r="L438" s="4" t="n">
        <f aca="false">INDEX('Master List'!$F$2:$F$2594,O438)</f>
        <v>5</v>
      </c>
      <c r="M438" s="4" t="n">
        <f aca="false">INDEX('Master List'!$G$2:$G$2594,O438)</f>
        <v>1</v>
      </c>
      <c r="N438" s="4" t="str">
        <f aca="false">IF(K438="","",A438)</f>
        <v/>
      </c>
      <c r="O438" s="4" t="n">
        <v>655</v>
      </c>
      <c r="P438" s="4" t="n">
        <f aca="false">IF(A438=A437,P437+1-M437,0)</f>
        <v>0</v>
      </c>
    </row>
    <row r="439" customFormat="false" ht="15" hidden="false" customHeight="false" outlineLevel="0" collapsed="false">
      <c r="A439" s="28" t="s">
        <v>3943</v>
      </c>
      <c r="B439" s="28" t="s">
        <v>51</v>
      </c>
      <c r="C439" s="28" t="s">
        <v>76</v>
      </c>
      <c r="D439" s="28" t="s">
        <v>3944</v>
      </c>
      <c r="E439" s="4" t="n">
        <v>2</v>
      </c>
      <c r="F439" s="4" t="s">
        <v>144</v>
      </c>
      <c r="G439" s="7" t="s">
        <v>216</v>
      </c>
      <c r="H439" s="4" t="n">
        <v>1960</v>
      </c>
      <c r="I439" s="4" t="s">
        <v>217</v>
      </c>
      <c r="J439" s="25" t="str">
        <f aca="false">IF(M439=1,"✓","")</f>
        <v/>
      </c>
      <c r="K439" s="4" t="str">
        <f aca="false">IF(AND(M439=0,P439=0),"▶ NEXT","")</f>
        <v>▶ NEXT</v>
      </c>
      <c r="L439" s="4" t="n">
        <f aca="false">INDEX('Master List'!$F$2:$F$2594,O439)</f>
        <v>6</v>
      </c>
      <c r="M439" s="4" t="n">
        <f aca="false">INDEX('Master List'!$G$2:$G$2594,O439)</f>
        <v>0</v>
      </c>
      <c r="N439" s="4" t="str">
        <f aca="false">IF(K439="","",A439)</f>
        <v>N035</v>
      </c>
      <c r="O439" s="4" t="n">
        <v>154</v>
      </c>
      <c r="P439" s="4" t="n">
        <f aca="false">IF(A439=A438,P438+1-M438,0)</f>
        <v>0</v>
      </c>
    </row>
    <row r="440" customFormat="false" ht="15" hidden="false" customHeight="false" outlineLevel="0" collapsed="false">
      <c r="A440" s="28" t="s">
        <v>3943</v>
      </c>
      <c r="B440" s="28" t="s">
        <v>51</v>
      </c>
      <c r="C440" s="28" t="s">
        <v>76</v>
      </c>
      <c r="D440" s="28" t="s">
        <v>3944</v>
      </c>
      <c r="E440" s="4" t="n">
        <v>3</v>
      </c>
      <c r="F440" s="4" t="s">
        <v>213</v>
      </c>
      <c r="G440" s="4" t="s">
        <v>582</v>
      </c>
      <c r="H440" s="4" t="n">
        <v>1961</v>
      </c>
      <c r="I440" s="4" t="s">
        <v>217</v>
      </c>
      <c r="J440" s="25" t="str">
        <f aca="false">IF(M440=1,"✓","")</f>
        <v/>
      </c>
      <c r="K440" s="4" t="str">
        <f aca="false">IF(AND(M440=0,P440=0),"▶ NEXT","")</f>
        <v/>
      </c>
      <c r="L440" s="4" t="n">
        <f aca="false">INDEX('Master List'!$F$2:$F$2594,O440)</f>
        <v>3</v>
      </c>
      <c r="M440" s="4" t="n">
        <f aca="false">INDEX('Master List'!$G$2:$G$2594,O440)</f>
        <v>0</v>
      </c>
      <c r="N440" s="4" t="str">
        <f aca="false">IF(K440="","",A440)</f>
        <v/>
      </c>
      <c r="O440" s="4" t="n">
        <v>1639</v>
      </c>
      <c r="P440" s="4" t="n">
        <f aca="false">IF(A440=A439,P439+1-M439,0)</f>
        <v>1</v>
      </c>
    </row>
    <row r="441" customFormat="false" ht="15" hidden="false" customHeight="false" outlineLevel="0" collapsed="false">
      <c r="A441" s="28" t="s">
        <v>3943</v>
      </c>
      <c r="B441" s="28" t="s">
        <v>51</v>
      </c>
      <c r="C441" s="28" t="s">
        <v>76</v>
      </c>
      <c r="D441" s="28" t="s">
        <v>3944</v>
      </c>
      <c r="E441" s="4" t="n">
        <v>4</v>
      </c>
      <c r="F441" s="4" t="s">
        <v>213</v>
      </c>
      <c r="G441" s="4" t="s">
        <v>958</v>
      </c>
      <c r="H441" s="4" t="n">
        <v>1962</v>
      </c>
      <c r="I441" s="4" t="s">
        <v>217</v>
      </c>
      <c r="J441" s="25" t="str">
        <f aca="false">IF(M441=1,"✓","")</f>
        <v/>
      </c>
      <c r="K441" s="4" t="str">
        <f aca="false">IF(AND(M441=0,P441=0),"▶ NEXT","")</f>
        <v/>
      </c>
      <c r="L441" s="4" t="n">
        <f aca="false">INDEX('Master List'!$F$2:$F$2594,O441)</f>
        <v>2</v>
      </c>
      <c r="M441" s="4" t="n">
        <f aca="false">INDEX('Master List'!$G$2:$G$2594,O441)</f>
        <v>0</v>
      </c>
      <c r="N441" s="4" t="str">
        <f aca="false">IF(K441="","",A441)</f>
        <v/>
      </c>
      <c r="O441" s="4" t="n">
        <v>708</v>
      </c>
      <c r="P441" s="4" t="n">
        <f aca="false">IF(A441=A440,P440+1-M440,0)</f>
        <v>2</v>
      </c>
    </row>
    <row r="442" customFormat="false" ht="15" hidden="false" customHeight="false" outlineLevel="0" collapsed="false">
      <c r="A442" s="28" t="s">
        <v>3943</v>
      </c>
      <c r="B442" s="28" t="s">
        <v>51</v>
      </c>
      <c r="C442" s="28" t="s">
        <v>76</v>
      </c>
      <c r="D442" s="28" t="s">
        <v>3944</v>
      </c>
      <c r="E442" s="4" t="n">
        <v>5</v>
      </c>
      <c r="F442" s="4" t="s">
        <v>213</v>
      </c>
      <c r="G442" s="4" t="s">
        <v>178</v>
      </c>
      <c r="H442" s="4" t="n">
        <v>1963</v>
      </c>
      <c r="I442" s="4" t="s">
        <v>179</v>
      </c>
      <c r="J442" s="25" t="str">
        <f aca="false">IF(M442=1,"✓","")</f>
        <v/>
      </c>
      <c r="K442" s="4" t="str">
        <f aca="false">IF(AND(M442=0,P442=0),"▶ NEXT","")</f>
        <v/>
      </c>
      <c r="L442" s="4" t="n">
        <f aca="false">INDEX('Master List'!$F$2:$F$2594,O442)</f>
        <v>7</v>
      </c>
      <c r="M442" s="4" t="n">
        <f aca="false">INDEX('Master List'!$G$2:$G$2594,O442)</f>
        <v>0</v>
      </c>
      <c r="N442" s="4" t="str">
        <f aca="false">IF(K442="","",A442)</f>
        <v/>
      </c>
      <c r="O442" s="4" t="n">
        <v>32</v>
      </c>
      <c r="P442" s="4" t="n">
        <f aca="false">IF(A442=A441,P441+1-M441,0)</f>
        <v>3</v>
      </c>
    </row>
    <row r="443" customFormat="false" ht="15" hidden="false" customHeight="false" outlineLevel="0" collapsed="false">
      <c r="A443" s="28" t="s">
        <v>3943</v>
      </c>
      <c r="B443" s="28" t="s">
        <v>51</v>
      </c>
      <c r="C443" s="28" t="s">
        <v>76</v>
      </c>
      <c r="D443" s="28" t="s">
        <v>3944</v>
      </c>
      <c r="E443" s="4" t="n">
        <v>6</v>
      </c>
      <c r="F443" s="4" t="s">
        <v>213</v>
      </c>
      <c r="G443" s="4" t="s">
        <v>460</v>
      </c>
      <c r="H443" s="4" t="n">
        <v>1963</v>
      </c>
      <c r="I443" s="4" t="s">
        <v>461</v>
      </c>
      <c r="J443" s="25" t="str">
        <f aca="false">IF(M443=1,"✓","")</f>
        <v/>
      </c>
      <c r="K443" s="4" t="str">
        <f aca="false">IF(AND(M443=0,P443=0),"▶ NEXT","")</f>
        <v/>
      </c>
      <c r="L443" s="4" t="n">
        <f aca="false">INDEX('Master List'!$F$2:$F$2594,O443)</f>
        <v>3</v>
      </c>
      <c r="M443" s="4" t="n">
        <f aca="false">INDEX('Master List'!$G$2:$G$2594,O443)</f>
        <v>0</v>
      </c>
      <c r="N443" s="4" t="str">
        <f aca="false">IF(K443="","",A443)</f>
        <v/>
      </c>
      <c r="O443" s="4" t="n">
        <v>1321</v>
      </c>
      <c r="P443" s="4" t="n">
        <f aca="false">IF(A443=A442,P442+1-M442,0)</f>
        <v>4</v>
      </c>
    </row>
    <row r="444" customFormat="false" ht="15" hidden="false" customHeight="false" outlineLevel="0" collapsed="false">
      <c r="A444" s="28" t="s">
        <v>3943</v>
      </c>
      <c r="B444" s="28" t="s">
        <v>51</v>
      </c>
      <c r="C444" s="28" t="s">
        <v>76</v>
      </c>
      <c r="D444" s="28" t="s">
        <v>3944</v>
      </c>
      <c r="E444" s="4" t="n">
        <v>7</v>
      </c>
      <c r="F444" s="4" t="s">
        <v>213</v>
      </c>
      <c r="G444" s="4" t="s">
        <v>1972</v>
      </c>
      <c r="H444" s="4" t="n">
        <v>1960</v>
      </c>
      <c r="I444" s="4" t="s">
        <v>461</v>
      </c>
      <c r="J444" s="25" t="str">
        <f aca="false">IF(M444=1,"✓","")</f>
        <v/>
      </c>
      <c r="K444" s="4" t="str">
        <f aca="false">IF(AND(M444=0,P444=0),"▶ NEXT","")</f>
        <v/>
      </c>
      <c r="L444" s="4" t="n">
        <f aca="false">INDEX('Master List'!$F$2:$F$2594,O444)</f>
        <v>1</v>
      </c>
      <c r="M444" s="4" t="n">
        <f aca="false">INDEX('Master List'!$G$2:$G$2594,O444)</f>
        <v>0</v>
      </c>
      <c r="N444" s="4" t="str">
        <f aca="false">IF(K444="","",A444)</f>
        <v/>
      </c>
      <c r="O444" s="4" t="n">
        <v>1920</v>
      </c>
      <c r="P444" s="4" t="n">
        <f aca="false">IF(A444=A443,P443+1-M443,0)</f>
        <v>5</v>
      </c>
    </row>
    <row r="445" customFormat="false" ht="15" hidden="false" customHeight="false" outlineLevel="0" collapsed="false">
      <c r="A445" s="28" t="s">
        <v>3943</v>
      </c>
      <c r="B445" s="28" t="s">
        <v>51</v>
      </c>
      <c r="C445" s="28" t="s">
        <v>76</v>
      </c>
      <c r="D445" s="28" t="s">
        <v>3944</v>
      </c>
      <c r="E445" s="4" t="n">
        <v>8</v>
      </c>
      <c r="F445" s="4" t="s">
        <v>213</v>
      </c>
      <c r="G445" s="4" t="s">
        <v>1987</v>
      </c>
      <c r="H445" s="4" t="n">
        <v>1961</v>
      </c>
      <c r="I445" s="4" t="s">
        <v>974</v>
      </c>
      <c r="J445" s="25" t="str">
        <f aca="false">IF(M445=1,"✓","")</f>
        <v/>
      </c>
      <c r="K445" s="4" t="str">
        <f aca="false">IF(AND(M445=0,P445=0),"▶ NEXT","")</f>
        <v/>
      </c>
      <c r="L445" s="4" t="n">
        <f aca="false">INDEX('Master List'!$F$2:$F$2594,O445)</f>
        <v>1</v>
      </c>
      <c r="M445" s="4" t="n">
        <f aca="false">INDEX('Master List'!$G$2:$G$2594,O445)</f>
        <v>0</v>
      </c>
      <c r="N445" s="4" t="str">
        <f aca="false">IF(K445="","",A445)</f>
        <v/>
      </c>
      <c r="O445" s="4" t="n">
        <v>37</v>
      </c>
      <c r="P445" s="4" t="n">
        <f aca="false">IF(A445=A444,P444+1-M444,0)</f>
        <v>6</v>
      </c>
    </row>
    <row r="446" customFormat="false" ht="15" hidden="false" customHeight="false" outlineLevel="0" collapsed="false">
      <c r="A446" s="28" t="s">
        <v>3943</v>
      </c>
      <c r="B446" s="28" t="s">
        <v>51</v>
      </c>
      <c r="C446" s="28" t="s">
        <v>76</v>
      </c>
      <c r="D446" s="28" t="s">
        <v>3944</v>
      </c>
      <c r="E446" s="4" t="n">
        <v>9</v>
      </c>
      <c r="F446" s="4" t="s">
        <v>213</v>
      </c>
      <c r="G446" s="4" t="s">
        <v>973</v>
      </c>
      <c r="H446" s="4" t="n">
        <v>1964</v>
      </c>
      <c r="I446" s="4" t="s">
        <v>974</v>
      </c>
      <c r="J446" s="25" t="str">
        <f aca="false">IF(M446=1,"✓","")</f>
        <v/>
      </c>
      <c r="K446" s="4" t="str">
        <f aca="false">IF(AND(M446=0,P446=0),"▶ NEXT","")</f>
        <v/>
      </c>
      <c r="L446" s="4" t="n">
        <f aca="false">INDEX('Master List'!$F$2:$F$2594,O446)</f>
        <v>2</v>
      </c>
      <c r="M446" s="4" t="n">
        <f aca="false">INDEX('Master List'!$G$2:$G$2594,O446)</f>
        <v>0</v>
      </c>
      <c r="N446" s="4" t="str">
        <f aca="false">IF(K446="","",A446)</f>
        <v/>
      </c>
      <c r="O446" s="4" t="n">
        <v>938</v>
      </c>
      <c r="P446" s="4" t="n">
        <f aca="false">IF(A446=A445,P445+1-M445,0)</f>
        <v>7</v>
      </c>
    </row>
    <row r="447" customFormat="false" ht="15" hidden="false" customHeight="false" outlineLevel="0" collapsed="false">
      <c r="A447" s="28" t="s">
        <v>3943</v>
      </c>
      <c r="B447" s="28" t="s">
        <v>51</v>
      </c>
      <c r="C447" s="28" t="s">
        <v>76</v>
      </c>
      <c r="D447" s="28" t="s">
        <v>3944</v>
      </c>
      <c r="E447" s="4" t="n">
        <v>10</v>
      </c>
      <c r="F447" s="4" t="s">
        <v>213</v>
      </c>
      <c r="G447" s="4" t="s">
        <v>975</v>
      </c>
      <c r="H447" s="4" t="n">
        <v>1964</v>
      </c>
      <c r="I447" s="4" t="s">
        <v>217</v>
      </c>
      <c r="J447" s="25" t="str">
        <f aca="false">IF(M447=1,"✓","")</f>
        <v/>
      </c>
      <c r="K447" s="4" t="str">
        <f aca="false">IF(AND(M447=0,P447=0),"▶ NEXT","")</f>
        <v/>
      </c>
      <c r="L447" s="4" t="n">
        <f aca="false">INDEX('Master List'!$F$2:$F$2594,O447)</f>
        <v>2</v>
      </c>
      <c r="M447" s="4" t="n">
        <f aca="false">INDEX('Master List'!$G$2:$G$2594,O447)</f>
        <v>0</v>
      </c>
      <c r="N447" s="4" t="str">
        <f aca="false">IF(K447="","",A447)</f>
        <v/>
      </c>
      <c r="O447" s="4" t="n">
        <v>1873</v>
      </c>
      <c r="P447" s="4" t="n">
        <f aca="false">IF(A447=A446,P446+1-M446,0)</f>
        <v>8</v>
      </c>
    </row>
    <row r="448" customFormat="false" ht="15" hidden="false" customHeight="false" outlineLevel="0" collapsed="false">
      <c r="A448" s="28" t="s">
        <v>3943</v>
      </c>
      <c r="B448" s="28" t="s">
        <v>51</v>
      </c>
      <c r="C448" s="28" t="s">
        <v>76</v>
      </c>
      <c r="D448" s="28" t="s">
        <v>3944</v>
      </c>
      <c r="E448" s="4" t="n">
        <v>11</v>
      </c>
      <c r="F448" s="4" t="s">
        <v>213</v>
      </c>
      <c r="G448" s="4" t="s">
        <v>1988</v>
      </c>
      <c r="H448" s="4" t="n">
        <v>1961</v>
      </c>
      <c r="I448" s="4" t="s">
        <v>1989</v>
      </c>
      <c r="J448" s="25" t="str">
        <f aca="false">IF(M448=1,"✓","")</f>
        <v/>
      </c>
      <c r="K448" s="4" t="str">
        <f aca="false">IF(AND(M448=0,P448=0),"▶ NEXT","")</f>
        <v/>
      </c>
      <c r="L448" s="4" t="n">
        <f aca="false">INDEX('Master List'!$F$2:$F$2594,O448)</f>
        <v>1</v>
      </c>
      <c r="M448" s="4" t="n">
        <f aca="false">INDEX('Master List'!$G$2:$G$2594,O448)</f>
        <v>0</v>
      </c>
      <c r="N448" s="4" t="str">
        <f aca="false">IF(K448="","",A448)</f>
        <v/>
      </c>
      <c r="O448" s="4" t="n">
        <v>1804</v>
      </c>
      <c r="P448" s="4" t="n">
        <f aca="false">IF(A448=A447,P447+1-M447,0)</f>
        <v>9</v>
      </c>
    </row>
    <row r="449" customFormat="false" ht="15" hidden="false" customHeight="false" outlineLevel="0" collapsed="false">
      <c r="A449" s="28" t="s">
        <v>3943</v>
      </c>
      <c r="B449" s="28" t="s">
        <v>51</v>
      </c>
      <c r="C449" s="28" t="s">
        <v>76</v>
      </c>
      <c r="D449" s="28" t="s">
        <v>3944</v>
      </c>
      <c r="E449" s="4" t="n">
        <v>12</v>
      </c>
      <c r="F449" s="4" t="s">
        <v>213</v>
      </c>
      <c r="G449" s="4" t="s">
        <v>591</v>
      </c>
      <c r="H449" s="4" t="n">
        <v>1970</v>
      </c>
      <c r="I449" s="4" t="s">
        <v>592</v>
      </c>
      <c r="J449" s="25" t="str">
        <f aca="false">IF(M449=1,"✓","")</f>
        <v/>
      </c>
      <c r="K449" s="4" t="str">
        <f aca="false">IF(AND(M449=0,P449=0),"▶ NEXT","")</f>
        <v/>
      </c>
      <c r="L449" s="4" t="n">
        <f aca="false">INDEX('Master List'!$F$2:$F$2594,O449)</f>
        <v>3</v>
      </c>
      <c r="M449" s="4" t="n">
        <f aca="false">INDEX('Master List'!$G$2:$G$2594,O449)</f>
        <v>0</v>
      </c>
      <c r="N449" s="4" t="str">
        <f aca="false">IF(K449="","",A449)</f>
        <v/>
      </c>
      <c r="O449" s="4" t="n">
        <v>513</v>
      </c>
      <c r="P449" s="4" t="n">
        <f aca="false">IF(A449=A448,P448+1-M448,0)</f>
        <v>10</v>
      </c>
    </row>
    <row r="450" customFormat="false" ht="15" hidden="false" customHeight="false" outlineLevel="0" collapsed="false">
      <c r="A450" s="28" t="s">
        <v>3943</v>
      </c>
      <c r="B450" s="28" t="s">
        <v>51</v>
      </c>
      <c r="C450" s="28" t="s">
        <v>76</v>
      </c>
      <c r="D450" s="28" t="s">
        <v>3944</v>
      </c>
      <c r="E450" s="4" t="n">
        <v>13</v>
      </c>
      <c r="F450" s="4" t="s">
        <v>213</v>
      </c>
      <c r="G450" s="4" t="s">
        <v>1019</v>
      </c>
      <c r="H450" s="4" t="n">
        <v>1973</v>
      </c>
      <c r="I450" s="4" t="s">
        <v>179</v>
      </c>
      <c r="J450" s="25" t="str">
        <f aca="false">IF(M450=1,"✓","")</f>
        <v/>
      </c>
      <c r="K450" s="4" t="str">
        <f aca="false">IF(AND(M450=0,P450=0),"▶ NEXT","")</f>
        <v/>
      </c>
      <c r="L450" s="4" t="n">
        <f aca="false">INDEX('Master List'!$F$2:$F$2594,O450)</f>
        <v>2</v>
      </c>
      <c r="M450" s="4" t="n">
        <f aca="false">INDEX('Master List'!$G$2:$G$2594,O450)</f>
        <v>0</v>
      </c>
      <c r="N450" s="4" t="str">
        <f aca="false">IF(K450="","",A450)</f>
        <v/>
      </c>
      <c r="O450" s="4" t="n">
        <v>84</v>
      </c>
      <c r="P450" s="4" t="n">
        <f aca="false">IF(A450=A449,P449+1-M449,0)</f>
        <v>11</v>
      </c>
    </row>
    <row r="451" customFormat="false" ht="15" hidden="false" customHeight="false" outlineLevel="0" collapsed="false">
      <c r="A451" s="28" t="s">
        <v>3943</v>
      </c>
      <c r="B451" s="28" t="s">
        <v>51</v>
      </c>
      <c r="C451" s="28" t="s">
        <v>76</v>
      </c>
      <c r="D451" s="28" t="s">
        <v>3944</v>
      </c>
      <c r="E451" s="4" t="n">
        <v>14</v>
      </c>
      <c r="F451" s="4" t="s">
        <v>1327</v>
      </c>
      <c r="G451" s="4" t="s">
        <v>3428</v>
      </c>
      <c r="H451" s="4" t="n">
        <v>1965</v>
      </c>
      <c r="I451" s="4" t="s">
        <v>3429</v>
      </c>
      <c r="J451" s="25" t="str">
        <f aca="false">IF(M451=1,"✓","")</f>
        <v/>
      </c>
      <c r="K451" s="4" t="str">
        <f aca="false">IF(AND(M451=0,P451=0),"▶ NEXT","")</f>
        <v/>
      </c>
      <c r="L451" s="4" t="n">
        <f aca="false">INDEX('Master List'!$F$2:$F$2594,O451)</f>
        <v>1</v>
      </c>
      <c r="M451" s="4" t="n">
        <f aca="false">INDEX('Master List'!$G$2:$G$2594,O451)</f>
        <v>0</v>
      </c>
      <c r="N451" s="4" t="str">
        <f aca="false">IF(K451="","",A451)</f>
        <v/>
      </c>
      <c r="O451" s="4" t="n">
        <v>813</v>
      </c>
      <c r="P451" s="4" t="n">
        <f aca="false">IF(A451=A450,P450+1-M450,0)</f>
        <v>12</v>
      </c>
    </row>
    <row r="452" customFormat="false" ht="15" hidden="false" customHeight="false" outlineLevel="0" collapsed="false">
      <c r="A452" s="28" t="s">
        <v>3943</v>
      </c>
      <c r="B452" s="28" t="s">
        <v>51</v>
      </c>
      <c r="C452" s="28" t="s">
        <v>76</v>
      </c>
      <c r="D452" s="28" t="s">
        <v>3944</v>
      </c>
      <c r="E452" s="4" t="n">
        <v>15</v>
      </c>
      <c r="F452" s="4" t="s">
        <v>1327</v>
      </c>
      <c r="G452" s="4" t="s">
        <v>3452</v>
      </c>
      <c r="H452" s="4" t="n">
        <v>1968</v>
      </c>
      <c r="I452" s="4" t="s">
        <v>974</v>
      </c>
      <c r="J452" s="25" t="str">
        <f aca="false">IF(M452=1,"✓","")</f>
        <v/>
      </c>
      <c r="K452" s="4" t="str">
        <f aca="false">IF(AND(M452=0,P452=0),"▶ NEXT","")</f>
        <v/>
      </c>
      <c r="L452" s="4" t="n">
        <f aca="false">INDEX('Master List'!$F$2:$F$2594,O452)</f>
        <v>1</v>
      </c>
      <c r="M452" s="4" t="n">
        <f aca="false">INDEX('Master List'!$G$2:$G$2594,O452)</f>
        <v>0</v>
      </c>
      <c r="N452" s="4" t="str">
        <f aca="false">IF(K452="","",A452)</f>
        <v/>
      </c>
      <c r="O452" s="4" t="n">
        <v>2253</v>
      </c>
      <c r="P452" s="4" t="n">
        <f aca="false">IF(A452=A451,P451+1-M451,0)</f>
        <v>13</v>
      </c>
    </row>
    <row r="453" customFormat="false" ht="15" hidden="false" customHeight="false" outlineLevel="0" collapsed="false">
      <c r="A453" s="28" t="s">
        <v>3945</v>
      </c>
      <c r="B453" s="28" t="s">
        <v>51</v>
      </c>
      <c r="C453" s="28" t="s">
        <v>76</v>
      </c>
      <c r="D453" s="28" t="s">
        <v>3946</v>
      </c>
      <c r="E453" s="4" t="n">
        <v>1</v>
      </c>
      <c r="F453" s="4" t="s">
        <v>144</v>
      </c>
      <c r="G453" s="7" t="s">
        <v>754</v>
      </c>
      <c r="H453" s="4" t="n">
        <v>1958</v>
      </c>
      <c r="I453" s="4" t="s">
        <v>755</v>
      </c>
      <c r="J453" s="25" t="str">
        <f aca="false">IF(M453=1,"✓","")</f>
        <v/>
      </c>
      <c r="K453" s="4" t="str">
        <f aca="false">IF(AND(M453=0,P453=0),"▶ NEXT","")</f>
        <v>▶ NEXT</v>
      </c>
      <c r="L453" s="4" t="n">
        <f aca="false">INDEX('Master List'!$F$2:$F$2594,O453)</f>
        <v>2</v>
      </c>
      <c r="M453" s="4" t="n">
        <f aca="false">INDEX('Master List'!$G$2:$G$2594,O453)</f>
        <v>0</v>
      </c>
      <c r="N453" s="4" t="str">
        <f aca="false">IF(K453="","",A453)</f>
        <v>N036</v>
      </c>
      <c r="O453" s="4" t="n">
        <v>240</v>
      </c>
      <c r="P453" s="4" t="n">
        <f aca="false">IF(A453=A452,P452+1-M452,0)</f>
        <v>0</v>
      </c>
    </row>
    <row r="454" customFormat="false" ht="15" hidden="false" customHeight="false" outlineLevel="0" collapsed="false">
      <c r="A454" s="28" t="s">
        <v>3945</v>
      </c>
      <c r="B454" s="28" t="s">
        <v>51</v>
      </c>
      <c r="C454" s="28" t="s">
        <v>76</v>
      </c>
      <c r="D454" s="28" t="s">
        <v>3946</v>
      </c>
      <c r="E454" s="4" t="n">
        <v>2</v>
      </c>
      <c r="F454" s="4" t="s">
        <v>144</v>
      </c>
      <c r="G454" s="7" t="s">
        <v>1458</v>
      </c>
      <c r="H454" s="4" t="n">
        <v>1961</v>
      </c>
      <c r="I454" s="4" t="s">
        <v>1459</v>
      </c>
      <c r="J454" s="25" t="str">
        <f aca="false">IF(M454=1,"✓","")</f>
        <v/>
      </c>
      <c r="K454" s="4" t="str">
        <f aca="false">IF(AND(M454=0,P454=0),"▶ NEXT","")</f>
        <v/>
      </c>
      <c r="L454" s="4" t="n">
        <f aca="false">INDEX('Master List'!$F$2:$F$2594,O454)</f>
        <v>1</v>
      </c>
      <c r="M454" s="4" t="n">
        <f aca="false">INDEX('Master List'!$G$2:$G$2594,O454)</f>
        <v>0</v>
      </c>
      <c r="N454" s="4" t="str">
        <f aca="false">IF(K454="","",A454)</f>
        <v/>
      </c>
      <c r="O454" s="4" t="n">
        <v>642</v>
      </c>
      <c r="P454" s="4" t="n">
        <f aca="false">IF(A454=A453,P453+1-M453,0)</f>
        <v>1</v>
      </c>
    </row>
    <row r="455" customFormat="false" ht="15" hidden="false" customHeight="false" outlineLevel="0" collapsed="false">
      <c r="A455" s="28" t="s">
        <v>3945</v>
      </c>
      <c r="B455" s="28" t="s">
        <v>51</v>
      </c>
      <c r="C455" s="28" t="s">
        <v>76</v>
      </c>
      <c r="D455" s="28" t="s">
        <v>3946</v>
      </c>
      <c r="E455" s="4" t="n">
        <v>3</v>
      </c>
      <c r="F455" s="4" t="s">
        <v>213</v>
      </c>
      <c r="G455" s="4" t="s">
        <v>959</v>
      </c>
      <c r="H455" s="4" t="n">
        <v>1962</v>
      </c>
      <c r="I455" s="4" t="s">
        <v>960</v>
      </c>
      <c r="J455" s="25" t="str">
        <f aca="false">IF(M455=1,"✓","")</f>
        <v/>
      </c>
      <c r="K455" s="4" t="str">
        <f aca="false">IF(AND(M455=0,P455=0),"▶ NEXT","")</f>
        <v/>
      </c>
      <c r="L455" s="4" t="n">
        <f aca="false">INDEX('Master List'!$F$2:$F$2594,O455)</f>
        <v>2</v>
      </c>
      <c r="M455" s="4" t="n">
        <f aca="false">INDEX('Master List'!$G$2:$G$2594,O455)</f>
        <v>0</v>
      </c>
      <c r="N455" s="4" t="str">
        <f aca="false">IF(K455="","",A455)</f>
        <v/>
      </c>
      <c r="O455" s="4" t="n">
        <v>2118</v>
      </c>
      <c r="P455" s="4" t="n">
        <f aca="false">IF(A455=A454,P454+1-M454,0)</f>
        <v>2</v>
      </c>
    </row>
    <row r="456" customFormat="false" ht="15" hidden="false" customHeight="false" outlineLevel="0" collapsed="false">
      <c r="A456" s="28" t="s">
        <v>3945</v>
      </c>
      <c r="B456" s="28" t="s">
        <v>51</v>
      </c>
      <c r="C456" s="28" t="s">
        <v>76</v>
      </c>
      <c r="D456" s="28" t="s">
        <v>3946</v>
      </c>
      <c r="E456" s="4" t="n">
        <v>4</v>
      </c>
      <c r="F456" s="4" t="s">
        <v>213</v>
      </c>
      <c r="G456" s="4" t="s">
        <v>2042</v>
      </c>
      <c r="H456" s="4" t="n">
        <v>1964</v>
      </c>
      <c r="I456" s="4" t="s">
        <v>1459</v>
      </c>
      <c r="J456" s="25" t="str">
        <f aca="false">IF(M456=1,"✓","")</f>
        <v/>
      </c>
      <c r="K456" s="4" t="str">
        <f aca="false">IF(AND(M456=0,P456=0),"▶ NEXT","")</f>
        <v/>
      </c>
      <c r="L456" s="4" t="n">
        <f aca="false">INDEX('Master List'!$F$2:$F$2594,O456)</f>
        <v>1</v>
      </c>
      <c r="M456" s="4" t="n">
        <f aca="false">INDEX('Master List'!$G$2:$G$2594,O456)</f>
        <v>0</v>
      </c>
      <c r="N456" s="4" t="str">
        <f aca="false">IF(K456="","",A456)</f>
        <v/>
      </c>
      <c r="O456" s="4" t="n">
        <v>2006</v>
      </c>
      <c r="P456" s="4" t="n">
        <f aca="false">IF(A456=A455,P455+1-M455,0)</f>
        <v>3</v>
      </c>
    </row>
    <row r="457" customFormat="false" ht="15" hidden="false" customHeight="false" outlineLevel="0" collapsed="false">
      <c r="A457" s="28" t="s">
        <v>3945</v>
      </c>
      <c r="B457" s="28" t="s">
        <v>51</v>
      </c>
      <c r="C457" s="28" t="s">
        <v>76</v>
      </c>
      <c r="D457" s="28" t="s">
        <v>3946</v>
      </c>
      <c r="E457" s="4" t="n">
        <v>5</v>
      </c>
      <c r="F457" s="4" t="s">
        <v>213</v>
      </c>
      <c r="G457" s="4" t="s">
        <v>1958</v>
      </c>
      <c r="H457" s="4" t="n">
        <v>1959</v>
      </c>
      <c r="I457" s="4" t="s">
        <v>755</v>
      </c>
      <c r="J457" s="25" t="str">
        <f aca="false">IF(M457=1,"✓","")</f>
        <v/>
      </c>
      <c r="K457" s="4" t="str">
        <f aca="false">IF(AND(M457=0,P457=0),"▶ NEXT","")</f>
        <v/>
      </c>
      <c r="L457" s="4" t="n">
        <f aca="false">INDEX('Master List'!$F$2:$F$2594,O457)</f>
        <v>1</v>
      </c>
      <c r="M457" s="4" t="n">
        <f aca="false">INDEX('Master List'!$G$2:$G$2594,O457)</f>
        <v>0</v>
      </c>
      <c r="N457" s="4" t="str">
        <f aca="false">IF(K457="","",A457)</f>
        <v/>
      </c>
      <c r="O457" s="4" t="n">
        <v>958</v>
      </c>
      <c r="P457" s="4" t="n">
        <f aca="false">IF(A457=A456,P456+1-M456,0)</f>
        <v>4</v>
      </c>
    </row>
    <row r="458" customFormat="false" ht="15" hidden="false" customHeight="false" outlineLevel="0" collapsed="false">
      <c r="A458" s="28" t="s">
        <v>3945</v>
      </c>
      <c r="B458" s="28" t="s">
        <v>51</v>
      </c>
      <c r="C458" s="28" t="s">
        <v>76</v>
      </c>
      <c r="D458" s="28" t="s">
        <v>3946</v>
      </c>
      <c r="E458" s="4" t="n">
        <v>6</v>
      </c>
      <c r="F458" s="4" t="s">
        <v>213</v>
      </c>
      <c r="G458" s="4" t="s">
        <v>2043</v>
      </c>
      <c r="H458" s="4" t="n">
        <v>1964</v>
      </c>
      <c r="I458" s="4" t="s">
        <v>160</v>
      </c>
      <c r="J458" s="25" t="str">
        <f aca="false">IF(M458=1,"✓","")</f>
        <v/>
      </c>
      <c r="K458" s="4" t="str">
        <f aca="false">IF(AND(M458=0,P458=0),"▶ NEXT","")</f>
        <v/>
      </c>
      <c r="L458" s="4" t="n">
        <f aca="false">INDEX('Master List'!$F$2:$F$2594,O458)</f>
        <v>1</v>
      </c>
      <c r="M458" s="4" t="n">
        <f aca="false">INDEX('Master List'!$G$2:$G$2594,O458)</f>
        <v>0</v>
      </c>
      <c r="N458" s="4" t="str">
        <f aca="false">IF(K458="","",A458)</f>
        <v/>
      </c>
      <c r="O458" s="4" t="n">
        <v>1450</v>
      </c>
      <c r="P458" s="4" t="n">
        <f aca="false">IF(A458=A457,P457+1-M457,0)</f>
        <v>5</v>
      </c>
    </row>
    <row r="459" customFormat="false" ht="15" hidden="false" customHeight="false" outlineLevel="0" collapsed="false">
      <c r="A459" s="28" t="s">
        <v>3945</v>
      </c>
      <c r="B459" s="28" t="s">
        <v>51</v>
      </c>
      <c r="C459" s="28" t="s">
        <v>76</v>
      </c>
      <c r="D459" s="28" t="s">
        <v>3946</v>
      </c>
      <c r="E459" s="4" t="n">
        <v>7</v>
      </c>
      <c r="F459" s="4" t="s">
        <v>213</v>
      </c>
      <c r="G459" s="4" t="s">
        <v>2235</v>
      </c>
      <c r="H459" s="4" t="n">
        <v>1974</v>
      </c>
      <c r="I459" s="4" t="s">
        <v>2236</v>
      </c>
      <c r="J459" s="25" t="str">
        <f aca="false">IF(M459=1,"✓","")</f>
        <v/>
      </c>
      <c r="K459" s="4" t="str">
        <f aca="false">IF(AND(M459=0,P459=0),"▶ NEXT","")</f>
        <v/>
      </c>
      <c r="L459" s="4" t="n">
        <f aca="false">INDEX('Master List'!$F$2:$F$2594,O459)</f>
        <v>1</v>
      </c>
      <c r="M459" s="4" t="n">
        <f aca="false">INDEX('Master List'!$G$2:$G$2594,O459)</f>
        <v>0</v>
      </c>
      <c r="N459" s="4" t="str">
        <f aca="false">IF(K459="","",A459)</f>
        <v/>
      </c>
      <c r="O459" s="4" t="n">
        <v>2475</v>
      </c>
      <c r="P459" s="4" t="n">
        <f aca="false">IF(A459=A458,P458+1-M458,0)</f>
        <v>6</v>
      </c>
    </row>
    <row r="460" customFormat="false" ht="15" hidden="false" customHeight="false" outlineLevel="0" collapsed="false">
      <c r="A460" s="28" t="s">
        <v>3945</v>
      </c>
      <c r="B460" s="28" t="s">
        <v>51</v>
      </c>
      <c r="C460" s="28" t="s">
        <v>76</v>
      </c>
      <c r="D460" s="28" t="s">
        <v>3946</v>
      </c>
      <c r="E460" s="4" t="n">
        <v>8</v>
      </c>
      <c r="F460" s="4" t="s">
        <v>1327</v>
      </c>
      <c r="G460" s="4" t="s">
        <v>3560</v>
      </c>
      <c r="H460" s="4" t="n">
        <v>1977</v>
      </c>
      <c r="I460" s="4" t="s">
        <v>2236</v>
      </c>
      <c r="J460" s="25" t="str">
        <f aca="false">IF(M460=1,"✓","")</f>
        <v/>
      </c>
      <c r="K460" s="4" t="str">
        <f aca="false">IF(AND(M460=0,P460=0),"▶ NEXT","")</f>
        <v/>
      </c>
      <c r="L460" s="4" t="n">
        <f aca="false">INDEX('Master List'!$F$2:$F$2594,O460)</f>
        <v>1</v>
      </c>
      <c r="M460" s="4" t="n">
        <f aca="false">INDEX('Master List'!$G$2:$G$2594,O460)</f>
        <v>0</v>
      </c>
      <c r="N460" s="4" t="str">
        <f aca="false">IF(K460="","",A460)</f>
        <v/>
      </c>
      <c r="O460" s="4" t="n">
        <v>2128</v>
      </c>
      <c r="P460" s="4" t="n">
        <f aca="false">IF(A460=A459,P459+1-M459,0)</f>
        <v>7</v>
      </c>
    </row>
    <row r="461" customFormat="false" ht="15" hidden="false" customHeight="false" outlineLevel="0" collapsed="false">
      <c r="A461" s="28" t="s">
        <v>3945</v>
      </c>
      <c r="B461" s="28" t="s">
        <v>51</v>
      </c>
      <c r="C461" s="28" t="s">
        <v>76</v>
      </c>
      <c r="D461" s="28" t="s">
        <v>3946</v>
      </c>
      <c r="E461" s="4" t="n">
        <v>9</v>
      </c>
      <c r="F461" s="4" t="s">
        <v>1327</v>
      </c>
      <c r="G461" s="4" t="s">
        <v>3547</v>
      </c>
      <c r="H461" s="4" t="n">
        <v>1976</v>
      </c>
      <c r="I461" s="4" t="s">
        <v>2236</v>
      </c>
      <c r="J461" s="25" t="str">
        <f aca="false">IF(M461=1,"✓","")</f>
        <v/>
      </c>
      <c r="K461" s="4" t="str">
        <f aca="false">IF(AND(M461=0,P461=0),"▶ NEXT","")</f>
        <v/>
      </c>
      <c r="L461" s="4" t="n">
        <f aca="false">INDEX('Master List'!$F$2:$F$2594,O461)</f>
        <v>1</v>
      </c>
      <c r="M461" s="4" t="n">
        <f aca="false">INDEX('Master List'!$G$2:$G$2594,O461)</f>
        <v>0</v>
      </c>
      <c r="N461" s="4" t="str">
        <f aca="false">IF(K461="","",A461)</f>
        <v/>
      </c>
      <c r="O461" s="4" t="n">
        <v>666</v>
      </c>
      <c r="P461" s="4" t="n">
        <f aca="false">IF(A461=A460,P460+1-M460,0)</f>
        <v>8</v>
      </c>
    </row>
    <row r="462" customFormat="false" ht="15" hidden="false" customHeight="false" outlineLevel="0" collapsed="false">
      <c r="A462" s="28" t="s">
        <v>3947</v>
      </c>
      <c r="B462" s="28" t="s">
        <v>51</v>
      </c>
      <c r="C462" s="28" t="s">
        <v>76</v>
      </c>
      <c r="D462" s="28" t="s">
        <v>3948</v>
      </c>
      <c r="E462" s="4" t="n">
        <v>1</v>
      </c>
      <c r="F462" s="4" t="s">
        <v>144</v>
      </c>
      <c r="G462" s="7" t="s">
        <v>467</v>
      </c>
      <c r="H462" s="4" t="n">
        <v>1964</v>
      </c>
      <c r="I462" s="4" t="s">
        <v>395</v>
      </c>
      <c r="J462" s="25" t="str">
        <f aca="false">IF(M462=1,"✓","")</f>
        <v>✓</v>
      </c>
      <c r="K462" s="4" t="str">
        <f aca="false">IF(AND(M462=0,P462=0),"▶ NEXT","")</f>
        <v/>
      </c>
      <c r="L462" s="4" t="n">
        <f aca="false">INDEX('Master List'!$F$2:$F$2594,O462)</f>
        <v>3</v>
      </c>
      <c r="M462" s="4" t="n">
        <f aca="false">INDEX('Master List'!$G$2:$G$2594,O462)</f>
        <v>1</v>
      </c>
      <c r="N462" s="4" t="str">
        <f aca="false">IF(K462="","",A462)</f>
        <v/>
      </c>
      <c r="O462" s="4" t="n">
        <v>812</v>
      </c>
      <c r="P462" s="4" t="n">
        <f aca="false">IF(A462=A461,P461+1-M461,0)</f>
        <v>0</v>
      </c>
    </row>
    <row r="463" customFormat="false" ht="15" hidden="false" customHeight="false" outlineLevel="0" collapsed="false">
      <c r="A463" s="28" t="s">
        <v>3947</v>
      </c>
      <c r="B463" s="28" t="s">
        <v>51</v>
      </c>
      <c r="C463" s="28" t="s">
        <v>76</v>
      </c>
      <c r="D463" s="28" t="s">
        <v>3948</v>
      </c>
      <c r="E463" s="4" t="n">
        <v>2</v>
      </c>
      <c r="F463" s="4" t="s">
        <v>144</v>
      </c>
      <c r="G463" s="7" t="s">
        <v>665</v>
      </c>
      <c r="H463" s="4" t="n">
        <v>1966</v>
      </c>
      <c r="I463" s="4" t="s">
        <v>395</v>
      </c>
      <c r="J463" s="25" t="str">
        <f aca="false">IF(M463=1,"✓","")</f>
        <v/>
      </c>
      <c r="K463" s="4" t="str">
        <f aca="false">IF(AND(M463=0,P463=0),"▶ NEXT","")</f>
        <v>▶ NEXT</v>
      </c>
      <c r="L463" s="4" t="n">
        <f aca="false">INDEX('Master List'!$F$2:$F$2594,O463)</f>
        <v>2</v>
      </c>
      <c r="M463" s="4" t="n">
        <f aca="false">INDEX('Master List'!$G$2:$G$2594,O463)</f>
        <v>0</v>
      </c>
      <c r="N463" s="4" t="str">
        <f aca="false">IF(K463="","",A463)</f>
        <v>N037</v>
      </c>
      <c r="O463" s="4" t="n">
        <v>928</v>
      </c>
      <c r="P463" s="4" t="n">
        <f aca="false">IF(A463=A462,P462+1-M462,0)</f>
        <v>0</v>
      </c>
    </row>
    <row r="464" customFormat="false" ht="15" hidden="false" customHeight="false" outlineLevel="0" collapsed="false">
      <c r="A464" s="28" t="s">
        <v>3947</v>
      </c>
      <c r="B464" s="28" t="s">
        <v>51</v>
      </c>
      <c r="C464" s="28" t="s">
        <v>76</v>
      </c>
      <c r="D464" s="28" t="s">
        <v>3948</v>
      </c>
      <c r="E464" s="4" t="n">
        <v>3</v>
      </c>
      <c r="F464" s="4" t="s">
        <v>213</v>
      </c>
      <c r="G464" s="4" t="s">
        <v>983</v>
      </c>
      <c r="H464" s="4" t="n">
        <v>1965</v>
      </c>
      <c r="I464" s="4" t="s">
        <v>395</v>
      </c>
      <c r="J464" s="25" t="str">
        <f aca="false">IF(M464=1,"✓","")</f>
        <v>✓</v>
      </c>
      <c r="K464" s="4" t="str">
        <f aca="false">IF(AND(M464=0,P464=0),"▶ NEXT","")</f>
        <v/>
      </c>
      <c r="L464" s="4" t="n">
        <f aca="false">INDEX('Master List'!$F$2:$F$2594,O464)</f>
        <v>2</v>
      </c>
      <c r="M464" s="4" t="n">
        <f aca="false">INDEX('Master List'!$G$2:$G$2594,O464)</f>
        <v>1</v>
      </c>
      <c r="N464" s="4" t="str">
        <f aca="false">IF(K464="","",A464)</f>
        <v/>
      </c>
      <c r="O464" s="4" t="n">
        <v>831</v>
      </c>
      <c r="P464" s="4" t="n">
        <f aca="false">IF(A464=A463,P463+1-M463,0)</f>
        <v>1</v>
      </c>
    </row>
    <row r="465" customFormat="false" ht="15" hidden="false" customHeight="false" outlineLevel="0" collapsed="false">
      <c r="A465" s="28" t="s">
        <v>3947</v>
      </c>
      <c r="B465" s="28" t="s">
        <v>51</v>
      </c>
      <c r="C465" s="28" t="s">
        <v>76</v>
      </c>
      <c r="D465" s="28" t="s">
        <v>3948</v>
      </c>
      <c r="E465" s="4" t="n">
        <v>4</v>
      </c>
      <c r="F465" s="4" t="s">
        <v>213</v>
      </c>
      <c r="G465" s="4" t="s">
        <v>988</v>
      </c>
      <c r="H465" s="4" t="n">
        <v>1966</v>
      </c>
      <c r="I465" s="4" t="s">
        <v>668</v>
      </c>
      <c r="J465" s="25" t="str">
        <f aca="false">IF(M465=1,"✓","")</f>
        <v/>
      </c>
      <c r="K465" s="4" t="str">
        <f aca="false">IF(AND(M465=0,P465=0),"▶ NEXT","")</f>
        <v/>
      </c>
      <c r="L465" s="4" t="n">
        <f aca="false">INDEX('Master List'!$F$2:$F$2594,O465)</f>
        <v>2</v>
      </c>
      <c r="M465" s="4" t="n">
        <f aca="false">INDEX('Master List'!$G$2:$G$2594,O465)</f>
        <v>0</v>
      </c>
      <c r="N465" s="4" t="str">
        <f aca="false">IF(K465="","",A465)</f>
        <v/>
      </c>
      <c r="O465" s="4" t="n">
        <v>643</v>
      </c>
      <c r="P465" s="4" t="n">
        <f aca="false">IF(A465=A464,P464+1-M464,0)</f>
        <v>1</v>
      </c>
    </row>
    <row r="466" customFormat="false" ht="15" hidden="false" customHeight="false" outlineLevel="0" collapsed="false">
      <c r="A466" s="28" t="s">
        <v>3947</v>
      </c>
      <c r="B466" s="28" t="s">
        <v>51</v>
      </c>
      <c r="C466" s="28" t="s">
        <v>76</v>
      </c>
      <c r="D466" s="28" t="s">
        <v>3948</v>
      </c>
      <c r="E466" s="4" t="n">
        <v>5</v>
      </c>
      <c r="F466" s="4" t="s">
        <v>213</v>
      </c>
      <c r="G466" s="4" t="s">
        <v>473</v>
      </c>
      <c r="H466" s="4" t="n">
        <v>1968</v>
      </c>
      <c r="I466" s="4" t="s">
        <v>395</v>
      </c>
      <c r="J466" s="25" t="str">
        <f aca="false">IF(M466=1,"✓","")</f>
        <v>✓</v>
      </c>
      <c r="K466" s="4" t="str">
        <f aca="false">IF(AND(M466=0,P466=0),"▶ NEXT","")</f>
        <v/>
      </c>
      <c r="L466" s="4" t="n">
        <f aca="false">INDEX('Master List'!$F$2:$F$2594,O466)</f>
        <v>3</v>
      </c>
      <c r="M466" s="4" t="n">
        <f aca="false">INDEX('Master List'!$G$2:$G$2594,O466)</f>
        <v>1</v>
      </c>
      <c r="N466" s="4" t="str">
        <f aca="false">IF(K466="","",A466)</f>
        <v/>
      </c>
      <c r="O466" s="4" t="n">
        <v>1673</v>
      </c>
      <c r="P466" s="4" t="n">
        <f aca="false">IF(A466=A465,P465+1-M465,0)</f>
        <v>2</v>
      </c>
    </row>
    <row r="467" customFormat="false" ht="15" hidden="false" customHeight="false" outlineLevel="0" collapsed="false">
      <c r="A467" s="28" t="s">
        <v>3947</v>
      </c>
      <c r="B467" s="28" t="s">
        <v>51</v>
      </c>
      <c r="C467" s="28" t="s">
        <v>76</v>
      </c>
      <c r="D467" s="28" t="s">
        <v>3948</v>
      </c>
      <c r="E467" s="4" t="n">
        <v>6</v>
      </c>
      <c r="F467" s="4" t="s">
        <v>213</v>
      </c>
      <c r="G467" s="4" t="s">
        <v>667</v>
      </c>
      <c r="H467" s="4" t="n">
        <v>1968</v>
      </c>
      <c r="I467" s="4" t="s">
        <v>668</v>
      </c>
      <c r="J467" s="25" t="str">
        <f aca="false">IF(M467=1,"✓","")</f>
        <v/>
      </c>
      <c r="K467" s="4" t="str">
        <f aca="false">IF(AND(M467=0,P467=0),"▶ NEXT","")</f>
        <v/>
      </c>
      <c r="L467" s="4" t="n">
        <f aca="false">INDEX('Master List'!$F$2:$F$2594,O467)</f>
        <v>3</v>
      </c>
      <c r="M467" s="4" t="n">
        <f aca="false">INDEX('Master List'!$G$2:$G$2594,O467)</f>
        <v>0</v>
      </c>
      <c r="N467" s="4" t="str">
        <f aca="false">IF(K467="","",A467)</f>
        <v/>
      </c>
      <c r="O467" s="4" t="n">
        <v>956</v>
      </c>
      <c r="P467" s="4" t="n">
        <f aca="false">IF(A467=A466,P466+1-M466,0)</f>
        <v>2</v>
      </c>
    </row>
    <row r="468" customFormat="false" ht="15" hidden="false" customHeight="false" outlineLevel="0" collapsed="false">
      <c r="A468" s="28" t="s">
        <v>3947</v>
      </c>
      <c r="B468" s="28" t="s">
        <v>51</v>
      </c>
      <c r="C468" s="28" t="s">
        <v>76</v>
      </c>
      <c r="D468" s="28" t="s">
        <v>3948</v>
      </c>
      <c r="E468" s="4" t="n">
        <v>7</v>
      </c>
      <c r="F468" s="4" t="s">
        <v>213</v>
      </c>
      <c r="G468" s="4" t="s">
        <v>2091</v>
      </c>
      <c r="H468" s="4" t="n">
        <v>1967</v>
      </c>
      <c r="I468" s="4" t="s">
        <v>2092</v>
      </c>
      <c r="J468" s="25" t="str">
        <f aca="false">IF(M468=1,"✓","")</f>
        <v/>
      </c>
      <c r="K468" s="4" t="str">
        <f aca="false">IF(AND(M468=0,P468=0),"▶ NEXT","")</f>
        <v/>
      </c>
      <c r="L468" s="4" t="n">
        <f aca="false">INDEX('Master List'!$F$2:$F$2594,O468)</f>
        <v>1</v>
      </c>
      <c r="M468" s="4" t="n">
        <f aca="false">INDEX('Master List'!$G$2:$G$2594,O468)</f>
        <v>0</v>
      </c>
      <c r="N468" s="4" t="str">
        <f aca="false">IF(K468="","",A468)</f>
        <v/>
      </c>
      <c r="O468" s="4" t="n">
        <v>242</v>
      </c>
      <c r="P468" s="4" t="n">
        <f aca="false">IF(A468=A467,P467+1-M467,0)</f>
        <v>3</v>
      </c>
    </row>
    <row r="469" customFormat="false" ht="15" hidden="false" customHeight="false" outlineLevel="0" collapsed="false">
      <c r="A469" s="28" t="s">
        <v>3947</v>
      </c>
      <c r="B469" s="28" t="s">
        <v>51</v>
      </c>
      <c r="C469" s="28" t="s">
        <v>76</v>
      </c>
      <c r="D469" s="28" t="s">
        <v>3948</v>
      </c>
      <c r="E469" s="4" t="n">
        <v>8</v>
      </c>
      <c r="F469" s="4" t="s">
        <v>213</v>
      </c>
      <c r="G469" s="4" t="s">
        <v>2093</v>
      </c>
      <c r="H469" s="4" t="n">
        <v>1967</v>
      </c>
      <c r="I469" s="4" t="s">
        <v>2094</v>
      </c>
      <c r="J469" s="25" t="str">
        <f aca="false">IF(M469=1,"✓","")</f>
        <v/>
      </c>
      <c r="K469" s="4" t="str">
        <f aca="false">IF(AND(M469=0,P469=0),"▶ NEXT","")</f>
        <v/>
      </c>
      <c r="L469" s="4" t="n">
        <f aca="false">INDEX('Master List'!$F$2:$F$2594,O469)</f>
        <v>1</v>
      </c>
      <c r="M469" s="4" t="n">
        <f aca="false">INDEX('Master List'!$G$2:$G$2594,O469)</f>
        <v>0</v>
      </c>
      <c r="N469" s="4" t="str">
        <f aca="false">IF(K469="","",A469)</f>
        <v/>
      </c>
      <c r="O469" s="4" t="n">
        <v>366</v>
      </c>
      <c r="P469" s="4" t="n">
        <f aca="false">IF(A469=A468,P468+1-M468,0)</f>
        <v>4</v>
      </c>
    </row>
    <row r="470" customFormat="false" ht="15" hidden="false" customHeight="false" outlineLevel="0" collapsed="false">
      <c r="A470" s="28" t="s">
        <v>3947</v>
      </c>
      <c r="B470" s="28" t="s">
        <v>51</v>
      </c>
      <c r="C470" s="28" t="s">
        <v>76</v>
      </c>
      <c r="D470" s="28" t="s">
        <v>3948</v>
      </c>
      <c r="E470" s="4" t="n">
        <v>9</v>
      </c>
      <c r="F470" s="4" t="s">
        <v>213</v>
      </c>
      <c r="G470" s="4" t="s">
        <v>1011</v>
      </c>
      <c r="H470" s="4" t="n">
        <v>1971</v>
      </c>
      <c r="I470" s="4" t="s">
        <v>395</v>
      </c>
      <c r="J470" s="25" t="str">
        <f aca="false">IF(M470=1,"✓","")</f>
        <v/>
      </c>
      <c r="K470" s="4" t="str">
        <f aca="false">IF(AND(M470=0,P470=0),"▶ NEXT","")</f>
        <v/>
      </c>
      <c r="L470" s="4" t="n">
        <f aca="false">INDEX('Master List'!$F$2:$F$2594,O470)</f>
        <v>2</v>
      </c>
      <c r="M470" s="4" t="n">
        <f aca="false">INDEX('Master List'!$G$2:$G$2594,O470)</f>
        <v>0</v>
      </c>
      <c r="N470" s="4" t="str">
        <f aca="false">IF(K470="","",A470)</f>
        <v/>
      </c>
      <c r="O470" s="4" t="n">
        <v>687</v>
      </c>
      <c r="P470" s="4" t="n">
        <f aca="false">IF(A470=A469,P469+1-M469,0)</f>
        <v>5</v>
      </c>
    </row>
    <row r="471" customFormat="false" ht="15" hidden="false" customHeight="false" outlineLevel="0" collapsed="false">
      <c r="A471" s="28" t="s">
        <v>3947</v>
      </c>
      <c r="B471" s="28" t="s">
        <v>51</v>
      </c>
      <c r="C471" s="28" t="s">
        <v>76</v>
      </c>
      <c r="D471" s="28" t="s">
        <v>3948</v>
      </c>
      <c r="E471" s="4" t="n">
        <v>10</v>
      </c>
      <c r="F471" s="4" t="s">
        <v>1327</v>
      </c>
      <c r="G471" s="4" t="s">
        <v>3446</v>
      </c>
      <c r="H471" s="4" t="n">
        <v>1967</v>
      </c>
      <c r="I471" s="4" t="s">
        <v>3447</v>
      </c>
      <c r="J471" s="25" t="str">
        <f aca="false">IF(M471=1,"✓","")</f>
        <v/>
      </c>
      <c r="K471" s="4" t="str">
        <f aca="false">IF(AND(M471=0,P471=0),"▶ NEXT","")</f>
        <v/>
      </c>
      <c r="L471" s="4" t="n">
        <f aca="false">INDEX('Master List'!$F$2:$F$2594,O471)</f>
        <v>1</v>
      </c>
      <c r="M471" s="4" t="n">
        <f aca="false">INDEX('Master List'!$G$2:$G$2594,O471)</f>
        <v>0</v>
      </c>
      <c r="N471" s="4" t="str">
        <f aca="false">IF(K471="","",A471)</f>
        <v/>
      </c>
      <c r="O471" s="4" t="n">
        <v>597</v>
      </c>
      <c r="P471" s="4" t="n">
        <f aca="false">IF(A471=A470,P470+1-M470,0)</f>
        <v>6</v>
      </c>
    </row>
    <row r="472" customFormat="false" ht="15" hidden="false" customHeight="false" outlineLevel="0" collapsed="false">
      <c r="A472" s="28" t="s">
        <v>3947</v>
      </c>
      <c r="B472" s="28" t="s">
        <v>51</v>
      </c>
      <c r="C472" s="28" t="s">
        <v>76</v>
      </c>
      <c r="D472" s="28" t="s">
        <v>3948</v>
      </c>
      <c r="E472" s="4" t="n">
        <v>11</v>
      </c>
      <c r="F472" s="4" t="s">
        <v>1327</v>
      </c>
      <c r="G472" s="4" t="s">
        <v>3548</v>
      </c>
      <c r="H472" s="4" t="n">
        <v>1976</v>
      </c>
      <c r="I472" s="4" t="s">
        <v>2239</v>
      </c>
      <c r="J472" s="25" t="str">
        <f aca="false">IF(M472=1,"✓","")</f>
        <v/>
      </c>
      <c r="K472" s="4" t="str">
        <f aca="false">IF(AND(M472=0,P472=0),"▶ NEXT","")</f>
        <v/>
      </c>
      <c r="L472" s="4" t="n">
        <f aca="false">INDEX('Master List'!$F$2:$F$2594,O472)</f>
        <v>1</v>
      </c>
      <c r="M472" s="4" t="n">
        <f aca="false">INDEX('Master List'!$G$2:$G$2594,O472)</f>
        <v>0</v>
      </c>
      <c r="N472" s="4" t="str">
        <f aca="false">IF(K472="","",A472)</f>
        <v/>
      </c>
      <c r="O472" s="4" t="n">
        <v>1235</v>
      </c>
      <c r="P472" s="4" t="n">
        <f aca="false">IF(A472=A471,P471+1-M471,0)</f>
        <v>7</v>
      </c>
    </row>
    <row r="473" customFormat="false" ht="15" hidden="false" customHeight="false" outlineLevel="0" collapsed="false">
      <c r="A473" s="28" t="s">
        <v>3947</v>
      </c>
      <c r="B473" s="28" t="s">
        <v>51</v>
      </c>
      <c r="C473" s="28" t="s">
        <v>76</v>
      </c>
      <c r="D473" s="28" t="s">
        <v>3948</v>
      </c>
      <c r="E473" s="4" t="n">
        <v>12</v>
      </c>
      <c r="F473" s="4" t="s">
        <v>1327</v>
      </c>
      <c r="G473" s="4" t="s">
        <v>3468</v>
      </c>
      <c r="H473" s="4" t="n">
        <v>1970</v>
      </c>
      <c r="I473" s="4" t="s">
        <v>668</v>
      </c>
      <c r="J473" s="25" t="str">
        <f aca="false">IF(M473=1,"✓","")</f>
        <v/>
      </c>
      <c r="K473" s="4" t="str">
        <f aca="false">IF(AND(M473=0,P473=0),"▶ NEXT","")</f>
        <v/>
      </c>
      <c r="L473" s="4" t="n">
        <f aca="false">INDEX('Master List'!$F$2:$F$2594,O473)</f>
        <v>1</v>
      </c>
      <c r="M473" s="4" t="n">
        <f aca="false">INDEX('Master List'!$G$2:$G$2594,O473)</f>
        <v>0</v>
      </c>
      <c r="N473" s="4" t="str">
        <f aca="false">IF(K473="","",A473)</f>
        <v/>
      </c>
      <c r="O473" s="4" t="n">
        <v>508</v>
      </c>
      <c r="P473" s="4" t="n">
        <f aca="false">IF(A473=A472,P472+1-M472,0)</f>
        <v>8</v>
      </c>
    </row>
    <row r="474" customFormat="false" ht="15" hidden="false" customHeight="false" outlineLevel="0" collapsed="false">
      <c r="A474" s="28" t="s">
        <v>3949</v>
      </c>
      <c r="B474" s="28" t="s">
        <v>51</v>
      </c>
      <c r="C474" s="28" t="s">
        <v>76</v>
      </c>
      <c r="D474" s="28" t="s">
        <v>3950</v>
      </c>
      <c r="E474" s="4" t="n">
        <v>1</v>
      </c>
      <c r="F474" s="4" t="s">
        <v>144</v>
      </c>
      <c r="G474" s="7" t="s">
        <v>784</v>
      </c>
      <c r="H474" s="4" t="n">
        <v>1970</v>
      </c>
      <c r="I474" s="4" t="s">
        <v>677</v>
      </c>
      <c r="J474" s="25" t="str">
        <f aca="false">IF(M474=1,"✓","")</f>
        <v/>
      </c>
      <c r="K474" s="4" t="str">
        <f aca="false">IF(AND(M474=0,P474=0),"▶ NEXT","")</f>
        <v>▶ NEXT</v>
      </c>
      <c r="L474" s="4" t="n">
        <f aca="false">INDEX('Master List'!$F$2:$F$2594,O474)</f>
        <v>2</v>
      </c>
      <c r="M474" s="4" t="n">
        <f aca="false">INDEX('Master List'!$G$2:$G$2594,O474)</f>
        <v>0</v>
      </c>
      <c r="N474" s="4" t="str">
        <f aca="false">IF(K474="","",A474)</f>
        <v>N038</v>
      </c>
      <c r="O474" s="4" t="n">
        <v>254</v>
      </c>
      <c r="P474" s="4" t="n">
        <f aca="false">IF(A474=A473,P473+1-M473,0)</f>
        <v>0</v>
      </c>
    </row>
    <row r="475" customFormat="false" ht="15" hidden="false" customHeight="false" outlineLevel="0" collapsed="false">
      <c r="A475" s="28" t="s">
        <v>3949</v>
      </c>
      <c r="B475" s="28" t="s">
        <v>51</v>
      </c>
      <c r="C475" s="28" t="s">
        <v>76</v>
      </c>
      <c r="D475" s="28" t="s">
        <v>3950</v>
      </c>
      <c r="E475" s="4" t="n">
        <v>2</v>
      </c>
      <c r="F475" s="4" t="s">
        <v>144</v>
      </c>
      <c r="G475" s="7" t="s">
        <v>676</v>
      </c>
      <c r="H475" s="4" t="n">
        <v>1975</v>
      </c>
      <c r="I475" s="4" t="s">
        <v>677</v>
      </c>
      <c r="J475" s="25" t="str">
        <f aca="false">IF(M475=1,"✓","")</f>
        <v/>
      </c>
      <c r="K475" s="4" t="str">
        <f aca="false">IF(AND(M475=0,P475=0),"▶ NEXT","")</f>
        <v/>
      </c>
      <c r="L475" s="4" t="n">
        <f aca="false">INDEX('Master List'!$F$2:$F$2594,O475)</f>
        <v>2</v>
      </c>
      <c r="M475" s="4" t="n">
        <f aca="false">INDEX('Master List'!$G$2:$G$2594,O475)</f>
        <v>0</v>
      </c>
      <c r="N475" s="4" t="str">
        <f aca="false">IF(K475="","",A475)</f>
        <v/>
      </c>
      <c r="O475" s="4" t="n">
        <v>604</v>
      </c>
      <c r="P475" s="4" t="n">
        <f aca="false">IF(A475=A474,P474+1-M474,0)</f>
        <v>1</v>
      </c>
    </row>
    <row r="476" customFormat="false" ht="15" hidden="false" customHeight="false" outlineLevel="0" collapsed="false">
      <c r="A476" s="28" t="s">
        <v>3949</v>
      </c>
      <c r="B476" s="28" t="s">
        <v>51</v>
      </c>
      <c r="C476" s="28" t="s">
        <v>76</v>
      </c>
      <c r="D476" s="28" t="s">
        <v>3950</v>
      </c>
      <c r="E476" s="4" t="n">
        <v>3</v>
      </c>
      <c r="F476" s="4" t="s">
        <v>213</v>
      </c>
      <c r="G476" s="4" t="s">
        <v>2020</v>
      </c>
      <c r="H476" s="4" t="n">
        <v>1963</v>
      </c>
      <c r="I476" s="4" t="s">
        <v>761</v>
      </c>
      <c r="J476" s="25" t="str">
        <f aca="false">IF(M476=1,"✓","")</f>
        <v/>
      </c>
      <c r="K476" s="4" t="str">
        <f aca="false">IF(AND(M476=0,P476=0),"▶ NEXT","")</f>
        <v/>
      </c>
      <c r="L476" s="4" t="n">
        <f aca="false">INDEX('Master List'!$F$2:$F$2594,O476)</f>
        <v>1</v>
      </c>
      <c r="M476" s="4" t="n">
        <f aca="false">INDEX('Master List'!$G$2:$G$2594,O476)</f>
        <v>0</v>
      </c>
      <c r="N476" s="4" t="str">
        <f aca="false">IF(K476="","",A476)</f>
        <v/>
      </c>
      <c r="O476" s="4" t="n">
        <v>900</v>
      </c>
      <c r="P476" s="4" t="n">
        <f aca="false">IF(A476=A475,P475+1-M475,0)</f>
        <v>2</v>
      </c>
    </row>
    <row r="477" customFormat="false" ht="15" hidden="false" customHeight="false" outlineLevel="0" collapsed="false">
      <c r="A477" s="28" t="s">
        <v>3949</v>
      </c>
      <c r="B477" s="28" t="s">
        <v>51</v>
      </c>
      <c r="C477" s="28" t="s">
        <v>76</v>
      </c>
      <c r="D477" s="28" t="s">
        <v>3950</v>
      </c>
      <c r="E477" s="4" t="n">
        <v>4</v>
      </c>
      <c r="F477" s="4" t="s">
        <v>213</v>
      </c>
      <c r="G477" s="4" t="s">
        <v>976</v>
      </c>
      <c r="H477" s="4" t="n">
        <v>1964</v>
      </c>
      <c r="I477" s="4" t="s">
        <v>761</v>
      </c>
      <c r="J477" s="25" t="str">
        <f aca="false">IF(M477=1,"✓","")</f>
        <v/>
      </c>
      <c r="K477" s="4" t="str">
        <f aca="false">IF(AND(M477=0,P477=0),"▶ NEXT","")</f>
        <v/>
      </c>
      <c r="L477" s="4" t="n">
        <f aca="false">INDEX('Master List'!$F$2:$F$2594,O477)</f>
        <v>2</v>
      </c>
      <c r="M477" s="4" t="n">
        <f aca="false">INDEX('Master List'!$G$2:$G$2594,O477)</f>
        <v>0</v>
      </c>
      <c r="N477" s="4" t="str">
        <f aca="false">IF(K477="","",A477)</f>
        <v/>
      </c>
      <c r="O477" s="4" t="n">
        <v>289</v>
      </c>
      <c r="P477" s="4" t="n">
        <f aca="false">IF(A477=A476,P476+1-M476,0)</f>
        <v>3</v>
      </c>
    </row>
    <row r="478" customFormat="false" ht="15" hidden="false" customHeight="false" outlineLevel="0" collapsed="false">
      <c r="A478" s="28" t="s">
        <v>3949</v>
      </c>
      <c r="B478" s="28" t="s">
        <v>51</v>
      </c>
      <c r="C478" s="28" t="s">
        <v>76</v>
      </c>
      <c r="D478" s="28" t="s">
        <v>3950</v>
      </c>
      <c r="E478" s="4" t="n">
        <v>5</v>
      </c>
      <c r="F478" s="4" t="s">
        <v>213</v>
      </c>
      <c r="G478" s="4" t="s">
        <v>1345</v>
      </c>
      <c r="H478" s="4" t="n">
        <v>1971</v>
      </c>
      <c r="I478" s="4" t="s">
        <v>1346</v>
      </c>
      <c r="J478" s="25" t="str">
        <f aca="false">IF(M478=1,"✓","")</f>
        <v/>
      </c>
      <c r="K478" s="4" t="str">
        <f aca="false">IF(AND(M478=0,P478=0),"▶ NEXT","")</f>
        <v/>
      </c>
      <c r="L478" s="4" t="n">
        <f aca="false">INDEX('Master List'!$F$2:$F$2594,O478)</f>
        <v>2</v>
      </c>
      <c r="M478" s="4" t="n">
        <f aca="false">INDEX('Master List'!$G$2:$G$2594,O478)</f>
        <v>0</v>
      </c>
      <c r="N478" s="4" t="str">
        <f aca="false">IF(K478="","",A478)</f>
        <v/>
      </c>
      <c r="O478" s="4" t="n">
        <v>2174</v>
      </c>
      <c r="P478" s="4" t="n">
        <f aca="false">IF(A478=A477,P477+1-M477,0)</f>
        <v>4</v>
      </c>
    </row>
    <row r="479" customFormat="false" ht="15" hidden="false" customHeight="false" outlineLevel="0" collapsed="false">
      <c r="A479" s="28" t="s">
        <v>3949</v>
      </c>
      <c r="B479" s="28" t="s">
        <v>51</v>
      </c>
      <c r="C479" s="28" t="s">
        <v>76</v>
      </c>
      <c r="D479" s="28" t="s">
        <v>3950</v>
      </c>
      <c r="E479" s="4" t="n">
        <v>6</v>
      </c>
      <c r="F479" s="4" t="s">
        <v>213</v>
      </c>
      <c r="G479" s="4" t="s">
        <v>2167</v>
      </c>
      <c r="H479" s="4" t="n">
        <v>1971</v>
      </c>
      <c r="I479" s="4" t="s">
        <v>761</v>
      </c>
      <c r="J479" s="25" t="str">
        <f aca="false">IF(M479=1,"✓","")</f>
        <v/>
      </c>
      <c r="K479" s="4" t="str">
        <f aca="false">IF(AND(M479=0,P479=0),"▶ NEXT","")</f>
        <v/>
      </c>
      <c r="L479" s="4" t="n">
        <f aca="false">INDEX('Master List'!$F$2:$F$2594,O479)</f>
        <v>1</v>
      </c>
      <c r="M479" s="4" t="n">
        <f aca="false">INDEX('Master List'!$G$2:$G$2594,O479)</f>
        <v>0</v>
      </c>
      <c r="N479" s="4" t="str">
        <f aca="false">IF(K479="","",A479)</f>
        <v/>
      </c>
      <c r="O479" s="4" t="n">
        <v>200</v>
      </c>
      <c r="P479" s="4" t="n">
        <f aca="false">IF(A479=A478,P478+1-M478,0)</f>
        <v>5</v>
      </c>
    </row>
    <row r="480" customFormat="false" ht="15" hidden="false" customHeight="false" outlineLevel="0" collapsed="false">
      <c r="A480" s="28" t="s">
        <v>3949</v>
      </c>
      <c r="B480" s="28" t="s">
        <v>51</v>
      </c>
      <c r="C480" s="28" t="s">
        <v>76</v>
      </c>
      <c r="D480" s="28" t="s">
        <v>3950</v>
      </c>
      <c r="E480" s="4" t="n">
        <v>7</v>
      </c>
      <c r="F480" s="4" t="s">
        <v>213</v>
      </c>
      <c r="G480" s="4" t="s">
        <v>2194</v>
      </c>
      <c r="H480" s="4" t="n">
        <v>1972</v>
      </c>
      <c r="I480" s="4" t="s">
        <v>709</v>
      </c>
      <c r="J480" s="25" t="str">
        <f aca="false">IF(M480=1,"✓","")</f>
        <v/>
      </c>
      <c r="K480" s="4" t="str">
        <f aca="false">IF(AND(M480=0,P480=0),"▶ NEXT","")</f>
        <v/>
      </c>
      <c r="L480" s="4" t="n">
        <f aca="false">INDEX('Master List'!$F$2:$F$2594,O480)</f>
        <v>1</v>
      </c>
      <c r="M480" s="4" t="n">
        <f aca="false">INDEX('Master List'!$G$2:$G$2594,O480)</f>
        <v>0</v>
      </c>
      <c r="N480" s="4" t="str">
        <f aca="false">IF(K480="","",A480)</f>
        <v/>
      </c>
      <c r="O480" s="4" t="n">
        <v>660</v>
      </c>
      <c r="P480" s="4" t="n">
        <f aca="false">IF(A480=A479,P479+1-M479,0)</f>
        <v>6</v>
      </c>
    </row>
    <row r="481" customFormat="false" ht="15" hidden="false" customHeight="false" outlineLevel="0" collapsed="false">
      <c r="A481" s="28" t="s">
        <v>3949</v>
      </c>
      <c r="B481" s="28" t="s">
        <v>51</v>
      </c>
      <c r="C481" s="28" t="s">
        <v>76</v>
      </c>
      <c r="D481" s="28" t="s">
        <v>3950</v>
      </c>
      <c r="E481" s="4" t="n">
        <v>8</v>
      </c>
      <c r="F481" s="4" t="s">
        <v>213</v>
      </c>
      <c r="G481" s="4" t="s">
        <v>2195</v>
      </c>
      <c r="H481" s="4" t="n">
        <v>1972</v>
      </c>
      <c r="I481" s="4" t="s">
        <v>1346</v>
      </c>
      <c r="J481" s="25" t="str">
        <f aca="false">IF(M481=1,"✓","")</f>
        <v/>
      </c>
      <c r="K481" s="4" t="str">
        <f aca="false">IF(AND(M481=0,P481=0),"▶ NEXT","")</f>
        <v/>
      </c>
      <c r="L481" s="4" t="n">
        <f aca="false">INDEX('Master List'!$F$2:$F$2594,O481)</f>
        <v>1</v>
      </c>
      <c r="M481" s="4" t="n">
        <f aca="false">INDEX('Master List'!$G$2:$G$2594,O481)</f>
        <v>0</v>
      </c>
      <c r="N481" s="4" t="str">
        <f aca="false">IF(K481="","",A481)</f>
        <v/>
      </c>
      <c r="O481" s="4" t="n">
        <v>76</v>
      </c>
      <c r="P481" s="4" t="n">
        <f aca="false">IF(A481=A480,P480+1-M480,0)</f>
        <v>7</v>
      </c>
    </row>
    <row r="482" customFormat="false" ht="15" hidden="false" customHeight="false" outlineLevel="0" collapsed="false">
      <c r="A482" s="28" t="s">
        <v>3949</v>
      </c>
      <c r="B482" s="28" t="s">
        <v>51</v>
      </c>
      <c r="C482" s="28" t="s">
        <v>76</v>
      </c>
      <c r="D482" s="28" t="s">
        <v>3950</v>
      </c>
      <c r="E482" s="4" t="n">
        <v>9</v>
      </c>
      <c r="F482" s="4" t="s">
        <v>213</v>
      </c>
      <c r="G482" s="4" t="s">
        <v>2196</v>
      </c>
      <c r="H482" s="4" t="n">
        <v>1972</v>
      </c>
      <c r="I482" s="4" t="s">
        <v>2197</v>
      </c>
      <c r="J482" s="25" t="str">
        <f aca="false">IF(M482=1,"✓","")</f>
        <v/>
      </c>
      <c r="K482" s="4" t="str">
        <f aca="false">IF(AND(M482=0,P482=0),"▶ NEXT","")</f>
        <v/>
      </c>
      <c r="L482" s="4" t="n">
        <f aca="false">INDEX('Master List'!$F$2:$F$2594,O482)</f>
        <v>1</v>
      </c>
      <c r="M482" s="4" t="n">
        <f aca="false">INDEX('Master List'!$G$2:$G$2594,O482)</f>
        <v>0</v>
      </c>
      <c r="N482" s="4" t="str">
        <f aca="false">IF(K482="","",A482)</f>
        <v/>
      </c>
      <c r="O482" s="4" t="n">
        <v>2487</v>
      </c>
      <c r="P482" s="4" t="n">
        <f aca="false">IF(A482=A481,P481+1-M481,0)</f>
        <v>8</v>
      </c>
    </row>
    <row r="483" customFormat="false" ht="15" hidden="false" customHeight="false" outlineLevel="0" collapsed="false">
      <c r="A483" s="28" t="s">
        <v>3949</v>
      </c>
      <c r="B483" s="28" t="s">
        <v>51</v>
      </c>
      <c r="C483" s="28" t="s">
        <v>76</v>
      </c>
      <c r="D483" s="28" t="s">
        <v>3950</v>
      </c>
      <c r="E483" s="4" t="n">
        <v>10</v>
      </c>
      <c r="F483" s="4" t="s">
        <v>213</v>
      </c>
      <c r="G483" s="4" t="s">
        <v>2217</v>
      </c>
      <c r="H483" s="4" t="n">
        <v>1973</v>
      </c>
      <c r="I483" s="4" t="s">
        <v>1346</v>
      </c>
      <c r="J483" s="25" t="str">
        <f aca="false">IF(M483=1,"✓","")</f>
        <v/>
      </c>
      <c r="K483" s="4" t="str">
        <f aca="false">IF(AND(M483=0,P483=0),"▶ NEXT","")</f>
        <v/>
      </c>
      <c r="L483" s="4" t="n">
        <f aca="false">INDEX('Master List'!$F$2:$F$2594,O483)</f>
        <v>1</v>
      </c>
      <c r="M483" s="4" t="n">
        <f aca="false">INDEX('Master List'!$G$2:$G$2594,O483)</f>
        <v>0</v>
      </c>
      <c r="N483" s="4" t="str">
        <f aca="false">IF(K483="","",A483)</f>
        <v/>
      </c>
      <c r="O483" s="4" t="n">
        <v>2342</v>
      </c>
      <c r="P483" s="4" t="n">
        <f aca="false">IF(A483=A482,P482+1-M482,0)</f>
        <v>9</v>
      </c>
    </row>
    <row r="484" customFormat="false" ht="15" hidden="false" customHeight="false" outlineLevel="0" collapsed="false">
      <c r="A484" s="28" t="s">
        <v>3949</v>
      </c>
      <c r="B484" s="28" t="s">
        <v>51</v>
      </c>
      <c r="C484" s="28" t="s">
        <v>76</v>
      </c>
      <c r="D484" s="28" t="s">
        <v>3950</v>
      </c>
      <c r="E484" s="4" t="n">
        <v>11</v>
      </c>
      <c r="F484" s="4" t="s">
        <v>213</v>
      </c>
      <c r="G484" s="4" t="s">
        <v>1059</v>
      </c>
      <c r="H484" s="4" t="n">
        <v>1982</v>
      </c>
      <c r="I484" s="4" t="s">
        <v>677</v>
      </c>
      <c r="J484" s="25" t="str">
        <f aca="false">IF(M484=1,"✓","")</f>
        <v/>
      </c>
      <c r="K484" s="4" t="str">
        <f aca="false">IF(AND(M484=0,P484=0),"▶ NEXT","")</f>
        <v/>
      </c>
      <c r="L484" s="4" t="n">
        <f aca="false">INDEX('Master List'!$F$2:$F$2594,O484)</f>
        <v>2</v>
      </c>
      <c r="M484" s="4" t="n">
        <f aca="false">INDEX('Master List'!$G$2:$G$2594,O484)</f>
        <v>0</v>
      </c>
      <c r="N484" s="4" t="str">
        <f aca="false">IF(K484="","",A484)</f>
        <v/>
      </c>
      <c r="O484" s="4" t="n">
        <v>2251</v>
      </c>
      <c r="P484" s="4" t="n">
        <f aca="false">IF(A484=A483,P483+1-M483,0)</f>
        <v>10</v>
      </c>
    </row>
    <row r="485" customFormat="false" ht="15" hidden="false" customHeight="false" outlineLevel="0" collapsed="false">
      <c r="A485" s="28" t="s">
        <v>3949</v>
      </c>
      <c r="B485" s="28" t="s">
        <v>51</v>
      </c>
      <c r="C485" s="28" t="s">
        <v>76</v>
      </c>
      <c r="D485" s="28" t="s">
        <v>3950</v>
      </c>
      <c r="E485" s="4" t="n">
        <v>12</v>
      </c>
      <c r="F485" s="4" t="s">
        <v>1327</v>
      </c>
      <c r="G485" s="4" t="s">
        <v>3549</v>
      </c>
      <c r="H485" s="4" t="n">
        <v>1976</v>
      </c>
      <c r="I485" s="4" t="s">
        <v>3550</v>
      </c>
      <c r="J485" s="25" t="str">
        <f aca="false">IF(M485=1,"✓","")</f>
        <v/>
      </c>
      <c r="K485" s="4" t="str">
        <f aca="false">IF(AND(M485=0,P485=0),"▶ NEXT","")</f>
        <v/>
      </c>
      <c r="L485" s="4" t="n">
        <f aca="false">INDEX('Master List'!$F$2:$F$2594,O485)</f>
        <v>1</v>
      </c>
      <c r="M485" s="4" t="n">
        <f aca="false">INDEX('Master List'!$G$2:$G$2594,O485)</f>
        <v>0</v>
      </c>
      <c r="N485" s="4" t="str">
        <f aca="false">IF(K485="","",A485)</f>
        <v/>
      </c>
      <c r="O485" s="4" t="n">
        <v>1076</v>
      </c>
      <c r="P485" s="4" t="n">
        <f aca="false">IF(A485=A484,P484+1-M484,0)</f>
        <v>11</v>
      </c>
    </row>
    <row r="486" customFormat="false" ht="15" hidden="false" customHeight="false" outlineLevel="0" collapsed="false">
      <c r="A486" s="28" t="s">
        <v>3949</v>
      </c>
      <c r="B486" s="28" t="s">
        <v>51</v>
      </c>
      <c r="C486" s="28" t="s">
        <v>76</v>
      </c>
      <c r="D486" s="28" t="s">
        <v>3950</v>
      </c>
      <c r="E486" s="4" t="n">
        <v>13</v>
      </c>
      <c r="F486" s="4" t="s">
        <v>1327</v>
      </c>
      <c r="G486" s="4" t="s">
        <v>3483</v>
      </c>
      <c r="H486" s="4" t="n">
        <v>1971</v>
      </c>
      <c r="I486" s="4" t="s">
        <v>3484</v>
      </c>
      <c r="J486" s="25" t="str">
        <f aca="false">IF(M486=1,"✓","")</f>
        <v/>
      </c>
      <c r="K486" s="4" t="str">
        <f aca="false">IF(AND(M486=0,P486=0),"▶ NEXT","")</f>
        <v/>
      </c>
      <c r="L486" s="4" t="n">
        <f aca="false">INDEX('Master List'!$F$2:$F$2594,O486)</f>
        <v>1</v>
      </c>
      <c r="M486" s="4" t="n">
        <f aca="false">INDEX('Master List'!$G$2:$G$2594,O486)</f>
        <v>0</v>
      </c>
      <c r="N486" s="4" t="str">
        <f aca="false">IF(K486="","",A486)</f>
        <v/>
      </c>
      <c r="O486" s="4" t="n">
        <v>2061</v>
      </c>
      <c r="P486" s="4" t="n">
        <f aca="false">IF(A486=A485,P485+1-M485,0)</f>
        <v>12</v>
      </c>
    </row>
    <row r="487" customFormat="false" ht="15" hidden="false" customHeight="false" outlineLevel="0" collapsed="false">
      <c r="A487" s="28" t="s">
        <v>3949</v>
      </c>
      <c r="B487" s="28" t="s">
        <v>51</v>
      </c>
      <c r="C487" s="28" t="s">
        <v>76</v>
      </c>
      <c r="D487" s="28" t="s">
        <v>3950</v>
      </c>
      <c r="E487" s="4" t="n">
        <v>14</v>
      </c>
      <c r="F487" s="4" t="s">
        <v>1327</v>
      </c>
      <c r="G487" s="4" t="s">
        <v>3496</v>
      </c>
      <c r="H487" s="4" t="n">
        <v>1972</v>
      </c>
      <c r="I487" s="4" t="s">
        <v>1346</v>
      </c>
      <c r="J487" s="25" t="str">
        <f aca="false">IF(M487=1,"✓","")</f>
        <v/>
      </c>
      <c r="K487" s="4" t="str">
        <f aca="false">IF(AND(M487=0,P487=0),"▶ NEXT","")</f>
        <v/>
      </c>
      <c r="L487" s="4" t="n">
        <f aca="false">INDEX('Master List'!$F$2:$F$2594,O487)</f>
        <v>1</v>
      </c>
      <c r="M487" s="4" t="n">
        <f aca="false">INDEX('Master List'!$G$2:$G$2594,O487)</f>
        <v>0</v>
      </c>
      <c r="N487" s="4" t="str">
        <f aca="false">IF(K487="","",A487)</f>
        <v/>
      </c>
      <c r="O487" s="4" t="n">
        <v>2578</v>
      </c>
      <c r="P487" s="4" t="n">
        <f aca="false">IF(A487=A486,P486+1-M486,0)</f>
        <v>13</v>
      </c>
    </row>
    <row r="488" customFormat="false" ht="15" hidden="false" customHeight="false" outlineLevel="0" collapsed="false">
      <c r="A488" s="28" t="s">
        <v>3951</v>
      </c>
      <c r="B488" s="28" t="s">
        <v>51</v>
      </c>
      <c r="C488" s="28" t="s">
        <v>76</v>
      </c>
      <c r="D488" s="28" t="s">
        <v>3952</v>
      </c>
      <c r="E488" s="4" t="n">
        <v>1</v>
      </c>
      <c r="F488" s="4" t="s">
        <v>144</v>
      </c>
      <c r="G488" s="7" t="s">
        <v>760</v>
      </c>
      <c r="H488" s="4" t="n">
        <v>1960</v>
      </c>
      <c r="I488" s="4" t="s">
        <v>761</v>
      </c>
      <c r="J488" s="25" t="str">
        <f aca="false">IF(M488=1,"✓","")</f>
        <v/>
      </c>
      <c r="K488" s="4" t="str">
        <f aca="false">IF(AND(M488=0,P488=0),"▶ NEXT","")</f>
        <v>▶ NEXT</v>
      </c>
      <c r="L488" s="4" t="n">
        <f aca="false">INDEX('Master List'!$F$2:$F$2594,O488)</f>
        <v>2</v>
      </c>
      <c r="M488" s="4" t="n">
        <f aca="false">INDEX('Master List'!$G$2:$G$2594,O488)</f>
        <v>0</v>
      </c>
      <c r="N488" s="4" t="str">
        <f aca="false">IF(K488="","",A488)</f>
        <v>N039</v>
      </c>
      <c r="O488" s="4" t="n">
        <v>273</v>
      </c>
      <c r="P488" s="4" t="n">
        <f aca="false">IF(A488=A487,P487+1-M487,0)</f>
        <v>0</v>
      </c>
    </row>
    <row r="489" customFormat="false" ht="15" hidden="false" customHeight="false" outlineLevel="0" collapsed="false">
      <c r="A489" s="28" t="s">
        <v>3951</v>
      </c>
      <c r="B489" s="28" t="s">
        <v>51</v>
      </c>
      <c r="C489" s="28" t="s">
        <v>76</v>
      </c>
      <c r="D489" s="28" t="s">
        <v>3952</v>
      </c>
      <c r="E489" s="4" t="n">
        <v>2</v>
      </c>
      <c r="F489" s="4" t="s">
        <v>144</v>
      </c>
      <c r="G489" s="7" t="s">
        <v>1509</v>
      </c>
      <c r="H489" s="4" t="n">
        <v>1977</v>
      </c>
      <c r="I489" s="4" t="s">
        <v>677</v>
      </c>
      <c r="J489" s="25" t="str">
        <f aca="false">IF(M489=1,"✓","")</f>
        <v/>
      </c>
      <c r="K489" s="4" t="str">
        <f aca="false">IF(AND(M489=0,P489=0),"▶ NEXT","")</f>
        <v/>
      </c>
      <c r="L489" s="4" t="n">
        <f aca="false">INDEX('Master List'!$F$2:$F$2594,O489)</f>
        <v>1</v>
      </c>
      <c r="M489" s="4" t="n">
        <f aca="false">INDEX('Master List'!$G$2:$G$2594,O489)</f>
        <v>0</v>
      </c>
      <c r="N489" s="4" t="str">
        <f aca="false">IF(K489="","",A489)</f>
        <v/>
      </c>
      <c r="O489" s="4" t="n">
        <v>2210</v>
      </c>
      <c r="P489" s="4" t="n">
        <f aca="false">IF(A489=A488,P488+1-M488,0)</f>
        <v>1</v>
      </c>
    </row>
    <row r="490" customFormat="false" ht="15" hidden="false" customHeight="false" outlineLevel="0" collapsed="false">
      <c r="A490" s="28" t="s">
        <v>3951</v>
      </c>
      <c r="B490" s="28" t="s">
        <v>51</v>
      </c>
      <c r="C490" s="28" t="s">
        <v>76</v>
      </c>
      <c r="D490" s="28" t="s">
        <v>3952</v>
      </c>
      <c r="E490" s="4" t="n">
        <v>3</v>
      </c>
      <c r="F490" s="4" t="s">
        <v>213</v>
      </c>
      <c r="G490" s="4" t="s">
        <v>967</v>
      </c>
      <c r="H490" s="4" t="n">
        <v>1963</v>
      </c>
      <c r="I490" s="4" t="s">
        <v>761</v>
      </c>
      <c r="J490" s="25" t="str">
        <f aca="false">IF(M490=1,"✓","")</f>
        <v/>
      </c>
      <c r="K490" s="4" t="str">
        <f aca="false">IF(AND(M490=0,P490=0),"▶ NEXT","")</f>
        <v/>
      </c>
      <c r="L490" s="4" t="n">
        <f aca="false">INDEX('Master List'!$F$2:$F$2594,O490)</f>
        <v>2</v>
      </c>
      <c r="M490" s="4" t="n">
        <f aca="false">INDEX('Master List'!$G$2:$G$2594,O490)</f>
        <v>0</v>
      </c>
      <c r="N490" s="4" t="str">
        <f aca="false">IF(K490="","",A490)</f>
        <v/>
      </c>
      <c r="O490" s="4" t="n">
        <v>271</v>
      </c>
      <c r="P490" s="4" t="n">
        <f aca="false">IF(A490=A489,P489+1-M489,0)</f>
        <v>2</v>
      </c>
    </row>
    <row r="491" customFormat="false" ht="15" hidden="false" customHeight="false" outlineLevel="0" collapsed="false">
      <c r="A491" s="28" t="s">
        <v>3951</v>
      </c>
      <c r="B491" s="28" t="s">
        <v>51</v>
      </c>
      <c r="C491" s="28" t="s">
        <v>76</v>
      </c>
      <c r="D491" s="28" t="s">
        <v>3952</v>
      </c>
      <c r="E491" s="4" t="n">
        <v>4</v>
      </c>
      <c r="F491" s="4" t="s">
        <v>213</v>
      </c>
      <c r="G491" s="4" t="s">
        <v>2077</v>
      </c>
      <c r="H491" s="4" t="n">
        <v>1966</v>
      </c>
      <c r="I491" s="4" t="s">
        <v>761</v>
      </c>
      <c r="J491" s="25" t="str">
        <f aca="false">IF(M491=1,"✓","")</f>
        <v/>
      </c>
      <c r="K491" s="4" t="str">
        <f aca="false">IF(AND(M491=0,P491=0),"▶ NEXT","")</f>
        <v/>
      </c>
      <c r="L491" s="4" t="n">
        <f aca="false">INDEX('Master List'!$F$2:$F$2594,O491)</f>
        <v>1</v>
      </c>
      <c r="M491" s="4" t="n">
        <f aca="false">INDEX('Master List'!$G$2:$G$2594,O491)</f>
        <v>0</v>
      </c>
      <c r="N491" s="4" t="str">
        <f aca="false">IF(K491="","",A491)</f>
        <v/>
      </c>
      <c r="O491" s="4" t="n">
        <v>1241</v>
      </c>
      <c r="P491" s="4" t="n">
        <f aca="false">IF(A491=A490,P490+1-M490,0)</f>
        <v>3</v>
      </c>
    </row>
    <row r="492" customFormat="false" ht="15" hidden="false" customHeight="false" outlineLevel="0" collapsed="false">
      <c r="A492" s="28" t="s">
        <v>3951</v>
      </c>
      <c r="B492" s="28" t="s">
        <v>51</v>
      </c>
      <c r="C492" s="28" t="s">
        <v>76</v>
      </c>
      <c r="D492" s="28" t="s">
        <v>3952</v>
      </c>
      <c r="E492" s="4" t="n">
        <v>5</v>
      </c>
      <c r="F492" s="4" t="s">
        <v>213</v>
      </c>
      <c r="G492" s="4" t="s">
        <v>2044</v>
      </c>
      <c r="H492" s="4" t="n">
        <v>1964</v>
      </c>
      <c r="I492" s="4" t="s">
        <v>2045</v>
      </c>
      <c r="J492" s="25" t="str">
        <f aca="false">IF(M492=1,"✓","")</f>
        <v/>
      </c>
      <c r="K492" s="4" t="str">
        <f aca="false">IF(AND(M492=0,P492=0),"▶ NEXT","")</f>
        <v/>
      </c>
      <c r="L492" s="4" t="n">
        <f aca="false">INDEX('Master List'!$F$2:$F$2594,O492)</f>
        <v>1</v>
      </c>
      <c r="M492" s="4" t="n">
        <f aca="false">INDEX('Master List'!$G$2:$G$2594,O492)</f>
        <v>0</v>
      </c>
      <c r="N492" s="4" t="str">
        <f aca="false">IF(K492="","",A492)</f>
        <v/>
      </c>
      <c r="O492" s="4" t="n">
        <v>408</v>
      </c>
      <c r="P492" s="4" t="n">
        <f aca="false">IF(A492=A491,P491+1-M491,0)</f>
        <v>4</v>
      </c>
    </row>
    <row r="493" customFormat="false" ht="15" hidden="false" customHeight="false" outlineLevel="0" collapsed="false">
      <c r="A493" s="28" t="s">
        <v>3951</v>
      </c>
      <c r="B493" s="28" t="s">
        <v>51</v>
      </c>
      <c r="C493" s="28" t="s">
        <v>76</v>
      </c>
      <c r="D493" s="28" t="s">
        <v>3952</v>
      </c>
      <c r="E493" s="4" t="n">
        <v>6</v>
      </c>
      <c r="F493" s="4" t="s">
        <v>213</v>
      </c>
      <c r="G493" s="4" t="s">
        <v>1048</v>
      </c>
      <c r="H493" s="4" t="n">
        <v>1980</v>
      </c>
      <c r="I493" s="4" t="s">
        <v>677</v>
      </c>
      <c r="J493" s="25" t="str">
        <f aca="false">IF(M493=1,"✓","")</f>
        <v/>
      </c>
      <c r="K493" s="4" t="str">
        <f aca="false">IF(AND(M493=0,P493=0),"▶ NEXT","")</f>
        <v/>
      </c>
      <c r="L493" s="4" t="n">
        <f aca="false">INDEX('Master List'!$F$2:$F$2594,O493)</f>
        <v>2</v>
      </c>
      <c r="M493" s="4" t="n">
        <f aca="false">INDEX('Master List'!$G$2:$G$2594,O493)</f>
        <v>0</v>
      </c>
      <c r="N493" s="4" t="str">
        <f aca="false">IF(K493="","",A493)</f>
        <v/>
      </c>
      <c r="O493" s="4" t="n">
        <v>1137</v>
      </c>
      <c r="P493" s="4" t="n">
        <f aca="false">IF(A493=A492,P492+1-M492,0)</f>
        <v>5</v>
      </c>
    </row>
    <row r="494" customFormat="false" ht="15" hidden="false" customHeight="false" outlineLevel="0" collapsed="false">
      <c r="A494" s="28" t="s">
        <v>3951</v>
      </c>
      <c r="B494" s="28" t="s">
        <v>51</v>
      </c>
      <c r="C494" s="28" t="s">
        <v>76</v>
      </c>
      <c r="D494" s="28" t="s">
        <v>3952</v>
      </c>
      <c r="E494" s="4" t="n">
        <v>7</v>
      </c>
      <c r="F494" s="4" t="s">
        <v>213</v>
      </c>
      <c r="G494" s="4" t="s">
        <v>1362</v>
      </c>
      <c r="H494" s="4" t="n">
        <v>1979</v>
      </c>
      <c r="I494" s="4" t="s">
        <v>709</v>
      </c>
      <c r="J494" s="25" t="str">
        <f aca="false">IF(M494=1,"✓","")</f>
        <v/>
      </c>
      <c r="K494" s="4" t="str">
        <f aca="false">IF(AND(M494=0,P494=0),"▶ NEXT","")</f>
        <v/>
      </c>
      <c r="L494" s="4" t="n">
        <f aca="false">INDEX('Master List'!$F$2:$F$2594,O494)</f>
        <v>2</v>
      </c>
      <c r="M494" s="4" t="n">
        <f aca="false">INDEX('Master List'!$G$2:$G$2594,O494)</f>
        <v>0</v>
      </c>
      <c r="N494" s="4" t="str">
        <f aca="false">IF(K494="","",A494)</f>
        <v/>
      </c>
      <c r="O494" s="4" t="n">
        <v>2589</v>
      </c>
      <c r="P494" s="4" t="n">
        <f aca="false">IF(A494=A493,P493+1-M493,0)</f>
        <v>6</v>
      </c>
    </row>
    <row r="495" customFormat="false" ht="15" hidden="false" customHeight="false" outlineLevel="0" collapsed="false">
      <c r="A495" s="28" t="s">
        <v>3951</v>
      </c>
      <c r="B495" s="28" t="s">
        <v>51</v>
      </c>
      <c r="C495" s="28" t="s">
        <v>76</v>
      </c>
      <c r="D495" s="28" t="s">
        <v>3952</v>
      </c>
      <c r="E495" s="4" t="n">
        <v>8</v>
      </c>
      <c r="F495" s="4" t="s">
        <v>213</v>
      </c>
      <c r="G495" s="4" t="s">
        <v>708</v>
      </c>
      <c r="H495" s="4" t="n">
        <v>1981</v>
      </c>
      <c r="I495" s="4" t="s">
        <v>709</v>
      </c>
      <c r="J495" s="25" t="str">
        <f aca="false">IF(M495=1,"✓","")</f>
        <v/>
      </c>
      <c r="K495" s="4" t="str">
        <f aca="false">IF(AND(M495=0,P495=0),"▶ NEXT","")</f>
        <v/>
      </c>
      <c r="L495" s="4" t="n">
        <f aca="false">INDEX('Master List'!$F$2:$F$2594,O495)</f>
        <v>3</v>
      </c>
      <c r="M495" s="4" t="n">
        <f aca="false">INDEX('Master List'!$G$2:$G$2594,O495)</f>
        <v>0</v>
      </c>
      <c r="N495" s="4" t="str">
        <f aca="false">IF(K495="","",A495)</f>
        <v/>
      </c>
      <c r="O495" s="4" t="n">
        <v>235</v>
      </c>
      <c r="P495" s="4" t="n">
        <f aca="false">IF(A495=A494,P494+1-M494,0)</f>
        <v>7</v>
      </c>
    </row>
    <row r="496" customFormat="false" ht="15" hidden="false" customHeight="false" outlineLevel="0" collapsed="false">
      <c r="A496" s="28" t="s">
        <v>3951</v>
      </c>
      <c r="B496" s="28" t="s">
        <v>51</v>
      </c>
      <c r="C496" s="28" t="s">
        <v>76</v>
      </c>
      <c r="D496" s="28" t="s">
        <v>3952</v>
      </c>
      <c r="E496" s="4" t="n">
        <v>9</v>
      </c>
      <c r="F496" s="4" t="s">
        <v>213</v>
      </c>
      <c r="G496" s="4" t="s">
        <v>2331</v>
      </c>
      <c r="H496" s="4" t="n">
        <v>1980</v>
      </c>
      <c r="I496" s="4" t="s">
        <v>709</v>
      </c>
      <c r="J496" s="25" t="str">
        <f aca="false">IF(M496=1,"✓","")</f>
        <v/>
      </c>
      <c r="K496" s="4" t="str">
        <f aca="false">IF(AND(M496=0,P496=0),"▶ NEXT","")</f>
        <v/>
      </c>
      <c r="L496" s="4" t="n">
        <f aca="false">INDEX('Master List'!$F$2:$F$2594,O496)</f>
        <v>1</v>
      </c>
      <c r="M496" s="4" t="n">
        <f aca="false">INDEX('Master List'!$G$2:$G$2594,O496)</f>
        <v>0</v>
      </c>
      <c r="N496" s="4" t="str">
        <f aca="false">IF(K496="","",A496)</f>
        <v/>
      </c>
      <c r="O496" s="4" t="n">
        <v>467</v>
      </c>
      <c r="P496" s="4" t="n">
        <f aca="false">IF(A496=A495,P495+1-M495,0)</f>
        <v>8</v>
      </c>
    </row>
    <row r="497" customFormat="false" ht="15" hidden="false" customHeight="false" outlineLevel="0" collapsed="false">
      <c r="A497" s="28" t="s">
        <v>3951</v>
      </c>
      <c r="B497" s="28" t="s">
        <v>51</v>
      </c>
      <c r="C497" s="28" t="s">
        <v>76</v>
      </c>
      <c r="D497" s="28" t="s">
        <v>3952</v>
      </c>
      <c r="E497" s="4" t="n">
        <v>10</v>
      </c>
      <c r="F497" s="4" t="s">
        <v>1327</v>
      </c>
      <c r="G497" s="4" t="s">
        <v>3509</v>
      </c>
      <c r="H497" s="4" t="n">
        <v>1973</v>
      </c>
      <c r="I497" s="4" t="s">
        <v>761</v>
      </c>
      <c r="J497" s="25" t="str">
        <f aca="false">IF(M497=1,"✓","")</f>
        <v/>
      </c>
      <c r="K497" s="4" t="str">
        <f aca="false">IF(AND(M497=0,P497=0),"▶ NEXT","")</f>
        <v/>
      </c>
      <c r="L497" s="4" t="n">
        <f aca="false">INDEX('Master List'!$F$2:$F$2594,O497)</f>
        <v>1</v>
      </c>
      <c r="M497" s="4" t="n">
        <f aca="false">INDEX('Master List'!$G$2:$G$2594,O497)</f>
        <v>0</v>
      </c>
      <c r="N497" s="4" t="str">
        <f aca="false">IF(K497="","",A497)</f>
        <v/>
      </c>
      <c r="O497" s="4" t="n">
        <v>1346</v>
      </c>
      <c r="P497" s="4" t="n">
        <f aca="false">IF(A497=A496,P496+1-M496,0)</f>
        <v>9</v>
      </c>
    </row>
    <row r="498" customFormat="false" ht="15" hidden="false" customHeight="false" outlineLevel="0" collapsed="false">
      <c r="A498" s="28" t="s">
        <v>3951</v>
      </c>
      <c r="B498" s="28" t="s">
        <v>51</v>
      </c>
      <c r="C498" s="28" t="s">
        <v>76</v>
      </c>
      <c r="D498" s="28" t="s">
        <v>3952</v>
      </c>
      <c r="E498" s="4" t="n">
        <v>11</v>
      </c>
      <c r="F498" s="4" t="s">
        <v>1327</v>
      </c>
      <c r="G498" s="4" t="s">
        <v>1653</v>
      </c>
      <c r="H498" s="4" t="n">
        <v>1994</v>
      </c>
      <c r="I498" s="4" t="s">
        <v>1654</v>
      </c>
      <c r="J498" s="25" t="str">
        <f aca="false">IF(M498=1,"✓","")</f>
        <v/>
      </c>
      <c r="K498" s="4" t="str">
        <f aca="false">IF(AND(M498=0,P498=0),"▶ NEXT","")</f>
        <v/>
      </c>
      <c r="L498" s="4" t="n">
        <f aca="false">INDEX('Master List'!$F$2:$F$2594,O498)</f>
        <v>2</v>
      </c>
      <c r="M498" s="4" t="n">
        <f aca="false">INDEX('Master List'!$G$2:$G$2594,O498)</f>
        <v>0</v>
      </c>
      <c r="N498" s="4" t="str">
        <f aca="false">IF(K498="","",A498)</f>
        <v/>
      </c>
      <c r="O498" s="4" t="n">
        <v>419</v>
      </c>
      <c r="P498" s="4" t="n">
        <f aca="false">IF(A498=A497,P497+1-M497,0)</f>
        <v>10</v>
      </c>
    </row>
    <row r="499" customFormat="false" ht="15" hidden="false" customHeight="false" outlineLevel="0" collapsed="false">
      <c r="A499" s="28" t="s">
        <v>3953</v>
      </c>
      <c r="B499" s="28" t="s">
        <v>51</v>
      </c>
      <c r="C499" s="28" t="s">
        <v>76</v>
      </c>
      <c r="D499" s="28" t="s">
        <v>3954</v>
      </c>
      <c r="E499" s="4" t="n">
        <v>1</v>
      </c>
      <c r="F499" s="4" t="s">
        <v>144</v>
      </c>
      <c r="G499" s="7" t="s">
        <v>1490</v>
      </c>
      <c r="H499" s="4" t="n">
        <v>1972</v>
      </c>
      <c r="I499" s="4" t="s">
        <v>1491</v>
      </c>
      <c r="J499" s="25" t="str">
        <f aca="false">IF(M499=1,"✓","")</f>
        <v/>
      </c>
      <c r="K499" s="4" t="str">
        <f aca="false">IF(AND(M499=0,P499=0),"▶ NEXT","")</f>
        <v>▶ NEXT</v>
      </c>
      <c r="L499" s="4" t="n">
        <f aca="false">INDEX('Master List'!$F$2:$F$2594,O499)</f>
        <v>1</v>
      </c>
      <c r="M499" s="4" t="n">
        <f aca="false">INDEX('Master List'!$G$2:$G$2594,O499)</f>
        <v>0</v>
      </c>
      <c r="N499" s="4" t="str">
        <f aca="false">IF(K499="","",A499)</f>
        <v>N040</v>
      </c>
      <c r="O499" s="4" t="n">
        <v>1499</v>
      </c>
      <c r="P499" s="4" t="n">
        <f aca="false">IF(A499=A498,P498+1-M498,0)</f>
        <v>0</v>
      </c>
    </row>
    <row r="500" customFormat="false" ht="15" hidden="false" customHeight="false" outlineLevel="0" collapsed="false">
      <c r="A500" s="28" t="s">
        <v>3953</v>
      </c>
      <c r="B500" s="28" t="s">
        <v>51</v>
      </c>
      <c r="C500" s="28" t="s">
        <v>76</v>
      </c>
      <c r="D500" s="28" t="s">
        <v>3954</v>
      </c>
      <c r="E500" s="4" t="n">
        <v>2</v>
      </c>
      <c r="F500" s="4" t="s">
        <v>213</v>
      </c>
      <c r="G500" s="4" t="s">
        <v>2198</v>
      </c>
      <c r="H500" s="4" t="n">
        <v>1972</v>
      </c>
      <c r="I500" s="4" t="s">
        <v>1491</v>
      </c>
      <c r="J500" s="25" t="str">
        <f aca="false">IF(M500=1,"✓","")</f>
        <v/>
      </c>
      <c r="K500" s="4" t="str">
        <f aca="false">IF(AND(M500=0,P500=0),"▶ NEXT","")</f>
        <v/>
      </c>
      <c r="L500" s="4" t="n">
        <f aca="false">INDEX('Master List'!$F$2:$F$2594,O500)</f>
        <v>1</v>
      </c>
      <c r="M500" s="4" t="n">
        <f aca="false">INDEX('Master List'!$G$2:$G$2594,O500)</f>
        <v>0</v>
      </c>
      <c r="N500" s="4" t="str">
        <f aca="false">IF(K500="","",A500)</f>
        <v/>
      </c>
      <c r="O500" s="4" t="n">
        <v>1182</v>
      </c>
      <c r="P500" s="4" t="n">
        <f aca="false">IF(A500=A499,P499+1-M499,0)</f>
        <v>1</v>
      </c>
    </row>
    <row r="501" customFormat="false" ht="15" hidden="false" customHeight="false" outlineLevel="0" collapsed="false">
      <c r="A501" s="28" t="s">
        <v>3953</v>
      </c>
      <c r="B501" s="28" t="s">
        <v>51</v>
      </c>
      <c r="C501" s="28" t="s">
        <v>76</v>
      </c>
      <c r="D501" s="28" t="s">
        <v>3954</v>
      </c>
      <c r="E501" s="4" t="n">
        <v>3</v>
      </c>
      <c r="F501" s="4" t="s">
        <v>213</v>
      </c>
      <c r="G501" s="4" t="s">
        <v>2218</v>
      </c>
      <c r="H501" s="4" t="n">
        <v>1973</v>
      </c>
      <c r="I501" s="4" t="s">
        <v>1491</v>
      </c>
      <c r="J501" s="25" t="str">
        <f aca="false">IF(M501=1,"✓","")</f>
        <v/>
      </c>
      <c r="K501" s="4" t="str">
        <f aca="false">IF(AND(M501=0,P501=0),"▶ NEXT","")</f>
        <v/>
      </c>
      <c r="L501" s="4" t="n">
        <f aca="false">INDEX('Master List'!$F$2:$F$2594,O501)</f>
        <v>1</v>
      </c>
      <c r="M501" s="4" t="n">
        <f aca="false">INDEX('Master List'!$G$2:$G$2594,O501)</f>
        <v>0</v>
      </c>
      <c r="N501" s="4" t="str">
        <f aca="false">IF(K501="","",A501)</f>
        <v/>
      </c>
      <c r="O501" s="4" t="n">
        <v>320</v>
      </c>
      <c r="P501" s="4" t="n">
        <f aca="false">IF(A501=A500,P500+1-M500,0)</f>
        <v>2</v>
      </c>
    </row>
    <row r="502" customFormat="false" ht="15" hidden="false" customHeight="false" outlineLevel="0" collapsed="false">
      <c r="A502" s="28" t="s">
        <v>3953</v>
      </c>
      <c r="B502" s="28" t="s">
        <v>51</v>
      </c>
      <c r="C502" s="28" t="s">
        <v>76</v>
      </c>
      <c r="D502" s="28" t="s">
        <v>3954</v>
      </c>
      <c r="E502" s="4" t="n">
        <v>4</v>
      </c>
      <c r="F502" s="4" t="s">
        <v>213</v>
      </c>
      <c r="G502" s="4" t="s">
        <v>2237</v>
      </c>
      <c r="H502" s="4" t="n">
        <v>1974</v>
      </c>
      <c r="I502" s="4" t="s">
        <v>761</v>
      </c>
      <c r="J502" s="25" t="str">
        <f aca="false">IF(M502=1,"✓","")</f>
        <v/>
      </c>
      <c r="K502" s="4" t="str">
        <f aca="false">IF(AND(M502=0,P502=0),"▶ NEXT","")</f>
        <v/>
      </c>
      <c r="L502" s="4" t="n">
        <f aca="false">INDEX('Master List'!$F$2:$F$2594,O502)</f>
        <v>1</v>
      </c>
      <c r="M502" s="4" t="n">
        <f aca="false">INDEX('Master List'!$G$2:$G$2594,O502)</f>
        <v>0</v>
      </c>
      <c r="N502" s="4" t="str">
        <f aca="false">IF(K502="","",A502)</f>
        <v/>
      </c>
      <c r="O502" s="4" t="n">
        <v>1849</v>
      </c>
      <c r="P502" s="4" t="n">
        <f aca="false">IF(A502=A501,P501+1-M501,0)</f>
        <v>3</v>
      </c>
    </row>
    <row r="503" customFormat="false" ht="15" hidden="false" customHeight="false" outlineLevel="0" collapsed="false">
      <c r="A503" s="28" t="s">
        <v>3953</v>
      </c>
      <c r="B503" s="28" t="s">
        <v>51</v>
      </c>
      <c r="C503" s="28" t="s">
        <v>76</v>
      </c>
      <c r="D503" s="28" t="s">
        <v>3954</v>
      </c>
      <c r="E503" s="4" t="n">
        <v>5</v>
      </c>
      <c r="F503" s="4" t="s">
        <v>213</v>
      </c>
      <c r="G503" s="4" t="s">
        <v>2238</v>
      </c>
      <c r="H503" s="4" t="n">
        <v>1974</v>
      </c>
      <c r="I503" s="4" t="s">
        <v>2239</v>
      </c>
      <c r="J503" s="25" t="str">
        <f aca="false">IF(M503=1,"✓","")</f>
        <v/>
      </c>
      <c r="K503" s="4" t="str">
        <f aca="false">IF(AND(M503=0,P503=0),"▶ NEXT","")</f>
        <v/>
      </c>
      <c r="L503" s="4" t="n">
        <f aca="false">INDEX('Master List'!$F$2:$F$2594,O503)</f>
        <v>1</v>
      </c>
      <c r="M503" s="4" t="n">
        <f aca="false">INDEX('Master List'!$G$2:$G$2594,O503)</f>
        <v>0</v>
      </c>
      <c r="N503" s="4" t="str">
        <f aca="false">IF(K503="","",A503)</f>
        <v/>
      </c>
      <c r="O503" s="4" t="n">
        <v>2181</v>
      </c>
      <c r="P503" s="4" t="n">
        <f aca="false">IF(A503=A502,P502+1-M502,0)</f>
        <v>4</v>
      </c>
    </row>
    <row r="504" customFormat="false" ht="15" hidden="false" customHeight="false" outlineLevel="0" collapsed="false">
      <c r="A504" s="28" t="s">
        <v>3953</v>
      </c>
      <c r="B504" s="28" t="s">
        <v>51</v>
      </c>
      <c r="C504" s="28" t="s">
        <v>76</v>
      </c>
      <c r="D504" s="28" t="s">
        <v>3954</v>
      </c>
      <c r="E504" s="4" t="n">
        <v>6</v>
      </c>
      <c r="F504" s="4" t="s">
        <v>213</v>
      </c>
      <c r="G504" s="4" t="s">
        <v>2256</v>
      </c>
      <c r="H504" s="4" t="n">
        <v>1975</v>
      </c>
      <c r="I504" s="4" t="s">
        <v>2257</v>
      </c>
      <c r="J504" s="25" t="str">
        <f aca="false">IF(M504=1,"✓","")</f>
        <v/>
      </c>
      <c r="K504" s="4" t="str">
        <f aca="false">IF(AND(M504=0,P504=0),"▶ NEXT","")</f>
        <v/>
      </c>
      <c r="L504" s="4" t="n">
        <f aca="false">INDEX('Master List'!$F$2:$F$2594,O504)</f>
        <v>1</v>
      </c>
      <c r="M504" s="4" t="n">
        <f aca="false">INDEX('Master List'!$G$2:$G$2594,O504)</f>
        <v>0</v>
      </c>
      <c r="N504" s="4" t="str">
        <f aca="false">IF(K504="","",A504)</f>
        <v/>
      </c>
      <c r="O504" s="4" t="n">
        <v>2435</v>
      </c>
      <c r="P504" s="4" t="n">
        <f aca="false">IF(A504=A503,P503+1-M503,0)</f>
        <v>5</v>
      </c>
    </row>
    <row r="505" customFormat="false" ht="15" hidden="false" customHeight="false" outlineLevel="0" collapsed="false">
      <c r="A505" s="28" t="s">
        <v>3953</v>
      </c>
      <c r="B505" s="28" t="s">
        <v>51</v>
      </c>
      <c r="C505" s="28" t="s">
        <v>76</v>
      </c>
      <c r="D505" s="28" t="s">
        <v>3954</v>
      </c>
      <c r="E505" s="4" t="n">
        <v>7</v>
      </c>
      <c r="F505" s="4" t="s">
        <v>1327</v>
      </c>
      <c r="G505" s="4" t="s">
        <v>3530</v>
      </c>
      <c r="H505" s="4" t="n">
        <v>1974</v>
      </c>
      <c r="I505" s="4" t="s">
        <v>3531</v>
      </c>
      <c r="J505" s="25" t="str">
        <f aca="false">IF(M505=1,"✓","")</f>
        <v/>
      </c>
      <c r="K505" s="4" t="str">
        <f aca="false">IF(AND(M505=0,P505=0),"▶ NEXT","")</f>
        <v/>
      </c>
      <c r="L505" s="4" t="n">
        <f aca="false">INDEX('Master List'!$F$2:$F$2594,O505)</f>
        <v>1</v>
      </c>
      <c r="M505" s="4" t="n">
        <f aca="false">INDEX('Master List'!$G$2:$G$2594,O505)</f>
        <v>0</v>
      </c>
      <c r="N505" s="4" t="str">
        <f aca="false">IF(K505="","",A505)</f>
        <v/>
      </c>
      <c r="O505" s="4" t="n">
        <v>81</v>
      </c>
      <c r="P505" s="4" t="n">
        <f aca="false">IF(A505=A504,P504+1-M504,0)</f>
        <v>6</v>
      </c>
    </row>
    <row r="506" customFormat="false" ht="15" hidden="false" customHeight="false" outlineLevel="0" collapsed="false">
      <c r="A506" s="28" t="s">
        <v>3953</v>
      </c>
      <c r="B506" s="28" t="s">
        <v>51</v>
      </c>
      <c r="C506" s="28" t="s">
        <v>76</v>
      </c>
      <c r="D506" s="28" t="s">
        <v>3954</v>
      </c>
      <c r="E506" s="4" t="n">
        <v>8</v>
      </c>
      <c r="F506" s="4" t="s">
        <v>1327</v>
      </c>
      <c r="G506" s="4" t="s">
        <v>3510</v>
      </c>
      <c r="H506" s="4" t="n">
        <v>1973</v>
      </c>
      <c r="I506" s="4" t="s">
        <v>2092</v>
      </c>
      <c r="J506" s="25" t="str">
        <f aca="false">IF(M506=1,"✓","")</f>
        <v/>
      </c>
      <c r="K506" s="4" t="str">
        <f aca="false">IF(AND(M506=0,P506=0),"▶ NEXT","")</f>
        <v/>
      </c>
      <c r="L506" s="4" t="n">
        <f aca="false">INDEX('Master List'!$F$2:$F$2594,O506)</f>
        <v>1</v>
      </c>
      <c r="M506" s="4" t="n">
        <f aca="false">INDEX('Master List'!$G$2:$G$2594,O506)</f>
        <v>0</v>
      </c>
      <c r="N506" s="4" t="str">
        <f aca="false">IF(K506="","",A506)</f>
        <v/>
      </c>
      <c r="O506" s="4" t="n">
        <v>1898</v>
      </c>
      <c r="P506" s="4" t="n">
        <f aca="false">IF(A506=A505,P505+1-M505,0)</f>
        <v>7</v>
      </c>
    </row>
    <row r="507" customFormat="false" ht="15" hidden="false" customHeight="false" outlineLevel="0" collapsed="false">
      <c r="A507" s="28" t="s">
        <v>3955</v>
      </c>
      <c r="B507" s="28" t="s">
        <v>51</v>
      </c>
      <c r="C507" s="28" t="s">
        <v>76</v>
      </c>
      <c r="D507" s="28" t="s">
        <v>3956</v>
      </c>
      <c r="E507" s="4" t="n">
        <v>1</v>
      </c>
      <c r="F507" s="4" t="s">
        <v>144</v>
      </c>
      <c r="G507" s="7" t="s">
        <v>1619</v>
      </c>
      <c r="H507" s="4" t="n">
        <v>2013</v>
      </c>
      <c r="I507" s="4" t="s">
        <v>1620</v>
      </c>
      <c r="J507" s="25" t="str">
        <f aca="false">IF(M507=1,"✓","")</f>
        <v/>
      </c>
      <c r="K507" s="4" t="str">
        <f aca="false">IF(AND(M507=0,P507=0),"▶ NEXT","")</f>
        <v>▶ NEXT</v>
      </c>
      <c r="L507" s="4" t="n">
        <f aca="false">INDEX('Master List'!$F$2:$F$2594,O507)</f>
        <v>1</v>
      </c>
      <c r="M507" s="4" t="n">
        <f aca="false">INDEX('Master List'!$G$2:$G$2594,O507)</f>
        <v>0</v>
      </c>
      <c r="N507" s="4" t="str">
        <f aca="false">IF(K507="","",A507)</f>
        <v>N041</v>
      </c>
      <c r="O507" s="4" t="n">
        <v>950</v>
      </c>
      <c r="P507" s="4" t="n">
        <f aca="false">IF(A507=A506,P506+1-M506,0)</f>
        <v>0</v>
      </c>
    </row>
    <row r="508" customFormat="false" ht="15" hidden="false" customHeight="false" outlineLevel="0" collapsed="false">
      <c r="A508" s="28" t="s">
        <v>3955</v>
      </c>
      <c r="B508" s="28" t="s">
        <v>51</v>
      </c>
      <c r="C508" s="28" t="s">
        <v>76</v>
      </c>
      <c r="D508" s="28" t="s">
        <v>3956</v>
      </c>
      <c r="E508" s="4" t="n">
        <v>2</v>
      </c>
      <c r="F508" s="4" t="s">
        <v>144</v>
      </c>
      <c r="G508" s="7" t="s">
        <v>1602</v>
      </c>
      <c r="H508" s="4" t="n">
        <v>2008</v>
      </c>
      <c r="I508" s="4" t="s">
        <v>1603</v>
      </c>
      <c r="J508" s="25" t="str">
        <f aca="false">IF(M508=1,"✓","")</f>
        <v/>
      </c>
      <c r="K508" s="4" t="str">
        <f aca="false">IF(AND(M508=0,P508=0),"▶ NEXT","")</f>
        <v/>
      </c>
      <c r="L508" s="4" t="n">
        <f aca="false">INDEX('Master List'!$F$2:$F$2594,O508)</f>
        <v>1</v>
      </c>
      <c r="M508" s="4" t="n">
        <f aca="false">INDEX('Master List'!$G$2:$G$2594,O508)</f>
        <v>0</v>
      </c>
      <c r="N508" s="4" t="str">
        <f aca="false">IF(K508="","",A508)</f>
        <v/>
      </c>
      <c r="O508" s="4" t="n">
        <v>921</v>
      </c>
      <c r="P508" s="4" t="n">
        <f aca="false">IF(A508=A507,P507+1-M507,0)</f>
        <v>1</v>
      </c>
    </row>
    <row r="509" customFormat="false" ht="15" hidden="false" customHeight="false" outlineLevel="0" collapsed="false">
      <c r="A509" s="28" t="s">
        <v>3955</v>
      </c>
      <c r="B509" s="28" t="s">
        <v>51</v>
      </c>
      <c r="C509" s="28" t="s">
        <v>76</v>
      </c>
      <c r="D509" s="28" t="s">
        <v>3956</v>
      </c>
      <c r="E509" s="4" t="n">
        <v>3</v>
      </c>
      <c r="F509" s="4" t="s">
        <v>213</v>
      </c>
      <c r="G509" s="4" t="s">
        <v>2897</v>
      </c>
      <c r="H509" s="4" t="n">
        <v>2008</v>
      </c>
      <c r="I509" s="4" t="s">
        <v>1620</v>
      </c>
      <c r="J509" s="25" t="str">
        <f aca="false">IF(M509=1,"✓","")</f>
        <v/>
      </c>
      <c r="K509" s="4" t="str">
        <f aca="false">IF(AND(M509=0,P509=0),"▶ NEXT","")</f>
        <v/>
      </c>
      <c r="L509" s="4" t="n">
        <f aca="false">INDEX('Master List'!$F$2:$F$2594,O509)</f>
        <v>1</v>
      </c>
      <c r="M509" s="4" t="n">
        <f aca="false">INDEX('Master List'!$G$2:$G$2594,O509)</f>
        <v>0</v>
      </c>
      <c r="N509" s="4" t="str">
        <f aca="false">IF(K509="","",A509)</f>
        <v/>
      </c>
      <c r="O509" s="4" t="n">
        <v>641</v>
      </c>
      <c r="P509" s="4" t="n">
        <f aca="false">IF(A509=A508,P508+1-M508,0)</f>
        <v>2</v>
      </c>
    </row>
    <row r="510" customFormat="false" ht="15" hidden="false" customHeight="false" outlineLevel="0" collapsed="false">
      <c r="A510" s="28" t="s">
        <v>3955</v>
      </c>
      <c r="B510" s="28" t="s">
        <v>51</v>
      </c>
      <c r="C510" s="28" t="s">
        <v>76</v>
      </c>
      <c r="D510" s="28" t="s">
        <v>3956</v>
      </c>
      <c r="E510" s="4" t="n">
        <v>4</v>
      </c>
      <c r="F510" s="4" t="s">
        <v>213</v>
      </c>
      <c r="G510" s="4" t="s">
        <v>3133</v>
      </c>
      <c r="H510" s="4" t="n">
        <v>2018</v>
      </c>
      <c r="I510" s="4" t="s">
        <v>3134</v>
      </c>
      <c r="J510" s="25" t="str">
        <f aca="false">IF(M510=1,"✓","")</f>
        <v/>
      </c>
      <c r="K510" s="4" t="str">
        <f aca="false">IF(AND(M510=0,P510=0),"▶ NEXT","")</f>
        <v/>
      </c>
      <c r="L510" s="4" t="n">
        <f aca="false">INDEX('Master List'!$F$2:$F$2594,O510)</f>
        <v>1</v>
      </c>
      <c r="M510" s="4" t="n">
        <f aca="false">INDEX('Master List'!$G$2:$G$2594,O510)</f>
        <v>0</v>
      </c>
      <c r="N510" s="4" t="str">
        <f aca="false">IF(K510="","",A510)</f>
        <v/>
      </c>
      <c r="O510" s="4" t="n">
        <v>987</v>
      </c>
      <c r="P510" s="4" t="n">
        <f aca="false">IF(A510=A509,P509+1-M509,0)</f>
        <v>3</v>
      </c>
    </row>
    <row r="511" customFormat="false" ht="15" hidden="false" customHeight="false" outlineLevel="0" collapsed="false">
      <c r="A511" s="28" t="s">
        <v>3955</v>
      </c>
      <c r="B511" s="28" t="s">
        <v>51</v>
      </c>
      <c r="C511" s="28" t="s">
        <v>76</v>
      </c>
      <c r="D511" s="28" t="s">
        <v>3956</v>
      </c>
      <c r="E511" s="4" t="n">
        <v>5</v>
      </c>
      <c r="F511" s="4" t="s">
        <v>213</v>
      </c>
      <c r="G511" s="4" t="s">
        <v>3114</v>
      </c>
      <c r="H511" s="4" t="n">
        <v>2017</v>
      </c>
      <c r="I511" s="4" t="s">
        <v>3115</v>
      </c>
      <c r="J511" s="25" t="str">
        <f aca="false">IF(M511=1,"✓","")</f>
        <v>✓</v>
      </c>
      <c r="K511" s="4" t="str">
        <f aca="false">IF(AND(M511=0,P511=0),"▶ NEXT","")</f>
        <v/>
      </c>
      <c r="L511" s="4" t="n">
        <f aca="false">INDEX('Master List'!$F$2:$F$2594,O511)</f>
        <v>1</v>
      </c>
      <c r="M511" s="4" t="n">
        <f aca="false">INDEX('Master List'!$G$2:$G$2594,O511)</f>
        <v>1</v>
      </c>
      <c r="N511" s="4" t="str">
        <f aca="false">IF(K511="","",A511)</f>
        <v/>
      </c>
      <c r="O511" s="4" t="n">
        <v>382</v>
      </c>
      <c r="P511" s="4" t="n">
        <f aca="false">IF(A511=A510,P510+1-M510,0)</f>
        <v>4</v>
      </c>
    </row>
    <row r="512" customFormat="false" ht="15" hidden="false" customHeight="false" outlineLevel="0" collapsed="false">
      <c r="A512" s="28" t="s">
        <v>3955</v>
      </c>
      <c r="B512" s="28" t="s">
        <v>51</v>
      </c>
      <c r="C512" s="28" t="s">
        <v>76</v>
      </c>
      <c r="D512" s="28" t="s">
        <v>3956</v>
      </c>
      <c r="E512" s="4" t="n">
        <v>6</v>
      </c>
      <c r="F512" s="4" t="s">
        <v>213</v>
      </c>
      <c r="G512" s="4" t="s">
        <v>2735</v>
      </c>
      <c r="H512" s="4" t="n">
        <v>2001</v>
      </c>
      <c r="I512" s="4" t="s">
        <v>2736</v>
      </c>
      <c r="J512" s="25" t="str">
        <f aca="false">IF(M512=1,"✓","")</f>
        <v/>
      </c>
      <c r="K512" s="4" t="str">
        <f aca="false">IF(AND(M512=0,P512=0),"▶ NEXT","")</f>
        <v/>
      </c>
      <c r="L512" s="4" t="n">
        <f aca="false">INDEX('Master List'!$F$2:$F$2594,O512)</f>
        <v>1</v>
      </c>
      <c r="M512" s="4" t="n">
        <f aca="false">INDEX('Master List'!$G$2:$G$2594,O512)</f>
        <v>0</v>
      </c>
      <c r="N512" s="4" t="str">
        <f aca="false">IF(K512="","",A512)</f>
        <v/>
      </c>
      <c r="O512" s="4" t="n">
        <v>2111</v>
      </c>
      <c r="P512" s="4" t="n">
        <f aca="false">IF(A512=A511,P511+1-M511,0)</f>
        <v>4</v>
      </c>
    </row>
    <row r="513" customFormat="false" ht="15" hidden="false" customHeight="false" outlineLevel="0" collapsed="false">
      <c r="A513" s="28" t="s">
        <v>3955</v>
      </c>
      <c r="B513" s="28" t="s">
        <v>51</v>
      </c>
      <c r="C513" s="28" t="s">
        <v>76</v>
      </c>
      <c r="D513" s="28" t="s">
        <v>3956</v>
      </c>
      <c r="E513" s="4" t="n">
        <v>7</v>
      </c>
      <c r="F513" s="4" t="s">
        <v>213</v>
      </c>
      <c r="G513" s="4" t="s">
        <v>3135</v>
      </c>
      <c r="H513" s="4" t="n">
        <v>2018</v>
      </c>
      <c r="I513" s="4" t="s">
        <v>1603</v>
      </c>
      <c r="J513" s="25" t="str">
        <f aca="false">IF(M513=1,"✓","")</f>
        <v/>
      </c>
      <c r="K513" s="4" t="str">
        <f aca="false">IF(AND(M513=0,P513=0),"▶ NEXT","")</f>
        <v/>
      </c>
      <c r="L513" s="4" t="n">
        <f aca="false">INDEX('Master List'!$F$2:$F$2594,O513)</f>
        <v>1</v>
      </c>
      <c r="M513" s="4" t="n">
        <f aca="false">INDEX('Master List'!$G$2:$G$2594,O513)</f>
        <v>0</v>
      </c>
      <c r="N513" s="4" t="str">
        <f aca="false">IF(K513="","",A513)</f>
        <v/>
      </c>
      <c r="O513" s="4" t="n">
        <v>652</v>
      </c>
      <c r="P513" s="4" t="n">
        <f aca="false">IF(A513=A512,P512+1-M512,0)</f>
        <v>5</v>
      </c>
    </row>
    <row r="514" customFormat="false" ht="15" hidden="false" customHeight="false" outlineLevel="0" collapsed="false">
      <c r="A514" s="28" t="s">
        <v>3955</v>
      </c>
      <c r="B514" s="28" t="s">
        <v>51</v>
      </c>
      <c r="C514" s="28" t="s">
        <v>76</v>
      </c>
      <c r="D514" s="28" t="s">
        <v>3956</v>
      </c>
      <c r="E514" s="4" t="n">
        <v>8</v>
      </c>
      <c r="F514" s="4" t="s">
        <v>213</v>
      </c>
      <c r="G514" s="4" t="s">
        <v>3236</v>
      </c>
      <c r="H514" s="4" t="n">
        <v>2023</v>
      </c>
      <c r="I514" s="4" t="s">
        <v>3134</v>
      </c>
      <c r="J514" s="25" t="str">
        <f aca="false">IF(M514=1,"✓","")</f>
        <v/>
      </c>
      <c r="K514" s="4" t="str">
        <f aca="false">IF(AND(M514=0,P514=0),"▶ NEXT","")</f>
        <v/>
      </c>
      <c r="L514" s="4" t="n">
        <f aca="false">INDEX('Master List'!$F$2:$F$2594,O514)</f>
        <v>1</v>
      </c>
      <c r="M514" s="4" t="n">
        <f aca="false">INDEX('Master List'!$G$2:$G$2594,O514)</f>
        <v>0</v>
      </c>
      <c r="N514" s="4" t="str">
        <f aca="false">IF(K514="","",A514)</f>
        <v/>
      </c>
      <c r="O514" s="4" t="n">
        <v>447</v>
      </c>
      <c r="P514" s="4" t="n">
        <f aca="false">IF(A514=A513,P513+1-M513,0)</f>
        <v>6</v>
      </c>
    </row>
    <row r="515" customFormat="false" ht="15" hidden="false" customHeight="false" outlineLevel="0" collapsed="false">
      <c r="A515" s="28" t="s">
        <v>3955</v>
      </c>
      <c r="B515" s="28" t="s">
        <v>51</v>
      </c>
      <c r="C515" s="28" t="s">
        <v>76</v>
      </c>
      <c r="D515" s="28" t="s">
        <v>3956</v>
      </c>
      <c r="E515" s="4" t="n">
        <v>9</v>
      </c>
      <c r="F515" s="4" t="s">
        <v>1327</v>
      </c>
      <c r="G515" s="4" t="s">
        <v>3790</v>
      </c>
      <c r="H515" s="4" t="n">
        <v>2010</v>
      </c>
      <c r="I515" s="4" t="s">
        <v>3791</v>
      </c>
      <c r="J515" s="25" t="str">
        <f aca="false">IF(M515=1,"✓","")</f>
        <v/>
      </c>
      <c r="K515" s="4" t="str">
        <f aca="false">IF(AND(M515=0,P515=0),"▶ NEXT","")</f>
        <v/>
      </c>
      <c r="L515" s="4" t="n">
        <f aca="false">INDEX('Master List'!$F$2:$F$2594,O515)</f>
        <v>1</v>
      </c>
      <c r="M515" s="4" t="n">
        <f aca="false">INDEX('Master List'!$G$2:$G$2594,O515)</f>
        <v>0</v>
      </c>
      <c r="N515" s="4" t="str">
        <f aca="false">IF(K515="","",A515)</f>
        <v/>
      </c>
      <c r="O515" s="4" t="n">
        <v>1841</v>
      </c>
      <c r="P515" s="4" t="n">
        <f aca="false">IF(A515=A514,P514+1-M514,0)</f>
        <v>7</v>
      </c>
    </row>
    <row r="516" customFormat="false" ht="15" hidden="false" customHeight="false" outlineLevel="0" collapsed="false">
      <c r="A516" s="28" t="s">
        <v>3955</v>
      </c>
      <c r="B516" s="28" t="s">
        <v>51</v>
      </c>
      <c r="C516" s="28" t="s">
        <v>76</v>
      </c>
      <c r="D516" s="28" t="s">
        <v>3956</v>
      </c>
      <c r="E516" s="4" t="n">
        <v>10</v>
      </c>
      <c r="F516" s="4" t="s">
        <v>1327</v>
      </c>
      <c r="G516" s="4" t="s">
        <v>3849</v>
      </c>
      <c r="H516" s="4" t="n">
        <v>2019</v>
      </c>
      <c r="I516" s="4" t="s">
        <v>3850</v>
      </c>
      <c r="J516" s="25" t="str">
        <f aca="false">IF(M516=1,"✓","")</f>
        <v/>
      </c>
      <c r="K516" s="4" t="str">
        <f aca="false">IF(AND(M516=0,P516=0),"▶ NEXT","")</f>
        <v/>
      </c>
      <c r="L516" s="4" t="n">
        <f aca="false">INDEX('Master List'!$F$2:$F$2594,O516)</f>
        <v>1</v>
      </c>
      <c r="M516" s="4" t="n">
        <f aca="false">INDEX('Master List'!$G$2:$G$2594,O516)</f>
        <v>0</v>
      </c>
      <c r="N516" s="4" t="str">
        <f aca="false">IF(K516="","",A516)</f>
        <v/>
      </c>
      <c r="O516" s="4" t="n">
        <v>1453</v>
      </c>
      <c r="P516" s="4" t="n">
        <f aca="false">IF(A516=A515,P515+1-M515,0)</f>
        <v>8</v>
      </c>
    </row>
    <row r="517" customFormat="false" ht="15" hidden="false" customHeight="false" outlineLevel="0" collapsed="false">
      <c r="A517" s="28" t="s">
        <v>3957</v>
      </c>
      <c r="B517" s="28" t="s">
        <v>51</v>
      </c>
      <c r="C517" s="28" t="s">
        <v>77</v>
      </c>
      <c r="D517" s="28" t="s">
        <v>3958</v>
      </c>
      <c r="E517" s="4" t="n">
        <v>1</v>
      </c>
      <c r="F517" s="4" t="s">
        <v>144</v>
      </c>
      <c r="G517" s="7" t="s">
        <v>233</v>
      </c>
      <c r="H517" s="4" t="n">
        <v>1939</v>
      </c>
      <c r="I517" s="4" t="s">
        <v>234</v>
      </c>
      <c r="J517" s="25" t="str">
        <f aca="false">IF(M517=1,"✓","")</f>
        <v/>
      </c>
      <c r="K517" s="4" t="str">
        <f aca="false">IF(AND(M517=0,P517=0),"▶ NEXT","")</f>
        <v>▶ NEXT</v>
      </c>
      <c r="L517" s="4" t="n">
        <f aca="false">INDEX('Master List'!$F$2:$F$2594,O517)</f>
        <v>5</v>
      </c>
      <c r="M517" s="4" t="n">
        <f aca="false">INDEX('Master List'!$G$2:$G$2594,O517)</f>
        <v>0</v>
      </c>
      <c r="N517" s="4" t="str">
        <f aca="false">IF(K517="","",A517)</f>
        <v>N042</v>
      </c>
      <c r="O517" s="4" t="n">
        <v>1943</v>
      </c>
      <c r="P517" s="4" t="n">
        <f aca="false">IF(A517=A516,P516+1-M516,0)</f>
        <v>0</v>
      </c>
    </row>
    <row r="518" customFormat="false" ht="15" hidden="false" customHeight="false" outlineLevel="0" collapsed="false">
      <c r="A518" s="28" t="s">
        <v>3957</v>
      </c>
      <c r="B518" s="28" t="s">
        <v>51</v>
      </c>
      <c r="C518" s="28" t="s">
        <v>77</v>
      </c>
      <c r="D518" s="28" t="s">
        <v>3958</v>
      </c>
      <c r="E518" s="4" t="n">
        <v>2</v>
      </c>
      <c r="F518" s="4" t="s">
        <v>144</v>
      </c>
      <c r="G518" s="7" t="s">
        <v>731</v>
      </c>
      <c r="H518" s="4" t="n">
        <v>1934</v>
      </c>
      <c r="I518" s="4" t="s">
        <v>732</v>
      </c>
      <c r="J518" s="25" t="str">
        <f aca="false">IF(M518=1,"✓","")</f>
        <v/>
      </c>
      <c r="K518" s="4" t="str">
        <f aca="false">IF(AND(M518=0,P518=0),"▶ NEXT","")</f>
        <v/>
      </c>
      <c r="L518" s="4" t="n">
        <f aca="false">INDEX('Master List'!$F$2:$F$2594,O518)</f>
        <v>2</v>
      </c>
      <c r="M518" s="4" t="n">
        <f aca="false">INDEX('Master List'!$G$2:$G$2594,O518)</f>
        <v>0</v>
      </c>
      <c r="N518" s="4" t="str">
        <f aca="false">IF(K518="","",A518)</f>
        <v/>
      </c>
      <c r="O518" s="4" t="n">
        <v>144</v>
      </c>
      <c r="P518" s="4" t="n">
        <f aca="false">IF(A518=A517,P517+1-M517,0)</f>
        <v>1</v>
      </c>
    </row>
    <row r="519" customFormat="false" ht="15" hidden="false" customHeight="false" outlineLevel="0" collapsed="false">
      <c r="A519" s="28" t="s">
        <v>3957</v>
      </c>
      <c r="B519" s="28" t="s">
        <v>51</v>
      </c>
      <c r="C519" s="28" t="s">
        <v>77</v>
      </c>
      <c r="D519" s="28" t="s">
        <v>3958</v>
      </c>
      <c r="E519" s="4" t="n">
        <v>3</v>
      </c>
      <c r="F519" s="4" t="s">
        <v>213</v>
      </c>
      <c r="G519" s="4" t="s">
        <v>451</v>
      </c>
      <c r="H519" s="4" t="n">
        <v>1937</v>
      </c>
      <c r="I519" s="4" t="s">
        <v>234</v>
      </c>
      <c r="J519" s="25" t="str">
        <f aca="false">IF(M519=1,"✓","")</f>
        <v/>
      </c>
      <c r="K519" s="4" t="str">
        <f aca="false">IF(AND(M519=0,P519=0),"▶ NEXT","")</f>
        <v/>
      </c>
      <c r="L519" s="4" t="n">
        <f aca="false">INDEX('Master List'!$F$2:$F$2594,O519)</f>
        <v>3</v>
      </c>
      <c r="M519" s="4" t="n">
        <f aca="false">INDEX('Master List'!$G$2:$G$2594,O519)</f>
        <v>0</v>
      </c>
      <c r="N519" s="4" t="str">
        <f aca="false">IF(K519="","",A519)</f>
        <v/>
      </c>
      <c r="O519" s="4" t="n">
        <v>942</v>
      </c>
      <c r="P519" s="4" t="n">
        <f aca="false">IF(A519=A518,P518+1-M518,0)</f>
        <v>2</v>
      </c>
    </row>
    <row r="520" customFormat="false" ht="15" hidden="false" customHeight="false" outlineLevel="0" collapsed="false">
      <c r="A520" s="28" t="s">
        <v>3957</v>
      </c>
      <c r="B520" s="28" t="s">
        <v>51</v>
      </c>
      <c r="C520" s="28" t="s">
        <v>77</v>
      </c>
      <c r="D520" s="28" t="s">
        <v>3958</v>
      </c>
      <c r="E520" s="4" t="n">
        <v>4</v>
      </c>
      <c r="F520" s="4" t="s">
        <v>213</v>
      </c>
      <c r="G520" s="4" t="s">
        <v>1774</v>
      </c>
      <c r="H520" s="4" t="n">
        <v>1938</v>
      </c>
      <c r="I520" s="4" t="s">
        <v>1775</v>
      </c>
      <c r="J520" s="25" t="str">
        <f aca="false">IF(M520=1,"✓","")</f>
        <v/>
      </c>
      <c r="K520" s="4" t="str">
        <f aca="false">IF(AND(M520=0,P520=0),"▶ NEXT","")</f>
        <v/>
      </c>
      <c r="L520" s="4" t="n">
        <f aca="false">INDEX('Master List'!$F$2:$F$2594,O520)</f>
        <v>1</v>
      </c>
      <c r="M520" s="4" t="n">
        <f aca="false">INDEX('Master List'!$G$2:$G$2594,O520)</f>
        <v>0</v>
      </c>
      <c r="N520" s="4" t="str">
        <f aca="false">IF(K520="","",A520)</f>
        <v/>
      </c>
      <c r="O520" s="4" t="n">
        <v>1798</v>
      </c>
      <c r="P520" s="4" t="n">
        <f aca="false">IF(A520=A519,P519+1-M519,0)</f>
        <v>3</v>
      </c>
    </row>
    <row r="521" customFormat="false" ht="15" hidden="false" customHeight="false" outlineLevel="0" collapsed="false">
      <c r="A521" s="28" t="s">
        <v>3957</v>
      </c>
      <c r="B521" s="28" t="s">
        <v>51</v>
      </c>
      <c r="C521" s="28" t="s">
        <v>77</v>
      </c>
      <c r="D521" s="28" t="s">
        <v>3958</v>
      </c>
      <c r="E521" s="4" t="n">
        <v>5</v>
      </c>
      <c r="F521" s="4" t="s">
        <v>213</v>
      </c>
      <c r="G521" s="4" t="s">
        <v>1781</v>
      </c>
      <c r="H521" s="4" t="n">
        <v>1939</v>
      </c>
      <c r="I521" s="4" t="s">
        <v>1775</v>
      </c>
      <c r="J521" s="25" t="str">
        <f aca="false">IF(M521=1,"✓","")</f>
        <v/>
      </c>
      <c r="K521" s="4" t="str">
        <f aca="false">IF(AND(M521=0,P521=0),"▶ NEXT","")</f>
        <v/>
      </c>
      <c r="L521" s="4" t="n">
        <f aca="false">INDEX('Master List'!$F$2:$F$2594,O521)</f>
        <v>1</v>
      </c>
      <c r="M521" s="4" t="n">
        <f aca="false">INDEX('Master List'!$G$2:$G$2594,O521)</f>
        <v>0</v>
      </c>
      <c r="N521" s="4" t="str">
        <f aca="false">IF(K521="","",A521)</f>
        <v/>
      </c>
      <c r="O521" s="4" t="n">
        <v>1218</v>
      </c>
      <c r="P521" s="4" t="n">
        <f aca="false">IF(A521=A520,P520+1-M520,0)</f>
        <v>4</v>
      </c>
    </row>
    <row r="522" customFormat="false" ht="15" hidden="false" customHeight="false" outlineLevel="0" collapsed="false">
      <c r="A522" s="28" t="s">
        <v>3957</v>
      </c>
      <c r="B522" s="28" t="s">
        <v>51</v>
      </c>
      <c r="C522" s="28" t="s">
        <v>77</v>
      </c>
      <c r="D522" s="28" t="s">
        <v>3958</v>
      </c>
      <c r="E522" s="4" t="n">
        <v>6</v>
      </c>
      <c r="F522" s="4" t="s">
        <v>213</v>
      </c>
      <c r="G522" s="4" t="s">
        <v>1771</v>
      </c>
      <c r="H522" s="4" t="n">
        <v>1937</v>
      </c>
      <c r="I522" s="4" t="s">
        <v>1772</v>
      </c>
      <c r="J522" s="25" t="str">
        <f aca="false">IF(M522=1,"✓","")</f>
        <v/>
      </c>
      <c r="K522" s="4" t="str">
        <f aca="false">IF(AND(M522=0,P522=0),"▶ NEXT","")</f>
        <v/>
      </c>
      <c r="L522" s="4" t="n">
        <f aca="false">INDEX('Master List'!$F$2:$F$2594,O522)</f>
        <v>1</v>
      </c>
      <c r="M522" s="4" t="n">
        <f aca="false">INDEX('Master List'!$G$2:$G$2594,O522)</f>
        <v>0</v>
      </c>
      <c r="N522" s="4" t="str">
        <f aca="false">IF(K522="","",A522)</f>
        <v/>
      </c>
      <c r="O522" s="4" t="n">
        <v>1742</v>
      </c>
      <c r="P522" s="4" t="n">
        <f aca="false">IF(A522=A521,P521+1-M521,0)</f>
        <v>5</v>
      </c>
    </row>
    <row r="523" customFormat="false" ht="15" hidden="false" customHeight="false" outlineLevel="0" collapsed="false">
      <c r="A523" s="28" t="s">
        <v>3957</v>
      </c>
      <c r="B523" s="28" t="s">
        <v>51</v>
      </c>
      <c r="C523" s="28" t="s">
        <v>77</v>
      </c>
      <c r="D523" s="28" t="s">
        <v>3958</v>
      </c>
      <c r="E523" s="4" t="n">
        <v>7</v>
      </c>
      <c r="F523" s="4" t="s">
        <v>213</v>
      </c>
      <c r="G523" s="4" t="s">
        <v>1744</v>
      </c>
      <c r="H523" s="4" t="n">
        <v>1933</v>
      </c>
      <c r="I523" s="4" t="s">
        <v>732</v>
      </c>
      <c r="J523" s="25" t="str">
        <f aca="false">IF(M523=1,"✓","")</f>
        <v/>
      </c>
      <c r="K523" s="4" t="str">
        <f aca="false">IF(AND(M523=0,P523=0),"▶ NEXT","")</f>
        <v/>
      </c>
      <c r="L523" s="4" t="n">
        <f aca="false">INDEX('Master List'!$F$2:$F$2594,O523)</f>
        <v>1</v>
      </c>
      <c r="M523" s="4" t="n">
        <f aca="false">INDEX('Master List'!$G$2:$G$2594,O523)</f>
        <v>0</v>
      </c>
      <c r="N523" s="4" t="str">
        <f aca="false">IF(K523="","",A523)</f>
        <v/>
      </c>
      <c r="O523" s="4" t="n">
        <v>2587</v>
      </c>
      <c r="P523" s="4" t="n">
        <f aca="false">IF(A523=A522,P522+1-M522,0)</f>
        <v>6</v>
      </c>
    </row>
    <row r="524" customFormat="false" ht="15" hidden="false" customHeight="false" outlineLevel="0" collapsed="false">
      <c r="A524" s="28" t="s">
        <v>3957</v>
      </c>
      <c r="B524" s="28" t="s">
        <v>51</v>
      </c>
      <c r="C524" s="28" t="s">
        <v>77</v>
      </c>
      <c r="D524" s="28" t="s">
        <v>3958</v>
      </c>
      <c r="E524" s="4" t="n">
        <v>8</v>
      </c>
      <c r="F524" s="4" t="s">
        <v>213</v>
      </c>
      <c r="G524" s="4" t="s">
        <v>1824</v>
      </c>
      <c r="H524" s="4" t="n">
        <v>1945</v>
      </c>
      <c r="I524" s="4" t="s">
        <v>1775</v>
      </c>
      <c r="J524" s="25" t="str">
        <f aca="false">IF(M524=1,"✓","")</f>
        <v/>
      </c>
      <c r="K524" s="4" t="str">
        <f aca="false">IF(AND(M524=0,P524=0),"▶ NEXT","")</f>
        <v/>
      </c>
      <c r="L524" s="4" t="n">
        <f aca="false">INDEX('Master List'!$F$2:$F$2594,O524)</f>
        <v>1</v>
      </c>
      <c r="M524" s="4" t="n">
        <f aca="false">INDEX('Master List'!$G$2:$G$2594,O524)</f>
        <v>0</v>
      </c>
      <c r="N524" s="4" t="str">
        <f aca="false">IF(K524="","",A524)</f>
        <v/>
      </c>
      <c r="O524" s="4" t="n">
        <v>445</v>
      </c>
      <c r="P524" s="4" t="n">
        <f aca="false">IF(A524=A523,P523+1-M523,0)</f>
        <v>7</v>
      </c>
    </row>
    <row r="525" customFormat="false" ht="15" hidden="false" customHeight="false" outlineLevel="0" collapsed="false">
      <c r="A525" s="28" t="s">
        <v>3957</v>
      </c>
      <c r="B525" s="28" t="s">
        <v>51</v>
      </c>
      <c r="C525" s="28" t="s">
        <v>77</v>
      </c>
      <c r="D525" s="28" t="s">
        <v>3958</v>
      </c>
      <c r="E525" s="4" t="n">
        <v>9</v>
      </c>
      <c r="F525" s="4" t="s">
        <v>1327</v>
      </c>
      <c r="G525" s="4" t="s">
        <v>1299</v>
      </c>
      <c r="H525" s="4" t="n">
        <v>1931</v>
      </c>
      <c r="I525" s="4" t="s">
        <v>234</v>
      </c>
      <c r="J525" s="25" t="str">
        <f aca="false">IF(M525=1,"✓","")</f>
        <v/>
      </c>
      <c r="K525" s="4" t="str">
        <f aca="false">IF(AND(M525=0,P525=0),"▶ NEXT","")</f>
        <v/>
      </c>
      <c r="L525" s="4" t="n">
        <f aca="false">INDEX('Master List'!$F$2:$F$2594,O525)</f>
        <v>2</v>
      </c>
      <c r="M525" s="4" t="n">
        <f aca="false">INDEX('Master List'!$G$2:$G$2594,O525)</f>
        <v>0</v>
      </c>
      <c r="N525" s="4" t="str">
        <f aca="false">IF(K525="","",A525)</f>
        <v/>
      </c>
      <c r="O525" s="4" t="n">
        <v>441</v>
      </c>
      <c r="P525" s="4" t="n">
        <f aca="false">IF(A525=A524,P524+1-M524,0)</f>
        <v>8</v>
      </c>
    </row>
    <row r="526" customFormat="false" ht="15" hidden="false" customHeight="false" outlineLevel="0" collapsed="false">
      <c r="A526" s="28" t="s">
        <v>3957</v>
      </c>
      <c r="B526" s="28" t="s">
        <v>51</v>
      </c>
      <c r="C526" s="28" t="s">
        <v>77</v>
      </c>
      <c r="D526" s="28" t="s">
        <v>3958</v>
      </c>
      <c r="E526" s="4" t="n">
        <v>10</v>
      </c>
      <c r="F526" s="4" t="s">
        <v>1327</v>
      </c>
      <c r="G526" s="4" t="s">
        <v>1305</v>
      </c>
      <c r="H526" s="4" t="n">
        <v>1932</v>
      </c>
      <c r="I526" s="4" t="s">
        <v>234</v>
      </c>
      <c r="J526" s="25" t="str">
        <f aca="false">IF(M526=1,"✓","")</f>
        <v/>
      </c>
      <c r="K526" s="4" t="str">
        <f aca="false">IF(AND(M526=0,P526=0),"▶ NEXT","")</f>
        <v/>
      </c>
      <c r="L526" s="4" t="n">
        <f aca="false">INDEX('Master List'!$F$2:$F$2594,O526)</f>
        <v>2</v>
      </c>
      <c r="M526" s="4" t="n">
        <f aca="false">INDEX('Master List'!$G$2:$G$2594,O526)</f>
        <v>0</v>
      </c>
      <c r="N526" s="4" t="str">
        <f aca="false">IF(K526="","",A526)</f>
        <v/>
      </c>
      <c r="O526" s="4" t="n">
        <v>322</v>
      </c>
      <c r="P526" s="4" t="n">
        <f aca="false">IF(A526=A525,P525+1-M525,0)</f>
        <v>9</v>
      </c>
    </row>
    <row r="527" customFormat="false" ht="15" hidden="false" customHeight="false" outlineLevel="0" collapsed="false">
      <c r="A527" s="28" t="s">
        <v>3959</v>
      </c>
      <c r="B527" s="28" t="s">
        <v>51</v>
      </c>
      <c r="C527" s="28" t="s">
        <v>77</v>
      </c>
      <c r="D527" s="28" t="s">
        <v>3960</v>
      </c>
      <c r="E527" s="4" t="n">
        <v>1</v>
      </c>
      <c r="F527" s="4" t="s">
        <v>144</v>
      </c>
      <c r="G527" s="7" t="s">
        <v>149</v>
      </c>
      <c r="H527" s="4" t="n">
        <v>1959</v>
      </c>
      <c r="I527" s="4" t="s">
        <v>150</v>
      </c>
      <c r="J527" s="25" t="str">
        <f aca="false">IF(M527=1,"✓","")</f>
        <v/>
      </c>
      <c r="K527" s="4" t="str">
        <f aca="false">IF(AND(M527=0,P527=0),"▶ NEXT","")</f>
        <v>▶ NEXT</v>
      </c>
      <c r="L527" s="4" t="n">
        <f aca="false">INDEX('Master List'!$F$2:$F$2594,O527)</f>
        <v>8</v>
      </c>
      <c r="M527" s="4" t="n">
        <f aca="false">INDEX('Master List'!$G$2:$G$2594,O527)</f>
        <v>0</v>
      </c>
      <c r="N527" s="4" t="str">
        <f aca="false">IF(K527="","",A527)</f>
        <v>N043</v>
      </c>
      <c r="O527" s="4" t="n">
        <v>25</v>
      </c>
      <c r="P527" s="4" t="n">
        <f aca="false">IF(A527=A526,P526+1-M526,0)</f>
        <v>0</v>
      </c>
    </row>
    <row r="528" customFormat="false" ht="15" hidden="false" customHeight="false" outlineLevel="0" collapsed="false">
      <c r="A528" s="28" t="s">
        <v>3959</v>
      </c>
      <c r="B528" s="28" t="s">
        <v>51</v>
      </c>
      <c r="C528" s="28" t="s">
        <v>77</v>
      </c>
      <c r="D528" s="28" t="s">
        <v>3960</v>
      </c>
      <c r="E528" s="4" t="n">
        <v>2</v>
      </c>
      <c r="F528" s="4" t="s">
        <v>144</v>
      </c>
      <c r="G528" s="7" t="s">
        <v>151</v>
      </c>
      <c r="H528" s="4" t="n">
        <v>1960</v>
      </c>
      <c r="I528" s="4" t="s">
        <v>152</v>
      </c>
      <c r="J528" s="25" t="str">
        <f aca="false">IF(M528=1,"✓","")</f>
        <v/>
      </c>
      <c r="K528" s="4" t="str">
        <f aca="false">IF(AND(M528=0,P528=0),"▶ NEXT","")</f>
        <v/>
      </c>
      <c r="L528" s="4" t="n">
        <f aca="false">INDEX('Master List'!$F$2:$F$2594,O528)</f>
        <v>9</v>
      </c>
      <c r="M528" s="4" t="n">
        <f aca="false">INDEX('Master List'!$G$2:$G$2594,O528)</f>
        <v>0</v>
      </c>
      <c r="N528" s="4" t="str">
        <f aca="false">IF(K528="","",A528)</f>
        <v/>
      </c>
      <c r="O528" s="4" t="n">
        <v>342</v>
      </c>
      <c r="P528" s="4" t="n">
        <f aca="false">IF(A528=A527,P527+1-M527,0)</f>
        <v>1</v>
      </c>
    </row>
    <row r="529" customFormat="false" ht="15" hidden="false" customHeight="false" outlineLevel="0" collapsed="false">
      <c r="A529" s="28" t="s">
        <v>3959</v>
      </c>
      <c r="B529" s="28" t="s">
        <v>51</v>
      </c>
      <c r="C529" s="28" t="s">
        <v>77</v>
      </c>
      <c r="D529" s="28" t="s">
        <v>3960</v>
      </c>
      <c r="E529" s="4" t="n">
        <v>3</v>
      </c>
      <c r="F529" s="4" t="s">
        <v>213</v>
      </c>
      <c r="G529" s="4" t="s">
        <v>1951</v>
      </c>
      <c r="H529" s="4" t="n">
        <v>1958</v>
      </c>
      <c r="I529" s="4" t="s">
        <v>1952</v>
      </c>
      <c r="J529" s="25" t="str">
        <f aca="false">IF(M529=1,"✓","")</f>
        <v/>
      </c>
      <c r="K529" s="4" t="str">
        <f aca="false">IF(AND(M529=0,P529=0),"▶ NEXT","")</f>
        <v/>
      </c>
      <c r="L529" s="4" t="n">
        <f aca="false">INDEX('Master List'!$F$2:$F$2594,O529)</f>
        <v>1</v>
      </c>
      <c r="M529" s="4" t="n">
        <f aca="false">INDEX('Master List'!$G$2:$G$2594,O529)</f>
        <v>0</v>
      </c>
      <c r="N529" s="4" t="str">
        <f aca="false">IF(K529="","",A529)</f>
        <v/>
      </c>
      <c r="O529" s="4" t="n">
        <v>205</v>
      </c>
      <c r="P529" s="4" t="n">
        <f aca="false">IF(A529=A528,P528+1-M528,0)</f>
        <v>2</v>
      </c>
    </row>
    <row r="530" customFormat="false" ht="15" hidden="false" customHeight="false" outlineLevel="0" collapsed="false">
      <c r="A530" s="28" t="s">
        <v>3959</v>
      </c>
      <c r="B530" s="28" t="s">
        <v>51</v>
      </c>
      <c r="C530" s="28" t="s">
        <v>77</v>
      </c>
      <c r="D530" s="28" t="s">
        <v>3960</v>
      </c>
      <c r="E530" s="4" t="n">
        <v>4</v>
      </c>
      <c r="F530" s="4" t="s">
        <v>213</v>
      </c>
      <c r="G530" s="4" t="s">
        <v>1973</v>
      </c>
      <c r="H530" s="4" t="n">
        <v>1960</v>
      </c>
      <c r="I530" s="4" t="s">
        <v>150</v>
      </c>
      <c r="J530" s="25" t="str">
        <f aca="false">IF(M530=1,"✓","")</f>
        <v/>
      </c>
      <c r="K530" s="4" t="str">
        <f aca="false">IF(AND(M530=0,P530=0),"▶ NEXT","")</f>
        <v/>
      </c>
      <c r="L530" s="4" t="n">
        <f aca="false">INDEX('Master List'!$F$2:$F$2594,O530)</f>
        <v>1</v>
      </c>
      <c r="M530" s="4" t="n">
        <f aca="false">INDEX('Master List'!$G$2:$G$2594,O530)</f>
        <v>0</v>
      </c>
      <c r="N530" s="4" t="str">
        <f aca="false">IF(K530="","",A530)</f>
        <v/>
      </c>
      <c r="O530" s="4" t="n">
        <v>2053</v>
      </c>
      <c r="P530" s="4" t="n">
        <f aca="false">IF(A530=A529,P529+1-M529,0)</f>
        <v>3</v>
      </c>
    </row>
    <row r="531" customFormat="false" ht="15" hidden="false" customHeight="false" outlineLevel="0" collapsed="false">
      <c r="A531" s="28" t="s">
        <v>3959</v>
      </c>
      <c r="B531" s="28" t="s">
        <v>51</v>
      </c>
      <c r="C531" s="28" t="s">
        <v>77</v>
      </c>
      <c r="D531" s="28" t="s">
        <v>3960</v>
      </c>
      <c r="E531" s="4" t="n">
        <v>5</v>
      </c>
      <c r="F531" s="4" t="s">
        <v>213</v>
      </c>
      <c r="G531" s="4" t="s">
        <v>956</v>
      </c>
      <c r="H531" s="4" t="n">
        <v>1961</v>
      </c>
      <c r="I531" s="4" t="s">
        <v>957</v>
      </c>
      <c r="J531" s="25" t="str">
        <f aca="false">IF(M531=1,"✓","")</f>
        <v/>
      </c>
      <c r="K531" s="4" t="str">
        <f aca="false">IF(AND(M531=0,P531=0),"▶ NEXT","")</f>
        <v/>
      </c>
      <c r="L531" s="4" t="n">
        <f aca="false">INDEX('Master List'!$F$2:$F$2594,O531)</f>
        <v>2</v>
      </c>
      <c r="M531" s="4" t="n">
        <f aca="false">INDEX('Master List'!$G$2:$G$2594,O531)</f>
        <v>0</v>
      </c>
      <c r="N531" s="4" t="str">
        <f aca="false">IF(K531="","",A531)</f>
        <v/>
      </c>
      <c r="O531" s="4" t="n">
        <v>1721</v>
      </c>
      <c r="P531" s="4" t="n">
        <f aca="false">IF(A531=A530,P530+1-M530,0)</f>
        <v>4</v>
      </c>
    </row>
    <row r="532" customFormat="false" ht="15" hidden="false" customHeight="false" outlineLevel="0" collapsed="false">
      <c r="A532" s="28" t="s">
        <v>3959</v>
      </c>
      <c r="B532" s="28" t="s">
        <v>51</v>
      </c>
      <c r="C532" s="28" t="s">
        <v>77</v>
      </c>
      <c r="D532" s="28" t="s">
        <v>3960</v>
      </c>
      <c r="E532" s="4" t="n">
        <v>6</v>
      </c>
      <c r="F532" s="4" t="s">
        <v>213</v>
      </c>
      <c r="G532" s="4" t="s">
        <v>961</v>
      </c>
      <c r="H532" s="4" t="n">
        <v>1962</v>
      </c>
      <c r="I532" s="4" t="s">
        <v>150</v>
      </c>
      <c r="J532" s="25" t="str">
        <f aca="false">IF(M532=1,"✓","")</f>
        <v/>
      </c>
      <c r="K532" s="4" t="str">
        <f aca="false">IF(AND(M532=0,P532=0),"▶ NEXT","")</f>
        <v/>
      </c>
      <c r="L532" s="4" t="n">
        <f aca="false">INDEX('Master List'!$F$2:$F$2594,O532)</f>
        <v>2</v>
      </c>
      <c r="M532" s="4" t="n">
        <f aca="false">INDEX('Master List'!$G$2:$G$2594,O532)</f>
        <v>0</v>
      </c>
      <c r="N532" s="4" t="str">
        <f aca="false">IF(K532="","",A532)</f>
        <v/>
      </c>
      <c r="O532" s="4" t="n">
        <v>1223</v>
      </c>
      <c r="P532" s="4" t="n">
        <f aca="false">IF(A532=A531,P531+1-M531,0)</f>
        <v>5</v>
      </c>
    </row>
    <row r="533" customFormat="false" ht="15" hidden="false" customHeight="false" outlineLevel="0" collapsed="false">
      <c r="A533" s="28" t="s">
        <v>3959</v>
      </c>
      <c r="B533" s="28" t="s">
        <v>51</v>
      </c>
      <c r="C533" s="28" t="s">
        <v>77</v>
      </c>
      <c r="D533" s="28" t="s">
        <v>3960</v>
      </c>
      <c r="E533" s="4" t="n">
        <v>7</v>
      </c>
      <c r="F533" s="4" t="s">
        <v>213</v>
      </c>
      <c r="G533" s="4" t="s">
        <v>962</v>
      </c>
      <c r="H533" s="4" t="n">
        <v>1962</v>
      </c>
      <c r="I533" s="4" t="s">
        <v>152</v>
      </c>
      <c r="J533" s="25" t="str">
        <f aca="false">IF(M533=1,"✓","")</f>
        <v/>
      </c>
      <c r="K533" s="4" t="str">
        <f aca="false">IF(AND(M533=0,P533=0),"▶ NEXT","")</f>
        <v/>
      </c>
      <c r="L533" s="4" t="n">
        <f aca="false">INDEX('Master List'!$F$2:$F$2594,O533)</f>
        <v>2</v>
      </c>
      <c r="M533" s="4" t="n">
        <f aca="false">INDEX('Master List'!$G$2:$G$2594,O533)</f>
        <v>0</v>
      </c>
      <c r="N533" s="4" t="str">
        <f aca="false">IF(K533="","",A533)</f>
        <v/>
      </c>
      <c r="O533" s="4" t="n">
        <v>2440</v>
      </c>
      <c r="P533" s="4" t="n">
        <f aca="false">IF(A533=A532,P532+1-M532,0)</f>
        <v>6</v>
      </c>
    </row>
    <row r="534" customFormat="false" ht="15" hidden="false" customHeight="false" outlineLevel="0" collapsed="false">
      <c r="A534" s="28" t="s">
        <v>3959</v>
      </c>
      <c r="B534" s="28" t="s">
        <v>51</v>
      </c>
      <c r="C534" s="28" t="s">
        <v>77</v>
      </c>
      <c r="D534" s="28" t="s">
        <v>3960</v>
      </c>
      <c r="E534" s="4" t="n">
        <v>8</v>
      </c>
      <c r="F534" s="4" t="s">
        <v>213</v>
      </c>
      <c r="G534" s="4" t="s">
        <v>462</v>
      </c>
      <c r="H534" s="4" t="n">
        <v>1963</v>
      </c>
      <c r="I534" s="4" t="s">
        <v>152</v>
      </c>
      <c r="J534" s="25" t="str">
        <f aca="false">IF(M534=1,"✓","")</f>
        <v/>
      </c>
      <c r="K534" s="4" t="str">
        <f aca="false">IF(AND(M534=0,P534=0),"▶ NEXT","")</f>
        <v/>
      </c>
      <c r="L534" s="4" t="n">
        <f aca="false">INDEX('Master List'!$F$2:$F$2594,O534)</f>
        <v>3</v>
      </c>
      <c r="M534" s="4" t="n">
        <f aca="false">INDEX('Master List'!$G$2:$G$2594,O534)</f>
        <v>0</v>
      </c>
      <c r="N534" s="4" t="str">
        <f aca="false">IF(K534="","",A534)</f>
        <v/>
      </c>
      <c r="O534" s="4" t="n">
        <v>518</v>
      </c>
      <c r="P534" s="4" t="n">
        <f aca="false">IF(A534=A533,P533+1-M533,0)</f>
        <v>7</v>
      </c>
    </row>
    <row r="535" customFormat="false" ht="15" hidden="false" customHeight="false" outlineLevel="0" collapsed="false">
      <c r="A535" s="28" t="s">
        <v>3959</v>
      </c>
      <c r="B535" s="28" t="s">
        <v>51</v>
      </c>
      <c r="C535" s="28" t="s">
        <v>77</v>
      </c>
      <c r="D535" s="28" t="s">
        <v>3960</v>
      </c>
      <c r="E535" s="4" t="n">
        <v>9</v>
      </c>
      <c r="F535" s="4" t="s">
        <v>213</v>
      </c>
      <c r="G535" s="4" t="s">
        <v>585</v>
      </c>
      <c r="H535" s="4" t="n">
        <v>1964</v>
      </c>
      <c r="I535" s="4" t="s">
        <v>152</v>
      </c>
      <c r="J535" s="25" t="str">
        <f aca="false">IF(M535=1,"✓","")</f>
        <v/>
      </c>
      <c r="K535" s="4" t="str">
        <f aca="false">IF(AND(M535=0,P535=0),"▶ NEXT","")</f>
        <v/>
      </c>
      <c r="L535" s="4" t="n">
        <f aca="false">INDEX('Master List'!$F$2:$F$2594,O535)</f>
        <v>3</v>
      </c>
      <c r="M535" s="4" t="n">
        <f aca="false">INDEX('Master List'!$G$2:$G$2594,O535)</f>
        <v>0</v>
      </c>
      <c r="N535" s="4" t="str">
        <f aca="false">IF(K535="","",A535)</f>
        <v/>
      </c>
      <c r="O535" s="4" t="n">
        <v>182</v>
      </c>
      <c r="P535" s="4" t="n">
        <f aca="false">IF(A535=A534,P534+1-M534,0)</f>
        <v>8</v>
      </c>
    </row>
    <row r="536" customFormat="false" ht="15" hidden="false" customHeight="false" outlineLevel="0" collapsed="false">
      <c r="A536" s="28" t="s">
        <v>3959</v>
      </c>
      <c r="B536" s="28" t="s">
        <v>51</v>
      </c>
      <c r="C536" s="28" t="s">
        <v>77</v>
      </c>
      <c r="D536" s="28" t="s">
        <v>3960</v>
      </c>
      <c r="E536" s="4" t="n">
        <v>10</v>
      </c>
      <c r="F536" s="4" t="s">
        <v>213</v>
      </c>
      <c r="G536" s="4" t="s">
        <v>984</v>
      </c>
      <c r="H536" s="4" t="n">
        <v>1965</v>
      </c>
      <c r="I536" s="4" t="s">
        <v>152</v>
      </c>
      <c r="J536" s="25" t="str">
        <f aca="false">IF(M536=1,"✓","")</f>
        <v/>
      </c>
      <c r="K536" s="4" t="str">
        <f aca="false">IF(AND(M536=0,P536=0),"▶ NEXT","")</f>
        <v/>
      </c>
      <c r="L536" s="4" t="n">
        <f aca="false">INDEX('Master List'!$F$2:$F$2594,O536)</f>
        <v>2</v>
      </c>
      <c r="M536" s="4" t="n">
        <f aca="false">INDEX('Master List'!$G$2:$G$2594,O536)</f>
        <v>0</v>
      </c>
      <c r="N536" s="4" t="str">
        <f aca="false">IF(K536="","",A536)</f>
        <v/>
      </c>
      <c r="O536" s="4" t="n">
        <v>1765</v>
      </c>
      <c r="P536" s="4" t="n">
        <f aca="false">IF(A536=A535,P535+1-M535,0)</f>
        <v>9</v>
      </c>
    </row>
    <row r="537" customFormat="false" ht="15" hidden="false" customHeight="false" outlineLevel="0" collapsed="false">
      <c r="A537" s="28" t="s">
        <v>3959</v>
      </c>
      <c r="B537" s="28" t="s">
        <v>51</v>
      </c>
      <c r="C537" s="28" t="s">
        <v>77</v>
      </c>
      <c r="D537" s="28" t="s">
        <v>3960</v>
      </c>
      <c r="E537" s="4" t="n">
        <v>11</v>
      </c>
      <c r="F537" s="4" t="s">
        <v>213</v>
      </c>
      <c r="G537" s="4" t="s">
        <v>418</v>
      </c>
      <c r="H537" s="4" t="n">
        <v>1969</v>
      </c>
      <c r="I537" s="4" t="s">
        <v>419</v>
      </c>
      <c r="J537" s="25" t="str">
        <f aca="false">IF(M537=1,"✓","")</f>
        <v/>
      </c>
      <c r="K537" s="4" t="str">
        <f aca="false">IF(AND(M537=0,P537=0),"▶ NEXT","")</f>
        <v/>
      </c>
      <c r="L537" s="4" t="n">
        <f aca="false">INDEX('Master List'!$F$2:$F$2594,O537)</f>
        <v>3</v>
      </c>
      <c r="M537" s="4" t="n">
        <f aca="false">INDEX('Master List'!$G$2:$G$2594,O537)</f>
        <v>0</v>
      </c>
      <c r="N537" s="4" t="str">
        <f aca="false">IF(K537="","",A537)</f>
        <v/>
      </c>
      <c r="O537" s="4" t="n">
        <v>1575</v>
      </c>
      <c r="P537" s="4" t="n">
        <f aca="false">IF(A537=A536,P536+1-M536,0)</f>
        <v>10</v>
      </c>
    </row>
    <row r="538" customFormat="false" ht="15" hidden="false" customHeight="false" outlineLevel="0" collapsed="false">
      <c r="A538" s="28" t="s">
        <v>3959</v>
      </c>
      <c r="B538" s="28" t="s">
        <v>51</v>
      </c>
      <c r="C538" s="28" t="s">
        <v>77</v>
      </c>
      <c r="D538" s="28" t="s">
        <v>3960</v>
      </c>
      <c r="E538" s="4" t="n">
        <v>12</v>
      </c>
      <c r="F538" s="4" t="s">
        <v>1327</v>
      </c>
      <c r="G538" s="4" t="s">
        <v>1324</v>
      </c>
      <c r="H538" s="4" t="n">
        <v>1961</v>
      </c>
      <c r="I538" s="4" t="s">
        <v>777</v>
      </c>
      <c r="J538" s="25" t="str">
        <f aca="false">IF(M538=1,"✓","")</f>
        <v/>
      </c>
      <c r="K538" s="4" t="str">
        <f aca="false">IF(AND(M538=0,P538=0),"▶ NEXT","")</f>
        <v/>
      </c>
      <c r="L538" s="4" t="n">
        <f aca="false">INDEX('Master List'!$F$2:$F$2594,O538)</f>
        <v>2</v>
      </c>
      <c r="M538" s="4" t="n">
        <f aca="false">INDEX('Master List'!$G$2:$G$2594,O538)</f>
        <v>0</v>
      </c>
      <c r="N538" s="4" t="str">
        <f aca="false">IF(K538="","",A538)</f>
        <v/>
      </c>
      <c r="O538" s="4" t="n">
        <v>1367</v>
      </c>
      <c r="P538" s="4" t="n">
        <f aca="false">IF(A538=A537,P537+1-M537,0)</f>
        <v>11</v>
      </c>
    </row>
    <row r="539" customFormat="false" ht="15" hidden="false" customHeight="false" outlineLevel="0" collapsed="false">
      <c r="A539" s="28" t="s">
        <v>3959</v>
      </c>
      <c r="B539" s="28" t="s">
        <v>51</v>
      </c>
      <c r="C539" s="28" t="s">
        <v>77</v>
      </c>
      <c r="D539" s="28" t="s">
        <v>3960</v>
      </c>
      <c r="E539" s="4" t="n">
        <v>13</v>
      </c>
      <c r="F539" s="4" t="s">
        <v>1327</v>
      </c>
      <c r="G539" s="4" t="s">
        <v>3412</v>
      </c>
      <c r="H539" s="4" t="n">
        <v>1962</v>
      </c>
      <c r="I539" s="4" t="s">
        <v>3413</v>
      </c>
      <c r="J539" s="25" t="str">
        <f aca="false">IF(M539=1,"✓","")</f>
        <v/>
      </c>
      <c r="K539" s="4" t="str">
        <f aca="false">IF(AND(M539=0,P539=0),"▶ NEXT","")</f>
        <v/>
      </c>
      <c r="L539" s="4" t="n">
        <f aca="false">INDEX('Master List'!$F$2:$F$2594,O539)</f>
        <v>1</v>
      </c>
      <c r="M539" s="4" t="n">
        <f aca="false">INDEX('Master List'!$G$2:$G$2594,O539)</f>
        <v>0</v>
      </c>
      <c r="N539" s="4" t="str">
        <f aca="false">IF(K539="","",A539)</f>
        <v/>
      </c>
      <c r="O539" s="4" t="n">
        <v>43</v>
      </c>
      <c r="P539" s="4" t="n">
        <f aca="false">IF(A539=A538,P538+1-M538,0)</f>
        <v>12</v>
      </c>
    </row>
    <row r="540" customFormat="false" ht="15" hidden="false" customHeight="false" outlineLevel="0" collapsed="false">
      <c r="A540" s="28" t="s">
        <v>3959</v>
      </c>
      <c r="B540" s="28" t="s">
        <v>51</v>
      </c>
      <c r="C540" s="28" t="s">
        <v>77</v>
      </c>
      <c r="D540" s="28" t="s">
        <v>3960</v>
      </c>
      <c r="E540" s="4" t="n">
        <v>14</v>
      </c>
      <c r="F540" s="4" t="s">
        <v>1327</v>
      </c>
      <c r="G540" s="4" t="s">
        <v>3532</v>
      </c>
      <c r="H540" s="4" t="n">
        <v>1974</v>
      </c>
      <c r="I540" s="4" t="s">
        <v>957</v>
      </c>
      <c r="J540" s="25" t="str">
        <f aca="false">IF(M540=1,"✓","")</f>
        <v/>
      </c>
      <c r="K540" s="4" t="str">
        <f aca="false">IF(AND(M540=0,P540=0),"▶ NEXT","")</f>
        <v/>
      </c>
      <c r="L540" s="4" t="n">
        <f aca="false">INDEX('Master List'!$F$2:$F$2594,O540)</f>
        <v>1</v>
      </c>
      <c r="M540" s="4" t="n">
        <f aca="false">INDEX('Master List'!$G$2:$G$2594,O540)</f>
        <v>0</v>
      </c>
      <c r="N540" s="4" t="str">
        <f aca="false">IF(K540="","",A540)</f>
        <v/>
      </c>
      <c r="O540" s="4" t="n">
        <v>417</v>
      </c>
      <c r="P540" s="4" t="n">
        <f aca="false">IF(A540=A539,P539+1-M539,0)</f>
        <v>13</v>
      </c>
    </row>
    <row r="541" customFormat="false" ht="15" hidden="false" customHeight="false" outlineLevel="0" collapsed="false">
      <c r="A541" s="28" t="s">
        <v>3961</v>
      </c>
      <c r="B541" s="28" t="s">
        <v>51</v>
      </c>
      <c r="C541" s="28" t="s">
        <v>77</v>
      </c>
      <c r="D541" s="28" t="s">
        <v>3962</v>
      </c>
      <c r="E541" s="4" t="n">
        <v>1</v>
      </c>
      <c r="F541" s="4" t="s">
        <v>144</v>
      </c>
      <c r="G541" s="7" t="s">
        <v>157</v>
      </c>
      <c r="H541" s="4" t="n">
        <v>1962</v>
      </c>
      <c r="I541" s="4" t="s">
        <v>158</v>
      </c>
      <c r="J541" s="25" t="str">
        <f aca="false">IF(M541=1,"✓","")</f>
        <v/>
      </c>
      <c r="K541" s="4" t="str">
        <f aca="false">IF(AND(M541=0,P541=0),"▶ NEXT","")</f>
        <v>▶ NEXT</v>
      </c>
      <c r="L541" s="4" t="n">
        <f aca="false">INDEX('Master List'!$F$2:$F$2594,O541)</f>
        <v>7</v>
      </c>
      <c r="M541" s="4" t="n">
        <f aca="false">INDEX('Master List'!$G$2:$G$2594,O541)</f>
        <v>0</v>
      </c>
      <c r="N541" s="4" t="str">
        <f aca="false">IF(K541="","",A541)</f>
        <v>N044</v>
      </c>
      <c r="O541" s="4" t="n">
        <v>475</v>
      </c>
      <c r="P541" s="4" t="n">
        <f aca="false">IF(A541=A540,P540+1-M540,0)</f>
        <v>0</v>
      </c>
    </row>
    <row r="542" customFormat="false" ht="15" hidden="false" customHeight="false" outlineLevel="0" collapsed="false">
      <c r="A542" s="28" t="s">
        <v>3961</v>
      </c>
      <c r="B542" s="28" t="s">
        <v>51</v>
      </c>
      <c r="C542" s="28" t="s">
        <v>77</v>
      </c>
      <c r="D542" s="28" t="s">
        <v>3962</v>
      </c>
      <c r="E542" s="4" t="n">
        <v>2</v>
      </c>
      <c r="F542" s="4" t="s">
        <v>144</v>
      </c>
      <c r="G542" s="7" t="s">
        <v>415</v>
      </c>
      <c r="H542" s="4" t="n">
        <v>1962</v>
      </c>
      <c r="I542" s="4" t="s">
        <v>416</v>
      </c>
      <c r="J542" s="25" t="str">
        <f aca="false">IF(M542=1,"✓","")</f>
        <v/>
      </c>
      <c r="K542" s="4" t="str">
        <f aca="false">IF(AND(M542=0,P542=0),"▶ NEXT","")</f>
        <v/>
      </c>
      <c r="L542" s="4" t="n">
        <f aca="false">INDEX('Master List'!$F$2:$F$2594,O542)</f>
        <v>3</v>
      </c>
      <c r="M542" s="4" t="n">
        <f aca="false">INDEX('Master List'!$G$2:$G$2594,O542)</f>
        <v>0</v>
      </c>
      <c r="N542" s="4" t="str">
        <f aca="false">IF(K542="","",A542)</f>
        <v/>
      </c>
      <c r="O542" s="4" t="n">
        <v>1205</v>
      </c>
      <c r="P542" s="4" t="n">
        <f aca="false">IF(A542=A541,P541+1-M541,0)</f>
        <v>1</v>
      </c>
    </row>
    <row r="543" customFormat="false" ht="15" hidden="false" customHeight="false" outlineLevel="0" collapsed="false">
      <c r="A543" s="28" t="s">
        <v>3961</v>
      </c>
      <c r="B543" s="28" t="s">
        <v>51</v>
      </c>
      <c r="C543" s="28" t="s">
        <v>77</v>
      </c>
      <c r="D543" s="28" t="s">
        <v>3962</v>
      </c>
      <c r="E543" s="4" t="n">
        <v>3</v>
      </c>
      <c r="F543" s="4" t="s">
        <v>213</v>
      </c>
      <c r="G543" s="4" t="s">
        <v>659</v>
      </c>
      <c r="H543" s="4" t="n">
        <v>1956</v>
      </c>
      <c r="I543" s="4" t="s">
        <v>272</v>
      </c>
      <c r="J543" s="25" t="str">
        <f aca="false">IF(M543=1,"✓","")</f>
        <v/>
      </c>
      <c r="K543" s="4" t="str">
        <f aca="false">IF(AND(M543=0,P543=0),"▶ NEXT","")</f>
        <v/>
      </c>
      <c r="L543" s="4" t="n">
        <f aca="false">INDEX('Master List'!$F$2:$F$2594,O543)</f>
        <v>3</v>
      </c>
      <c r="M543" s="4" t="n">
        <f aca="false">INDEX('Master List'!$G$2:$G$2594,O543)</f>
        <v>0</v>
      </c>
      <c r="N543" s="4" t="str">
        <f aca="false">IF(K543="","",A543)</f>
        <v/>
      </c>
      <c r="O543" s="4" t="n">
        <v>1600</v>
      </c>
      <c r="P543" s="4" t="n">
        <f aca="false">IF(A543=A542,P542+1-M542,0)</f>
        <v>2</v>
      </c>
    </row>
    <row r="544" customFormat="false" ht="15" hidden="false" customHeight="false" outlineLevel="0" collapsed="false">
      <c r="A544" s="28" t="s">
        <v>3961</v>
      </c>
      <c r="B544" s="28" t="s">
        <v>51</v>
      </c>
      <c r="C544" s="28" t="s">
        <v>77</v>
      </c>
      <c r="D544" s="28" t="s">
        <v>3962</v>
      </c>
      <c r="E544" s="4" t="n">
        <v>4</v>
      </c>
      <c r="F544" s="4" t="s">
        <v>213</v>
      </c>
      <c r="G544" s="4" t="s">
        <v>271</v>
      </c>
      <c r="H544" s="4" t="n">
        <v>1959</v>
      </c>
      <c r="I544" s="4" t="s">
        <v>272</v>
      </c>
      <c r="J544" s="25" t="str">
        <f aca="false">IF(M544=1,"✓","")</f>
        <v/>
      </c>
      <c r="K544" s="4" t="str">
        <f aca="false">IF(AND(M544=0,P544=0),"▶ NEXT","")</f>
        <v/>
      </c>
      <c r="L544" s="4" t="n">
        <f aca="false">INDEX('Master List'!$F$2:$F$2594,O544)</f>
        <v>6</v>
      </c>
      <c r="M544" s="4" t="n">
        <f aca="false">INDEX('Master List'!$G$2:$G$2594,O544)</f>
        <v>0</v>
      </c>
      <c r="N544" s="4" t="str">
        <f aca="false">IF(K544="","",A544)</f>
        <v/>
      </c>
      <c r="O544" s="4" t="n">
        <v>1040</v>
      </c>
      <c r="P544" s="4" t="n">
        <f aca="false">IF(A544=A543,P543+1-M543,0)</f>
        <v>3</v>
      </c>
    </row>
    <row r="545" customFormat="false" ht="15" hidden="false" customHeight="false" outlineLevel="0" collapsed="false">
      <c r="A545" s="28" t="s">
        <v>3961</v>
      </c>
      <c r="B545" s="28" t="s">
        <v>51</v>
      </c>
      <c r="C545" s="28" t="s">
        <v>77</v>
      </c>
      <c r="D545" s="28" t="s">
        <v>3962</v>
      </c>
      <c r="E545" s="4" t="n">
        <v>5</v>
      </c>
      <c r="F545" s="4" t="s">
        <v>213</v>
      </c>
      <c r="G545" s="4" t="s">
        <v>458</v>
      </c>
      <c r="H545" s="4" t="n">
        <v>1961</v>
      </c>
      <c r="I545" s="4" t="s">
        <v>272</v>
      </c>
      <c r="J545" s="25" t="str">
        <f aca="false">IF(M545=1,"✓","")</f>
        <v/>
      </c>
      <c r="K545" s="4" t="str">
        <f aca="false">IF(AND(M545=0,P545=0),"▶ NEXT","")</f>
        <v/>
      </c>
      <c r="L545" s="4" t="n">
        <f aca="false">INDEX('Master List'!$F$2:$F$2594,O545)</f>
        <v>3</v>
      </c>
      <c r="M545" s="4" t="n">
        <f aca="false">INDEX('Master List'!$G$2:$G$2594,O545)</f>
        <v>0</v>
      </c>
      <c r="N545" s="4" t="str">
        <f aca="false">IF(K545="","",A545)</f>
        <v/>
      </c>
      <c r="O545" s="4" t="n">
        <v>1305</v>
      </c>
      <c r="P545" s="4" t="n">
        <f aca="false">IF(A545=A544,P544+1-M544,0)</f>
        <v>4</v>
      </c>
    </row>
    <row r="546" customFormat="false" ht="15" hidden="false" customHeight="false" outlineLevel="0" collapsed="false">
      <c r="A546" s="28" t="s">
        <v>3961</v>
      </c>
      <c r="B546" s="28" t="s">
        <v>51</v>
      </c>
      <c r="C546" s="28" t="s">
        <v>77</v>
      </c>
      <c r="D546" s="28" t="s">
        <v>3962</v>
      </c>
      <c r="E546" s="4" t="n">
        <v>6</v>
      </c>
      <c r="F546" s="4" t="s">
        <v>213</v>
      </c>
      <c r="G546" s="4" t="s">
        <v>985</v>
      </c>
      <c r="H546" s="4" t="n">
        <v>1965</v>
      </c>
      <c r="I546" s="4" t="s">
        <v>158</v>
      </c>
      <c r="J546" s="25" t="str">
        <f aca="false">IF(M546=1,"✓","")</f>
        <v/>
      </c>
      <c r="K546" s="4" t="str">
        <f aca="false">IF(AND(M546=0,P546=0),"▶ NEXT","")</f>
        <v/>
      </c>
      <c r="L546" s="4" t="n">
        <f aca="false">INDEX('Master List'!$F$2:$F$2594,O546)</f>
        <v>2</v>
      </c>
      <c r="M546" s="4" t="n">
        <f aca="false">INDEX('Master List'!$G$2:$G$2594,O546)</f>
        <v>0</v>
      </c>
      <c r="N546" s="4" t="str">
        <f aca="false">IF(K546="","",A546)</f>
        <v/>
      </c>
      <c r="O546" s="4" t="n">
        <v>313</v>
      </c>
      <c r="P546" s="4" t="n">
        <f aca="false">IF(A546=A545,P545+1-M545,0)</f>
        <v>5</v>
      </c>
    </row>
    <row r="547" customFormat="false" ht="15" hidden="false" customHeight="false" outlineLevel="0" collapsed="false">
      <c r="A547" s="28" t="s">
        <v>3961</v>
      </c>
      <c r="B547" s="28" t="s">
        <v>51</v>
      </c>
      <c r="C547" s="28" t="s">
        <v>77</v>
      </c>
      <c r="D547" s="28" t="s">
        <v>3962</v>
      </c>
      <c r="E547" s="4" t="n">
        <v>7</v>
      </c>
      <c r="F547" s="4" t="s">
        <v>213</v>
      </c>
      <c r="G547" s="4" t="s">
        <v>551</v>
      </c>
      <c r="H547" s="4" t="n">
        <v>1983</v>
      </c>
      <c r="I547" s="4" t="s">
        <v>416</v>
      </c>
      <c r="J547" s="25" t="str">
        <f aca="false">IF(M547=1,"✓","")</f>
        <v/>
      </c>
      <c r="K547" s="4" t="str">
        <f aca="false">IF(AND(M547=0,P547=0),"▶ NEXT","")</f>
        <v/>
      </c>
      <c r="L547" s="4" t="n">
        <f aca="false">INDEX('Master List'!$F$2:$F$2594,O547)</f>
        <v>3</v>
      </c>
      <c r="M547" s="4" t="n">
        <f aca="false">INDEX('Master List'!$G$2:$G$2594,O547)</f>
        <v>0</v>
      </c>
      <c r="N547" s="4" t="str">
        <f aca="false">IF(K547="","",A547)</f>
        <v/>
      </c>
      <c r="O547" s="4" t="n">
        <v>1969</v>
      </c>
      <c r="P547" s="4" t="n">
        <f aca="false">IF(A547=A546,P546+1-M546,0)</f>
        <v>6</v>
      </c>
    </row>
    <row r="548" customFormat="false" ht="15" hidden="false" customHeight="false" outlineLevel="0" collapsed="false">
      <c r="A548" s="28" t="s">
        <v>3961</v>
      </c>
      <c r="B548" s="28" t="s">
        <v>51</v>
      </c>
      <c r="C548" s="28" t="s">
        <v>77</v>
      </c>
      <c r="D548" s="28" t="s">
        <v>3962</v>
      </c>
      <c r="E548" s="4" t="n">
        <v>8</v>
      </c>
      <c r="F548" s="4" t="s">
        <v>1327</v>
      </c>
      <c r="G548" s="4" t="s">
        <v>3420</v>
      </c>
      <c r="H548" s="4" t="n">
        <v>1963</v>
      </c>
      <c r="I548" s="4" t="s">
        <v>272</v>
      </c>
      <c r="J548" s="25" t="str">
        <f aca="false">IF(M548=1,"✓","")</f>
        <v/>
      </c>
      <c r="K548" s="4" t="str">
        <f aca="false">IF(AND(M548=0,P548=0),"▶ NEXT","")</f>
        <v/>
      </c>
      <c r="L548" s="4" t="n">
        <f aca="false">INDEX('Master List'!$F$2:$F$2594,O548)</f>
        <v>1</v>
      </c>
      <c r="M548" s="4" t="n">
        <f aca="false">INDEX('Master List'!$G$2:$G$2594,O548)</f>
        <v>0</v>
      </c>
      <c r="N548" s="4" t="str">
        <f aca="false">IF(K548="","",A548)</f>
        <v/>
      </c>
      <c r="O548" s="4" t="n">
        <v>1561</v>
      </c>
      <c r="P548" s="4" t="n">
        <f aca="false">IF(A548=A547,P547+1-M547,0)</f>
        <v>7</v>
      </c>
    </row>
    <row r="549" customFormat="false" ht="15" hidden="false" customHeight="false" outlineLevel="0" collapsed="false">
      <c r="A549" s="28" t="s">
        <v>3961</v>
      </c>
      <c r="B549" s="28" t="s">
        <v>51</v>
      </c>
      <c r="C549" s="28" t="s">
        <v>77</v>
      </c>
      <c r="D549" s="28" t="s">
        <v>3962</v>
      </c>
      <c r="E549" s="4" t="n">
        <v>9</v>
      </c>
      <c r="F549" s="4" t="s">
        <v>1327</v>
      </c>
      <c r="G549" s="4" t="s">
        <v>1320</v>
      </c>
      <c r="H549" s="4" t="n">
        <v>1955</v>
      </c>
      <c r="I549" s="4" t="s">
        <v>158</v>
      </c>
      <c r="J549" s="25" t="str">
        <f aca="false">IF(M549=1,"✓","")</f>
        <v/>
      </c>
      <c r="K549" s="4" t="str">
        <f aca="false">IF(AND(M549=0,P549=0),"▶ NEXT","")</f>
        <v/>
      </c>
      <c r="L549" s="4" t="n">
        <f aca="false">INDEX('Master List'!$F$2:$F$2594,O549)</f>
        <v>2</v>
      </c>
      <c r="M549" s="4" t="n">
        <f aca="false">INDEX('Master List'!$G$2:$G$2594,O549)</f>
        <v>0</v>
      </c>
      <c r="N549" s="4" t="str">
        <f aca="false">IF(K549="","",A549)</f>
        <v/>
      </c>
      <c r="O549" s="4" t="n">
        <v>1785</v>
      </c>
      <c r="P549" s="4" t="n">
        <f aca="false">IF(A549=A548,P548+1-M548,0)</f>
        <v>8</v>
      </c>
    </row>
    <row r="550" customFormat="false" ht="15" hidden="false" customHeight="false" outlineLevel="0" collapsed="false">
      <c r="A550" s="28" t="s">
        <v>3961</v>
      </c>
      <c r="B550" s="28" t="s">
        <v>51</v>
      </c>
      <c r="C550" s="28" t="s">
        <v>77</v>
      </c>
      <c r="D550" s="28" t="s">
        <v>3962</v>
      </c>
      <c r="E550" s="4" t="n">
        <v>10</v>
      </c>
      <c r="F550" s="4" t="s">
        <v>1327</v>
      </c>
      <c r="G550" s="4" t="s">
        <v>1336</v>
      </c>
      <c r="H550" s="4" t="n">
        <v>1968</v>
      </c>
      <c r="I550" s="4" t="s">
        <v>272</v>
      </c>
      <c r="J550" s="25" t="str">
        <f aca="false">IF(M550=1,"✓","")</f>
        <v/>
      </c>
      <c r="K550" s="4" t="str">
        <f aca="false">IF(AND(M550=0,P550=0),"▶ NEXT","")</f>
        <v/>
      </c>
      <c r="L550" s="4" t="n">
        <f aca="false">INDEX('Master List'!$F$2:$F$2594,O550)</f>
        <v>2</v>
      </c>
      <c r="M550" s="4" t="n">
        <f aca="false">INDEX('Master List'!$G$2:$G$2594,O550)</f>
        <v>0</v>
      </c>
      <c r="N550" s="4" t="str">
        <f aca="false">IF(K550="","",A550)</f>
        <v/>
      </c>
      <c r="O550" s="4" t="n">
        <v>1199</v>
      </c>
      <c r="P550" s="4" t="n">
        <f aca="false">IF(A550=A549,P549+1-M549,0)</f>
        <v>9</v>
      </c>
    </row>
    <row r="551" customFormat="false" ht="15" hidden="false" customHeight="false" outlineLevel="0" collapsed="false">
      <c r="A551" s="28" t="s">
        <v>3963</v>
      </c>
      <c r="B551" s="28" t="s">
        <v>51</v>
      </c>
      <c r="C551" s="28" t="s">
        <v>77</v>
      </c>
      <c r="D551" s="28" t="s">
        <v>3964</v>
      </c>
      <c r="E551" s="4" t="n">
        <v>1</v>
      </c>
      <c r="F551" s="4" t="s">
        <v>144</v>
      </c>
      <c r="G551" s="7" t="s">
        <v>289</v>
      </c>
      <c r="H551" s="4" t="n">
        <v>1967</v>
      </c>
      <c r="I551" s="4" t="s">
        <v>290</v>
      </c>
      <c r="J551" s="25" t="str">
        <f aca="false">IF(M551=1,"✓","")</f>
        <v/>
      </c>
      <c r="K551" s="4" t="str">
        <f aca="false">IF(AND(M551=0,P551=0),"▶ NEXT","")</f>
        <v>▶ NEXT</v>
      </c>
      <c r="L551" s="4" t="n">
        <f aca="false">INDEX('Master List'!$F$2:$F$2594,O551)</f>
        <v>4</v>
      </c>
      <c r="M551" s="4" t="n">
        <f aca="false">INDEX('Master List'!$G$2:$G$2594,O551)</f>
        <v>0</v>
      </c>
      <c r="N551" s="4" t="str">
        <f aca="false">IF(K551="","",A551)</f>
        <v>N045</v>
      </c>
      <c r="O551" s="4" t="n">
        <v>1964</v>
      </c>
      <c r="P551" s="4" t="n">
        <f aca="false">IF(A551=A550,P550+1-M550,0)</f>
        <v>0</v>
      </c>
    </row>
    <row r="552" customFormat="false" ht="15" hidden="false" customHeight="false" outlineLevel="0" collapsed="false">
      <c r="A552" s="28" t="s">
        <v>3963</v>
      </c>
      <c r="B552" s="28" t="s">
        <v>51</v>
      </c>
      <c r="C552" s="28" t="s">
        <v>77</v>
      </c>
      <c r="D552" s="28" t="s">
        <v>3964</v>
      </c>
      <c r="E552" s="4" t="n">
        <v>2</v>
      </c>
      <c r="F552" s="4" t="s">
        <v>144</v>
      </c>
      <c r="G552" s="7" t="s">
        <v>657</v>
      </c>
      <c r="H552" s="4" t="n">
        <v>1955</v>
      </c>
      <c r="I552" s="4" t="s">
        <v>658</v>
      </c>
      <c r="J552" s="25" t="str">
        <f aca="false">IF(M552=1,"✓","")</f>
        <v/>
      </c>
      <c r="K552" s="4" t="str">
        <f aca="false">IF(AND(M552=0,P552=0),"▶ NEXT","")</f>
        <v/>
      </c>
      <c r="L552" s="4" t="n">
        <f aca="false">INDEX('Master List'!$F$2:$F$2594,O552)</f>
        <v>2</v>
      </c>
      <c r="M552" s="4" t="n">
        <f aca="false">INDEX('Master List'!$G$2:$G$2594,O552)</f>
        <v>0</v>
      </c>
      <c r="N552" s="4" t="str">
        <f aca="false">IF(K552="","",A552)</f>
        <v/>
      </c>
      <c r="O552" s="4" t="n">
        <v>1905</v>
      </c>
      <c r="P552" s="4" t="n">
        <f aca="false">IF(A552=A551,P551+1-M551,0)</f>
        <v>1</v>
      </c>
    </row>
    <row r="553" customFormat="false" ht="15" hidden="false" customHeight="false" outlineLevel="0" collapsed="false">
      <c r="A553" s="28" t="s">
        <v>3963</v>
      </c>
      <c r="B553" s="28" t="s">
        <v>51</v>
      </c>
      <c r="C553" s="28" t="s">
        <v>77</v>
      </c>
      <c r="D553" s="28" t="s">
        <v>3964</v>
      </c>
      <c r="E553" s="4" t="n">
        <v>3</v>
      </c>
      <c r="F553" s="4" t="s">
        <v>213</v>
      </c>
      <c r="G553" s="4" t="s">
        <v>1901</v>
      </c>
      <c r="H553" s="4" t="n">
        <v>1954</v>
      </c>
      <c r="I553" s="4" t="s">
        <v>953</v>
      </c>
      <c r="J553" s="25" t="str">
        <f aca="false">IF(M553=1,"✓","")</f>
        <v/>
      </c>
      <c r="K553" s="4" t="str">
        <f aca="false">IF(AND(M553=0,P553=0),"▶ NEXT","")</f>
        <v/>
      </c>
      <c r="L553" s="4" t="n">
        <f aca="false">INDEX('Master List'!$F$2:$F$2594,O553)</f>
        <v>1</v>
      </c>
      <c r="M553" s="4" t="n">
        <f aca="false">INDEX('Master List'!$G$2:$G$2594,O553)</f>
        <v>0</v>
      </c>
      <c r="N553" s="4" t="str">
        <f aca="false">IF(K553="","",A553)</f>
        <v/>
      </c>
      <c r="O553" s="4" t="n">
        <v>2347</v>
      </c>
      <c r="P553" s="4" t="n">
        <f aca="false">IF(A553=A552,P552+1-M552,0)</f>
        <v>2</v>
      </c>
    </row>
    <row r="554" customFormat="false" ht="15" hidden="false" customHeight="false" outlineLevel="0" collapsed="false">
      <c r="A554" s="28" t="s">
        <v>3963</v>
      </c>
      <c r="B554" s="28" t="s">
        <v>51</v>
      </c>
      <c r="C554" s="28" t="s">
        <v>77</v>
      </c>
      <c r="D554" s="28" t="s">
        <v>3964</v>
      </c>
      <c r="E554" s="4" t="n">
        <v>4</v>
      </c>
      <c r="F554" s="4" t="s">
        <v>213</v>
      </c>
      <c r="G554" s="4" t="s">
        <v>577</v>
      </c>
      <c r="H554" s="4" t="n">
        <v>1956</v>
      </c>
      <c r="I554" s="4" t="s">
        <v>290</v>
      </c>
      <c r="J554" s="25" t="str">
        <f aca="false">IF(M554=1,"✓","")</f>
        <v/>
      </c>
      <c r="K554" s="4" t="str">
        <f aca="false">IF(AND(M554=0,P554=0),"▶ NEXT","")</f>
        <v/>
      </c>
      <c r="L554" s="4" t="n">
        <f aca="false">INDEX('Master List'!$F$2:$F$2594,O554)</f>
        <v>3</v>
      </c>
      <c r="M554" s="4" t="n">
        <f aca="false">INDEX('Master List'!$G$2:$G$2594,O554)</f>
        <v>0</v>
      </c>
      <c r="N554" s="4" t="str">
        <f aca="false">IF(K554="","",A554)</f>
        <v/>
      </c>
      <c r="O554" s="4" t="n">
        <v>305</v>
      </c>
      <c r="P554" s="4" t="n">
        <f aca="false">IF(A554=A553,P553+1-M553,0)</f>
        <v>3</v>
      </c>
    </row>
    <row r="555" customFormat="false" ht="15" hidden="false" customHeight="false" outlineLevel="0" collapsed="false">
      <c r="A555" s="28" t="s">
        <v>3963</v>
      </c>
      <c r="B555" s="28" t="s">
        <v>51</v>
      </c>
      <c r="C555" s="28" t="s">
        <v>77</v>
      </c>
      <c r="D555" s="28" t="s">
        <v>3964</v>
      </c>
      <c r="E555" s="4" t="n">
        <v>5</v>
      </c>
      <c r="F555" s="4" t="s">
        <v>213</v>
      </c>
      <c r="G555" s="4" t="s">
        <v>1953</v>
      </c>
      <c r="H555" s="4" t="n">
        <v>1958</v>
      </c>
      <c r="I555" s="4" t="s">
        <v>813</v>
      </c>
      <c r="J555" s="25" t="str">
        <f aca="false">IF(M555=1,"✓","")</f>
        <v/>
      </c>
      <c r="K555" s="4" t="str">
        <f aca="false">IF(AND(M555=0,P555=0),"▶ NEXT","")</f>
        <v/>
      </c>
      <c r="L555" s="4" t="n">
        <f aca="false">INDEX('Master List'!$F$2:$F$2594,O555)</f>
        <v>1</v>
      </c>
      <c r="M555" s="4" t="n">
        <f aca="false">INDEX('Master List'!$G$2:$G$2594,O555)</f>
        <v>0</v>
      </c>
      <c r="N555" s="4" t="str">
        <f aca="false">IF(K555="","",A555)</f>
        <v/>
      </c>
      <c r="O555" s="4" t="n">
        <v>720</v>
      </c>
      <c r="P555" s="4" t="n">
        <f aca="false">IF(A555=A554,P554+1-M554,0)</f>
        <v>4</v>
      </c>
    </row>
    <row r="556" customFormat="false" ht="15" hidden="false" customHeight="false" outlineLevel="0" collapsed="false">
      <c r="A556" s="28" t="s">
        <v>3963</v>
      </c>
      <c r="B556" s="28" t="s">
        <v>51</v>
      </c>
      <c r="C556" s="28" t="s">
        <v>77</v>
      </c>
      <c r="D556" s="28" t="s">
        <v>3964</v>
      </c>
      <c r="E556" s="4" t="n">
        <v>6</v>
      </c>
      <c r="F556" s="4" t="s">
        <v>213</v>
      </c>
      <c r="G556" s="4" t="s">
        <v>952</v>
      </c>
      <c r="H556" s="4" t="n">
        <v>1960</v>
      </c>
      <c r="I556" s="4" t="s">
        <v>953</v>
      </c>
      <c r="J556" s="25" t="str">
        <f aca="false">IF(M556=1,"✓","")</f>
        <v/>
      </c>
      <c r="K556" s="4" t="str">
        <f aca="false">IF(AND(M556=0,P556=0),"▶ NEXT","")</f>
        <v/>
      </c>
      <c r="L556" s="4" t="n">
        <f aca="false">INDEX('Master List'!$F$2:$F$2594,O556)</f>
        <v>2</v>
      </c>
      <c r="M556" s="4" t="n">
        <f aca="false">INDEX('Master List'!$G$2:$G$2594,O556)</f>
        <v>0</v>
      </c>
      <c r="N556" s="4" t="str">
        <f aca="false">IF(K556="","",A556)</f>
        <v/>
      </c>
      <c r="O556" s="4" t="n">
        <v>2375</v>
      </c>
      <c r="P556" s="4" t="n">
        <f aca="false">IF(A556=A555,P555+1-M555,0)</f>
        <v>5</v>
      </c>
    </row>
    <row r="557" customFormat="false" ht="15" hidden="false" customHeight="false" outlineLevel="0" collapsed="false">
      <c r="A557" s="28" t="s">
        <v>3963</v>
      </c>
      <c r="B557" s="28" t="s">
        <v>51</v>
      </c>
      <c r="C557" s="28" t="s">
        <v>77</v>
      </c>
      <c r="D557" s="28" t="s">
        <v>3964</v>
      </c>
      <c r="E557" s="4" t="n">
        <v>7</v>
      </c>
      <c r="F557" s="4" t="s">
        <v>213</v>
      </c>
      <c r="G557" s="4" t="s">
        <v>590</v>
      </c>
      <c r="H557" s="4" t="n">
        <v>1969</v>
      </c>
      <c r="I557" s="4" t="s">
        <v>290</v>
      </c>
      <c r="J557" s="25" t="str">
        <f aca="false">IF(M557=1,"✓","")</f>
        <v/>
      </c>
      <c r="K557" s="4" t="str">
        <f aca="false">IF(AND(M557=0,P557=0),"▶ NEXT","")</f>
        <v/>
      </c>
      <c r="L557" s="4" t="n">
        <f aca="false">INDEX('Master List'!$F$2:$F$2594,O557)</f>
        <v>3</v>
      </c>
      <c r="M557" s="4" t="n">
        <f aca="false">INDEX('Master List'!$G$2:$G$2594,O557)</f>
        <v>0</v>
      </c>
      <c r="N557" s="4" t="str">
        <f aca="false">IF(K557="","",A557)</f>
        <v/>
      </c>
      <c r="O557" s="4" t="n">
        <v>129</v>
      </c>
      <c r="P557" s="4" t="n">
        <f aca="false">IF(A557=A556,P556+1-M556,0)</f>
        <v>6</v>
      </c>
    </row>
    <row r="558" customFormat="false" ht="15" hidden="false" customHeight="false" outlineLevel="0" collapsed="false">
      <c r="A558" s="28" t="s">
        <v>3963</v>
      </c>
      <c r="B558" s="28" t="s">
        <v>51</v>
      </c>
      <c r="C558" s="28" t="s">
        <v>77</v>
      </c>
      <c r="D558" s="28" t="s">
        <v>3964</v>
      </c>
      <c r="E558" s="4" t="n">
        <v>8</v>
      </c>
      <c r="F558" s="4" t="s">
        <v>213</v>
      </c>
      <c r="G558" s="4" t="s">
        <v>386</v>
      </c>
      <c r="H558" s="4" t="n">
        <v>1970</v>
      </c>
      <c r="I558" s="4" t="s">
        <v>290</v>
      </c>
      <c r="J558" s="25" t="str">
        <f aca="false">IF(M558=1,"✓","")</f>
        <v/>
      </c>
      <c r="K558" s="4" t="str">
        <f aca="false">IF(AND(M558=0,P558=0),"▶ NEXT","")</f>
        <v/>
      </c>
      <c r="L558" s="4" t="n">
        <f aca="false">INDEX('Master List'!$F$2:$F$2594,O558)</f>
        <v>4</v>
      </c>
      <c r="M558" s="4" t="n">
        <f aca="false">INDEX('Master List'!$G$2:$G$2594,O558)</f>
        <v>0</v>
      </c>
      <c r="N558" s="4" t="str">
        <f aca="false">IF(K558="","",A558)</f>
        <v/>
      </c>
      <c r="O558" s="4" t="n">
        <v>422</v>
      </c>
      <c r="P558" s="4" t="n">
        <f aca="false">IF(A558=A557,P557+1-M557,0)</f>
        <v>7</v>
      </c>
    </row>
    <row r="559" customFormat="false" ht="15" hidden="false" customHeight="false" outlineLevel="0" collapsed="false">
      <c r="A559" s="28" t="s">
        <v>3963</v>
      </c>
      <c r="B559" s="28" t="s">
        <v>51</v>
      </c>
      <c r="C559" s="28" t="s">
        <v>77</v>
      </c>
      <c r="D559" s="28" t="s">
        <v>3964</v>
      </c>
      <c r="E559" s="4" t="n">
        <v>9</v>
      </c>
      <c r="F559" s="4" t="s">
        <v>1327</v>
      </c>
      <c r="G559" s="4" t="s">
        <v>3403</v>
      </c>
      <c r="H559" s="4" t="n">
        <v>1960</v>
      </c>
      <c r="I559" s="4" t="s">
        <v>3404</v>
      </c>
      <c r="J559" s="25" t="str">
        <f aca="false">IF(M559=1,"✓","")</f>
        <v/>
      </c>
      <c r="K559" s="4" t="str">
        <f aca="false">IF(AND(M559=0,P559=0),"▶ NEXT","")</f>
        <v/>
      </c>
      <c r="L559" s="4" t="n">
        <f aca="false">INDEX('Master List'!$F$2:$F$2594,O559)</f>
        <v>1</v>
      </c>
      <c r="M559" s="4" t="n">
        <f aca="false">INDEX('Master List'!$G$2:$G$2594,O559)</f>
        <v>0</v>
      </c>
      <c r="N559" s="4" t="str">
        <f aca="false">IF(K559="","",A559)</f>
        <v/>
      </c>
      <c r="O559" s="4" t="n">
        <v>473</v>
      </c>
      <c r="P559" s="4" t="n">
        <f aca="false">IF(A559=A558,P558+1-M558,0)</f>
        <v>8</v>
      </c>
    </row>
    <row r="560" customFormat="false" ht="15" hidden="false" customHeight="false" outlineLevel="0" collapsed="false">
      <c r="A560" s="28" t="s">
        <v>3963</v>
      </c>
      <c r="B560" s="28" t="s">
        <v>51</v>
      </c>
      <c r="C560" s="28" t="s">
        <v>77</v>
      </c>
      <c r="D560" s="28" t="s">
        <v>3964</v>
      </c>
      <c r="E560" s="4" t="n">
        <v>10</v>
      </c>
      <c r="F560" s="4" t="s">
        <v>1327</v>
      </c>
      <c r="G560" s="4" t="s">
        <v>3435</v>
      </c>
      <c r="H560" s="4" t="n">
        <v>1966</v>
      </c>
      <c r="I560" s="4" t="s">
        <v>290</v>
      </c>
      <c r="J560" s="25" t="str">
        <f aca="false">IF(M560=1,"✓","")</f>
        <v/>
      </c>
      <c r="K560" s="4" t="str">
        <f aca="false">IF(AND(M560=0,P560=0),"▶ NEXT","")</f>
        <v/>
      </c>
      <c r="L560" s="4" t="n">
        <f aca="false">INDEX('Master List'!$F$2:$F$2594,O560)</f>
        <v>1</v>
      </c>
      <c r="M560" s="4" t="n">
        <f aca="false">INDEX('Master List'!$G$2:$G$2594,O560)</f>
        <v>0</v>
      </c>
      <c r="N560" s="4" t="str">
        <f aca="false">IF(K560="","",A560)</f>
        <v/>
      </c>
      <c r="O560" s="4" t="n">
        <v>618</v>
      </c>
      <c r="P560" s="4" t="n">
        <f aca="false">IF(A560=A559,P559+1-M559,0)</f>
        <v>9</v>
      </c>
    </row>
    <row r="561" customFormat="false" ht="15" hidden="false" customHeight="false" outlineLevel="0" collapsed="false">
      <c r="A561" s="28" t="s">
        <v>3963</v>
      </c>
      <c r="B561" s="28" t="s">
        <v>51</v>
      </c>
      <c r="C561" s="28" t="s">
        <v>77</v>
      </c>
      <c r="D561" s="28" t="s">
        <v>3964</v>
      </c>
      <c r="E561" s="4" t="n">
        <v>11</v>
      </c>
      <c r="F561" s="4" t="s">
        <v>1327</v>
      </c>
      <c r="G561" s="4" t="s">
        <v>3497</v>
      </c>
      <c r="H561" s="4" t="n">
        <v>1972</v>
      </c>
      <c r="I561" s="4" t="s">
        <v>290</v>
      </c>
      <c r="J561" s="25" t="str">
        <f aca="false">IF(M561=1,"✓","")</f>
        <v/>
      </c>
      <c r="K561" s="4" t="str">
        <f aca="false">IF(AND(M561=0,P561=0),"▶ NEXT","")</f>
        <v/>
      </c>
      <c r="L561" s="4" t="n">
        <f aca="false">INDEX('Master List'!$F$2:$F$2594,O561)</f>
        <v>1</v>
      </c>
      <c r="M561" s="4" t="n">
        <f aca="false">INDEX('Master List'!$G$2:$G$2594,O561)</f>
        <v>0</v>
      </c>
      <c r="N561" s="4" t="str">
        <f aca="false">IF(K561="","",A561)</f>
        <v/>
      </c>
      <c r="O561" s="4" t="n">
        <v>2398</v>
      </c>
      <c r="P561" s="4" t="n">
        <f aca="false">IF(A561=A560,P560+1-M560,0)</f>
        <v>10</v>
      </c>
    </row>
    <row r="562" customFormat="false" ht="15" hidden="false" customHeight="false" outlineLevel="0" collapsed="false">
      <c r="A562" s="28" t="s">
        <v>3965</v>
      </c>
      <c r="B562" s="28" t="s">
        <v>51</v>
      </c>
      <c r="C562" s="28" t="s">
        <v>77</v>
      </c>
      <c r="D562" s="28" t="s">
        <v>3966</v>
      </c>
      <c r="E562" s="4" t="n">
        <v>1</v>
      </c>
      <c r="F562" s="4" t="s">
        <v>144</v>
      </c>
      <c r="G562" s="7" t="s">
        <v>1524</v>
      </c>
      <c r="H562" s="4" t="n">
        <v>1981</v>
      </c>
      <c r="I562" s="4" t="s">
        <v>1525</v>
      </c>
      <c r="J562" s="25" t="str">
        <f aca="false">IF(M562=1,"✓","")</f>
        <v/>
      </c>
      <c r="K562" s="4" t="str">
        <f aca="false">IF(AND(M562=0,P562=0),"▶ NEXT","")</f>
        <v>▶ NEXT</v>
      </c>
      <c r="L562" s="4" t="n">
        <f aca="false">INDEX('Master List'!$F$2:$F$2594,O562)</f>
        <v>1</v>
      </c>
      <c r="M562" s="4" t="n">
        <f aca="false">INDEX('Master List'!$G$2:$G$2594,O562)</f>
        <v>0</v>
      </c>
      <c r="N562" s="4" t="str">
        <f aca="false">IF(K562="","",A562)</f>
        <v>N046</v>
      </c>
      <c r="O562" s="4" t="n">
        <v>639</v>
      </c>
      <c r="P562" s="4" t="n">
        <f aca="false">IF(A562=A561,P561+1-M561,0)</f>
        <v>0</v>
      </c>
    </row>
    <row r="563" customFormat="false" ht="15" hidden="false" customHeight="false" outlineLevel="0" collapsed="false">
      <c r="A563" s="28" t="s">
        <v>3965</v>
      </c>
      <c r="B563" s="28" t="s">
        <v>51</v>
      </c>
      <c r="C563" s="28" t="s">
        <v>77</v>
      </c>
      <c r="D563" s="28" t="s">
        <v>3966</v>
      </c>
      <c r="E563" s="4" t="n">
        <v>2</v>
      </c>
      <c r="F563" s="4" t="s">
        <v>144</v>
      </c>
      <c r="G563" s="7" t="s">
        <v>1557</v>
      </c>
      <c r="H563" s="4" t="n">
        <v>1994</v>
      </c>
      <c r="I563" s="4" t="s">
        <v>1558</v>
      </c>
      <c r="J563" s="25" t="str">
        <f aca="false">IF(M563=1,"✓","")</f>
        <v>✓</v>
      </c>
      <c r="K563" s="4" t="str">
        <f aca="false">IF(AND(M563=0,P563=0),"▶ NEXT","")</f>
        <v/>
      </c>
      <c r="L563" s="4" t="n">
        <f aca="false">INDEX('Master List'!$F$2:$F$2594,O563)</f>
        <v>1</v>
      </c>
      <c r="M563" s="4" t="n">
        <f aca="false">INDEX('Master List'!$G$2:$G$2594,O563)</f>
        <v>1</v>
      </c>
      <c r="N563" s="4" t="str">
        <f aca="false">IF(K563="","",A563)</f>
        <v/>
      </c>
      <c r="O563" s="4" t="n">
        <v>1320</v>
      </c>
      <c r="P563" s="4" t="n">
        <f aca="false">IF(A563=A562,P562+1-M562,0)</f>
        <v>1</v>
      </c>
    </row>
    <row r="564" customFormat="false" ht="15" hidden="false" customHeight="false" outlineLevel="0" collapsed="false">
      <c r="A564" s="28" t="s">
        <v>3965</v>
      </c>
      <c r="B564" s="28" t="s">
        <v>51</v>
      </c>
      <c r="C564" s="28" t="s">
        <v>77</v>
      </c>
      <c r="D564" s="28" t="s">
        <v>3966</v>
      </c>
      <c r="E564" s="4" t="n">
        <v>3</v>
      </c>
      <c r="F564" s="4" t="s">
        <v>213</v>
      </c>
      <c r="G564" s="4" t="s">
        <v>2411</v>
      </c>
      <c r="H564" s="4" t="n">
        <v>1985</v>
      </c>
      <c r="I564" s="4" t="s">
        <v>1558</v>
      </c>
      <c r="J564" s="25" t="str">
        <f aca="false">IF(M564=1,"✓","")</f>
        <v/>
      </c>
      <c r="K564" s="4" t="str">
        <f aca="false">IF(AND(M564=0,P564=0),"▶ NEXT","")</f>
        <v/>
      </c>
      <c r="L564" s="4" t="n">
        <f aca="false">INDEX('Master List'!$F$2:$F$2594,O564)</f>
        <v>1</v>
      </c>
      <c r="M564" s="4" t="n">
        <f aca="false">INDEX('Master List'!$G$2:$G$2594,O564)</f>
        <v>0</v>
      </c>
      <c r="N564" s="4" t="str">
        <f aca="false">IF(K564="","",A564)</f>
        <v/>
      </c>
      <c r="O564" s="4" t="n">
        <v>2193</v>
      </c>
      <c r="P564" s="4" t="n">
        <f aca="false">IF(A564=A563,P563+1-M563,0)</f>
        <v>1</v>
      </c>
    </row>
    <row r="565" customFormat="false" ht="15" hidden="false" customHeight="false" outlineLevel="0" collapsed="false">
      <c r="A565" s="28" t="s">
        <v>3965</v>
      </c>
      <c r="B565" s="28" t="s">
        <v>51</v>
      </c>
      <c r="C565" s="28" t="s">
        <v>77</v>
      </c>
      <c r="D565" s="28" t="s">
        <v>3966</v>
      </c>
      <c r="E565" s="4" t="n">
        <v>4</v>
      </c>
      <c r="F565" s="4" t="s">
        <v>213</v>
      </c>
      <c r="G565" s="4" t="s">
        <v>2427</v>
      </c>
      <c r="H565" s="4" t="n">
        <v>1986</v>
      </c>
      <c r="I565" s="4" t="s">
        <v>1525</v>
      </c>
      <c r="J565" s="25" t="str">
        <f aca="false">IF(M565=1,"✓","")</f>
        <v/>
      </c>
      <c r="K565" s="4" t="str">
        <f aca="false">IF(AND(M565=0,P565=0),"▶ NEXT","")</f>
        <v/>
      </c>
      <c r="L565" s="4" t="n">
        <f aca="false">INDEX('Master List'!$F$2:$F$2594,O565)</f>
        <v>1</v>
      </c>
      <c r="M565" s="4" t="n">
        <f aca="false">INDEX('Master List'!$G$2:$G$2594,O565)</f>
        <v>0</v>
      </c>
      <c r="N565" s="4" t="str">
        <f aca="false">IF(K565="","",A565)</f>
        <v/>
      </c>
      <c r="O565" s="4" t="n">
        <v>233</v>
      </c>
      <c r="P565" s="4" t="n">
        <f aca="false">IF(A565=A564,P564+1-M564,0)</f>
        <v>2</v>
      </c>
    </row>
    <row r="566" customFormat="false" ht="15" hidden="false" customHeight="false" outlineLevel="0" collapsed="false">
      <c r="A566" s="28" t="s">
        <v>3965</v>
      </c>
      <c r="B566" s="28" t="s">
        <v>51</v>
      </c>
      <c r="C566" s="28" t="s">
        <v>77</v>
      </c>
      <c r="D566" s="28" t="s">
        <v>3966</v>
      </c>
      <c r="E566" s="4" t="n">
        <v>5</v>
      </c>
      <c r="F566" s="4" t="s">
        <v>213</v>
      </c>
      <c r="G566" s="4" t="s">
        <v>2428</v>
      </c>
      <c r="H566" s="4" t="n">
        <v>1986</v>
      </c>
      <c r="I566" s="4" t="s">
        <v>1202</v>
      </c>
      <c r="J566" s="25" t="str">
        <f aca="false">IF(M566=1,"✓","")</f>
        <v/>
      </c>
      <c r="K566" s="4" t="str">
        <f aca="false">IF(AND(M566=0,P566=0),"▶ NEXT","")</f>
        <v/>
      </c>
      <c r="L566" s="4" t="n">
        <f aca="false">INDEX('Master List'!$F$2:$F$2594,O566)</f>
        <v>1</v>
      </c>
      <c r="M566" s="4" t="n">
        <f aca="false">INDEX('Master List'!$G$2:$G$2594,O566)</f>
        <v>0</v>
      </c>
      <c r="N566" s="4" t="str">
        <f aca="false">IF(K566="","",A566)</f>
        <v/>
      </c>
      <c r="O566" s="4" t="n">
        <v>1466</v>
      </c>
      <c r="P566" s="4" t="n">
        <f aca="false">IF(A566=A565,P565+1-M565,0)</f>
        <v>3</v>
      </c>
    </row>
    <row r="567" customFormat="false" ht="15" hidden="false" customHeight="false" outlineLevel="0" collapsed="false">
      <c r="A567" s="28" t="s">
        <v>3965</v>
      </c>
      <c r="B567" s="28" t="s">
        <v>51</v>
      </c>
      <c r="C567" s="28" t="s">
        <v>77</v>
      </c>
      <c r="D567" s="28" t="s">
        <v>3966</v>
      </c>
      <c r="E567" s="4" t="n">
        <v>6</v>
      </c>
      <c r="F567" s="4" t="s">
        <v>213</v>
      </c>
      <c r="G567" s="4" t="s">
        <v>2508</v>
      </c>
      <c r="H567" s="4" t="n">
        <v>1990</v>
      </c>
      <c r="I567" s="4" t="s">
        <v>1558</v>
      </c>
      <c r="J567" s="25" t="str">
        <f aca="false">IF(M567=1,"✓","")</f>
        <v/>
      </c>
      <c r="K567" s="4" t="str">
        <f aca="false">IF(AND(M567=0,P567=0),"▶ NEXT","")</f>
        <v/>
      </c>
      <c r="L567" s="4" t="n">
        <f aca="false">INDEX('Master List'!$F$2:$F$2594,O567)</f>
        <v>1</v>
      </c>
      <c r="M567" s="4" t="n">
        <f aca="false">INDEX('Master List'!$G$2:$G$2594,O567)</f>
        <v>0</v>
      </c>
      <c r="N567" s="4" t="str">
        <f aca="false">IF(K567="","",A567)</f>
        <v/>
      </c>
      <c r="O567" s="4" t="n">
        <v>1615</v>
      </c>
      <c r="P567" s="4" t="n">
        <f aca="false">IF(A567=A566,P566+1-M566,0)</f>
        <v>4</v>
      </c>
    </row>
    <row r="568" customFormat="false" ht="15" hidden="false" customHeight="false" outlineLevel="0" collapsed="false">
      <c r="A568" s="28" t="s">
        <v>3965</v>
      </c>
      <c r="B568" s="28" t="s">
        <v>51</v>
      </c>
      <c r="C568" s="28" t="s">
        <v>77</v>
      </c>
      <c r="D568" s="28" t="s">
        <v>3966</v>
      </c>
      <c r="E568" s="4" t="n">
        <v>7</v>
      </c>
      <c r="F568" s="4" t="s">
        <v>213</v>
      </c>
      <c r="G568" s="4" t="s">
        <v>2518</v>
      </c>
      <c r="H568" s="4" t="n">
        <v>1991</v>
      </c>
      <c r="I568" s="4" t="s">
        <v>1202</v>
      </c>
      <c r="J568" s="25" t="str">
        <f aca="false">IF(M568=1,"✓","")</f>
        <v/>
      </c>
      <c r="K568" s="4" t="str">
        <f aca="false">IF(AND(M568=0,P568=0),"▶ NEXT","")</f>
        <v/>
      </c>
      <c r="L568" s="4" t="n">
        <f aca="false">INDEX('Master List'!$F$2:$F$2594,O568)</f>
        <v>1</v>
      </c>
      <c r="M568" s="4" t="n">
        <f aca="false">INDEX('Master List'!$G$2:$G$2594,O568)</f>
        <v>0</v>
      </c>
      <c r="N568" s="4" t="str">
        <f aca="false">IF(K568="","",A568)</f>
        <v/>
      </c>
      <c r="O568" s="4" t="n">
        <v>1393</v>
      </c>
      <c r="P568" s="4" t="n">
        <f aca="false">IF(A568=A567,P567+1-M567,0)</f>
        <v>5</v>
      </c>
    </row>
    <row r="569" customFormat="false" ht="15" hidden="false" customHeight="false" outlineLevel="0" collapsed="false">
      <c r="A569" s="28" t="s">
        <v>3965</v>
      </c>
      <c r="B569" s="28" t="s">
        <v>51</v>
      </c>
      <c r="C569" s="28" t="s">
        <v>77</v>
      </c>
      <c r="D569" s="28" t="s">
        <v>3966</v>
      </c>
      <c r="E569" s="4" t="n">
        <v>8</v>
      </c>
      <c r="F569" s="4" t="s">
        <v>213</v>
      </c>
      <c r="G569" s="4" t="s">
        <v>2519</v>
      </c>
      <c r="H569" s="4" t="n">
        <v>1991</v>
      </c>
      <c r="I569" s="4" t="s">
        <v>2520</v>
      </c>
      <c r="J569" s="25" t="str">
        <f aca="false">IF(M569=1,"✓","")</f>
        <v/>
      </c>
      <c r="K569" s="4" t="str">
        <f aca="false">IF(AND(M569=0,P569=0),"▶ NEXT","")</f>
        <v/>
      </c>
      <c r="L569" s="4" t="n">
        <f aca="false">INDEX('Master List'!$F$2:$F$2594,O569)</f>
        <v>1</v>
      </c>
      <c r="M569" s="4" t="n">
        <f aca="false">INDEX('Master List'!$G$2:$G$2594,O569)</f>
        <v>0</v>
      </c>
      <c r="N569" s="4" t="str">
        <f aca="false">IF(K569="","",A569)</f>
        <v/>
      </c>
      <c r="O569" s="4" t="n">
        <v>609</v>
      </c>
      <c r="P569" s="4" t="n">
        <f aca="false">IF(A569=A568,P568+1-M568,0)</f>
        <v>6</v>
      </c>
    </row>
    <row r="570" customFormat="false" ht="15" hidden="false" customHeight="false" outlineLevel="0" collapsed="false">
      <c r="A570" s="28" t="s">
        <v>3967</v>
      </c>
      <c r="B570" s="28" t="s">
        <v>51</v>
      </c>
      <c r="C570" s="28" t="s">
        <v>77</v>
      </c>
      <c r="D570" s="28" t="s">
        <v>3968</v>
      </c>
      <c r="E570" s="4" t="n">
        <v>1</v>
      </c>
      <c r="F570" s="4" t="s">
        <v>144</v>
      </c>
      <c r="G570" s="7" t="s">
        <v>875</v>
      </c>
      <c r="H570" s="4" t="n">
        <v>2016</v>
      </c>
      <c r="I570" s="4" t="s">
        <v>876</v>
      </c>
      <c r="J570" s="25" t="str">
        <f aca="false">IF(M570=1,"✓","")</f>
        <v/>
      </c>
      <c r="K570" s="4" t="str">
        <f aca="false">IF(AND(M570=0,P570=0),"▶ NEXT","")</f>
        <v>▶ NEXT</v>
      </c>
      <c r="L570" s="4" t="n">
        <f aca="false">INDEX('Master List'!$F$2:$F$2594,O570)</f>
        <v>2</v>
      </c>
      <c r="M570" s="4" t="n">
        <f aca="false">INDEX('Master List'!$G$2:$G$2594,O570)</f>
        <v>0</v>
      </c>
      <c r="N570" s="4" t="str">
        <f aca="false">IF(K570="","",A570)</f>
        <v>N047</v>
      </c>
      <c r="O570" s="4" t="n">
        <v>1863</v>
      </c>
      <c r="P570" s="4" t="n">
        <f aca="false">IF(A570=A569,P569+1-M569,0)</f>
        <v>0</v>
      </c>
    </row>
    <row r="571" customFormat="false" ht="15" hidden="false" customHeight="false" outlineLevel="0" collapsed="false">
      <c r="A571" s="28" t="s">
        <v>3967</v>
      </c>
      <c r="B571" s="28" t="s">
        <v>51</v>
      </c>
      <c r="C571" s="28" t="s">
        <v>77</v>
      </c>
      <c r="D571" s="28" t="s">
        <v>3968</v>
      </c>
      <c r="E571" s="4" t="n">
        <v>2</v>
      </c>
      <c r="F571" s="4" t="s">
        <v>144</v>
      </c>
      <c r="G571" s="7" t="s">
        <v>1585</v>
      </c>
      <c r="H571" s="4" t="n">
        <v>2003</v>
      </c>
      <c r="I571" s="4" t="s">
        <v>1586</v>
      </c>
      <c r="J571" s="25" t="str">
        <f aca="false">IF(M571=1,"✓","")</f>
        <v/>
      </c>
      <c r="K571" s="4" t="str">
        <f aca="false">IF(AND(M571=0,P571=0),"▶ NEXT","")</f>
        <v/>
      </c>
      <c r="L571" s="4" t="n">
        <f aca="false">INDEX('Master List'!$F$2:$F$2594,O571)</f>
        <v>1</v>
      </c>
      <c r="M571" s="4" t="n">
        <f aca="false">INDEX('Master List'!$G$2:$G$2594,O571)</f>
        <v>0</v>
      </c>
      <c r="N571" s="4" t="str">
        <f aca="false">IF(K571="","",A571)</f>
        <v/>
      </c>
      <c r="O571" s="4" t="n">
        <v>1037</v>
      </c>
      <c r="P571" s="4" t="n">
        <f aca="false">IF(A571=A570,P570+1-M570,0)</f>
        <v>1</v>
      </c>
    </row>
    <row r="572" customFormat="false" ht="15" hidden="false" customHeight="false" outlineLevel="0" collapsed="false">
      <c r="A572" s="28" t="s">
        <v>3967</v>
      </c>
      <c r="B572" s="28" t="s">
        <v>51</v>
      </c>
      <c r="C572" s="28" t="s">
        <v>77</v>
      </c>
      <c r="D572" s="28" t="s">
        <v>3968</v>
      </c>
      <c r="E572" s="4" t="n">
        <v>3</v>
      </c>
      <c r="F572" s="4" t="s">
        <v>213</v>
      </c>
      <c r="G572" s="4" t="s">
        <v>1393</v>
      </c>
      <c r="H572" s="4" t="n">
        <v>2001</v>
      </c>
      <c r="I572" s="4" t="s">
        <v>262</v>
      </c>
      <c r="J572" s="25" t="str">
        <f aca="false">IF(M572=1,"✓","")</f>
        <v/>
      </c>
      <c r="K572" s="4" t="str">
        <f aca="false">IF(AND(M572=0,P572=0),"▶ NEXT","")</f>
        <v/>
      </c>
      <c r="L572" s="4" t="n">
        <f aca="false">INDEX('Master List'!$F$2:$F$2594,O572)</f>
        <v>2</v>
      </c>
      <c r="M572" s="4" t="n">
        <f aca="false">INDEX('Master List'!$G$2:$G$2594,O572)</f>
        <v>0</v>
      </c>
      <c r="N572" s="4" t="str">
        <f aca="false">IF(K572="","",A572)</f>
        <v/>
      </c>
      <c r="O572" s="4" t="n">
        <v>2376</v>
      </c>
      <c r="P572" s="4" t="n">
        <f aca="false">IF(A572=A571,P571+1-M571,0)</f>
        <v>2</v>
      </c>
    </row>
    <row r="573" customFormat="false" ht="15" hidden="false" customHeight="false" outlineLevel="0" collapsed="false">
      <c r="A573" s="28" t="s">
        <v>3967</v>
      </c>
      <c r="B573" s="28" t="s">
        <v>51</v>
      </c>
      <c r="C573" s="28" t="s">
        <v>77</v>
      </c>
      <c r="D573" s="28" t="s">
        <v>3968</v>
      </c>
      <c r="E573" s="4" t="n">
        <v>4</v>
      </c>
      <c r="F573" s="4" t="s">
        <v>213</v>
      </c>
      <c r="G573" s="4" t="s">
        <v>1398</v>
      </c>
      <c r="H573" s="4" t="n">
        <v>2002</v>
      </c>
      <c r="I573" s="4" t="s">
        <v>1399</v>
      </c>
      <c r="J573" s="25" t="str">
        <f aca="false">IF(M573=1,"✓","")</f>
        <v/>
      </c>
      <c r="K573" s="4" t="str">
        <f aca="false">IF(AND(M573=0,P573=0),"▶ NEXT","")</f>
        <v/>
      </c>
      <c r="L573" s="4" t="n">
        <f aca="false">INDEX('Master List'!$F$2:$F$2594,O573)</f>
        <v>2</v>
      </c>
      <c r="M573" s="4" t="n">
        <f aca="false">INDEX('Master List'!$G$2:$G$2594,O573)</f>
        <v>0</v>
      </c>
      <c r="N573" s="4" t="str">
        <f aca="false">IF(K573="","",A573)</f>
        <v/>
      </c>
      <c r="O573" s="4" t="n">
        <v>1167</v>
      </c>
      <c r="P573" s="4" t="n">
        <f aca="false">IF(A573=A572,P572+1-M572,0)</f>
        <v>3</v>
      </c>
    </row>
    <row r="574" customFormat="false" ht="15" hidden="false" customHeight="false" outlineLevel="0" collapsed="false">
      <c r="A574" s="28" t="s">
        <v>3967</v>
      </c>
      <c r="B574" s="28" t="s">
        <v>51</v>
      </c>
      <c r="C574" s="28" t="s">
        <v>77</v>
      </c>
      <c r="D574" s="28" t="s">
        <v>3968</v>
      </c>
      <c r="E574" s="4" t="n">
        <v>5</v>
      </c>
      <c r="F574" s="4" t="s">
        <v>213</v>
      </c>
      <c r="G574" s="4" t="s">
        <v>2869</v>
      </c>
      <c r="H574" s="4" t="n">
        <v>2007</v>
      </c>
      <c r="I574" s="4" t="s">
        <v>2870</v>
      </c>
      <c r="J574" s="25" t="str">
        <f aca="false">IF(M574=1,"✓","")</f>
        <v/>
      </c>
      <c r="K574" s="4" t="str">
        <f aca="false">IF(AND(M574=0,P574=0),"▶ NEXT","")</f>
        <v/>
      </c>
      <c r="L574" s="4" t="n">
        <f aca="false">INDEX('Master List'!$F$2:$F$2594,O574)</f>
        <v>1</v>
      </c>
      <c r="M574" s="4" t="n">
        <f aca="false">INDEX('Master List'!$G$2:$G$2594,O574)</f>
        <v>0</v>
      </c>
      <c r="N574" s="4" t="str">
        <f aca="false">IF(K574="","",A574)</f>
        <v/>
      </c>
      <c r="O574" s="4" t="n">
        <v>1147</v>
      </c>
      <c r="P574" s="4" t="n">
        <f aca="false">IF(A574=A573,P573+1-M573,0)</f>
        <v>4</v>
      </c>
    </row>
    <row r="575" customFormat="false" ht="15" hidden="false" customHeight="false" outlineLevel="0" collapsed="false">
      <c r="A575" s="28" t="s">
        <v>3967</v>
      </c>
      <c r="B575" s="28" t="s">
        <v>51</v>
      </c>
      <c r="C575" s="28" t="s">
        <v>77</v>
      </c>
      <c r="D575" s="28" t="s">
        <v>3968</v>
      </c>
      <c r="E575" s="4" t="n">
        <v>6</v>
      </c>
      <c r="F575" s="4" t="s">
        <v>213</v>
      </c>
      <c r="G575" s="4" t="s">
        <v>2898</v>
      </c>
      <c r="H575" s="4" t="n">
        <v>2008</v>
      </c>
      <c r="I575" s="4" t="s">
        <v>2899</v>
      </c>
      <c r="J575" s="25" t="str">
        <f aca="false">IF(M575=1,"✓","")</f>
        <v/>
      </c>
      <c r="K575" s="4" t="str">
        <f aca="false">IF(AND(M575=0,P575=0),"▶ NEXT","")</f>
        <v/>
      </c>
      <c r="L575" s="4" t="n">
        <f aca="false">INDEX('Master List'!$F$2:$F$2594,O575)</f>
        <v>1</v>
      </c>
      <c r="M575" s="4" t="n">
        <f aca="false">INDEX('Master List'!$G$2:$G$2594,O575)</f>
        <v>0</v>
      </c>
      <c r="N575" s="4" t="str">
        <f aca="false">IF(K575="","",A575)</f>
        <v/>
      </c>
      <c r="O575" s="4" t="n">
        <v>1454</v>
      </c>
      <c r="P575" s="4" t="n">
        <f aca="false">IF(A575=A574,P574+1-M574,0)</f>
        <v>5</v>
      </c>
    </row>
    <row r="576" customFormat="false" ht="15" hidden="false" customHeight="false" outlineLevel="0" collapsed="false">
      <c r="A576" s="28" t="s">
        <v>3967</v>
      </c>
      <c r="B576" s="28" t="s">
        <v>51</v>
      </c>
      <c r="C576" s="28" t="s">
        <v>77</v>
      </c>
      <c r="D576" s="28" t="s">
        <v>3968</v>
      </c>
      <c r="E576" s="4" t="n">
        <v>7</v>
      </c>
      <c r="F576" s="4" t="s">
        <v>213</v>
      </c>
      <c r="G576" s="4" t="s">
        <v>1260</v>
      </c>
      <c r="H576" s="4" t="n">
        <v>2021</v>
      </c>
      <c r="I576" s="4" t="s">
        <v>876</v>
      </c>
      <c r="J576" s="25" t="str">
        <f aca="false">IF(M576=1,"✓","")</f>
        <v/>
      </c>
      <c r="K576" s="4" t="str">
        <f aca="false">IF(AND(M576=0,P576=0),"▶ NEXT","")</f>
        <v/>
      </c>
      <c r="L576" s="4" t="n">
        <f aca="false">INDEX('Master List'!$F$2:$F$2594,O576)</f>
        <v>2</v>
      </c>
      <c r="M576" s="4" t="n">
        <f aca="false">INDEX('Master List'!$G$2:$G$2594,O576)</f>
        <v>0</v>
      </c>
      <c r="N576" s="4" t="str">
        <f aca="false">IF(K576="","",A576)</f>
        <v/>
      </c>
      <c r="O576" s="4" t="n">
        <v>2311</v>
      </c>
      <c r="P576" s="4" t="n">
        <f aca="false">IF(A576=A575,P575+1-M575,0)</f>
        <v>6</v>
      </c>
    </row>
    <row r="577" customFormat="false" ht="15" hidden="false" customHeight="false" outlineLevel="0" collapsed="false">
      <c r="A577" s="28" t="s">
        <v>3967</v>
      </c>
      <c r="B577" s="28" t="s">
        <v>51</v>
      </c>
      <c r="C577" s="28" t="s">
        <v>77</v>
      </c>
      <c r="D577" s="28" t="s">
        <v>3968</v>
      </c>
      <c r="E577" s="4" t="n">
        <v>8</v>
      </c>
      <c r="F577" s="4" t="s">
        <v>1327</v>
      </c>
      <c r="G577" s="4" t="s">
        <v>3734</v>
      </c>
      <c r="H577" s="4" t="n">
        <v>2003</v>
      </c>
      <c r="I577" s="4" t="s">
        <v>3707</v>
      </c>
      <c r="J577" s="25" t="str">
        <f aca="false">IF(M577=1,"✓","")</f>
        <v/>
      </c>
      <c r="K577" s="4" t="str">
        <f aca="false">IF(AND(M577=0,P577=0),"▶ NEXT","")</f>
        <v/>
      </c>
      <c r="L577" s="4" t="n">
        <f aca="false">INDEX('Master List'!$F$2:$F$2594,O577)</f>
        <v>1</v>
      </c>
      <c r="M577" s="4" t="n">
        <f aca="false">INDEX('Master List'!$G$2:$G$2594,O577)</f>
        <v>0</v>
      </c>
      <c r="N577" s="4" t="str">
        <f aca="false">IF(K577="","",A577)</f>
        <v/>
      </c>
      <c r="O577" s="4" t="n">
        <v>2385</v>
      </c>
      <c r="P577" s="4" t="n">
        <f aca="false">IF(A577=A576,P576+1-M576,0)</f>
        <v>7</v>
      </c>
    </row>
    <row r="578" customFormat="false" ht="15" hidden="false" customHeight="false" outlineLevel="0" collapsed="false">
      <c r="A578" s="28" t="s">
        <v>3967</v>
      </c>
      <c r="B578" s="28" t="s">
        <v>51</v>
      </c>
      <c r="C578" s="28" t="s">
        <v>77</v>
      </c>
      <c r="D578" s="28" t="s">
        <v>3968</v>
      </c>
      <c r="E578" s="4" t="n">
        <v>9</v>
      </c>
      <c r="F578" s="4" t="s">
        <v>1327</v>
      </c>
      <c r="G578" s="4" t="s">
        <v>3715</v>
      </c>
      <c r="H578" s="4" t="n">
        <v>2000</v>
      </c>
      <c r="I578" s="4" t="s">
        <v>3716</v>
      </c>
      <c r="J578" s="25" t="str">
        <f aca="false">IF(M578=1,"✓","")</f>
        <v/>
      </c>
      <c r="K578" s="4" t="str">
        <f aca="false">IF(AND(M578=0,P578=0),"▶ NEXT","")</f>
        <v/>
      </c>
      <c r="L578" s="4" t="n">
        <f aca="false">INDEX('Master List'!$F$2:$F$2594,O578)</f>
        <v>1</v>
      </c>
      <c r="M578" s="4" t="n">
        <f aca="false">INDEX('Master List'!$G$2:$G$2594,O578)</f>
        <v>0</v>
      </c>
      <c r="N578" s="4" t="str">
        <f aca="false">IF(K578="","",A578)</f>
        <v/>
      </c>
      <c r="O578" s="4" t="n">
        <v>173</v>
      </c>
      <c r="P578" s="4" t="n">
        <f aca="false">IF(A578=A577,P577+1-M577,0)</f>
        <v>8</v>
      </c>
    </row>
    <row r="579" customFormat="false" ht="15" hidden="false" customHeight="false" outlineLevel="0" collapsed="false">
      <c r="A579" s="28" t="s">
        <v>3969</v>
      </c>
      <c r="B579" s="28" t="s">
        <v>51</v>
      </c>
      <c r="C579" s="28" t="s">
        <v>77</v>
      </c>
      <c r="D579" s="28" t="s">
        <v>3970</v>
      </c>
      <c r="E579" s="4" t="n">
        <v>1</v>
      </c>
      <c r="F579" s="4" t="s">
        <v>144</v>
      </c>
      <c r="G579" s="7" t="s">
        <v>261</v>
      </c>
      <c r="H579" s="4" t="n">
        <v>1999</v>
      </c>
      <c r="I579" s="4" t="s">
        <v>262</v>
      </c>
      <c r="J579" s="25" t="str">
        <f aca="false">IF(M579=1,"✓","")</f>
        <v/>
      </c>
      <c r="K579" s="4" t="str">
        <f aca="false">IF(AND(M579=0,P579=0),"▶ NEXT","")</f>
        <v>▶ NEXT</v>
      </c>
      <c r="L579" s="4" t="n">
        <f aca="false">INDEX('Master List'!$F$2:$F$2594,O579)</f>
        <v>5</v>
      </c>
      <c r="M579" s="4" t="n">
        <f aca="false">INDEX('Master List'!$G$2:$G$2594,O579)</f>
        <v>0</v>
      </c>
      <c r="N579" s="4" t="str">
        <f aca="false">IF(K579="","",A579)</f>
        <v>N048</v>
      </c>
      <c r="O579" s="4" t="n">
        <v>206</v>
      </c>
      <c r="P579" s="4" t="n">
        <f aca="false">IF(A579=A578,P578+1-M578,0)</f>
        <v>0</v>
      </c>
    </row>
    <row r="580" customFormat="false" ht="15" hidden="false" customHeight="false" outlineLevel="0" collapsed="false">
      <c r="A580" s="28" t="s">
        <v>3969</v>
      </c>
      <c r="B580" s="28" t="s">
        <v>51</v>
      </c>
      <c r="C580" s="28" t="s">
        <v>77</v>
      </c>
      <c r="D580" s="28" t="s">
        <v>3970</v>
      </c>
      <c r="E580" s="4" t="n">
        <v>2</v>
      </c>
      <c r="F580" s="4" t="s">
        <v>144</v>
      </c>
      <c r="G580" s="7" t="s">
        <v>240</v>
      </c>
      <c r="H580" s="4" t="n">
        <v>2019</v>
      </c>
      <c r="I580" s="4" t="s">
        <v>241</v>
      </c>
      <c r="J580" s="25" t="str">
        <f aca="false">IF(M580=1,"✓","")</f>
        <v/>
      </c>
      <c r="K580" s="4" t="str">
        <f aca="false">IF(AND(M580=0,P580=0),"▶ NEXT","")</f>
        <v/>
      </c>
      <c r="L580" s="4" t="n">
        <f aca="false">INDEX('Master List'!$F$2:$F$2594,O580)</f>
        <v>6</v>
      </c>
      <c r="M580" s="4" t="n">
        <f aca="false">INDEX('Master List'!$G$2:$G$2594,O580)</f>
        <v>0</v>
      </c>
      <c r="N580" s="4" t="str">
        <f aca="false">IF(K580="","",A580)</f>
        <v/>
      </c>
      <c r="O580" s="4" t="n">
        <v>1799</v>
      </c>
      <c r="P580" s="4" t="n">
        <f aca="false">IF(A580=A579,P579+1-M579,0)</f>
        <v>1</v>
      </c>
    </row>
    <row r="581" customFormat="false" ht="15" hidden="false" customHeight="false" outlineLevel="0" collapsed="false">
      <c r="A581" s="28" t="s">
        <v>3969</v>
      </c>
      <c r="B581" s="28" t="s">
        <v>51</v>
      </c>
      <c r="C581" s="28" t="s">
        <v>77</v>
      </c>
      <c r="D581" s="28" t="s">
        <v>3970</v>
      </c>
      <c r="E581" s="4" t="n">
        <v>3</v>
      </c>
      <c r="F581" s="4" t="s">
        <v>213</v>
      </c>
      <c r="G581" s="4" t="s">
        <v>627</v>
      </c>
      <c r="H581" s="4" t="n">
        <v>1999</v>
      </c>
      <c r="I581" s="4" t="s">
        <v>628</v>
      </c>
      <c r="J581" s="25" t="str">
        <f aca="false">IF(M581=1,"✓","")</f>
        <v/>
      </c>
      <c r="K581" s="4" t="str">
        <f aca="false">IF(AND(M581=0,P581=0),"▶ NEXT","")</f>
        <v/>
      </c>
      <c r="L581" s="4" t="n">
        <f aca="false">INDEX('Master List'!$F$2:$F$2594,O581)</f>
        <v>3</v>
      </c>
      <c r="M581" s="4" t="n">
        <f aca="false">INDEX('Master List'!$G$2:$G$2594,O581)</f>
        <v>0</v>
      </c>
      <c r="N581" s="4" t="str">
        <f aca="false">IF(K581="","",A581)</f>
        <v/>
      </c>
      <c r="O581" s="4" t="n">
        <v>1935</v>
      </c>
      <c r="P581" s="4" t="n">
        <f aca="false">IF(A581=A580,P580+1-M580,0)</f>
        <v>2</v>
      </c>
    </row>
    <row r="582" customFormat="false" ht="15" hidden="false" customHeight="false" outlineLevel="0" collapsed="false">
      <c r="A582" s="28" t="s">
        <v>3969</v>
      </c>
      <c r="B582" s="28" t="s">
        <v>51</v>
      </c>
      <c r="C582" s="28" t="s">
        <v>77</v>
      </c>
      <c r="D582" s="28" t="s">
        <v>3970</v>
      </c>
      <c r="E582" s="4" t="n">
        <v>4</v>
      </c>
      <c r="F582" s="4" t="s">
        <v>213</v>
      </c>
      <c r="G582" s="4" t="s">
        <v>1390</v>
      </c>
      <c r="H582" s="4" t="n">
        <v>1996</v>
      </c>
      <c r="I582" s="4" t="s">
        <v>1391</v>
      </c>
      <c r="J582" s="25" t="str">
        <f aca="false">IF(M582=1,"✓","")</f>
        <v/>
      </c>
      <c r="K582" s="4" t="str">
        <f aca="false">IF(AND(M582=0,P582=0),"▶ NEXT","")</f>
        <v/>
      </c>
      <c r="L582" s="4" t="n">
        <f aca="false">INDEX('Master List'!$F$2:$F$2594,O582)</f>
        <v>2</v>
      </c>
      <c r="M582" s="4" t="n">
        <f aca="false">INDEX('Master List'!$G$2:$G$2594,O582)</f>
        <v>0</v>
      </c>
      <c r="N582" s="4" t="str">
        <f aca="false">IF(K582="","",A582)</f>
        <v/>
      </c>
      <c r="O582" s="4" t="n">
        <v>1165</v>
      </c>
      <c r="P582" s="4" t="n">
        <f aca="false">IF(A582=A581,P581+1-M581,0)</f>
        <v>3</v>
      </c>
    </row>
    <row r="583" customFormat="false" ht="15" hidden="false" customHeight="false" outlineLevel="0" collapsed="false">
      <c r="A583" s="28" t="s">
        <v>3969</v>
      </c>
      <c r="B583" s="28" t="s">
        <v>51</v>
      </c>
      <c r="C583" s="28" t="s">
        <v>77</v>
      </c>
      <c r="D583" s="28" t="s">
        <v>3970</v>
      </c>
      <c r="E583" s="4" t="n">
        <v>5</v>
      </c>
      <c r="F583" s="4" t="s">
        <v>213</v>
      </c>
      <c r="G583" s="4" t="s">
        <v>2900</v>
      </c>
      <c r="H583" s="4" t="n">
        <v>2008</v>
      </c>
      <c r="I583" s="4" t="s">
        <v>2901</v>
      </c>
      <c r="J583" s="25" t="str">
        <f aca="false">IF(M583=1,"✓","")</f>
        <v/>
      </c>
      <c r="K583" s="4" t="str">
        <f aca="false">IF(AND(M583=0,P583=0),"▶ NEXT","")</f>
        <v/>
      </c>
      <c r="L583" s="4" t="n">
        <f aca="false">INDEX('Master List'!$F$2:$F$2594,O583)</f>
        <v>1</v>
      </c>
      <c r="M583" s="4" t="n">
        <f aca="false">INDEX('Master List'!$G$2:$G$2594,O583)</f>
        <v>0</v>
      </c>
      <c r="N583" s="4" t="str">
        <f aca="false">IF(K583="","",A583)</f>
        <v/>
      </c>
      <c r="O583" s="4" t="n">
        <v>456</v>
      </c>
      <c r="P583" s="4" t="n">
        <f aca="false">IF(A583=A582,P582+1-M582,0)</f>
        <v>4</v>
      </c>
    </row>
    <row r="584" customFormat="false" ht="15" hidden="false" customHeight="false" outlineLevel="0" collapsed="false">
      <c r="A584" s="28" t="s">
        <v>3969</v>
      </c>
      <c r="B584" s="28" t="s">
        <v>51</v>
      </c>
      <c r="C584" s="28" t="s">
        <v>77</v>
      </c>
      <c r="D584" s="28" t="s">
        <v>3970</v>
      </c>
      <c r="E584" s="4" t="n">
        <v>6</v>
      </c>
      <c r="F584" s="4" t="s">
        <v>213</v>
      </c>
      <c r="G584" s="4" t="s">
        <v>1181</v>
      </c>
      <c r="H584" s="4" t="n">
        <v>2008</v>
      </c>
      <c r="I584" s="4" t="s">
        <v>1182</v>
      </c>
      <c r="J584" s="25" t="str">
        <f aca="false">IF(M584=1,"✓","")</f>
        <v/>
      </c>
      <c r="K584" s="4" t="str">
        <f aca="false">IF(AND(M584=0,P584=0),"▶ NEXT","")</f>
        <v/>
      </c>
      <c r="L584" s="4" t="n">
        <f aca="false">INDEX('Master List'!$F$2:$F$2594,O584)</f>
        <v>2</v>
      </c>
      <c r="M584" s="4" t="n">
        <f aca="false">INDEX('Master List'!$G$2:$G$2594,O584)</f>
        <v>0</v>
      </c>
      <c r="N584" s="4" t="str">
        <f aca="false">IF(K584="","",A584)</f>
        <v/>
      </c>
      <c r="O584" s="4" t="n">
        <v>472</v>
      </c>
      <c r="P584" s="4" t="n">
        <f aca="false">IF(A584=A583,P583+1-M583,0)</f>
        <v>5</v>
      </c>
    </row>
    <row r="585" customFormat="false" ht="15" hidden="false" customHeight="false" outlineLevel="0" collapsed="false">
      <c r="A585" s="28" t="s">
        <v>3969</v>
      </c>
      <c r="B585" s="28" t="s">
        <v>51</v>
      </c>
      <c r="C585" s="28" t="s">
        <v>77</v>
      </c>
      <c r="D585" s="28" t="s">
        <v>3970</v>
      </c>
      <c r="E585" s="4" t="n">
        <v>7</v>
      </c>
      <c r="F585" s="4" t="s">
        <v>213</v>
      </c>
      <c r="G585" s="4" t="s">
        <v>1188</v>
      </c>
      <c r="H585" s="4" t="n">
        <v>2009</v>
      </c>
      <c r="I585" s="4" t="s">
        <v>1189</v>
      </c>
      <c r="J585" s="25" t="str">
        <f aca="false">IF(M585=1,"✓","")</f>
        <v/>
      </c>
      <c r="K585" s="4" t="str">
        <f aca="false">IF(AND(M585=0,P585=0),"▶ NEXT","")</f>
        <v/>
      </c>
      <c r="L585" s="4" t="n">
        <f aca="false">INDEX('Master List'!$F$2:$F$2594,O585)</f>
        <v>2</v>
      </c>
      <c r="M585" s="4" t="n">
        <f aca="false">INDEX('Master List'!$G$2:$G$2594,O585)</f>
        <v>0</v>
      </c>
      <c r="N585" s="4" t="str">
        <f aca="false">IF(K585="","",A585)</f>
        <v/>
      </c>
      <c r="O585" s="4" t="n">
        <v>1823</v>
      </c>
      <c r="P585" s="4" t="n">
        <f aca="false">IF(A585=A584,P584+1-M584,0)</f>
        <v>6</v>
      </c>
    </row>
    <row r="586" customFormat="false" ht="15" hidden="false" customHeight="false" outlineLevel="0" collapsed="false">
      <c r="A586" s="28" t="s">
        <v>3969</v>
      </c>
      <c r="B586" s="28" t="s">
        <v>51</v>
      </c>
      <c r="C586" s="28" t="s">
        <v>77</v>
      </c>
      <c r="D586" s="28" t="s">
        <v>3970</v>
      </c>
      <c r="E586" s="4" t="n">
        <v>8</v>
      </c>
      <c r="F586" s="4" t="s">
        <v>213</v>
      </c>
      <c r="G586" s="4" t="s">
        <v>3046</v>
      </c>
      <c r="H586" s="4" t="n">
        <v>2014</v>
      </c>
      <c r="I586" s="4" t="s">
        <v>241</v>
      </c>
      <c r="J586" s="25" t="str">
        <f aca="false">IF(M586=1,"✓","")</f>
        <v/>
      </c>
      <c r="K586" s="4" t="str">
        <f aca="false">IF(AND(M586=0,P586=0),"▶ NEXT","")</f>
        <v/>
      </c>
      <c r="L586" s="4" t="n">
        <f aca="false">INDEX('Master List'!$F$2:$F$2594,O586)</f>
        <v>1</v>
      </c>
      <c r="M586" s="4" t="n">
        <f aca="false">INDEX('Master List'!$G$2:$G$2594,O586)</f>
        <v>0</v>
      </c>
      <c r="N586" s="4" t="str">
        <f aca="false">IF(K586="","",A586)</f>
        <v/>
      </c>
      <c r="O586" s="4" t="n">
        <v>902</v>
      </c>
      <c r="P586" s="4" t="n">
        <f aca="false">IF(A586=A585,P585+1-M585,0)</f>
        <v>7</v>
      </c>
    </row>
    <row r="587" customFormat="false" ht="15" hidden="false" customHeight="false" outlineLevel="0" collapsed="false">
      <c r="A587" s="28" t="s">
        <v>3969</v>
      </c>
      <c r="B587" s="28" t="s">
        <v>51</v>
      </c>
      <c r="C587" s="28" t="s">
        <v>77</v>
      </c>
      <c r="D587" s="28" t="s">
        <v>3970</v>
      </c>
      <c r="E587" s="4" t="n">
        <v>9</v>
      </c>
      <c r="F587" s="4" t="s">
        <v>213</v>
      </c>
      <c r="G587" s="4" t="s">
        <v>3092</v>
      </c>
      <c r="H587" s="4" t="n">
        <v>2016</v>
      </c>
      <c r="I587" s="4" t="s">
        <v>1391</v>
      </c>
      <c r="J587" s="25" t="str">
        <f aca="false">IF(M587=1,"✓","")</f>
        <v/>
      </c>
      <c r="K587" s="4" t="str">
        <f aca="false">IF(AND(M587=0,P587=0),"▶ NEXT","")</f>
        <v/>
      </c>
      <c r="L587" s="4" t="n">
        <f aca="false">INDEX('Master List'!$F$2:$F$2594,O587)</f>
        <v>1</v>
      </c>
      <c r="M587" s="4" t="n">
        <f aca="false">INDEX('Master List'!$G$2:$G$2594,O587)</f>
        <v>0</v>
      </c>
      <c r="N587" s="4" t="str">
        <f aca="false">IF(K587="","",A587)</f>
        <v/>
      </c>
      <c r="O587" s="4" t="n">
        <v>1750</v>
      </c>
      <c r="P587" s="4" t="n">
        <f aca="false">IF(A587=A586,P586+1-M586,0)</f>
        <v>8</v>
      </c>
    </row>
    <row r="588" customFormat="false" ht="15" hidden="false" customHeight="false" outlineLevel="0" collapsed="false">
      <c r="A588" s="28" t="s">
        <v>3969</v>
      </c>
      <c r="B588" s="28" t="s">
        <v>51</v>
      </c>
      <c r="C588" s="28" t="s">
        <v>77</v>
      </c>
      <c r="D588" s="28" t="s">
        <v>3970</v>
      </c>
      <c r="E588" s="4" t="n">
        <v>10</v>
      </c>
      <c r="F588" s="4" t="s">
        <v>213</v>
      </c>
      <c r="G588" s="4" t="s">
        <v>446</v>
      </c>
      <c r="H588" s="4" t="n">
        <v>2023</v>
      </c>
      <c r="I588" s="4" t="s">
        <v>447</v>
      </c>
      <c r="J588" s="25" t="str">
        <f aca="false">IF(M588=1,"✓","")</f>
        <v/>
      </c>
      <c r="K588" s="4" t="str">
        <f aca="false">IF(AND(M588=0,P588=0),"▶ NEXT","")</f>
        <v/>
      </c>
      <c r="L588" s="4" t="n">
        <f aca="false">INDEX('Master List'!$F$2:$F$2594,O588)</f>
        <v>4</v>
      </c>
      <c r="M588" s="4" t="n">
        <f aca="false">INDEX('Master List'!$G$2:$G$2594,O588)</f>
        <v>0</v>
      </c>
      <c r="N588" s="4" t="str">
        <f aca="false">IF(K588="","",A588)</f>
        <v/>
      </c>
      <c r="O588" s="4" t="n">
        <v>98</v>
      </c>
      <c r="P588" s="4" t="n">
        <f aca="false">IF(A588=A587,P587+1-M587,0)</f>
        <v>9</v>
      </c>
    </row>
    <row r="589" customFormat="false" ht="15" hidden="false" customHeight="false" outlineLevel="0" collapsed="false">
      <c r="A589" s="28" t="s">
        <v>3969</v>
      </c>
      <c r="B589" s="28" t="s">
        <v>51</v>
      </c>
      <c r="C589" s="28" t="s">
        <v>77</v>
      </c>
      <c r="D589" s="28" t="s">
        <v>3970</v>
      </c>
      <c r="E589" s="4" t="n">
        <v>11</v>
      </c>
      <c r="F589" s="4" t="s">
        <v>1327</v>
      </c>
      <c r="G589" s="4" t="s">
        <v>3706</v>
      </c>
      <c r="H589" s="4" t="n">
        <v>1999</v>
      </c>
      <c r="I589" s="4" t="s">
        <v>3707</v>
      </c>
      <c r="J589" s="25" t="str">
        <f aca="false">IF(M589=1,"✓","")</f>
        <v/>
      </c>
      <c r="K589" s="4" t="str">
        <f aca="false">IF(AND(M589=0,P589=0),"▶ NEXT","")</f>
        <v/>
      </c>
      <c r="L589" s="4" t="n">
        <f aca="false">INDEX('Master List'!$F$2:$F$2594,O589)</f>
        <v>1</v>
      </c>
      <c r="M589" s="4" t="n">
        <f aca="false">INDEX('Master List'!$G$2:$G$2594,O589)</f>
        <v>0</v>
      </c>
      <c r="N589" s="4" t="str">
        <f aca="false">IF(K589="","",A589)</f>
        <v/>
      </c>
      <c r="O589" s="4" t="n">
        <v>1085</v>
      </c>
      <c r="P589" s="4" t="n">
        <f aca="false">IF(A589=A588,P588+1-M588,0)</f>
        <v>10</v>
      </c>
    </row>
    <row r="590" customFormat="false" ht="15" hidden="false" customHeight="false" outlineLevel="0" collapsed="false">
      <c r="A590" s="28" t="s">
        <v>3969</v>
      </c>
      <c r="B590" s="28" t="s">
        <v>51</v>
      </c>
      <c r="C590" s="28" t="s">
        <v>77</v>
      </c>
      <c r="D590" s="28" t="s">
        <v>3970</v>
      </c>
      <c r="E590" s="4" t="n">
        <v>12</v>
      </c>
      <c r="F590" s="4" t="s">
        <v>1327</v>
      </c>
      <c r="G590" s="4" t="s">
        <v>3810</v>
      </c>
      <c r="H590" s="4" t="n">
        <v>2013</v>
      </c>
      <c r="I590" s="4" t="s">
        <v>3811</v>
      </c>
      <c r="J590" s="25" t="str">
        <f aca="false">IF(M590=1,"✓","")</f>
        <v/>
      </c>
      <c r="K590" s="4" t="str">
        <f aca="false">IF(AND(M590=0,P590=0),"▶ NEXT","")</f>
        <v/>
      </c>
      <c r="L590" s="4" t="n">
        <f aca="false">INDEX('Master List'!$F$2:$F$2594,O590)</f>
        <v>1</v>
      </c>
      <c r="M590" s="4" t="n">
        <f aca="false">INDEX('Master List'!$G$2:$G$2594,O590)</f>
        <v>0</v>
      </c>
      <c r="N590" s="4" t="str">
        <f aca="false">IF(K590="","",A590)</f>
        <v/>
      </c>
      <c r="O590" s="4" t="n">
        <v>2175</v>
      </c>
      <c r="P590" s="4" t="n">
        <f aca="false">IF(A590=A589,P589+1-M589,0)</f>
        <v>11</v>
      </c>
    </row>
    <row r="591" customFormat="false" ht="15" hidden="false" customHeight="false" outlineLevel="0" collapsed="false">
      <c r="A591" s="28" t="s">
        <v>3971</v>
      </c>
      <c r="B591" s="28" t="s">
        <v>51</v>
      </c>
      <c r="C591" s="28" t="s">
        <v>78</v>
      </c>
      <c r="D591" s="28" t="s">
        <v>3972</v>
      </c>
      <c r="E591" s="4" t="n">
        <v>1</v>
      </c>
      <c r="F591" s="4" t="s">
        <v>144</v>
      </c>
      <c r="G591" s="7" t="s">
        <v>291</v>
      </c>
      <c r="H591" s="4" t="n">
        <v>1972</v>
      </c>
      <c r="I591" s="4" t="s">
        <v>292</v>
      </c>
      <c r="J591" s="25" t="str">
        <f aca="false">IF(M591=1,"✓","")</f>
        <v/>
      </c>
      <c r="K591" s="4" t="str">
        <f aca="false">IF(AND(M591=0,P591=0),"▶ NEXT","")</f>
        <v>▶ NEXT</v>
      </c>
      <c r="L591" s="4" t="n">
        <f aca="false">INDEX('Master List'!$F$2:$F$2594,O591)</f>
        <v>4</v>
      </c>
      <c r="M591" s="4" t="n">
        <f aca="false">INDEX('Master List'!$G$2:$G$2594,O591)</f>
        <v>0</v>
      </c>
      <c r="N591" s="4" t="str">
        <f aca="false">IF(K591="","",A591)</f>
        <v>N049</v>
      </c>
      <c r="O591" s="4" t="n">
        <v>56</v>
      </c>
      <c r="P591" s="4" t="n">
        <f aca="false">IF(A591=A590,P590+1-M590,0)</f>
        <v>0</v>
      </c>
    </row>
    <row r="592" customFormat="false" ht="15" hidden="false" customHeight="false" outlineLevel="0" collapsed="false">
      <c r="A592" s="28" t="s">
        <v>3971</v>
      </c>
      <c r="B592" s="28" t="s">
        <v>51</v>
      </c>
      <c r="C592" s="28" t="s">
        <v>78</v>
      </c>
      <c r="D592" s="28" t="s">
        <v>3972</v>
      </c>
      <c r="E592" s="4" t="n">
        <v>2</v>
      </c>
      <c r="F592" s="4" t="s">
        <v>144</v>
      </c>
      <c r="G592" s="7" t="s">
        <v>311</v>
      </c>
      <c r="H592" s="4" t="n">
        <v>1974</v>
      </c>
      <c r="I592" s="4" t="s">
        <v>312</v>
      </c>
      <c r="J592" s="25" t="str">
        <f aca="false">IF(M592=1,"✓","")</f>
        <v/>
      </c>
      <c r="K592" s="4" t="str">
        <f aca="false">IF(AND(M592=0,P592=0),"▶ NEXT","")</f>
        <v/>
      </c>
      <c r="L592" s="4" t="n">
        <f aca="false">INDEX('Master List'!$F$2:$F$2594,O592)</f>
        <v>4</v>
      </c>
      <c r="M592" s="4" t="n">
        <f aca="false">INDEX('Master List'!$G$2:$G$2594,O592)</f>
        <v>0</v>
      </c>
      <c r="N592" s="4" t="str">
        <f aca="false">IF(K592="","",A592)</f>
        <v/>
      </c>
      <c r="O592" s="4" t="n">
        <v>62</v>
      </c>
      <c r="P592" s="4" t="n">
        <f aca="false">IF(A592=A591,P591+1-M591,0)</f>
        <v>1</v>
      </c>
    </row>
    <row r="593" customFormat="false" ht="15" hidden="false" customHeight="false" outlineLevel="0" collapsed="false">
      <c r="A593" s="28" t="s">
        <v>3971</v>
      </c>
      <c r="B593" s="28" t="s">
        <v>51</v>
      </c>
      <c r="C593" s="28" t="s">
        <v>78</v>
      </c>
      <c r="D593" s="28" t="s">
        <v>3972</v>
      </c>
      <c r="E593" s="4" t="n">
        <v>3</v>
      </c>
      <c r="F593" s="4" t="s">
        <v>213</v>
      </c>
      <c r="G593" s="4" t="s">
        <v>1012</v>
      </c>
      <c r="H593" s="4" t="n">
        <v>1971</v>
      </c>
      <c r="I593" s="4" t="s">
        <v>312</v>
      </c>
      <c r="J593" s="25" t="str">
        <f aca="false">IF(M593=1,"✓","")</f>
        <v/>
      </c>
      <c r="K593" s="4" t="str">
        <f aca="false">IF(AND(M593=0,P593=0),"▶ NEXT","")</f>
        <v/>
      </c>
      <c r="L593" s="4" t="n">
        <f aca="false">INDEX('Master List'!$F$2:$F$2594,O593)</f>
        <v>2</v>
      </c>
      <c r="M593" s="4" t="n">
        <f aca="false">INDEX('Master List'!$G$2:$G$2594,O593)</f>
        <v>0</v>
      </c>
      <c r="N593" s="4" t="str">
        <f aca="false">IF(K593="","",A593)</f>
        <v/>
      </c>
      <c r="O593" s="4" t="n">
        <v>1483</v>
      </c>
      <c r="P593" s="4" t="n">
        <f aca="false">IF(A593=A592,P592+1-M592,0)</f>
        <v>2</v>
      </c>
    </row>
    <row r="594" customFormat="false" ht="15" hidden="false" customHeight="false" outlineLevel="0" collapsed="false">
      <c r="A594" s="28" t="s">
        <v>3971</v>
      </c>
      <c r="B594" s="28" t="s">
        <v>51</v>
      </c>
      <c r="C594" s="28" t="s">
        <v>78</v>
      </c>
      <c r="D594" s="28" t="s">
        <v>3972</v>
      </c>
      <c r="E594" s="4" t="n">
        <v>4</v>
      </c>
      <c r="F594" s="4" t="s">
        <v>213</v>
      </c>
      <c r="G594" s="4" t="s">
        <v>1015</v>
      </c>
      <c r="H594" s="4" t="n">
        <v>1972</v>
      </c>
      <c r="I594" s="4" t="s">
        <v>312</v>
      </c>
      <c r="J594" s="25" t="str">
        <f aca="false">IF(M594=1,"✓","")</f>
        <v/>
      </c>
      <c r="K594" s="4" t="str">
        <f aca="false">IF(AND(M594=0,P594=0),"▶ NEXT","")</f>
        <v/>
      </c>
      <c r="L594" s="4" t="n">
        <f aca="false">INDEX('Master List'!$F$2:$F$2594,O594)</f>
        <v>2</v>
      </c>
      <c r="M594" s="4" t="n">
        <f aca="false">INDEX('Master List'!$G$2:$G$2594,O594)</f>
        <v>0</v>
      </c>
      <c r="N594" s="4" t="str">
        <f aca="false">IF(K594="","",A594)</f>
        <v/>
      </c>
      <c r="O594" s="4" t="n">
        <v>262</v>
      </c>
      <c r="P594" s="4" t="n">
        <f aca="false">IF(A594=A593,P593+1-M593,0)</f>
        <v>3</v>
      </c>
    </row>
    <row r="595" customFormat="false" ht="15" hidden="false" customHeight="false" outlineLevel="0" collapsed="false">
      <c r="A595" s="28" t="s">
        <v>3971</v>
      </c>
      <c r="B595" s="28" t="s">
        <v>51</v>
      </c>
      <c r="C595" s="28" t="s">
        <v>78</v>
      </c>
      <c r="D595" s="28" t="s">
        <v>3972</v>
      </c>
      <c r="E595" s="4" t="n">
        <v>5</v>
      </c>
      <c r="F595" s="4" t="s">
        <v>213</v>
      </c>
      <c r="G595" s="4" t="s">
        <v>1023</v>
      </c>
      <c r="H595" s="4" t="n">
        <v>1974</v>
      </c>
      <c r="I595" s="4" t="s">
        <v>365</v>
      </c>
      <c r="J595" s="25" t="str">
        <f aca="false">IF(M595=1,"✓","")</f>
        <v/>
      </c>
      <c r="K595" s="4" t="str">
        <f aca="false">IF(AND(M595=0,P595=0),"▶ NEXT","")</f>
        <v/>
      </c>
      <c r="L595" s="4" t="n">
        <f aca="false">INDEX('Master List'!$F$2:$F$2594,O595)</f>
        <v>2</v>
      </c>
      <c r="M595" s="4" t="n">
        <f aca="false">INDEX('Master List'!$G$2:$G$2594,O595)</f>
        <v>0</v>
      </c>
      <c r="N595" s="4" t="str">
        <f aca="false">IF(K595="","",A595)</f>
        <v/>
      </c>
      <c r="O595" s="4" t="n">
        <v>65</v>
      </c>
      <c r="P595" s="4" t="n">
        <f aca="false">IF(A595=A594,P594+1-M594,0)</f>
        <v>4</v>
      </c>
    </row>
    <row r="596" customFormat="false" ht="15" hidden="false" customHeight="false" outlineLevel="0" collapsed="false">
      <c r="A596" s="28" t="s">
        <v>3971</v>
      </c>
      <c r="B596" s="28" t="s">
        <v>51</v>
      </c>
      <c r="C596" s="28" t="s">
        <v>78</v>
      </c>
      <c r="D596" s="28" t="s">
        <v>3972</v>
      </c>
      <c r="E596" s="4" t="n">
        <v>6</v>
      </c>
      <c r="F596" s="4" t="s">
        <v>213</v>
      </c>
      <c r="G596" s="4" t="s">
        <v>1024</v>
      </c>
      <c r="H596" s="4" t="n">
        <v>1974</v>
      </c>
      <c r="I596" s="4" t="s">
        <v>292</v>
      </c>
      <c r="J596" s="25" t="str">
        <f aca="false">IF(M596=1,"✓","")</f>
        <v/>
      </c>
      <c r="K596" s="4" t="str">
        <f aca="false">IF(AND(M596=0,P596=0),"▶ NEXT","")</f>
        <v/>
      </c>
      <c r="L596" s="4" t="n">
        <f aca="false">INDEX('Master List'!$F$2:$F$2594,O596)</f>
        <v>2</v>
      </c>
      <c r="M596" s="4" t="n">
        <f aca="false">INDEX('Master List'!$G$2:$G$2594,O596)</f>
        <v>0</v>
      </c>
      <c r="N596" s="4" t="str">
        <f aca="false">IF(K596="","",A596)</f>
        <v/>
      </c>
      <c r="O596" s="4" t="n">
        <v>733</v>
      </c>
      <c r="P596" s="4" t="n">
        <f aca="false">IF(A596=A595,P595+1-M595,0)</f>
        <v>5</v>
      </c>
    </row>
    <row r="597" customFormat="false" ht="15" hidden="false" customHeight="false" outlineLevel="0" collapsed="false">
      <c r="A597" s="28" t="s">
        <v>3971</v>
      </c>
      <c r="B597" s="28" t="s">
        <v>51</v>
      </c>
      <c r="C597" s="28" t="s">
        <v>78</v>
      </c>
      <c r="D597" s="28" t="s">
        <v>3972</v>
      </c>
      <c r="E597" s="4" t="n">
        <v>7</v>
      </c>
      <c r="F597" s="4" t="s">
        <v>213</v>
      </c>
      <c r="G597" s="4" t="s">
        <v>2292</v>
      </c>
      <c r="H597" s="4" t="n">
        <v>1977</v>
      </c>
      <c r="I597" s="4" t="s">
        <v>365</v>
      </c>
      <c r="J597" s="25" t="str">
        <f aca="false">IF(M597=1,"✓","")</f>
        <v/>
      </c>
      <c r="K597" s="4" t="str">
        <f aca="false">IF(AND(M597=0,P597=0),"▶ NEXT","")</f>
        <v/>
      </c>
      <c r="L597" s="4" t="n">
        <f aca="false">INDEX('Master List'!$F$2:$F$2594,O597)</f>
        <v>1</v>
      </c>
      <c r="M597" s="4" t="n">
        <f aca="false">INDEX('Master List'!$G$2:$G$2594,O597)</f>
        <v>0</v>
      </c>
      <c r="N597" s="4" t="str">
        <f aca="false">IF(K597="","",A597)</f>
        <v/>
      </c>
      <c r="O597" s="4" t="n">
        <v>88</v>
      </c>
      <c r="P597" s="4" t="n">
        <f aca="false">IF(A597=A596,P596+1-M596,0)</f>
        <v>6</v>
      </c>
    </row>
    <row r="598" customFormat="false" ht="15" hidden="false" customHeight="false" outlineLevel="0" collapsed="false">
      <c r="A598" s="28" t="s">
        <v>3971</v>
      </c>
      <c r="B598" s="28" t="s">
        <v>51</v>
      </c>
      <c r="C598" s="28" t="s">
        <v>78</v>
      </c>
      <c r="D598" s="28" t="s">
        <v>3972</v>
      </c>
      <c r="E598" s="4" t="n">
        <v>8</v>
      </c>
      <c r="F598" s="4" t="s">
        <v>213</v>
      </c>
      <c r="G598" s="4" t="s">
        <v>807</v>
      </c>
      <c r="H598" s="4" t="n">
        <v>1979</v>
      </c>
      <c r="I598" s="4" t="s">
        <v>312</v>
      </c>
      <c r="J598" s="25" t="str">
        <f aca="false">IF(M598=1,"✓","")</f>
        <v/>
      </c>
      <c r="K598" s="4" t="str">
        <f aca="false">IF(AND(M598=0,P598=0),"▶ NEXT","")</f>
        <v/>
      </c>
      <c r="L598" s="4" t="n">
        <f aca="false">INDEX('Master List'!$F$2:$F$2594,O598)</f>
        <v>2</v>
      </c>
      <c r="M598" s="4" t="n">
        <f aca="false">INDEX('Master List'!$G$2:$G$2594,O598)</f>
        <v>0</v>
      </c>
      <c r="N598" s="4" t="str">
        <f aca="false">IF(K598="","",A598)</f>
        <v/>
      </c>
      <c r="O598" s="4" t="n">
        <v>1451</v>
      </c>
      <c r="P598" s="4" t="n">
        <f aca="false">IF(A598=A597,P597+1-M597,0)</f>
        <v>7</v>
      </c>
    </row>
    <row r="599" customFormat="false" ht="15" hidden="false" customHeight="false" outlineLevel="0" collapsed="false">
      <c r="A599" s="28" t="s">
        <v>3971</v>
      </c>
      <c r="B599" s="28" t="s">
        <v>51</v>
      </c>
      <c r="C599" s="28" t="s">
        <v>78</v>
      </c>
      <c r="D599" s="28" t="s">
        <v>3972</v>
      </c>
      <c r="E599" s="4" t="n">
        <v>9</v>
      </c>
      <c r="F599" s="4" t="s">
        <v>213</v>
      </c>
      <c r="G599" s="4" t="s">
        <v>2322</v>
      </c>
      <c r="H599" s="4" t="n">
        <v>1979</v>
      </c>
      <c r="I599" s="4" t="s">
        <v>2323</v>
      </c>
      <c r="J599" s="25" t="str">
        <f aca="false">IF(M599=1,"✓","")</f>
        <v/>
      </c>
      <c r="K599" s="4" t="str">
        <f aca="false">IF(AND(M599=0,P599=0),"▶ NEXT","")</f>
        <v/>
      </c>
      <c r="L599" s="4" t="n">
        <f aca="false">INDEX('Master List'!$F$2:$F$2594,O599)</f>
        <v>1</v>
      </c>
      <c r="M599" s="4" t="n">
        <f aca="false">INDEX('Master List'!$G$2:$G$2594,O599)</f>
        <v>0</v>
      </c>
      <c r="N599" s="4" t="str">
        <f aca="false">IF(K599="","",A599)</f>
        <v/>
      </c>
      <c r="O599" s="4" t="n">
        <v>2308</v>
      </c>
      <c r="P599" s="4" t="n">
        <f aca="false">IF(A599=A598,P598+1-M598,0)</f>
        <v>8</v>
      </c>
    </row>
    <row r="600" customFormat="false" ht="15" hidden="false" customHeight="false" outlineLevel="0" collapsed="false">
      <c r="A600" s="28" t="s">
        <v>3971</v>
      </c>
      <c r="B600" s="28" t="s">
        <v>51</v>
      </c>
      <c r="C600" s="28" t="s">
        <v>78</v>
      </c>
      <c r="D600" s="28" t="s">
        <v>3972</v>
      </c>
      <c r="E600" s="4" t="n">
        <v>10</v>
      </c>
      <c r="F600" s="4" t="s">
        <v>213</v>
      </c>
      <c r="G600" s="4" t="s">
        <v>710</v>
      </c>
      <c r="H600" s="4" t="n">
        <v>1982</v>
      </c>
      <c r="I600" s="4" t="s">
        <v>292</v>
      </c>
      <c r="J600" s="25" t="str">
        <f aca="false">IF(M600=1,"✓","")</f>
        <v/>
      </c>
      <c r="K600" s="4" t="str">
        <f aca="false">IF(AND(M600=0,P600=0),"▶ NEXT","")</f>
        <v/>
      </c>
      <c r="L600" s="4" t="n">
        <f aca="false">INDEX('Master List'!$F$2:$F$2594,O600)</f>
        <v>3</v>
      </c>
      <c r="M600" s="4" t="n">
        <f aca="false">INDEX('Master List'!$G$2:$G$2594,O600)</f>
        <v>0</v>
      </c>
      <c r="N600" s="4" t="str">
        <f aca="false">IF(K600="","",A600)</f>
        <v/>
      </c>
      <c r="O600" s="4" t="n">
        <v>814</v>
      </c>
      <c r="P600" s="4" t="n">
        <f aca="false">IF(A600=A599,P599+1-M599,0)</f>
        <v>9</v>
      </c>
    </row>
    <row r="601" customFormat="false" ht="15" hidden="false" customHeight="false" outlineLevel="0" collapsed="false">
      <c r="A601" s="28" t="s">
        <v>3971</v>
      </c>
      <c r="B601" s="28" t="s">
        <v>51</v>
      </c>
      <c r="C601" s="28" t="s">
        <v>78</v>
      </c>
      <c r="D601" s="28" t="s">
        <v>3972</v>
      </c>
      <c r="E601" s="4" t="n">
        <v>11</v>
      </c>
      <c r="F601" s="4" t="s">
        <v>213</v>
      </c>
      <c r="G601" s="4" t="s">
        <v>364</v>
      </c>
      <c r="H601" s="4" t="n">
        <v>1984</v>
      </c>
      <c r="I601" s="4" t="s">
        <v>365</v>
      </c>
      <c r="J601" s="25" t="str">
        <f aca="false">IF(M601=1,"✓","")</f>
        <v>✓</v>
      </c>
      <c r="K601" s="4" t="str">
        <f aca="false">IF(AND(M601=0,P601=0),"▶ NEXT","")</f>
        <v/>
      </c>
      <c r="L601" s="4" t="n">
        <f aca="false">INDEX('Master List'!$F$2:$F$2594,O601)</f>
        <v>4</v>
      </c>
      <c r="M601" s="4" t="n">
        <f aca="false">INDEX('Master List'!$G$2:$G$2594,O601)</f>
        <v>1</v>
      </c>
      <c r="N601" s="4" t="str">
        <f aca="false">IF(K601="","",A601)</f>
        <v/>
      </c>
      <c r="O601" s="4" t="n">
        <v>1724</v>
      </c>
      <c r="P601" s="4" t="n">
        <f aca="false">IF(A601=A600,P600+1-M600,0)</f>
        <v>10</v>
      </c>
    </row>
    <row r="602" customFormat="false" ht="15" hidden="false" customHeight="false" outlineLevel="0" collapsed="false">
      <c r="A602" s="28" t="s">
        <v>3971</v>
      </c>
      <c r="B602" s="28" t="s">
        <v>51</v>
      </c>
      <c r="C602" s="28" t="s">
        <v>78</v>
      </c>
      <c r="D602" s="28" t="s">
        <v>3972</v>
      </c>
      <c r="E602" s="4" t="n">
        <v>12</v>
      </c>
      <c r="F602" s="4" t="s">
        <v>213</v>
      </c>
      <c r="G602" s="4" t="s">
        <v>1081</v>
      </c>
      <c r="H602" s="4" t="n">
        <v>1987</v>
      </c>
      <c r="I602" s="4" t="s">
        <v>365</v>
      </c>
      <c r="J602" s="25" t="str">
        <f aca="false">IF(M602=1,"✓","")</f>
        <v/>
      </c>
      <c r="K602" s="4" t="str">
        <f aca="false">IF(AND(M602=0,P602=0),"▶ NEXT","")</f>
        <v/>
      </c>
      <c r="L602" s="4" t="n">
        <f aca="false">INDEX('Master List'!$F$2:$F$2594,O602)</f>
        <v>2</v>
      </c>
      <c r="M602" s="4" t="n">
        <f aca="false">INDEX('Master List'!$G$2:$G$2594,O602)</f>
        <v>0</v>
      </c>
      <c r="N602" s="4" t="str">
        <f aca="false">IF(K602="","",A602)</f>
        <v/>
      </c>
      <c r="O602" s="4" t="n">
        <v>2527</v>
      </c>
      <c r="P602" s="4" t="n">
        <f aca="false">IF(A602=A601,P601+1-M601,0)</f>
        <v>10</v>
      </c>
    </row>
    <row r="603" customFormat="false" ht="15" hidden="false" customHeight="false" outlineLevel="0" collapsed="false">
      <c r="A603" s="28" t="s">
        <v>3971</v>
      </c>
      <c r="B603" s="28" t="s">
        <v>51</v>
      </c>
      <c r="C603" s="28" t="s">
        <v>78</v>
      </c>
      <c r="D603" s="28" t="s">
        <v>3972</v>
      </c>
      <c r="E603" s="4" t="n">
        <v>13</v>
      </c>
      <c r="F603" s="4" t="s">
        <v>1327</v>
      </c>
      <c r="G603" s="4" t="s">
        <v>3586</v>
      </c>
      <c r="H603" s="4" t="n">
        <v>1981</v>
      </c>
      <c r="I603" s="4" t="s">
        <v>3587</v>
      </c>
      <c r="J603" s="25" t="str">
        <f aca="false">IF(M603=1,"✓","")</f>
        <v/>
      </c>
      <c r="K603" s="4" t="str">
        <f aca="false">IF(AND(M603=0,P603=0),"▶ NEXT","")</f>
        <v/>
      </c>
      <c r="L603" s="4" t="n">
        <f aca="false">INDEX('Master List'!$F$2:$F$2594,O603)</f>
        <v>1</v>
      </c>
      <c r="M603" s="4" t="n">
        <f aca="false">INDEX('Master List'!$G$2:$G$2594,O603)</f>
        <v>0</v>
      </c>
      <c r="N603" s="4" t="str">
        <f aca="false">IF(K603="","",A603)</f>
        <v/>
      </c>
      <c r="O603" s="4" t="n">
        <v>1446</v>
      </c>
      <c r="P603" s="4" t="n">
        <f aca="false">IF(A603=A602,P602+1-M602,0)</f>
        <v>11</v>
      </c>
    </row>
    <row r="604" customFormat="false" ht="15" hidden="false" customHeight="false" outlineLevel="0" collapsed="false">
      <c r="A604" s="28" t="s">
        <v>3971</v>
      </c>
      <c r="B604" s="28" t="s">
        <v>51</v>
      </c>
      <c r="C604" s="28" t="s">
        <v>78</v>
      </c>
      <c r="D604" s="28" t="s">
        <v>3972</v>
      </c>
      <c r="E604" s="4" t="n">
        <v>14</v>
      </c>
      <c r="F604" s="4" t="s">
        <v>1327</v>
      </c>
      <c r="G604" s="4" t="s">
        <v>1357</v>
      </c>
      <c r="H604" s="4" t="n">
        <v>1977</v>
      </c>
      <c r="I604" s="4" t="s">
        <v>292</v>
      </c>
      <c r="J604" s="25" t="str">
        <f aca="false">IF(M604=1,"✓","")</f>
        <v/>
      </c>
      <c r="K604" s="4" t="str">
        <f aca="false">IF(AND(M604=0,P604=0),"▶ NEXT","")</f>
        <v/>
      </c>
      <c r="L604" s="4" t="n">
        <f aca="false">INDEX('Master List'!$F$2:$F$2594,O604)</f>
        <v>2</v>
      </c>
      <c r="M604" s="4" t="n">
        <f aca="false">INDEX('Master List'!$G$2:$G$2594,O604)</f>
        <v>0</v>
      </c>
      <c r="N604" s="4" t="str">
        <f aca="false">IF(K604="","",A604)</f>
        <v/>
      </c>
      <c r="O604" s="4" t="n">
        <v>2188</v>
      </c>
      <c r="P604" s="4" t="n">
        <f aca="false">IF(A604=A603,P603+1-M603,0)</f>
        <v>12</v>
      </c>
    </row>
    <row r="605" customFormat="false" ht="15" hidden="false" customHeight="false" outlineLevel="0" collapsed="false">
      <c r="A605" s="28" t="s">
        <v>3971</v>
      </c>
      <c r="B605" s="28" t="s">
        <v>51</v>
      </c>
      <c r="C605" s="28" t="s">
        <v>78</v>
      </c>
      <c r="D605" s="28" t="s">
        <v>3972</v>
      </c>
      <c r="E605" s="4" t="n">
        <v>15</v>
      </c>
      <c r="F605" s="4" t="s">
        <v>1327</v>
      </c>
      <c r="G605" s="4" t="s">
        <v>1352</v>
      </c>
      <c r="H605" s="4" t="n">
        <v>1976</v>
      </c>
      <c r="I605" s="4" t="s">
        <v>365</v>
      </c>
      <c r="J605" s="25" t="str">
        <f aca="false">IF(M605=1,"✓","")</f>
        <v/>
      </c>
      <c r="K605" s="4" t="str">
        <f aca="false">IF(AND(M605=0,P605=0),"▶ NEXT","")</f>
        <v/>
      </c>
      <c r="L605" s="4" t="n">
        <f aca="false">INDEX('Master List'!$F$2:$F$2594,O605)</f>
        <v>2</v>
      </c>
      <c r="M605" s="4" t="n">
        <f aca="false">INDEX('Master List'!$G$2:$G$2594,O605)</f>
        <v>0</v>
      </c>
      <c r="N605" s="4" t="str">
        <f aca="false">IF(K605="","",A605)</f>
        <v/>
      </c>
      <c r="O605" s="4" t="n">
        <v>1262</v>
      </c>
      <c r="P605" s="4" t="n">
        <f aca="false">IF(A605=A604,P604+1-M604,0)</f>
        <v>13</v>
      </c>
    </row>
    <row r="606" customFormat="false" ht="15" hidden="false" customHeight="false" outlineLevel="0" collapsed="false">
      <c r="A606" s="28" t="s">
        <v>3973</v>
      </c>
      <c r="B606" s="28" t="s">
        <v>51</v>
      </c>
      <c r="C606" s="28" t="s">
        <v>78</v>
      </c>
      <c r="D606" s="28" t="s">
        <v>3974</v>
      </c>
      <c r="E606" s="4" t="n">
        <v>1</v>
      </c>
      <c r="F606" s="4" t="s">
        <v>144</v>
      </c>
      <c r="G606" s="7" t="s">
        <v>1594</v>
      </c>
      <c r="H606" s="4" t="n">
        <v>2006</v>
      </c>
      <c r="I606" s="4" t="s">
        <v>1595</v>
      </c>
      <c r="J606" s="25" t="str">
        <f aca="false">IF(M606=1,"✓","")</f>
        <v/>
      </c>
      <c r="K606" s="4" t="str">
        <f aca="false">IF(AND(M606=0,P606=0),"▶ NEXT","")</f>
        <v>▶ NEXT</v>
      </c>
      <c r="L606" s="4" t="n">
        <f aca="false">INDEX('Master List'!$F$2:$F$2594,O606)</f>
        <v>1</v>
      </c>
      <c r="M606" s="4" t="n">
        <f aca="false">INDEX('Master List'!$G$2:$G$2594,O606)</f>
        <v>0</v>
      </c>
      <c r="N606" s="4" t="str">
        <f aca="false">IF(K606="","",A606)</f>
        <v>N050</v>
      </c>
      <c r="O606" s="4" t="n">
        <v>1358</v>
      </c>
      <c r="P606" s="4" t="n">
        <f aca="false">IF(A606=A605,P605+1-M605,0)</f>
        <v>0</v>
      </c>
    </row>
    <row r="607" customFormat="false" ht="15" hidden="false" customHeight="false" outlineLevel="0" collapsed="false">
      <c r="A607" s="28" t="s">
        <v>3973</v>
      </c>
      <c r="B607" s="28" t="s">
        <v>51</v>
      </c>
      <c r="C607" s="28" t="s">
        <v>78</v>
      </c>
      <c r="D607" s="28" t="s">
        <v>3974</v>
      </c>
      <c r="E607" s="4" t="n">
        <v>2</v>
      </c>
      <c r="F607" s="4" t="s">
        <v>144</v>
      </c>
      <c r="G607" s="7" t="s">
        <v>526</v>
      </c>
      <c r="H607" s="4" t="n">
        <v>2016</v>
      </c>
      <c r="I607" s="4" t="s">
        <v>527</v>
      </c>
      <c r="J607" s="25" t="str">
        <f aca="false">IF(M607=1,"✓","")</f>
        <v/>
      </c>
      <c r="K607" s="4" t="str">
        <f aca="false">IF(AND(M607=0,P607=0),"▶ NEXT","")</f>
        <v/>
      </c>
      <c r="L607" s="4" t="n">
        <f aca="false">INDEX('Master List'!$F$2:$F$2594,O607)</f>
        <v>3</v>
      </c>
      <c r="M607" s="4" t="n">
        <f aca="false">INDEX('Master List'!$G$2:$G$2594,O607)</f>
        <v>0</v>
      </c>
      <c r="N607" s="4" t="str">
        <f aca="false">IF(K607="","",A607)</f>
        <v/>
      </c>
      <c r="O607" s="4" t="n">
        <v>2332</v>
      </c>
      <c r="P607" s="4" t="n">
        <f aca="false">IF(A607=A606,P606+1-M606,0)</f>
        <v>1</v>
      </c>
    </row>
    <row r="608" customFormat="false" ht="15" hidden="false" customHeight="false" outlineLevel="0" collapsed="false">
      <c r="A608" s="28" t="s">
        <v>3973</v>
      </c>
      <c r="B608" s="28" t="s">
        <v>51</v>
      </c>
      <c r="C608" s="28" t="s">
        <v>78</v>
      </c>
      <c r="D608" s="28" t="s">
        <v>3974</v>
      </c>
      <c r="E608" s="4" t="n">
        <v>3</v>
      </c>
      <c r="F608" s="4" t="s">
        <v>213</v>
      </c>
      <c r="G608" s="4" t="s">
        <v>1092</v>
      </c>
      <c r="H608" s="4" t="n">
        <v>1989</v>
      </c>
      <c r="I608" s="4" t="s">
        <v>516</v>
      </c>
      <c r="J608" s="25" t="str">
        <f aca="false">IF(M608=1,"✓","")</f>
        <v/>
      </c>
      <c r="K608" s="4" t="str">
        <f aca="false">IF(AND(M608=0,P608=0),"▶ NEXT","")</f>
        <v/>
      </c>
      <c r="L608" s="4" t="n">
        <f aca="false">INDEX('Master List'!$F$2:$F$2594,O608)</f>
        <v>2</v>
      </c>
      <c r="M608" s="4" t="n">
        <f aca="false">INDEX('Master List'!$G$2:$G$2594,O608)</f>
        <v>0</v>
      </c>
      <c r="N608" s="4" t="str">
        <f aca="false">IF(K608="","",A608)</f>
        <v/>
      </c>
      <c r="O608" s="4" t="n">
        <v>2024</v>
      </c>
      <c r="P608" s="4" t="n">
        <f aca="false">IF(A608=A607,P607+1-M607,0)</f>
        <v>2</v>
      </c>
    </row>
    <row r="609" customFormat="false" ht="15" hidden="false" customHeight="false" outlineLevel="0" collapsed="false">
      <c r="A609" s="28" t="s">
        <v>3973</v>
      </c>
      <c r="B609" s="28" t="s">
        <v>51</v>
      </c>
      <c r="C609" s="28" t="s">
        <v>78</v>
      </c>
      <c r="D609" s="28" t="s">
        <v>3974</v>
      </c>
      <c r="E609" s="4" t="n">
        <v>4</v>
      </c>
      <c r="F609" s="4" t="s">
        <v>213</v>
      </c>
      <c r="G609" s="4" t="s">
        <v>1117</v>
      </c>
      <c r="H609" s="4" t="n">
        <v>1997</v>
      </c>
      <c r="I609" s="4" t="s">
        <v>516</v>
      </c>
      <c r="J609" s="25" t="str">
        <f aca="false">IF(M609=1,"✓","")</f>
        <v>✓</v>
      </c>
      <c r="K609" s="4" t="str">
        <f aca="false">IF(AND(M609=0,P609=0),"▶ NEXT","")</f>
        <v/>
      </c>
      <c r="L609" s="4" t="n">
        <f aca="false">INDEX('Master List'!$F$2:$F$2594,O609)</f>
        <v>2</v>
      </c>
      <c r="M609" s="4" t="n">
        <f aca="false">INDEX('Master List'!$G$2:$G$2594,O609)</f>
        <v>1</v>
      </c>
      <c r="N609" s="4" t="str">
        <f aca="false">IF(K609="","",A609)</f>
        <v/>
      </c>
      <c r="O609" s="4" t="n">
        <v>871</v>
      </c>
      <c r="P609" s="4" t="n">
        <f aca="false">IF(A609=A608,P608+1-M608,0)</f>
        <v>3</v>
      </c>
    </row>
    <row r="610" customFormat="false" ht="15" hidden="false" customHeight="false" outlineLevel="0" collapsed="false">
      <c r="A610" s="28" t="s">
        <v>3973</v>
      </c>
      <c r="B610" s="28" t="s">
        <v>51</v>
      </c>
      <c r="C610" s="28" t="s">
        <v>78</v>
      </c>
      <c r="D610" s="28" t="s">
        <v>3974</v>
      </c>
      <c r="E610" s="4" t="n">
        <v>5</v>
      </c>
      <c r="F610" s="4" t="s">
        <v>213</v>
      </c>
      <c r="G610" s="4" t="s">
        <v>1143</v>
      </c>
      <c r="H610" s="4" t="n">
        <v>2001</v>
      </c>
      <c r="I610" s="4" t="s">
        <v>516</v>
      </c>
      <c r="J610" s="25" t="str">
        <f aca="false">IF(M610=1,"✓","")</f>
        <v/>
      </c>
      <c r="K610" s="4" t="str">
        <f aca="false">IF(AND(M610=0,P610=0),"▶ NEXT","")</f>
        <v/>
      </c>
      <c r="L610" s="4" t="n">
        <f aca="false">INDEX('Master List'!$F$2:$F$2594,O610)</f>
        <v>2</v>
      </c>
      <c r="M610" s="4" t="n">
        <f aca="false">INDEX('Master List'!$G$2:$G$2594,O610)</f>
        <v>0</v>
      </c>
      <c r="N610" s="4" t="str">
        <f aca="false">IF(K610="","",A610)</f>
        <v/>
      </c>
      <c r="O610" s="4" t="n">
        <v>1761</v>
      </c>
      <c r="P610" s="4" t="n">
        <f aca="false">IF(A610=A609,P609+1-M609,0)</f>
        <v>3</v>
      </c>
    </row>
    <row r="611" customFormat="false" ht="15" hidden="false" customHeight="false" outlineLevel="0" collapsed="false">
      <c r="A611" s="28" t="s">
        <v>3973</v>
      </c>
      <c r="B611" s="28" t="s">
        <v>51</v>
      </c>
      <c r="C611" s="28" t="s">
        <v>78</v>
      </c>
      <c r="D611" s="28" t="s">
        <v>3974</v>
      </c>
      <c r="E611" s="4" t="n">
        <v>6</v>
      </c>
      <c r="F611" s="4" t="s">
        <v>213</v>
      </c>
      <c r="G611" s="4" t="s">
        <v>515</v>
      </c>
      <c r="H611" s="4" t="n">
        <v>2005</v>
      </c>
      <c r="I611" s="4" t="s">
        <v>516</v>
      </c>
      <c r="J611" s="25" t="str">
        <f aca="false">IF(M611=1,"✓","")</f>
        <v/>
      </c>
      <c r="K611" s="4" t="str">
        <f aca="false">IF(AND(M611=0,P611=0),"▶ NEXT","")</f>
        <v/>
      </c>
      <c r="L611" s="4" t="n">
        <f aca="false">INDEX('Master List'!$F$2:$F$2594,O611)</f>
        <v>3</v>
      </c>
      <c r="M611" s="4" t="n">
        <f aca="false">INDEX('Master List'!$G$2:$G$2594,O611)</f>
        <v>0</v>
      </c>
      <c r="N611" s="4" t="str">
        <f aca="false">IF(K611="","",A611)</f>
        <v/>
      </c>
      <c r="O611" s="4" t="n">
        <v>379</v>
      </c>
      <c r="P611" s="4" t="n">
        <f aca="false">IF(A611=A610,P610+1-M610,0)</f>
        <v>4</v>
      </c>
    </row>
    <row r="612" customFormat="false" ht="15" hidden="false" customHeight="false" outlineLevel="0" collapsed="false">
      <c r="A612" s="28" t="s">
        <v>3973</v>
      </c>
      <c r="B612" s="28" t="s">
        <v>51</v>
      </c>
      <c r="C612" s="28" t="s">
        <v>78</v>
      </c>
      <c r="D612" s="28" t="s">
        <v>3974</v>
      </c>
      <c r="E612" s="4" t="n">
        <v>7</v>
      </c>
      <c r="F612" s="4" t="s">
        <v>213</v>
      </c>
      <c r="G612" s="4" t="s">
        <v>868</v>
      </c>
      <c r="H612" s="4" t="n">
        <v>2009</v>
      </c>
      <c r="I612" s="4" t="s">
        <v>516</v>
      </c>
      <c r="J612" s="25" t="str">
        <f aca="false">IF(M612=1,"✓","")</f>
        <v/>
      </c>
      <c r="K612" s="4" t="str">
        <f aca="false">IF(AND(M612=0,P612=0),"▶ NEXT","")</f>
        <v/>
      </c>
      <c r="L612" s="4" t="n">
        <f aca="false">INDEX('Master List'!$F$2:$F$2594,O612)</f>
        <v>2</v>
      </c>
      <c r="M612" s="4" t="n">
        <f aca="false">INDEX('Master List'!$G$2:$G$2594,O612)</f>
        <v>0</v>
      </c>
      <c r="N612" s="4" t="str">
        <f aca="false">IF(K612="","",A612)</f>
        <v/>
      </c>
      <c r="O612" s="4" t="n">
        <v>2506</v>
      </c>
      <c r="P612" s="4" t="n">
        <f aca="false">IF(A612=A611,P611+1-M611,0)</f>
        <v>5</v>
      </c>
    </row>
    <row r="613" customFormat="false" ht="15" hidden="false" customHeight="false" outlineLevel="0" collapsed="false">
      <c r="A613" s="28" t="s">
        <v>3973</v>
      </c>
      <c r="B613" s="28" t="s">
        <v>51</v>
      </c>
      <c r="C613" s="28" t="s">
        <v>78</v>
      </c>
      <c r="D613" s="28" t="s">
        <v>3974</v>
      </c>
      <c r="E613" s="4" t="n">
        <v>8</v>
      </c>
      <c r="F613" s="4" t="s">
        <v>213</v>
      </c>
      <c r="G613" s="4" t="s">
        <v>2990</v>
      </c>
      <c r="H613" s="4" t="n">
        <v>2012</v>
      </c>
      <c r="I613" s="4" t="s">
        <v>2991</v>
      </c>
      <c r="J613" s="25" t="str">
        <f aca="false">IF(M613=1,"✓","")</f>
        <v/>
      </c>
      <c r="K613" s="4" t="str">
        <f aca="false">IF(AND(M613=0,P613=0),"▶ NEXT","")</f>
        <v/>
      </c>
      <c r="L613" s="4" t="n">
        <f aca="false">INDEX('Master List'!$F$2:$F$2594,O613)</f>
        <v>1</v>
      </c>
      <c r="M613" s="4" t="n">
        <f aca="false">INDEX('Master List'!$G$2:$G$2594,O613)</f>
        <v>0</v>
      </c>
      <c r="N613" s="4" t="str">
        <f aca="false">IF(K613="","",A613)</f>
        <v/>
      </c>
      <c r="O613" s="4" t="n">
        <v>185</v>
      </c>
      <c r="P613" s="4" t="n">
        <f aca="false">IF(A613=A612,P612+1-M612,0)</f>
        <v>6</v>
      </c>
    </row>
    <row r="614" customFormat="false" ht="15" hidden="false" customHeight="false" outlineLevel="0" collapsed="false">
      <c r="A614" s="28" t="s">
        <v>3973</v>
      </c>
      <c r="B614" s="28" t="s">
        <v>51</v>
      </c>
      <c r="C614" s="28" t="s">
        <v>78</v>
      </c>
      <c r="D614" s="28" t="s">
        <v>3974</v>
      </c>
      <c r="E614" s="4" t="n">
        <v>9</v>
      </c>
      <c r="F614" s="4" t="s">
        <v>213</v>
      </c>
      <c r="G614" s="4" t="s">
        <v>3047</v>
      </c>
      <c r="H614" s="4" t="n">
        <v>2014</v>
      </c>
      <c r="I614" s="4" t="s">
        <v>2991</v>
      </c>
      <c r="J614" s="25" t="str">
        <f aca="false">IF(M614=1,"✓","")</f>
        <v/>
      </c>
      <c r="K614" s="4" t="str">
        <f aca="false">IF(AND(M614=0,P614=0),"▶ NEXT","")</f>
        <v/>
      </c>
      <c r="L614" s="4" t="n">
        <f aca="false">INDEX('Master List'!$F$2:$F$2594,O614)</f>
        <v>1</v>
      </c>
      <c r="M614" s="4" t="n">
        <f aca="false">INDEX('Master List'!$G$2:$G$2594,O614)</f>
        <v>0</v>
      </c>
      <c r="N614" s="4" t="str">
        <f aca="false">IF(K614="","",A614)</f>
        <v/>
      </c>
      <c r="O614" s="4" t="n">
        <v>1758</v>
      </c>
      <c r="P614" s="4" t="n">
        <f aca="false">IF(A614=A613,P613+1-M613,0)</f>
        <v>7</v>
      </c>
    </row>
    <row r="615" customFormat="false" ht="15" hidden="false" customHeight="false" outlineLevel="0" collapsed="false">
      <c r="A615" s="28" t="s">
        <v>3973</v>
      </c>
      <c r="B615" s="28" t="s">
        <v>51</v>
      </c>
      <c r="C615" s="28" t="s">
        <v>78</v>
      </c>
      <c r="D615" s="28" t="s">
        <v>3974</v>
      </c>
      <c r="E615" s="4" t="n">
        <v>10</v>
      </c>
      <c r="F615" s="4" t="s">
        <v>213</v>
      </c>
      <c r="G615" s="4" t="s">
        <v>3136</v>
      </c>
      <c r="H615" s="4" t="n">
        <v>2018</v>
      </c>
      <c r="I615" s="4" t="s">
        <v>2991</v>
      </c>
      <c r="J615" s="25" t="str">
        <f aca="false">IF(M615=1,"✓","")</f>
        <v/>
      </c>
      <c r="K615" s="4" t="str">
        <f aca="false">IF(AND(M615=0,P615=0),"▶ NEXT","")</f>
        <v/>
      </c>
      <c r="L615" s="4" t="n">
        <f aca="false">INDEX('Master List'!$F$2:$F$2594,O615)</f>
        <v>1</v>
      </c>
      <c r="M615" s="4" t="n">
        <f aca="false">INDEX('Master List'!$G$2:$G$2594,O615)</f>
        <v>0</v>
      </c>
      <c r="N615" s="4" t="str">
        <f aca="false">IF(K615="","",A615)</f>
        <v/>
      </c>
      <c r="O615" s="4" t="n">
        <v>2361</v>
      </c>
      <c r="P615" s="4" t="n">
        <f aca="false">IF(A615=A614,P614+1-M614,0)</f>
        <v>8</v>
      </c>
    </row>
    <row r="616" customFormat="false" ht="15" hidden="false" customHeight="false" outlineLevel="0" collapsed="false">
      <c r="A616" s="28" t="s">
        <v>3973</v>
      </c>
      <c r="B616" s="28" t="s">
        <v>51</v>
      </c>
      <c r="C616" s="28" t="s">
        <v>78</v>
      </c>
      <c r="D616" s="28" t="s">
        <v>3974</v>
      </c>
      <c r="E616" s="4" t="n">
        <v>11</v>
      </c>
      <c r="F616" s="4" t="s">
        <v>1327</v>
      </c>
      <c r="G616" s="4" t="s">
        <v>1656</v>
      </c>
      <c r="H616" s="4" t="n">
        <v>1998</v>
      </c>
      <c r="I616" s="4" t="s">
        <v>1657</v>
      </c>
      <c r="J616" s="25" t="str">
        <f aca="false">IF(M616=1,"✓","")</f>
        <v/>
      </c>
      <c r="K616" s="4" t="str">
        <f aca="false">IF(AND(M616=0,P616=0),"▶ NEXT","")</f>
        <v/>
      </c>
      <c r="L616" s="4" t="n">
        <f aca="false">INDEX('Master List'!$F$2:$F$2594,O616)</f>
        <v>2</v>
      </c>
      <c r="M616" s="4" t="n">
        <f aca="false">INDEX('Master List'!$G$2:$G$2594,O616)</f>
        <v>0</v>
      </c>
      <c r="N616" s="4" t="str">
        <f aca="false">IF(K616="","",A616)</f>
        <v/>
      </c>
      <c r="O616" s="4" t="n">
        <v>1945</v>
      </c>
      <c r="P616" s="4" t="n">
        <f aca="false">IF(A616=A615,P615+1-M615,0)</f>
        <v>9</v>
      </c>
    </row>
    <row r="617" customFormat="false" ht="15" hidden="false" customHeight="false" outlineLevel="0" collapsed="false">
      <c r="A617" s="28" t="s">
        <v>3973</v>
      </c>
      <c r="B617" s="28" t="s">
        <v>51</v>
      </c>
      <c r="C617" s="28" t="s">
        <v>78</v>
      </c>
      <c r="D617" s="28" t="s">
        <v>3974</v>
      </c>
      <c r="E617" s="4" t="n">
        <v>12</v>
      </c>
      <c r="F617" s="4" t="s">
        <v>1327</v>
      </c>
      <c r="G617" s="4" t="s">
        <v>3735</v>
      </c>
      <c r="H617" s="4" t="n">
        <v>2003</v>
      </c>
      <c r="I617" s="4" t="s">
        <v>3736</v>
      </c>
      <c r="J617" s="25" t="str">
        <f aca="false">IF(M617=1,"✓","")</f>
        <v/>
      </c>
      <c r="K617" s="4" t="str">
        <f aca="false">IF(AND(M617=0,P617=0),"▶ NEXT","")</f>
        <v/>
      </c>
      <c r="L617" s="4" t="n">
        <f aca="false">INDEX('Master List'!$F$2:$F$2594,O617)</f>
        <v>1</v>
      </c>
      <c r="M617" s="4" t="n">
        <f aca="false">INDEX('Master List'!$G$2:$G$2594,O617)</f>
        <v>0</v>
      </c>
      <c r="N617" s="4" t="str">
        <f aca="false">IF(K617="","",A617)</f>
        <v/>
      </c>
      <c r="O617" s="4" t="n">
        <v>924</v>
      </c>
      <c r="P617" s="4" t="n">
        <f aca="false">IF(A617=A616,P616+1-M616,0)</f>
        <v>10</v>
      </c>
    </row>
    <row r="618" customFormat="false" ht="15" hidden="false" customHeight="false" outlineLevel="0" collapsed="false">
      <c r="A618" s="28" t="s">
        <v>3973</v>
      </c>
      <c r="B618" s="28" t="s">
        <v>51</v>
      </c>
      <c r="C618" s="28" t="s">
        <v>78</v>
      </c>
      <c r="D618" s="28" t="s">
        <v>3974</v>
      </c>
      <c r="E618" s="4" t="n">
        <v>13</v>
      </c>
      <c r="F618" s="4" t="s">
        <v>1327</v>
      </c>
      <c r="G618" s="4" t="s">
        <v>3764</v>
      </c>
      <c r="H618" s="4" t="n">
        <v>2007</v>
      </c>
      <c r="I618" s="4" t="s">
        <v>3765</v>
      </c>
      <c r="J618" s="25" t="str">
        <f aca="false">IF(M618=1,"✓","")</f>
        <v/>
      </c>
      <c r="K618" s="4" t="str">
        <f aca="false">IF(AND(M618=0,P618=0),"▶ NEXT","")</f>
        <v/>
      </c>
      <c r="L618" s="4" t="n">
        <f aca="false">INDEX('Master List'!$F$2:$F$2594,O618)</f>
        <v>1</v>
      </c>
      <c r="M618" s="4" t="n">
        <f aca="false">INDEX('Master List'!$G$2:$G$2594,O618)</f>
        <v>0</v>
      </c>
      <c r="N618" s="4" t="str">
        <f aca="false">IF(K618="","",A618)</f>
        <v/>
      </c>
      <c r="O618" s="4" t="n">
        <v>1122</v>
      </c>
      <c r="P618" s="4" t="n">
        <f aca="false">IF(A618=A617,P617+1-M617,0)</f>
        <v>11</v>
      </c>
    </row>
    <row r="619" customFormat="false" ht="15" hidden="false" customHeight="false" outlineLevel="0" collapsed="false">
      <c r="A619" s="28" t="s">
        <v>3975</v>
      </c>
      <c r="B619" s="28" t="s">
        <v>51</v>
      </c>
      <c r="C619" s="28" t="s">
        <v>79</v>
      </c>
      <c r="D619" s="28" t="s">
        <v>3976</v>
      </c>
      <c r="E619" s="4" t="n">
        <v>1</v>
      </c>
      <c r="F619" s="4" t="s">
        <v>144</v>
      </c>
      <c r="G619" s="7" t="s">
        <v>452</v>
      </c>
      <c r="H619" s="4" t="n">
        <v>1948</v>
      </c>
      <c r="I619" s="4" t="s">
        <v>453</v>
      </c>
      <c r="J619" s="25" t="str">
        <f aca="false">IF(M619=1,"✓","")</f>
        <v/>
      </c>
      <c r="K619" s="4" t="str">
        <f aca="false">IF(AND(M619=0,P619=0),"▶ NEXT","")</f>
        <v>▶ NEXT</v>
      </c>
      <c r="L619" s="4" t="n">
        <f aca="false">INDEX('Master List'!$F$2:$F$2594,O619)</f>
        <v>3</v>
      </c>
      <c r="M619" s="4" t="n">
        <f aca="false">INDEX('Master List'!$G$2:$G$2594,O619)</f>
        <v>0</v>
      </c>
      <c r="N619" s="4" t="str">
        <f aca="false">IF(K619="","",A619)</f>
        <v>N051</v>
      </c>
      <c r="O619" s="4" t="n">
        <v>1877</v>
      </c>
      <c r="P619" s="4" t="n">
        <f aca="false">IF(A619=A618,P618+1-M618,0)</f>
        <v>0</v>
      </c>
    </row>
    <row r="620" customFormat="false" ht="15" hidden="false" customHeight="false" outlineLevel="0" collapsed="false">
      <c r="A620" s="28" t="s">
        <v>3975</v>
      </c>
      <c r="B620" s="28" t="s">
        <v>51</v>
      </c>
      <c r="C620" s="28" t="s">
        <v>79</v>
      </c>
      <c r="D620" s="28" t="s">
        <v>3976</v>
      </c>
      <c r="E620" s="4" t="n">
        <v>2</v>
      </c>
      <c r="F620" s="4" t="s">
        <v>144</v>
      </c>
      <c r="G620" s="7" t="s">
        <v>740</v>
      </c>
      <c r="H620" s="4" t="n">
        <v>1946</v>
      </c>
      <c r="I620" s="4" t="s">
        <v>453</v>
      </c>
      <c r="J620" s="25" t="str">
        <f aca="false">IF(M620=1,"✓","")</f>
        <v/>
      </c>
      <c r="K620" s="4" t="str">
        <f aca="false">IF(AND(M620=0,P620=0),"▶ NEXT","")</f>
        <v/>
      </c>
      <c r="L620" s="4" t="n">
        <f aca="false">INDEX('Master List'!$F$2:$F$2594,O620)</f>
        <v>2</v>
      </c>
      <c r="M620" s="4" t="n">
        <f aca="false">INDEX('Master List'!$G$2:$G$2594,O620)</f>
        <v>0</v>
      </c>
      <c r="N620" s="4" t="str">
        <f aca="false">IF(K620="","",A620)</f>
        <v/>
      </c>
      <c r="O620" s="4" t="n">
        <v>1465</v>
      </c>
      <c r="P620" s="4" t="n">
        <f aca="false">IF(A620=A619,P619+1-M619,0)</f>
        <v>1</v>
      </c>
    </row>
    <row r="621" customFormat="false" ht="15" hidden="false" customHeight="false" outlineLevel="0" collapsed="false">
      <c r="A621" s="28" t="s">
        <v>3975</v>
      </c>
      <c r="B621" s="28" t="s">
        <v>51</v>
      </c>
      <c r="C621" s="28" t="s">
        <v>79</v>
      </c>
      <c r="D621" s="28" t="s">
        <v>3976</v>
      </c>
      <c r="E621" s="4" t="n">
        <v>3</v>
      </c>
      <c r="F621" s="4" t="s">
        <v>213</v>
      </c>
      <c r="G621" s="4" t="s">
        <v>1804</v>
      </c>
      <c r="H621" s="4" t="n">
        <v>1943</v>
      </c>
      <c r="I621" s="4" t="s">
        <v>453</v>
      </c>
      <c r="J621" s="25" t="str">
        <f aca="false">IF(M621=1,"✓","")</f>
        <v/>
      </c>
      <c r="K621" s="4" t="str">
        <f aca="false">IF(AND(M621=0,P621=0),"▶ NEXT","")</f>
        <v/>
      </c>
      <c r="L621" s="4" t="n">
        <f aca="false">INDEX('Master List'!$F$2:$F$2594,O621)</f>
        <v>1</v>
      </c>
      <c r="M621" s="4" t="n">
        <f aca="false">INDEX('Master List'!$G$2:$G$2594,O621)</f>
        <v>0</v>
      </c>
      <c r="N621" s="4" t="str">
        <f aca="false">IF(K621="","",A621)</f>
        <v/>
      </c>
      <c r="O621" s="4" t="n">
        <v>1330</v>
      </c>
      <c r="P621" s="4" t="n">
        <f aca="false">IF(A621=A620,P620+1-M620,0)</f>
        <v>2</v>
      </c>
    </row>
    <row r="622" customFormat="false" ht="15" hidden="false" customHeight="false" outlineLevel="0" collapsed="false">
      <c r="A622" s="28" t="s">
        <v>3975</v>
      </c>
      <c r="B622" s="28" t="s">
        <v>51</v>
      </c>
      <c r="C622" s="28" t="s">
        <v>79</v>
      </c>
      <c r="D622" s="28" t="s">
        <v>3976</v>
      </c>
      <c r="E622" s="4" t="n">
        <v>4</v>
      </c>
      <c r="F622" s="4" t="s">
        <v>213</v>
      </c>
      <c r="G622" s="4" t="s">
        <v>1825</v>
      </c>
      <c r="H622" s="4" t="n">
        <v>1945</v>
      </c>
      <c r="I622" s="4" t="s">
        <v>453</v>
      </c>
      <c r="J622" s="25" t="str">
        <f aca="false">IF(M622=1,"✓","")</f>
        <v/>
      </c>
      <c r="K622" s="4" t="str">
        <f aca="false">IF(AND(M622=0,P622=0),"▶ NEXT","")</f>
        <v/>
      </c>
      <c r="L622" s="4" t="n">
        <f aca="false">INDEX('Master List'!$F$2:$F$2594,O622)</f>
        <v>1</v>
      </c>
      <c r="M622" s="4" t="n">
        <f aca="false">INDEX('Master List'!$G$2:$G$2594,O622)</f>
        <v>0</v>
      </c>
      <c r="N622" s="4" t="str">
        <f aca="false">IF(K622="","",A622)</f>
        <v/>
      </c>
      <c r="O622" s="4" t="n">
        <v>1104</v>
      </c>
      <c r="P622" s="4" t="n">
        <f aca="false">IF(A622=A621,P621+1-M621,0)</f>
        <v>3</v>
      </c>
    </row>
    <row r="623" customFormat="false" ht="15" hidden="false" customHeight="false" outlineLevel="0" collapsed="false">
      <c r="A623" s="28" t="s">
        <v>3975</v>
      </c>
      <c r="B623" s="28" t="s">
        <v>51</v>
      </c>
      <c r="C623" s="28" t="s">
        <v>79</v>
      </c>
      <c r="D623" s="28" t="s">
        <v>3976</v>
      </c>
      <c r="E623" s="4" t="n">
        <v>5</v>
      </c>
      <c r="F623" s="4" t="s">
        <v>213</v>
      </c>
      <c r="G623" s="4" t="s">
        <v>1840</v>
      </c>
      <c r="H623" s="4" t="n">
        <v>1947</v>
      </c>
      <c r="I623" s="4" t="s">
        <v>453</v>
      </c>
      <c r="J623" s="25" t="str">
        <f aca="false">IF(M623=1,"✓","")</f>
        <v/>
      </c>
      <c r="K623" s="4" t="str">
        <f aca="false">IF(AND(M623=0,P623=0),"▶ NEXT","")</f>
        <v/>
      </c>
      <c r="L623" s="4" t="n">
        <f aca="false">INDEX('Master List'!$F$2:$F$2594,O623)</f>
        <v>1</v>
      </c>
      <c r="M623" s="4" t="n">
        <f aca="false">INDEX('Master List'!$G$2:$G$2594,O623)</f>
        <v>0</v>
      </c>
      <c r="N623" s="4" t="str">
        <f aca="false">IF(K623="","",A623)</f>
        <v/>
      </c>
      <c r="O623" s="4" t="n">
        <v>269</v>
      </c>
      <c r="P623" s="4" t="n">
        <f aca="false">IF(A623=A622,P622+1-M622,0)</f>
        <v>4</v>
      </c>
    </row>
    <row r="624" customFormat="false" ht="15" hidden="false" customHeight="false" outlineLevel="0" collapsed="false">
      <c r="A624" s="28" t="s">
        <v>3975</v>
      </c>
      <c r="B624" s="28" t="s">
        <v>51</v>
      </c>
      <c r="C624" s="28" t="s">
        <v>79</v>
      </c>
      <c r="D624" s="28" t="s">
        <v>3976</v>
      </c>
      <c r="E624" s="4" t="n">
        <v>6</v>
      </c>
      <c r="F624" s="4" t="s">
        <v>213</v>
      </c>
      <c r="G624" s="4" t="s">
        <v>1814</v>
      </c>
      <c r="H624" s="4" t="n">
        <v>1944</v>
      </c>
      <c r="I624" s="4" t="s">
        <v>453</v>
      </c>
      <c r="J624" s="25" t="str">
        <f aca="false">IF(M624=1,"✓","")</f>
        <v/>
      </c>
      <c r="K624" s="4" t="str">
        <f aca="false">IF(AND(M624=0,P624=0),"▶ NEXT","")</f>
        <v/>
      </c>
      <c r="L624" s="4" t="n">
        <f aca="false">INDEX('Master List'!$F$2:$F$2594,O624)</f>
        <v>1</v>
      </c>
      <c r="M624" s="4" t="n">
        <f aca="false">INDEX('Master List'!$G$2:$G$2594,O624)</f>
        <v>0</v>
      </c>
      <c r="N624" s="4" t="str">
        <f aca="false">IF(K624="","",A624)</f>
        <v/>
      </c>
      <c r="O624" s="4" t="n">
        <v>389</v>
      </c>
      <c r="P624" s="4" t="n">
        <f aca="false">IF(A624=A623,P623+1-M623,0)</f>
        <v>5</v>
      </c>
    </row>
    <row r="625" customFormat="false" ht="15" hidden="false" customHeight="false" outlineLevel="0" collapsed="false">
      <c r="A625" s="28" t="s">
        <v>3975</v>
      </c>
      <c r="B625" s="28" t="s">
        <v>51</v>
      </c>
      <c r="C625" s="28" t="s">
        <v>79</v>
      </c>
      <c r="D625" s="28" t="s">
        <v>3976</v>
      </c>
      <c r="E625" s="4" t="n">
        <v>7</v>
      </c>
      <c r="F625" s="4" t="s">
        <v>213</v>
      </c>
      <c r="G625" s="4" t="s">
        <v>1881</v>
      </c>
      <c r="H625" s="4" t="n">
        <v>1951</v>
      </c>
      <c r="I625" s="4" t="s">
        <v>453</v>
      </c>
      <c r="J625" s="25" t="str">
        <f aca="false">IF(M625=1,"✓","")</f>
        <v/>
      </c>
      <c r="K625" s="4" t="str">
        <f aca="false">IF(AND(M625=0,P625=0),"▶ NEXT","")</f>
        <v/>
      </c>
      <c r="L625" s="4" t="n">
        <f aca="false">INDEX('Master List'!$F$2:$F$2594,O625)</f>
        <v>1</v>
      </c>
      <c r="M625" s="4" t="n">
        <f aca="false">INDEX('Master List'!$G$2:$G$2594,O625)</f>
        <v>0</v>
      </c>
      <c r="N625" s="4" t="str">
        <f aca="false">IF(K625="","",A625)</f>
        <v/>
      </c>
      <c r="O625" s="4" t="n">
        <v>2235</v>
      </c>
      <c r="P625" s="4" t="n">
        <f aca="false">IF(A625=A624,P624+1-M624,0)</f>
        <v>6</v>
      </c>
    </row>
    <row r="626" customFormat="false" ht="15" hidden="false" customHeight="false" outlineLevel="0" collapsed="false">
      <c r="A626" s="28" t="s">
        <v>3975</v>
      </c>
      <c r="B626" s="28" t="s">
        <v>51</v>
      </c>
      <c r="C626" s="28" t="s">
        <v>79</v>
      </c>
      <c r="D626" s="28" t="s">
        <v>3976</v>
      </c>
      <c r="E626" s="4" t="n">
        <v>8</v>
      </c>
      <c r="F626" s="4" t="s">
        <v>213</v>
      </c>
      <c r="G626" s="4" t="s">
        <v>580</v>
      </c>
      <c r="H626" s="4" t="n">
        <v>1960</v>
      </c>
      <c r="I626" s="4" t="s">
        <v>581</v>
      </c>
      <c r="J626" s="25" t="str">
        <f aca="false">IF(M626=1,"✓","")</f>
        <v/>
      </c>
      <c r="K626" s="4" t="str">
        <f aca="false">IF(AND(M626=0,P626=0),"▶ NEXT","")</f>
        <v/>
      </c>
      <c r="L626" s="4" t="n">
        <f aca="false">INDEX('Master List'!$F$2:$F$2594,O626)</f>
        <v>3</v>
      </c>
      <c r="M626" s="4" t="n">
        <f aca="false">INDEX('Master List'!$G$2:$G$2594,O626)</f>
        <v>0</v>
      </c>
      <c r="N626" s="4" t="str">
        <f aca="false">IF(K626="","",A626)</f>
        <v/>
      </c>
      <c r="O626" s="4" t="n">
        <v>1739</v>
      </c>
      <c r="P626" s="4" t="n">
        <f aca="false">IF(A626=A625,P625+1-M625,0)</f>
        <v>7</v>
      </c>
    </row>
    <row r="627" customFormat="false" ht="15" hidden="false" customHeight="false" outlineLevel="0" collapsed="false">
      <c r="A627" s="28" t="s">
        <v>3975</v>
      </c>
      <c r="B627" s="28" t="s">
        <v>51</v>
      </c>
      <c r="C627" s="28" t="s">
        <v>79</v>
      </c>
      <c r="D627" s="28" t="s">
        <v>3976</v>
      </c>
      <c r="E627" s="4" t="n">
        <v>9</v>
      </c>
      <c r="F627" s="4" t="s">
        <v>1327</v>
      </c>
      <c r="G627" s="4" t="s">
        <v>3336</v>
      </c>
      <c r="H627" s="4" t="n">
        <v>1941</v>
      </c>
      <c r="I627" s="4" t="s">
        <v>581</v>
      </c>
      <c r="J627" s="25" t="str">
        <f aca="false">IF(M627=1,"✓","")</f>
        <v/>
      </c>
      <c r="K627" s="4" t="str">
        <f aca="false">IF(AND(M627=0,P627=0),"▶ NEXT","")</f>
        <v/>
      </c>
      <c r="L627" s="4" t="n">
        <f aca="false">INDEX('Master List'!$F$2:$F$2594,O627)</f>
        <v>1</v>
      </c>
      <c r="M627" s="4" t="n">
        <f aca="false">INDEX('Master List'!$G$2:$G$2594,O627)</f>
        <v>0</v>
      </c>
      <c r="N627" s="4" t="str">
        <f aca="false">IF(K627="","",A627)</f>
        <v/>
      </c>
      <c r="O627" s="4" t="n">
        <v>28</v>
      </c>
      <c r="P627" s="4" t="n">
        <f aca="false">IF(A627=A626,P626+1-M626,0)</f>
        <v>8</v>
      </c>
    </row>
    <row r="628" customFormat="false" ht="15" hidden="false" customHeight="false" outlineLevel="0" collapsed="false">
      <c r="A628" s="28" t="s">
        <v>3975</v>
      </c>
      <c r="B628" s="28" t="s">
        <v>51</v>
      </c>
      <c r="C628" s="28" t="s">
        <v>79</v>
      </c>
      <c r="D628" s="28" t="s">
        <v>3976</v>
      </c>
      <c r="E628" s="4" t="n">
        <v>10</v>
      </c>
      <c r="F628" s="4" t="s">
        <v>1327</v>
      </c>
      <c r="G628" s="4" t="s">
        <v>3354</v>
      </c>
      <c r="H628" s="4" t="n">
        <v>1949</v>
      </c>
      <c r="I628" s="4" t="s">
        <v>453</v>
      </c>
      <c r="J628" s="25" t="str">
        <f aca="false">IF(M628=1,"✓","")</f>
        <v/>
      </c>
      <c r="K628" s="4" t="str">
        <f aca="false">IF(AND(M628=0,P628=0),"▶ NEXT","")</f>
        <v/>
      </c>
      <c r="L628" s="4" t="n">
        <f aca="false">INDEX('Master List'!$F$2:$F$2594,O628)</f>
        <v>1</v>
      </c>
      <c r="M628" s="4" t="n">
        <f aca="false">INDEX('Master List'!$G$2:$G$2594,O628)</f>
        <v>0</v>
      </c>
      <c r="N628" s="4" t="str">
        <f aca="false">IF(K628="","",A628)</f>
        <v/>
      </c>
      <c r="O628" s="4" t="n">
        <v>2095</v>
      </c>
      <c r="P628" s="4" t="n">
        <f aca="false">IF(A628=A627,P627+1-M627,0)</f>
        <v>9</v>
      </c>
    </row>
    <row r="629" customFormat="false" ht="15" hidden="false" customHeight="false" outlineLevel="0" collapsed="false">
      <c r="A629" s="28" t="s">
        <v>3977</v>
      </c>
      <c r="B629" s="28" t="s">
        <v>51</v>
      </c>
      <c r="C629" s="28" t="s">
        <v>79</v>
      </c>
      <c r="D629" s="28" t="s">
        <v>3978</v>
      </c>
      <c r="E629" s="4" t="n">
        <v>1</v>
      </c>
      <c r="F629" s="4" t="s">
        <v>144</v>
      </c>
      <c r="G629" s="7" t="s">
        <v>454</v>
      </c>
      <c r="H629" s="4" t="n">
        <v>1949</v>
      </c>
      <c r="I629" s="4" t="s">
        <v>455</v>
      </c>
      <c r="J629" s="25" t="str">
        <f aca="false">IF(M629=1,"✓","")</f>
        <v/>
      </c>
      <c r="K629" s="4" t="str">
        <f aca="false">IF(AND(M629=0,P629=0),"▶ NEXT","")</f>
        <v>▶ NEXT</v>
      </c>
      <c r="L629" s="4" t="n">
        <f aca="false">INDEX('Master List'!$F$2:$F$2594,O629)</f>
        <v>3</v>
      </c>
      <c r="M629" s="4" t="n">
        <f aca="false">INDEX('Master List'!$G$2:$G$2594,O629)</f>
        <v>0</v>
      </c>
      <c r="N629" s="4" t="str">
        <f aca="false">IF(K629="","",A629)</f>
        <v>N052</v>
      </c>
      <c r="O629" s="4" t="n">
        <v>1255</v>
      </c>
      <c r="P629" s="4" t="n">
        <f aca="false">IF(A629=A628,P628+1-M628,0)</f>
        <v>0</v>
      </c>
    </row>
    <row r="630" customFormat="false" ht="15" hidden="false" customHeight="false" outlineLevel="0" collapsed="false">
      <c r="A630" s="28" t="s">
        <v>3977</v>
      </c>
      <c r="B630" s="28" t="s">
        <v>51</v>
      </c>
      <c r="C630" s="28" t="s">
        <v>79</v>
      </c>
      <c r="D630" s="28" t="s">
        <v>3978</v>
      </c>
      <c r="E630" s="4" t="n">
        <v>2</v>
      </c>
      <c r="F630" s="4" t="s">
        <v>144</v>
      </c>
      <c r="G630" s="7" t="s">
        <v>746</v>
      </c>
      <c r="H630" s="4" t="n">
        <v>1955</v>
      </c>
      <c r="I630" s="4" t="s">
        <v>411</v>
      </c>
      <c r="J630" s="25" t="str">
        <f aca="false">IF(M630=1,"✓","")</f>
        <v/>
      </c>
      <c r="K630" s="4" t="str">
        <f aca="false">IF(AND(M630=0,P630=0),"▶ NEXT","")</f>
        <v/>
      </c>
      <c r="L630" s="4" t="n">
        <f aca="false">INDEX('Master List'!$F$2:$F$2594,O630)</f>
        <v>2</v>
      </c>
      <c r="M630" s="4" t="n">
        <f aca="false">INDEX('Master List'!$G$2:$G$2594,O630)</f>
        <v>0</v>
      </c>
      <c r="N630" s="4" t="str">
        <f aca="false">IF(K630="","",A630)</f>
        <v/>
      </c>
      <c r="O630" s="4" t="n">
        <v>1285</v>
      </c>
      <c r="P630" s="4" t="n">
        <f aca="false">IF(A630=A629,P629+1-M629,0)</f>
        <v>1</v>
      </c>
    </row>
    <row r="631" customFormat="false" ht="15" hidden="false" customHeight="false" outlineLevel="0" collapsed="false">
      <c r="A631" s="28" t="s">
        <v>3977</v>
      </c>
      <c r="B631" s="28" t="s">
        <v>51</v>
      </c>
      <c r="C631" s="28" t="s">
        <v>79</v>
      </c>
      <c r="D631" s="28" t="s">
        <v>3978</v>
      </c>
      <c r="E631" s="4" t="n">
        <v>3</v>
      </c>
      <c r="F631" s="4" t="s">
        <v>213</v>
      </c>
      <c r="G631" s="4" t="s">
        <v>1864</v>
      </c>
      <c r="H631" s="4" t="n">
        <v>1949</v>
      </c>
      <c r="I631" s="4" t="s">
        <v>1865</v>
      </c>
      <c r="J631" s="25" t="str">
        <f aca="false">IF(M631=1,"✓","")</f>
        <v/>
      </c>
      <c r="K631" s="4" t="str">
        <f aca="false">IF(AND(M631=0,P631=0),"▶ NEXT","")</f>
        <v/>
      </c>
      <c r="L631" s="4" t="n">
        <f aca="false">INDEX('Master List'!$F$2:$F$2594,O631)</f>
        <v>1</v>
      </c>
      <c r="M631" s="4" t="n">
        <f aca="false">INDEX('Master List'!$G$2:$G$2594,O631)</f>
        <v>0</v>
      </c>
      <c r="N631" s="4" t="str">
        <f aca="false">IF(K631="","",A631)</f>
        <v/>
      </c>
      <c r="O631" s="4" t="n">
        <v>1730</v>
      </c>
      <c r="P631" s="4" t="n">
        <f aca="false">IF(A631=A630,P630+1-M630,0)</f>
        <v>2</v>
      </c>
    </row>
    <row r="632" customFormat="false" ht="15" hidden="false" customHeight="false" outlineLevel="0" collapsed="false">
      <c r="A632" s="28" t="s">
        <v>3977</v>
      </c>
      <c r="B632" s="28" t="s">
        <v>51</v>
      </c>
      <c r="C632" s="28" t="s">
        <v>79</v>
      </c>
      <c r="D632" s="28" t="s">
        <v>3978</v>
      </c>
      <c r="E632" s="4" t="n">
        <v>4</v>
      </c>
      <c r="F632" s="4" t="s">
        <v>213</v>
      </c>
      <c r="G632" s="4" t="s">
        <v>1866</v>
      </c>
      <c r="H632" s="4" t="n">
        <v>1949</v>
      </c>
      <c r="I632" s="4" t="s">
        <v>411</v>
      </c>
      <c r="J632" s="25" t="str">
        <f aca="false">IF(M632=1,"✓","")</f>
        <v/>
      </c>
      <c r="K632" s="4" t="str">
        <f aca="false">IF(AND(M632=0,P632=0),"▶ NEXT","")</f>
        <v/>
      </c>
      <c r="L632" s="4" t="n">
        <f aca="false">INDEX('Master List'!$F$2:$F$2594,O632)</f>
        <v>1</v>
      </c>
      <c r="M632" s="4" t="n">
        <f aca="false">INDEX('Master List'!$G$2:$G$2594,O632)</f>
        <v>0</v>
      </c>
      <c r="N632" s="4" t="str">
        <f aca="false">IF(K632="","",A632)</f>
        <v/>
      </c>
      <c r="O632" s="4" t="n">
        <v>2498</v>
      </c>
      <c r="P632" s="4" t="n">
        <f aca="false">IF(A632=A631,P631+1-M631,0)</f>
        <v>3</v>
      </c>
    </row>
    <row r="633" customFormat="false" ht="15" hidden="false" customHeight="false" outlineLevel="0" collapsed="false">
      <c r="A633" s="28" t="s">
        <v>3977</v>
      </c>
      <c r="B633" s="28" t="s">
        <v>51</v>
      </c>
      <c r="C633" s="28" t="s">
        <v>79</v>
      </c>
      <c r="D633" s="28" t="s">
        <v>3978</v>
      </c>
      <c r="E633" s="4" t="n">
        <v>5</v>
      </c>
      <c r="F633" s="4" t="s">
        <v>213</v>
      </c>
      <c r="G633" s="4" t="s">
        <v>935</v>
      </c>
      <c r="H633" s="4" t="n">
        <v>1951</v>
      </c>
      <c r="I633" s="4" t="s">
        <v>936</v>
      </c>
      <c r="J633" s="25" t="str">
        <f aca="false">IF(M633=1,"✓","")</f>
        <v/>
      </c>
      <c r="K633" s="4" t="str">
        <f aca="false">IF(AND(M633=0,P633=0),"▶ NEXT","")</f>
        <v/>
      </c>
      <c r="L633" s="4" t="n">
        <f aca="false">INDEX('Master List'!$F$2:$F$2594,O633)</f>
        <v>2</v>
      </c>
      <c r="M633" s="4" t="n">
        <f aca="false">INDEX('Master List'!$G$2:$G$2594,O633)</f>
        <v>0</v>
      </c>
      <c r="N633" s="4" t="str">
        <f aca="false">IF(K633="","",A633)</f>
        <v/>
      </c>
      <c r="O633" s="4" t="n">
        <v>1310</v>
      </c>
      <c r="P633" s="4" t="n">
        <f aca="false">IF(A633=A632,P632+1-M632,0)</f>
        <v>4</v>
      </c>
    </row>
    <row r="634" customFormat="false" ht="15" hidden="false" customHeight="false" outlineLevel="0" collapsed="false">
      <c r="A634" s="28" t="s">
        <v>3977</v>
      </c>
      <c r="B634" s="28" t="s">
        <v>51</v>
      </c>
      <c r="C634" s="28" t="s">
        <v>79</v>
      </c>
      <c r="D634" s="28" t="s">
        <v>3978</v>
      </c>
      <c r="E634" s="4" t="n">
        <v>6</v>
      </c>
      <c r="F634" s="4" t="s">
        <v>213</v>
      </c>
      <c r="G634" s="4" t="s">
        <v>937</v>
      </c>
      <c r="H634" s="4" t="n">
        <v>1951</v>
      </c>
      <c r="I634" s="4" t="s">
        <v>411</v>
      </c>
      <c r="J634" s="25" t="str">
        <f aca="false">IF(M634=1,"✓","")</f>
        <v/>
      </c>
      <c r="K634" s="4" t="str">
        <f aca="false">IF(AND(M634=0,P634=0),"▶ NEXT","")</f>
        <v/>
      </c>
      <c r="L634" s="4" t="n">
        <f aca="false">INDEX('Master List'!$F$2:$F$2594,O634)</f>
        <v>2</v>
      </c>
      <c r="M634" s="4" t="n">
        <f aca="false">INDEX('Master List'!$G$2:$G$2594,O634)</f>
        <v>0</v>
      </c>
      <c r="N634" s="4" t="str">
        <f aca="false">IF(K634="","",A634)</f>
        <v/>
      </c>
      <c r="O634" s="4" t="n">
        <v>1425</v>
      </c>
      <c r="P634" s="4" t="n">
        <f aca="false">IF(A634=A633,P633+1-M633,0)</f>
        <v>5</v>
      </c>
    </row>
    <row r="635" customFormat="false" ht="15" hidden="false" customHeight="false" outlineLevel="0" collapsed="false">
      <c r="A635" s="28" t="s">
        <v>3977</v>
      </c>
      <c r="B635" s="28" t="s">
        <v>51</v>
      </c>
      <c r="C635" s="28" t="s">
        <v>79</v>
      </c>
      <c r="D635" s="28" t="s">
        <v>3978</v>
      </c>
      <c r="E635" s="4" t="n">
        <v>7</v>
      </c>
      <c r="F635" s="4" t="s">
        <v>1327</v>
      </c>
      <c r="G635" s="4" t="s">
        <v>3366</v>
      </c>
      <c r="H635" s="4" t="n">
        <v>1953</v>
      </c>
      <c r="I635" s="4" t="s">
        <v>936</v>
      </c>
      <c r="J635" s="25" t="str">
        <f aca="false">IF(M635=1,"✓","")</f>
        <v/>
      </c>
      <c r="K635" s="4" t="str">
        <f aca="false">IF(AND(M635=0,P635=0),"▶ NEXT","")</f>
        <v/>
      </c>
      <c r="L635" s="4" t="n">
        <f aca="false">INDEX('Master List'!$F$2:$F$2594,O635)</f>
        <v>1</v>
      </c>
      <c r="M635" s="4" t="n">
        <f aca="false">INDEX('Master List'!$G$2:$G$2594,O635)</f>
        <v>0</v>
      </c>
      <c r="N635" s="4" t="str">
        <f aca="false">IF(K635="","",A635)</f>
        <v/>
      </c>
      <c r="O635" s="4" t="n">
        <v>2313</v>
      </c>
      <c r="P635" s="4" t="n">
        <f aca="false">IF(A635=A634,P634+1-M634,0)</f>
        <v>6</v>
      </c>
    </row>
    <row r="636" customFormat="false" ht="15" hidden="false" customHeight="false" outlineLevel="0" collapsed="false">
      <c r="A636" s="28" t="s">
        <v>3977</v>
      </c>
      <c r="B636" s="28" t="s">
        <v>51</v>
      </c>
      <c r="C636" s="28" t="s">
        <v>79</v>
      </c>
      <c r="D636" s="28" t="s">
        <v>3978</v>
      </c>
      <c r="E636" s="4" t="n">
        <v>8</v>
      </c>
      <c r="F636" s="4" t="s">
        <v>1327</v>
      </c>
      <c r="G636" s="4" t="s">
        <v>3339</v>
      </c>
      <c r="H636" s="4" t="n">
        <v>1942</v>
      </c>
      <c r="I636" s="4" t="s">
        <v>3340</v>
      </c>
      <c r="J636" s="25" t="str">
        <f aca="false">IF(M636=1,"✓","")</f>
        <v/>
      </c>
      <c r="K636" s="4" t="str">
        <f aca="false">IF(AND(M636=0,P636=0),"▶ NEXT","")</f>
        <v/>
      </c>
      <c r="L636" s="4" t="n">
        <f aca="false">INDEX('Master List'!$F$2:$F$2594,O636)</f>
        <v>1</v>
      </c>
      <c r="M636" s="4" t="n">
        <f aca="false">INDEX('Master List'!$G$2:$G$2594,O636)</f>
        <v>0</v>
      </c>
      <c r="N636" s="4" t="str">
        <f aca="false">IF(K636="","",A636)</f>
        <v/>
      </c>
      <c r="O636" s="4" t="n">
        <v>2483</v>
      </c>
      <c r="P636" s="4" t="n">
        <f aca="false">IF(A636=A635,P635+1-M635,0)</f>
        <v>7</v>
      </c>
    </row>
    <row r="637" customFormat="false" ht="15" hidden="false" customHeight="false" outlineLevel="0" collapsed="false">
      <c r="A637" s="28" t="s">
        <v>3979</v>
      </c>
      <c r="B637" s="28" t="s">
        <v>51</v>
      </c>
      <c r="C637" s="28" t="s">
        <v>79</v>
      </c>
      <c r="D637" s="28" t="s">
        <v>3980</v>
      </c>
      <c r="E637" s="4" t="n">
        <v>1</v>
      </c>
      <c r="F637" s="4" t="s">
        <v>144</v>
      </c>
      <c r="G637" s="7" t="s">
        <v>762</v>
      </c>
      <c r="H637" s="4" t="n">
        <v>1960</v>
      </c>
      <c r="I637" s="4" t="s">
        <v>763</v>
      </c>
      <c r="J637" s="25" t="str">
        <f aca="false">IF(M637=1,"✓","")</f>
        <v/>
      </c>
      <c r="K637" s="4" t="str">
        <f aca="false">IF(AND(M637=0,P637=0),"▶ NEXT","")</f>
        <v>▶ NEXT</v>
      </c>
      <c r="L637" s="4" t="n">
        <f aca="false">INDEX('Master List'!$F$2:$F$2594,O637)</f>
        <v>2</v>
      </c>
      <c r="M637" s="4" t="n">
        <f aca="false">INDEX('Master List'!$G$2:$G$2594,O637)</f>
        <v>0</v>
      </c>
      <c r="N637" s="4" t="str">
        <f aca="false">IF(K637="","",A637)</f>
        <v>N053</v>
      </c>
      <c r="O637" s="4" t="n">
        <v>1974</v>
      </c>
      <c r="P637" s="4" t="n">
        <f aca="false">IF(A637=A636,P636+1-M636,0)</f>
        <v>0</v>
      </c>
    </row>
    <row r="638" customFormat="false" ht="15" hidden="false" customHeight="false" outlineLevel="0" collapsed="false">
      <c r="A638" s="28" t="s">
        <v>3979</v>
      </c>
      <c r="B638" s="28" t="s">
        <v>51</v>
      </c>
      <c r="C638" s="28" t="s">
        <v>79</v>
      </c>
      <c r="D638" s="28" t="s">
        <v>3980</v>
      </c>
      <c r="E638" s="4" t="n">
        <v>2</v>
      </c>
      <c r="F638" s="4" t="s">
        <v>144</v>
      </c>
      <c r="G638" s="7" t="s">
        <v>358</v>
      </c>
      <c r="H638" s="4" t="n">
        <v>1969</v>
      </c>
      <c r="I638" s="4" t="s">
        <v>359</v>
      </c>
      <c r="J638" s="25" t="str">
        <f aca="false">IF(M638=1,"✓","")</f>
        <v/>
      </c>
      <c r="K638" s="4" t="str">
        <f aca="false">IF(AND(M638=0,P638=0),"▶ NEXT","")</f>
        <v/>
      </c>
      <c r="L638" s="4" t="n">
        <f aca="false">INDEX('Master List'!$F$2:$F$2594,O638)</f>
        <v>4</v>
      </c>
      <c r="M638" s="4" t="n">
        <f aca="false">INDEX('Master List'!$G$2:$G$2594,O638)</f>
        <v>0</v>
      </c>
      <c r="N638" s="4" t="str">
        <f aca="false">IF(K638="","",A638)</f>
        <v/>
      </c>
      <c r="O638" s="4" t="n">
        <v>1236</v>
      </c>
      <c r="P638" s="4" t="n">
        <f aca="false">IF(A638=A637,P637+1-M637,0)</f>
        <v>1</v>
      </c>
    </row>
    <row r="639" customFormat="false" ht="15" hidden="false" customHeight="false" outlineLevel="0" collapsed="false">
      <c r="A639" s="28" t="s">
        <v>3979</v>
      </c>
      <c r="B639" s="28" t="s">
        <v>51</v>
      </c>
      <c r="C639" s="28" t="s">
        <v>79</v>
      </c>
      <c r="D639" s="28" t="s">
        <v>3980</v>
      </c>
      <c r="E639" s="4" t="n">
        <v>3</v>
      </c>
      <c r="F639" s="4" t="s">
        <v>213</v>
      </c>
      <c r="G639" s="4" t="s">
        <v>1954</v>
      </c>
      <c r="H639" s="4" t="n">
        <v>1958</v>
      </c>
      <c r="I639" s="4" t="s">
        <v>765</v>
      </c>
      <c r="J639" s="25" t="str">
        <f aca="false">IF(M639=1,"✓","")</f>
        <v/>
      </c>
      <c r="K639" s="4" t="str">
        <f aca="false">IF(AND(M639=0,P639=0),"▶ NEXT","")</f>
        <v/>
      </c>
      <c r="L639" s="4" t="n">
        <f aca="false">INDEX('Master List'!$F$2:$F$2594,O639)</f>
        <v>1</v>
      </c>
      <c r="M639" s="4" t="n">
        <f aca="false">INDEX('Master List'!$G$2:$G$2594,O639)</f>
        <v>0</v>
      </c>
      <c r="N639" s="4" t="str">
        <f aca="false">IF(K639="","",A639)</f>
        <v/>
      </c>
      <c r="O639" s="4" t="n">
        <v>1932</v>
      </c>
      <c r="P639" s="4" t="n">
        <f aca="false">IF(A639=A638,P638+1-M638,0)</f>
        <v>2</v>
      </c>
    </row>
    <row r="640" customFormat="false" ht="15" hidden="false" customHeight="false" outlineLevel="0" collapsed="false">
      <c r="A640" s="28" t="s">
        <v>3979</v>
      </c>
      <c r="B640" s="28" t="s">
        <v>51</v>
      </c>
      <c r="C640" s="28" t="s">
        <v>79</v>
      </c>
      <c r="D640" s="28" t="s">
        <v>3980</v>
      </c>
      <c r="E640" s="4" t="n">
        <v>4</v>
      </c>
      <c r="F640" s="4" t="s">
        <v>213</v>
      </c>
      <c r="G640" s="4" t="s">
        <v>1990</v>
      </c>
      <c r="H640" s="4" t="n">
        <v>1961</v>
      </c>
      <c r="I640" s="4" t="s">
        <v>1991</v>
      </c>
      <c r="J640" s="25" t="str">
        <f aca="false">IF(M640=1,"✓","")</f>
        <v/>
      </c>
      <c r="K640" s="4" t="str">
        <f aca="false">IF(AND(M640=0,P640=0),"▶ NEXT","")</f>
        <v/>
      </c>
      <c r="L640" s="4" t="n">
        <f aca="false">INDEX('Master List'!$F$2:$F$2594,O640)</f>
        <v>1</v>
      </c>
      <c r="M640" s="4" t="n">
        <f aca="false">INDEX('Master List'!$G$2:$G$2594,O640)</f>
        <v>0</v>
      </c>
      <c r="N640" s="4" t="str">
        <f aca="false">IF(K640="","",A640)</f>
        <v/>
      </c>
      <c r="O640" s="4" t="n">
        <v>2246</v>
      </c>
      <c r="P640" s="4" t="n">
        <f aca="false">IF(A640=A639,P639+1-M639,0)</f>
        <v>3</v>
      </c>
    </row>
    <row r="641" customFormat="false" ht="15" hidden="false" customHeight="false" outlineLevel="0" collapsed="false">
      <c r="A641" s="28" t="s">
        <v>3979</v>
      </c>
      <c r="B641" s="28" t="s">
        <v>51</v>
      </c>
      <c r="C641" s="28" t="s">
        <v>79</v>
      </c>
      <c r="D641" s="28" t="s">
        <v>3980</v>
      </c>
      <c r="E641" s="4" t="n">
        <v>5</v>
      </c>
      <c r="F641" s="4" t="s">
        <v>213</v>
      </c>
      <c r="G641" s="4" t="s">
        <v>2010</v>
      </c>
      <c r="H641" s="4" t="n">
        <v>1962</v>
      </c>
      <c r="I641" s="4" t="s">
        <v>1991</v>
      </c>
      <c r="J641" s="25" t="str">
        <f aca="false">IF(M641=1,"✓","")</f>
        <v/>
      </c>
      <c r="K641" s="4" t="str">
        <f aca="false">IF(AND(M641=0,P641=0),"▶ NEXT","")</f>
        <v/>
      </c>
      <c r="L641" s="4" t="n">
        <f aca="false">INDEX('Master List'!$F$2:$F$2594,O641)</f>
        <v>1</v>
      </c>
      <c r="M641" s="4" t="n">
        <f aca="false">INDEX('Master List'!$G$2:$G$2594,O641)</f>
        <v>0</v>
      </c>
      <c r="N641" s="4" t="str">
        <f aca="false">IF(K641="","",A641)</f>
        <v/>
      </c>
      <c r="O641" s="4" t="n">
        <v>1373</v>
      </c>
      <c r="P641" s="4" t="n">
        <f aca="false">IF(A641=A640,P640+1-M640,0)</f>
        <v>4</v>
      </c>
    </row>
    <row r="642" customFormat="false" ht="15" hidden="false" customHeight="false" outlineLevel="0" collapsed="false">
      <c r="A642" s="28" t="s">
        <v>3979</v>
      </c>
      <c r="B642" s="28" t="s">
        <v>51</v>
      </c>
      <c r="C642" s="28" t="s">
        <v>79</v>
      </c>
      <c r="D642" s="28" t="s">
        <v>3980</v>
      </c>
      <c r="E642" s="4" t="n">
        <v>6</v>
      </c>
      <c r="F642" s="4" t="s">
        <v>213</v>
      </c>
      <c r="G642" s="4" t="s">
        <v>2021</v>
      </c>
      <c r="H642" s="4" t="n">
        <v>1963</v>
      </c>
      <c r="I642" s="4" t="s">
        <v>997</v>
      </c>
      <c r="J642" s="25" t="str">
        <f aca="false">IF(M642=1,"✓","")</f>
        <v/>
      </c>
      <c r="K642" s="4" t="str">
        <f aca="false">IF(AND(M642=0,P642=0),"▶ NEXT","")</f>
        <v/>
      </c>
      <c r="L642" s="4" t="n">
        <f aca="false">INDEX('Master List'!$F$2:$F$2594,O642)</f>
        <v>1</v>
      </c>
      <c r="M642" s="4" t="n">
        <f aca="false">INDEX('Master List'!$G$2:$G$2594,O642)</f>
        <v>0</v>
      </c>
      <c r="N642" s="4" t="str">
        <f aca="false">IF(K642="","",A642)</f>
        <v/>
      </c>
      <c r="O642" s="4" t="n">
        <v>2286</v>
      </c>
      <c r="P642" s="4" t="n">
        <f aca="false">IF(A642=A641,P641+1-M641,0)</f>
        <v>5</v>
      </c>
    </row>
    <row r="643" customFormat="false" ht="15" hidden="false" customHeight="false" outlineLevel="0" collapsed="false">
      <c r="A643" s="28" t="s">
        <v>3979</v>
      </c>
      <c r="B643" s="28" t="s">
        <v>51</v>
      </c>
      <c r="C643" s="28" t="s">
        <v>79</v>
      </c>
      <c r="D643" s="28" t="s">
        <v>3980</v>
      </c>
      <c r="E643" s="4" t="n">
        <v>7</v>
      </c>
      <c r="F643" s="4" t="s">
        <v>213</v>
      </c>
      <c r="G643" s="4" t="s">
        <v>996</v>
      </c>
      <c r="H643" s="4" t="n">
        <v>1968</v>
      </c>
      <c r="I643" s="4" t="s">
        <v>997</v>
      </c>
      <c r="J643" s="25" t="str">
        <f aca="false">IF(M643=1,"✓","")</f>
        <v/>
      </c>
      <c r="K643" s="4" t="str">
        <f aca="false">IF(AND(M643=0,P643=0),"▶ NEXT","")</f>
        <v/>
      </c>
      <c r="L643" s="4" t="n">
        <f aca="false">INDEX('Master List'!$F$2:$F$2594,O643)</f>
        <v>2</v>
      </c>
      <c r="M643" s="4" t="n">
        <f aca="false">INDEX('Master List'!$G$2:$G$2594,O643)</f>
        <v>0</v>
      </c>
      <c r="N643" s="4" t="str">
        <f aca="false">IF(K643="","",A643)</f>
        <v/>
      </c>
      <c r="O643" s="4" t="n">
        <v>1116</v>
      </c>
      <c r="P643" s="4" t="n">
        <f aca="false">IF(A643=A642,P642+1-M642,0)</f>
        <v>6</v>
      </c>
    </row>
    <row r="644" customFormat="false" ht="15" hidden="false" customHeight="false" outlineLevel="0" collapsed="false">
      <c r="A644" s="28" t="s">
        <v>3979</v>
      </c>
      <c r="B644" s="28" t="s">
        <v>51</v>
      </c>
      <c r="C644" s="28" t="s">
        <v>79</v>
      </c>
      <c r="D644" s="28" t="s">
        <v>3980</v>
      </c>
      <c r="E644" s="4" t="n">
        <v>8</v>
      </c>
      <c r="F644" s="4" t="s">
        <v>213</v>
      </c>
      <c r="G644" s="4" t="s">
        <v>2095</v>
      </c>
      <c r="H644" s="4" t="n">
        <v>1967</v>
      </c>
      <c r="I644" s="4" t="s">
        <v>359</v>
      </c>
      <c r="J644" s="25" t="str">
        <f aca="false">IF(M644=1,"✓","")</f>
        <v/>
      </c>
      <c r="K644" s="4" t="str">
        <f aca="false">IF(AND(M644=0,P644=0),"▶ NEXT","")</f>
        <v/>
      </c>
      <c r="L644" s="4" t="n">
        <f aca="false">INDEX('Master List'!$F$2:$F$2594,O644)</f>
        <v>1</v>
      </c>
      <c r="M644" s="4" t="n">
        <f aca="false">INDEX('Master List'!$G$2:$G$2594,O644)</f>
        <v>0</v>
      </c>
      <c r="N644" s="4" t="str">
        <f aca="false">IF(K644="","",A644)</f>
        <v/>
      </c>
      <c r="O644" s="4" t="n">
        <v>1794</v>
      </c>
      <c r="P644" s="4" t="n">
        <f aca="false">IF(A644=A643,P643+1-M643,0)</f>
        <v>7</v>
      </c>
    </row>
    <row r="645" customFormat="false" ht="15" hidden="false" customHeight="false" outlineLevel="0" collapsed="false">
      <c r="A645" s="28" t="s">
        <v>3979</v>
      </c>
      <c r="B645" s="28" t="s">
        <v>51</v>
      </c>
      <c r="C645" s="28" t="s">
        <v>79</v>
      </c>
      <c r="D645" s="28" t="s">
        <v>3980</v>
      </c>
      <c r="E645" s="4" t="n">
        <v>9</v>
      </c>
      <c r="F645" s="4" t="s">
        <v>1327</v>
      </c>
      <c r="G645" s="4" t="s">
        <v>3436</v>
      </c>
      <c r="H645" s="4" t="n">
        <v>1966</v>
      </c>
      <c r="I645" s="4" t="s">
        <v>359</v>
      </c>
      <c r="J645" s="25" t="str">
        <f aca="false">IF(M645=1,"✓","")</f>
        <v/>
      </c>
      <c r="K645" s="4" t="str">
        <f aca="false">IF(AND(M645=0,P645=0),"▶ NEXT","")</f>
        <v/>
      </c>
      <c r="L645" s="4" t="n">
        <f aca="false">INDEX('Master List'!$F$2:$F$2594,O645)</f>
        <v>1</v>
      </c>
      <c r="M645" s="4" t="n">
        <f aca="false">INDEX('Master List'!$G$2:$G$2594,O645)</f>
        <v>0</v>
      </c>
      <c r="N645" s="4" t="str">
        <f aca="false">IF(K645="","",A645)</f>
        <v/>
      </c>
      <c r="O645" s="4" t="n">
        <v>414</v>
      </c>
      <c r="P645" s="4" t="n">
        <f aca="false">IF(A645=A644,P644+1-M644,0)</f>
        <v>8</v>
      </c>
    </row>
    <row r="646" customFormat="false" ht="15" hidden="false" customHeight="false" outlineLevel="0" collapsed="false">
      <c r="A646" s="28" t="s">
        <v>3979</v>
      </c>
      <c r="B646" s="28" t="s">
        <v>51</v>
      </c>
      <c r="C646" s="28" t="s">
        <v>79</v>
      </c>
      <c r="D646" s="28" t="s">
        <v>3980</v>
      </c>
      <c r="E646" s="4" t="n">
        <v>10</v>
      </c>
      <c r="F646" s="4" t="s">
        <v>1327</v>
      </c>
      <c r="G646" s="4" t="s">
        <v>3382</v>
      </c>
      <c r="H646" s="4" t="n">
        <v>1956</v>
      </c>
      <c r="I646" s="4" t="s">
        <v>3383</v>
      </c>
      <c r="J646" s="25" t="str">
        <f aca="false">IF(M646=1,"✓","")</f>
        <v/>
      </c>
      <c r="K646" s="4" t="str">
        <f aca="false">IF(AND(M646=0,P646=0),"▶ NEXT","")</f>
        <v/>
      </c>
      <c r="L646" s="4" t="n">
        <f aca="false">INDEX('Master List'!$F$2:$F$2594,O646)</f>
        <v>1</v>
      </c>
      <c r="M646" s="4" t="n">
        <f aca="false">INDEX('Master List'!$G$2:$G$2594,O646)</f>
        <v>0</v>
      </c>
      <c r="N646" s="4" t="str">
        <f aca="false">IF(K646="","",A646)</f>
        <v/>
      </c>
      <c r="O646" s="4" t="n">
        <v>1521</v>
      </c>
      <c r="P646" s="4" t="n">
        <f aca="false">IF(A646=A645,P645+1-M645,0)</f>
        <v>9</v>
      </c>
    </row>
    <row r="647" customFormat="false" ht="15" hidden="false" customHeight="false" outlineLevel="0" collapsed="false">
      <c r="A647" s="28" t="s">
        <v>3981</v>
      </c>
      <c r="B647" s="28" t="s">
        <v>51</v>
      </c>
      <c r="C647" s="28" t="s">
        <v>79</v>
      </c>
      <c r="D647" s="28" t="s">
        <v>3982</v>
      </c>
      <c r="E647" s="4" t="n">
        <v>1</v>
      </c>
      <c r="F647" s="4" t="s">
        <v>144</v>
      </c>
      <c r="G647" s="7" t="s">
        <v>1548</v>
      </c>
      <c r="H647" s="4" t="n">
        <v>1993</v>
      </c>
      <c r="I647" s="4" t="s">
        <v>1549</v>
      </c>
      <c r="J647" s="25" t="str">
        <f aca="false">IF(M647=1,"✓","")</f>
        <v/>
      </c>
      <c r="K647" s="4" t="str">
        <f aca="false">IF(AND(M647=0,P647=0),"▶ NEXT","")</f>
        <v>▶ NEXT</v>
      </c>
      <c r="L647" s="4" t="n">
        <f aca="false">INDEX('Master List'!$F$2:$F$2594,O647)</f>
        <v>1</v>
      </c>
      <c r="M647" s="4" t="n">
        <f aca="false">INDEX('Master List'!$G$2:$G$2594,O647)</f>
        <v>0</v>
      </c>
      <c r="N647" s="4" t="str">
        <f aca="false">IF(K647="","",A647)</f>
        <v>N054</v>
      </c>
      <c r="O647" s="4" t="n">
        <v>1578</v>
      </c>
      <c r="P647" s="4" t="n">
        <f aca="false">IF(A647=A646,P646+1-M646,0)</f>
        <v>0</v>
      </c>
    </row>
    <row r="648" customFormat="false" ht="15" hidden="false" customHeight="false" outlineLevel="0" collapsed="false">
      <c r="A648" s="28" t="s">
        <v>3981</v>
      </c>
      <c r="B648" s="28" t="s">
        <v>51</v>
      </c>
      <c r="C648" s="28" t="s">
        <v>79</v>
      </c>
      <c r="D648" s="28" t="s">
        <v>3982</v>
      </c>
      <c r="E648" s="4" t="n">
        <v>2</v>
      </c>
      <c r="F648" s="4" t="s">
        <v>144</v>
      </c>
      <c r="G648" s="7" t="s">
        <v>1567</v>
      </c>
      <c r="H648" s="4" t="n">
        <v>1996</v>
      </c>
      <c r="I648" s="4" t="s">
        <v>1549</v>
      </c>
      <c r="J648" s="25" t="str">
        <f aca="false">IF(M648=1,"✓","")</f>
        <v/>
      </c>
      <c r="K648" s="4" t="str">
        <f aca="false">IF(AND(M648=0,P648=0),"▶ NEXT","")</f>
        <v/>
      </c>
      <c r="L648" s="4" t="n">
        <f aca="false">INDEX('Master List'!$F$2:$F$2594,O648)</f>
        <v>1</v>
      </c>
      <c r="M648" s="4" t="n">
        <f aca="false">INDEX('Master List'!$G$2:$G$2594,O648)</f>
        <v>0</v>
      </c>
      <c r="N648" s="4" t="str">
        <f aca="false">IF(K648="","",A648)</f>
        <v/>
      </c>
      <c r="O648" s="4" t="n">
        <v>2005</v>
      </c>
      <c r="P648" s="4" t="n">
        <f aca="false">IF(A648=A647,P647+1-M647,0)</f>
        <v>1</v>
      </c>
    </row>
    <row r="649" customFormat="false" ht="15" hidden="false" customHeight="false" outlineLevel="0" collapsed="false">
      <c r="A649" s="28" t="s">
        <v>3981</v>
      </c>
      <c r="B649" s="28" t="s">
        <v>51</v>
      </c>
      <c r="C649" s="28" t="s">
        <v>79</v>
      </c>
      <c r="D649" s="28" t="s">
        <v>3982</v>
      </c>
      <c r="E649" s="4" t="n">
        <v>3</v>
      </c>
      <c r="F649" s="4" t="s">
        <v>213</v>
      </c>
      <c r="G649" s="4" t="s">
        <v>2378</v>
      </c>
      <c r="H649" s="4" t="n">
        <v>1983</v>
      </c>
      <c r="I649" s="4" t="s">
        <v>1549</v>
      </c>
      <c r="J649" s="25" t="str">
        <f aca="false">IF(M649=1,"✓","")</f>
        <v/>
      </c>
      <c r="K649" s="4" t="str">
        <f aca="false">IF(AND(M649=0,P649=0),"▶ NEXT","")</f>
        <v/>
      </c>
      <c r="L649" s="4" t="n">
        <f aca="false">INDEX('Master List'!$F$2:$F$2594,O649)</f>
        <v>1</v>
      </c>
      <c r="M649" s="4" t="n">
        <f aca="false">INDEX('Master List'!$G$2:$G$2594,O649)</f>
        <v>0</v>
      </c>
      <c r="N649" s="4" t="str">
        <f aca="false">IF(K649="","",A649)</f>
        <v/>
      </c>
      <c r="O649" s="4" t="n">
        <v>1469</v>
      </c>
      <c r="P649" s="4" t="n">
        <f aca="false">IF(A649=A648,P648+1-M648,0)</f>
        <v>2</v>
      </c>
    </row>
    <row r="650" customFormat="false" ht="15" hidden="false" customHeight="false" outlineLevel="0" collapsed="false">
      <c r="A650" s="28" t="s">
        <v>3981</v>
      </c>
      <c r="B650" s="28" t="s">
        <v>51</v>
      </c>
      <c r="C650" s="28" t="s">
        <v>79</v>
      </c>
      <c r="D650" s="28" t="s">
        <v>3982</v>
      </c>
      <c r="E650" s="4" t="n">
        <v>4</v>
      </c>
      <c r="F650" s="4" t="s">
        <v>213</v>
      </c>
      <c r="G650" s="4" t="s">
        <v>2355</v>
      </c>
      <c r="H650" s="4" t="n">
        <v>1982</v>
      </c>
      <c r="I650" s="4" t="s">
        <v>2356</v>
      </c>
      <c r="J650" s="25" t="str">
        <f aca="false">IF(M650=1,"✓","")</f>
        <v/>
      </c>
      <c r="K650" s="4" t="str">
        <f aca="false">IF(AND(M650=0,P650=0),"▶ NEXT","")</f>
        <v/>
      </c>
      <c r="L650" s="4" t="n">
        <f aca="false">INDEX('Master List'!$F$2:$F$2594,O650)</f>
        <v>1</v>
      </c>
      <c r="M650" s="4" t="n">
        <f aca="false">INDEX('Master List'!$G$2:$G$2594,O650)</f>
        <v>0</v>
      </c>
      <c r="N650" s="4" t="str">
        <f aca="false">IF(K650="","",A650)</f>
        <v/>
      </c>
      <c r="O650" s="4" t="n">
        <v>1410</v>
      </c>
      <c r="P650" s="4" t="n">
        <f aca="false">IF(A650=A649,P649+1-M649,0)</f>
        <v>3</v>
      </c>
    </row>
    <row r="651" customFormat="false" ht="15" hidden="false" customHeight="false" outlineLevel="0" collapsed="false">
      <c r="A651" s="28" t="s">
        <v>3981</v>
      </c>
      <c r="B651" s="28" t="s">
        <v>51</v>
      </c>
      <c r="C651" s="28" t="s">
        <v>79</v>
      </c>
      <c r="D651" s="28" t="s">
        <v>3982</v>
      </c>
      <c r="E651" s="4" t="n">
        <v>5</v>
      </c>
      <c r="F651" s="4" t="s">
        <v>213</v>
      </c>
      <c r="G651" s="4" t="s">
        <v>2521</v>
      </c>
      <c r="H651" s="4" t="n">
        <v>1991</v>
      </c>
      <c r="I651" s="4" t="s">
        <v>359</v>
      </c>
      <c r="J651" s="25" t="str">
        <f aca="false">IF(M651=1,"✓","")</f>
        <v/>
      </c>
      <c r="K651" s="4" t="str">
        <f aca="false">IF(AND(M651=0,P651=0),"▶ NEXT","")</f>
        <v/>
      </c>
      <c r="L651" s="4" t="n">
        <f aca="false">INDEX('Master List'!$F$2:$F$2594,O651)</f>
        <v>1</v>
      </c>
      <c r="M651" s="4" t="n">
        <f aca="false">INDEX('Master List'!$G$2:$G$2594,O651)</f>
        <v>0</v>
      </c>
      <c r="N651" s="4" t="str">
        <f aca="false">IF(K651="","",A651)</f>
        <v/>
      </c>
      <c r="O651" s="4" t="n">
        <v>1904</v>
      </c>
      <c r="P651" s="4" t="n">
        <f aca="false">IF(A651=A650,P650+1-M650,0)</f>
        <v>4</v>
      </c>
    </row>
    <row r="652" customFormat="false" ht="15" hidden="false" customHeight="false" outlineLevel="0" collapsed="false">
      <c r="A652" s="28" t="s">
        <v>3981</v>
      </c>
      <c r="B652" s="28" t="s">
        <v>51</v>
      </c>
      <c r="C652" s="28" t="s">
        <v>79</v>
      </c>
      <c r="D652" s="28" t="s">
        <v>3982</v>
      </c>
      <c r="E652" s="4" t="n">
        <v>6</v>
      </c>
      <c r="F652" s="4" t="s">
        <v>213</v>
      </c>
      <c r="G652" s="4" t="s">
        <v>712</v>
      </c>
      <c r="H652" s="4" t="n">
        <v>1999</v>
      </c>
      <c r="I652" s="4" t="s">
        <v>713</v>
      </c>
      <c r="J652" s="25" t="str">
        <f aca="false">IF(M652=1,"✓","")</f>
        <v/>
      </c>
      <c r="K652" s="4" t="str">
        <f aca="false">IF(AND(M652=0,P652=0),"▶ NEXT","")</f>
        <v/>
      </c>
      <c r="L652" s="4" t="n">
        <f aca="false">INDEX('Master List'!$F$2:$F$2594,O652)</f>
        <v>3</v>
      </c>
      <c r="M652" s="4" t="n">
        <f aca="false">INDEX('Master List'!$G$2:$G$2594,O652)</f>
        <v>0</v>
      </c>
      <c r="N652" s="4" t="str">
        <f aca="false">IF(K652="","",A652)</f>
        <v/>
      </c>
      <c r="O652" s="4" t="n">
        <v>1862</v>
      </c>
      <c r="P652" s="4" t="n">
        <f aca="false">IF(A652=A651,P651+1-M651,0)</f>
        <v>5</v>
      </c>
    </row>
    <row r="653" customFormat="false" ht="15" hidden="false" customHeight="false" outlineLevel="0" collapsed="false">
      <c r="A653" s="28" t="s">
        <v>3981</v>
      </c>
      <c r="B653" s="28" t="s">
        <v>51</v>
      </c>
      <c r="C653" s="28" t="s">
        <v>79</v>
      </c>
      <c r="D653" s="28" t="s">
        <v>3982</v>
      </c>
      <c r="E653" s="4" t="n">
        <v>7</v>
      </c>
      <c r="F653" s="4" t="s">
        <v>213</v>
      </c>
      <c r="G653" s="4" t="s">
        <v>2664</v>
      </c>
      <c r="H653" s="4" t="n">
        <v>1997</v>
      </c>
      <c r="I653" s="4" t="s">
        <v>2665</v>
      </c>
      <c r="J653" s="25" t="str">
        <f aca="false">IF(M653=1,"✓","")</f>
        <v/>
      </c>
      <c r="K653" s="4" t="str">
        <f aca="false">IF(AND(M653=0,P653=0),"▶ NEXT","")</f>
        <v/>
      </c>
      <c r="L653" s="4" t="n">
        <f aca="false">INDEX('Master List'!$F$2:$F$2594,O653)</f>
        <v>1</v>
      </c>
      <c r="M653" s="4" t="n">
        <f aca="false">INDEX('Master List'!$G$2:$G$2594,O653)</f>
        <v>0</v>
      </c>
      <c r="N653" s="4" t="str">
        <f aca="false">IF(K653="","",A653)</f>
        <v/>
      </c>
      <c r="O653" s="4" t="n">
        <v>1616</v>
      </c>
      <c r="P653" s="4" t="n">
        <f aca="false">IF(A653=A652,P652+1-M652,0)</f>
        <v>6</v>
      </c>
    </row>
    <row r="654" customFormat="false" ht="15" hidden="false" customHeight="false" outlineLevel="0" collapsed="false">
      <c r="A654" s="28" t="s">
        <v>3981</v>
      </c>
      <c r="B654" s="28" t="s">
        <v>51</v>
      </c>
      <c r="C654" s="28" t="s">
        <v>79</v>
      </c>
      <c r="D654" s="28" t="s">
        <v>3982</v>
      </c>
      <c r="E654" s="4" t="n">
        <v>8</v>
      </c>
      <c r="F654" s="4" t="s">
        <v>213</v>
      </c>
      <c r="G654" s="4" t="s">
        <v>2764</v>
      </c>
      <c r="H654" s="4" t="n">
        <v>2002</v>
      </c>
      <c r="I654" s="4" t="s">
        <v>359</v>
      </c>
      <c r="J654" s="25" t="str">
        <f aca="false">IF(M654=1,"✓","")</f>
        <v/>
      </c>
      <c r="K654" s="4" t="str">
        <f aca="false">IF(AND(M654=0,P654=0),"▶ NEXT","")</f>
        <v/>
      </c>
      <c r="L654" s="4" t="n">
        <f aca="false">INDEX('Master List'!$F$2:$F$2594,O654)</f>
        <v>1</v>
      </c>
      <c r="M654" s="4" t="n">
        <f aca="false">INDEX('Master List'!$G$2:$G$2594,O654)</f>
        <v>0</v>
      </c>
      <c r="N654" s="4" t="str">
        <f aca="false">IF(K654="","",A654)</f>
        <v/>
      </c>
      <c r="O654" s="4" t="n">
        <v>2214</v>
      </c>
      <c r="P654" s="4" t="n">
        <f aca="false">IF(A654=A653,P653+1-M653,0)</f>
        <v>7</v>
      </c>
    </row>
    <row r="655" customFormat="false" ht="15" hidden="false" customHeight="false" outlineLevel="0" collapsed="false">
      <c r="A655" s="28" t="s">
        <v>3981</v>
      </c>
      <c r="B655" s="28" t="s">
        <v>51</v>
      </c>
      <c r="C655" s="28" t="s">
        <v>79</v>
      </c>
      <c r="D655" s="28" t="s">
        <v>3982</v>
      </c>
      <c r="E655" s="4" t="n">
        <v>9</v>
      </c>
      <c r="F655" s="4" t="s">
        <v>213</v>
      </c>
      <c r="G655" s="4" t="s">
        <v>2811</v>
      </c>
      <c r="H655" s="4" t="n">
        <v>2004</v>
      </c>
      <c r="I655" s="4" t="s">
        <v>1549</v>
      </c>
      <c r="J655" s="25" t="str">
        <f aca="false">IF(M655=1,"✓","")</f>
        <v/>
      </c>
      <c r="K655" s="4" t="str">
        <f aca="false">IF(AND(M655=0,P655=0),"▶ NEXT","")</f>
        <v/>
      </c>
      <c r="L655" s="4" t="n">
        <f aca="false">INDEX('Master List'!$F$2:$F$2594,O655)</f>
        <v>1</v>
      </c>
      <c r="M655" s="4" t="n">
        <f aca="false">INDEX('Master List'!$G$2:$G$2594,O655)</f>
        <v>0</v>
      </c>
      <c r="N655" s="4" t="str">
        <f aca="false">IF(K655="","",A655)</f>
        <v/>
      </c>
      <c r="O655" s="4" t="n">
        <v>2426</v>
      </c>
      <c r="P655" s="4" t="n">
        <f aca="false">IF(A655=A654,P654+1-M654,0)</f>
        <v>8</v>
      </c>
    </row>
    <row r="656" customFormat="false" ht="15" hidden="false" customHeight="false" outlineLevel="0" collapsed="false">
      <c r="A656" s="28" t="s">
        <v>3981</v>
      </c>
      <c r="B656" s="28" t="s">
        <v>51</v>
      </c>
      <c r="C656" s="28" t="s">
        <v>79</v>
      </c>
      <c r="D656" s="28" t="s">
        <v>3982</v>
      </c>
      <c r="E656" s="4" t="n">
        <v>10</v>
      </c>
      <c r="F656" s="4" t="s">
        <v>213</v>
      </c>
      <c r="G656" s="4" t="s">
        <v>1190</v>
      </c>
      <c r="H656" s="4" t="n">
        <v>2009</v>
      </c>
      <c r="I656" s="4" t="s">
        <v>1191</v>
      </c>
      <c r="J656" s="25" t="str">
        <f aca="false">IF(M656=1,"✓","")</f>
        <v/>
      </c>
      <c r="K656" s="4" t="str">
        <f aca="false">IF(AND(M656=0,P656=0),"▶ NEXT","")</f>
        <v/>
      </c>
      <c r="L656" s="4" t="n">
        <f aca="false">INDEX('Master List'!$F$2:$F$2594,O656)</f>
        <v>2</v>
      </c>
      <c r="M656" s="4" t="n">
        <f aca="false">INDEX('Master List'!$G$2:$G$2594,O656)</f>
        <v>0</v>
      </c>
      <c r="N656" s="4" t="str">
        <f aca="false">IF(K656="","",A656)</f>
        <v/>
      </c>
      <c r="O656" s="4" t="n">
        <v>811</v>
      </c>
      <c r="P656" s="4" t="n">
        <f aca="false">IF(A656=A655,P655+1-M655,0)</f>
        <v>9</v>
      </c>
    </row>
    <row r="657" customFormat="false" ht="15" hidden="false" customHeight="false" outlineLevel="0" collapsed="false">
      <c r="A657" s="28" t="s">
        <v>3981</v>
      </c>
      <c r="B657" s="28" t="s">
        <v>51</v>
      </c>
      <c r="C657" s="28" t="s">
        <v>79</v>
      </c>
      <c r="D657" s="28" t="s">
        <v>3982</v>
      </c>
      <c r="E657" s="4" t="n">
        <v>11</v>
      </c>
      <c r="F657" s="4" t="s">
        <v>213</v>
      </c>
      <c r="G657" s="4" t="s">
        <v>2941</v>
      </c>
      <c r="H657" s="4" t="n">
        <v>2010</v>
      </c>
      <c r="I657" s="4" t="s">
        <v>1549</v>
      </c>
      <c r="J657" s="25" t="str">
        <f aca="false">IF(M657=1,"✓","")</f>
        <v/>
      </c>
      <c r="K657" s="4" t="str">
        <f aca="false">IF(AND(M657=0,P657=0),"▶ NEXT","")</f>
        <v/>
      </c>
      <c r="L657" s="4" t="n">
        <f aca="false">INDEX('Master List'!$F$2:$F$2594,O657)</f>
        <v>1</v>
      </c>
      <c r="M657" s="4" t="n">
        <f aca="false">INDEX('Master List'!$G$2:$G$2594,O657)</f>
        <v>0</v>
      </c>
      <c r="N657" s="4" t="str">
        <f aca="false">IF(K657="","",A657)</f>
        <v/>
      </c>
      <c r="O657" s="4" t="n">
        <v>117</v>
      </c>
      <c r="P657" s="4" t="n">
        <f aca="false">IF(A657=A656,P656+1-M656,0)</f>
        <v>10</v>
      </c>
    </row>
    <row r="658" customFormat="false" ht="15" hidden="false" customHeight="false" outlineLevel="0" collapsed="false">
      <c r="A658" s="28" t="s">
        <v>3981</v>
      </c>
      <c r="B658" s="28" t="s">
        <v>51</v>
      </c>
      <c r="C658" s="28" t="s">
        <v>79</v>
      </c>
      <c r="D658" s="28" t="s">
        <v>3982</v>
      </c>
      <c r="E658" s="4" t="n">
        <v>12</v>
      </c>
      <c r="F658" s="4" t="s">
        <v>213</v>
      </c>
      <c r="G658" s="4" t="s">
        <v>3093</v>
      </c>
      <c r="H658" s="4" t="n">
        <v>2016</v>
      </c>
      <c r="I658" s="4" t="s">
        <v>359</v>
      </c>
      <c r="J658" s="25" t="str">
        <f aca="false">IF(M658=1,"✓","")</f>
        <v>✓</v>
      </c>
      <c r="K658" s="4" t="str">
        <f aca="false">IF(AND(M658=0,P658=0),"▶ NEXT","")</f>
        <v/>
      </c>
      <c r="L658" s="4" t="n">
        <f aca="false">INDEX('Master List'!$F$2:$F$2594,O658)</f>
        <v>1</v>
      </c>
      <c r="M658" s="4" t="n">
        <f aca="false">INDEX('Master List'!$G$2:$G$2594,O658)</f>
        <v>1</v>
      </c>
      <c r="N658" s="4" t="str">
        <f aca="false">IF(K658="","",A658)</f>
        <v/>
      </c>
      <c r="O658" s="4" t="n">
        <v>1102</v>
      </c>
      <c r="P658" s="4" t="n">
        <f aca="false">IF(A658=A657,P657+1-M657,0)</f>
        <v>11</v>
      </c>
    </row>
    <row r="659" customFormat="false" ht="15" hidden="false" customHeight="false" outlineLevel="0" collapsed="false">
      <c r="A659" s="28" t="s">
        <v>3981</v>
      </c>
      <c r="B659" s="28" t="s">
        <v>51</v>
      </c>
      <c r="C659" s="28" t="s">
        <v>79</v>
      </c>
      <c r="D659" s="28" t="s">
        <v>3982</v>
      </c>
      <c r="E659" s="4" t="n">
        <v>13</v>
      </c>
      <c r="F659" s="4" t="s">
        <v>213</v>
      </c>
      <c r="G659" s="4" t="s">
        <v>1252</v>
      </c>
      <c r="H659" s="4" t="n">
        <v>2019</v>
      </c>
      <c r="I659" s="4" t="s">
        <v>359</v>
      </c>
      <c r="J659" s="25" t="str">
        <f aca="false">IF(M659=1,"✓","")</f>
        <v/>
      </c>
      <c r="K659" s="4" t="str">
        <f aca="false">IF(AND(M659=0,P659=0),"▶ NEXT","")</f>
        <v/>
      </c>
      <c r="L659" s="4" t="n">
        <f aca="false">INDEX('Master List'!$F$2:$F$2594,O659)</f>
        <v>2</v>
      </c>
      <c r="M659" s="4" t="n">
        <f aca="false">INDEX('Master List'!$G$2:$G$2594,O659)</f>
        <v>0</v>
      </c>
      <c r="N659" s="4" t="str">
        <f aca="false">IF(K659="","",A659)</f>
        <v/>
      </c>
      <c r="O659" s="4" t="n">
        <v>2120</v>
      </c>
      <c r="P659" s="4" t="n">
        <f aca="false">IF(A659=A658,P658+1-M658,0)</f>
        <v>11</v>
      </c>
    </row>
    <row r="660" customFormat="false" ht="15" hidden="false" customHeight="false" outlineLevel="0" collapsed="false">
      <c r="A660" s="28" t="s">
        <v>3981</v>
      </c>
      <c r="B660" s="28" t="s">
        <v>51</v>
      </c>
      <c r="C660" s="28" t="s">
        <v>79</v>
      </c>
      <c r="D660" s="28" t="s">
        <v>3982</v>
      </c>
      <c r="E660" s="4" t="n">
        <v>14</v>
      </c>
      <c r="F660" s="4" t="s">
        <v>213</v>
      </c>
      <c r="G660" s="4" t="s">
        <v>211</v>
      </c>
      <c r="H660" s="4" t="n">
        <v>2022</v>
      </c>
      <c r="I660" s="4" t="s">
        <v>212</v>
      </c>
      <c r="J660" s="25" t="str">
        <f aca="false">IF(M660=1,"✓","")</f>
        <v/>
      </c>
      <c r="K660" s="4" t="str">
        <f aca="false">IF(AND(M660=0,P660=0),"▶ NEXT","")</f>
        <v/>
      </c>
      <c r="L660" s="4" t="n">
        <f aca="false">INDEX('Master List'!$F$2:$F$2594,O660)</f>
        <v>7</v>
      </c>
      <c r="M660" s="4" t="n">
        <f aca="false">INDEX('Master List'!$G$2:$G$2594,O660)</f>
        <v>0</v>
      </c>
      <c r="N660" s="4" t="str">
        <f aca="false">IF(K660="","",A660)</f>
        <v/>
      </c>
      <c r="O660" s="4" t="n">
        <v>53</v>
      </c>
      <c r="P660" s="4" t="n">
        <f aca="false">IF(A660=A659,P659+1-M659,0)</f>
        <v>12</v>
      </c>
    </row>
    <row r="661" customFormat="false" ht="15" hidden="false" customHeight="false" outlineLevel="0" collapsed="false">
      <c r="A661" s="28" t="s">
        <v>3981</v>
      </c>
      <c r="B661" s="28" t="s">
        <v>51</v>
      </c>
      <c r="C661" s="28" t="s">
        <v>79</v>
      </c>
      <c r="D661" s="28" t="s">
        <v>3982</v>
      </c>
      <c r="E661" s="4" t="n">
        <v>15</v>
      </c>
      <c r="F661" s="4" t="s">
        <v>1327</v>
      </c>
      <c r="G661" s="4" t="s">
        <v>3576</v>
      </c>
      <c r="H661" s="4" t="n">
        <v>1979</v>
      </c>
      <c r="I661" s="4" t="s">
        <v>2356</v>
      </c>
      <c r="J661" s="25" t="str">
        <f aca="false">IF(M661=1,"✓","")</f>
        <v/>
      </c>
      <c r="K661" s="4" t="str">
        <f aca="false">IF(AND(M661=0,P661=0),"▶ NEXT","")</f>
        <v/>
      </c>
      <c r="L661" s="4" t="n">
        <f aca="false">INDEX('Master List'!$F$2:$F$2594,O661)</f>
        <v>1</v>
      </c>
      <c r="M661" s="4" t="n">
        <f aca="false">INDEX('Master List'!$G$2:$G$2594,O661)</f>
        <v>0</v>
      </c>
      <c r="N661" s="4" t="str">
        <f aca="false">IF(K661="","",A661)</f>
        <v/>
      </c>
      <c r="O661" s="4" t="n">
        <v>1995</v>
      </c>
      <c r="P661" s="4" t="n">
        <f aca="false">IF(A661=A660,P660+1-M660,0)</f>
        <v>13</v>
      </c>
    </row>
    <row r="662" customFormat="false" ht="15" hidden="false" customHeight="false" outlineLevel="0" collapsed="false">
      <c r="A662" s="28" t="s">
        <v>3981</v>
      </c>
      <c r="B662" s="28" t="s">
        <v>51</v>
      </c>
      <c r="C662" s="28" t="s">
        <v>79</v>
      </c>
      <c r="D662" s="28" t="s">
        <v>3982</v>
      </c>
      <c r="E662" s="4" t="n">
        <v>16</v>
      </c>
      <c r="F662" s="4" t="s">
        <v>1327</v>
      </c>
      <c r="G662" s="4" t="s">
        <v>3644</v>
      </c>
      <c r="H662" s="4" t="n">
        <v>1988</v>
      </c>
      <c r="I662" s="4" t="s">
        <v>3645</v>
      </c>
      <c r="J662" s="25" t="str">
        <f aca="false">IF(M662=1,"✓","")</f>
        <v/>
      </c>
      <c r="K662" s="4" t="str">
        <f aca="false">IF(AND(M662=0,P662=0),"▶ NEXT","")</f>
        <v/>
      </c>
      <c r="L662" s="4" t="n">
        <f aca="false">INDEX('Master List'!$F$2:$F$2594,O662)</f>
        <v>1</v>
      </c>
      <c r="M662" s="4" t="n">
        <f aca="false">INDEX('Master List'!$G$2:$G$2594,O662)</f>
        <v>0</v>
      </c>
      <c r="N662" s="4" t="str">
        <f aca="false">IF(K662="","",A662)</f>
        <v/>
      </c>
      <c r="O662" s="4" t="n">
        <v>638</v>
      </c>
      <c r="P662" s="4" t="n">
        <f aca="false">IF(A662=A661,P661+1-M661,0)</f>
        <v>14</v>
      </c>
    </row>
    <row r="663" customFormat="false" ht="15" hidden="false" customHeight="false" outlineLevel="0" collapsed="false">
      <c r="A663" s="28" t="s">
        <v>3983</v>
      </c>
      <c r="B663" s="28" t="s">
        <v>51</v>
      </c>
      <c r="C663" s="28" t="s">
        <v>79</v>
      </c>
      <c r="D663" s="28" t="s">
        <v>3984</v>
      </c>
      <c r="E663" s="4" t="n">
        <v>1</v>
      </c>
      <c r="F663" s="4" t="s">
        <v>144</v>
      </c>
      <c r="G663" s="7" t="s">
        <v>666</v>
      </c>
      <c r="H663" s="4" t="n">
        <v>1966</v>
      </c>
      <c r="I663" s="4" t="s">
        <v>217</v>
      </c>
      <c r="J663" s="25" t="str">
        <f aca="false">IF(M663=1,"✓","")</f>
        <v/>
      </c>
      <c r="K663" s="4" t="str">
        <f aca="false">IF(AND(M663=0,P663=0),"▶ NEXT","")</f>
        <v>▶ NEXT</v>
      </c>
      <c r="L663" s="4" t="n">
        <f aca="false">INDEX('Master List'!$F$2:$F$2594,O663)</f>
        <v>2</v>
      </c>
      <c r="M663" s="4" t="n">
        <f aca="false">INDEX('Master List'!$G$2:$G$2594,O663)</f>
        <v>0</v>
      </c>
      <c r="N663" s="4" t="str">
        <f aca="false">IF(K663="","",A663)</f>
        <v>N055</v>
      </c>
      <c r="O663" s="4" t="n">
        <v>296</v>
      </c>
      <c r="P663" s="4" t="n">
        <f aca="false">IF(A663=A662,P662+1-M662,0)</f>
        <v>0</v>
      </c>
    </row>
    <row r="664" customFormat="false" ht="15" hidden="false" customHeight="false" outlineLevel="0" collapsed="false">
      <c r="A664" s="28" t="s">
        <v>3983</v>
      </c>
      <c r="B664" s="28" t="s">
        <v>51</v>
      </c>
      <c r="C664" s="28" t="s">
        <v>79</v>
      </c>
      <c r="D664" s="28" t="s">
        <v>3984</v>
      </c>
      <c r="E664" s="4" t="n">
        <v>2</v>
      </c>
      <c r="F664" s="4" t="s">
        <v>144</v>
      </c>
      <c r="G664" s="7" t="s">
        <v>1480</v>
      </c>
      <c r="H664" s="4" t="n">
        <v>1970</v>
      </c>
      <c r="I664" s="4" t="s">
        <v>1481</v>
      </c>
      <c r="J664" s="25" t="str">
        <f aca="false">IF(M664=1,"✓","")</f>
        <v/>
      </c>
      <c r="K664" s="4" t="str">
        <f aca="false">IF(AND(M664=0,P664=0),"▶ NEXT","")</f>
        <v/>
      </c>
      <c r="L664" s="4" t="n">
        <f aca="false">INDEX('Master List'!$F$2:$F$2594,O664)</f>
        <v>1</v>
      </c>
      <c r="M664" s="4" t="n">
        <f aca="false">INDEX('Master List'!$G$2:$G$2594,O664)</f>
        <v>0</v>
      </c>
      <c r="N664" s="4" t="str">
        <f aca="false">IF(K664="","",A664)</f>
        <v/>
      </c>
      <c r="O664" s="4" t="n">
        <v>1746</v>
      </c>
      <c r="P664" s="4" t="n">
        <f aca="false">IF(A664=A663,P663+1-M663,0)</f>
        <v>1</v>
      </c>
    </row>
    <row r="665" customFormat="false" ht="15" hidden="false" customHeight="false" outlineLevel="0" collapsed="false">
      <c r="A665" s="28" t="s">
        <v>3983</v>
      </c>
      <c r="B665" s="28" t="s">
        <v>51</v>
      </c>
      <c r="C665" s="28" t="s">
        <v>79</v>
      </c>
      <c r="D665" s="28" t="s">
        <v>3984</v>
      </c>
      <c r="E665" s="4" t="n">
        <v>3</v>
      </c>
      <c r="F665" s="4" t="s">
        <v>213</v>
      </c>
      <c r="G665" s="4" t="s">
        <v>977</v>
      </c>
      <c r="H665" s="4" t="n">
        <v>1964</v>
      </c>
      <c r="I665" s="4" t="s">
        <v>978</v>
      </c>
      <c r="J665" s="25" t="str">
        <f aca="false">IF(M665=1,"✓","")</f>
        <v/>
      </c>
      <c r="K665" s="4" t="str">
        <f aca="false">IF(AND(M665=0,P665=0),"▶ NEXT","")</f>
        <v/>
      </c>
      <c r="L665" s="4" t="n">
        <f aca="false">INDEX('Master List'!$F$2:$F$2594,O665)</f>
        <v>2</v>
      </c>
      <c r="M665" s="4" t="n">
        <f aca="false">INDEX('Master List'!$G$2:$G$2594,O665)</f>
        <v>0</v>
      </c>
      <c r="N665" s="4" t="str">
        <f aca="false">IF(K665="","",A665)</f>
        <v/>
      </c>
      <c r="O665" s="4" t="n">
        <v>994</v>
      </c>
      <c r="P665" s="4" t="n">
        <f aca="false">IF(A665=A664,P664+1-M664,0)</f>
        <v>2</v>
      </c>
    </row>
    <row r="666" customFormat="false" ht="15" hidden="false" customHeight="false" outlineLevel="0" collapsed="false">
      <c r="A666" s="28" t="s">
        <v>3983</v>
      </c>
      <c r="B666" s="28" t="s">
        <v>51</v>
      </c>
      <c r="C666" s="28" t="s">
        <v>79</v>
      </c>
      <c r="D666" s="28" t="s">
        <v>3984</v>
      </c>
      <c r="E666" s="4" t="n">
        <v>4</v>
      </c>
      <c r="F666" s="4" t="s">
        <v>213</v>
      </c>
      <c r="G666" s="4" t="s">
        <v>2058</v>
      </c>
      <c r="H666" s="4" t="n">
        <v>1965</v>
      </c>
      <c r="I666" s="4" t="s">
        <v>589</v>
      </c>
      <c r="J666" s="25" t="str">
        <f aca="false">IF(M666=1,"✓","")</f>
        <v/>
      </c>
      <c r="K666" s="4" t="str">
        <f aca="false">IF(AND(M666=0,P666=0),"▶ NEXT","")</f>
        <v/>
      </c>
      <c r="L666" s="4" t="n">
        <f aca="false">INDEX('Master List'!$F$2:$F$2594,O666)</f>
        <v>1</v>
      </c>
      <c r="M666" s="4" t="n">
        <f aca="false">INDEX('Master List'!$G$2:$G$2594,O666)</f>
        <v>0</v>
      </c>
      <c r="N666" s="4" t="str">
        <f aca="false">IF(K666="","",A666)</f>
        <v/>
      </c>
      <c r="O666" s="4" t="n">
        <v>567</v>
      </c>
      <c r="P666" s="4" t="n">
        <f aca="false">IF(A666=A665,P665+1-M665,0)</f>
        <v>3</v>
      </c>
    </row>
    <row r="667" customFormat="false" ht="15" hidden="false" customHeight="false" outlineLevel="0" collapsed="false">
      <c r="A667" s="28" t="s">
        <v>3983</v>
      </c>
      <c r="B667" s="28" t="s">
        <v>51</v>
      </c>
      <c r="C667" s="28" t="s">
        <v>79</v>
      </c>
      <c r="D667" s="28" t="s">
        <v>3984</v>
      </c>
      <c r="E667" s="4" t="n">
        <v>5</v>
      </c>
      <c r="F667" s="4" t="s">
        <v>213</v>
      </c>
      <c r="G667" s="4" t="s">
        <v>2022</v>
      </c>
      <c r="H667" s="4" t="n">
        <v>1963</v>
      </c>
      <c r="I667" s="4" t="s">
        <v>2023</v>
      </c>
      <c r="J667" s="25" t="str">
        <f aca="false">IF(M667=1,"✓","")</f>
        <v/>
      </c>
      <c r="K667" s="4" t="str">
        <f aca="false">IF(AND(M667=0,P667=0),"▶ NEXT","")</f>
        <v/>
      </c>
      <c r="L667" s="4" t="n">
        <f aca="false">INDEX('Master List'!$F$2:$F$2594,O667)</f>
        <v>1</v>
      </c>
      <c r="M667" s="4" t="n">
        <f aca="false">INDEX('Master List'!$G$2:$G$2594,O667)</f>
        <v>0</v>
      </c>
      <c r="N667" s="4" t="str">
        <f aca="false">IF(K667="","",A667)</f>
        <v/>
      </c>
      <c r="O667" s="4" t="n">
        <v>2014</v>
      </c>
      <c r="P667" s="4" t="n">
        <f aca="false">IF(A667=A666,P666+1-M666,0)</f>
        <v>4</v>
      </c>
    </row>
    <row r="668" customFormat="false" ht="15" hidden="false" customHeight="false" outlineLevel="0" collapsed="false">
      <c r="A668" s="28" t="s">
        <v>3983</v>
      </c>
      <c r="B668" s="28" t="s">
        <v>51</v>
      </c>
      <c r="C668" s="28" t="s">
        <v>79</v>
      </c>
      <c r="D668" s="28" t="s">
        <v>3984</v>
      </c>
      <c r="E668" s="4" t="n">
        <v>6</v>
      </c>
      <c r="F668" s="4" t="s">
        <v>213</v>
      </c>
      <c r="G668" s="4" t="s">
        <v>986</v>
      </c>
      <c r="H668" s="4" t="n">
        <v>1965</v>
      </c>
      <c r="I668" s="4" t="s">
        <v>195</v>
      </c>
      <c r="J668" s="25" t="str">
        <f aca="false">IF(M668=1,"✓","")</f>
        <v/>
      </c>
      <c r="K668" s="4" t="str">
        <f aca="false">IF(AND(M668=0,P668=0),"▶ NEXT","")</f>
        <v/>
      </c>
      <c r="L668" s="4" t="n">
        <f aca="false">INDEX('Master List'!$F$2:$F$2594,O668)</f>
        <v>2</v>
      </c>
      <c r="M668" s="4" t="n">
        <f aca="false">INDEX('Master List'!$G$2:$G$2594,O668)</f>
        <v>0</v>
      </c>
      <c r="N668" s="4" t="str">
        <f aca="false">IF(K668="","",A668)</f>
        <v/>
      </c>
      <c r="O668" s="4" t="n">
        <v>1889</v>
      </c>
      <c r="P668" s="4" t="n">
        <f aca="false">IF(A668=A667,P667+1-M667,0)</f>
        <v>5</v>
      </c>
    </row>
    <row r="669" customFormat="false" ht="15" hidden="false" customHeight="false" outlineLevel="0" collapsed="false">
      <c r="A669" s="28" t="s">
        <v>3983</v>
      </c>
      <c r="B669" s="28" t="s">
        <v>51</v>
      </c>
      <c r="C669" s="28" t="s">
        <v>79</v>
      </c>
      <c r="D669" s="28" t="s">
        <v>3984</v>
      </c>
      <c r="E669" s="4" t="n">
        <v>7</v>
      </c>
      <c r="F669" s="4" t="s">
        <v>213</v>
      </c>
      <c r="G669" s="4" t="s">
        <v>785</v>
      </c>
      <c r="H669" s="4" t="n">
        <v>1970</v>
      </c>
      <c r="I669" s="4" t="s">
        <v>786</v>
      </c>
      <c r="J669" s="25" t="str">
        <f aca="false">IF(M669=1,"✓","")</f>
        <v/>
      </c>
      <c r="K669" s="4" t="str">
        <f aca="false">IF(AND(M669=0,P669=0),"▶ NEXT","")</f>
        <v/>
      </c>
      <c r="L669" s="4" t="n">
        <f aca="false">INDEX('Master List'!$F$2:$F$2594,O669)</f>
        <v>2</v>
      </c>
      <c r="M669" s="4" t="n">
        <f aca="false">INDEX('Master List'!$G$2:$G$2594,O669)</f>
        <v>0</v>
      </c>
      <c r="N669" s="4" t="str">
        <f aca="false">IF(K669="","",A669)</f>
        <v/>
      </c>
      <c r="O669" s="4" t="n">
        <v>603</v>
      </c>
      <c r="P669" s="4" t="n">
        <f aca="false">IF(A669=A668,P668+1-M668,0)</f>
        <v>6</v>
      </c>
    </row>
    <row r="670" customFormat="false" ht="15" hidden="false" customHeight="false" outlineLevel="0" collapsed="false">
      <c r="A670" s="28" t="s">
        <v>3983</v>
      </c>
      <c r="B670" s="28" t="s">
        <v>51</v>
      </c>
      <c r="C670" s="28" t="s">
        <v>79</v>
      </c>
      <c r="D670" s="28" t="s">
        <v>3984</v>
      </c>
      <c r="E670" s="4" t="n">
        <v>8</v>
      </c>
      <c r="F670" s="4" t="s">
        <v>213</v>
      </c>
      <c r="G670" s="4" t="s">
        <v>787</v>
      </c>
      <c r="H670" s="4" t="n">
        <v>1971</v>
      </c>
      <c r="I670" s="4" t="s">
        <v>391</v>
      </c>
      <c r="J670" s="25" t="str">
        <f aca="false">IF(M670=1,"✓","")</f>
        <v/>
      </c>
      <c r="K670" s="4" t="str">
        <f aca="false">IF(AND(M670=0,P670=0),"▶ NEXT","")</f>
        <v/>
      </c>
      <c r="L670" s="4" t="n">
        <f aca="false">INDEX('Master List'!$F$2:$F$2594,O670)</f>
        <v>3</v>
      </c>
      <c r="M670" s="4" t="n">
        <f aca="false">INDEX('Master List'!$G$2:$G$2594,O670)</f>
        <v>0</v>
      </c>
      <c r="N670" s="4" t="str">
        <f aca="false">IF(K670="","",A670)</f>
        <v/>
      </c>
      <c r="O670" s="4" t="n">
        <v>2455</v>
      </c>
      <c r="P670" s="4" t="n">
        <f aca="false">IF(A670=A669,P669+1-M669,0)</f>
        <v>7</v>
      </c>
    </row>
    <row r="671" customFormat="false" ht="15" hidden="false" customHeight="false" outlineLevel="0" collapsed="false">
      <c r="A671" s="28" t="s">
        <v>3983</v>
      </c>
      <c r="B671" s="28" t="s">
        <v>51</v>
      </c>
      <c r="C671" s="28" t="s">
        <v>79</v>
      </c>
      <c r="D671" s="28" t="s">
        <v>3984</v>
      </c>
      <c r="E671" s="4" t="n">
        <v>9</v>
      </c>
      <c r="F671" s="4" t="s">
        <v>213</v>
      </c>
      <c r="G671" s="4" t="s">
        <v>390</v>
      </c>
      <c r="H671" s="4" t="n">
        <v>1973</v>
      </c>
      <c r="I671" s="4" t="s">
        <v>391</v>
      </c>
      <c r="J671" s="25" t="str">
        <f aca="false">IF(M671=1,"✓","")</f>
        <v/>
      </c>
      <c r="K671" s="4" t="str">
        <f aca="false">IF(AND(M671=0,P671=0),"▶ NEXT","")</f>
        <v/>
      </c>
      <c r="L671" s="4" t="n">
        <f aca="false">INDEX('Master List'!$F$2:$F$2594,O671)</f>
        <v>4</v>
      </c>
      <c r="M671" s="4" t="n">
        <f aca="false">INDEX('Master List'!$G$2:$G$2594,O671)</f>
        <v>0</v>
      </c>
      <c r="N671" s="4" t="str">
        <f aca="false">IF(K671="","",A671)</f>
        <v/>
      </c>
      <c r="O671" s="4" t="n">
        <v>659</v>
      </c>
      <c r="P671" s="4" t="n">
        <f aca="false">IF(A671=A670,P670+1-M670,0)</f>
        <v>8</v>
      </c>
    </row>
    <row r="672" customFormat="false" ht="15" hidden="false" customHeight="false" outlineLevel="0" collapsed="false">
      <c r="A672" s="28" t="s">
        <v>3983</v>
      </c>
      <c r="B672" s="28" t="s">
        <v>51</v>
      </c>
      <c r="C672" s="28" t="s">
        <v>79</v>
      </c>
      <c r="D672" s="28" t="s">
        <v>3984</v>
      </c>
      <c r="E672" s="4" t="n">
        <v>10</v>
      </c>
      <c r="F672" s="4" t="s">
        <v>1327</v>
      </c>
      <c r="G672" s="4" t="s">
        <v>3430</v>
      </c>
      <c r="H672" s="4" t="n">
        <v>1965</v>
      </c>
      <c r="I672" s="4" t="s">
        <v>978</v>
      </c>
      <c r="J672" s="25" t="str">
        <f aca="false">IF(M672=1,"✓","")</f>
        <v/>
      </c>
      <c r="K672" s="4" t="str">
        <f aca="false">IF(AND(M672=0,P672=0),"▶ NEXT","")</f>
        <v/>
      </c>
      <c r="L672" s="4" t="n">
        <f aca="false">INDEX('Master List'!$F$2:$F$2594,O672)</f>
        <v>1</v>
      </c>
      <c r="M672" s="4" t="n">
        <f aca="false">INDEX('Master List'!$G$2:$G$2594,O672)</f>
        <v>0</v>
      </c>
      <c r="N672" s="4" t="str">
        <f aca="false">IF(K672="","",A672)</f>
        <v/>
      </c>
      <c r="O672" s="4" t="n">
        <v>1267</v>
      </c>
      <c r="P672" s="4" t="n">
        <f aca="false">IF(A672=A671,P671+1-M671,0)</f>
        <v>9</v>
      </c>
    </row>
    <row r="673" customFormat="false" ht="15" hidden="false" customHeight="false" outlineLevel="0" collapsed="false">
      <c r="A673" s="28" t="s">
        <v>3983</v>
      </c>
      <c r="B673" s="28" t="s">
        <v>51</v>
      </c>
      <c r="C673" s="28" t="s">
        <v>79</v>
      </c>
      <c r="D673" s="28" t="s">
        <v>3984</v>
      </c>
      <c r="E673" s="4" t="n">
        <v>11</v>
      </c>
      <c r="F673" s="4" t="s">
        <v>1327</v>
      </c>
      <c r="G673" s="4" t="s">
        <v>1006</v>
      </c>
      <c r="H673" s="4" t="n">
        <v>1970</v>
      </c>
      <c r="I673" s="4" t="s">
        <v>1007</v>
      </c>
      <c r="J673" s="25" t="str">
        <f aca="false">IF(M673=1,"✓","")</f>
        <v/>
      </c>
      <c r="K673" s="4" t="str">
        <f aca="false">IF(AND(M673=0,P673=0),"▶ NEXT","")</f>
        <v/>
      </c>
      <c r="L673" s="4" t="n">
        <f aca="false">INDEX('Master List'!$F$2:$F$2594,O673)</f>
        <v>2</v>
      </c>
      <c r="M673" s="4" t="n">
        <f aca="false">INDEX('Master List'!$G$2:$G$2594,O673)</f>
        <v>0</v>
      </c>
      <c r="N673" s="4" t="str">
        <f aca="false">IF(K673="","",A673)</f>
        <v/>
      </c>
      <c r="O673" s="4" t="n">
        <v>358</v>
      </c>
      <c r="P673" s="4" t="n">
        <f aca="false">IF(A673=A672,P672+1-M672,0)</f>
        <v>10</v>
      </c>
    </row>
    <row r="674" customFormat="false" ht="15" hidden="false" customHeight="false" outlineLevel="0" collapsed="false">
      <c r="A674" s="28" t="s">
        <v>3985</v>
      </c>
      <c r="B674" s="28" t="s">
        <v>51</v>
      </c>
      <c r="C674" s="28" t="s">
        <v>80</v>
      </c>
      <c r="D674" s="28" t="s">
        <v>3986</v>
      </c>
      <c r="E674" s="4" t="n">
        <v>1</v>
      </c>
      <c r="F674" s="4" t="s">
        <v>144</v>
      </c>
      <c r="G674" s="7" t="s">
        <v>198</v>
      </c>
      <c r="H674" s="4" t="n">
        <v>1957</v>
      </c>
      <c r="I674" s="4" t="s">
        <v>170</v>
      </c>
      <c r="J674" s="25" t="str">
        <f aca="false">IF(M674=1,"✓","")</f>
        <v>✓</v>
      </c>
      <c r="K674" s="4" t="str">
        <f aca="false">IF(AND(M674=0,P674=0),"▶ NEXT","")</f>
        <v/>
      </c>
      <c r="L674" s="4" t="n">
        <f aca="false">INDEX('Master List'!$F$2:$F$2594,O674)</f>
        <v>6</v>
      </c>
      <c r="M674" s="4" t="n">
        <f aca="false">INDEX('Master List'!$G$2:$G$2594,O674)</f>
        <v>1</v>
      </c>
      <c r="N674" s="4" t="str">
        <f aca="false">IF(K674="","",A674)</f>
        <v/>
      </c>
      <c r="O674" s="4" t="n">
        <v>2025</v>
      </c>
      <c r="P674" s="4" t="n">
        <f aca="false">IF(A674=A673,P673+1-M673,0)</f>
        <v>0</v>
      </c>
    </row>
    <row r="675" customFormat="false" ht="15" hidden="false" customHeight="false" outlineLevel="0" collapsed="false">
      <c r="A675" s="28" t="s">
        <v>3985</v>
      </c>
      <c r="B675" s="28" t="s">
        <v>51</v>
      </c>
      <c r="C675" s="28" t="s">
        <v>80</v>
      </c>
      <c r="D675" s="28" t="s">
        <v>3986</v>
      </c>
      <c r="E675" s="4" t="n">
        <v>2</v>
      </c>
      <c r="F675" s="4" t="s">
        <v>144</v>
      </c>
      <c r="G675" s="7" t="s">
        <v>245</v>
      </c>
      <c r="H675" s="4" t="n">
        <v>1928</v>
      </c>
      <c r="I675" s="4" t="s">
        <v>246</v>
      </c>
      <c r="J675" s="25" t="str">
        <f aca="false">IF(M675=1,"✓","")</f>
        <v/>
      </c>
      <c r="K675" s="4" t="str">
        <f aca="false">IF(AND(M675=0,P675=0),"▶ NEXT","")</f>
        <v>▶ NEXT</v>
      </c>
      <c r="L675" s="4" t="n">
        <f aca="false">INDEX('Master List'!$F$2:$F$2594,O675)</f>
        <v>5</v>
      </c>
      <c r="M675" s="4" t="n">
        <f aca="false">INDEX('Master List'!$G$2:$G$2594,O675)</f>
        <v>0</v>
      </c>
      <c r="N675" s="4" t="str">
        <f aca="false">IF(K675="","",A675)</f>
        <v>N056</v>
      </c>
      <c r="O675" s="4" t="n">
        <v>1729</v>
      </c>
      <c r="P675" s="4" t="n">
        <f aca="false">IF(A675=A674,P674+1-M674,0)</f>
        <v>0</v>
      </c>
    </row>
    <row r="676" customFormat="false" ht="15" hidden="false" customHeight="false" outlineLevel="0" collapsed="false">
      <c r="A676" s="28" t="s">
        <v>3985</v>
      </c>
      <c r="B676" s="28" t="s">
        <v>51</v>
      </c>
      <c r="C676" s="28" t="s">
        <v>80</v>
      </c>
      <c r="D676" s="28" t="s">
        <v>3986</v>
      </c>
      <c r="E676" s="4" t="n">
        <v>3</v>
      </c>
      <c r="F676" s="4" t="s">
        <v>213</v>
      </c>
      <c r="G676" s="4" t="s">
        <v>1678</v>
      </c>
      <c r="H676" s="4" t="n">
        <v>1921</v>
      </c>
      <c r="I676" s="4" t="s">
        <v>1270</v>
      </c>
      <c r="J676" s="25" t="str">
        <f aca="false">IF(M676=1,"✓","")</f>
        <v/>
      </c>
      <c r="K676" s="4" t="str">
        <f aca="false">IF(AND(M676=0,P676=0),"▶ NEXT","")</f>
        <v/>
      </c>
      <c r="L676" s="4" t="n">
        <f aca="false">INDEX('Master List'!$F$2:$F$2594,O676)</f>
        <v>1</v>
      </c>
      <c r="M676" s="4" t="n">
        <f aca="false">INDEX('Master List'!$G$2:$G$2594,O676)</f>
        <v>0</v>
      </c>
      <c r="N676" s="4" t="str">
        <f aca="false">IF(K676="","",A676)</f>
        <v/>
      </c>
      <c r="O676" s="4" t="n">
        <v>1751</v>
      </c>
      <c r="P676" s="4" t="n">
        <f aca="false">IF(A676=A675,P675+1-M675,0)</f>
        <v>1</v>
      </c>
    </row>
    <row r="677" customFormat="false" ht="15" hidden="false" customHeight="false" outlineLevel="0" collapsed="false">
      <c r="A677" s="28" t="s">
        <v>3985</v>
      </c>
      <c r="B677" s="28" t="s">
        <v>51</v>
      </c>
      <c r="C677" s="28" t="s">
        <v>80</v>
      </c>
      <c r="D677" s="28" t="s">
        <v>3986</v>
      </c>
      <c r="E677" s="4" t="n">
        <v>4</v>
      </c>
      <c r="F677" s="4" t="s">
        <v>213</v>
      </c>
      <c r="G677" s="4" t="s">
        <v>1728</v>
      </c>
      <c r="H677" s="4" t="n">
        <v>1932</v>
      </c>
      <c r="I677" s="4" t="s">
        <v>246</v>
      </c>
      <c r="J677" s="25" t="str">
        <f aca="false">IF(M677=1,"✓","")</f>
        <v/>
      </c>
      <c r="K677" s="4" t="str">
        <f aca="false">IF(AND(M677=0,P677=0),"▶ NEXT","")</f>
        <v/>
      </c>
      <c r="L677" s="4" t="n">
        <f aca="false">INDEX('Master List'!$F$2:$F$2594,O677)</f>
        <v>1</v>
      </c>
      <c r="M677" s="4" t="n">
        <f aca="false">INDEX('Master List'!$G$2:$G$2594,O677)</f>
        <v>0</v>
      </c>
      <c r="N677" s="4" t="str">
        <f aca="false">IF(K677="","",A677)</f>
        <v/>
      </c>
      <c r="O677" s="4" t="n">
        <v>2420</v>
      </c>
      <c r="P677" s="4" t="n">
        <f aca="false">IF(A677=A676,P676+1-M676,0)</f>
        <v>2</v>
      </c>
    </row>
    <row r="678" customFormat="false" ht="15" hidden="false" customHeight="false" outlineLevel="0" collapsed="false">
      <c r="A678" s="28" t="s">
        <v>3985</v>
      </c>
      <c r="B678" s="28" t="s">
        <v>51</v>
      </c>
      <c r="C678" s="28" t="s">
        <v>80</v>
      </c>
      <c r="D678" s="28" t="s">
        <v>3986</v>
      </c>
      <c r="E678" s="4" t="n">
        <v>5</v>
      </c>
      <c r="F678" s="4" t="s">
        <v>213</v>
      </c>
      <c r="G678" s="4" t="s">
        <v>1312</v>
      </c>
      <c r="H678" s="4" t="n">
        <v>1943</v>
      </c>
      <c r="I678" s="4" t="s">
        <v>246</v>
      </c>
      <c r="J678" s="25" t="str">
        <f aca="false">IF(M678=1,"✓","")</f>
        <v/>
      </c>
      <c r="K678" s="4" t="str">
        <f aca="false">IF(AND(M678=0,P678=0),"▶ NEXT","")</f>
        <v/>
      </c>
      <c r="L678" s="4" t="n">
        <f aca="false">INDEX('Master List'!$F$2:$F$2594,O678)</f>
        <v>2</v>
      </c>
      <c r="M678" s="4" t="n">
        <f aca="false">INDEX('Master List'!$G$2:$G$2594,O678)</f>
        <v>0</v>
      </c>
      <c r="N678" s="4" t="str">
        <f aca="false">IF(K678="","",A678)</f>
        <v/>
      </c>
      <c r="O678" s="4" t="n">
        <v>576</v>
      </c>
      <c r="P678" s="4" t="n">
        <f aca="false">IF(A678=A677,P677+1-M677,0)</f>
        <v>3</v>
      </c>
    </row>
    <row r="679" customFormat="false" ht="15" hidden="false" customHeight="false" outlineLevel="0" collapsed="false">
      <c r="A679" s="28" t="s">
        <v>3985</v>
      </c>
      <c r="B679" s="28" t="s">
        <v>51</v>
      </c>
      <c r="C679" s="28" t="s">
        <v>80</v>
      </c>
      <c r="D679" s="28" t="s">
        <v>3986</v>
      </c>
      <c r="E679" s="4" t="n">
        <v>6</v>
      </c>
      <c r="F679" s="4" t="s">
        <v>213</v>
      </c>
      <c r="G679" s="4" t="s">
        <v>385</v>
      </c>
      <c r="H679" s="4" t="n">
        <v>1955</v>
      </c>
      <c r="I679" s="4" t="s">
        <v>246</v>
      </c>
      <c r="J679" s="25" t="str">
        <f aca="false">IF(M679=1,"✓","")</f>
        <v/>
      </c>
      <c r="K679" s="4" t="str">
        <f aca="false">IF(AND(M679=0,P679=0),"▶ NEXT","")</f>
        <v/>
      </c>
      <c r="L679" s="4" t="n">
        <f aca="false">INDEX('Master List'!$F$2:$F$2594,O679)</f>
        <v>4</v>
      </c>
      <c r="M679" s="4" t="n">
        <f aca="false">INDEX('Master List'!$G$2:$G$2594,O679)</f>
        <v>0</v>
      </c>
      <c r="N679" s="4" t="str">
        <f aca="false">IF(K679="","",A679)</f>
        <v/>
      </c>
      <c r="O679" s="4" t="n">
        <v>1690</v>
      </c>
      <c r="P679" s="4" t="n">
        <f aca="false">IF(A679=A678,P678+1-M678,0)</f>
        <v>4</v>
      </c>
    </row>
    <row r="680" customFormat="false" ht="15" hidden="false" customHeight="false" outlineLevel="0" collapsed="false">
      <c r="A680" s="28" t="s">
        <v>3985</v>
      </c>
      <c r="B680" s="28" t="s">
        <v>51</v>
      </c>
      <c r="C680" s="28" t="s">
        <v>80</v>
      </c>
      <c r="D680" s="28" t="s">
        <v>3986</v>
      </c>
      <c r="E680" s="4" t="n">
        <v>7</v>
      </c>
      <c r="F680" s="4" t="s">
        <v>213</v>
      </c>
      <c r="G680" s="4" t="s">
        <v>169</v>
      </c>
      <c r="H680" s="4" t="n">
        <v>1957</v>
      </c>
      <c r="I680" s="4" t="s">
        <v>170</v>
      </c>
      <c r="J680" s="25" t="str">
        <f aca="false">IF(M680=1,"✓","")</f>
        <v/>
      </c>
      <c r="K680" s="4" t="str">
        <f aca="false">IF(AND(M680=0,P680=0),"▶ NEXT","")</f>
        <v/>
      </c>
      <c r="L680" s="4" t="n">
        <f aca="false">INDEX('Master List'!$F$2:$F$2594,O680)</f>
        <v>8</v>
      </c>
      <c r="M680" s="4" t="n">
        <f aca="false">INDEX('Master List'!$G$2:$G$2594,O680)</f>
        <v>0</v>
      </c>
      <c r="N680" s="4" t="str">
        <f aca="false">IF(K680="","",A680)</f>
        <v/>
      </c>
      <c r="O680" s="4" t="n">
        <v>2516</v>
      </c>
      <c r="P680" s="4" t="n">
        <f aca="false">IF(A680=A679,P679+1-M679,0)</f>
        <v>5</v>
      </c>
    </row>
    <row r="681" customFormat="false" ht="15" hidden="false" customHeight="false" outlineLevel="0" collapsed="false">
      <c r="A681" s="28" t="s">
        <v>3985</v>
      </c>
      <c r="B681" s="28" t="s">
        <v>51</v>
      </c>
      <c r="C681" s="28" t="s">
        <v>80</v>
      </c>
      <c r="D681" s="28" t="s">
        <v>3986</v>
      </c>
      <c r="E681" s="4" t="n">
        <v>8</v>
      </c>
      <c r="F681" s="4" t="s">
        <v>213</v>
      </c>
      <c r="G681" s="4" t="s">
        <v>191</v>
      </c>
      <c r="H681" s="4" t="n">
        <v>1966</v>
      </c>
      <c r="I681" s="4" t="s">
        <v>170</v>
      </c>
      <c r="J681" s="25" t="str">
        <f aca="false">IF(M681=1,"✓","")</f>
        <v/>
      </c>
      <c r="K681" s="4" t="str">
        <f aca="false">IF(AND(M681=0,P681=0),"▶ NEXT","")</f>
        <v/>
      </c>
      <c r="L681" s="4" t="n">
        <f aca="false">INDEX('Master List'!$F$2:$F$2594,O681)</f>
        <v>7</v>
      </c>
      <c r="M681" s="4" t="n">
        <f aca="false">INDEX('Master List'!$G$2:$G$2594,O681)</f>
        <v>0</v>
      </c>
      <c r="N681" s="4" t="str">
        <f aca="false">IF(K681="","",A681)</f>
        <v/>
      </c>
      <c r="O681" s="4" t="n">
        <v>1749</v>
      </c>
      <c r="P681" s="4" t="n">
        <f aca="false">IF(A681=A680,P680+1-M680,0)</f>
        <v>6</v>
      </c>
    </row>
    <row r="682" customFormat="false" ht="15" hidden="false" customHeight="false" outlineLevel="0" collapsed="false">
      <c r="A682" s="28" t="s">
        <v>3985</v>
      </c>
      <c r="B682" s="28" t="s">
        <v>51</v>
      </c>
      <c r="C682" s="28" t="s">
        <v>80</v>
      </c>
      <c r="D682" s="28" t="s">
        <v>3986</v>
      </c>
      <c r="E682" s="4" t="n">
        <v>9</v>
      </c>
      <c r="F682" s="4" t="s">
        <v>213</v>
      </c>
      <c r="G682" s="4" t="s">
        <v>2046</v>
      </c>
      <c r="H682" s="4" t="n">
        <v>1964</v>
      </c>
      <c r="I682" s="4" t="s">
        <v>246</v>
      </c>
      <c r="J682" s="25" t="str">
        <f aca="false">IF(M682=1,"✓","")</f>
        <v/>
      </c>
      <c r="K682" s="4" t="str">
        <f aca="false">IF(AND(M682=0,P682=0),"▶ NEXT","")</f>
        <v/>
      </c>
      <c r="L682" s="4" t="n">
        <f aca="false">INDEX('Master List'!$F$2:$F$2594,O682)</f>
        <v>1</v>
      </c>
      <c r="M682" s="4" t="n">
        <f aca="false">INDEX('Master List'!$G$2:$G$2594,O682)</f>
        <v>0</v>
      </c>
      <c r="N682" s="4" t="str">
        <f aca="false">IF(K682="","",A682)</f>
        <v/>
      </c>
      <c r="O682" s="4" t="n">
        <v>887</v>
      </c>
      <c r="P682" s="4" t="n">
        <f aca="false">IF(A682=A681,P681+1-M681,0)</f>
        <v>7</v>
      </c>
    </row>
    <row r="683" customFormat="false" ht="15" hidden="false" customHeight="false" outlineLevel="0" collapsed="false">
      <c r="A683" s="28" t="s">
        <v>3985</v>
      </c>
      <c r="B683" s="28" t="s">
        <v>51</v>
      </c>
      <c r="C683" s="28" t="s">
        <v>80</v>
      </c>
      <c r="D683" s="28" t="s">
        <v>3986</v>
      </c>
      <c r="E683" s="4" t="n">
        <v>10</v>
      </c>
      <c r="F683" s="4" t="s">
        <v>1327</v>
      </c>
      <c r="G683" s="4" t="s">
        <v>1296</v>
      </c>
      <c r="H683" s="4" t="n">
        <v>1922</v>
      </c>
      <c r="I683" s="4" t="s">
        <v>1297</v>
      </c>
      <c r="J683" s="25" t="str">
        <f aca="false">IF(M683=1,"✓","")</f>
        <v/>
      </c>
      <c r="K683" s="4" t="str">
        <f aca="false">IF(AND(M683=0,P683=0),"▶ NEXT","")</f>
        <v/>
      </c>
      <c r="L683" s="4" t="n">
        <f aca="false">INDEX('Master List'!$F$2:$F$2594,O683)</f>
        <v>2</v>
      </c>
      <c r="M683" s="4" t="n">
        <f aca="false">INDEX('Master List'!$G$2:$G$2594,O683)</f>
        <v>0</v>
      </c>
      <c r="N683" s="4" t="str">
        <f aca="false">IF(K683="","",A683)</f>
        <v/>
      </c>
      <c r="O683" s="4" t="n">
        <v>1004</v>
      </c>
      <c r="P683" s="4" t="n">
        <f aca="false">IF(A683=A682,P682+1-M682,0)</f>
        <v>8</v>
      </c>
    </row>
    <row r="684" customFormat="false" ht="15" hidden="false" customHeight="false" outlineLevel="0" collapsed="false">
      <c r="A684" s="28" t="s">
        <v>3985</v>
      </c>
      <c r="B684" s="28" t="s">
        <v>51</v>
      </c>
      <c r="C684" s="28" t="s">
        <v>80</v>
      </c>
      <c r="D684" s="28" t="s">
        <v>3986</v>
      </c>
      <c r="E684" s="4" t="n">
        <v>11</v>
      </c>
      <c r="F684" s="4" t="s">
        <v>1327</v>
      </c>
      <c r="G684" s="4" t="s">
        <v>3485</v>
      </c>
      <c r="H684" s="4" t="n">
        <v>1971</v>
      </c>
      <c r="I684" s="4" t="s">
        <v>3486</v>
      </c>
      <c r="J684" s="25" t="str">
        <f aca="false">IF(M684=1,"✓","")</f>
        <v/>
      </c>
      <c r="K684" s="4" t="str">
        <f aca="false">IF(AND(M684=0,P684=0),"▶ NEXT","")</f>
        <v/>
      </c>
      <c r="L684" s="4" t="n">
        <f aca="false">INDEX('Master List'!$F$2:$F$2594,O684)</f>
        <v>1</v>
      </c>
      <c r="M684" s="4" t="n">
        <f aca="false">INDEX('Master List'!$G$2:$G$2594,O684)</f>
        <v>0</v>
      </c>
      <c r="N684" s="4" t="str">
        <f aca="false">IF(K684="","",A684)</f>
        <v/>
      </c>
      <c r="O684" s="4" t="n">
        <v>723</v>
      </c>
      <c r="P684" s="4" t="n">
        <f aca="false">IF(A684=A683,P683+1-M683,0)</f>
        <v>9</v>
      </c>
    </row>
    <row r="685" customFormat="false" ht="15" hidden="false" customHeight="false" outlineLevel="0" collapsed="false">
      <c r="A685" s="28" t="s">
        <v>3987</v>
      </c>
      <c r="B685" s="28" t="s">
        <v>51</v>
      </c>
      <c r="C685" s="28" t="s">
        <v>80</v>
      </c>
      <c r="D685" s="28" t="s">
        <v>3988</v>
      </c>
      <c r="E685" s="4" t="n">
        <v>1</v>
      </c>
      <c r="F685" s="4" t="s">
        <v>144</v>
      </c>
      <c r="G685" s="7" t="s">
        <v>842</v>
      </c>
      <c r="H685" s="4" t="n">
        <v>1998</v>
      </c>
      <c r="I685" s="4" t="s">
        <v>843</v>
      </c>
      <c r="J685" s="25" t="str">
        <f aca="false">IF(M685=1,"✓","")</f>
        <v/>
      </c>
      <c r="K685" s="4" t="str">
        <f aca="false">IF(AND(M685=0,P685=0),"▶ NEXT","")</f>
        <v>▶ NEXT</v>
      </c>
      <c r="L685" s="4" t="n">
        <f aca="false">INDEX('Master List'!$F$2:$F$2594,O685)</f>
        <v>2</v>
      </c>
      <c r="M685" s="4" t="n">
        <f aca="false">INDEX('Master List'!$G$2:$G$2594,O685)</f>
        <v>0</v>
      </c>
      <c r="N685" s="4" t="str">
        <f aca="false">IF(K685="","",A685)</f>
        <v>N057</v>
      </c>
      <c r="O685" s="4" t="n">
        <v>416</v>
      </c>
      <c r="P685" s="4" t="n">
        <f aca="false">IF(A685=A684,P684+1-M684,0)</f>
        <v>0</v>
      </c>
    </row>
    <row r="686" customFormat="false" ht="15" hidden="false" customHeight="false" outlineLevel="0" collapsed="false">
      <c r="A686" s="28" t="s">
        <v>3987</v>
      </c>
      <c r="B686" s="28" t="s">
        <v>51</v>
      </c>
      <c r="C686" s="28" t="s">
        <v>80</v>
      </c>
      <c r="D686" s="28" t="s">
        <v>3988</v>
      </c>
      <c r="E686" s="4" t="n">
        <v>2</v>
      </c>
      <c r="F686" s="4" t="s">
        <v>144</v>
      </c>
      <c r="G686" s="7" t="s">
        <v>1570</v>
      </c>
      <c r="H686" s="4" t="n">
        <v>1998</v>
      </c>
      <c r="I686" s="4" t="s">
        <v>1135</v>
      </c>
      <c r="J686" s="25" t="str">
        <f aca="false">IF(M686=1,"✓","")</f>
        <v/>
      </c>
      <c r="K686" s="4" t="str">
        <f aca="false">IF(AND(M686=0,P686=0),"▶ NEXT","")</f>
        <v/>
      </c>
      <c r="L686" s="4" t="n">
        <f aca="false">INDEX('Master List'!$F$2:$F$2594,O686)</f>
        <v>1</v>
      </c>
      <c r="M686" s="4" t="n">
        <f aca="false">INDEX('Master List'!$G$2:$G$2594,O686)</f>
        <v>0</v>
      </c>
      <c r="N686" s="4" t="str">
        <f aca="false">IF(K686="","",A686)</f>
        <v/>
      </c>
      <c r="O686" s="4" t="n">
        <v>1115</v>
      </c>
      <c r="P686" s="4" t="n">
        <f aca="false">IF(A686=A685,P685+1-M685,0)</f>
        <v>1</v>
      </c>
    </row>
    <row r="687" customFormat="false" ht="15" hidden="false" customHeight="false" outlineLevel="0" collapsed="false">
      <c r="A687" s="28" t="s">
        <v>3987</v>
      </c>
      <c r="B687" s="28" t="s">
        <v>51</v>
      </c>
      <c r="C687" s="28" t="s">
        <v>80</v>
      </c>
      <c r="D687" s="28" t="s">
        <v>3988</v>
      </c>
      <c r="E687" s="4" t="n">
        <v>3</v>
      </c>
      <c r="F687" s="4" t="s">
        <v>213</v>
      </c>
      <c r="G687" s="4" t="s">
        <v>2630</v>
      </c>
      <c r="H687" s="4" t="n">
        <v>1996</v>
      </c>
      <c r="I687" s="4" t="s">
        <v>1135</v>
      </c>
      <c r="J687" s="25" t="str">
        <f aca="false">IF(M687=1,"✓","")</f>
        <v/>
      </c>
      <c r="K687" s="4" t="str">
        <f aca="false">IF(AND(M687=0,P687=0),"▶ NEXT","")</f>
        <v/>
      </c>
      <c r="L687" s="4" t="n">
        <f aca="false">INDEX('Master List'!$F$2:$F$2594,O687)</f>
        <v>1</v>
      </c>
      <c r="M687" s="4" t="n">
        <f aca="false">INDEX('Master List'!$G$2:$G$2594,O687)</f>
        <v>0</v>
      </c>
      <c r="N687" s="4" t="str">
        <f aca="false">IF(K687="","",A687)</f>
        <v/>
      </c>
      <c r="O687" s="4" t="n">
        <v>341</v>
      </c>
      <c r="P687" s="4" t="n">
        <f aca="false">IF(A687=A686,P686+1-M686,0)</f>
        <v>2</v>
      </c>
    </row>
    <row r="688" customFormat="false" ht="15" hidden="false" customHeight="false" outlineLevel="0" collapsed="false">
      <c r="A688" s="28" t="s">
        <v>3987</v>
      </c>
      <c r="B688" s="28" t="s">
        <v>51</v>
      </c>
      <c r="C688" s="28" t="s">
        <v>80</v>
      </c>
      <c r="D688" s="28" t="s">
        <v>3988</v>
      </c>
      <c r="E688" s="4" t="n">
        <v>4</v>
      </c>
      <c r="F688" s="4" t="s">
        <v>213</v>
      </c>
      <c r="G688" s="4" t="s">
        <v>2695</v>
      </c>
      <c r="H688" s="4" t="n">
        <v>1999</v>
      </c>
      <c r="I688" s="4" t="s">
        <v>2696</v>
      </c>
      <c r="J688" s="25" t="str">
        <f aca="false">IF(M688=1,"✓","")</f>
        <v/>
      </c>
      <c r="K688" s="4" t="str">
        <f aca="false">IF(AND(M688=0,P688=0),"▶ NEXT","")</f>
        <v/>
      </c>
      <c r="L688" s="4" t="n">
        <f aca="false">INDEX('Master List'!$F$2:$F$2594,O688)</f>
        <v>1</v>
      </c>
      <c r="M688" s="4" t="n">
        <f aca="false">INDEX('Master List'!$G$2:$G$2594,O688)</f>
        <v>0</v>
      </c>
      <c r="N688" s="4" t="str">
        <f aca="false">IF(K688="","",A688)</f>
        <v/>
      </c>
      <c r="O688" s="4" t="n">
        <v>1496</v>
      </c>
      <c r="P688" s="4" t="n">
        <f aca="false">IF(A688=A687,P687+1-M687,0)</f>
        <v>3</v>
      </c>
    </row>
    <row r="689" customFormat="false" ht="15" hidden="false" customHeight="false" outlineLevel="0" collapsed="false">
      <c r="A689" s="28" t="s">
        <v>3987</v>
      </c>
      <c r="B689" s="28" t="s">
        <v>51</v>
      </c>
      <c r="C689" s="28" t="s">
        <v>80</v>
      </c>
      <c r="D689" s="28" t="s">
        <v>3988</v>
      </c>
      <c r="E689" s="4" t="n">
        <v>5</v>
      </c>
      <c r="F689" s="4" t="s">
        <v>213</v>
      </c>
      <c r="G689" s="4" t="s">
        <v>2715</v>
      </c>
      <c r="H689" s="4" t="n">
        <v>2000</v>
      </c>
      <c r="I689" s="4" t="s">
        <v>2716</v>
      </c>
      <c r="J689" s="25" t="str">
        <f aca="false">IF(M689=1,"✓","")</f>
        <v/>
      </c>
      <c r="K689" s="4" t="str">
        <f aca="false">IF(AND(M689=0,P689=0),"▶ NEXT","")</f>
        <v/>
      </c>
      <c r="L689" s="4" t="n">
        <f aca="false">INDEX('Master List'!$F$2:$F$2594,O689)</f>
        <v>1</v>
      </c>
      <c r="M689" s="4" t="n">
        <f aca="false">INDEX('Master List'!$G$2:$G$2594,O689)</f>
        <v>0</v>
      </c>
      <c r="N689" s="4" t="str">
        <f aca="false">IF(K689="","",A689)</f>
        <v/>
      </c>
      <c r="O689" s="4" t="n">
        <v>1183</v>
      </c>
      <c r="P689" s="4" t="n">
        <f aca="false">IF(A689=A688,P688+1-M688,0)</f>
        <v>4</v>
      </c>
    </row>
    <row r="690" customFormat="false" ht="15" hidden="false" customHeight="false" outlineLevel="0" collapsed="false">
      <c r="A690" s="28" t="s">
        <v>3987</v>
      </c>
      <c r="B690" s="28" t="s">
        <v>51</v>
      </c>
      <c r="C690" s="28" t="s">
        <v>80</v>
      </c>
      <c r="D690" s="28" t="s">
        <v>3988</v>
      </c>
      <c r="E690" s="4" t="n">
        <v>6</v>
      </c>
      <c r="F690" s="4" t="s">
        <v>213</v>
      </c>
      <c r="G690" s="4" t="s">
        <v>2697</v>
      </c>
      <c r="H690" s="4" t="n">
        <v>1999</v>
      </c>
      <c r="I690" s="4" t="s">
        <v>2698</v>
      </c>
      <c r="J690" s="25" t="str">
        <f aca="false">IF(M690=1,"✓","")</f>
        <v/>
      </c>
      <c r="K690" s="4" t="str">
        <f aca="false">IF(AND(M690=0,P690=0),"▶ NEXT","")</f>
        <v/>
      </c>
      <c r="L690" s="4" t="n">
        <f aca="false">INDEX('Master List'!$F$2:$F$2594,O690)</f>
        <v>1</v>
      </c>
      <c r="M690" s="4" t="n">
        <f aca="false">INDEX('Master List'!$G$2:$G$2594,O690)</f>
        <v>0</v>
      </c>
      <c r="N690" s="4" t="str">
        <f aca="false">IF(K690="","",A690)</f>
        <v/>
      </c>
      <c r="O690" s="4" t="n">
        <v>1224</v>
      </c>
      <c r="P690" s="4" t="n">
        <f aca="false">IF(A690=A689,P689+1-M689,0)</f>
        <v>5</v>
      </c>
    </row>
    <row r="691" customFormat="false" ht="15" hidden="false" customHeight="false" outlineLevel="0" collapsed="false">
      <c r="A691" s="28" t="s">
        <v>3987</v>
      </c>
      <c r="B691" s="28" t="s">
        <v>51</v>
      </c>
      <c r="C691" s="28" t="s">
        <v>80</v>
      </c>
      <c r="D691" s="28" t="s">
        <v>3988</v>
      </c>
      <c r="E691" s="4" t="n">
        <v>7</v>
      </c>
      <c r="F691" s="4" t="s">
        <v>213</v>
      </c>
      <c r="G691" s="4" t="s">
        <v>1134</v>
      </c>
      <c r="H691" s="4" t="n">
        <v>2000</v>
      </c>
      <c r="I691" s="4" t="s">
        <v>1135</v>
      </c>
      <c r="J691" s="25" t="str">
        <f aca="false">IF(M691=1,"✓","")</f>
        <v/>
      </c>
      <c r="K691" s="4" t="str">
        <f aca="false">IF(AND(M691=0,P691=0),"▶ NEXT","")</f>
        <v/>
      </c>
      <c r="L691" s="4" t="n">
        <f aca="false">INDEX('Master List'!$F$2:$F$2594,O691)</f>
        <v>2</v>
      </c>
      <c r="M691" s="4" t="n">
        <f aca="false">INDEX('Master List'!$G$2:$G$2594,O691)</f>
        <v>0</v>
      </c>
      <c r="N691" s="4" t="str">
        <f aca="false">IF(K691="","",A691)</f>
        <v/>
      </c>
      <c r="O691" s="4" t="n">
        <v>559</v>
      </c>
      <c r="P691" s="4" t="n">
        <f aca="false">IF(A691=A690,P690+1-M690,0)</f>
        <v>6</v>
      </c>
    </row>
    <row r="692" customFormat="false" ht="15" hidden="false" customHeight="false" outlineLevel="0" collapsed="false">
      <c r="A692" s="28" t="s">
        <v>3987</v>
      </c>
      <c r="B692" s="28" t="s">
        <v>51</v>
      </c>
      <c r="C692" s="28" t="s">
        <v>80</v>
      </c>
      <c r="D692" s="28" t="s">
        <v>3988</v>
      </c>
      <c r="E692" s="4" t="n">
        <v>8</v>
      </c>
      <c r="F692" s="4" t="s">
        <v>213</v>
      </c>
      <c r="G692" s="4" t="s">
        <v>2992</v>
      </c>
      <c r="H692" s="4" t="n">
        <v>2012</v>
      </c>
      <c r="I692" s="4" t="s">
        <v>843</v>
      </c>
      <c r="J692" s="25" t="str">
        <f aca="false">IF(M692=1,"✓","")</f>
        <v>✓</v>
      </c>
      <c r="K692" s="4" t="str">
        <f aca="false">IF(AND(M692=0,P692=0),"▶ NEXT","")</f>
        <v/>
      </c>
      <c r="L692" s="4" t="n">
        <f aca="false">INDEX('Master List'!$F$2:$F$2594,O692)</f>
        <v>1</v>
      </c>
      <c r="M692" s="4" t="n">
        <f aca="false">INDEX('Master List'!$G$2:$G$2594,O692)</f>
        <v>1</v>
      </c>
      <c r="N692" s="4" t="str">
        <f aca="false">IF(K692="","",A692)</f>
        <v/>
      </c>
      <c r="O692" s="4" t="n">
        <v>1088</v>
      </c>
      <c r="P692" s="4" t="n">
        <f aca="false">IF(A692=A691,P691+1-M691,0)</f>
        <v>7</v>
      </c>
    </row>
    <row r="693" customFormat="false" ht="15" hidden="false" customHeight="false" outlineLevel="0" collapsed="false">
      <c r="A693" s="28" t="s">
        <v>3987</v>
      </c>
      <c r="B693" s="28" t="s">
        <v>51</v>
      </c>
      <c r="C693" s="28" t="s">
        <v>80</v>
      </c>
      <c r="D693" s="28" t="s">
        <v>3988</v>
      </c>
      <c r="E693" s="4" t="n">
        <v>9</v>
      </c>
      <c r="F693" s="4" t="s">
        <v>213</v>
      </c>
      <c r="G693" s="4" t="s">
        <v>642</v>
      </c>
      <c r="H693" s="4" t="n">
        <v>2014</v>
      </c>
      <c r="I693" s="4" t="s">
        <v>643</v>
      </c>
      <c r="J693" s="25" t="str">
        <f aca="false">IF(M693=1,"✓","")</f>
        <v/>
      </c>
      <c r="K693" s="4" t="str">
        <f aca="false">IF(AND(M693=0,P693=0),"▶ NEXT","")</f>
        <v/>
      </c>
      <c r="L693" s="4" t="n">
        <f aca="false">INDEX('Master List'!$F$2:$F$2594,O693)</f>
        <v>3</v>
      </c>
      <c r="M693" s="4" t="n">
        <f aca="false">INDEX('Master List'!$G$2:$G$2594,O693)</f>
        <v>0</v>
      </c>
      <c r="N693" s="4" t="str">
        <f aca="false">IF(K693="","",A693)</f>
        <v/>
      </c>
      <c r="O693" s="4" t="n">
        <v>833</v>
      </c>
      <c r="P693" s="4" t="n">
        <f aca="false">IF(A693=A692,P692+1-M692,0)</f>
        <v>7</v>
      </c>
    </row>
    <row r="694" customFormat="false" ht="15" hidden="false" customHeight="false" outlineLevel="0" collapsed="false">
      <c r="A694" s="28" t="s">
        <v>3987</v>
      </c>
      <c r="B694" s="28" t="s">
        <v>51</v>
      </c>
      <c r="C694" s="28" t="s">
        <v>80</v>
      </c>
      <c r="D694" s="28" t="s">
        <v>3988</v>
      </c>
      <c r="E694" s="4" t="n">
        <v>10</v>
      </c>
      <c r="F694" s="4" t="s">
        <v>213</v>
      </c>
      <c r="G694" s="4" t="s">
        <v>3188</v>
      </c>
      <c r="H694" s="4" t="n">
        <v>2020</v>
      </c>
      <c r="I694" s="4" t="s">
        <v>843</v>
      </c>
      <c r="J694" s="25" t="str">
        <f aca="false">IF(M694=1,"✓","")</f>
        <v/>
      </c>
      <c r="K694" s="4" t="str">
        <f aca="false">IF(AND(M694=0,P694=0),"▶ NEXT","")</f>
        <v/>
      </c>
      <c r="L694" s="4" t="n">
        <f aca="false">INDEX('Master List'!$F$2:$F$2594,O694)</f>
        <v>1</v>
      </c>
      <c r="M694" s="4" t="n">
        <f aca="false">INDEX('Master List'!$G$2:$G$2594,O694)</f>
        <v>0</v>
      </c>
      <c r="N694" s="4" t="str">
        <f aca="false">IF(K694="","",A694)</f>
        <v/>
      </c>
      <c r="O694" s="4" t="n">
        <v>116</v>
      </c>
      <c r="P694" s="4" t="n">
        <f aca="false">IF(A694=A693,P693+1-M693,0)</f>
        <v>8</v>
      </c>
    </row>
    <row r="695" customFormat="false" ht="15" hidden="false" customHeight="false" outlineLevel="0" collapsed="false">
      <c r="A695" s="28" t="s">
        <v>3987</v>
      </c>
      <c r="B695" s="28" t="s">
        <v>51</v>
      </c>
      <c r="C695" s="28" t="s">
        <v>80</v>
      </c>
      <c r="D695" s="28" t="s">
        <v>3988</v>
      </c>
      <c r="E695" s="4" t="n">
        <v>11</v>
      </c>
      <c r="F695" s="4" t="s">
        <v>213</v>
      </c>
      <c r="G695" s="4" t="s">
        <v>3202</v>
      </c>
      <c r="H695" s="4" t="n">
        <v>2021</v>
      </c>
      <c r="I695" s="4" t="s">
        <v>3203</v>
      </c>
      <c r="J695" s="25" t="str">
        <f aca="false">IF(M695=1,"✓","")</f>
        <v/>
      </c>
      <c r="K695" s="4" t="str">
        <f aca="false">IF(AND(M695=0,P695=0),"▶ NEXT","")</f>
        <v/>
      </c>
      <c r="L695" s="4" t="n">
        <f aca="false">INDEX('Master List'!$F$2:$F$2594,O695)</f>
        <v>1</v>
      </c>
      <c r="M695" s="4" t="n">
        <f aca="false">INDEX('Master List'!$G$2:$G$2594,O695)</f>
        <v>0</v>
      </c>
      <c r="N695" s="4" t="str">
        <f aca="false">IF(K695="","",A695)</f>
        <v/>
      </c>
      <c r="O695" s="4" t="n">
        <v>2556</v>
      </c>
      <c r="P695" s="4" t="n">
        <f aca="false">IF(A695=A694,P694+1-M694,0)</f>
        <v>9</v>
      </c>
    </row>
    <row r="696" customFormat="false" ht="15" hidden="false" customHeight="false" outlineLevel="0" collapsed="false">
      <c r="A696" s="28" t="s">
        <v>3987</v>
      </c>
      <c r="B696" s="28" t="s">
        <v>51</v>
      </c>
      <c r="C696" s="28" t="s">
        <v>80</v>
      </c>
      <c r="D696" s="28" t="s">
        <v>3988</v>
      </c>
      <c r="E696" s="4" t="n">
        <v>12</v>
      </c>
      <c r="F696" s="4" t="s">
        <v>1327</v>
      </c>
      <c r="G696" s="4" t="s">
        <v>630</v>
      </c>
      <c r="H696" s="4" t="n">
        <v>2000</v>
      </c>
      <c r="I696" s="4" t="s">
        <v>631</v>
      </c>
      <c r="J696" s="25" t="str">
        <f aca="false">IF(M696=1,"✓","")</f>
        <v/>
      </c>
      <c r="K696" s="4" t="str">
        <f aca="false">IF(AND(M696=0,P696=0),"▶ NEXT","")</f>
        <v/>
      </c>
      <c r="L696" s="4" t="n">
        <f aca="false">INDEX('Master List'!$F$2:$F$2594,O696)</f>
        <v>3</v>
      </c>
      <c r="M696" s="4" t="n">
        <f aca="false">INDEX('Master List'!$G$2:$G$2594,O696)</f>
        <v>0</v>
      </c>
      <c r="N696" s="4" t="str">
        <f aca="false">IF(K696="","",A696)</f>
        <v/>
      </c>
      <c r="O696" s="4" t="n">
        <v>2113</v>
      </c>
      <c r="P696" s="4" t="n">
        <f aca="false">IF(A696=A695,P695+1-M695,0)</f>
        <v>10</v>
      </c>
    </row>
    <row r="697" customFormat="false" ht="15" hidden="false" customHeight="false" outlineLevel="0" collapsed="false">
      <c r="A697" s="28" t="s">
        <v>3987</v>
      </c>
      <c r="B697" s="28" t="s">
        <v>51</v>
      </c>
      <c r="C697" s="28" t="s">
        <v>80</v>
      </c>
      <c r="D697" s="28" t="s">
        <v>3988</v>
      </c>
      <c r="E697" s="4" t="n">
        <v>13</v>
      </c>
      <c r="F697" s="4" t="s">
        <v>1327</v>
      </c>
      <c r="G697" s="4" t="s">
        <v>1154</v>
      </c>
      <c r="H697" s="4" t="n">
        <v>2002</v>
      </c>
      <c r="I697" s="4" t="s">
        <v>1155</v>
      </c>
      <c r="J697" s="25" t="str">
        <f aca="false">IF(M697=1,"✓","")</f>
        <v/>
      </c>
      <c r="K697" s="4" t="str">
        <f aca="false">IF(AND(M697=0,P697=0),"▶ NEXT","")</f>
        <v/>
      </c>
      <c r="L697" s="4" t="n">
        <f aca="false">INDEX('Master List'!$F$2:$F$2594,O697)</f>
        <v>2</v>
      </c>
      <c r="M697" s="4" t="n">
        <f aca="false">INDEX('Master List'!$G$2:$G$2594,O697)</f>
        <v>0</v>
      </c>
      <c r="N697" s="4" t="str">
        <f aca="false">IF(K697="","",A697)</f>
        <v/>
      </c>
      <c r="O697" s="4" t="n">
        <v>1435</v>
      </c>
      <c r="P697" s="4" t="n">
        <f aca="false">IF(A697=A696,P696+1-M696,0)</f>
        <v>11</v>
      </c>
    </row>
    <row r="698" customFormat="false" ht="15" hidden="false" customHeight="false" outlineLevel="0" collapsed="false">
      <c r="A698" s="28" t="s">
        <v>3989</v>
      </c>
      <c r="B698" s="28" t="s">
        <v>51</v>
      </c>
      <c r="C698" s="28" t="s">
        <v>81</v>
      </c>
      <c r="D698" s="28" t="s">
        <v>3990</v>
      </c>
      <c r="E698" s="4" t="n">
        <v>1</v>
      </c>
      <c r="F698" s="4" t="s">
        <v>144</v>
      </c>
      <c r="G698" s="7" t="s">
        <v>750</v>
      </c>
      <c r="H698" s="4" t="n">
        <v>1957</v>
      </c>
      <c r="I698" s="4" t="s">
        <v>751</v>
      </c>
      <c r="J698" s="25" t="str">
        <f aca="false">IF(M698=1,"✓","")</f>
        <v/>
      </c>
      <c r="K698" s="4" t="str">
        <f aca="false">IF(AND(M698=0,P698=0),"▶ NEXT","")</f>
        <v>▶ NEXT</v>
      </c>
      <c r="L698" s="4" t="n">
        <f aca="false">INDEX('Master List'!$F$2:$F$2594,O698)</f>
        <v>2</v>
      </c>
      <c r="M698" s="4" t="n">
        <f aca="false">INDEX('Master List'!$G$2:$G$2594,O698)</f>
        <v>0</v>
      </c>
      <c r="N698" s="4" t="str">
        <f aca="false">IF(K698="","",A698)</f>
        <v>N058</v>
      </c>
      <c r="O698" s="4" t="n">
        <v>525</v>
      </c>
      <c r="P698" s="4" t="n">
        <f aca="false">IF(A698=A697,P697+1-M697,0)</f>
        <v>0</v>
      </c>
    </row>
    <row r="699" customFormat="false" ht="15" hidden="false" customHeight="false" outlineLevel="0" collapsed="false">
      <c r="A699" s="28" t="s">
        <v>3989</v>
      </c>
      <c r="B699" s="28" t="s">
        <v>51</v>
      </c>
      <c r="C699" s="28" t="s">
        <v>81</v>
      </c>
      <c r="D699" s="28" t="s">
        <v>3990</v>
      </c>
      <c r="E699" s="4" t="n">
        <v>2</v>
      </c>
      <c r="F699" s="4" t="s">
        <v>144</v>
      </c>
      <c r="G699" s="7" t="s">
        <v>436</v>
      </c>
      <c r="H699" s="4" t="n">
        <v>1985</v>
      </c>
      <c r="I699" s="4" t="s">
        <v>437</v>
      </c>
      <c r="J699" s="25" t="str">
        <f aca="false">IF(M699=1,"✓","")</f>
        <v/>
      </c>
      <c r="K699" s="4" t="str">
        <f aca="false">IF(AND(M699=0,P699=0),"▶ NEXT","")</f>
        <v/>
      </c>
      <c r="L699" s="4" t="n">
        <f aca="false">INDEX('Master List'!$F$2:$F$2594,O699)</f>
        <v>3</v>
      </c>
      <c r="M699" s="4" t="n">
        <f aca="false">INDEX('Master List'!$G$2:$G$2594,O699)</f>
        <v>0</v>
      </c>
      <c r="N699" s="4" t="str">
        <f aca="false">IF(K699="","",A699)</f>
        <v/>
      </c>
      <c r="O699" s="4" t="n">
        <v>502</v>
      </c>
      <c r="P699" s="4" t="n">
        <f aca="false">IF(A699=A698,P698+1-M698,0)</f>
        <v>1</v>
      </c>
    </row>
    <row r="700" customFormat="false" ht="15" hidden="false" customHeight="false" outlineLevel="0" collapsed="false">
      <c r="A700" s="28" t="s">
        <v>3989</v>
      </c>
      <c r="B700" s="28" t="s">
        <v>51</v>
      </c>
      <c r="C700" s="28" t="s">
        <v>81</v>
      </c>
      <c r="D700" s="28" t="s">
        <v>3990</v>
      </c>
      <c r="E700" s="4" t="n">
        <v>3</v>
      </c>
      <c r="F700" s="4" t="s">
        <v>213</v>
      </c>
      <c r="G700" s="4" t="s">
        <v>1959</v>
      </c>
      <c r="H700" s="4" t="n">
        <v>1959</v>
      </c>
      <c r="I700" s="4" t="s">
        <v>1960</v>
      </c>
      <c r="J700" s="25" t="str">
        <f aca="false">IF(M700=1,"✓","")</f>
        <v/>
      </c>
      <c r="K700" s="4" t="str">
        <f aca="false">IF(AND(M700=0,P700=0),"▶ NEXT","")</f>
        <v/>
      </c>
      <c r="L700" s="4" t="n">
        <f aca="false">INDEX('Master List'!$F$2:$F$2594,O700)</f>
        <v>1</v>
      </c>
      <c r="M700" s="4" t="n">
        <f aca="false">INDEX('Master List'!$G$2:$G$2594,O700)</f>
        <v>0</v>
      </c>
      <c r="N700" s="4" t="str">
        <f aca="false">IF(K700="","",A700)</f>
        <v/>
      </c>
      <c r="O700" s="4" t="n">
        <v>175</v>
      </c>
      <c r="P700" s="4" t="n">
        <f aca="false">IF(A700=A699,P699+1-M699,0)</f>
        <v>2</v>
      </c>
    </row>
    <row r="701" customFormat="false" ht="15" hidden="false" customHeight="false" outlineLevel="0" collapsed="false">
      <c r="A701" s="28" t="s">
        <v>3989</v>
      </c>
      <c r="B701" s="28" t="s">
        <v>51</v>
      </c>
      <c r="C701" s="28" t="s">
        <v>81</v>
      </c>
      <c r="D701" s="28" t="s">
        <v>3990</v>
      </c>
      <c r="E701" s="4" t="n">
        <v>4</v>
      </c>
      <c r="F701" s="4" t="s">
        <v>213</v>
      </c>
      <c r="G701" s="4" t="s">
        <v>768</v>
      </c>
      <c r="H701" s="4" t="n">
        <v>1962</v>
      </c>
      <c r="I701" s="4" t="s">
        <v>210</v>
      </c>
      <c r="J701" s="25" t="str">
        <f aca="false">IF(M701=1,"✓","")</f>
        <v/>
      </c>
      <c r="K701" s="4" t="str">
        <f aca="false">IF(AND(M701=0,P701=0),"▶ NEXT","")</f>
        <v/>
      </c>
      <c r="L701" s="4" t="n">
        <f aca="false">INDEX('Master List'!$F$2:$F$2594,O701)</f>
        <v>2</v>
      </c>
      <c r="M701" s="4" t="n">
        <f aca="false">INDEX('Master List'!$G$2:$G$2594,O701)</f>
        <v>0</v>
      </c>
      <c r="N701" s="4" t="str">
        <f aca="false">IF(K701="","",A701)</f>
        <v/>
      </c>
      <c r="O701" s="4" t="n">
        <v>1185</v>
      </c>
      <c r="P701" s="4" t="n">
        <f aca="false">IF(A701=A700,P700+1-M700,0)</f>
        <v>3</v>
      </c>
    </row>
    <row r="702" customFormat="false" ht="15" hidden="false" customHeight="false" outlineLevel="0" collapsed="false">
      <c r="A702" s="28" t="s">
        <v>3989</v>
      </c>
      <c r="B702" s="28" t="s">
        <v>51</v>
      </c>
      <c r="C702" s="28" t="s">
        <v>81</v>
      </c>
      <c r="D702" s="28" t="s">
        <v>3990</v>
      </c>
      <c r="E702" s="4" t="n">
        <v>5</v>
      </c>
      <c r="F702" s="4" t="s">
        <v>213</v>
      </c>
      <c r="G702" s="4" t="s">
        <v>972</v>
      </c>
      <c r="H702" s="4" t="n">
        <v>1964</v>
      </c>
      <c r="I702" s="4" t="s">
        <v>751</v>
      </c>
      <c r="J702" s="25" t="str">
        <f aca="false">IF(M702=1,"✓","")</f>
        <v/>
      </c>
      <c r="K702" s="4" t="str">
        <f aca="false">IF(AND(M702=0,P702=0),"▶ NEXT","")</f>
        <v/>
      </c>
      <c r="L702" s="4" t="n">
        <f aca="false">INDEX('Master List'!$F$2:$F$2594,O702)</f>
        <v>2</v>
      </c>
      <c r="M702" s="4" t="n">
        <f aca="false">INDEX('Master List'!$G$2:$G$2594,O702)</f>
        <v>0</v>
      </c>
      <c r="N702" s="4" t="str">
        <f aca="false">IF(K702="","",A702)</f>
        <v/>
      </c>
      <c r="O702" s="4" t="n">
        <v>1098</v>
      </c>
      <c r="P702" s="4" t="n">
        <f aca="false">IF(A702=A701,P701+1-M701,0)</f>
        <v>4</v>
      </c>
    </row>
    <row r="703" customFormat="false" ht="15" hidden="false" customHeight="false" outlineLevel="0" collapsed="false">
      <c r="A703" s="28" t="s">
        <v>3989</v>
      </c>
      <c r="B703" s="28" t="s">
        <v>51</v>
      </c>
      <c r="C703" s="28" t="s">
        <v>81</v>
      </c>
      <c r="D703" s="28" t="s">
        <v>3990</v>
      </c>
      <c r="E703" s="4" t="n">
        <v>6</v>
      </c>
      <c r="F703" s="4" t="s">
        <v>213</v>
      </c>
      <c r="G703" s="4" t="s">
        <v>468</v>
      </c>
      <c r="H703" s="4" t="n">
        <v>1966</v>
      </c>
      <c r="I703" s="4" t="s">
        <v>210</v>
      </c>
      <c r="J703" s="25" t="str">
        <f aca="false">IF(M703=1,"✓","")</f>
        <v/>
      </c>
      <c r="K703" s="4" t="str">
        <f aca="false">IF(AND(M703=0,P703=0),"▶ NEXT","")</f>
        <v/>
      </c>
      <c r="L703" s="4" t="n">
        <f aca="false">INDEX('Master List'!$F$2:$F$2594,O703)</f>
        <v>3</v>
      </c>
      <c r="M703" s="4" t="n">
        <f aca="false">INDEX('Master List'!$G$2:$G$2594,O703)</f>
        <v>0</v>
      </c>
      <c r="N703" s="4" t="str">
        <f aca="false">IF(K703="","",A703)</f>
        <v/>
      </c>
      <c r="O703" s="4" t="n">
        <v>102</v>
      </c>
      <c r="P703" s="4" t="n">
        <f aca="false">IF(A703=A702,P702+1-M702,0)</f>
        <v>5</v>
      </c>
    </row>
    <row r="704" customFormat="false" ht="15" hidden="false" customHeight="false" outlineLevel="0" collapsed="false">
      <c r="A704" s="28" t="s">
        <v>3989</v>
      </c>
      <c r="B704" s="28" t="s">
        <v>51</v>
      </c>
      <c r="C704" s="28" t="s">
        <v>81</v>
      </c>
      <c r="D704" s="28" t="s">
        <v>3990</v>
      </c>
      <c r="E704" s="4" t="n">
        <v>7</v>
      </c>
      <c r="F704" s="4" t="s">
        <v>213</v>
      </c>
      <c r="G704" s="4" t="s">
        <v>1034</v>
      </c>
      <c r="H704" s="4" t="n">
        <v>1977</v>
      </c>
      <c r="I704" s="4" t="s">
        <v>1035</v>
      </c>
      <c r="J704" s="25" t="str">
        <f aca="false">IF(M704=1,"✓","")</f>
        <v/>
      </c>
      <c r="K704" s="4" t="str">
        <f aca="false">IF(AND(M704=0,P704=0),"▶ NEXT","")</f>
        <v/>
      </c>
      <c r="L704" s="4" t="n">
        <f aca="false">INDEX('Master List'!$F$2:$F$2594,O704)</f>
        <v>2</v>
      </c>
      <c r="M704" s="4" t="n">
        <f aca="false">INDEX('Master List'!$G$2:$G$2594,O704)</f>
        <v>0</v>
      </c>
      <c r="N704" s="4" t="str">
        <f aca="false">IF(K704="","",A704)</f>
        <v/>
      </c>
      <c r="O704" s="4" t="n">
        <v>134</v>
      </c>
      <c r="P704" s="4" t="n">
        <f aca="false">IF(A704=A703,P703+1-M703,0)</f>
        <v>6</v>
      </c>
    </row>
    <row r="705" customFormat="false" ht="15" hidden="false" customHeight="false" outlineLevel="0" collapsed="false">
      <c r="A705" s="28" t="s">
        <v>3989</v>
      </c>
      <c r="B705" s="28" t="s">
        <v>51</v>
      </c>
      <c r="C705" s="28" t="s">
        <v>81</v>
      </c>
      <c r="D705" s="28" t="s">
        <v>3990</v>
      </c>
      <c r="E705" s="4" t="n">
        <v>8</v>
      </c>
      <c r="F705" s="4" t="s">
        <v>213</v>
      </c>
      <c r="G705" s="4" t="s">
        <v>209</v>
      </c>
      <c r="H705" s="4" t="n">
        <v>1979</v>
      </c>
      <c r="I705" s="4" t="s">
        <v>210</v>
      </c>
      <c r="J705" s="25" t="str">
        <f aca="false">IF(M705=1,"✓","")</f>
        <v>✓</v>
      </c>
      <c r="K705" s="4" t="str">
        <f aca="false">IF(AND(M705=0,P705=0),"▶ NEXT","")</f>
        <v/>
      </c>
      <c r="L705" s="4" t="n">
        <f aca="false">INDEX('Master List'!$F$2:$F$2594,O705)</f>
        <v>7</v>
      </c>
      <c r="M705" s="4" t="n">
        <f aca="false">INDEX('Master List'!$G$2:$G$2594,O705)</f>
        <v>1</v>
      </c>
      <c r="N705" s="4" t="str">
        <f aca="false">IF(K705="","",A705)</f>
        <v/>
      </c>
      <c r="O705" s="4" t="n">
        <v>2145</v>
      </c>
      <c r="P705" s="4" t="n">
        <f aca="false">IF(A705=A704,P704+1-M704,0)</f>
        <v>7</v>
      </c>
    </row>
    <row r="706" customFormat="false" ht="15" hidden="false" customHeight="false" outlineLevel="0" collapsed="false">
      <c r="A706" s="28" t="s">
        <v>3989</v>
      </c>
      <c r="B706" s="28" t="s">
        <v>51</v>
      </c>
      <c r="C706" s="28" t="s">
        <v>81</v>
      </c>
      <c r="D706" s="28" t="s">
        <v>3990</v>
      </c>
      <c r="E706" s="4" t="n">
        <v>9</v>
      </c>
      <c r="F706" s="4" t="s">
        <v>213</v>
      </c>
      <c r="G706" s="4" t="s">
        <v>2398</v>
      </c>
      <c r="H706" s="4" t="n">
        <v>1984</v>
      </c>
      <c r="I706" s="4" t="s">
        <v>2399</v>
      </c>
      <c r="J706" s="25" t="str">
        <f aca="false">IF(M706=1,"✓","")</f>
        <v/>
      </c>
      <c r="K706" s="4" t="str">
        <f aca="false">IF(AND(M706=0,P706=0),"▶ NEXT","")</f>
        <v/>
      </c>
      <c r="L706" s="4" t="n">
        <f aca="false">INDEX('Master List'!$F$2:$F$2594,O706)</f>
        <v>1</v>
      </c>
      <c r="M706" s="4" t="n">
        <f aca="false">INDEX('Master List'!$G$2:$G$2594,O706)</f>
        <v>0</v>
      </c>
      <c r="N706" s="4" t="str">
        <f aca="false">IF(K706="","",A706)</f>
        <v/>
      </c>
      <c r="O706" s="4" t="n">
        <v>1886</v>
      </c>
      <c r="P706" s="4" t="n">
        <f aca="false">IF(A706=A705,P705+1-M705,0)</f>
        <v>7</v>
      </c>
    </row>
    <row r="707" customFormat="false" ht="15" hidden="false" customHeight="false" outlineLevel="0" collapsed="false">
      <c r="A707" s="28" t="s">
        <v>3989</v>
      </c>
      <c r="B707" s="28" t="s">
        <v>51</v>
      </c>
      <c r="C707" s="28" t="s">
        <v>81</v>
      </c>
      <c r="D707" s="28" t="s">
        <v>3990</v>
      </c>
      <c r="E707" s="4" t="n">
        <v>10</v>
      </c>
      <c r="F707" s="4" t="s">
        <v>1327</v>
      </c>
      <c r="G707" s="4" t="s">
        <v>1689</v>
      </c>
      <c r="H707" s="4" t="n">
        <v>1966</v>
      </c>
      <c r="I707" s="4" t="s">
        <v>1035</v>
      </c>
      <c r="J707" s="25" t="str">
        <f aca="false">IF(M707=1,"✓","")</f>
        <v/>
      </c>
      <c r="K707" s="4" t="str">
        <f aca="false">IF(AND(M707=0,P707=0),"▶ NEXT","")</f>
        <v/>
      </c>
      <c r="L707" s="4" t="n">
        <f aca="false">INDEX('Master List'!$F$2:$F$2594,O707)</f>
        <v>1</v>
      </c>
      <c r="M707" s="4" t="n">
        <f aca="false">INDEX('Master List'!$G$2:$G$2594,O707)</f>
        <v>0</v>
      </c>
      <c r="N707" s="4" t="str">
        <f aca="false">IF(K707="","",A707)</f>
        <v/>
      </c>
      <c r="O707" s="4" t="n">
        <v>2526</v>
      </c>
      <c r="P707" s="4" t="n">
        <f aca="false">IF(A707=A706,P706+1-M706,0)</f>
        <v>8</v>
      </c>
    </row>
    <row r="708" customFormat="false" ht="15" hidden="false" customHeight="false" outlineLevel="0" collapsed="false">
      <c r="A708" s="28" t="s">
        <v>3989</v>
      </c>
      <c r="B708" s="28" t="s">
        <v>51</v>
      </c>
      <c r="C708" s="28" t="s">
        <v>81</v>
      </c>
      <c r="D708" s="28" t="s">
        <v>3990</v>
      </c>
      <c r="E708" s="4" t="n">
        <v>11</v>
      </c>
      <c r="F708" s="4" t="s">
        <v>1327</v>
      </c>
      <c r="G708" s="4" t="s">
        <v>3431</v>
      </c>
      <c r="H708" s="4" t="n">
        <v>1965</v>
      </c>
      <c r="I708" s="4" t="s">
        <v>1649</v>
      </c>
      <c r="J708" s="25" t="str">
        <f aca="false">IF(M708=1,"✓","")</f>
        <v/>
      </c>
      <c r="K708" s="4" t="str">
        <f aca="false">IF(AND(M708=0,P708=0),"▶ NEXT","")</f>
        <v/>
      </c>
      <c r="L708" s="4" t="n">
        <f aca="false">INDEX('Master List'!$F$2:$F$2594,O708)</f>
        <v>1</v>
      </c>
      <c r="M708" s="4" t="n">
        <f aca="false">INDEX('Master List'!$G$2:$G$2594,O708)</f>
        <v>0</v>
      </c>
      <c r="N708" s="4" t="str">
        <f aca="false">IF(K708="","",A708)</f>
        <v/>
      </c>
      <c r="O708" s="4" t="n">
        <v>2031</v>
      </c>
      <c r="P708" s="4" t="n">
        <f aca="false">IF(A708=A707,P707+1-M707,0)</f>
        <v>9</v>
      </c>
    </row>
    <row r="709" customFormat="false" ht="15" hidden="false" customHeight="false" outlineLevel="0" collapsed="false">
      <c r="A709" s="28" t="s">
        <v>3989</v>
      </c>
      <c r="B709" s="28" t="s">
        <v>51</v>
      </c>
      <c r="C709" s="28" t="s">
        <v>81</v>
      </c>
      <c r="D709" s="28" t="s">
        <v>3990</v>
      </c>
      <c r="E709" s="4" t="n">
        <v>12</v>
      </c>
      <c r="F709" s="4" t="s">
        <v>1327</v>
      </c>
      <c r="G709" s="4" t="s">
        <v>1648</v>
      </c>
      <c r="H709" s="4" t="n">
        <v>1969</v>
      </c>
      <c r="I709" s="4" t="s">
        <v>1649</v>
      </c>
      <c r="J709" s="25" t="str">
        <f aca="false">IF(M709=1,"✓","")</f>
        <v/>
      </c>
      <c r="K709" s="4" t="str">
        <f aca="false">IF(AND(M709=0,P709=0),"▶ NEXT","")</f>
        <v/>
      </c>
      <c r="L709" s="4" t="n">
        <f aca="false">INDEX('Master List'!$F$2:$F$2594,O709)</f>
        <v>2</v>
      </c>
      <c r="M709" s="4" t="n">
        <f aca="false">INDEX('Master List'!$G$2:$G$2594,O709)</f>
        <v>0</v>
      </c>
      <c r="N709" s="4" t="str">
        <f aca="false">IF(K709="","",A709)</f>
        <v/>
      </c>
      <c r="O709" s="4" t="n">
        <v>497</v>
      </c>
      <c r="P709" s="4" t="n">
        <f aca="false">IF(A709=A708,P708+1-M708,0)</f>
        <v>10</v>
      </c>
    </row>
    <row r="710" customFormat="false" ht="15" hidden="false" customHeight="false" outlineLevel="0" collapsed="false">
      <c r="A710" s="28" t="s">
        <v>3991</v>
      </c>
      <c r="B710" s="28" t="s">
        <v>51</v>
      </c>
      <c r="C710" s="28" t="s">
        <v>81</v>
      </c>
      <c r="D710" s="28" t="s">
        <v>3992</v>
      </c>
      <c r="E710" s="4" t="n">
        <v>1</v>
      </c>
      <c r="F710" s="4" t="s">
        <v>144</v>
      </c>
      <c r="G710" s="7" t="s">
        <v>1470</v>
      </c>
      <c r="H710" s="4" t="n">
        <v>1966</v>
      </c>
      <c r="I710" s="4" t="s">
        <v>1471</v>
      </c>
      <c r="J710" s="25" t="str">
        <f aca="false">IF(M710=1,"✓","")</f>
        <v/>
      </c>
      <c r="K710" s="4" t="str">
        <f aca="false">IF(AND(M710=0,P710=0),"▶ NEXT","")</f>
        <v>▶ NEXT</v>
      </c>
      <c r="L710" s="4" t="n">
        <f aca="false">INDEX('Master List'!$F$2:$F$2594,O710)</f>
        <v>1</v>
      </c>
      <c r="M710" s="4" t="n">
        <f aca="false">INDEX('Master List'!$G$2:$G$2594,O710)</f>
        <v>0</v>
      </c>
      <c r="N710" s="4" t="str">
        <f aca="false">IF(K710="","",A710)</f>
        <v>N059</v>
      </c>
      <c r="O710" s="4" t="n">
        <v>482</v>
      </c>
      <c r="P710" s="4" t="n">
        <f aca="false">IF(A710=A709,P709+1-M709,0)</f>
        <v>0</v>
      </c>
    </row>
    <row r="711" customFormat="false" ht="15" hidden="false" customHeight="false" outlineLevel="0" collapsed="false">
      <c r="A711" s="28" t="s">
        <v>3991</v>
      </c>
      <c r="B711" s="28" t="s">
        <v>51</v>
      </c>
      <c r="C711" s="28" t="s">
        <v>81</v>
      </c>
      <c r="D711" s="28" t="s">
        <v>3992</v>
      </c>
      <c r="E711" s="4" t="n">
        <v>2</v>
      </c>
      <c r="F711" s="4" t="s">
        <v>144</v>
      </c>
      <c r="G711" s="7" t="s">
        <v>227</v>
      </c>
      <c r="H711" s="4" t="n">
        <v>1966</v>
      </c>
      <c r="I711" s="4" t="s">
        <v>228</v>
      </c>
      <c r="J711" s="25" t="str">
        <f aca="false">IF(M711=1,"✓","")</f>
        <v/>
      </c>
      <c r="K711" s="4" t="str">
        <f aca="false">IF(AND(M711=0,P711=0),"▶ NEXT","")</f>
        <v/>
      </c>
      <c r="L711" s="4" t="n">
        <f aca="false">INDEX('Master List'!$F$2:$F$2594,O711)</f>
        <v>6</v>
      </c>
      <c r="M711" s="4" t="n">
        <f aca="false">INDEX('Master List'!$G$2:$G$2594,O711)</f>
        <v>0</v>
      </c>
      <c r="N711" s="4" t="str">
        <f aca="false">IF(K711="","",A711)</f>
        <v/>
      </c>
      <c r="O711" s="4" t="n">
        <v>554</v>
      </c>
      <c r="P711" s="4" t="n">
        <f aca="false">IF(A711=A710,P710+1-M710,0)</f>
        <v>1</v>
      </c>
    </row>
    <row r="712" customFormat="false" ht="15" hidden="false" customHeight="false" outlineLevel="0" collapsed="false">
      <c r="A712" s="28" t="s">
        <v>3991</v>
      </c>
      <c r="B712" s="28" t="s">
        <v>51</v>
      </c>
      <c r="C712" s="28" t="s">
        <v>81</v>
      </c>
      <c r="D712" s="28" t="s">
        <v>3992</v>
      </c>
      <c r="E712" s="4" t="n">
        <v>3</v>
      </c>
      <c r="F712" s="4" t="s">
        <v>213</v>
      </c>
      <c r="G712" s="4" t="s">
        <v>2059</v>
      </c>
      <c r="H712" s="4" t="n">
        <v>1965</v>
      </c>
      <c r="I712" s="4" t="s">
        <v>548</v>
      </c>
      <c r="J712" s="25" t="str">
        <f aca="false">IF(M712=1,"✓","")</f>
        <v/>
      </c>
      <c r="K712" s="4" t="str">
        <f aca="false">IF(AND(M712=0,P712=0),"▶ NEXT","")</f>
        <v/>
      </c>
      <c r="L712" s="4" t="n">
        <f aca="false">INDEX('Master List'!$F$2:$F$2594,O712)</f>
        <v>1</v>
      </c>
      <c r="M712" s="4" t="n">
        <f aca="false">INDEX('Master List'!$G$2:$G$2594,O712)</f>
        <v>0</v>
      </c>
      <c r="N712" s="4" t="str">
        <f aca="false">IF(K712="","",A712)</f>
        <v/>
      </c>
      <c r="O712" s="4" t="n">
        <v>1394</v>
      </c>
      <c r="P712" s="4" t="n">
        <f aca="false">IF(A712=A711,P711+1-M711,0)</f>
        <v>2</v>
      </c>
    </row>
    <row r="713" customFormat="false" ht="15" hidden="false" customHeight="false" outlineLevel="0" collapsed="false">
      <c r="A713" s="28" t="s">
        <v>3991</v>
      </c>
      <c r="B713" s="28" t="s">
        <v>51</v>
      </c>
      <c r="C713" s="28" t="s">
        <v>81</v>
      </c>
      <c r="D713" s="28" t="s">
        <v>3992</v>
      </c>
      <c r="E713" s="4" t="n">
        <v>4</v>
      </c>
      <c r="F713" s="4" t="s">
        <v>213</v>
      </c>
      <c r="G713" s="4" t="s">
        <v>2060</v>
      </c>
      <c r="H713" s="4" t="n">
        <v>1965</v>
      </c>
      <c r="I713" s="4" t="s">
        <v>2061</v>
      </c>
      <c r="J713" s="25" t="str">
        <f aca="false">IF(M713=1,"✓","")</f>
        <v/>
      </c>
      <c r="K713" s="4" t="str">
        <f aca="false">IF(AND(M713=0,P713=0),"▶ NEXT","")</f>
        <v/>
      </c>
      <c r="L713" s="4" t="n">
        <f aca="false">INDEX('Master List'!$F$2:$F$2594,O713)</f>
        <v>1</v>
      </c>
      <c r="M713" s="4" t="n">
        <f aca="false">INDEX('Master List'!$G$2:$G$2594,O713)</f>
        <v>0</v>
      </c>
      <c r="N713" s="4" t="str">
        <f aca="false">IF(K713="","",A713)</f>
        <v/>
      </c>
      <c r="O713" s="4" t="n">
        <v>2056</v>
      </c>
      <c r="P713" s="4" t="n">
        <f aca="false">IF(A713=A712,P712+1-M712,0)</f>
        <v>3</v>
      </c>
    </row>
    <row r="714" customFormat="false" ht="15" hidden="false" customHeight="false" outlineLevel="0" collapsed="false">
      <c r="A714" s="28" t="s">
        <v>3991</v>
      </c>
      <c r="B714" s="28" t="s">
        <v>51</v>
      </c>
      <c r="C714" s="28" t="s">
        <v>81</v>
      </c>
      <c r="D714" s="28" t="s">
        <v>3992</v>
      </c>
      <c r="E714" s="4" t="n">
        <v>5</v>
      </c>
      <c r="F714" s="4" t="s">
        <v>213</v>
      </c>
      <c r="G714" s="4" t="s">
        <v>2096</v>
      </c>
      <c r="H714" s="4" t="n">
        <v>1967</v>
      </c>
      <c r="I714" s="4" t="s">
        <v>548</v>
      </c>
      <c r="J714" s="25" t="str">
        <f aca="false">IF(M714=1,"✓","")</f>
        <v/>
      </c>
      <c r="K714" s="4" t="str">
        <f aca="false">IF(AND(M714=0,P714=0),"▶ NEXT","")</f>
        <v/>
      </c>
      <c r="L714" s="4" t="n">
        <f aca="false">INDEX('Master List'!$F$2:$F$2594,O714)</f>
        <v>1</v>
      </c>
      <c r="M714" s="4" t="n">
        <f aca="false">INDEX('Master List'!$G$2:$G$2594,O714)</f>
        <v>0</v>
      </c>
      <c r="N714" s="4" t="str">
        <f aca="false">IF(K714="","",A714)</f>
        <v/>
      </c>
      <c r="O714" s="4" t="n">
        <v>806</v>
      </c>
      <c r="P714" s="4" t="n">
        <f aca="false">IF(A714=A713,P713+1-M713,0)</f>
        <v>4</v>
      </c>
    </row>
    <row r="715" customFormat="false" ht="15" hidden="false" customHeight="false" outlineLevel="0" collapsed="false">
      <c r="A715" s="28" t="s">
        <v>3991</v>
      </c>
      <c r="B715" s="28" t="s">
        <v>51</v>
      </c>
      <c r="C715" s="28" t="s">
        <v>81</v>
      </c>
      <c r="D715" s="28" t="s">
        <v>3992</v>
      </c>
      <c r="E715" s="4" t="n">
        <v>6</v>
      </c>
      <c r="F715" s="4" t="s">
        <v>213</v>
      </c>
      <c r="G715" s="4" t="s">
        <v>989</v>
      </c>
      <c r="H715" s="4" t="n">
        <v>1967</v>
      </c>
      <c r="I715" s="4" t="s">
        <v>990</v>
      </c>
      <c r="J715" s="25" t="str">
        <f aca="false">IF(M715=1,"✓","")</f>
        <v/>
      </c>
      <c r="K715" s="4" t="str">
        <f aca="false">IF(AND(M715=0,P715=0),"▶ NEXT","")</f>
        <v/>
      </c>
      <c r="L715" s="4" t="n">
        <f aca="false">INDEX('Master List'!$F$2:$F$2594,O715)</f>
        <v>2</v>
      </c>
      <c r="M715" s="4" t="n">
        <f aca="false">INDEX('Master List'!$G$2:$G$2594,O715)</f>
        <v>0</v>
      </c>
      <c r="N715" s="4" t="str">
        <f aca="false">IF(K715="","",A715)</f>
        <v/>
      </c>
      <c r="O715" s="4" t="n">
        <v>1448</v>
      </c>
      <c r="P715" s="4" t="n">
        <f aca="false">IF(A715=A714,P714+1-M714,0)</f>
        <v>5</v>
      </c>
    </row>
    <row r="716" customFormat="false" ht="15" hidden="false" customHeight="false" outlineLevel="0" collapsed="false">
      <c r="A716" s="28" t="s">
        <v>3991</v>
      </c>
      <c r="B716" s="28" t="s">
        <v>51</v>
      </c>
      <c r="C716" s="28" t="s">
        <v>81</v>
      </c>
      <c r="D716" s="28" t="s">
        <v>3992</v>
      </c>
      <c r="E716" s="4" t="n">
        <v>7</v>
      </c>
      <c r="F716" s="4" t="s">
        <v>213</v>
      </c>
      <c r="G716" s="4" t="s">
        <v>780</v>
      </c>
      <c r="H716" s="4" t="n">
        <v>1969</v>
      </c>
      <c r="I716" s="4" t="s">
        <v>781</v>
      </c>
      <c r="J716" s="25" t="str">
        <f aca="false">IF(M716=1,"✓","")</f>
        <v/>
      </c>
      <c r="K716" s="4" t="str">
        <f aca="false">IF(AND(M716=0,P716=0),"▶ NEXT","")</f>
        <v/>
      </c>
      <c r="L716" s="4" t="n">
        <f aca="false">INDEX('Master List'!$F$2:$F$2594,O716)</f>
        <v>2</v>
      </c>
      <c r="M716" s="4" t="n">
        <f aca="false">INDEX('Master List'!$G$2:$G$2594,O716)</f>
        <v>0</v>
      </c>
      <c r="N716" s="4" t="str">
        <f aca="false">IF(K716="","",A716)</f>
        <v/>
      </c>
      <c r="O716" s="4" t="n">
        <v>533</v>
      </c>
      <c r="P716" s="4" t="n">
        <f aca="false">IF(A716=A715,P715+1-M715,0)</f>
        <v>6</v>
      </c>
    </row>
    <row r="717" customFormat="false" ht="15" hidden="false" customHeight="false" outlineLevel="0" collapsed="false">
      <c r="A717" s="28" t="s">
        <v>3991</v>
      </c>
      <c r="B717" s="28" t="s">
        <v>51</v>
      </c>
      <c r="C717" s="28" t="s">
        <v>81</v>
      </c>
      <c r="D717" s="28" t="s">
        <v>3992</v>
      </c>
      <c r="E717" s="4" t="n">
        <v>8</v>
      </c>
      <c r="F717" s="4" t="s">
        <v>213</v>
      </c>
      <c r="G717" s="4" t="s">
        <v>2153</v>
      </c>
      <c r="H717" s="4" t="n">
        <v>1970</v>
      </c>
      <c r="I717" s="4" t="s">
        <v>1340</v>
      </c>
      <c r="J717" s="25" t="str">
        <f aca="false">IF(M717=1,"✓","")</f>
        <v/>
      </c>
      <c r="K717" s="4" t="str">
        <f aca="false">IF(AND(M717=0,P717=0),"▶ NEXT","")</f>
        <v/>
      </c>
      <c r="L717" s="4" t="n">
        <f aca="false">INDEX('Master List'!$F$2:$F$2594,O717)</f>
        <v>1</v>
      </c>
      <c r="M717" s="4" t="n">
        <f aca="false">INDEX('Master List'!$G$2:$G$2594,O717)</f>
        <v>0</v>
      </c>
      <c r="N717" s="4" t="str">
        <f aca="false">IF(K717="","",A717)</f>
        <v/>
      </c>
      <c r="O717" s="4" t="n">
        <v>2418</v>
      </c>
      <c r="P717" s="4" t="n">
        <f aca="false">IF(A717=A716,P716+1-M716,0)</f>
        <v>7</v>
      </c>
    </row>
    <row r="718" customFormat="false" ht="15" hidden="false" customHeight="false" outlineLevel="0" collapsed="false">
      <c r="A718" s="28" t="s">
        <v>3991</v>
      </c>
      <c r="B718" s="28" t="s">
        <v>51</v>
      </c>
      <c r="C718" s="28" t="s">
        <v>81</v>
      </c>
      <c r="D718" s="28" t="s">
        <v>3992</v>
      </c>
      <c r="E718" s="4" t="n">
        <v>9</v>
      </c>
      <c r="F718" s="4" t="s">
        <v>1327</v>
      </c>
      <c r="G718" s="4" t="s">
        <v>1333</v>
      </c>
      <c r="H718" s="4" t="n">
        <v>1966</v>
      </c>
      <c r="I718" s="4" t="s">
        <v>980</v>
      </c>
      <c r="J718" s="25" t="str">
        <f aca="false">IF(M718=1,"✓","")</f>
        <v/>
      </c>
      <c r="K718" s="4" t="str">
        <f aca="false">IF(AND(M718=0,P718=0),"▶ NEXT","")</f>
        <v/>
      </c>
      <c r="L718" s="4" t="n">
        <f aca="false">INDEX('Master List'!$F$2:$F$2594,O718)</f>
        <v>2</v>
      </c>
      <c r="M718" s="4" t="n">
        <f aca="false">INDEX('Master List'!$G$2:$G$2594,O718)</f>
        <v>0</v>
      </c>
      <c r="N718" s="4" t="str">
        <f aca="false">IF(K718="","",A718)</f>
        <v/>
      </c>
      <c r="O718" s="4" t="n">
        <v>1888</v>
      </c>
      <c r="P718" s="4" t="n">
        <f aca="false">IF(A718=A717,P717+1-M717,0)</f>
        <v>8</v>
      </c>
    </row>
    <row r="719" customFormat="false" ht="15" hidden="false" customHeight="false" outlineLevel="0" collapsed="false">
      <c r="A719" s="28" t="s">
        <v>3991</v>
      </c>
      <c r="B719" s="28" t="s">
        <v>51</v>
      </c>
      <c r="C719" s="28" t="s">
        <v>81</v>
      </c>
      <c r="D719" s="28" t="s">
        <v>3992</v>
      </c>
      <c r="E719" s="4" t="n">
        <v>10</v>
      </c>
      <c r="F719" s="4" t="s">
        <v>1327</v>
      </c>
      <c r="G719" s="4" t="s">
        <v>979</v>
      </c>
      <c r="H719" s="4" t="n">
        <v>1964</v>
      </c>
      <c r="I719" s="4" t="s">
        <v>980</v>
      </c>
      <c r="J719" s="25" t="str">
        <f aca="false">IF(M719=1,"✓","")</f>
        <v/>
      </c>
      <c r="K719" s="4" t="str">
        <f aca="false">IF(AND(M719=0,P719=0),"▶ NEXT","")</f>
        <v/>
      </c>
      <c r="L719" s="4" t="n">
        <f aca="false">INDEX('Master List'!$F$2:$F$2594,O719)</f>
        <v>2</v>
      </c>
      <c r="M719" s="4" t="n">
        <f aca="false">INDEX('Master List'!$G$2:$G$2594,O719)</f>
        <v>0</v>
      </c>
      <c r="N719" s="4" t="str">
        <f aca="false">IF(K719="","",A719)</f>
        <v/>
      </c>
      <c r="O719" s="4" t="n">
        <v>626</v>
      </c>
      <c r="P719" s="4" t="n">
        <f aca="false">IF(A719=A718,P718+1-M718,0)</f>
        <v>9</v>
      </c>
    </row>
    <row r="720" customFormat="false" ht="15" hidden="false" customHeight="false" outlineLevel="0" collapsed="false">
      <c r="A720" s="28" t="s">
        <v>3991</v>
      </c>
      <c r="B720" s="28" t="s">
        <v>51</v>
      </c>
      <c r="C720" s="28" t="s">
        <v>81</v>
      </c>
      <c r="D720" s="28" t="s">
        <v>3992</v>
      </c>
      <c r="E720" s="4" t="n">
        <v>11</v>
      </c>
      <c r="F720" s="4" t="s">
        <v>1327</v>
      </c>
      <c r="G720" s="4" t="s">
        <v>1339</v>
      </c>
      <c r="H720" s="4" t="n">
        <v>1969</v>
      </c>
      <c r="I720" s="4" t="s">
        <v>1340</v>
      </c>
      <c r="J720" s="25" t="str">
        <f aca="false">IF(M720=1,"✓","")</f>
        <v/>
      </c>
      <c r="K720" s="4" t="str">
        <f aca="false">IF(AND(M720=0,P720=0),"▶ NEXT","")</f>
        <v/>
      </c>
      <c r="L720" s="4" t="n">
        <f aca="false">INDEX('Master List'!$F$2:$F$2594,O720)</f>
        <v>2</v>
      </c>
      <c r="M720" s="4" t="n">
        <f aca="false">INDEX('Master List'!$G$2:$G$2594,O720)</f>
        <v>0</v>
      </c>
      <c r="N720" s="4" t="str">
        <f aca="false">IF(K720="","",A720)</f>
        <v/>
      </c>
      <c r="O720" s="4" t="n">
        <v>1217</v>
      </c>
      <c r="P720" s="4" t="n">
        <f aca="false">IF(A720=A719,P719+1-M719,0)</f>
        <v>10</v>
      </c>
    </row>
    <row r="721" customFormat="false" ht="15" hidden="false" customHeight="false" outlineLevel="0" collapsed="false">
      <c r="A721" s="28" t="s">
        <v>3993</v>
      </c>
      <c r="B721" s="28" t="s">
        <v>51</v>
      </c>
      <c r="C721" s="28" t="s">
        <v>81</v>
      </c>
      <c r="D721" s="28" t="s">
        <v>3994</v>
      </c>
      <c r="E721" s="4" t="n">
        <v>1</v>
      </c>
      <c r="F721" s="4" t="s">
        <v>144</v>
      </c>
      <c r="G721" s="7" t="s">
        <v>752</v>
      </c>
      <c r="H721" s="4" t="n">
        <v>1958</v>
      </c>
      <c r="I721" s="4" t="s">
        <v>753</v>
      </c>
      <c r="J721" s="25" t="str">
        <f aca="false">IF(M721=1,"✓","")</f>
        <v/>
      </c>
      <c r="K721" s="4" t="str">
        <f aca="false">IF(AND(M721=0,P721=0),"▶ NEXT","")</f>
        <v>▶ NEXT</v>
      </c>
      <c r="L721" s="4" t="n">
        <f aca="false">INDEX('Master List'!$F$2:$F$2594,O721)</f>
        <v>2</v>
      </c>
      <c r="M721" s="4" t="n">
        <f aca="false">INDEX('Master List'!$G$2:$G$2594,O721)</f>
        <v>0</v>
      </c>
      <c r="N721" s="4" t="str">
        <f aca="false">IF(K721="","",A721)</f>
        <v>N060</v>
      </c>
      <c r="O721" s="4" t="n">
        <v>136</v>
      </c>
      <c r="P721" s="4" t="n">
        <f aca="false">IF(A721=A720,P720+1-M720,0)</f>
        <v>0</v>
      </c>
    </row>
    <row r="722" customFormat="false" ht="15" hidden="false" customHeight="false" outlineLevel="0" collapsed="false">
      <c r="A722" s="28" t="s">
        <v>3993</v>
      </c>
      <c r="B722" s="28" t="s">
        <v>51</v>
      </c>
      <c r="C722" s="28" t="s">
        <v>81</v>
      </c>
      <c r="D722" s="28" t="s">
        <v>3994</v>
      </c>
      <c r="E722" s="4" t="n">
        <v>2</v>
      </c>
      <c r="F722" s="4" t="s">
        <v>144</v>
      </c>
      <c r="G722" s="7" t="s">
        <v>1621</v>
      </c>
      <c r="H722" s="4" t="n">
        <v>2013</v>
      </c>
      <c r="I722" s="4" t="s">
        <v>1622</v>
      </c>
      <c r="J722" s="25" t="str">
        <f aca="false">IF(M722=1,"✓","")</f>
        <v/>
      </c>
      <c r="K722" s="4" t="str">
        <f aca="false">IF(AND(M722=0,P722=0),"▶ NEXT","")</f>
        <v/>
      </c>
      <c r="L722" s="4" t="n">
        <f aca="false">INDEX('Master List'!$F$2:$F$2594,O722)</f>
        <v>1</v>
      </c>
      <c r="M722" s="4" t="n">
        <f aca="false">INDEX('Master List'!$G$2:$G$2594,O722)</f>
        <v>0</v>
      </c>
      <c r="N722" s="4" t="str">
        <f aca="false">IF(K722="","",A722)</f>
        <v/>
      </c>
      <c r="O722" s="4" t="n">
        <v>1113</v>
      </c>
      <c r="P722" s="4" t="n">
        <f aca="false">IF(A722=A721,P721+1-M721,0)</f>
        <v>1</v>
      </c>
    </row>
    <row r="723" customFormat="false" ht="15" hidden="false" customHeight="false" outlineLevel="0" collapsed="false">
      <c r="A723" s="28" t="s">
        <v>3993</v>
      </c>
      <c r="B723" s="28" t="s">
        <v>51</v>
      </c>
      <c r="C723" s="28" t="s">
        <v>81</v>
      </c>
      <c r="D723" s="28" t="s">
        <v>3994</v>
      </c>
      <c r="E723" s="4" t="n">
        <v>3</v>
      </c>
      <c r="F723" s="4" t="s">
        <v>213</v>
      </c>
      <c r="G723" s="4" t="s">
        <v>1916</v>
      </c>
      <c r="H723" s="4" t="n">
        <v>1955</v>
      </c>
      <c r="I723" s="4" t="s">
        <v>753</v>
      </c>
      <c r="J723" s="25" t="str">
        <f aca="false">IF(M723=1,"✓","")</f>
        <v/>
      </c>
      <c r="K723" s="4" t="str">
        <f aca="false">IF(AND(M723=0,P723=0),"▶ NEXT","")</f>
        <v/>
      </c>
      <c r="L723" s="4" t="n">
        <f aca="false">INDEX('Master List'!$F$2:$F$2594,O723)</f>
        <v>1</v>
      </c>
      <c r="M723" s="4" t="n">
        <f aca="false">INDEX('Master List'!$G$2:$G$2594,O723)</f>
        <v>0</v>
      </c>
      <c r="N723" s="4" t="str">
        <f aca="false">IF(K723="","",A723)</f>
        <v/>
      </c>
      <c r="O723" s="4" t="n">
        <v>884</v>
      </c>
      <c r="P723" s="4" t="n">
        <f aca="false">IF(A723=A722,P722+1-M722,0)</f>
        <v>2</v>
      </c>
    </row>
    <row r="724" customFormat="false" ht="15" hidden="false" customHeight="false" outlineLevel="0" collapsed="false">
      <c r="A724" s="28" t="s">
        <v>3993</v>
      </c>
      <c r="B724" s="28" t="s">
        <v>51</v>
      </c>
      <c r="C724" s="28" t="s">
        <v>81</v>
      </c>
      <c r="D724" s="28" t="s">
        <v>3994</v>
      </c>
      <c r="E724" s="4" t="n">
        <v>4</v>
      </c>
      <c r="F724" s="4" t="s">
        <v>213</v>
      </c>
      <c r="G724" s="4" t="s">
        <v>1938</v>
      </c>
      <c r="H724" s="4" t="n">
        <v>1957</v>
      </c>
      <c r="I724" s="4" t="s">
        <v>753</v>
      </c>
      <c r="J724" s="25" t="str">
        <f aca="false">IF(M724=1,"✓","")</f>
        <v/>
      </c>
      <c r="K724" s="4" t="str">
        <f aca="false">IF(AND(M724=0,P724=0),"▶ NEXT","")</f>
        <v/>
      </c>
      <c r="L724" s="4" t="n">
        <f aca="false">INDEX('Master List'!$F$2:$F$2594,O724)</f>
        <v>1</v>
      </c>
      <c r="M724" s="4" t="n">
        <f aca="false">INDEX('Master List'!$G$2:$G$2594,O724)</f>
        <v>0</v>
      </c>
      <c r="N724" s="4" t="str">
        <f aca="false">IF(K724="","",A724)</f>
        <v/>
      </c>
      <c r="O724" s="4" t="n">
        <v>1232</v>
      </c>
      <c r="P724" s="4" t="n">
        <f aca="false">IF(A724=A723,P723+1-M723,0)</f>
        <v>3</v>
      </c>
    </row>
    <row r="725" customFormat="false" ht="15" hidden="false" customHeight="false" outlineLevel="0" collapsed="false">
      <c r="A725" s="28" t="s">
        <v>3993</v>
      </c>
      <c r="B725" s="28" t="s">
        <v>51</v>
      </c>
      <c r="C725" s="28" t="s">
        <v>81</v>
      </c>
      <c r="D725" s="28" t="s">
        <v>3994</v>
      </c>
      <c r="E725" s="4" t="n">
        <v>5</v>
      </c>
      <c r="F725" s="4" t="s">
        <v>213</v>
      </c>
      <c r="G725" s="4" t="s">
        <v>583</v>
      </c>
      <c r="H725" s="4" t="n">
        <v>1962</v>
      </c>
      <c r="I725" s="4" t="s">
        <v>195</v>
      </c>
      <c r="J725" s="25" t="str">
        <f aca="false">IF(M725=1,"✓","")</f>
        <v/>
      </c>
      <c r="K725" s="4" t="str">
        <f aca="false">IF(AND(M725=0,P725=0),"▶ NEXT","")</f>
        <v/>
      </c>
      <c r="L725" s="4" t="n">
        <f aca="false">INDEX('Master List'!$F$2:$F$2594,O725)</f>
        <v>3</v>
      </c>
      <c r="M725" s="4" t="n">
        <f aca="false">INDEX('Master List'!$G$2:$G$2594,O725)</f>
        <v>0</v>
      </c>
      <c r="N725" s="4" t="str">
        <f aca="false">IF(K725="","",A725)</f>
        <v/>
      </c>
      <c r="O725" s="4" t="n">
        <v>1268</v>
      </c>
      <c r="P725" s="4" t="n">
        <f aca="false">IF(A725=A724,P724+1-M724,0)</f>
        <v>4</v>
      </c>
    </row>
    <row r="726" customFormat="false" ht="15" hidden="false" customHeight="false" outlineLevel="0" collapsed="false">
      <c r="A726" s="28" t="s">
        <v>3993</v>
      </c>
      <c r="B726" s="28" t="s">
        <v>51</v>
      </c>
      <c r="C726" s="28" t="s">
        <v>81</v>
      </c>
      <c r="D726" s="28" t="s">
        <v>3994</v>
      </c>
      <c r="E726" s="4" t="n">
        <v>6</v>
      </c>
      <c r="F726" s="4" t="s">
        <v>213</v>
      </c>
      <c r="G726" s="4" t="s">
        <v>2062</v>
      </c>
      <c r="H726" s="4" t="n">
        <v>1965</v>
      </c>
      <c r="I726" s="4" t="s">
        <v>1350</v>
      </c>
      <c r="J726" s="25" t="str">
        <f aca="false">IF(M726=1,"✓","")</f>
        <v/>
      </c>
      <c r="K726" s="4" t="str">
        <f aca="false">IF(AND(M726=0,P726=0),"▶ NEXT","")</f>
        <v/>
      </c>
      <c r="L726" s="4" t="n">
        <f aca="false">INDEX('Master List'!$F$2:$F$2594,O726)</f>
        <v>1</v>
      </c>
      <c r="M726" s="4" t="n">
        <f aca="false">INDEX('Master List'!$G$2:$G$2594,O726)</f>
        <v>0</v>
      </c>
      <c r="N726" s="4" t="str">
        <f aca="false">IF(K726="","",A726)</f>
        <v/>
      </c>
      <c r="O726" s="4" t="n">
        <v>1971</v>
      </c>
      <c r="P726" s="4" t="n">
        <f aca="false">IF(A726=A725,P725+1-M725,0)</f>
        <v>5</v>
      </c>
    </row>
    <row r="727" customFormat="false" ht="15" hidden="false" customHeight="false" outlineLevel="0" collapsed="false">
      <c r="A727" s="28" t="s">
        <v>3993</v>
      </c>
      <c r="B727" s="28" t="s">
        <v>51</v>
      </c>
      <c r="C727" s="28" t="s">
        <v>81</v>
      </c>
      <c r="D727" s="28" t="s">
        <v>3994</v>
      </c>
      <c r="E727" s="4" t="n">
        <v>7</v>
      </c>
      <c r="F727" s="4" t="s">
        <v>213</v>
      </c>
      <c r="G727" s="4" t="s">
        <v>2293</v>
      </c>
      <c r="H727" s="4" t="n">
        <v>1977</v>
      </c>
      <c r="I727" s="4" t="s">
        <v>753</v>
      </c>
      <c r="J727" s="25" t="str">
        <f aca="false">IF(M727=1,"✓","")</f>
        <v/>
      </c>
      <c r="K727" s="4" t="str">
        <f aca="false">IF(AND(M727=0,P727=0),"▶ NEXT","")</f>
        <v/>
      </c>
      <c r="L727" s="4" t="n">
        <f aca="false">INDEX('Master List'!$F$2:$F$2594,O727)</f>
        <v>1</v>
      </c>
      <c r="M727" s="4" t="n">
        <f aca="false">INDEX('Master List'!$G$2:$G$2594,O727)</f>
        <v>0</v>
      </c>
      <c r="N727" s="4" t="str">
        <f aca="false">IF(K727="","",A727)</f>
        <v/>
      </c>
      <c r="O727" s="4" t="n">
        <v>1426</v>
      </c>
      <c r="P727" s="4" t="n">
        <f aca="false">IF(A727=A726,P726+1-M726,0)</f>
        <v>6</v>
      </c>
    </row>
    <row r="728" customFormat="false" ht="15" hidden="false" customHeight="false" outlineLevel="0" collapsed="false">
      <c r="A728" s="28" t="s">
        <v>3993</v>
      </c>
      <c r="B728" s="28" t="s">
        <v>51</v>
      </c>
      <c r="C728" s="28" t="s">
        <v>81</v>
      </c>
      <c r="D728" s="28" t="s">
        <v>3994</v>
      </c>
      <c r="E728" s="4" t="n">
        <v>8</v>
      </c>
      <c r="F728" s="4" t="s">
        <v>213</v>
      </c>
      <c r="G728" s="4" t="s">
        <v>1041</v>
      </c>
      <c r="H728" s="4" t="n">
        <v>1979</v>
      </c>
      <c r="I728" s="4" t="s">
        <v>1042</v>
      </c>
      <c r="J728" s="25" t="str">
        <f aca="false">IF(M728=1,"✓","")</f>
        <v/>
      </c>
      <c r="K728" s="4" t="str">
        <f aca="false">IF(AND(M728=0,P728=0),"▶ NEXT","")</f>
        <v/>
      </c>
      <c r="L728" s="4" t="n">
        <f aca="false">INDEX('Master List'!$F$2:$F$2594,O728)</f>
        <v>2</v>
      </c>
      <c r="M728" s="4" t="n">
        <f aca="false">INDEX('Master List'!$G$2:$G$2594,O728)</f>
        <v>0</v>
      </c>
      <c r="N728" s="4" t="str">
        <f aca="false">IF(K728="","",A728)</f>
        <v/>
      </c>
      <c r="O728" s="4" t="n">
        <v>384</v>
      </c>
      <c r="P728" s="4" t="n">
        <f aca="false">IF(A728=A727,P727+1-M727,0)</f>
        <v>7</v>
      </c>
    </row>
    <row r="729" customFormat="false" ht="15" hidden="false" customHeight="false" outlineLevel="0" collapsed="false">
      <c r="A729" s="28" t="s">
        <v>3993</v>
      </c>
      <c r="B729" s="28" t="s">
        <v>51</v>
      </c>
      <c r="C729" s="28" t="s">
        <v>81</v>
      </c>
      <c r="D729" s="28" t="s">
        <v>3994</v>
      </c>
      <c r="E729" s="4" t="n">
        <v>9</v>
      </c>
      <c r="F729" s="4" t="s">
        <v>213</v>
      </c>
      <c r="G729" s="4" t="s">
        <v>3137</v>
      </c>
      <c r="H729" s="4" t="n">
        <v>2018</v>
      </c>
      <c r="I729" s="4" t="s">
        <v>1622</v>
      </c>
      <c r="J729" s="25" t="str">
        <f aca="false">IF(M729=1,"✓","")</f>
        <v/>
      </c>
      <c r="K729" s="4" t="str">
        <f aca="false">IF(AND(M729=0,P729=0),"▶ NEXT","")</f>
        <v/>
      </c>
      <c r="L729" s="4" t="n">
        <f aca="false">INDEX('Master List'!$F$2:$F$2594,O729)</f>
        <v>1</v>
      </c>
      <c r="M729" s="4" t="n">
        <f aca="false">INDEX('Master List'!$G$2:$G$2594,O729)</f>
        <v>0</v>
      </c>
      <c r="N729" s="4" t="str">
        <f aca="false">IF(K729="","",A729)</f>
        <v/>
      </c>
      <c r="O729" s="4" t="n">
        <v>494</v>
      </c>
      <c r="P729" s="4" t="n">
        <f aca="false">IF(A729=A728,P728+1-M728,0)</f>
        <v>8</v>
      </c>
    </row>
    <row r="730" customFormat="false" ht="15" hidden="false" customHeight="false" outlineLevel="0" collapsed="false">
      <c r="A730" s="28" t="s">
        <v>3993</v>
      </c>
      <c r="B730" s="28" t="s">
        <v>51</v>
      </c>
      <c r="C730" s="28" t="s">
        <v>81</v>
      </c>
      <c r="D730" s="28" t="s">
        <v>3994</v>
      </c>
      <c r="E730" s="4" t="n">
        <v>10</v>
      </c>
      <c r="F730" s="4" t="s">
        <v>1327</v>
      </c>
      <c r="G730" s="4" t="s">
        <v>1349</v>
      </c>
      <c r="H730" s="4" t="n">
        <v>1973</v>
      </c>
      <c r="I730" s="4" t="s">
        <v>1350</v>
      </c>
      <c r="J730" s="25" t="str">
        <f aca="false">IF(M730=1,"✓","")</f>
        <v/>
      </c>
      <c r="K730" s="4" t="str">
        <f aca="false">IF(AND(M730=0,P730=0),"▶ NEXT","")</f>
        <v/>
      </c>
      <c r="L730" s="4" t="n">
        <f aca="false">INDEX('Master List'!$F$2:$F$2594,O730)</f>
        <v>2</v>
      </c>
      <c r="M730" s="4" t="n">
        <f aca="false">INDEX('Master List'!$G$2:$G$2594,O730)</f>
        <v>0</v>
      </c>
      <c r="N730" s="4" t="str">
        <f aca="false">IF(K730="","",A730)</f>
        <v/>
      </c>
      <c r="O730" s="4" t="n">
        <v>1071</v>
      </c>
      <c r="P730" s="4" t="n">
        <f aca="false">IF(A730=A729,P729+1-M729,0)</f>
        <v>9</v>
      </c>
    </row>
    <row r="731" customFormat="false" ht="15" hidden="false" customHeight="false" outlineLevel="0" collapsed="false">
      <c r="A731" s="28" t="s">
        <v>3993</v>
      </c>
      <c r="B731" s="28" t="s">
        <v>51</v>
      </c>
      <c r="C731" s="28" t="s">
        <v>81</v>
      </c>
      <c r="D731" s="28" t="s">
        <v>3994</v>
      </c>
      <c r="E731" s="4" t="n">
        <v>11</v>
      </c>
      <c r="F731" s="4" t="s">
        <v>1327</v>
      </c>
      <c r="G731" s="4" t="s">
        <v>1646</v>
      </c>
      <c r="H731" s="4" t="n">
        <v>1961</v>
      </c>
      <c r="I731" s="4" t="s">
        <v>1647</v>
      </c>
      <c r="J731" s="25" t="str">
        <f aca="false">IF(M731=1,"✓","")</f>
        <v/>
      </c>
      <c r="K731" s="4" t="str">
        <f aca="false">IF(AND(M731=0,P731=0),"▶ NEXT","")</f>
        <v/>
      </c>
      <c r="L731" s="4" t="n">
        <f aca="false">INDEX('Master List'!$F$2:$F$2594,O731)</f>
        <v>2</v>
      </c>
      <c r="M731" s="4" t="n">
        <f aca="false">INDEX('Master List'!$G$2:$G$2594,O731)</f>
        <v>0</v>
      </c>
      <c r="N731" s="4" t="str">
        <f aca="false">IF(K731="","",A731)</f>
        <v/>
      </c>
      <c r="O731" s="4" t="n">
        <v>1540</v>
      </c>
      <c r="P731" s="4" t="n">
        <f aca="false">IF(A731=A730,P730+1-M730,0)</f>
        <v>10</v>
      </c>
    </row>
    <row r="732" customFormat="false" ht="15" hidden="false" customHeight="false" outlineLevel="0" collapsed="false">
      <c r="A732" s="28" t="s">
        <v>3995</v>
      </c>
      <c r="B732" s="28" t="s">
        <v>51</v>
      </c>
      <c r="C732" s="28" t="s">
        <v>81</v>
      </c>
      <c r="D732" s="28" t="s">
        <v>3996</v>
      </c>
      <c r="E732" s="4" t="n">
        <v>1</v>
      </c>
      <c r="F732" s="4" t="s">
        <v>144</v>
      </c>
      <c r="G732" s="7" t="s">
        <v>1484</v>
      </c>
      <c r="H732" s="4" t="n">
        <v>1971</v>
      </c>
      <c r="I732" s="4" t="s">
        <v>1485</v>
      </c>
      <c r="J732" s="25" t="str">
        <f aca="false">IF(M732=1,"✓","")</f>
        <v/>
      </c>
      <c r="K732" s="4" t="str">
        <f aca="false">IF(AND(M732=0,P732=0),"▶ NEXT","")</f>
        <v>▶ NEXT</v>
      </c>
      <c r="L732" s="4" t="n">
        <f aca="false">INDEX('Master List'!$F$2:$F$2594,O732)</f>
        <v>1</v>
      </c>
      <c r="M732" s="4" t="n">
        <f aca="false">INDEX('Master List'!$G$2:$G$2594,O732)</f>
        <v>0</v>
      </c>
      <c r="N732" s="4" t="str">
        <f aca="false">IF(K732="","",A732)</f>
        <v>N061</v>
      </c>
      <c r="O732" s="4" t="n">
        <v>2445</v>
      </c>
      <c r="P732" s="4" t="n">
        <f aca="false">IF(A732=A731,P731+1-M731,0)</f>
        <v>0</v>
      </c>
    </row>
    <row r="733" customFormat="false" ht="15" hidden="false" customHeight="false" outlineLevel="0" collapsed="false">
      <c r="A733" s="28" t="s">
        <v>3995</v>
      </c>
      <c r="B733" s="28" t="s">
        <v>51</v>
      </c>
      <c r="C733" s="28" t="s">
        <v>81</v>
      </c>
      <c r="D733" s="28" t="s">
        <v>3996</v>
      </c>
      <c r="E733" s="4" t="n">
        <v>2</v>
      </c>
      <c r="F733" s="4" t="s">
        <v>144</v>
      </c>
      <c r="G733" s="7" t="s">
        <v>1565</v>
      </c>
      <c r="H733" s="4" t="n">
        <v>1995</v>
      </c>
      <c r="I733" s="4" t="s">
        <v>1566</v>
      </c>
      <c r="J733" s="25" t="str">
        <f aca="false">IF(M733=1,"✓","")</f>
        <v/>
      </c>
      <c r="K733" s="4" t="str">
        <f aca="false">IF(AND(M733=0,P733=0),"▶ NEXT","")</f>
        <v/>
      </c>
      <c r="L733" s="4" t="n">
        <f aca="false">INDEX('Master List'!$F$2:$F$2594,O733)</f>
        <v>1</v>
      </c>
      <c r="M733" s="4" t="n">
        <f aca="false">INDEX('Master List'!$G$2:$G$2594,O733)</f>
        <v>0</v>
      </c>
      <c r="N733" s="4" t="str">
        <f aca="false">IF(K733="","",A733)</f>
        <v/>
      </c>
      <c r="O733" s="4" t="n">
        <v>2403</v>
      </c>
      <c r="P733" s="4" t="n">
        <f aca="false">IF(A733=A732,P732+1-M732,0)</f>
        <v>1</v>
      </c>
    </row>
    <row r="734" customFormat="false" ht="15" hidden="false" customHeight="false" outlineLevel="0" collapsed="false">
      <c r="A734" s="28" t="s">
        <v>3995</v>
      </c>
      <c r="B734" s="28" t="s">
        <v>51</v>
      </c>
      <c r="C734" s="28" t="s">
        <v>81</v>
      </c>
      <c r="D734" s="28" t="s">
        <v>3996</v>
      </c>
      <c r="E734" s="4" t="n">
        <v>3</v>
      </c>
      <c r="F734" s="4" t="s">
        <v>213</v>
      </c>
      <c r="G734" s="4" t="s">
        <v>2097</v>
      </c>
      <c r="H734" s="4" t="n">
        <v>1967</v>
      </c>
      <c r="I734" s="4" t="s">
        <v>2098</v>
      </c>
      <c r="J734" s="25" t="str">
        <f aca="false">IF(M734=1,"✓","")</f>
        <v/>
      </c>
      <c r="K734" s="4" t="str">
        <f aca="false">IF(AND(M734=0,P734=0),"▶ NEXT","")</f>
        <v/>
      </c>
      <c r="L734" s="4" t="n">
        <f aca="false">INDEX('Master List'!$F$2:$F$2594,O734)</f>
        <v>1</v>
      </c>
      <c r="M734" s="4" t="n">
        <f aca="false">INDEX('Master List'!$G$2:$G$2594,O734)</f>
        <v>0</v>
      </c>
      <c r="N734" s="4" t="str">
        <f aca="false">IF(K734="","",A734)</f>
        <v/>
      </c>
      <c r="O734" s="4" t="n">
        <v>1103</v>
      </c>
      <c r="P734" s="4" t="n">
        <f aca="false">IF(A734=A733,P733+1-M733,0)</f>
        <v>2</v>
      </c>
    </row>
    <row r="735" customFormat="false" ht="15" hidden="false" customHeight="false" outlineLevel="0" collapsed="false">
      <c r="A735" s="28" t="s">
        <v>3995</v>
      </c>
      <c r="B735" s="28" t="s">
        <v>51</v>
      </c>
      <c r="C735" s="28" t="s">
        <v>81</v>
      </c>
      <c r="D735" s="28" t="s">
        <v>3996</v>
      </c>
      <c r="E735" s="4" t="n">
        <v>4</v>
      </c>
      <c r="F735" s="4" t="s">
        <v>213</v>
      </c>
      <c r="G735" s="4" t="s">
        <v>2136</v>
      </c>
      <c r="H735" s="4" t="n">
        <v>1969</v>
      </c>
      <c r="I735" s="4" t="s">
        <v>2137</v>
      </c>
      <c r="J735" s="25" t="str">
        <f aca="false">IF(M735=1,"✓","")</f>
        <v/>
      </c>
      <c r="K735" s="4" t="str">
        <f aca="false">IF(AND(M735=0,P735=0),"▶ NEXT","")</f>
        <v/>
      </c>
      <c r="L735" s="4" t="n">
        <f aca="false">INDEX('Master List'!$F$2:$F$2594,O735)</f>
        <v>1</v>
      </c>
      <c r="M735" s="4" t="n">
        <f aca="false">INDEX('Master List'!$G$2:$G$2594,O735)</f>
        <v>0</v>
      </c>
      <c r="N735" s="4" t="str">
        <f aca="false">IF(K735="","",A735)</f>
        <v/>
      </c>
      <c r="O735" s="4" t="n">
        <v>699</v>
      </c>
      <c r="P735" s="4" t="n">
        <f aca="false">IF(A735=A734,P734+1-M734,0)</f>
        <v>3</v>
      </c>
    </row>
    <row r="736" customFormat="false" ht="15" hidden="false" customHeight="false" outlineLevel="0" collapsed="false">
      <c r="A736" s="28" t="s">
        <v>3995</v>
      </c>
      <c r="B736" s="28" t="s">
        <v>51</v>
      </c>
      <c r="C736" s="28" t="s">
        <v>81</v>
      </c>
      <c r="D736" s="28" t="s">
        <v>3996</v>
      </c>
      <c r="E736" s="4" t="n">
        <v>5</v>
      </c>
      <c r="F736" s="4" t="s">
        <v>213</v>
      </c>
      <c r="G736" s="4" t="s">
        <v>2465</v>
      </c>
      <c r="H736" s="4" t="n">
        <v>1988</v>
      </c>
      <c r="I736" s="4" t="s">
        <v>1566</v>
      </c>
      <c r="J736" s="25" t="str">
        <f aca="false">IF(M736=1,"✓","")</f>
        <v/>
      </c>
      <c r="K736" s="4" t="str">
        <f aca="false">IF(AND(M736=0,P736=0),"▶ NEXT","")</f>
        <v/>
      </c>
      <c r="L736" s="4" t="n">
        <f aca="false">INDEX('Master List'!$F$2:$F$2594,O736)</f>
        <v>1</v>
      </c>
      <c r="M736" s="4" t="n">
        <f aca="false">INDEX('Master List'!$G$2:$G$2594,O736)</f>
        <v>0</v>
      </c>
      <c r="N736" s="4" t="str">
        <f aca="false">IF(K736="","",A736)</f>
        <v/>
      </c>
      <c r="O736" s="4" t="n">
        <v>2303</v>
      </c>
      <c r="P736" s="4" t="n">
        <f aca="false">IF(A736=A735,P735+1-M735,0)</f>
        <v>4</v>
      </c>
    </row>
    <row r="737" customFormat="false" ht="15" hidden="false" customHeight="false" outlineLevel="0" collapsed="false">
      <c r="A737" s="28" t="s">
        <v>3995</v>
      </c>
      <c r="B737" s="28" t="s">
        <v>51</v>
      </c>
      <c r="C737" s="28" t="s">
        <v>81</v>
      </c>
      <c r="D737" s="28" t="s">
        <v>3996</v>
      </c>
      <c r="E737" s="4" t="n">
        <v>6</v>
      </c>
      <c r="F737" s="4" t="s">
        <v>213</v>
      </c>
      <c r="G737" s="4" t="s">
        <v>2737</v>
      </c>
      <c r="H737" s="4" t="n">
        <v>2001</v>
      </c>
      <c r="I737" s="4" t="s">
        <v>2738</v>
      </c>
      <c r="J737" s="25" t="str">
        <f aca="false">IF(M737=1,"✓","")</f>
        <v/>
      </c>
      <c r="K737" s="4" t="str">
        <f aca="false">IF(AND(M737=0,P737=0),"▶ NEXT","")</f>
        <v/>
      </c>
      <c r="L737" s="4" t="n">
        <f aca="false">INDEX('Master List'!$F$2:$F$2594,O737)</f>
        <v>1</v>
      </c>
      <c r="M737" s="4" t="n">
        <f aca="false">INDEX('Master List'!$G$2:$G$2594,O737)</f>
        <v>0</v>
      </c>
      <c r="N737" s="4" t="str">
        <f aca="false">IF(K737="","",A737)</f>
        <v/>
      </c>
      <c r="O737" s="4" t="n">
        <v>1624</v>
      </c>
      <c r="P737" s="4" t="n">
        <f aca="false">IF(A737=A736,P736+1-M736,0)</f>
        <v>5</v>
      </c>
    </row>
    <row r="738" customFormat="false" ht="15" hidden="false" customHeight="false" outlineLevel="0" collapsed="false">
      <c r="A738" s="28" t="s">
        <v>3995</v>
      </c>
      <c r="B738" s="28" t="s">
        <v>51</v>
      </c>
      <c r="C738" s="28" t="s">
        <v>81</v>
      </c>
      <c r="D738" s="28" t="s">
        <v>3996</v>
      </c>
      <c r="E738" s="4" t="n">
        <v>7</v>
      </c>
      <c r="F738" s="4" t="s">
        <v>1327</v>
      </c>
      <c r="G738" s="4" t="s">
        <v>3453</v>
      </c>
      <c r="H738" s="4" t="n">
        <v>1968</v>
      </c>
      <c r="I738" s="4" t="s">
        <v>1485</v>
      </c>
      <c r="J738" s="25" t="str">
        <f aca="false">IF(M738=1,"✓","")</f>
        <v/>
      </c>
      <c r="K738" s="4" t="str">
        <f aca="false">IF(AND(M738=0,P738=0),"▶ NEXT","")</f>
        <v/>
      </c>
      <c r="L738" s="4" t="n">
        <f aca="false">INDEX('Master List'!$F$2:$F$2594,O738)</f>
        <v>1</v>
      </c>
      <c r="M738" s="4" t="n">
        <f aca="false">INDEX('Master List'!$G$2:$G$2594,O738)</f>
        <v>0</v>
      </c>
      <c r="N738" s="4" t="str">
        <f aca="false">IF(K738="","",A738)</f>
        <v/>
      </c>
      <c r="O738" s="4" t="n">
        <v>1143</v>
      </c>
      <c r="P738" s="4" t="n">
        <f aca="false">IF(A738=A737,P737+1-M737,0)</f>
        <v>6</v>
      </c>
    </row>
    <row r="739" customFormat="false" ht="15" hidden="false" customHeight="false" outlineLevel="0" collapsed="false">
      <c r="A739" s="28" t="s">
        <v>3995</v>
      </c>
      <c r="B739" s="28" t="s">
        <v>51</v>
      </c>
      <c r="C739" s="28" t="s">
        <v>81</v>
      </c>
      <c r="D739" s="28" t="s">
        <v>3996</v>
      </c>
      <c r="E739" s="4" t="n">
        <v>8</v>
      </c>
      <c r="F739" s="4" t="s">
        <v>1327</v>
      </c>
      <c r="G739" s="4" t="s">
        <v>3581</v>
      </c>
      <c r="H739" s="4" t="n">
        <v>1980</v>
      </c>
      <c r="I739" s="4" t="s">
        <v>3582</v>
      </c>
      <c r="J739" s="25" t="str">
        <f aca="false">IF(M739=1,"✓","")</f>
        <v/>
      </c>
      <c r="K739" s="4" t="str">
        <f aca="false">IF(AND(M739=0,P739=0),"▶ NEXT","")</f>
        <v/>
      </c>
      <c r="L739" s="4" t="n">
        <f aca="false">INDEX('Master List'!$F$2:$F$2594,O739)</f>
        <v>1</v>
      </c>
      <c r="M739" s="4" t="n">
        <f aca="false">INDEX('Master List'!$G$2:$G$2594,O739)</f>
        <v>0</v>
      </c>
      <c r="N739" s="4" t="str">
        <f aca="false">IF(K739="","",A739)</f>
        <v/>
      </c>
      <c r="O739" s="4" t="n">
        <v>2510</v>
      </c>
      <c r="P739" s="4" t="n">
        <f aca="false">IF(A739=A738,P738+1-M738,0)</f>
        <v>7</v>
      </c>
    </row>
    <row r="740" customFormat="false" ht="15" hidden="false" customHeight="false" outlineLevel="0" collapsed="false">
      <c r="A740" s="28" t="s">
        <v>3997</v>
      </c>
      <c r="B740" s="28" t="s">
        <v>51</v>
      </c>
      <c r="C740" s="28" t="s">
        <v>81</v>
      </c>
      <c r="D740" s="28" t="s">
        <v>3998</v>
      </c>
      <c r="E740" s="4" t="n">
        <v>1</v>
      </c>
      <c r="F740" s="4" t="s">
        <v>144</v>
      </c>
      <c r="G740" s="7" t="s">
        <v>770</v>
      </c>
      <c r="H740" s="4" t="n">
        <v>1966</v>
      </c>
      <c r="I740" s="4" t="s">
        <v>771</v>
      </c>
      <c r="J740" s="25" t="str">
        <f aca="false">IF(M740=1,"✓","")</f>
        <v/>
      </c>
      <c r="K740" s="4" t="str">
        <f aca="false">IF(AND(M740=0,P740=0),"▶ NEXT","")</f>
        <v>▶ NEXT</v>
      </c>
      <c r="L740" s="4" t="n">
        <f aca="false">INDEX('Master List'!$F$2:$F$2594,O740)</f>
        <v>2</v>
      </c>
      <c r="M740" s="4" t="n">
        <f aca="false">INDEX('Master List'!$G$2:$G$2594,O740)</f>
        <v>0</v>
      </c>
      <c r="N740" s="4" t="str">
        <f aca="false">IF(K740="","",A740)</f>
        <v>N062</v>
      </c>
      <c r="O740" s="4" t="n">
        <v>1939</v>
      </c>
      <c r="P740" s="4" t="n">
        <f aca="false">IF(A740=A739,P739+1-M739,0)</f>
        <v>0</v>
      </c>
    </row>
    <row r="741" customFormat="false" ht="15" hidden="false" customHeight="false" outlineLevel="0" collapsed="false">
      <c r="A741" s="28" t="s">
        <v>3997</v>
      </c>
      <c r="B741" s="28" t="s">
        <v>51</v>
      </c>
      <c r="C741" s="28" t="s">
        <v>81</v>
      </c>
      <c r="D741" s="28" t="s">
        <v>3998</v>
      </c>
      <c r="E741" s="4" t="n">
        <v>2</v>
      </c>
      <c r="F741" s="4" t="s">
        <v>144</v>
      </c>
      <c r="G741" s="7" t="s">
        <v>1133</v>
      </c>
      <c r="H741" s="4" t="n">
        <v>2000</v>
      </c>
      <c r="I741" s="4" t="s">
        <v>618</v>
      </c>
      <c r="J741" s="25" t="str">
        <f aca="false">IF(M741=1,"✓","")</f>
        <v/>
      </c>
      <c r="K741" s="4" t="str">
        <f aca="false">IF(AND(M741=0,P741=0),"▶ NEXT","")</f>
        <v/>
      </c>
      <c r="L741" s="4" t="n">
        <f aca="false">INDEX('Master List'!$F$2:$F$2594,O741)</f>
        <v>2</v>
      </c>
      <c r="M741" s="4" t="n">
        <f aca="false">INDEX('Master List'!$G$2:$G$2594,O741)</f>
        <v>0</v>
      </c>
      <c r="N741" s="4" t="str">
        <f aca="false">IF(K741="","",A741)</f>
        <v/>
      </c>
      <c r="O741" s="4" t="n">
        <v>2484</v>
      </c>
      <c r="P741" s="4" t="n">
        <f aca="false">IF(A741=A740,P740+1-M740,0)</f>
        <v>1</v>
      </c>
    </row>
    <row r="742" customFormat="false" ht="15" hidden="false" customHeight="false" outlineLevel="0" collapsed="false">
      <c r="A742" s="28" t="s">
        <v>3997</v>
      </c>
      <c r="B742" s="28" t="s">
        <v>51</v>
      </c>
      <c r="C742" s="28" t="s">
        <v>81</v>
      </c>
      <c r="D742" s="28" t="s">
        <v>3998</v>
      </c>
      <c r="E742" s="4" t="n">
        <v>3</v>
      </c>
      <c r="F742" s="4" t="s">
        <v>213</v>
      </c>
      <c r="G742" s="4" t="s">
        <v>2099</v>
      </c>
      <c r="H742" s="4" t="n">
        <v>1967</v>
      </c>
      <c r="I742" s="4" t="s">
        <v>771</v>
      </c>
      <c r="J742" s="25" t="str">
        <f aca="false">IF(M742=1,"✓","")</f>
        <v/>
      </c>
      <c r="K742" s="4" t="str">
        <f aca="false">IF(AND(M742=0,P742=0),"▶ NEXT","")</f>
        <v/>
      </c>
      <c r="L742" s="4" t="n">
        <f aca="false">INDEX('Master List'!$F$2:$F$2594,O742)</f>
        <v>1</v>
      </c>
      <c r="M742" s="4" t="n">
        <f aca="false">INDEX('Master List'!$G$2:$G$2594,O742)</f>
        <v>0</v>
      </c>
      <c r="N742" s="4" t="str">
        <f aca="false">IF(K742="","",A742)</f>
        <v/>
      </c>
      <c r="O742" s="4" t="n">
        <v>1871</v>
      </c>
      <c r="P742" s="4" t="n">
        <f aca="false">IF(A742=A741,P741+1-M741,0)</f>
        <v>2</v>
      </c>
    </row>
    <row r="743" customFormat="false" ht="15" hidden="false" customHeight="false" outlineLevel="0" collapsed="false">
      <c r="A743" s="28" t="s">
        <v>3997</v>
      </c>
      <c r="B743" s="28" t="s">
        <v>51</v>
      </c>
      <c r="C743" s="28" t="s">
        <v>81</v>
      </c>
      <c r="D743" s="28" t="s">
        <v>3998</v>
      </c>
      <c r="E743" s="4" t="n">
        <v>4</v>
      </c>
      <c r="F743" s="4" t="s">
        <v>213</v>
      </c>
      <c r="G743" s="4" t="s">
        <v>2349</v>
      </c>
      <c r="H743" s="4" t="n">
        <v>1981</v>
      </c>
      <c r="I743" s="4" t="s">
        <v>2350</v>
      </c>
      <c r="J743" s="25" t="str">
        <f aca="false">IF(M743=1,"✓","")</f>
        <v/>
      </c>
      <c r="K743" s="4" t="str">
        <f aca="false">IF(AND(M743=0,P743=0),"▶ NEXT","")</f>
        <v/>
      </c>
      <c r="L743" s="4" t="n">
        <f aca="false">INDEX('Master List'!$F$2:$F$2594,O743)</f>
        <v>1</v>
      </c>
      <c r="M743" s="4" t="n">
        <f aca="false">INDEX('Master List'!$G$2:$G$2594,O743)</f>
        <v>0</v>
      </c>
      <c r="N743" s="4" t="str">
        <f aca="false">IF(K743="","",A743)</f>
        <v/>
      </c>
      <c r="O743" s="4" t="n">
        <v>1482</v>
      </c>
      <c r="P743" s="4" t="n">
        <f aca="false">IF(A743=A742,P742+1-M742,0)</f>
        <v>3</v>
      </c>
    </row>
    <row r="744" customFormat="false" ht="15" hidden="false" customHeight="false" outlineLevel="0" collapsed="false">
      <c r="A744" s="28" t="s">
        <v>3997</v>
      </c>
      <c r="B744" s="28" t="s">
        <v>51</v>
      </c>
      <c r="C744" s="28" t="s">
        <v>81</v>
      </c>
      <c r="D744" s="28" t="s">
        <v>3998</v>
      </c>
      <c r="E744" s="4" t="n">
        <v>5</v>
      </c>
      <c r="F744" s="4" t="s">
        <v>213</v>
      </c>
      <c r="G744" s="4" t="s">
        <v>617</v>
      </c>
      <c r="H744" s="4" t="n">
        <v>1994</v>
      </c>
      <c r="I744" s="4" t="s">
        <v>618</v>
      </c>
      <c r="J744" s="25" t="str">
        <f aca="false">IF(M744=1,"✓","")</f>
        <v/>
      </c>
      <c r="K744" s="4" t="str">
        <f aca="false">IF(AND(M744=0,P744=0),"▶ NEXT","")</f>
        <v/>
      </c>
      <c r="L744" s="4" t="n">
        <f aca="false">INDEX('Master List'!$F$2:$F$2594,O744)</f>
        <v>3</v>
      </c>
      <c r="M744" s="4" t="n">
        <f aca="false">INDEX('Master List'!$G$2:$G$2594,O744)</f>
        <v>0</v>
      </c>
      <c r="N744" s="4" t="str">
        <f aca="false">IF(K744="","",A744)</f>
        <v/>
      </c>
      <c r="O744" s="4" t="n">
        <v>1972</v>
      </c>
      <c r="P744" s="4" t="n">
        <f aca="false">IF(A744=A743,P743+1-M743,0)</f>
        <v>4</v>
      </c>
    </row>
    <row r="745" customFormat="false" ht="15" hidden="false" customHeight="false" outlineLevel="0" collapsed="false">
      <c r="A745" s="28" t="s">
        <v>3997</v>
      </c>
      <c r="B745" s="28" t="s">
        <v>51</v>
      </c>
      <c r="C745" s="28" t="s">
        <v>81</v>
      </c>
      <c r="D745" s="28" t="s">
        <v>3998</v>
      </c>
      <c r="E745" s="4" t="n">
        <v>6</v>
      </c>
      <c r="F745" s="4" t="s">
        <v>213</v>
      </c>
      <c r="G745" s="4" t="s">
        <v>1199</v>
      </c>
      <c r="H745" s="4" t="n">
        <v>2011</v>
      </c>
      <c r="I745" s="4" t="s">
        <v>618</v>
      </c>
      <c r="J745" s="25" t="str">
        <f aca="false">IF(M745=1,"✓","")</f>
        <v/>
      </c>
      <c r="K745" s="4" t="str">
        <f aca="false">IF(AND(M745=0,P745=0),"▶ NEXT","")</f>
        <v/>
      </c>
      <c r="L745" s="4" t="n">
        <f aca="false">INDEX('Master List'!$F$2:$F$2594,O745)</f>
        <v>2</v>
      </c>
      <c r="M745" s="4" t="n">
        <f aca="false">INDEX('Master List'!$G$2:$G$2594,O745)</f>
        <v>0</v>
      </c>
      <c r="N745" s="4" t="str">
        <f aca="false">IF(K745="","",A745)</f>
        <v/>
      </c>
      <c r="O745" s="4" t="n">
        <v>2382</v>
      </c>
      <c r="P745" s="4" t="n">
        <f aca="false">IF(A745=A744,P744+1-M744,0)</f>
        <v>5</v>
      </c>
    </row>
    <row r="746" customFormat="false" ht="15" hidden="false" customHeight="false" outlineLevel="0" collapsed="false">
      <c r="A746" s="28" t="s">
        <v>3997</v>
      </c>
      <c r="B746" s="28" t="s">
        <v>51</v>
      </c>
      <c r="C746" s="28" t="s">
        <v>81</v>
      </c>
      <c r="D746" s="28" t="s">
        <v>3998</v>
      </c>
      <c r="E746" s="4" t="n">
        <v>7</v>
      </c>
      <c r="F746" s="4" t="s">
        <v>213</v>
      </c>
      <c r="G746" s="4" t="s">
        <v>3066</v>
      </c>
      <c r="H746" s="4" t="n">
        <v>2015</v>
      </c>
      <c r="I746" s="4" t="s">
        <v>3067</v>
      </c>
      <c r="J746" s="25" t="str">
        <f aca="false">IF(M746=1,"✓","")</f>
        <v/>
      </c>
      <c r="K746" s="4" t="str">
        <f aca="false">IF(AND(M746=0,P746=0),"▶ NEXT","")</f>
        <v/>
      </c>
      <c r="L746" s="4" t="n">
        <f aca="false">INDEX('Master List'!$F$2:$F$2594,O746)</f>
        <v>1</v>
      </c>
      <c r="M746" s="4" t="n">
        <f aca="false">INDEX('Master List'!$G$2:$G$2594,O746)</f>
        <v>0</v>
      </c>
      <c r="N746" s="4" t="str">
        <f aca="false">IF(K746="","",A746)</f>
        <v/>
      </c>
      <c r="O746" s="4" t="n">
        <v>2110</v>
      </c>
      <c r="P746" s="4" t="n">
        <f aca="false">IF(A746=A745,P745+1-M745,0)</f>
        <v>6</v>
      </c>
    </row>
    <row r="747" customFormat="false" ht="15" hidden="false" customHeight="false" outlineLevel="0" collapsed="false">
      <c r="A747" s="28" t="s">
        <v>3997</v>
      </c>
      <c r="B747" s="28" t="s">
        <v>51</v>
      </c>
      <c r="C747" s="28" t="s">
        <v>81</v>
      </c>
      <c r="D747" s="28" t="s">
        <v>3998</v>
      </c>
      <c r="E747" s="4" t="n">
        <v>8</v>
      </c>
      <c r="F747" s="4" t="s">
        <v>1327</v>
      </c>
      <c r="G747" s="4" t="s">
        <v>3646</v>
      </c>
      <c r="H747" s="4" t="n">
        <v>1988</v>
      </c>
      <c r="I747" s="4" t="s">
        <v>618</v>
      </c>
      <c r="J747" s="25" t="str">
        <f aca="false">IF(M747=1,"✓","")</f>
        <v/>
      </c>
      <c r="K747" s="4" t="str">
        <f aca="false">IF(AND(M747=0,P747=0),"▶ NEXT","")</f>
        <v/>
      </c>
      <c r="L747" s="4" t="n">
        <f aca="false">INDEX('Master List'!$F$2:$F$2594,O747)</f>
        <v>1</v>
      </c>
      <c r="M747" s="4" t="n">
        <f aca="false">INDEX('Master List'!$G$2:$G$2594,O747)</f>
        <v>0</v>
      </c>
      <c r="N747" s="4" t="str">
        <f aca="false">IF(K747="","",A747)</f>
        <v/>
      </c>
      <c r="O747" s="4" t="n">
        <v>557</v>
      </c>
      <c r="P747" s="4" t="n">
        <f aca="false">IF(A747=A746,P746+1-M746,0)</f>
        <v>7</v>
      </c>
    </row>
    <row r="748" customFormat="false" ht="15" hidden="false" customHeight="false" outlineLevel="0" collapsed="false">
      <c r="A748" s="28" t="s">
        <v>3997</v>
      </c>
      <c r="B748" s="28" t="s">
        <v>51</v>
      </c>
      <c r="C748" s="28" t="s">
        <v>81</v>
      </c>
      <c r="D748" s="28" t="s">
        <v>3998</v>
      </c>
      <c r="E748" s="4" t="n">
        <v>9</v>
      </c>
      <c r="F748" s="4" t="s">
        <v>1327</v>
      </c>
      <c r="G748" s="4" t="s">
        <v>3836</v>
      </c>
      <c r="H748" s="4" t="n">
        <v>2017</v>
      </c>
      <c r="I748" s="4" t="s">
        <v>3837</v>
      </c>
      <c r="J748" s="25" t="str">
        <f aca="false">IF(M748=1,"✓","")</f>
        <v/>
      </c>
      <c r="K748" s="4" t="str">
        <f aca="false">IF(AND(M748=0,P748=0),"▶ NEXT","")</f>
        <v/>
      </c>
      <c r="L748" s="4" t="n">
        <f aca="false">INDEX('Master List'!$F$2:$F$2594,O748)</f>
        <v>1</v>
      </c>
      <c r="M748" s="4" t="n">
        <f aca="false">INDEX('Master List'!$G$2:$G$2594,O748)</f>
        <v>0</v>
      </c>
      <c r="N748" s="4" t="str">
        <f aca="false">IF(K748="","",A748)</f>
        <v/>
      </c>
      <c r="O748" s="4" t="n">
        <v>1662</v>
      </c>
      <c r="P748" s="4" t="n">
        <f aca="false">IF(A748=A747,P747+1-M747,0)</f>
        <v>8</v>
      </c>
    </row>
    <row r="749" customFormat="false" ht="15" hidden="false" customHeight="false" outlineLevel="0" collapsed="false">
      <c r="A749" s="28" t="s">
        <v>3999</v>
      </c>
      <c r="B749" s="28" t="s">
        <v>51</v>
      </c>
      <c r="C749" s="28" t="s">
        <v>81</v>
      </c>
      <c r="D749" s="28" t="s">
        <v>4000</v>
      </c>
      <c r="E749" s="4" t="n">
        <v>1</v>
      </c>
      <c r="F749" s="4" t="s">
        <v>144</v>
      </c>
      <c r="G749" s="7" t="s">
        <v>1598</v>
      </c>
      <c r="H749" s="4" t="n">
        <v>2007</v>
      </c>
      <c r="I749" s="4" t="s">
        <v>1599</v>
      </c>
      <c r="J749" s="25" t="str">
        <f aca="false">IF(M749=1,"✓","")</f>
        <v/>
      </c>
      <c r="K749" s="4" t="str">
        <f aca="false">IF(AND(M749=0,P749=0),"▶ NEXT","")</f>
        <v>▶ NEXT</v>
      </c>
      <c r="L749" s="4" t="n">
        <f aca="false">INDEX('Master List'!$F$2:$F$2594,O749)</f>
        <v>1</v>
      </c>
      <c r="M749" s="4" t="n">
        <f aca="false">INDEX('Master List'!$G$2:$G$2594,O749)</f>
        <v>0</v>
      </c>
      <c r="N749" s="4" t="str">
        <f aca="false">IF(K749="","",A749)</f>
        <v>N063</v>
      </c>
      <c r="O749" s="4" t="n">
        <v>24</v>
      </c>
      <c r="P749" s="4" t="n">
        <f aca="false">IF(A749=A748,P748+1-M748,0)</f>
        <v>0</v>
      </c>
    </row>
    <row r="750" customFormat="false" ht="15" hidden="false" customHeight="false" outlineLevel="0" collapsed="false">
      <c r="A750" s="28" t="s">
        <v>3999</v>
      </c>
      <c r="B750" s="28" t="s">
        <v>51</v>
      </c>
      <c r="C750" s="28" t="s">
        <v>81</v>
      </c>
      <c r="D750" s="28" t="s">
        <v>4000</v>
      </c>
      <c r="E750" s="4" t="n">
        <v>2</v>
      </c>
      <c r="F750" s="4" t="s">
        <v>144</v>
      </c>
      <c r="G750" s="7" t="s">
        <v>1591</v>
      </c>
      <c r="H750" s="4" t="n">
        <v>2005</v>
      </c>
      <c r="I750" s="4" t="s">
        <v>1592</v>
      </c>
      <c r="J750" s="25" t="str">
        <f aca="false">IF(M750=1,"✓","")</f>
        <v/>
      </c>
      <c r="K750" s="4" t="str">
        <f aca="false">IF(AND(M750=0,P750=0),"▶ NEXT","")</f>
        <v/>
      </c>
      <c r="L750" s="4" t="n">
        <f aca="false">INDEX('Master List'!$F$2:$F$2594,O750)</f>
        <v>1</v>
      </c>
      <c r="M750" s="4" t="n">
        <f aca="false">INDEX('Master List'!$G$2:$G$2594,O750)</f>
        <v>0</v>
      </c>
      <c r="N750" s="4" t="str">
        <f aca="false">IF(K750="","",A750)</f>
        <v/>
      </c>
      <c r="O750" s="4" t="n">
        <v>593</v>
      </c>
      <c r="P750" s="4" t="n">
        <f aca="false">IF(A750=A749,P749+1-M749,0)</f>
        <v>1</v>
      </c>
    </row>
    <row r="751" customFormat="false" ht="15" hidden="false" customHeight="false" outlineLevel="0" collapsed="false">
      <c r="A751" s="28" t="s">
        <v>3999</v>
      </c>
      <c r="B751" s="28" t="s">
        <v>51</v>
      </c>
      <c r="C751" s="28" t="s">
        <v>81</v>
      </c>
      <c r="D751" s="28" t="s">
        <v>4000</v>
      </c>
      <c r="E751" s="4" t="n">
        <v>3</v>
      </c>
      <c r="F751" s="4" t="s">
        <v>213</v>
      </c>
      <c r="G751" s="4" t="s">
        <v>2848</v>
      </c>
      <c r="H751" s="4" t="n">
        <v>2006</v>
      </c>
      <c r="I751" s="4" t="s">
        <v>2849</v>
      </c>
      <c r="J751" s="25" t="str">
        <f aca="false">IF(M751=1,"✓","")</f>
        <v/>
      </c>
      <c r="K751" s="4" t="str">
        <f aca="false">IF(AND(M751=0,P751=0),"▶ NEXT","")</f>
        <v/>
      </c>
      <c r="L751" s="4" t="n">
        <f aca="false">INDEX('Master List'!$F$2:$F$2594,O751)</f>
        <v>1</v>
      </c>
      <c r="M751" s="4" t="n">
        <f aca="false">INDEX('Master List'!$G$2:$G$2594,O751)</f>
        <v>0</v>
      </c>
      <c r="N751" s="4" t="str">
        <f aca="false">IF(K751="","",A751)</f>
        <v/>
      </c>
      <c r="O751" s="4" t="n">
        <v>2</v>
      </c>
      <c r="P751" s="4" t="n">
        <f aca="false">IF(A751=A750,P750+1-M750,0)</f>
        <v>2</v>
      </c>
    </row>
    <row r="752" customFormat="false" ht="15" hidden="false" customHeight="false" outlineLevel="0" collapsed="false">
      <c r="A752" s="28" t="s">
        <v>3999</v>
      </c>
      <c r="B752" s="28" t="s">
        <v>51</v>
      </c>
      <c r="C752" s="28" t="s">
        <v>81</v>
      </c>
      <c r="D752" s="28" t="s">
        <v>4000</v>
      </c>
      <c r="E752" s="4" t="n">
        <v>4</v>
      </c>
      <c r="F752" s="4" t="s">
        <v>213</v>
      </c>
      <c r="G752" s="4" t="s">
        <v>2921</v>
      </c>
      <c r="H752" s="4" t="n">
        <v>2009</v>
      </c>
      <c r="I752" s="4" t="s">
        <v>2849</v>
      </c>
      <c r="J752" s="25" t="str">
        <f aca="false">IF(M752=1,"✓","")</f>
        <v/>
      </c>
      <c r="K752" s="4" t="str">
        <f aca="false">IF(AND(M752=0,P752=0),"▶ NEXT","")</f>
        <v/>
      </c>
      <c r="L752" s="4" t="n">
        <f aca="false">INDEX('Master List'!$F$2:$F$2594,O752)</f>
        <v>1</v>
      </c>
      <c r="M752" s="4" t="n">
        <f aca="false">INDEX('Master List'!$G$2:$G$2594,O752)</f>
        <v>0</v>
      </c>
      <c r="N752" s="4" t="str">
        <f aca="false">IF(K752="","",A752)</f>
        <v/>
      </c>
      <c r="O752" s="4" t="n">
        <v>1787</v>
      </c>
      <c r="P752" s="4" t="n">
        <f aca="false">IF(A752=A751,P751+1-M751,0)</f>
        <v>3</v>
      </c>
    </row>
    <row r="753" customFormat="false" ht="15" hidden="false" customHeight="false" outlineLevel="0" collapsed="false">
      <c r="A753" s="28" t="s">
        <v>3999</v>
      </c>
      <c r="B753" s="28" t="s">
        <v>51</v>
      </c>
      <c r="C753" s="28" t="s">
        <v>81</v>
      </c>
      <c r="D753" s="28" t="s">
        <v>4000</v>
      </c>
      <c r="E753" s="4" t="n">
        <v>5</v>
      </c>
      <c r="F753" s="4" t="s">
        <v>213</v>
      </c>
      <c r="G753" s="4" t="s">
        <v>2993</v>
      </c>
      <c r="H753" s="4" t="n">
        <v>2012</v>
      </c>
      <c r="I753" s="4" t="s">
        <v>1599</v>
      </c>
      <c r="J753" s="25" t="str">
        <f aca="false">IF(M753=1,"✓","")</f>
        <v/>
      </c>
      <c r="K753" s="4" t="str">
        <f aca="false">IF(AND(M753=0,P753=0),"▶ NEXT","")</f>
        <v/>
      </c>
      <c r="L753" s="4" t="n">
        <f aca="false">INDEX('Master List'!$F$2:$F$2594,O753)</f>
        <v>1</v>
      </c>
      <c r="M753" s="4" t="n">
        <f aca="false">INDEX('Master List'!$G$2:$G$2594,O753)</f>
        <v>0</v>
      </c>
      <c r="N753" s="4" t="str">
        <f aca="false">IF(K753="","",A753)</f>
        <v/>
      </c>
      <c r="O753" s="4" t="n">
        <v>236</v>
      </c>
      <c r="P753" s="4" t="n">
        <f aca="false">IF(A753=A752,P752+1-M752,0)</f>
        <v>4</v>
      </c>
    </row>
    <row r="754" customFormat="false" ht="15" hidden="false" customHeight="false" outlineLevel="0" collapsed="false">
      <c r="A754" s="28" t="s">
        <v>3999</v>
      </c>
      <c r="B754" s="28" t="s">
        <v>51</v>
      </c>
      <c r="C754" s="28" t="s">
        <v>81</v>
      </c>
      <c r="D754" s="28" t="s">
        <v>4000</v>
      </c>
      <c r="E754" s="4" t="n">
        <v>6</v>
      </c>
      <c r="F754" s="4" t="s">
        <v>213</v>
      </c>
      <c r="G754" s="4" t="s">
        <v>3020</v>
      </c>
      <c r="H754" s="4" t="n">
        <v>2013</v>
      </c>
      <c r="I754" s="4" t="s">
        <v>3021</v>
      </c>
      <c r="J754" s="25" t="str">
        <f aca="false">IF(M754=1,"✓","")</f>
        <v/>
      </c>
      <c r="K754" s="4" t="str">
        <f aca="false">IF(AND(M754=0,P754=0),"▶ NEXT","")</f>
        <v/>
      </c>
      <c r="L754" s="4" t="n">
        <f aca="false">INDEX('Master List'!$F$2:$F$2594,O754)</f>
        <v>1</v>
      </c>
      <c r="M754" s="4" t="n">
        <f aca="false">INDEX('Master List'!$G$2:$G$2594,O754)</f>
        <v>0</v>
      </c>
      <c r="N754" s="4" t="str">
        <f aca="false">IF(K754="","",A754)</f>
        <v/>
      </c>
      <c r="O754" s="4" t="n">
        <v>442</v>
      </c>
      <c r="P754" s="4" t="n">
        <f aca="false">IF(A754=A753,P753+1-M753,0)</f>
        <v>5</v>
      </c>
    </row>
    <row r="755" customFormat="false" ht="15" hidden="false" customHeight="false" outlineLevel="0" collapsed="false">
      <c r="A755" s="28" t="s">
        <v>3999</v>
      </c>
      <c r="B755" s="28" t="s">
        <v>51</v>
      </c>
      <c r="C755" s="28" t="s">
        <v>81</v>
      </c>
      <c r="D755" s="28" t="s">
        <v>4000</v>
      </c>
      <c r="E755" s="4" t="n">
        <v>7</v>
      </c>
      <c r="F755" s="4" t="s">
        <v>213</v>
      </c>
      <c r="G755" s="4" t="s">
        <v>3094</v>
      </c>
      <c r="H755" s="4" t="n">
        <v>2016</v>
      </c>
      <c r="I755" s="4" t="s">
        <v>1599</v>
      </c>
      <c r="J755" s="25" t="str">
        <f aca="false">IF(M755=1,"✓","")</f>
        <v/>
      </c>
      <c r="K755" s="4" t="str">
        <f aca="false">IF(AND(M755=0,P755=0),"▶ NEXT","")</f>
        <v/>
      </c>
      <c r="L755" s="4" t="n">
        <f aca="false">INDEX('Master List'!$F$2:$F$2594,O755)</f>
        <v>1</v>
      </c>
      <c r="M755" s="4" t="n">
        <f aca="false">INDEX('Master List'!$G$2:$G$2594,O755)</f>
        <v>0</v>
      </c>
      <c r="N755" s="4" t="str">
        <f aca="false">IF(K755="","",A755)</f>
        <v/>
      </c>
      <c r="O755" s="4" t="n">
        <v>940</v>
      </c>
      <c r="P755" s="4" t="n">
        <f aca="false">IF(A755=A754,P754+1-M754,0)</f>
        <v>6</v>
      </c>
    </row>
    <row r="756" customFormat="false" ht="15" hidden="false" customHeight="false" outlineLevel="0" collapsed="false">
      <c r="A756" s="28" t="s">
        <v>3999</v>
      </c>
      <c r="B756" s="28" t="s">
        <v>51</v>
      </c>
      <c r="C756" s="28" t="s">
        <v>81</v>
      </c>
      <c r="D756" s="28" t="s">
        <v>4000</v>
      </c>
      <c r="E756" s="4" t="n">
        <v>8</v>
      </c>
      <c r="F756" s="4" t="s">
        <v>213</v>
      </c>
      <c r="G756" s="4" t="s">
        <v>3204</v>
      </c>
      <c r="H756" s="4" t="n">
        <v>2021</v>
      </c>
      <c r="I756" s="4" t="s">
        <v>3205</v>
      </c>
      <c r="J756" s="25" t="str">
        <f aca="false">IF(M756=1,"✓","")</f>
        <v/>
      </c>
      <c r="K756" s="4" t="str">
        <f aca="false">IF(AND(M756=0,P756=0),"▶ NEXT","")</f>
        <v/>
      </c>
      <c r="L756" s="4" t="n">
        <f aca="false">INDEX('Master List'!$F$2:$F$2594,O756)</f>
        <v>1</v>
      </c>
      <c r="M756" s="4" t="n">
        <f aca="false">INDEX('Master List'!$G$2:$G$2594,O756)</f>
        <v>0</v>
      </c>
      <c r="N756" s="4" t="str">
        <f aca="false">IF(K756="","",A756)</f>
        <v/>
      </c>
      <c r="O756" s="4" t="n">
        <v>170</v>
      </c>
      <c r="P756" s="4" t="n">
        <f aca="false">IF(A756=A755,P755+1-M755,0)</f>
        <v>7</v>
      </c>
    </row>
    <row r="757" customFormat="false" ht="15" hidden="false" customHeight="false" outlineLevel="0" collapsed="false">
      <c r="A757" s="28" t="s">
        <v>3999</v>
      </c>
      <c r="B757" s="28" t="s">
        <v>51</v>
      </c>
      <c r="C757" s="28" t="s">
        <v>81</v>
      </c>
      <c r="D757" s="28" t="s">
        <v>4000</v>
      </c>
      <c r="E757" s="4" t="n">
        <v>9</v>
      </c>
      <c r="F757" s="4" t="s">
        <v>1327</v>
      </c>
      <c r="G757" s="4" t="s">
        <v>3792</v>
      </c>
      <c r="H757" s="4" t="n">
        <v>2010</v>
      </c>
      <c r="I757" s="4" t="s">
        <v>1592</v>
      </c>
      <c r="J757" s="25" t="str">
        <f aca="false">IF(M757=1,"✓","")</f>
        <v/>
      </c>
      <c r="K757" s="4" t="str">
        <f aca="false">IF(AND(M757=0,P757=0),"▶ NEXT","")</f>
        <v/>
      </c>
      <c r="L757" s="4" t="n">
        <f aca="false">INDEX('Master List'!$F$2:$F$2594,O757)</f>
        <v>1</v>
      </c>
      <c r="M757" s="4" t="n">
        <f aca="false">INDEX('Master List'!$G$2:$G$2594,O757)</f>
        <v>0</v>
      </c>
      <c r="N757" s="4" t="str">
        <f aca="false">IF(K757="","",A757)</f>
        <v/>
      </c>
      <c r="O757" s="4" t="n">
        <v>151</v>
      </c>
      <c r="P757" s="4" t="n">
        <f aca="false">IF(A757=A756,P756+1-M756,0)</f>
        <v>8</v>
      </c>
    </row>
    <row r="758" customFormat="false" ht="15" hidden="false" customHeight="false" outlineLevel="0" collapsed="false">
      <c r="A758" s="28" t="s">
        <v>3999</v>
      </c>
      <c r="B758" s="28" t="s">
        <v>51</v>
      </c>
      <c r="C758" s="28" t="s">
        <v>81</v>
      </c>
      <c r="D758" s="28" t="s">
        <v>4000</v>
      </c>
      <c r="E758" s="4" t="n">
        <v>10</v>
      </c>
      <c r="F758" s="4" t="s">
        <v>1327</v>
      </c>
      <c r="G758" s="4" t="s">
        <v>3863</v>
      </c>
      <c r="H758" s="4" t="n">
        <v>2023</v>
      </c>
      <c r="I758" s="4" t="s">
        <v>3205</v>
      </c>
      <c r="J758" s="25" t="str">
        <f aca="false">IF(M758=1,"✓","")</f>
        <v/>
      </c>
      <c r="K758" s="4" t="str">
        <f aca="false">IF(AND(M758=0,P758=0),"▶ NEXT","")</f>
        <v/>
      </c>
      <c r="L758" s="4" t="n">
        <f aca="false">INDEX('Master List'!$F$2:$F$2594,O758)</f>
        <v>1</v>
      </c>
      <c r="M758" s="4" t="n">
        <f aca="false">INDEX('Master List'!$G$2:$G$2594,O758)</f>
        <v>0</v>
      </c>
      <c r="N758" s="4" t="str">
        <f aca="false">IF(K758="","",A758)</f>
        <v/>
      </c>
      <c r="O758" s="4" t="n">
        <v>645</v>
      </c>
      <c r="P758" s="4" t="n">
        <f aca="false">IF(A758=A757,P757+1-M757,0)</f>
        <v>9</v>
      </c>
    </row>
    <row r="759" customFormat="false" ht="15" hidden="false" customHeight="false" outlineLevel="0" collapsed="false">
      <c r="A759" s="28" t="s">
        <v>4001</v>
      </c>
      <c r="B759" s="28" t="s">
        <v>51</v>
      </c>
      <c r="C759" s="28" t="s">
        <v>82</v>
      </c>
      <c r="D759" s="28" t="s">
        <v>4002</v>
      </c>
      <c r="E759" s="4" t="n">
        <v>1</v>
      </c>
      <c r="F759" s="4" t="s">
        <v>144</v>
      </c>
      <c r="G759" s="7" t="s">
        <v>662</v>
      </c>
      <c r="H759" s="4" t="n">
        <v>1961</v>
      </c>
      <c r="I759" s="4" t="s">
        <v>402</v>
      </c>
      <c r="J759" s="25" t="str">
        <f aca="false">IF(M759=1,"✓","")</f>
        <v/>
      </c>
      <c r="K759" s="4" t="str">
        <f aca="false">IF(AND(M759=0,P759=0),"▶ NEXT","")</f>
        <v>▶ NEXT</v>
      </c>
      <c r="L759" s="4" t="n">
        <f aca="false">INDEX('Master List'!$F$2:$F$2594,O759)</f>
        <v>2</v>
      </c>
      <c r="M759" s="4" t="n">
        <f aca="false">INDEX('Master List'!$G$2:$G$2594,O759)</f>
        <v>0</v>
      </c>
      <c r="N759" s="4" t="str">
        <f aca="false">IF(K759="","",A759)</f>
        <v>N064</v>
      </c>
      <c r="O759" s="4" t="n">
        <v>2437</v>
      </c>
      <c r="P759" s="4" t="n">
        <f aca="false">IF(A759=A758,P758+1-M758,0)</f>
        <v>0</v>
      </c>
    </row>
    <row r="760" customFormat="false" ht="15" hidden="false" customHeight="false" outlineLevel="0" collapsed="false">
      <c r="A760" s="28" t="s">
        <v>4001</v>
      </c>
      <c r="B760" s="28" t="s">
        <v>51</v>
      </c>
      <c r="C760" s="28" t="s">
        <v>82</v>
      </c>
      <c r="D760" s="28" t="s">
        <v>4002</v>
      </c>
      <c r="E760" s="4" t="n">
        <v>2</v>
      </c>
      <c r="F760" s="4" t="s">
        <v>144</v>
      </c>
      <c r="G760" s="7" t="s">
        <v>792</v>
      </c>
      <c r="H760" s="4" t="n">
        <v>1973</v>
      </c>
      <c r="I760" s="4" t="s">
        <v>793</v>
      </c>
      <c r="J760" s="25" t="str">
        <f aca="false">IF(M760=1,"✓","")</f>
        <v/>
      </c>
      <c r="K760" s="4" t="str">
        <f aca="false">IF(AND(M760=0,P760=0),"▶ NEXT","")</f>
        <v/>
      </c>
      <c r="L760" s="4" t="n">
        <f aca="false">INDEX('Master List'!$F$2:$F$2594,O760)</f>
        <v>2</v>
      </c>
      <c r="M760" s="4" t="n">
        <f aca="false">INDEX('Master List'!$G$2:$G$2594,O760)</f>
        <v>0</v>
      </c>
      <c r="N760" s="4" t="str">
        <f aca="false">IF(K760="","",A760)</f>
        <v/>
      </c>
      <c r="O760" s="4" t="n">
        <v>2134</v>
      </c>
      <c r="P760" s="4" t="n">
        <f aca="false">IF(A760=A759,P759+1-M759,0)</f>
        <v>1</v>
      </c>
    </row>
    <row r="761" customFormat="false" ht="15" hidden="false" customHeight="false" outlineLevel="0" collapsed="false">
      <c r="A761" s="28" t="s">
        <v>4001</v>
      </c>
      <c r="B761" s="28" t="s">
        <v>51</v>
      </c>
      <c r="C761" s="28" t="s">
        <v>82</v>
      </c>
      <c r="D761" s="28" t="s">
        <v>4002</v>
      </c>
      <c r="E761" s="4" t="n">
        <v>3</v>
      </c>
      <c r="F761" s="4" t="s">
        <v>213</v>
      </c>
      <c r="G761" s="4" t="s">
        <v>1890</v>
      </c>
      <c r="H761" s="4" t="n">
        <v>1953</v>
      </c>
      <c r="I761" s="4" t="s">
        <v>1891</v>
      </c>
      <c r="J761" s="25" t="str">
        <f aca="false">IF(M761=1,"✓","")</f>
        <v/>
      </c>
      <c r="K761" s="4" t="str">
        <f aca="false">IF(AND(M761=0,P761=0),"▶ NEXT","")</f>
        <v/>
      </c>
      <c r="L761" s="4" t="n">
        <f aca="false">INDEX('Master List'!$F$2:$F$2594,O761)</f>
        <v>1</v>
      </c>
      <c r="M761" s="4" t="n">
        <f aca="false">INDEX('Master List'!$G$2:$G$2594,O761)</f>
        <v>0</v>
      </c>
      <c r="N761" s="4" t="str">
        <f aca="false">IF(K761="","",A761)</f>
        <v/>
      </c>
      <c r="O761" s="4" t="n">
        <v>2479</v>
      </c>
      <c r="P761" s="4" t="n">
        <f aca="false">IF(A761=A760,P760+1-M760,0)</f>
        <v>2</v>
      </c>
    </row>
    <row r="762" customFormat="false" ht="15" hidden="false" customHeight="false" outlineLevel="0" collapsed="false">
      <c r="A762" s="28" t="s">
        <v>4001</v>
      </c>
      <c r="B762" s="28" t="s">
        <v>51</v>
      </c>
      <c r="C762" s="28" t="s">
        <v>82</v>
      </c>
      <c r="D762" s="28" t="s">
        <v>4002</v>
      </c>
      <c r="E762" s="4" t="n">
        <v>4</v>
      </c>
      <c r="F762" s="4" t="s">
        <v>213</v>
      </c>
      <c r="G762" s="4" t="s">
        <v>1917</v>
      </c>
      <c r="H762" s="4" t="n">
        <v>1955</v>
      </c>
      <c r="I762" s="4" t="s">
        <v>1918</v>
      </c>
      <c r="J762" s="25" t="str">
        <f aca="false">IF(M762=1,"✓","")</f>
        <v/>
      </c>
      <c r="K762" s="4" t="str">
        <f aca="false">IF(AND(M762=0,P762=0),"▶ NEXT","")</f>
        <v/>
      </c>
      <c r="L762" s="4" t="n">
        <f aca="false">INDEX('Master List'!$F$2:$F$2594,O762)</f>
        <v>1</v>
      </c>
      <c r="M762" s="4" t="n">
        <f aca="false">INDEX('Master List'!$G$2:$G$2594,O762)</f>
        <v>0</v>
      </c>
      <c r="N762" s="4" t="str">
        <f aca="false">IF(K762="","",A762)</f>
        <v/>
      </c>
      <c r="O762" s="4" t="n">
        <v>592</v>
      </c>
      <c r="P762" s="4" t="n">
        <f aca="false">IF(A762=A761,P761+1-M761,0)</f>
        <v>3</v>
      </c>
    </row>
    <row r="763" customFormat="false" ht="15" hidden="false" customHeight="false" outlineLevel="0" collapsed="false">
      <c r="A763" s="28" t="s">
        <v>4001</v>
      </c>
      <c r="B763" s="28" t="s">
        <v>51</v>
      </c>
      <c r="C763" s="28" t="s">
        <v>82</v>
      </c>
      <c r="D763" s="28" t="s">
        <v>4002</v>
      </c>
      <c r="E763" s="4" t="n">
        <v>5</v>
      </c>
      <c r="F763" s="4" t="s">
        <v>213</v>
      </c>
      <c r="G763" s="4" t="s">
        <v>2024</v>
      </c>
      <c r="H763" s="4" t="n">
        <v>1963</v>
      </c>
      <c r="I763" s="4" t="s">
        <v>1891</v>
      </c>
      <c r="J763" s="25" t="str">
        <f aca="false">IF(M763=1,"✓","")</f>
        <v/>
      </c>
      <c r="K763" s="4" t="str">
        <f aca="false">IF(AND(M763=0,P763=0),"▶ NEXT","")</f>
        <v/>
      </c>
      <c r="L763" s="4" t="n">
        <f aca="false">INDEX('Master List'!$F$2:$F$2594,O763)</f>
        <v>1</v>
      </c>
      <c r="M763" s="4" t="n">
        <f aca="false">INDEX('Master List'!$G$2:$G$2594,O763)</f>
        <v>0</v>
      </c>
      <c r="N763" s="4" t="str">
        <f aca="false">IF(K763="","",A763)</f>
        <v/>
      </c>
      <c r="O763" s="4" t="n">
        <v>757</v>
      </c>
      <c r="P763" s="4" t="n">
        <f aca="false">IF(A763=A762,P762+1-M762,0)</f>
        <v>4</v>
      </c>
    </row>
    <row r="764" customFormat="false" ht="15" hidden="false" customHeight="false" outlineLevel="0" collapsed="false">
      <c r="A764" s="28" t="s">
        <v>4001</v>
      </c>
      <c r="B764" s="28" t="s">
        <v>51</v>
      </c>
      <c r="C764" s="28" t="s">
        <v>82</v>
      </c>
      <c r="D764" s="28" t="s">
        <v>4002</v>
      </c>
      <c r="E764" s="4" t="n">
        <v>6</v>
      </c>
      <c r="F764" s="4" t="s">
        <v>213</v>
      </c>
      <c r="G764" s="4" t="s">
        <v>2282</v>
      </c>
      <c r="H764" s="4" t="n">
        <v>1976</v>
      </c>
      <c r="I764" s="4" t="s">
        <v>2283</v>
      </c>
      <c r="J764" s="25" t="str">
        <f aca="false">IF(M764=1,"✓","")</f>
        <v/>
      </c>
      <c r="K764" s="4" t="str">
        <f aca="false">IF(AND(M764=0,P764=0),"▶ NEXT","")</f>
        <v/>
      </c>
      <c r="L764" s="4" t="n">
        <f aca="false">INDEX('Master List'!$F$2:$F$2594,O764)</f>
        <v>1</v>
      </c>
      <c r="M764" s="4" t="n">
        <f aca="false">INDEX('Master List'!$G$2:$G$2594,O764)</f>
        <v>0</v>
      </c>
      <c r="N764" s="4" t="str">
        <f aca="false">IF(K764="","",A764)</f>
        <v/>
      </c>
      <c r="O764" s="4" t="n">
        <v>534</v>
      </c>
      <c r="P764" s="4" t="n">
        <f aca="false">IF(A764=A763,P763+1-M763,0)</f>
        <v>5</v>
      </c>
    </row>
    <row r="765" customFormat="false" ht="15" hidden="false" customHeight="false" outlineLevel="0" collapsed="false">
      <c r="A765" s="28" t="s">
        <v>4001</v>
      </c>
      <c r="B765" s="28" t="s">
        <v>51</v>
      </c>
      <c r="C765" s="28" t="s">
        <v>82</v>
      </c>
      <c r="D765" s="28" t="s">
        <v>4002</v>
      </c>
      <c r="E765" s="4" t="n">
        <v>7</v>
      </c>
      <c r="F765" s="4" t="s">
        <v>213</v>
      </c>
      <c r="G765" s="4" t="s">
        <v>1086</v>
      </c>
      <c r="H765" s="4" t="n">
        <v>1988</v>
      </c>
      <c r="I765" s="4" t="s">
        <v>1087</v>
      </c>
      <c r="J765" s="25" t="str">
        <f aca="false">IF(M765=1,"✓","")</f>
        <v/>
      </c>
      <c r="K765" s="4" t="str">
        <f aca="false">IF(AND(M765=0,P765=0),"▶ NEXT","")</f>
        <v/>
      </c>
      <c r="L765" s="4" t="n">
        <f aca="false">INDEX('Master List'!$F$2:$F$2594,O765)</f>
        <v>2</v>
      </c>
      <c r="M765" s="4" t="n">
        <f aca="false">INDEX('Master List'!$G$2:$G$2594,O765)</f>
        <v>0</v>
      </c>
      <c r="N765" s="4" t="str">
        <f aca="false">IF(K765="","",A765)</f>
        <v/>
      </c>
      <c r="O765" s="4" t="n">
        <v>2548</v>
      </c>
      <c r="P765" s="4" t="n">
        <f aca="false">IF(A765=A764,P764+1-M764,0)</f>
        <v>6</v>
      </c>
    </row>
    <row r="766" customFormat="false" ht="15" hidden="false" customHeight="false" outlineLevel="0" collapsed="false">
      <c r="A766" s="28" t="s">
        <v>4001</v>
      </c>
      <c r="B766" s="28" t="s">
        <v>51</v>
      </c>
      <c r="C766" s="28" t="s">
        <v>82</v>
      </c>
      <c r="D766" s="28" t="s">
        <v>4002</v>
      </c>
      <c r="E766" s="4" t="n">
        <v>8</v>
      </c>
      <c r="F766" s="4" t="s">
        <v>213</v>
      </c>
      <c r="G766" s="4" t="s">
        <v>1144</v>
      </c>
      <c r="H766" s="4" t="n">
        <v>2001</v>
      </c>
      <c r="I766" s="4" t="s">
        <v>1145</v>
      </c>
      <c r="J766" s="25" t="str">
        <f aca="false">IF(M766=1,"✓","")</f>
        <v/>
      </c>
      <c r="K766" s="4" t="str">
        <f aca="false">IF(AND(M766=0,P766=0),"▶ NEXT","")</f>
        <v/>
      </c>
      <c r="L766" s="4" t="n">
        <f aca="false">INDEX('Master List'!$F$2:$F$2594,O766)</f>
        <v>2</v>
      </c>
      <c r="M766" s="4" t="n">
        <f aca="false">INDEX('Master List'!$G$2:$G$2594,O766)</f>
        <v>0</v>
      </c>
      <c r="N766" s="4" t="str">
        <f aca="false">IF(K766="","",A766)</f>
        <v/>
      </c>
      <c r="O766" s="4" t="n">
        <v>1697</v>
      </c>
      <c r="P766" s="4" t="n">
        <f aca="false">IF(A766=A765,P765+1-M765,0)</f>
        <v>7</v>
      </c>
    </row>
    <row r="767" customFormat="false" ht="15" hidden="false" customHeight="false" outlineLevel="0" collapsed="false">
      <c r="A767" s="28" t="s">
        <v>4001</v>
      </c>
      <c r="B767" s="28" t="s">
        <v>51</v>
      </c>
      <c r="C767" s="28" t="s">
        <v>82</v>
      </c>
      <c r="D767" s="28" t="s">
        <v>4002</v>
      </c>
      <c r="E767" s="4" t="n">
        <v>9</v>
      </c>
      <c r="F767" s="4" t="s">
        <v>213</v>
      </c>
      <c r="G767" s="4" t="s">
        <v>2850</v>
      </c>
      <c r="H767" s="4" t="n">
        <v>2006</v>
      </c>
      <c r="I767" s="4" t="s">
        <v>1147</v>
      </c>
      <c r="J767" s="25" t="str">
        <f aca="false">IF(M767=1,"✓","")</f>
        <v/>
      </c>
      <c r="K767" s="4" t="str">
        <f aca="false">IF(AND(M767=0,P767=0),"▶ NEXT","")</f>
        <v/>
      </c>
      <c r="L767" s="4" t="n">
        <f aca="false">INDEX('Master List'!$F$2:$F$2594,O767)</f>
        <v>1</v>
      </c>
      <c r="M767" s="4" t="n">
        <f aca="false">INDEX('Master List'!$G$2:$G$2594,O767)</f>
        <v>0</v>
      </c>
      <c r="N767" s="4" t="str">
        <f aca="false">IF(K767="","",A767)</f>
        <v/>
      </c>
      <c r="O767" s="4" t="n">
        <v>1711</v>
      </c>
      <c r="P767" s="4" t="n">
        <f aca="false">IF(A767=A766,P766+1-M766,0)</f>
        <v>8</v>
      </c>
    </row>
    <row r="768" customFormat="false" ht="15" hidden="false" customHeight="false" outlineLevel="0" collapsed="false">
      <c r="A768" s="28" t="s">
        <v>4001</v>
      </c>
      <c r="B768" s="28" t="s">
        <v>51</v>
      </c>
      <c r="C768" s="28" t="s">
        <v>82</v>
      </c>
      <c r="D768" s="28" t="s">
        <v>4002</v>
      </c>
      <c r="E768" s="4" t="n">
        <v>10</v>
      </c>
      <c r="F768" s="4" t="s">
        <v>1327</v>
      </c>
      <c r="G768" s="4" t="s">
        <v>3614</v>
      </c>
      <c r="H768" s="4" t="n">
        <v>1983</v>
      </c>
      <c r="I768" s="4" t="s">
        <v>793</v>
      </c>
      <c r="J768" s="25" t="str">
        <f aca="false">IF(M768=1,"✓","")</f>
        <v/>
      </c>
      <c r="K768" s="4" t="str">
        <f aca="false">IF(AND(M768=0,P768=0),"▶ NEXT","")</f>
        <v/>
      </c>
      <c r="L768" s="4" t="n">
        <f aca="false">INDEX('Master List'!$F$2:$F$2594,O768)</f>
        <v>1</v>
      </c>
      <c r="M768" s="4" t="n">
        <f aca="false">INDEX('Master List'!$G$2:$G$2594,O768)</f>
        <v>0</v>
      </c>
      <c r="N768" s="4" t="str">
        <f aca="false">IF(K768="","",A768)</f>
        <v/>
      </c>
      <c r="O768" s="4" t="n">
        <v>2207</v>
      </c>
      <c r="P768" s="4" t="n">
        <f aca="false">IF(A768=A767,P767+1-M767,0)</f>
        <v>9</v>
      </c>
    </row>
    <row r="769" customFormat="false" ht="15" hidden="false" customHeight="false" outlineLevel="0" collapsed="false">
      <c r="A769" s="28" t="s">
        <v>4001</v>
      </c>
      <c r="B769" s="28" t="s">
        <v>51</v>
      </c>
      <c r="C769" s="28" t="s">
        <v>82</v>
      </c>
      <c r="D769" s="28" t="s">
        <v>4002</v>
      </c>
      <c r="E769" s="4" t="n">
        <v>11</v>
      </c>
      <c r="F769" s="4" t="s">
        <v>1327</v>
      </c>
      <c r="G769" s="4" t="s">
        <v>3864</v>
      </c>
      <c r="H769" s="4" t="n">
        <v>2023</v>
      </c>
      <c r="I769" s="4" t="s">
        <v>793</v>
      </c>
      <c r="J769" s="25" t="str">
        <f aca="false">IF(M769=1,"✓","")</f>
        <v/>
      </c>
      <c r="K769" s="4" t="str">
        <f aca="false">IF(AND(M769=0,P769=0),"▶ NEXT","")</f>
        <v/>
      </c>
      <c r="L769" s="4" t="n">
        <f aca="false">INDEX('Master List'!$F$2:$F$2594,O769)</f>
        <v>1</v>
      </c>
      <c r="M769" s="4" t="n">
        <f aca="false">INDEX('Master List'!$G$2:$G$2594,O769)</f>
        <v>0</v>
      </c>
      <c r="N769" s="4" t="str">
        <f aca="false">IF(K769="","",A769)</f>
        <v/>
      </c>
      <c r="O769" s="4" t="n">
        <v>481</v>
      </c>
      <c r="P769" s="4" t="n">
        <f aca="false">IF(A769=A768,P768+1-M768,0)</f>
        <v>10</v>
      </c>
    </row>
    <row r="770" customFormat="false" ht="15" hidden="false" customHeight="false" outlineLevel="0" collapsed="false">
      <c r="A770" s="28" t="s">
        <v>4003</v>
      </c>
      <c r="B770" s="28" t="s">
        <v>51</v>
      </c>
      <c r="C770" s="28" t="s">
        <v>82</v>
      </c>
      <c r="D770" s="28" t="s">
        <v>4004</v>
      </c>
      <c r="E770" s="4" t="n">
        <v>1</v>
      </c>
      <c r="F770" s="4" t="s">
        <v>144</v>
      </c>
      <c r="G770" s="7" t="s">
        <v>741</v>
      </c>
      <c r="H770" s="4" t="n">
        <v>1950</v>
      </c>
      <c r="I770" s="4" t="s">
        <v>402</v>
      </c>
      <c r="J770" s="25" t="str">
        <f aca="false">IF(M770=1,"✓","")</f>
        <v/>
      </c>
      <c r="K770" s="4" t="str">
        <f aca="false">IF(AND(M770=0,P770=0),"▶ NEXT","")</f>
        <v>▶ NEXT</v>
      </c>
      <c r="L770" s="4" t="n">
        <f aca="false">INDEX('Master List'!$F$2:$F$2594,O770)</f>
        <v>2</v>
      </c>
      <c r="M770" s="4" t="n">
        <f aca="false">INDEX('Master List'!$G$2:$G$2594,O770)</f>
        <v>0</v>
      </c>
      <c r="N770" s="4" t="str">
        <f aca="false">IF(K770="","",A770)</f>
        <v>N065</v>
      </c>
      <c r="O770" s="4" t="n">
        <v>1383</v>
      </c>
      <c r="P770" s="4" t="n">
        <f aca="false">IF(A770=A769,P769+1-M769,0)</f>
        <v>0</v>
      </c>
    </row>
    <row r="771" customFormat="false" ht="15" hidden="false" customHeight="false" outlineLevel="0" collapsed="false">
      <c r="A771" s="28" t="s">
        <v>4003</v>
      </c>
      <c r="B771" s="28" t="s">
        <v>51</v>
      </c>
      <c r="C771" s="28" t="s">
        <v>82</v>
      </c>
      <c r="D771" s="28" t="s">
        <v>4004</v>
      </c>
      <c r="E771" s="4" t="n">
        <v>2</v>
      </c>
      <c r="F771" s="4" t="s">
        <v>144</v>
      </c>
      <c r="G771" s="7" t="s">
        <v>851</v>
      </c>
      <c r="H771" s="4" t="n">
        <v>2001</v>
      </c>
      <c r="I771" s="4" t="s">
        <v>384</v>
      </c>
      <c r="J771" s="25" t="str">
        <f aca="false">IF(M771=1,"✓","")</f>
        <v/>
      </c>
      <c r="K771" s="4" t="str">
        <f aca="false">IF(AND(M771=0,P771=0),"▶ NEXT","")</f>
        <v/>
      </c>
      <c r="L771" s="4" t="n">
        <f aca="false">INDEX('Master List'!$F$2:$F$2594,O771)</f>
        <v>2</v>
      </c>
      <c r="M771" s="4" t="n">
        <f aca="false">INDEX('Master List'!$G$2:$G$2594,O771)</f>
        <v>0</v>
      </c>
      <c r="N771" s="4" t="str">
        <f aca="false">IF(K771="","",A771)</f>
        <v/>
      </c>
      <c r="O771" s="4" t="n">
        <v>2563</v>
      </c>
      <c r="P771" s="4" t="n">
        <f aca="false">IF(A771=A770,P770+1-M770,0)</f>
        <v>1</v>
      </c>
    </row>
    <row r="772" customFormat="false" ht="15" hidden="false" customHeight="false" outlineLevel="0" collapsed="false">
      <c r="A772" s="28" t="s">
        <v>4003</v>
      </c>
      <c r="B772" s="28" t="s">
        <v>51</v>
      </c>
      <c r="C772" s="28" t="s">
        <v>82</v>
      </c>
      <c r="D772" s="28" t="s">
        <v>4004</v>
      </c>
      <c r="E772" s="4" t="n">
        <v>3</v>
      </c>
      <c r="F772" s="4" t="s">
        <v>213</v>
      </c>
      <c r="G772" s="4" t="s">
        <v>1834</v>
      </c>
      <c r="H772" s="4" t="n">
        <v>1946</v>
      </c>
      <c r="I772" s="4" t="s">
        <v>1835</v>
      </c>
      <c r="J772" s="25" t="str">
        <f aca="false">IF(M772=1,"✓","")</f>
        <v/>
      </c>
      <c r="K772" s="4" t="str">
        <f aca="false">IF(AND(M772=0,P772=0),"▶ NEXT","")</f>
        <v/>
      </c>
      <c r="L772" s="4" t="n">
        <f aca="false">INDEX('Master List'!$F$2:$F$2594,O772)</f>
        <v>1</v>
      </c>
      <c r="M772" s="4" t="n">
        <f aca="false">INDEX('Master List'!$G$2:$G$2594,O772)</f>
        <v>0</v>
      </c>
      <c r="N772" s="4" t="str">
        <f aca="false">IF(K772="","",A772)</f>
        <v/>
      </c>
      <c r="O772" s="4" t="n">
        <v>728</v>
      </c>
      <c r="P772" s="4" t="n">
        <f aca="false">IF(A772=A771,P771+1-M771,0)</f>
        <v>2</v>
      </c>
    </row>
    <row r="773" customFormat="false" ht="15" hidden="false" customHeight="false" outlineLevel="0" collapsed="false">
      <c r="A773" s="28" t="s">
        <v>4003</v>
      </c>
      <c r="B773" s="28" t="s">
        <v>51</v>
      </c>
      <c r="C773" s="28" t="s">
        <v>82</v>
      </c>
      <c r="D773" s="28" t="s">
        <v>4004</v>
      </c>
      <c r="E773" s="4" t="n">
        <v>4</v>
      </c>
      <c r="F773" s="4" t="s">
        <v>213</v>
      </c>
      <c r="G773" s="4" t="s">
        <v>584</v>
      </c>
      <c r="H773" s="4" t="n">
        <v>1962</v>
      </c>
      <c r="I773" s="4" t="s">
        <v>402</v>
      </c>
      <c r="J773" s="25" t="str">
        <f aca="false">IF(M773=1,"✓","")</f>
        <v/>
      </c>
      <c r="K773" s="4" t="str">
        <f aca="false">IF(AND(M773=0,P773=0),"▶ NEXT","")</f>
        <v/>
      </c>
      <c r="L773" s="4" t="n">
        <f aca="false">INDEX('Master List'!$F$2:$F$2594,O773)</f>
        <v>3</v>
      </c>
      <c r="M773" s="4" t="n">
        <f aca="false">INDEX('Master List'!$G$2:$G$2594,O773)</f>
        <v>0</v>
      </c>
      <c r="N773" s="4" t="str">
        <f aca="false">IF(K773="","",A773)</f>
        <v/>
      </c>
      <c r="O773" s="4" t="n">
        <v>765</v>
      </c>
      <c r="P773" s="4" t="n">
        <f aca="false">IF(A773=A772,P772+1-M772,0)</f>
        <v>3</v>
      </c>
    </row>
    <row r="774" customFormat="false" ht="15" hidden="false" customHeight="false" outlineLevel="0" collapsed="false">
      <c r="A774" s="28" t="s">
        <v>4003</v>
      </c>
      <c r="B774" s="28" t="s">
        <v>51</v>
      </c>
      <c r="C774" s="28" t="s">
        <v>82</v>
      </c>
      <c r="D774" s="28" t="s">
        <v>4004</v>
      </c>
      <c r="E774" s="4" t="n">
        <v>5</v>
      </c>
      <c r="F774" s="4" t="s">
        <v>213</v>
      </c>
      <c r="G774" s="4" t="s">
        <v>1136</v>
      </c>
      <c r="H774" s="4" t="n">
        <v>2000</v>
      </c>
      <c r="I774" s="4" t="s">
        <v>1137</v>
      </c>
      <c r="J774" s="25" t="str">
        <f aca="false">IF(M774=1,"✓","")</f>
        <v/>
      </c>
      <c r="K774" s="4" t="str">
        <f aca="false">IF(AND(M774=0,P774=0),"▶ NEXT","")</f>
        <v/>
      </c>
      <c r="L774" s="4" t="n">
        <f aca="false">INDEX('Master List'!$F$2:$F$2594,O774)</f>
        <v>2</v>
      </c>
      <c r="M774" s="4" t="n">
        <f aca="false">INDEX('Master List'!$G$2:$G$2594,O774)</f>
        <v>0</v>
      </c>
      <c r="N774" s="4" t="str">
        <f aca="false">IF(K774="","",A774)</f>
        <v/>
      </c>
      <c r="O774" s="4" t="n">
        <v>95</v>
      </c>
      <c r="P774" s="4" t="n">
        <f aca="false">IF(A774=A773,P773+1-M773,0)</f>
        <v>4</v>
      </c>
    </row>
    <row r="775" customFormat="false" ht="15" hidden="false" customHeight="false" outlineLevel="0" collapsed="false">
      <c r="A775" s="28" t="s">
        <v>4003</v>
      </c>
      <c r="B775" s="28" t="s">
        <v>51</v>
      </c>
      <c r="C775" s="28" t="s">
        <v>82</v>
      </c>
      <c r="D775" s="28" t="s">
        <v>4004</v>
      </c>
      <c r="E775" s="4" t="n">
        <v>6</v>
      </c>
      <c r="F775" s="4" t="s">
        <v>213</v>
      </c>
      <c r="G775" s="4" t="s">
        <v>1146</v>
      </c>
      <c r="H775" s="4" t="n">
        <v>2001</v>
      </c>
      <c r="I775" s="4" t="s">
        <v>1147</v>
      </c>
      <c r="J775" s="25" t="str">
        <f aca="false">IF(M775=1,"✓","")</f>
        <v/>
      </c>
      <c r="K775" s="4" t="str">
        <f aca="false">IF(AND(M775=0,P775=0),"▶ NEXT","")</f>
        <v/>
      </c>
      <c r="L775" s="4" t="n">
        <f aca="false">INDEX('Master List'!$F$2:$F$2594,O775)</f>
        <v>2</v>
      </c>
      <c r="M775" s="4" t="n">
        <f aca="false">INDEX('Master List'!$G$2:$G$2594,O775)</f>
        <v>0</v>
      </c>
      <c r="N775" s="4" t="str">
        <f aca="false">IF(K775="","",A775)</f>
        <v/>
      </c>
      <c r="O775" s="4" t="n">
        <v>622</v>
      </c>
      <c r="P775" s="4" t="n">
        <f aca="false">IF(A775=A774,P774+1-M774,0)</f>
        <v>5</v>
      </c>
    </row>
    <row r="776" customFormat="false" ht="15" hidden="false" customHeight="false" outlineLevel="0" collapsed="false">
      <c r="A776" s="28" t="s">
        <v>4003</v>
      </c>
      <c r="B776" s="28" t="s">
        <v>51</v>
      </c>
      <c r="C776" s="28" t="s">
        <v>82</v>
      </c>
      <c r="D776" s="28" t="s">
        <v>4004</v>
      </c>
      <c r="E776" s="4" t="n">
        <v>7</v>
      </c>
      <c r="F776" s="4" t="s">
        <v>213</v>
      </c>
      <c r="G776" s="4" t="s">
        <v>650</v>
      </c>
      <c r="H776" s="4" t="n">
        <v>2018</v>
      </c>
      <c r="I776" s="4" t="s">
        <v>384</v>
      </c>
      <c r="J776" s="25" t="str">
        <f aca="false">IF(M776=1,"✓","")</f>
        <v/>
      </c>
      <c r="K776" s="4" t="str">
        <f aca="false">IF(AND(M776=0,P776=0),"▶ NEXT","")</f>
        <v/>
      </c>
      <c r="L776" s="4" t="n">
        <f aca="false">INDEX('Master List'!$F$2:$F$2594,O776)</f>
        <v>3</v>
      </c>
      <c r="M776" s="4" t="n">
        <f aca="false">INDEX('Master List'!$G$2:$G$2594,O776)</f>
        <v>0</v>
      </c>
      <c r="N776" s="4" t="str">
        <f aca="false">IF(K776="","",A776)</f>
        <v/>
      </c>
      <c r="O776" s="4" t="n">
        <v>1926</v>
      </c>
      <c r="P776" s="4" t="n">
        <f aca="false">IF(A776=A775,P775+1-M775,0)</f>
        <v>6</v>
      </c>
    </row>
    <row r="777" customFormat="false" ht="15" hidden="false" customHeight="false" outlineLevel="0" collapsed="false">
      <c r="A777" s="28" t="s">
        <v>4003</v>
      </c>
      <c r="B777" s="28" t="s">
        <v>51</v>
      </c>
      <c r="C777" s="28" t="s">
        <v>82</v>
      </c>
      <c r="D777" s="28" t="s">
        <v>4004</v>
      </c>
      <c r="E777" s="4" t="n">
        <v>8</v>
      </c>
      <c r="F777" s="4" t="s">
        <v>1327</v>
      </c>
      <c r="G777" s="4" t="s">
        <v>3405</v>
      </c>
      <c r="H777" s="4" t="n">
        <v>1960</v>
      </c>
      <c r="I777" s="4" t="s">
        <v>3406</v>
      </c>
      <c r="J777" s="25" t="str">
        <f aca="false">IF(M777=1,"✓","")</f>
        <v/>
      </c>
      <c r="K777" s="4" t="str">
        <f aca="false">IF(AND(M777=0,P777=0),"▶ NEXT","")</f>
        <v/>
      </c>
      <c r="L777" s="4" t="n">
        <f aca="false">INDEX('Master List'!$F$2:$F$2594,O777)</f>
        <v>1</v>
      </c>
      <c r="M777" s="4" t="n">
        <f aca="false">INDEX('Master List'!$G$2:$G$2594,O777)</f>
        <v>0</v>
      </c>
      <c r="N777" s="4" t="str">
        <f aca="false">IF(K777="","",A777)</f>
        <v/>
      </c>
      <c r="O777" s="4" t="n">
        <v>1401</v>
      </c>
      <c r="P777" s="4" t="n">
        <f aca="false">IF(A777=A776,P776+1-M776,0)</f>
        <v>7</v>
      </c>
    </row>
    <row r="778" customFormat="false" ht="15" hidden="false" customHeight="false" outlineLevel="0" collapsed="false">
      <c r="A778" s="28" t="s">
        <v>4003</v>
      </c>
      <c r="B778" s="28" t="s">
        <v>51</v>
      </c>
      <c r="C778" s="28" t="s">
        <v>82</v>
      </c>
      <c r="D778" s="28" t="s">
        <v>4004</v>
      </c>
      <c r="E778" s="4" t="n">
        <v>9</v>
      </c>
      <c r="F778" s="4" t="s">
        <v>1327</v>
      </c>
      <c r="G778" s="4" t="s">
        <v>3551</v>
      </c>
      <c r="H778" s="4" t="n">
        <v>1976</v>
      </c>
      <c r="I778" s="4" t="s">
        <v>3552</v>
      </c>
      <c r="J778" s="25" t="str">
        <f aca="false">IF(M778=1,"✓","")</f>
        <v/>
      </c>
      <c r="K778" s="4" t="str">
        <f aca="false">IF(AND(M778=0,P778=0),"▶ NEXT","")</f>
        <v/>
      </c>
      <c r="L778" s="4" t="n">
        <f aca="false">INDEX('Master List'!$F$2:$F$2594,O778)</f>
        <v>1</v>
      </c>
      <c r="M778" s="4" t="n">
        <f aca="false">INDEX('Master List'!$G$2:$G$2594,O778)</f>
        <v>0</v>
      </c>
      <c r="N778" s="4" t="str">
        <f aca="false">IF(K778="","",A778)</f>
        <v/>
      </c>
      <c r="O778" s="4" t="n">
        <v>388</v>
      </c>
      <c r="P778" s="4" t="n">
        <f aca="false">IF(A778=A777,P777+1-M777,0)</f>
        <v>8</v>
      </c>
    </row>
    <row r="779" customFormat="false" ht="15" hidden="false" customHeight="false" outlineLevel="0" collapsed="false">
      <c r="A779" s="28" t="s">
        <v>4003</v>
      </c>
      <c r="B779" s="28" t="s">
        <v>51</v>
      </c>
      <c r="C779" s="28" t="s">
        <v>82</v>
      </c>
      <c r="D779" s="28" t="s">
        <v>4004</v>
      </c>
      <c r="E779" s="4" t="n">
        <v>10</v>
      </c>
      <c r="F779" s="4" t="s">
        <v>1327</v>
      </c>
      <c r="G779" s="4" t="s">
        <v>1658</v>
      </c>
      <c r="H779" s="4" t="n">
        <v>2007</v>
      </c>
      <c r="I779" s="4" t="s">
        <v>1659</v>
      </c>
      <c r="J779" s="25" t="str">
        <f aca="false">IF(M779=1,"✓","")</f>
        <v/>
      </c>
      <c r="K779" s="4" t="str">
        <f aca="false">IF(AND(M779=0,P779=0),"▶ NEXT","")</f>
        <v/>
      </c>
      <c r="L779" s="4" t="n">
        <f aca="false">INDEX('Master List'!$F$2:$F$2594,O779)</f>
        <v>2</v>
      </c>
      <c r="M779" s="4" t="n">
        <f aca="false">INDEX('Master List'!$G$2:$G$2594,O779)</f>
        <v>0</v>
      </c>
      <c r="N779" s="4" t="str">
        <f aca="false">IF(K779="","",A779)</f>
        <v/>
      </c>
      <c r="O779" s="4" t="n">
        <v>2070</v>
      </c>
      <c r="P779" s="4" t="n">
        <f aca="false">IF(A779=A778,P778+1-M778,0)</f>
        <v>9</v>
      </c>
    </row>
    <row r="780" customFormat="false" ht="15" hidden="false" customHeight="false" outlineLevel="0" collapsed="false">
      <c r="A780" s="28" t="s">
        <v>4005</v>
      </c>
      <c r="B780" s="28" t="s">
        <v>51</v>
      </c>
      <c r="C780" s="28" t="s">
        <v>82</v>
      </c>
      <c r="D780" s="28" t="s">
        <v>4006</v>
      </c>
      <c r="E780" s="4" t="n">
        <v>1</v>
      </c>
      <c r="F780" s="4" t="s">
        <v>144</v>
      </c>
      <c r="G780" s="7" t="s">
        <v>463</v>
      </c>
      <c r="H780" s="4" t="n">
        <v>1964</v>
      </c>
      <c r="I780" s="4" t="s">
        <v>464</v>
      </c>
      <c r="J780" s="25" t="str">
        <f aca="false">IF(M780=1,"✓","")</f>
        <v/>
      </c>
      <c r="K780" s="4" t="str">
        <f aca="false">IF(AND(M780=0,P780=0),"▶ NEXT","")</f>
        <v>▶ NEXT</v>
      </c>
      <c r="L780" s="4" t="n">
        <f aca="false">INDEX('Master List'!$F$2:$F$2594,O780)</f>
        <v>3</v>
      </c>
      <c r="M780" s="4" t="n">
        <f aca="false">INDEX('Master List'!$G$2:$G$2594,O780)</f>
        <v>0</v>
      </c>
      <c r="N780" s="4" t="str">
        <f aca="false">IF(K780="","",A780)</f>
        <v>N066</v>
      </c>
      <c r="O780" s="4" t="n">
        <v>267</v>
      </c>
      <c r="P780" s="4" t="n">
        <f aca="false">IF(A780=A779,P779+1-M779,0)</f>
        <v>0</v>
      </c>
    </row>
    <row r="781" customFormat="false" ht="15" hidden="false" customHeight="false" outlineLevel="0" collapsed="false">
      <c r="A781" s="28" t="s">
        <v>4005</v>
      </c>
      <c r="B781" s="28" t="s">
        <v>51</v>
      </c>
      <c r="C781" s="28" t="s">
        <v>82</v>
      </c>
      <c r="D781" s="28" t="s">
        <v>4006</v>
      </c>
      <c r="E781" s="4" t="n">
        <v>2</v>
      </c>
      <c r="F781" s="4" t="s">
        <v>144</v>
      </c>
      <c r="G781" s="7" t="s">
        <v>1462</v>
      </c>
      <c r="H781" s="4" t="n">
        <v>1963</v>
      </c>
      <c r="I781" s="4" t="s">
        <v>1463</v>
      </c>
      <c r="J781" s="25" t="str">
        <f aca="false">IF(M781=1,"✓","")</f>
        <v/>
      </c>
      <c r="K781" s="4" t="str">
        <f aca="false">IF(AND(M781=0,P781=0),"▶ NEXT","")</f>
        <v/>
      </c>
      <c r="L781" s="4" t="n">
        <f aca="false">INDEX('Master List'!$F$2:$F$2594,O781)</f>
        <v>1</v>
      </c>
      <c r="M781" s="4" t="n">
        <f aca="false">INDEX('Master List'!$G$2:$G$2594,O781)</f>
        <v>0</v>
      </c>
      <c r="N781" s="4" t="str">
        <f aca="false">IF(K781="","",A781)</f>
        <v/>
      </c>
      <c r="O781" s="4" t="n">
        <v>2433</v>
      </c>
      <c r="P781" s="4" t="n">
        <f aca="false">IF(A781=A780,P780+1-M780,0)</f>
        <v>1</v>
      </c>
    </row>
    <row r="782" customFormat="false" ht="15" hidden="false" customHeight="false" outlineLevel="0" collapsed="false">
      <c r="A782" s="28" t="s">
        <v>4005</v>
      </c>
      <c r="B782" s="28" t="s">
        <v>51</v>
      </c>
      <c r="C782" s="28" t="s">
        <v>82</v>
      </c>
      <c r="D782" s="28" t="s">
        <v>4006</v>
      </c>
      <c r="E782" s="4" t="n">
        <v>3</v>
      </c>
      <c r="F782" s="4" t="s">
        <v>213</v>
      </c>
      <c r="G782" s="4" t="s">
        <v>2100</v>
      </c>
      <c r="H782" s="4" t="n">
        <v>1967</v>
      </c>
      <c r="I782" s="4" t="s">
        <v>464</v>
      </c>
      <c r="J782" s="25" t="str">
        <f aca="false">IF(M782=1,"✓","")</f>
        <v/>
      </c>
      <c r="K782" s="4" t="str">
        <f aca="false">IF(AND(M782=0,P782=0),"▶ NEXT","")</f>
        <v/>
      </c>
      <c r="L782" s="4" t="n">
        <f aca="false">INDEX('Master List'!$F$2:$F$2594,O782)</f>
        <v>1</v>
      </c>
      <c r="M782" s="4" t="n">
        <f aca="false">INDEX('Master List'!$G$2:$G$2594,O782)</f>
        <v>0</v>
      </c>
      <c r="N782" s="4" t="str">
        <f aca="false">IF(K782="","",A782)</f>
        <v/>
      </c>
      <c r="O782" s="4" t="n">
        <v>738</v>
      </c>
      <c r="P782" s="4" t="n">
        <f aca="false">IF(A782=A781,P781+1-M781,0)</f>
        <v>2</v>
      </c>
    </row>
    <row r="783" customFormat="false" ht="15" hidden="false" customHeight="false" outlineLevel="0" collapsed="false">
      <c r="A783" s="28" t="s">
        <v>4005</v>
      </c>
      <c r="B783" s="28" t="s">
        <v>51</v>
      </c>
      <c r="C783" s="28" t="s">
        <v>82</v>
      </c>
      <c r="D783" s="28" t="s">
        <v>4006</v>
      </c>
      <c r="E783" s="4" t="n">
        <v>4</v>
      </c>
      <c r="F783" s="4" t="s">
        <v>213</v>
      </c>
      <c r="G783" s="4" t="s">
        <v>2138</v>
      </c>
      <c r="H783" s="4" t="n">
        <v>1969</v>
      </c>
      <c r="I783" s="4" t="s">
        <v>464</v>
      </c>
      <c r="J783" s="25" t="str">
        <f aca="false">IF(M783=1,"✓","")</f>
        <v/>
      </c>
      <c r="K783" s="4" t="str">
        <f aca="false">IF(AND(M783=0,P783=0),"▶ NEXT","")</f>
        <v/>
      </c>
      <c r="L783" s="4" t="n">
        <f aca="false">INDEX('Master List'!$F$2:$F$2594,O783)</f>
        <v>1</v>
      </c>
      <c r="M783" s="4" t="n">
        <f aca="false">INDEX('Master List'!$G$2:$G$2594,O783)</f>
        <v>0</v>
      </c>
      <c r="N783" s="4" t="str">
        <f aca="false">IF(K783="","",A783)</f>
        <v/>
      </c>
      <c r="O783" s="4" t="n">
        <v>118</v>
      </c>
      <c r="P783" s="4" t="n">
        <f aca="false">IF(A783=A782,P782+1-M782,0)</f>
        <v>3</v>
      </c>
    </row>
    <row r="784" customFormat="false" ht="15" hidden="false" customHeight="false" outlineLevel="0" collapsed="false">
      <c r="A784" s="28" t="s">
        <v>4005</v>
      </c>
      <c r="B784" s="28" t="s">
        <v>51</v>
      </c>
      <c r="C784" s="28" t="s">
        <v>82</v>
      </c>
      <c r="D784" s="28" t="s">
        <v>4006</v>
      </c>
      <c r="E784" s="4" t="n">
        <v>5</v>
      </c>
      <c r="F784" s="4" t="s">
        <v>213</v>
      </c>
      <c r="G784" s="4" t="s">
        <v>2139</v>
      </c>
      <c r="H784" s="4" t="n">
        <v>1969</v>
      </c>
      <c r="I784" s="4" t="s">
        <v>2140</v>
      </c>
      <c r="J784" s="25" t="str">
        <f aca="false">IF(M784=1,"✓","")</f>
        <v/>
      </c>
      <c r="K784" s="4" t="str">
        <f aca="false">IF(AND(M784=0,P784=0),"▶ NEXT","")</f>
        <v/>
      </c>
      <c r="L784" s="4" t="n">
        <f aca="false">INDEX('Master List'!$F$2:$F$2594,O784)</f>
        <v>1</v>
      </c>
      <c r="M784" s="4" t="n">
        <f aca="false">INDEX('Master List'!$G$2:$G$2594,O784)</f>
        <v>0</v>
      </c>
      <c r="N784" s="4" t="str">
        <f aca="false">IF(K784="","",A784)</f>
        <v/>
      </c>
      <c r="O784" s="4" t="n">
        <v>1403</v>
      </c>
      <c r="P784" s="4" t="n">
        <f aca="false">IF(A784=A783,P783+1-M783,0)</f>
        <v>4</v>
      </c>
    </row>
    <row r="785" customFormat="false" ht="15" hidden="false" customHeight="false" outlineLevel="0" collapsed="false">
      <c r="A785" s="28" t="s">
        <v>4005</v>
      </c>
      <c r="B785" s="28" t="s">
        <v>51</v>
      </c>
      <c r="C785" s="28" t="s">
        <v>82</v>
      </c>
      <c r="D785" s="28" t="s">
        <v>4006</v>
      </c>
      <c r="E785" s="4" t="n">
        <v>6</v>
      </c>
      <c r="F785" s="4" t="s">
        <v>213</v>
      </c>
      <c r="G785" s="4" t="s">
        <v>2168</v>
      </c>
      <c r="H785" s="4" t="n">
        <v>1971</v>
      </c>
      <c r="I785" s="4" t="s">
        <v>1463</v>
      </c>
      <c r="J785" s="25" t="str">
        <f aca="false">IF(M785=1,"✓","")</f>
        <v/>
      </c>
      <c r="K785" s="4" t="str">
        <f aca="false">IF(AND(M785=0,P785=0),"▶ NEXT","")</f>
        <v/>
      </c>
      <c r="L785" s="4" t="n">
        <f aca="false">INDEX('Master List'!$F$2:$F$2594,O785)</f>
        <v>1</v>
      </c>
      <c r="M785" s="4" t="n">
        <f aca="false">INDEX('Master List'!$G$2:$G$2594,O785)</f>
        <v>0</v>
      </c>
      <c r="N785" s="4" t="str">
        <f aca="false">IF(K785="","",A785)</f>
        <v/>
      </c>
      <c r="O785" s="4" t="n">
        <v>1079</v>
      </c>
      <c r="P785" s="4" t="n">
        <f aca="false">IF(A785=A784,P784+1-M784,0)</f>
        <v>5</v>
      </c>
    </row>
    <row r="786" customFormat="false" ht="15" hidden="false" customHeight="false" outlineLevel="0" collapsed="false">
      <c r="A786" s="28" t="s">
        <v>4005</v>
      </c>
      <c r="B786" s="28" t="s">
        <v>51</v>
      </c>
      <c r="C786" s="28" t="s">
        <v>82</v>
      </c>
      <c r="D786" s="28" t="s">
        <v>4006</v>
      </c>
      <c r="E786" s="4" t="n">
        <v>7</v>
      </c>
      <c r="F786" s="4" t="s">
        <v>213</v>
      </c>
      <c r="G786" s="4" t="s">
        <v>2332</v>
      </c>
      <c r="H786" s="4" t="n">
        <v>1980</v>
      </c>
      <c r="I786" s="4" t="s">
        <v>2333</v>
      </c>
      <c r="J786" s="25" t="str">
        <f aca="false">IF(M786=1,"✓","")</f>
        <v/>
      </c>
      <c r="K786" s="4" t="str">
        <f aca="false">IF(AND(M786=0,P786=0),"▶ NEXT","")</f>
        <v/>
      </c>
      <c r="L786" s="4" t="n">
        <f aca="false">INDEX('Master List'!$F$2:$F$2594,O786)</f>
        <v>1</v>
      </c>
      <c r="M786" s="4" t="n">
        <f aca="false">INDEX('Master List'!$G$2:$G$2594,O786)</f>
        <v>0</v>
      </c>
      <c r="N786" s="4" t="str">
        <f aca="false">IF(K786="","",A786)</f>
        <v/>
      </c>
      <c r="O786" s="4" t="n">
        <v>1772</v>
      </c>
      <c r="P786" s="4" t="n">
        <f aca="false">IF(A786=A785,P785+1-M785,0)</f>
        <v>6</v>
      </c>
    </row>
    <row r="787" customFormat="false" ht="15" hidden="false" customHeight="false" outlineLevel="0" collapsed="false">
      <c r="A787" s="28" t="s">
        <v>4005</v>
      </c>
      <c r="B787" s="28" t="s">
        <v>51</v>
      </c>
      <c r="C787" s="28" t="s">
        <v>82</v>
      </c>
      <c r="D787" s="28" t="s">
        <v>4006</v>
      </c>
      <c r="E787" s="4" t="n">
        <v>8</v>
      </c>
      <c r="F787" s="4" t="s">
        <v>213</v>
      </c>
      <c r="G787" s="4" t="s">
        <v>2765</v>
      </c>
      <c r="H787" s="4" t="n">
        <v>2002</v>
      </c>
      <c r="I787" s="4" t="s">
        <v>2766</v>
      </c>
      <c r="J787" s="25" t="str">
        <f aca="false">IF(M787=1,"✓","")</f>
        <v/>
      </c>
      <c r="K787" s="4" t="str">
        <f aca="false">IF(AND(M787=0,P787=0),"▶ NEXT","")</f>
        <v/>
      </c>
      <c r="L787" s="4" t="n">
        <f aca="false">INDEX('Master List'!$F$2:$F$2594,O787)</f>
        <v>1</v>
      </c>
      <c r="M787" s="4" t="n">
        <f aca="false">INDEX('Master List'!$G$2:$G$2594,O787)</f>
        <v>0</v>
      </c>
      <c r="N787" s="4" t="str">
        <f aca="false">IF(K787="","",A787)</f>
        <v/>
      </c>
      <c r="O787" s="4" t="n">
        <v>465</v>
      </c>
      <c r="P787" s="4" t="n">
        <f aca="false">IF(A787=A786,P786+1-M786,0)</f>
        <v>7</v>
      </c>
    </row>
    <row r="788" customFormat="false" ht="15" hidden="false" customHeight="false" outlineLevel="0" collapsed="false">
      <c r="A788" s="28" t="s">
        <v>4005</v>
      </c>
      <c r="B788" s="28" t="s">
        <v>51</v>
      </c>
      <c r="C788" s="28" t="s">
        <v>82</v>
      </c>
      <c r="D788" s="28" t="s">
        <v>4006</v>
      </c>
      <c r="E788" s="4" t="n">
        <v>9</v>
      </c>
      <c r="F788" s="4" t="s">
        <v>213</v>
      </c>
      <c r="G788" s="4" t="s">
        <v>3167</v>
      </c>
      <c r="H788" s="4" t="n">
        <v>2019</v>
      </c>
      <c r="I788" s="4" t="s">
        <v>3168</v>
      </c>
      <c r="J788" s="25" t="str">
        <f aca="false">IF(M788=1,"✓","")</f>
        <v/>
      </c>
      <c r="K788" s="4" t="str">
        <f aca="false">IF(AND(M788=0,P788=0),"▶ NEXT","")</f>
        <v/>
      </c>
      <c r="L788" s="4" t="n">
        <f aca="false">INDEX('Master List'!$F$2:$F$2594,O788)</f>
        <v>1</v>
      </c>
      <c r="M788" s="4" t="n">
        <f aca="false">INDEX('Master List'!$G$2:$G$2594,O788)</f>
        <v>0</v>
      </c>
      <c r="N788" s="4" t="str">
        <f aca="false">IF(K788="","",A788)</f>
        <v/>
      </c>
      <c r="O788" s="4" t="n">
        <v>165</v>
      </c>
      <c r="P788" s="4" t="n">
        <f aca="false">IF(A788=A787,P787+1-M787,0)</f>
        <v>8</v>
      </c>
    </row>
    <row r="789" customFormat="false" ht="15" hidden="false" customHeight="false" outlineLevel="0" collapsed="false">
      <c r="A789" s="28" t="s">
        <v>4005</v>
      </c>
      <c r="B789" s="28" t="s">
        <v>51</v>
      </c>
      <c r="C789" s="28" t="s">
        <v>82</v>
      </c>
      <c r="D789" s="28" t="s">
        <v>4006</v>
      </c>
      <c r="E789" s="4" t="n">
        <v>10</v>
      </c>
      <c r="F789" s="4" t="s">
        <v>1327</v>
      </c>
      <c r="G789" s="4" t="s">
        <v>1300</v>
      </c>
      <c r="H789" s="4" t="n">
        <v>1931</v>
      </c>
      <c r="I789" s="4" t="s">
        <v>1301</v>
      </c>
      <c r="J789" s="25" t="str">
        <f aca="false">IF(M789=1,"✓","")</f>
        <v/>
      </c>
      <c r="K789" s="4" t="str">
        <f aca="false">IF(AND(M789=0,P789=0),"▶ NEXT","")</f>
        <v/>
      </c>
      <c r="L789" s="4" t="n">
        <f aca="false">INDEX('Master List'!$F$2:$F$2594,O789)</f>
        <v>2</v>
      </c>
      <c r="M789" s="4" t="n">
        <f aca="false">INDEX('Master List'!$G$2:$G$2594,O789)</f>
        <v>0</v>
      </c>
      <c r="N789" s="4" t="str">
        <f aca="false">IF(K789="","",A789)</f>
        <v/>
      </c>
      <c r="O789" s="4" t="n">
        <v>1342</v>
      </c>
      <c r="P789" s="4" t="n">
        <f aca="false">IF(A789=A788,P788+1-M788,0)</f>
        <v>9</v>
      </c>
    </row>
    <row r="790" customFormat="false" ht="15" hidden="false" customHeight="false" outlineLevel="0" collapsed="false">
      <c r="A790" s="28" t="s">
        <v>4005</v>
      </c>
      <c r="B790" s="28" t="s">
        <v>51</v>
      </c>
      <c r="C790" s="28" t="s">
        <v>82</v>
      </c>
      <c r="D790" s="28" t="s">
        <v>4006</v>
      </c>
      <c r="E790" s="4" t="n">
        <v>11</v>
      </c>
      <c r="F790" s="4" t="s">
        <v>1327</v>
      </c>
      <c r="G790" s="4" t="s">
        <v>3831</v>
      </c>
      <c r="H790" s="4" t="n">
        <v>2016</v>
      </c>
      <c r="I790" s="4" t="s">
        <v>3832</v>
      </c>
      <c r="J790" s="25" t="str">
        <f aca="false">IF(M790=1,"✓","")</f>
        <v/>
      </c>
      <c r="K790" s="4" t="str">
        <f aca="false">IF(AND(M790=0,P790=0),"▶ NEXT","")</f>
        <v/>
      </c>
      <c r="L790" s="4" t="n">
        <f aca="false">INDEX('Master List'!$F$2:$F$2594,O790)</f>
        <v>1</v>
      </c>
      <c r="M790" s="4" t="n">
        <f aca="false">INDEX('Master List'!$G$2:$G$2594,O790)</f>
        <v>0</v>
      </c>
      <c r="N790" s="4" t="str">
        <f aca="false">IF(K790="","",A790)</f>
        <v/>
      </c>
      <c r="O790" s="4" t="n">
        <v>126</v>
      </c>
      <c r="P790" s="4" t="n">
        <f aca="false">IF(A790=A789,P789+1-M789,0)</f>
        <v>10</v>
      </c>
    </row>
    <row r="791" customFormat="false" ht="15" hidden="false" customHeight="false" outlineLevel="0" collapsed="false">
      <c r="A791" s="28" t="s">
        <v>4007</v>
      </c>
      <c r="B791" s="28" t="s">
        <v>51</v>
      </c>
      <c r="C791" s="28" t="s">
        <v>82</v>
      </c>
      <c r="D791" s="28" t="s">
        <v>4008</v>
      </c>
      <c r="E791" s="4" t="n">
        <v>1</v>
      </c>
      <c r="F791" s="4" t="s">
        <v>144</v>
      </c>
      <c r="G791" s="7" t="s">
        <v>778</v>
      </c>
      <c r="H791" s="4" t="n">
        <v>1968</v>
      </c>
      <c r="I791" s="4" t="s">
        <v>779</v>
      </c>
      <c r="J791" s="25" t="str">
        <f aca="false">IF(M791=1,"✓","")</f>
        <v/>
      </c>
      <c r="K791" s="4" t="str">
        <f aca="false">IF(AND(M791=0,P791=0),"▶ NEXT","")</f>
        <v>▶ NEXT</v>
      </c>
      <c r="L791" s="4" t="n">
        <f aca="false">INDEX('Master List'!$F$2:$F$2594,O791)</f>
        <v>2</v>
      </c>
      <c r="M791" s="4" t="n">
        <f aca="false">INDEX('Master List'!$G$2:$G$2594,O791)</f>
        <v>0</v>
      </c>
      <c r="N791" s="4" t="str">
        <f aca="false">IF(K791="","",A791)</f>
        <v>N067</v>
      </c>
      <c r="O791" s="4" t="n">
        <v>1479</v>
      </c>
      <c r="P791" s="4" t="n">
        <f aca="false">IF(A791=A790,P790+1-M790,0)</f>
        <v>0</v>
      </c>
    </row>
    <row r="792" customFormat="false" ht="15" hidden="false" customHeight="false" outlineLevel="0" collapsed="false">
      <c r="A792" s="28" t="s">
        <v>4007</v>
      </c>
      <c r="B792" s="28" t="s">
        <v>51</v>
      </c>
      <c r="C792" s="28" t="s">
        <v>82</v>
      </c>
      <c r="D792" s="28" t="s">
        <v>4008</v>
      </c>
      <c r="E792" s="4" t="n">
        <v>2</v>
      </c>
      <c r="F792" s="4" t="s">
        <v>144</v>
      </c>
      <c r="G792" s="7" t="s">
        <v>772</v>
      </c>
      <c r="H792" s="4" t="n">
        <v>1966</v>
      </c>
      <c r="I792" s="4" t="s">
        <v>773</v>
      </c>
      <c r="J792" s="25" t="str">
        <f aca="false">IF(M792=1,"✓","")</f>
        <v/>
      </c>
      <c r="K792" s="4" t="str">
        <f aca="false">IF(AND(M792=0,P792=0),"▶ NEXT","")</f>
        <v/>
      </c>
      <c r="L792" s="4" t="n">
        <f aca="false">INDEX('Master List'!$F$2:$F$2594,O792)</f>
        <v>2</v>
      </c>
      <c r="M792" s="4" t="n">
        <f aca="false">INDEX('Master List'!$G$2:$G$2594,O792)</f>
        <v>0</v>
      </c>
      <c r="N792" s="4" t="str">
        <f aca="false">IF(K792="","",A792)</f>
        <v/>
      </c>
      <c r="O792" s="4" t="n">
        <v>195</v>
      </c>
      <c r="P792" s="4" t="n">
        <f aca="false">IF(A792=A791,P791+1-M791,0)</f>
        <v>1</v>
      </c>
    </row>
    <row r="793" customFormat="false" ht="15" hidden="false" customHeight="false" outlineLevel="0" collapsed="false">
      <c r="A793" s="28" t="s">
        <v>4007</v>
      </c>
      <c r="B793" s="28" t="s">
        <v>51</v>
      </c>
      <c r="C793" s="28" t="s">
        <v>82</v>
      </c>
      <c r="D793" s="28" t="s">
        <v>4008</v>
      </c>
      <c r="E793" s="4" t="n">
        <v>3</v>
      </c>
      <c r="F793" s="4" t="s">
        <v>213</v>
      </c>
      <c r="G793" s="4" t="s">
        <v>2120</v>
      </c>
      <c r="H793" s="4" t="n">
        <v>1968</v>
      </c>
      <c r="I793" s="4" t="s">
        <v>2121</v>
      </c>
      <c r="J793" s="25" t="str">
        <f aca="false">IF(M793=1,"✓","")</f>
        <v/>
      </c>
      <c r="K793" s="4" t="str">
        <f aca="false">IF(AND(M793=0,P793=0),"▶ NEXT","")</f>
        <v/>
      </c>
      <c r="L793" s="4" t="n">
        <f aca="false">INDEX('Master List'!$F$2:$F$2594,O793)</f>
        <v>1</v>
      </c>
      <c r="M793" s="4" t="n">
        <f aca="false">INDEX('Master List'!$G$2:$G$2594,O793)</f>
        <v>0</v>
      </c>
      <c r="N793" s="4" t="str">
        <f aca="false">IF(K793="","",A793)</f>
        <v/>
      </c>
      <c r="O793" s="4" t="n">
        <v>1069</v>
      </c>
      <c r="P793" s="4" t="n">
        <f aca="false">IF(A793=A792,P792+1-M792,0)</f>
        <v>2</v>
      </c>
    </row>
    <row r="794" customFormat="false" ht="15" hidden="false" customHeight="false" outlineLevel="0" collapsed="false">
      <c r="A794" s="28" t="s">
        <v>4007</v>
      </c>
      <c r="B794" s="28" t="s">
        <v>51</v>
      </c>
      <c r="C794" s="28" t="s">
        <v>82</v>
      </c>
      <c r="D794" s="28" t="s">
        <v>4008</v>
      </c>
      <c r="E794" s="4" t="n">
        <v>4</v>
      </c>
      <c r="F794" s="4" t="s">
        <v>213</v>
      </c>
      <c r="G794" s="4" t="s">
        <v>998</v>
      </c>
      <c r="H794" s="4" t="n">
        <v>1968</v>
      </c>
      <c r="I794" s="4" t="s">
        <v>999</v>
      </c>
      <c r="J794" s="25" t="str">
        <f aca="false">IF(M794=1,"✓","")</f>
        <v/>
      </c>
      <c r="K794" s="4" t="str">
        <f aca="false">IF(AND(M794=0,P794=0),"▶ NEXT","")</f>
        <v/>
      </c>
      <c r="L794" s="4" t="n">
        <f aca="false">INDEX('Master List'!$F$2:$F$2594,O794)</f>
        <v>2</v>
      </c>
      <c r="M794" s="4" t="n">
        <f aca="false">INDEX('Master List'!$G$2:$G$2594,O794)</f>
        <v>0</v>
      </c>
      <c r="N794" s="4" t="str">
        <f aca="false">IF(K794="","",A794)</f>
        <v/>
      </c>
      <c r="O794" s="4" t="n">
        <v>1395</v>
      </c>
      <c r="P794" s="4" t="n">
        <f aca="false">IF(A794=A793,P793+1-M793,0)</f>
        <v>3</v>
      </c>
    </row>
    <row r="795" customFormat="false" ht="15" hidden="false" customHeight="false" outlineLevel="0" collapsed="false">
      <c r="A795" s="28" t="s">
        <v>4007</v>
      </c>
      <c r="B795" s="28" t="s">
        <v>51</v>
      </c>
      <c r="C795" s="28" t="s">
        <v>82</v>
      </c>
      <c r="D795" s="28" t="s">
        <v>4008</v>
      </c>
      <c r="E795" s="4" t="n">
        <v>5</v>
      </c>
      <c r="F795" s="4" t="s">
        <v>213</v>
      </c>
      <c r="G795" s="4" t="s">
        <v>2141</v>
      </c>
      <c r="H795" s="4" t="n">
        <v>1969</v>
      </c>
      <c r="I795" s="4" t="s">
        <v>2142</v>
      </c>
      <c r="J795" s="25" t="str">
        <f aca="false">IF(M795=1,"✓","")</f>
        <v/>
      </c>
      <c r="K795" s="4" t="str">
        <f aca="false">IF(AND(M795=0,P795=0),"▶ NEXT","")</f>
        <v/>
      </c>
      <c r="L795" s="4" t="n">
        <f aca="false">INDEX('Master List'!$F$2:$F$2594,O795)</f>
        <v>1</v>
      </c>
      <c r="M795" s="4" t="n">
        <f aca="false">INDEX('Master List'!$G$2:$G$2594,O795)</f>
        <v>0</v>
      </c>
      <c r="N795" s="4" t="str">
        <f aca="false">IF(K795="","",A795)</f>
        <v/>
      </c>
      <c r="O795" s="4" t="n">
        <v>292</v>
      </c>
      <c r="P795" s="4" t="n">
        <f aca="false">IF(A795=A794,P794+1-M794,0)</f>
        <v>4</v>
      </c>
    </row>
    <row r="796" customFormat="false" ht="15" hidden="false" customHeight="false" outlineLevel="0" collapsed="false">
      <c r="A796" s="28" t="s">
        <v>4007</v>
      </c>
      <c r="B796" s="28" t="s">
        <v>51</v>
      </c>
      <c r="C796" s="28" t="s">
        <v>82</v>
      </c>
      <c r="D796" s="28" t="s">
        <v>4008</v>
      </c>
      <c r="E796" s="4" t="n">
        <v>6</v>
      </c>
      <c r="F796" s="4" t="s">
        <v>213</v>
      </c>
      <c r="G796" s="4" t="s">
        <v>2258</v>
      </c>
      <c r="H796" s="4" t="n">
        <v>1975</v>
      </c>
      <c r="I796" s="4" t="s">
        <v>2259</v>
      </c>
      <c r="J796" s="25" t="str">
        <f aca="false">IF(M796=1,"✓","")</f>
        <v/>
      </c>
      <c r="K796" s="4" t="str">
        <f aca="false">IF(AND(M796=0,P796=0),"▶ NEXT","")</f>
        <v/>
      </c>
      <c r="L796" s="4" t="n">
        <f aca="false">INDEX('Master List'!$F$2:$F$2594,O796)</f>
        <v>1</v>
      </c>
      <c r="M796" s="4" t="n">
        <f aca="false">INDEX('Master List'!$G$2:$G$2594,O796)</f>
        <v>0</v>
      </c>
      <c r="N796" s="4" t="str">
        <f aca="false">IF(K796="","",A796)</f>
        <v/>
      </c>
      <c r="O796" s="4" t="n">
        <v>196</v>
      </c>
      <c r="P796" s="4" t="n">
        <f aca="false">IF(A796=A795,P795+1-M795,0)</f>
        <v>5</v>
      </c>
    </row>
    <row r="797" customFormat="false" ht="15" hidden="false" customHeight="false" outlineLevel="0" collapsed="false">
      <c r="A797" s="28" t="s">
        <v>4007</v>
      </c>
      <c r="B797" s="28" t="s">
        <v>51</v>
      </c>
      <c r="C797" s="28" t="s">
        <v>82</v>
      </c>
      <c r="D797" s="28" t="s">
        <v>4008</v>
      </c>
      <c r="E797" s="4" t="n">
        <v>7</v>
      </c>
      <c r="F797" s="4" t="s">
        <v>213</v>
      </c>
      <c r="G797" s="4" t="s">
        <v>2561</v>
      </c>
      <c r="H797" s="4" t="n">
        <v>1993</v>
      </c>
      <c r="I797" s="4" t="s">
        <v>2562</v>
      </c>
      <c r="J797" s="25" t="str">
        <f aca="false">IF(M797=1,"✓","")</f>
        <v/>
      </c>
      <c r="K797" s="4" t="str">
        <f aca="false">IF(AND(M797=0,P797=0),"▶ NEXT","")</f>
        <v/>
      </c>
      <c r="L797" s="4" t="n">
        <f aca="false">INDEX('Master List'!$F$2:$F$2594,O797)</f>
        <v>1</v>
      </c>
      <c r="M797" s="4" t="n">
        <f aca="false">INDEX('Master List'!$G$2:$G$2594,O797)</f>
        <v>0</v>
      </c>
      <c r="N797" s="4" t="str">
        <f aca="false">IF(K797="","",A797)</f>
        <v/>
      </c>
      <c r="O797" s="4" t="n">
        <v>2178</v>
      </c>
      <c r="P797" s="4" t="n">
        <f aca="false">IF(A797=A796,P796+1-M796,0)</f>
        <v>6</v>
      </c>
    </row>
    <row r="798" customFormat="false" ht="15" hidden="false" customHeight="false" outlineLevel="0" collapsed="false">
      <c r="A798" s="28" t="s">
        <v>4007</v>
      </c>
      <c r="B798" s="28" t="s">
        <v>51</v>
      </c>
      <c r="C798" s="28" t="s">
        <v>82</v>
      </c>
      <c r="D798" s="28" t="s">
        <v>4008</v>
      </c>
      <c r="E798" s="4" t="n">
        <v>8</v>
      </c>
      <c r="F798" s="4" t="s">
        <v>1327</v>
      </c>
      <c r="G798" s="4" t="s">
        <v>3437</v>
      </c>
      <c r="H798" s="4" t="n">
        <v>1966</v>
      </c>
      <c r="I798" s="4" t="s">
        <v>779</v>
      </c>
      <c r="J798" s="25" t="str">
        <f aca="false">IF(M798=1,"✓","")</f>
        <v/>
      </c>
      <c r="K798" s="4" t="str">
        <f aca="false">IF(AND(M798=0,P798=0),"▶ NEXT","")</f>
        <v/>
      </c>
      <c r="L798" s="4" t="n">
        <f aca="false">INDEX('Master List'!$F$2:$F$2594,O798)</f>
        <v>1</v>
      </c>
      <c r="M798" s="4" t="n">
        <f aca="false">INDEX('Master List'!$G$2:$G$2594,O798)</f>
        <v>0</v>
      </c>
      <c r="N798" s="4" t="str">
        <f aca="false">IF(K798="","",A798)</f>
        <v/>
      </c>
      <c r="O798" s="4" t="n">
        <v>591</v>
      </c>
      <c r="P798" s="4" t="n">
        <f aca="false">IF(A798=A797,P797+1-M797,0)</f>
        <v>7</v>
      </c>
    </row>
    <row r="799" customFormat="false" ht="15" hidden="false" customHeight="false" outlineLevel="0" collapsed="false">
      <c r="A799" s="28" t="s">
        <v>4007</v>
      </c>
      <c r="B799" s="28" t="s">
        <v>51</v>
      </c>
      <c r="C799" s="28" t="s">
        <v>82</v>
      </c>
      <c r="D799" s="28" t="s">
        <v>4008</v>
      </c>
      <c r="E799" s="4" t="n">
        <v>9</v>
      </c>
      <c r="F799" s="4" t="s">
        <v>1327</v>
      </c>
      <c r="G799" s="4" t="s">
        <v>3629</v>
      </c>
      <c r="H799" s="4" t="n">
        <v>1985</v>
      </c>
      <c r="I799" s="4" t="s">
        <v>3630</v>
      </c>
      <c r="J799" s="25" t="str">
        <f aca="false">IF(M799=1,"✓","")</f>
        <v/>
      </c>
      <c r="K799" s="4" t="str">
        <f aca="false">IF(AND(M799=0,P799=0),"▶ NEXT","")</f>
        <v/>
      </c>
      <c r="L799" s="4" t="n">
        <f aca="false">INDEX('Master List'!$F$2:$F$2594,O799)</f>
        <v>1</v>
      </c>
      <c r="M799" s="4" t="n">
        <f aca="false">INDEX('Master List'!$G$2:$G$2594,O799)</f>
        <v>0</v>
      </c>
      <c r="N799" s="4" t="str">
        <f aca="false">IF(K799="","",A799)</f>
        <v/>
      </c>
      <c r="O799" s="4" t="n">
        <v>1653</v>
      </c>
      <c r="P799" s="4" t="n">
        <f aca="false">IF(A799=A798,P798+1-M798,0)</f>
        <v>8</v>
      </c>
    </row>
    <row r="800" customFormat="false" ht="15" hidden="false" customHeight="false" outlineLevel="0" collapsed="false">
      <c r="A800" s="28" t="s">
        <v>4009</v>
      </c>
      <c r="B800" s="28" t="s">
        <v>51</v>
      </c>
      <c r="C800" s="28" t="s">
        <v>82</v>
      </c>
      <c r="D800" s="28" t="s">
        <v>4010</v>
      </c>
      <c r="E800" s="4" t="n">
        <v>1</v>
      </c>
      <c r="F800" s="4" t="s">
        <v>144</v>
      </c>
      <c r="G800" s="7" t="s">
        <v>1607</v>
      </c>
      <c r="H800" s="4" t="n">
        <v>2009</v>
      </c>
      <c r="I800" s="4" t="s">
        <v>1608</v>
      </c>
      <c r="J800" s="25" t="str">
        <f aca="false">IF(M800=1,"✓","")</f>
        <v/>
      </c>
      <c r="K800" s="4" t="str">
        <f aca="false">IF(AND(M800=0,P800=0),"▶ NEXT","")</f>
        <v>▶ NEXT</v>
      </c>
      <c r="L800" s="4" t="n">
        <f aca="false">INDEX('Master List'!$F$2:$F$2594,O800)</f>
        <v>1</v>
      </c>
      <c r="M800" s="4" t="n">
        <f aca="false">INDEX('Master List'!$G$2:$G$2594,O800)</f>
        <v>0</v>
      </c>
      <c r="N800" s="4" t="str">
        <f aca="false">IF(K800="","",A800)</f>
        <v>N068</v>
      </c>
      <c r="O800" s="4" t="n">
        <v>2004</v>
      </c>
      <c r="P800" s="4" t="n">
        <f aca="false">IF(A800=A799,P799+1-M799,0)</f>
        <v>0</v>
      </c>
    </row>
    <row r="801" customFormat="false" ht="15" hidden="false" customHeight="false" outlineLevel="0" collapsed="false">
      <c r="A801" s="28" t="s">
        <v>4009</v>
      </c>
      <c r="B801" s="28" t="s">
        <v>51</v>
      </c>
      <c r="C801" s="28" t="s">
        <v>82</v>
      </c>
      <c r="D801" s="28" t="s">
        <v>4010</v>
      </c>
      <c r="E801" s="4" t="n">
        <v>2</v>
      </c>
      <c r="F801" s="4" t="s">
        <v>144</v>
      </c>
      <c r="G801" s="7" t="s">
        <v>1578</v>
      </c>
      <c r="H801" s="4" t="n">
        <v>2001</v>
      </c>
      <c r="I801" s="4" t="s">
        <v>1579</v>
      </c>
      <c r="J801" s="25" t="str">
        <f aca="false">IF(M801=1,"✓","")</f>
        <v/>
      </c>
      <c r="K801" s="4" t="str">
        <f aca="false">IF(AND(M801=0,P801=0),"▶ NEXT","")</f>
        <v/>
      </c>
      <c r="L801" s="4" t="n">
        <f aca="false">INDEX('Master List'!$F$2:$F$2594,O801)</f>
        <v>1</v>
      </c>
      <c r="M801" s="4" t="n">
        <f aca="false">INDEX('Master List'!$G$2:$G$2594,O801)</f>
        <v>0</v>
      </c>
      <c r="N801" s="4" t="str">
        <f aca="false">IF(K801="","",A801)</f>
        <v/>
      </c>
      <c r="O801" s="4" t="n">
        <v>459</v>
      </c>
      <c r="P801" s="4" t="n">
        <f aca="false">IF(A801=A800,P800+1-M800,0)</f>
        <v>1</v>
      </c>
    </row>
    <row r="802" customFormat="false" ht="15" hidden="false" customHeight="false" outlineLevel="0" collapsed="false">
      <c r="A802" s="28" t="s">
        <v>4009</v>
      </c>
      <c r="B802" s="28" t="s">
        <v>51</v>
      </c>
      <c r="C802" s="28" t="s">
        <v>82</v>
      </c>
      <c r="D802" s="28" t="s">
        <v>4010</v>
      </c>
      <c r="E802" s="4" t="n">
        <v>3</v>
      </c>
      <c r="F802" s="4" t="s">
        <v>213</v>
      </c>
      <c r="G802" s="4" t="s">
        <v>1138</v>
      </c>
      <c r="H802" s="4" t="n">
        <v>2000</v>
      </c>
      <c r="I802" s="4" t="s">
        <v>1139</v>
      </c>
      <c r="J802" s="25" t="str">
        <f aca="false">IF(M802=1,"✓","")</f>
        <v/>
      </c>
      <c r="K802" s="4" t="str">
        <f aca="false">IF(AND(M802=0,P802=0),"▶ NEXT","")</f>
        <v/>
      </c>
      <c r="L802" s="4" t="n">
        <f aca="false">INDEX('Master List'!$F$2:$F$2594,O802)</f>
        <v>2</v>
      </c>
      <c r="M802" s="4" t="n">
        <f aca="false">INDEX('Master List'!$G$2:$G$2594,O802)</f>
        <v>0</v>
      </c>
      <c r="N802" s="4" t="str">
        <f aca="false">IF(K802="","",A802)</f>
        <v/>
      </c>
      <c r="O802" s="4" t="n">
        <v>1617</v>
      </c>
      <c r="P802" s="4" t="n">
        <f aca="false">IF(A802=A801,P801+1-M801,0)</f>
        <v>2</v>
      </c>
    </row>
    <row r="803" customFormat="false" ht="15" hidden="false" customHeight="false" outlineLevel="0" collapsed="false">
      <c r="A803" s="28" t="s">
        <v>4009</v>
      </c>
      <c r="B803" s="28" t="s">
        <v>51</v>
      </c>
      <c r="C803" s="28" t="s">
        <v>82</v>
      </c>
      <c r="D803" s="28" t="s">
        <v>4010</v>
      </c>
      <c r="E803" s="4" t="n">
        <v>4</v>
      </c>
      <c r="F803" s="4" t="s">
        <v>213</v>
      </c>
      <c r="G803" s="4" t="s">
        <v>2812</v>
      </c>
      <c r="H803" s="4" t="n">
        <v>2004</v>
      </c>
      <c r="I803" s="4" t="s">
        <v>1579</v>
      </c>
      <c r="J803" s="25" t="str">
        <f aca="false">IF(M803=1,"✓","")</f>
        <v/>
      </c>
      <c r="K803" s="4" t="str">
        <f aca="false">IF(AND(M803=0,P803=0),"▶ NEXT","")</f>
        <v/>
      </c>
      <c r="L803" s="4" t="n">
        <f aca="false">INDEX('Master List'!$F$2:$F$2594,O803)</f>
        <v>1</v>
      </c>
      <c r="M803" s="4" t="n">
        <f aca="false">INDEX('Master List'!$G$2:$G$2594,O803)</f>
        <v>0</v>
      </c>
      <c r="N803" s="4" t="str">
        <f aca="false">IF(K803="","",A803)</f>
        <v/>
      </c>
      <c r="O803" s="4" t="n">
        <v>1053</v>
      </c>
      <c r="P803" s="4" t="n">
        <f aca="false">IF(A803=A802,P802+1-M802,0)</f>
        <v>3</v>
      </c>
    </row>
    <row r="804" customFormat="false" ht="15" hidden="false" customHeight="false" outlineLevel="0" collapsed="false">
      <c r="A804" s="28" t="s">
        <v>4009</v>
      </c>
      <c r="B804" s="28" t="s">
        <v>51</v>
      </c>
      <c r="C804" s="28" t="s">
        <v>82</v>
      </c>
      <c r="D804" s="28" t="s">
        <v>4010</v>
      </c>
      <c r="E804" s="4" t="n">
        <v>5</v>
      </c>
      <c r="F804" s="4" t="s">
        <v>213</v>
      </c>
      <c r="G804" s="4" t="s">
        <v>3116</v>
      </c>
      <c r="H804" s="4" t="n">
        <v>2017</v>
      </c>
      <c r="I804" s="4" t="s">
        <v>1579</v>
      </c>
      <c r="J804" s="25" t="str">
        <f aca="false">IF(M804=1,"✓","")</f>
        <v/>
      </c>
      <c r="K804" s="4" t="str">
        <f aca="false">IF(AND(M804=0,P804=0),"▶ NEXT","")</f>
        <v/>
      </c>
      <c r="L804" s="4" t="n">
        <f aca="false">INDEX('Master List'!$F$2:$F$2594,O804)</f>
        <v>1</v>
      </c>
      <c r="M804" s="4" t="n">
        <f aca="false">INDEX('Master List'!$G$2:$G$2594,O804)</f>
        <v>0</v>
      </c>
      <c r="N804" s="4" t="str">
        <f aca="false">IF(K804="","",A804)</f>
        <v/>
      </c>
      <c r="O804" s="4" t="n">
        <v>2582</v>
      </c>
      <c r="P804" s="4" t="n">
        <f aca="false">IF(A804=A803,P803+1-M803,0)</f>
        <v>4</v>
      </c>
    </row>
    <row r="805" customFormat="false" ht="15" hidden="false" customHeight="false" outlineLevel="0" collapsed="false">
      <c r="A805" s="28" t="s">
        <v>4009</v>
      </c>
      <c r="B805" s="28" t="s">
        <v>51</v>
      </c>
      <c r="C805" s="28" t="s">
        <v>82</v>
      </c>
      <c r="D805" s="28" t="s">
        <v>4010</v>
      </c>
      <c r="E805" s="4" t="n">
        <v>6</v>
      </c>
      <c r="F805" s="4" t="s">
        <v>213</v>
      </c>
      <c r="G805" s="4" t="s">
        <v>2994</v>
      </c>
      <c r="H805" s="4" t="n">
        <v>2012</v>
      </c>
      <c r="I805" s="4" t="s">
        <v>2995</v>
      </c>
      <c r="J805" s="25" t="str">
        <f aca="false">IF(M805=1,"✓","")</f>
        <v/>
      </c>
      <c r="K805" s="4" t="str">
        <f aca="false">IF(AND(M805=0,P805=0),"▶ NEXT","")</f>
        <v/>
      </c>
      <c r="L805" s="4" t="n">
        <f aca="false">INDEX('Master List'!$F$2:$F$2594,O805)</f>
        <v>1</v>
      </c>
      <c r="M805" s="4" t="n">
        <f aca="false">INDEX('Master List'!$G$2:$G$2594,O805)</f>
        <v>0</v>
      </c>
      <c r="N805" s="4" t="str">
        <f aca="false">IF(K805="","",A805)</f>
        <v/>
      </c>
      <c r="O805" s="4" t="n">
        <v>1621</v>
      </c>
      <c r="P805" s="4" t="n">
        <f aca="false">IF(A805=A804,P804+1-M804,0)</f>
        <v>5</v>
      </c>
    </row>
    <row r="806" customFormat="false" ht="15" hidden="false" customHeight="false" outlineLevel="0" collapsed="false">
      <c r="A806" s="28" t="s">
        <v>4009</v>
      </c>
      <c r="B806" s="28" t="s">
        <v>51</v>
      </c>
      <c r="C806" s="28" t="s">
        <v>82</v>
      </c>
      <c r="D806" s="28" t="s">
        <v>4010</v>
      </c>
      <c r="E806" s="4" t="n">
        <v>7</v>
      </c>
      <c r="F806" s="4" t="s">
        <v>213</v>
      </c>
      <c r="G806" s="4" t="s">
        <v>1210</v>
      </c>
      <c r="H806" s="4" t="n">
        <v>2014</v>
      </c>
      <c r="I806" s="4" t="s">
        <v>1211</v>
      </c>
      <c r="J806" s="25" t="str">
        <f aca="false">IF(M806=1,"✓","")</f>
        <v/>
      </c>
      <c r="K806" s="4" t="str">
        <f aca="false">IF(AND(M806=0,P806=0),"▶ NEXT","")</f>
        <v/>
      </c>
      <c r="L806" s="4" t="n">
        <f aca="false">INDEX('Master List'!$F$2:$F$2594,O806)</f>
        <v>2</v>
      </c>
      <c r="M806" s="4" t="n">
        <f aca="false">INDEX('Master List'!$G$2:$G$2594,O806)</f>
        <v>0</v>
      </c>
      <c r="N806" s="4" t="str">
        <f aca="false">IF(K806="","",A806)</f>
        <v/>
      </c>
      <c r="O806" s="4" t="n">
        <v>2517</v>
      </c>
      <c r="P806" s="4" t="n">
        <f aca="false">IF(A806=A805,P805+1-M805,0)</f>
        <v>6</v>
      </c>
    </row>
    <row r="807" customFormat="false" ht="15" hidden="false" customHeight="false" outlineLevel="0" collapsed="false">
      <c r="A807" s="28" t="s">
        <v>4009</v>
      </c>
      <c r="B807" s="28" t="s">
        <v>51</v>
      </c>
      <c r="C807" s="28" t="s">
        <v>82</v>
      </c>
      <c r="D807" s="28" t="s">
        <v>4010</v>
      </c>
      <c r="E807" s="4" t="n">
        <v>8</v>
      </c>
      <c r="F807" s="4" t="s">
        <v>213</v>
      </c>
      <c r="G807" s="4" t="s">
        <v>3068</v>
      </c>
      <c r="H807" s="4" t="n">
        <v>2015</v>
      </c>
      <c r="I807" s="4" t="s">
        <v>3069</v>
      </c>
      <c r="J807" s="25" t="str">
        <f aca="false">IF(M807=1,"✓","")</f>
        <v/>
      </c>
      <c r="K807" s="4" t="str">
        <f aca="false">IF(AND(M807=0,P807=0),"▶ NEXT","")</f>
        <v/>
      </c>
      <c r="L807" s="4" t="n">
        <f aca="false">INDEX('Master List'!$F$2:$F$2594,O807)</f>
        <v>1</v>
      </c>
      <c r="M807" s="4" t="n">
        <f aca="false">INDEX('Master List'!$G$2:$G$2594,O807)</f>
        <v>0</v>
      </c>
      <c r="N807" s="4" t="str">
        <f aca="false">IF(K807="","",A807)</f>
        <v/>
      </c>
      <c r="O807" s="4" t="n">
        <v>722</v>
      </c>
      <c r="P807" s="4" t="n">
        <f aca="false">IF(A807=A806,P806+1-M806,0)</f>
        <v>7</v>
      </c>
    </row>
    <row r="808" customFormat="false" ht="15" hidden="false" customHeight="false" outlineLevel="0" collapsed="false">
      <c r="A808" s="28" t="s">
        <v>4009</v>
      </c>
      <c r="B808" s="28" t="s">
        <v>51</v>
      </c>
      <c r="C808" s="28" t="s">
        <v>82</v>
      </c>
      <c r="D808" s="28" t="s">
        <v>4010</v>
      </c>
      <c r="E808" s="4" t="n">
        <v>9</v>
      </c>
      <c r="F808" s="4" t="s">
        <v>1327</v>
      </c>
      <c r="G808" s="4" t="s">
        <v>3818</v>
      </c>
      <c r="H808" s="4" t="n">
        <v>2014</v>
      </c>
      <c r="I808" s="4" t="s">
        <v>3819</v>
      </c>
      <c r="J808" s="25" t="str">
        <f aca="false">IF(M808=1,"✓","")</f>
        <v/>
      </c>
      <c r="K808" s="4" t="str">
        <f aca="false">IF(AND(M808=0,P808=0),"▶ NEXT","")</f>
        <v/>
      </c>
      <c r="L808" s="4" t="n">
        <f aca="false">INDEX('Master List'!$F$2:$F$2594,O808)</f>
        <v>1</v>
      </c>
      <c r="M808" s="4" t="n">
        <f aca="false">INDEX('Master List'!$G$2:$G$2594,O808)</f>
        <v>0</v>
      </c>
      <c r="N808" s="4" t="str">
        <f aca="false">IF(K808="","",A808)</f>
        <v/>
      </c>
      <c r="O808" s="4" t="n">
        <v>1195</v>
      </c>
      <c r="P808" s="4" t="n">
        <f aca="false">IF(A808=A807,P807+1-M807,0)</f>
        <v>8</v>
      </c>
    </row>
    <row r="809" customFormat="false" ht="15" hidden="false" customHeight="false" outlineLevel="0" collapsed="false">
      <c r="A809" s="28" t="s">
        <v>4009</v>
      </c>
      <c r="B809" s="28" t="s">
        <v>51</v>
      </c>
      <c r="C809" s="28" t="s">
        <v>82</v>
      </c>
      <c r="D809" s="28" t="s">
        <v>4010</v>
      </c>
      <c r="E809" s="4" t="n">
        <v>10</v>
      </c>
      <c r="F809" s="4" t="s">
        <v>1327</v>
      </c>
      <c r="G809" s="4" t="s">
        <v>3774</v>
      </c>
      <c r="H809" s="4" t="n">
        <v>2008</v>
      </c>
      <c r="I809" s="4" t="s">
        <v>2995</v>
      </c>
      <c r="J809" s="25" t="str">
        <f aca="false">IF(M809=1,"✓","")</f>
        <v/>
      </c>
      <c r="K809" s="4" t="str">
        <f aca="false">IF(AND(M809=0,P809=0),"▶ NEXT","")</f>
        <v/>
      </c>
      <c r="L809" s="4" t="n">
        <f aca="false">INDEX('Master List'!$F$2:$F$2594,O809)</f>
        <v>1</v>
      </c>
      <c r="M809" s="4" t="n">
        <f aca="false">INDEX('Master List'!$G$2:$G$2594,O809)</f>
        <v>0</v>
      </c>
      <c r="N809" s="4" t="str">
        <f aca="false">IF(K809="","",A809)</f>
        <v/>
      </c>
      <c r="O809" s="4" t="n">
        <v>2333</v>
      </c>
      <c r="P809" s="4" t="n">
        <f aca="false">IF(A809=A808,P808+1-M808,0)</f>
        <v>9</v>
      </c>
    </row>
    <row r="810" customFormat="false" ht="15" hidden="false" customHeight="false" outlineLevel="0" collapsed="false">
      <c r="A810" s="28" t="s">
        <v>4011</v>
      </c>
      <c r="B810" s="28" t="s">
        <v>51</v>
      </c>
      <c r="C810" s="28" t="s">
        <v>83</v>
      </c>
      <c r="D810" s="28" t="s">
        <v>4012</v>
      </c>
      <c r="E810" s="4" t="n">
        <v>1</v>
      </c>
      <c r="F810" s="4" t="s">
        <v>144</v>
      </c>
      <c r="G810" s="7" t="s">
        <v>1543</v>
      </c>
      <c r="H810" s="4" t="n">
        <v>1992</v>
      </c>
      <c r="I810" s="4" t="s">
        <v>1387</v>
      </c>
      <c r="J810" s="25" t="str">
        <f aca="false">IF(M810=1,"✓","")</f>
        <v>✓</v>
      </c>
      <c r="K810" s="4" t="str">
        <f aca="false">IF(AND(M810=0,P810=0),"▶ NEXT","")</f>
        <v/>
      </c>
      <c r="L810" s="4" t="n">
        <f aca="false">INDEX('Master List'!$F$2:$F$2594,O810)</f>
        <v>1</v>
      </c>
      <c r="M810" s="4" t="n">
        <f aca="false">INDEX('Master List'!$G$2:$G$2594,O810)</f>
        <v>1</v>
      </c>
      <c r="N810" s="4" t="str">
        <f aca="false">IF(K810="","",A810)</f>
        <v/>
      </c>
      <c r="O810" s="4" t="n">
        <v>993</v>
      </c>
      <c r="P810" s="4" t="n">
        <f aca="false">IF(A810=A809,P809+1-M809,0)</f>
        <v>0</v>
      </c>
    </row>
    <row r="811" customFormat="false" ht="15" hidden="false" customHeight="false" outlineLevel="0" collapsed="false">
      <c r="A811" s="28" t="s">
        <v>4011</v>
      </c>
      <c r="B811" s="28" t="s">
        <v>51</v>
      </c>
      <c r="C811" s="28" t="s">
        <v>83</v>
      </c>
      <c r="D811" s="28" t="s">
        <v>4012</v>
      </c>
      <c r="E811" s="4" t="n">
        <v>2</v>
      </c>
      <c r="F811" s="4" t="s">
        <v>144</v>
      </c>
      <c r="G811" s="7" t="s">
        <v>1530</v>
      </c>
      <c r="H811" s="4" t="n">
        <v>1985</v>
      </c>
      <c r="I811" s="4" t="s">
        <v>1531</v>
      </c>
      <c r="J811" s="25" t="str">
        <f aca="false">IF(M811=1,"✓","")</f>
        <v/>
      </c>
      <c r="K811" s="4" t="str">
        <f aca="false">IF(AND(M811=0,P811=0),"▶ NEXT","")</f>
        <v>▶ NEXT</v>
      </c>
      <c r="L811" s="4" t="n">
        <f aca="false">INDEX('Master List'!$F$2:$F$2594,O811)</f>
        <v>1</v>
      </c>
      <c r="M811" s="4" t="n">
        <f aca="false">INDEX('Master List'!$G$2:$G$2594,O811)</f>
        <v>0</v>
      </c>
      <c r="N811" s="4" t="str">
        <f aca="false">IF(K811="","",A811)</f>
        <v>N069</v>
      </c>
      <c r="O811" s="4" t="n">
        <v>1788</v>
      </c>
      <c r="P811" s="4" t="n">
        <f aca="false">IF(A811=A810,P810+1-M810,0)</f>
        <v>0</v>
      </c>
    </row>
    <row r="812" customFormat="false" ht="15" hidden="false" customHeight="false" outlineLevel="0" collapsed="false">
      <c r="A812" s="28" t="s">
        <v>4011</v>
      </c>
      <c r="B812" s="28" t="s">
        <v>51</v>
      </c>
      <c r="C812" s="28" t="s">
        <v>83</v>
      </c>
      <c r="D812" s="28" t="s">
        <v>4012</v>
      </c>
      <c r="E812" s="4" t="n">
        <v>3</v>
      </c>
      <c r="F812" s="4" t="s">
        <v>213</v>
      </c>
      <c r="G812" s="4" t="s">
        <v>2078</v>
      </c>
      <c r="H812" s="4" t="n">
        <v>1966</v>
      </c>
      <c r="I812" s="4" t="s">
        <v>1483</v>
      </c>
      <c r="J812" s="25" t="str">
        <f aca="false">IF(M812=1,"✓","")</f>
        <v/>
      </c>
      <c r="K812" s="4" t="str">
        <f aca="false">IF(AND(M812=0,P812=0),"▶ NEXT","")</f>
        <v/>
      </c>
      <c r="L812" s="4" t="n">
        <f aca="false">INDEX('Master List'!$F$2:$F$2594,O812)</f>
        <v>1</v>
      </c>
      <c r="M812" s="4" t="n">
        <f aca="false">INDEX('Master List'!$G$2:$G$2594,O812)</f>
        <v>0</v>
      </c>
      <c r="N812" s="4" t="str">
        <f aca="false">IF(K812="","",A812)</f>
        <v/>
      </c>
      <c r="O812" s="4" t="n">
        <v>503</v>
      </c>
      <c r="P812" s="4" t="n">
        <f aca="false">IF(A812=A811,P811+1-M811,0)</f>
        <v>1</v>
      </c>
    </row>
    <row r="813" customFormat="false" ht="15" hidden="false" customHeight="false" outlineLevel="0" collapsed="false">
      <c r="A813" s="28" t="s">
        <v>4011</v>
      </c>
      <c r="B813" s="28" t="s">
        <v>51</v>
      </c>
      <c r="C813" s="28" t="s">
        <v>83</v>
      </c>
      <c r="D813" s="28" t="s">
        <v>4012</v>
      </c>
      <c r="E813" s="4" t="n">
        <v>4</v>
      </c>
      <c r="F813" s="4" t="s">
        <v>213</v>
      </c>
      <c r="G813" s="4" t="s">
        <v>2305</v>
      </c>
      <c r="H813" s="4" t="n">
        <v>1978</v>
      </c>
      <c r="I813" s="4" t="s">
        <v>2306</v>
      </c>
      <c r="J813" s="25" t="str">
        <f aca="false">IF(M813=1,"✓","")</f>
        <v/>
      </c>
      <c r="K813" s="4" t="str">
        <f aca="false">IF(AND(M813=0,P813=0),"▶ NEXT","")</f>
        <v/>
      </c>
      <c r="L813" s="4" t="n">
        <f aca="false">INDEX('Master List'!$F$2:$F$2594,O813)</f>
        <v>1</v>
      </c>
      <c r="M813" s="4" t="n">
        <f aca="false">INDEX('Master List'!$G$2:$G$2594,O813)</f>
        <v>0</v>
      </c>
      <c r="N813" s="4" t="str">
        <f aca="false">IF(K813="","",A813)</f>
        <v/>
      </c>
      <c r="O813" s="4" t="n">
        <v>21</v>
      </c>
      <c r="P813" s="4" t="n">
        <f aca="false">IF(A813=A812,P812+1-M812,0)</f>
        <v>2</v>
      </c>
    </row>
    <row r="814" customFormat="false" ht="15" hidden="false" customHeight="false" outlineLevel="0" collapsed="false">
      <c r="A814" s="28" t="s">
        <v>4011</v>
      </c>
      <c r="B814" s="28" t="s">
        <v>51</v>
      </c>
      <c r="C814" s="28" t="s">
        <v>83</v>
      </c>
      <c r="D814" s="28" t="s">
        <v>4012</v>
      </c>
      <c r="E814" s="4" t="n">
        <v>5</v>
      </c>
      <c r="F814" s="4" t="s">
        <v>213</v>
      </c>
      <c r="G814" s="4" t="s">
        <v>1038</v>
      </c>
      <c r="H814" s="4" t="n">
        <v>1978</v>
      </c>
      <c r="I814" s="4" t="s">
        <v>1039</v>
      </c>
      <c r="J814" s="25" t="str">
        <f aca="false">IF(M814=1,"✓","")</f>
        <v/>
      </c>
      <c r="K814" s="4" t="str">
        <f aca="false">IF(AND(M814=0,P814=0),"▶ NEXT","")</f>
        <v/>
      </c>
      <c r="L814" s="4" t="n">
        <f aca="false">INDEX('Master List'!$F$2:$F$2594,O814)</f>
        <v>2</v>
      </c>
      <c r="M814" s="4" t="n">
        <f aca="false">INDEX('Master List'!$G$2:$G$2594,O814)</f>
        <v>0</v>
      </c>
      <c r="N814" s="4" t="str">
        <f aca="false">IF(K814="","",A814)</f>
        <v/>
      </c>
      <c r="O814" s="4" t="n">
        <v>815</v>
      </c>
      <c r="P814" s="4" t="n">
        <f aca="false">IF(A814=A813,P813+1-M813,0)</f>
        <v>3</v>
      </c>
    </row>
    <row r="815" customFormat="false" ht="15" hidden="false" customHeight="false" outlineLevel="0" collapsed="false">
      <c r="A815" s="28" t="s">
        <v>4011</v>
      </c>
      <c r="B815" s="28" t="s">
        <v>51</v>
      </c>
      <c r="C815" s="28" t="s">
        <v>83</v>
      </c>
      <c r="D815" s="28" t="s">
        <v>4012</v>
      </c>
      <c r="E815" s="4" t="n">
        <v>6</v>
      </c>
      <c r="F815" s="4" t="s">
        <v>213</v>
      </c>
      <c r="G815" s="4" t="s">
        <v>2379</v>
      </c>
      <c r="H815" s="4" t="n">
        <v>1983</v>
      </c>
      <c r="I815" s="4" t="s">
        <v>1531</v>
      </c>
      <c r="J815" s="25" t="str">
        <f aca="false">IF(M815=1,"✓","")</f>
        <v/>
      </c>
      <c r="K815" s="4" t="str">
        <f aca="false">IF(AND(M815=0,P815=0),"▶ NEXT","")</f>
        <v/>
      </c>
      <c r="L815" s="4" t="n">
        <f aca="false">INDEX('Master List'!$F$2:$F$2594,O815)</f>
        <v>1</v>
      </c>
      <c r="M815" s="4" t="n">
        <f aca="false">INDEX('Master List'!$G$2:$G$2594,O815)</f>
        <v>0</v>
      </c>
      <c r="N815" s="4" t="str">
        <f aca="false">IF(K815="","",A815)</f>
        <v/>
      </c>
      <c r="O815" s="4" t="n">
        <v>1821</v>
      </c>
      <c r="P815" s="4" t="n">
        <f aca="false">IF(A815=A814,P814+1-M814,0)</f>
        <v>4</v>
      </c>
    </row>
    <row r="816" customFormat="false" ht="15" hidden="false" customHeight="false" outlineLevel="0" collapsed="false">
      <c r="A816" s="28" t="s">
        <v>4011</v>
      </c>
      <c r="B816" s="28" t="s">
        <v>51</v>
      </c>
      <c r="C816" s="28" t="s">
        <v>83</v>
      </c>
      <c r="D816" s="28" t="s">
        <v>4012</v>
      </c>
      <c r="E816" s="4" t="n">
        <v>7</v>
      </c>
      <c r="F816" s="4" t="s">
        <v>213</v>
      </c>
      <c r="G816" s="4" t="s">
        <v>2429</v>
      </c>
      <c r="H816" s="4" t="n">
        <v>1986</v>
      </c>
      <c r="I816" s="4" t="s">
        <v>1387</v>
      </c>
      <c r="J816" s="25" t="str">
        <f aca="false">IF(M816=1,"✓","")</f>
        <v/>
      </c>
      <c r="K816" s="4" t="str">
        <f aca="false">IF(AND(M816=0,P816=0),"▶ NEXT","")</f>
        <v/>
      </c>
      <c r="L816" s="4" t="n">
        <f aca="false">INDEX('Master List'!$F$2:$F$2594,O816)</f>
        <v>1</v>
      </c>
      <c r="M816" s="4" t="n">
        <f aca="false">INDEX('Master List'!$G$2:$G$2594,O816)</f>
        <v>0</v>
      </c>
      <c r="N816" s="4" t="str">
        <f aca="false">IF(K816="","",A816)</f>
        <v/>
      </c>
      <c r="O816" s="4" t="n">
        <v>232</v>
      </c>
      <c r="P816" s="4" t="n">
        <f aca="false">IF(A816=A815,P815+1-M815,0)</f>
        <v>5</v>
      </c>
    </row>
    <row r="817" customFormat="false" ht="15" hidden="false" customHeight="false" outlineLevel="0" collapsed="false">
      <c r="A817" s="28" t="s">
        <v>4011</v>
      </c>
      <c r="B817" s="28" t="s">
        <v>51</v>
      </c>
      <c r="C817" s="28" t="s">
        <v>83</v>
      </c>
      <c r="D817" s="28" t="s">
        <v>4012</v>
      </c>
      <c r="E817" s="4" t="n">
        <v>8</v>
      </c>
      <c r="F817" s="4" t="s">
        <v>213</v>
      </c>
      <c r="G817" s="4" t="s">
        <v>2489</v>
      </c>
      <c r="H817" s="4" t="n">
        <v>1989</v>
      </c>
      <c r="I817" s="4" t="s">
        <v>1387</v>
      </c>
      <c r="J817" s="25" t="str">
        <f aca="false">IF(M817=1,"✓","")</f>
        <v/>
      </c>
      <c r="K817" s="4" t="str">
        <f aca="false">IF(AND(M817=0,P817=0),"▶ NEXT","")</f>
        <v/>
      </c>
      <c r="L817" s="4" t="n">
        <f aca="false">INDEX('Master List'!$F$2:$F$2594,O817)</f>
        <v>1</v>
      </c>
      <c r="M817" s="4" t="n">
        <f aca="false">INDEX('Master List'!$G$2:$G$2594,O817)</f>
        <v>0</v>
      </c>
      <c r="N817" s="4" t="str">
        <f aca="false">IF(K817="","",A817)</f>
        <v/>
      </c>
      <c r="O817" s="4" t="n">
        <v>1245</v>
      </c>
      <c r="P817" s="4" t="n">
        <f aca="false">IF(A817=A816,P816+1-M816,0)</f>
        <v>6</v>
      </c>
    </row>
    <row r="818" customFormat="false" ht="15" hidden="false" customHeight="false" outlineLevel="0" collapsed="false">
      <c r="A818" s="28" t="s">
        <v>4011</v>
      </c>
      <c r="B818" s="28" t="s">
        <v>51</v>
      </c>
      <c r="C818" s="28" t="s">
        <v>83</v>
      </c>
      <c r="D818" s="28" t="s">
        <v>4012</v>
      </c>
      <c r="E818" s="4" t="n">
        <v>9</v>
      </c>
      <c r="F818" s="4" t="s">
        <v>213</v>
      </c>
      <c r="G818" s="4" t="s">
        <v>2522</v>
      </c>
      <c r="H818" s="4" t="n">
        <v>1991</v>
      </c>
      <c r="I818" s="4" t="s">
        <v>2523</v>
      </c>
      <c r="J818" s="25" t="str">
        <f aca="false">IF(M818=1,"✓","")</f>
        <v/>
      </c>
      <c r="K818" s="4" t="str">
        <f aca="false">IF(AND(M818=0,P818=0),"▶ NEXT","")</f>
        <v/>
      </c>
      <c r="L818" s="4" t="n">
        <f aca="false">INDEX('Master List'!$F$2:$F$2594,O818)</f>
        <v>1</v>
      </c>
      <c r="M818" s="4" t="n">
        <f aca="false">INDEX('Master List'!$G$2:$G$2594,O818)</f>
        <v>0</v>
      </c>
      <c r="N818" s="4" t="str">
        <f aca="false">IF(K818="","",A818)</f>
        <v/>
      </c>
      <c r="O818" s="4" t="n">
        <v>1671</v>
      </c>
      <c r="P818" s="4" t="n">
        <f aca="false">IF(A818=A817,P817+1-M817,0)</f>
        <v>7</v>
      </c>
    </row>
    <row r="819" customFormat="false" ht="15" hidden="false" customHeight="false" outlineLevel="0" collapsed="false">
      <c r="A819" s="28" t="s">
        <v>4011</v>
      </c>
      <c r="B819" s="28" t="s">
        <v>51</v>
      </c>
      <c r="C819" s="28" t="s">
        <v>83</v>
      </c>
      <c r="D819" s="28" t="s">
        <v>4012</v>
      </c>
      <c r="E819" s="4" t="n">
        <v>10</v>
      </c>
      <c r="F819" s="4" t="s">
        <v>213</v>
      </c>
      <c r="G819" s="4" t="s">
        <v>2579</v>
      </c>
      <c r="H819" s="4" t="n">
        <v>1994</v>
      </c>
      <c r="I819" s="4" t="s">
        <v>2306</v>
      </c>
      <c r="J819" s="25" t="str">
        <f aca="false">IF(M819=1,"✓","")</f>
        <v/>
      </c>
      <c r="K819" s="4" t="str">
        <f aca="false">IF(AND(M819=0,P819=0),"▶ NEXT","")</f>
        <v/>
      </c>
      <c r="L819" s="4" t="n">
        <f aca="false">INDEX('Master List'!$F$2:$F$2594,O819)</f>
        <v>1</v>
      </c>
      <c r="M819" s="4" t="n">
        <f aca="false">INDEX('Master List'!$G$2:$G$2594,O819)</f>
        <v>0</v>
      </c>
      <c r="N819" s="4" t="str">
        <f aca="false">IF(K819="","",A819)</f>
        <v/>
      </c>
      <c r="O819" s="4" t="n">
        <v>684</v>
      </c>
      <c r="P819" s="4" t="n">
        <f aca="false">IF(A819=A818,P818+1-M818,0)</f>
        <v>8</v>
      </c>
    </row>
    <row r="820" customFormat="false" ht="15" hidden="false" customHeight="false" outlineLevel="0" collapsed="false">
      <c r="A820" s="28" t="s">
        <v>4011</v>
      </c>
      <c r="B820" s="28" t="s">
        <v>51</v>
      </c>
      <c r="C820" s="28" t="s">
        <v>83</v>
      </c>
      <c r="D820" s="28" t="s">
        <v>4012</v>
      </c>
      <c r="E820" s="4" t="n">
        <v>11</v>
      </c>
      <c r="F820" s="4" t="s">
        <v>213</v>
      </c>
      <c r="G820" s="4" t="s">
        <v>1156</v>
      </c>
      <c r="H820" s="4" t="n">
        <v>2002</v>
      </c>
      <c r="I820" s="4" t="s">
        <v>1157</v>
      </c>
      <c r="J820" s="25" t="str">
        <f aca="false">IF(M820=1,"✓","")</f>
        <v/>
      </c>
      <c r="K820" s="4" t="str">
        <f aca="false">IF(AND(M820=0,P820=0),"▶ NEXT","")</f>
        <v/>
      </c>
      <c r="L820" s="4" t="n">
        <f aca="false">INDEX('Master List'!$F$2:$F$2594,O820)</f>
        <v>2</v>
      </c>
      <c r="M820" s="4" t="n">
        <f aca="false">INDEX('Master List'!$G$2:$G$2594,O820)</f>
        <v>0</v>
      </c>
      <c r="N820" s="4" t="str">
        <f aca="false">IF(K820="","",A820)</f>
        <v/>
      </c>
      <c r="O820" s="4" t="n">
        <v>1136</v>
      </c>
      <c r="P820" s="4" t="n">
        <f aca="false">IF(A820=A819,P819+1-M819,0)</f>
        <v>9</v>
      </c>
    </row>
    <row r="821" customFormat="false" ht="15" hidden="false" customHeight="false" outlineLevel="0" collapsed="false">
      <c r="A821" s="28" t="s">
        <v>4011</v>
      </c>
      <c r="B821" s="28" t="s">
        <v>51</v>
      </c>
      <c r="C821" s="28" t="s">
        <v>83</v>
      </c>
      <c r="D821" s="28" t="s">
        <v>4012</v>
      </c>
      <c r="E821" s="4" t="n">
        <v>12</v>
      </c>
      <c r="F821" s="4" t="s">
        <v>1327</v>
      </c>
      <c r="G821" s="4" t="s">
        <v>3671</v>
      </c>
      <c r="H821" s="4" t="n">
        <v>1992</v>
      </c>
      <c r="I821" s="4" t="s">
        <v>1539</v>
      </c>
      <c r="J821" s="25" t="str">
        <f aca="false">IF(M821=1,"✓","")</f>
        <v/>
      </c>
      <c r="K821" s="4" t="str">
        <f aca="false">IF(AND(M821=0,P821=0),"▶ NEXT","")</f>
        <v/>
      </c>
      <c r="L821" s="4" t="n">
        <f aca="false">INDEX('Master List'!$F$2:$F$2594,O821)</f>
        <v>1</v>
      </c>
      <c r="M821" s="4" t="n">
        <f aca="false">INDEX('Master List'!$G$2:$G$2594,O821)</f>
        <v>0</v>
      </c>
      <c r="N821" s="4" t="str">
        <f aca="false">IF(K821="","",A821)</f>
        <v/>
      </c>
      <c r="O821" s="4" t="n">
        <v>867</v>
      </c>
      <c r="P821" s="4" t="n">
        <f aca="false">IF(A821=A820,P820+1-M820,0)</f>
        <v>10</v>
      </c>
    </row>
    <row r="822" customFormat="false" ht="15" hidden="false" customHeight="false" outlineLevel="0" collapsed="false">
      <c r="A822" s="28" t="s">
        <v>4011</v>
      </c>
      <c r="B822" s="28" t="s">
        <v>51</v>
      </c>
      <c r="C822" s="28" t="s">
        <v>83</v>
      </c>
      <c r="D822" s="28" t="s">
        <v>4012</v>
      </c>
      <c r="E822" s="4" t="n">
        <v>13</v>
      </c>
      <c r="F822" s="4" t="s">
        <v>1327</v>
      </c>
      <c r="G822" s="4" t="s">
        <v>3755</v>
      </c>
      <c r="H822" s="4" t="n">
        <v>2006</v>
      </c>
      <c r="I822" s="4" t="s">
        <v>3738</v>
      </c>
      <c r="J822" s="25" t="str">
        <f aca="false">IF(M822=1,"✓","")</f>
        <v/>
      </c>
      <c r="K822" s="4" t="str">
        <f aca="false">IF(AND(M822=0,P822=0),"▶ NEXT","")</f>
        <v/>
      </c>
      <c r="L822" s="4" t="n">
        <f aca="false">INDEX('Master List'!$F$2:$F$2594,O822)</f>
        <v>1</v>
      </c>
      <c r="M822" s="4" t="n">
        <f aca="false">INDEX('Master List'!$G$2:$G$2594,O822)</f>
        <v>0</v>
      </c>
      <c r="N822" s="4" t="str">
        <f aca="false">IF(K822="","",A822)</f>
        <v/>
      </c>
      <c r="O822" s="4" t="n">
        <v>760</v>
      </c>
      <c r="P822" s="4" t="n">
        <f aca="false">IF(A822=A821,P821+1-M821,0)</f>
        <v>11</v>
      </c>
    </row>
    <row r="823" customFormat="false" ht="15" hidden="false" customHeight="false" outlineLevel="0" collapsed="false">
      <c r="A823" s="28" t="s">
        <v>4011</v>
      </c>
      <c r="B823" s="28" t="s">
        <v>51</v>
      </c>
      <c r="C823" s="28" t="s">
        <v>83</v>
      </c>
      <c r="D823" s="28" t="s">
        <v>4012</v>
      </c>
      <c r="E823" s="4" t="n">
        <v>14</v>
      </c>
      <c r="F823" s="4" t="s">
        <v>1327</v>
      </c>
      <c r="G823" s="4" t="s">
        <v>3737</v>
      </c>
      <c r="H823" s="4" t="n">
        <v>2003</v>
      </c>
      <c r="I823" s="4" t="s">
        <v>3738</v>
      </c>
      <c r="J823" s="25" t="str">
        <f aca="false">IF(M823=1,"✓","")</f>
        <v/>
      </c>
      <c r="K823" s="4" t="str">
        <f aca="false">IF(AND(M823=0,P823=0),"▶ NEXT","")</f>
        <v/>
      </c>
      <c r="L823" s="4" t="n">
        <f aca="false">INDEX('Master List'!$F$2:$F$2594,O823)</f>
        <v>1</v>
      </c>
      <c r="M823" s="4" t="n">
        <f aca="false">INDEX('Master List'!$G$2:$G$2594,O823)</f>
        <v>0</v>
      </c>
      <c r="N823" s="4" t="str">
        <f aca="false">IF(K823="","",A823)</f>
        <v/>
      </c>
      <c r="O823" s="4" t="n">
        <v>1827</v>
      </c>
      <c r="P823" s="4" t="n">
        <f aca="false">IF(A823=A822,P822+1-M822,0)</f>
        <v>12</v>
      </c>
    </row>
    <row r="824" customFormat="false" ht="15" hidden="false" customHeight="false" outlineLevel="0" collapsed="false">
      <c r="A824" s="28" t="s">
        <v>4013</v>
      </c>
      <c r="B824" s="28" t="s">
        <v>51</v>
      </c>
      <c r="C824" s="28" t="s">
        <v>83</v>
      </c>
      <c r="D824" s="28" t="s">
        <v>4014</v>
      </c>
      <c r="E824" s="4" t="n">
        <v>1</v>
      </c>
      <c r="F824" s="4" t="s">
        <v>144</v>
      </c>
      <c r="G824" s="7" t="s">
        <v>1576</v>
      </c>
      <c r="H824" s="4" t="n">
        <v>2000</v>
      </c>
      <c r="I824" s="4" t="s">
        <v>1169</v>
      </c>
      <c r="J824" s="25" t="str">
        <f aca="false">IF(M824=1,"✓","")</f>
        <v/>
      </c>
      <c r="K824" s="4" t="str">
        <f aca="false">IF(AND(M824=0,P824=0),"▶ NEXT","")</f>
        <v>▶ NEXT</v>
      </c>
      <c r="L824" s="4" t="n">
        <f aca="false">INDEX('Master List'!$F$2:$F$2594,O824)</f>
        <v>1</v>
      </c>
      <c r="M824" s="4" t="n">
        <f aca="false">INDEX('Master List'!$G$2:$G$2594,O824)</f>
        <v>0</v>
      </c>
      <c r="N824" s="4" t="str">
        <f aca="false">IF(K824="","",A824)</f>
        <v>N070</v>
      </c>
      <c r="O824" s="4" t="n">
        <v>543</v>
      </c>
      <c r="P824" s="4" t="n">
        <f aca="false">IF(A824=A823,P823+1-M823,0)</f>
        <v>0</v>
      </c>
    </row>
    <row r="825" customFormat="false" ht="15" hidden="false" customHeight="false" outlineLevel="0" collapsed="false">
      <c r="A825" s="28" t="s">
        <v>4013</v>
      </c>
      <c r="B825" s="28" t="s">
        <v>51</v>
      </c>
      <c r="C825" s="28" t="s">
        <v>83</v>
      </c>
      <c r="D825" s="28" t="s">
        <v>4014</v>
      </c>
      <c r="E825" s="4" t="n">
        <v>2</v>
      </c>
      <c r="F825" s="4" t="s">
        <v>144</v>
      </c>
      <c r="G825" s="7" t="s">
        <v>1482</v>
      </c>
      <c r="H825" s="4" t="n">
        <v>1970</v>
      </c>
      <c r="I825" s="4" t="s">
        <v>1483</v>
      </c>
      <c r="J825" s="25" t="str">
        <f aca="false">IF(M825=1,"✓","")</f>
        <v/>
      </c>
      <c r="K825" s="4" t="str">
        <f aca="false">IF(AND(M825=0,P825=0),"▶ NEXT","")</f>
        <v/>
      </c>
      <c r="L825" s="4" t="n">
        <f aca="false">INDEX('Master List'!$F$2:$F$2594,O825)</f>
        <v>1</v>
      </c>
      <c r="M825" s="4" t="n">
        <f aca="false">INDEX('Master List'!$G$2:$G$2594,O825)</f>
        <v>0</v>
      </c>
      <c r="N825" s="4" t="str">
        <f aca="false">IF(K825="","",A825)</f>
        <v/>
      </c>
      <c r="O825" s="4" t="n">
        <v>2346</v>
      </c>
      <c r="P825" s="4" t="n">
        <f aca="false">IF(A825=A824,P824+1-M824,0)</f>
        <v>1</v>
      </c>
    </row>
    <row r="826" customFormat="false" ht="15" hidden="false" customHeight="false" outlineLevel="0" collapsed="false">
      <c r="A826" s="28" t="s">
        <v>4013</v>
      </c>
      <c r="B826" s="28" t="s">
        <v>51</v>
      </c>
      <c r="C826" s="28" t="s">
        <v>83</v>
      </c>
      <c r="D826" s="28" t="s">
        <v>4014</v>
      </c>
      <c r="E826" s="4" t="n">
        <v>3</v>
      </c>
      <c r="F826" s="4" t="s">
        <v>213</v>
      </c>
      <c r="G826" s="4" t="s">
        <v>2101</v>
      </c>
      <c r="H826" s="4" t="n">
        <v>1967</v>
      </c>
      <c r="I826" s="4" t="s">
        <v>1483</v>
      </c>
      <c r="J826" s="25" t="str">
        <f aca="false">IF(M826=1,"✓","")</f>
        <v/>
      </c>
      <c r="K826" s="4" t="str">
        <f aca="false">IF(AND(M826=0,P826=0),"▶ NEXT","")</f>
        <v/>
      </c>
      <c r="L826" s="4" t="n">
        <f aca="false">INDEX('Master List'!$F$2:$F$2594,O826)</f>
        <v>1</v>
      </c>
      <c r="M826" s="4" t="n">
        <f aca="false">INDEX('Master List'!$G$2:$G$2594,O826)</f>
        <v>0</v>
      </c>
      <c r="N826" s="4" t="str">
        <f aca="false">IF(K826="","",A826)</f>
        <v/>
      </c>
      <c r="O826" s="4" t="n">
        <v>674</v>
      </c>
      <c r="P826" s="4" t="n">
        <f aca="false">IF(A826=A825,P825+1-M825,0)</f>
        <v>2</v>
      </c>
    </row>
    <row r="827" customFormat="false" ht="15" hidden="false" customHeight="false" outlineLevel="0" collapsed="false">
      <c r="A827" s="28" t="s">
        <v>4013</v>
      </c>
      <c r="B827" s="28" t="s">
        <v>51</v>
      </c>
      <c r="C827" s="28" t="s">
        <v>83</v>
      </c>
      <c r="D827" s="28" t="s">
        <v>4014</v>
      </c>
      <c r="E827" s="4" t="n">
        <v>4</v>
      </c>
      <c r="F827" s="4" t="s">
        <v>213</v>
      </c>
      <c r="G827" s="4" t="s">
        <v>2444</v>
      </c>
      <c r="H827" s="4" t="n">
        <v>1987</v>
      </c>
      <c r="I827" s="4" t="s">
        <v>2445</v>
      </c>
      <c r="J827" s="25" t="str">
        <f aca="false">IF(M827=1,"✓","")</f>
        <v/>
      </c>
      <c r="K827" s="4" t="str">
        <f aca="false">IF(AND(M827=0,P827=0),"▶ NEXT","")</f>
        <v/>
      </c>
      <c r="L827" s="4" t="n">
        <f aca="false">INDEX('Master List'!$F$2:$F$2594,O827)</f>
        <v>1</v>
      </c>
      <c r="M827" s="4" t="n">
        <f aca="false">INDEX('Master List'!$G$2:$G$2594,O827)</f>
        <v>0</v>
      </c>
      <c r="N827" s="4" t="str">
        <f aca="false">IF(K827="","",A827)</f>
        <v/>
      </c>
      <c r="O827" s="4" t="n">
        <v>451</v>
      </c>
      <c r="P827" s="4" t="n">
        <f aca="false">IF(A827=A826,P826+1-M826,0)</f>
        <v>3</v>
      </c>
    </row>
    <row r="828" customFormat="false" ht="15" hidden="false" customHeight="false" outlineLevel="0" collapsed="false">
      <c r="A828" s="28" t="s">
        <v>4013</v>
      </c>
      <c r="B828" s="28" t="s">
        <v>51</v>
      </c>
      <c r="C828" s="28" t="s">
        <v>83</v>
      </c>
      <c r="D828" s="28" t="s">
        <v>4014</v>
      </c>
      <c r="E828" s="4" t="n">
        <v>5</v>
      </c>
      <c r="F828" s="4" t="s">
        <v>213</v>
      </c>
      <c r="G828" s="4" t="s">
        <v>1106</v>
      </c>
      <c r="H828" s="4" t="n">
        <v>1994</v>
      </c>
      <c r="I828" s="4" t="s">
        <v>193</v>
      </c>
      <c r="J828" s="25" t="str">
        <f aca="false">IF(M828=1,"✓","")</f>
        <v/>
      </c>
      <c r="K828" s="4" t="str">
        <f aca="false">IF(AND(M828=0,P828=0),"▶ NEXT","")</f>
        <v/>
      </c>
      <c r="L828" s="4" t="n">
        <f aca="false">INDEX('Master List'!$F$2:$F$2594,O828)</f>
        <v>2</v>
      </c>
      <c r="M828" s="4" t="n">
        <f aca="false">INDEX('Master List'!$G$2:$G$2594,O828)</f>
        <v>0</v>
      </c>
      <c r="N828" s="4" t="str">
        <f aca="false">IF(K828="","",A828)</f>
        <v/>
      </c>
      <c r="O828" s="4" t="n">
        <v>138</v>
      </c>
      <c r="P828" s="4" t="n">
        <f aca="false">IF(A828=A827,P827+1-M827,0)</f>
        <v>4</v>
      </c>
    </row>
    <row r="829" customFormat="false" ht="15" hidden="false" customHeight="false" outlineLevel="0" collapsed="false">
      <c r="A829" s="28" t="s">
        <v>4013</v>
      </c>
      <c r="B829" s="28" t="s">
        <v>51</v>
      </c>
      <c r="C829" s="28" t="s">
        <v>83</v>
      </c>
      <c r="D829" s="28" t="s">
        <v>4014</v>
      </c>
      <c r="E829" s="4" t="n">
        <v>6</v>
      </c>
      <c r="F829" s="4" t="s">
        <v>213</v>
      </c>
      <c r="G829" s="4" t="s">
        <v>2767</v>
      </c>
      <c r="H829" s="4" t="n">
        <v>2002</v>
      </c>
      <c r="I829" s="4" t="s">
        <v>1541</v>
      </c>
      <c r="J829" s="25" t="str">
        <f aca="false">IF(M829=1,"✓","")</f>
        <v/>
      </c>
      <c r="K829" s="4" t="str">
        <f aca="false">IF(AND(M829=0,P829=0),"▶ NEXT","")</f>
        <v/>
      </c>
      <c r="L829" s="4" t="n">
        <f aca="false">INDEX('Master List'!$F$2:$F$2594,O829)</f>
        <v>1</v>
      </c>
      <c r="M829" s="4" t="n">
        <f aca="false">INDEX('Master List'!$G$2:$G$2594,O829)</f>
        <v>0</v>
      </c>
      <c r="N829" s="4" t="str">
        <f aca="false">IF(K829="","",A829)</f>
        <v/>
      </c>
      <c r="O829" s="4" t="n">
        <v>1026</v>
      </c>
      <c r="P829" s="4" t="n">
        <f aca="false">IF(A829=A828,P828+1-M828,0)</f>
        <v>5</v>
      </c>
    </row>
    <row r="830" customFormat="false" ht="15" hidden="false" customHeight="false" outlineLevel="0" collapsed="false">
      <c r="A830" s="28" t="s">
        <v>4013</v>
      </c>
      <c r="B830" s="28" t="s">
        <v>51</v>
      </c>
      <c r="C830" s="28" t="s">
        <v>83</v>
      </c>
      <c r="D830" s="28" t="s">
        <v>4014</v>
      </c>
      <c r="E830" s="4" t="n">
        <v>7</v>
      </c>
      <c r="F830" s="4" t="s">
        <v>213</v>
      </c>
      <c r="G830" s="4" t="s">
        <v>2813</v>
      </c>
      <c r="H830" s="4" t="n">
        <v>2004</v>
      </c>
      <c r="I830" s="4" t="s">
        <v>1541</v>
      </c>
      <c r="J830" s="25" t="str">
        <f aca="false">IF(M830=1,"✓","")</f>
        <v/>
      </c>
      <c r="K830" s="4" t="str">
        <f aca="false">IF(AND(M830=0,P830=0),"▶ NEXT","")</f>
        <v/>
      </c>
      <c r="L830" s="4" t="n">
        <f aca="false">INDEX('Master List'!$F$2:$F$2594,O830)</f>
        <v>1</v>
      </c>
      <c r="M830" s="4" t="n">
        <f aca="false">INDEX('Master List'!$G$2:$G$2594,O830)</f>
        <v>0</v>
      </c>
      <c r="N830" s="4" t="str">
        <f aca="false">IF(K830="","",A830)</f>
        <v/>
      </c>
      <c r="O830" s="4" t="n">
        <v>1074</v>
      </c>
      <c r="P830" s="4" t="n">
        <f aca="false">IF(A830=A829,P829+1-M829,0)</f>
        <v>6</v>
      </c>
    </row>
    <row r="831" customFormat="false" ht="15" hidden="false" customHeight="false" outlineLevel="0" collapsed="false">
      <c r="A831" s="28" t="s">
        <v>4013</v>
      </c>
      <c r="B831" s="28" t="s">
        <v>51</v>
      </c>
      <c r="C831" s="28" t="s">
        <v>83</v>
      </c>
      <c r="D831" s="28" t="s">
        <v>4014</v>
      </c>
      <c r="E831" s="4" t="n">
        <v>8</v>
      </c>
      <c r="F831" s="4" t="s">
        <v>213</v>
      </c>
      <c r="G831" s="4" t="s">
        <v>3070</v>
      </c>
      <c r="H831" s="4" t="n">
        <v>2015</v>
      </c>
      <c r="I831" s="4" t="s">
        <v>492</v>
      </c>
      <c r="J831" s="25" t="str">
        <f aca="false">IF(M831=1,"✓","")</f>
        <v/>
      </c>
      <c r="K831" s="4" t="str">
        <f aca="false">IF(AND(M831=0,P831=0),"▶ NEXT","")</f>
        <v/>
      </c>
      <c r="L831" s="4" t="n">
        <f aca="false">INDEX('Master List'!$F$2:$F$2594,O831)</f>
        <v>1</v>
      </c>
      <c r="M831" s="4" t="n">
        <f aca="false">INDEX('Master List'!$G$2:$G$2594,O831)</f>
        <v>0</v>
      </c>
      <c r="N831" s="4" t="str">
        <f aca="false">IF(K831="","",A831)</f>
        <v/>
      </c>
      <c r="O831" s="4" t="n">
        <v>140</v>
      </c>
      <c r="P831" s="4" t="n">
        <f aca="false">IF(A831=A830,P830+1-M830,0)</f>
        <v>7</v>
      </c>
    </row>
    <row r="832" customFormat="false" ht="15" hidden="false" customHeight="false" outlineLevel="0" collapsed="false">
      <c r="A832" s="28" t="s">
        <v>4013</v>
      </c>
      <c r="B832" s="28" t="s">
        <v>51</v>
      </c>
      <c r="C832" s="28" t="s">
        <v>83</v>
      </c>
      <c r="D832" s="28" t="s">
        <v>4014</v>
      </c>
      <c r="E832" s="4" t="n">
        <v>9</v>
      </c>
      <c r="F832" s="4" t="s">
        <v>1327</v>
      </c>
      <c r="G832" s="4" t="s">
        <v>3687</v>
      </c>
      <c r="H832" s="4" t="n">
        <v>1995</v>
      </c>
      <c r="I832" s="4" t="s">
        <v>2523</v>
      </c>
      <c r="J832" s="25" t="str">
        <f aca="false">IF(M832=1,"✓","")</f>
        <v/>
      </c>
      <c r="K832" s="4" t="str">
        <f aca="false">IF(AND(M832=0,P832=0),"▶ NEXT","")</f>
        <v/>
      </c>
      <c r="L832" s="4" t="n">
        <f aca="false">INDEX('Master List'!$F$2:$F$2594,O832)</f>
        <v>1</v>
      </c>
      <c r="M832" s="4" t="n">
        <f aca="false">INDEX('Master List'!$G$2:$G$2594,O832)</f>
        <v>0</v>
      </c>
      <c r="N832" s="4" t="str">
        <f aca="false">IF(K832="","",A832)</f>
        <v/>
      </c>
      <c r="O832" s="4" t="n">
        <v>278</v>
      </c>
      <c r="P832" s="4" t="n">
        <f aca="false">IF(A832=A831,P831+1-M831,0)</f>
        <v>8</v>
      </c>
    </row>
    <row r="833" customFormat="false" ht="15" hidden="false" customHeight="false" outlineLevel="0" collapsed="false">
      <c r="A833" s="28" t="s">
        <v>4013</v>
      </c>
      <c r="B833" s="28" t="s">
        <v>51</v>
      </c>
      <c r="C833" s="28" t="s">
        <v>83</v>
      </c>
      <c r="D833" s="28" t="s">
        <v>4014</v>
      </c>
      <c r="E833" s="4" t="n">
        <v>10</v>
      </c>
      <c r="F833" s="4" t="s">
        <v>1327</v>
      </c>
      <c r="G833" s="4" t="s">
        <v>3448</v>
      </c>
      <c r="H833" s="4" t="n">
        <v>1967</v>
      </c>
      <c r="I833" s="4" t="s">
        <v>1039</v>
      </c>
      <c r="J833" s="25" t="str">
        <f aca="false">IF(M833=1,"✓","")</f>
        <v/>
      </c>
      <c r="K833" s="4" t="str">
        <f aca="false">IF(AND(M833=0,P833=0),"▶ NEXT","")</f>
        <v/>
      </c>
      <c r="L833" s="4" t="n">
        <f aca="false">INDEX('Master List'!$F$2:$F$2594,O833)</f>
        <v>1</v>
      </c>
      <c r="M833" s="4" t="n">
        <f aca="false">INDEX('Master List'!$G$2:$G$2594,O833)</f>
        <v>0</v>
      </c>
      <c r="N833" s="4" t="str">
        <f aca="false">IF(K833="","",A833)</f>
        <v/>
      </c>
      <c r="O833" s="4" t="n">
        <v>1675</v>
      </c>
      <c r="P833" s="4" t="n">
        <f aca="false">IF(A833=A832,P832+1-M832,0)</f>
        <v>9</v>
      </c>
    </row>
    <row r="834" customFormat="false" ht="15" hidden="false" customHeight="false" outlineLevel="0" collapsed="false">
      <c r="A834" s="28" t="s">
        <v>4015</v>
      </c>
      <c r="B834" s="28" t="s">
        <v>51</v>
      </c>
      <c r="C834" s="28" t="s">
        <v>83</v>
      </c>
      <c r="D834" s="28" t="s">
        <v>4016</v>
      </c>
      <c r="E834" s="4" t="n">
        <v>1</v>
      </c>
      <c r="F834" s="4" t="s">
        <v>144</v>
      </c>
      <c r="G834" s="7" t="s">
        <v>192</v>
      </c>
      <c r="H834" s="4" t="n">
        <v>1994</v>
      </c>
      <c r="I834" s="4" t="s">
        <v>193</v>
      </c>
      <c r="J834" s="25" t="str">
        <f aca="false">IF(M834=1,"✓","")</f>
        <v/>
      </c>
      <c r="K834" s="4" t="str">
        <f aca="false">IF(AND(M834=0,P834=0),"▶ NEXT","")</f>
        <v>▶ NEXT</v>
      </c>
      <c r="L834" s="4" t="n">
        <f aca="false">INDEX('Master List'!$F$2:$F$2594,O834)</f>
        <v>7</v>
      </c>
      <c r="M834" s="4" t="n">
        <f aca="false">INDEX('Master List'!$G$2:$G$2594,O834)</f>
        <v>0</v>
      </c>
      <c r="N834" s="4" t="str">
        <f aca="false">IF(K834="","",A834)</f>
        <v>N071</v>
      </c>
      <c r="O834" s="4" t="n">
        <v>458</v>
      </c>
      <c r="P834" s="4" t="n">
        <f aca="false">IF(A834=A833,P833+1-M833,0)</f>
        <v>0</v>
      </c>
    </row>
    <row r="835" customFormat="false" ht="15" hidden="false" customHeight="false" outlineLevel="0" collapsed="false">
      <c r="A835" s="28" t="s">
        <v>4015</v>
      </c>
      <c r="B835" s="28" t="s">
        <v>51</v>
      </c>
      <c r="C835" s="28" t="s">
        <v>83</v>
      </c>
      <c r="D835" s="28" t="s">
        <v>4016</v>
      </c>
      <c r="E835" s="4" t="n">
        <v>2</v>
      </c>
      <c r="F835" s="4" t="s">
        <v>144</v>
      </c>
      <c r="G835" s="7" t="s">
        <v>230</v>
      </c>
      <c r="H835" s="4" t="n">
        <v>2000</v>
      </c>
      <c r="I835" s="4" t="s">
        <v>193</v>
      </c>
      <c r="J835" s="25" t="str">
        <f aca="false">IF(M835=1,"✓","")</f>
        <v>✓</v>
      </c>
      <c r="K835" s="4" t="str">
        <f aca="false">IF(AND(M835=0,P835=0),"▶ NEXT","")</f>
        <v/>
      </c>
      <c r="L835" s="4" t="n">
        <f aca="false">INDEX('Master List'!$F$2:$F$2594,O835)</f>
        <v>5</v>
      </c>
      <c r="M835" s="4" t="n">
        <f aca="false">INDEX('Master List'!$G$2:$G$2594,O835)</f>
        <v>1</v>
      </c>
      <c r="N835" s="4" t="str">
        <f aca="false">IF(K835="","",A835)</f>
        <v/>
      </c>
      <c r="O835" s="4" t="n">
        <v>1129</v>
      </c>
      <c r="P835" s="4" t="n">
        <f aca="false">IF(A835=A834,P834+1-M834,0)</f>
        <v>1</v>
      </c>
    </row>
    <row r="836" customFormat="false" ht="15" hidden="false" customHeight="false" outlineLevel="0" collapsed="false">
      <c r="A836" s="28" t="s">
        <v>4015</v>
      </c>
      <c r="B836" s="28" t="s">
        <v>51</v>
      </c>
      <c r="C836" s="28" t="s">
        <v>83</v>
      </c>
      <c r="D836" s="28" t="s">
        <v>4016</v>
      </c>
      <c r="E836" s="4" t="n">
        <v>3</v>
      </c>
      <c r="F836" s="4" t="s">
        <v>213</v>
      </c>
      <c r="G836" s="4" t="s">
        <v>2324</v>
      </c>
      <c r="H836" s="4" t="n">
        <v>1979</v>
      </c>
      <c r="I836" s="4" t="s">
        <v>2325</v>
      </c>
      <c r="J836" s="25" t="str">
        <f aca="false">IF(M836=1,"✓","")</f>
        <v/>
      </c>
      <c r="K836" s="4" t="str">
        <f aca="false">IF(AND(M836=0,P836=0),"▶ NEXT","")</f>
        <v/>
      </c>
      <c r="L836" s="4" t="n">
        <f aca="false">INDEX('Master List'!$F$2:$F$2594,O836)</f>
        <v>1</v>
      </c>
      <c r="M836" s="4" t="n">
        <f aca="false">INDEX('Master List'!$G$2:$G$2594,O836)</f>
        <v>0</v>
      </c>
      <c r="N836" s="4" t="str">
        <f aca="false">IF(K836="","",A836)</f>
        <v/>
      </c>
      <c r="O836" s="4" t="n">
        <v>2002</v>
      </c>
      <c r="P836" s="4" t="n">
        <f aca="false">IF(A836=A835,P835+1-M835,0)</f>
        <v>1</v>
      </c>
    </row>
    <row r="837" customFormat="false" ht="15" hidden="false" customHeight="false" outlineLevel="0" collapsed="false">
      <c r="A837" s="28" t="s">
        <v>4015</v>
      </c>
      <c r="B837" s="28" t="s">
        <v>51</v>
      </c>
      <c r="C837" s="28" t="s">
        <v>83</v>
      </c>
      <c r="D837" s="28" t="s">
        <v>4016</v>
      </c>
      <c r="E837" s="4" t="n">
        <v>4</v>
      </c>
      <c r="F837" s="4" t="s">
        <v>213</v>
      </c>
      <c r="G837" s="4" t="s">
        <v>2357</v>
      </c>
      <c r="H837" s="4" t="n">
        <v>1982</v>
      </c>
      <c r="I837" s="4" t="s">
        <v>2325</v>
      </c>
      <c r="J837" s="25" t="str">
        <f aca="false">IF(M837=1,"✓","")</f>
        <v/>
      </c>
      <c r="K837" s="4" t="str">
        <f aca="false">IF(AND(M837=0,P837=0),"▶ NEXT","")</f>
        <v/>
      </c>
      <c r="L837" s="4" t="n">
        <f aca="false">INDEX('Master List'!$F$2:$F$2594,O837)</f>
        <v>1</v>
      </c>
      <c r="M837" s="4" t="n">
        <f aca="false">INDEX('Master List'!$G$2:$G$2594,O837)</f>
        <v>0</v>
      </c>
      <c r="N837" s="4" t="str">
        <f aca="false">IF(K837="","",A837)</f>
        <v/>
      </c>
      <c r="O837" s="4" t="n">
        <v>304</v>
      </c>
      <c r="P837" s="4" t="n">
        <f aca="false">IF(A837=A836,P836+1-M836,0)</f>
        <v>2</v>
      </c>
    </row>
    <row r="838" customFormat="false" ht="15" hidden="false" customHeight="false" outlineLevel="0" collapsed="false">
      <c r="A838" s="28" t="s">
        <v>4015</v>
      </c>
      <c r="B838" s="28" t="s">
        <v>51</v>
      </c>
      <c r="C838" s="28" t="s">
        <v>83</v>
      </c>
      <c r="D838" s="28" t="s">
        <v>4016</v>
      </c>
      <c r="E838" s="4" t="n">
        <v>5</v>
      </c>
      <c r="F838" s="4" t="s">
        <v>213</v>
      </c>
      <c r="G838" s="4" t="s">
        <v>1099</v>
      </c>
      <c r="H838" s="4" t="n">
        <v>1990</v>
      </c>
      <c r="I838" s="4" t="s">
        <v>193</v>
      </c>
      <c r="J838" s="25" t="str">
        <f aca="false">IF(M838=1,"✓","")</f>
        <v/>
      </c>
      <c r="K838" s="4" t="str">
        <f aca="false">IF(AND(M838=0,P838=0),"▶ NEXT","")</f>
        <v/>
      </c>
      <c r="L838" s="4" t="n">
        <f aca="false">INDEX('Master List'!$F$2:$F$2594,O838)</f>
        <v>2</v>
      </c>
      <c r="M838" s="4" t="n">
        <f aca="false">INDEX('Master List'!$G$2:$G$2594,O838)</f>
        <v>0</v>
      </c>
      <c r="N838" s="4" t="str">
        <f aca="false">IF(K838="","",A838)</f>
        <v/>
      </c>
      <c r="O838" s="4" t="n">
        <v>579</v>
      </c>
      <c r="P838" s="4" t="n">
        <f aca="false">IF(A838=A837,P837+1-M837,0)</f>
        <v>3</v>
      </c>
    </row>
    <row r="839" customFormat="false" ht="15" hidden="false" customHeight="false" outlineLevel="0" collapsed="false">
      <c r="A839" s="28" t="s">
        <v>4015</v>
      </c>
      <c r="B839" s="28" t="s">
        <v>51</v>
      </c>
      <c r="C839" s="28" t="s">
        <v>83</v>
      </c>
      <c r="D839" s="28" t="s">
        <v>4016</v>
      </c>
      <c r="E839" s="4" t="n">
        <v>6</v>
      </c>
      <c r="F839" s="4" t="s">
        <v>213</v>
      </c>
      <c r="G839" s="4" t="s">
        <v>2446</v>
      </c>
      <c r="H839" s="4" t="n">
        <v>1987</v>
      </c>
      <c r="I839" s="4" t="s">
        <v>2447</v>
      </c>
      <c r="J839" s="25" t="str">
        <f aca="false">IF(M839=1,"✓","")</f>
        <v/>
      </c>
      <c r="K839" s="4" t="str">
        <f aca="false">IF(AND(M839=0,P839=0),"▶ NEXT","")</f>
        <v/>
      </c>
      <c r="L839" s="4" t="n">
        <f aca="false">INDEX('Master List'!$F$2:$F$2594,O839)</f>
        <v>1</v>
      </c>
      <c r="M839" s="4" t="n">
        <f aca="false">INDEX('Master List'!$G$2:$G$2594,O839)</f>
        <v>0</v>
      </c>
      <c r="N839" s="4" t="str">
        <f aca="false">IF(K839="","",A839)</f>
        <v/>
      </c>
      <c r="O839" s="4" t="n">
        <v>1937</v>
      </c>
      <c r="P839" s="4" t="n">
        <f aca="false">IF(A839=A838,P838+1-M838,0)</f>
        <v>4</v>
      </c>
    </row>
    <row r="840" customFormat="false" ht="15" hidden="false" customHeight="false" outlineLevel="0" collapsed="false">
      <c r="A840" s="28" t="s">
        <v>4015</v>
      </c>
      <c r="B840" s="28" t="s">
        <v>51</v>
      </c>
      <c r="C840" s="28" t="s">
        <v>83</v>
      </c>
      <c r="D840" s="28" t="s">
        <v>4016</v>
      </c>
      <c r="E840" s="4" t="n">
        <v>7</v>
      </c>
      <c r="F840" s="4" t="s">
        <v>213</v>
      </c>
      <c r="G840" s="4" t="s">
        <v>2524</v>
      </c>
      <c r="H840" s="4" t="n">
        <v>1991</v>
      </c>
      <c r="I840" s="4" t="s">
        <v>2447</v>
      </c>
      <c r="J840" s="25" t="str">
        <f aca="false">IF(M840=1,"✓","")</f>
        <v/>
      </c>
      <c r="K840" s="4" t="str">
        <f aca="false">IF(AND(M840=0,P840=0),"▶ NEXT","")</f>
        <v/>
      </c>
      <c r="L840" s="4" t="n">
        <f aca="false">INDEX('Master List'!$F$2:$F$2594,O840)</f>
        <v>1</v>
      </c>
      <c r="M840" s="4" t="n">
        <f aca="false">INDEX('Master List'!$G$2:$G$2594,O840)</f>
        <v>0</v>
      </c>
      <c r="N840" s="4" t="str">
        <f aca="false">IF(K840="","",A840)</f>
        <v/>
      </c>
      <c r="O840" s="4" t="n">
        <v>421</v>
      </c>
      <c r="P840" s="4" t="n">
        <f aca="false">IF(A840=A839,P839+1-M839,0)</f>
        <v>5</v>
      </c>
    </row>
    <row r="841" customFormat="false" ht="15" hidden="false" customHeight="false" outlineLevel="0" collapsed="false">
      <c r="A841" s="28" t="s">
        <v>4015</v>
      </c>
      <c r="B841" s="28" t="s">
        <v>51</v>
      </c>
      <c r="C841" s="28" t="s">
        <v>83</v>
      </c>
      <c r="D841" s="28" t="s">
        <v>4016</v>
      </c>
      <c r="E841" s="4" t="n">
        <v>8</v>
      </c>
      <c r="F841" s="4" t="s">
        <v>213</v>
      </c>
      <c r="G841" s="4" t="s">
        <v>619</v>
      </c>
      <c r="H841" s="4" t="n">
        <v>1995</v>
      </c>
      <c r="I841" s="4" t="s">
        <v>193</v>
      </c>
      <c r="J841" s="25" t="str">
        <f aca="false">IF(M841=1,"✓","")</f>
        <v/>
      </c>
      <c r="K841" s="4" t="str">
        <f aca="false">IF(AND(M841=0,P841=0),"▶ NEXT","")</f>
        <v/>
      </c>
      <c r="L841" s="4" t="n">
        <f aca="false">INDEX('Master List'!$F$2:$F$2594,O841)</f>
        <v>3</v>
      </c>
      <c r="M841" s="4" t="n">
        <f aca="false">INDEX('Master List'!$G$2:$G$2594,O841)</f>
        <v>0</v>
      </c>
      <c r="N841" s="4" t="str">
        <f aca="false">IF(K841="","",A841)</f>
        <v/>
      </c>
      <c r="O841" s="4" t="n">
        <v>778</v>
      </c>
      <c r="P841" s="4" t="n">
        <f aca="false">IF(A841=A840,P840+1-M840,0)</f>
        <v>6</v>
      </c>
    </row>
    <row r="842" customFormat="false" ht="15" hidden="false" customHeight="false" outlineLevel="0" collapsed="false">
      <c r="A842" s="28" t="s">
        <v>4015</v>
      </c>
      <c r="B842" s="28" t="s">
        <v>51</v>
      </c>
      <c r="C842" s="28" t="s">
        <v>83</v>
      </c>
      <c r="D842" s="28" t="s">
        <v>4016</v>
      </c>
      <c r="E842" s="4" t="n">
        <v>9</v>
      </c>
      <c r="F842" s="4" t="s">
        <v>213</v>
      </c>
      <c r="G842" s="4" t="s">
        <v>621</v>
      </c>
      <c r="H842" s="4" t="n">
        <v>1997</v>
      </c>
      <c r="I842" s="4" t="s">
        <v>193</v>
      </c>
      <c r="J842" s="25" t="str">
        <f aca="false">IF(M842=1,"✓","")</f>
        <v/>
      </c>
      <c r="K842" s="4" t="str">
        <f aca="false">IF(AND(M842=0,P842=0),"▶ NEXT","")</f>
        <v/>
      </c>
      <c r="L842" s="4" t="n">
        <f aca="false">INDEX('Master List'!$F$2:$F$2594,O842)</f>
        <v>3</v>
      </c>
      <c r="M842" s="4" t="n">
        <f aca="false">INDEX('Master List'!$G$2:$G$2594,O842)</f>
        <v>0</v>
      </c>
      <c r="N842" s="4" t="str">
        <f aca="false">IF(K842="","",A842)</f>
        <v/>
      </c>
      <c r="O842" s="4" t="n">
        <v>990</v>
      </c>
      <c r="P842" s="4" t="n">
        <f aca="false">IF(A842=A841,P841+1-M841,0)</f>
        <v>7</v>
      </c>
    </row>
    <row r="843" customFormat="false" ht="15" hidden="false" customHeight="false" outlineLevel="0" collapsed="false">
      <c r="A843" s="28" t="s">
        <v>4015</v>
      </c>
      <c r="B843" s="28" t="s">
        <v>51</v>
      </c>
      <c r="C843" s="28" t="s">
        <v>83</v>
      </c>
      <c r="D843" s="28" t="s">
        <v>4016</v>
      </c>
      <c r="E843" s="4" t="n">
        <v>10</v>
      </c>
      <c r="F843" s="4" t="s">
        <v>213</v>
      </c>
      <c r="G843" s="4" t="s">
        <v>2966</v>
      </c>
      <c r="H843" s="4" t="n">
        <v>2011</v>
      </c>
      <c r="I843" s="4" t="s">
        <v>2325</v>
      </c>
      <c r="J843" s="25" t="str">
        <f aca="false">IF(M843=1,"✓","")</f>
        <v/>
      </c>
      <c r="K843" s="4" t="str">
        <f aca="false">IF(AND(M843=0,P843=0),"▶ NEXT","")</f>
        <v/>
      </c>
      <c r="L843" s="4" t="n">
        <f aca="false">INDEX('Master List'!$F$2:$F$2594,O843)</f>
        <v>1</v>
      </c>
      <c r="M843" s="4" t="n">
        <f aca="false">INDEX('Master List'!$G$2:$G$2594,O843)</f>
        <v>0</v>
      </c>
      <c r="N843" s="4" t="str">
        <f aca="false">IF(K843="","",A843)</f>
        <v/>
      </c>
      <c r="O843" s="4" t="n">
        <v>2076</v>
      </c>
      <c r="P843" s="4" t="n">
        <f aca="false">IF(A843=A842,P842+1-M842,0)</f>
        <v>8</v>
      </c>
    </row>
    <row r="844" customFormat="false" ht="15" hidden="false" customHeight="false" outlineLevel="0" collapsed="false">
      <c r="A844" s="28" t="s">
        <v>4015</v>
      </c>
      <c r="B844" s="28" t="s">
        <v>51</v>
      </c>
      <c r="C844" s="28" t="s">
        <v>83</v>
      </c>
      <c r="D844" s="28" t="s">
        <v>4016</v>
      </c>
      <c r="E844" s="4" t="n">
        <v>11</v>
      </c>
      <c r="F844" s="4" t="s">
        <v>1327</v>
      </c>
      <c r="G844" s="4" t="s">
        <v>3697</v>
      </c>
      <c r="H844" s="4" t="n">
        <v>1997</v>
      </c>
      <c r="I844" s="4" t="s">
        <v>3698</v>
      </c>
      <c r="J844" s="25" t="str">
        <f aca="false">IF(M844=1,"✓","")</f>
        <v/>
      </c>
      <c r="K844" s="4" t="str">
        <f aca="false">IF(AND(M844=0,P844=0),"▶ NEXT","")</f>
        <v/>
      </c>
      <c r="L844" s="4" t="n">
        <f aca="false">INDEX('Master List'!$F$2:$F$2594,O844)</f>
        <v>1</v>
      </c>
      <c r="M844" s="4" t="n">
        <f aca="false">INDEX('Master List'!$G$2:$G$2594,O844)</f>
        <v>0</v>
      </c>
      <c r="N844" s="4" t="str">
        <f aca="false">IF(K844="","",A844)</f>
        <v/>
      </c>
      <c r="O844" s="4" t="n">
        <v>1411</v>
      </c>
      <c r="P844" s="4" t="n">
        <f aca="false">IF(A844=A843,P843+1-M843,0)</f>
        <v>9</v>
      </c>
    </row>
    <row r="845" customFormat="false" ht="15" hidden="false" customHeight="false" outlineLevel="0" collapsed="false">
      <c r="A845" s="28" t="s">
        <v>4017</v>
      </c>
      <c r="B845" s="28" t="s">
        <v>51</v>
      </c>
      <c r="C845" s="28" t="s">
        <v>83</v>
      </c>
      <c r="D845" s="28" t="s">
        <v>4018</v>
      </c>
      <c r="E845" s="4" t="n">
        <v>1</v>
      </c>
      <c r="F845" s="4" t="s">
        <v>144</v>
      </c>
      <c r="G845" s="7" t="s">
        <v>222</v>
      </c>
      <c r="H845" s="4" t="n">
        <v>2000</v>
      </c>
      <c r="I845" s="4" t="s">
        <v>223</v>
      </c>
      <c r="J845" s="25" t="str">
        <f aca="false">IF(M845=1,"✓","")</f>
        <v/>
      </c>
      <c r="K845" s="4" t="str">
        <f aca="false">IF(AND(M845=0,P845=0),"▶ NEXT","")</f>
        <v>▶ NEXT</v>
      </c>
      <c r="L845" s="4" t="n">
        <f aca="false">INDEX('Master List'!$F$2:$F$2594,O845)</f>
        <v>6</v>
      </c>
      <c r="M845" s="4" t="n">
        <f aca="false">INDEX('Master List'!$G$2:$G$2594,O845)</f>
        <v>0</v>
      </c>
      <c r="N845" s="4" t="str">
        <f aca="false">IF(K845="","",A845)</f>
        <v>N072</v>
      </c>
      <c r="O845" s="4" t="n">
        <v>2569</v>
      </c>
      <c r="P845" s="4" t="n">
        <f aca="false">IF(A845=A844,P844+1-M844,0)</f>
        <v>0</v>
      </c>
    </row>
    <row r="846" customFormat="false" ht="15" hidden="false" customHeight="false" outlineLevel="0" collapsed="false">
      <c r="A846" s="28" t="s">
        <v>4017</v>
      </c>
      <c r="B846" s="28" t="s">
        <v>51</v>
      </c>
      <c r="C846" s="28" t="s">
        <v>83</v>
      </c>
      <c r="D846" s="28" t="s">
        <v>4018</v>
      </c>
      <c r="E846" s="4" t="n">
        <v>2</v>
      </c>
      <c r="F846" s="4" t="s">
        <v>144</v>
      </c>
      <c r="G846" s="7" t="s">
        <v>491</v>
      </c>
      <c r="H846" s="4" t="n">
        <v>1989</v>
      </c>
      <c r="I846" s="4" t="s">
        <v>492</v>
      </c>
      <c r="J846" s="25" t="str">
        <f aca="false">IF(M846=1,"✓","")</f>
        <v/>
      </c>
      <c r="K846" s="4" t="str">
        <f aca="false">IF(AND(M846=0,P846=0),"▶ NEXT","")</f>
        <v/>
      </c>
      <c r="L846" s="4" t="n">
        <f aca="false">INDEX('Master List'!$F$2:$F$2594,O846)</f>
        <v>3</v>
      </c>
      <c r="M846" s="4" t="n">
        <f aca="false">INDEX('Master List'!$G$2:$G$2594,O846)</f>
        <v>0</v>
      </c>
      <c r="N846" s="4" t="str">
        <f aca="false">IF(K846="","",A846)</f>
        <v/>
      </c>
      <c r="O846" s="4" t="n">
        <v>466</v>
      </c>
      <c r="P846" s="4" t="n">
        <f aca="false">IF(A846=A845,P845+1-M845,0)</f>
        <v>1</v>
      </c>
    </row>
    <row r="847" customFormat="false" ht="15" hidden="false" customHeight="false" outlineLevel="0" collapsed="false">
      <c r="A847" s="28" t="s">
        <v>4017</v>
      </c>
      <c r="B847" s="28" t="s">
        <v>51</v>
      </c>
      <c r="C847" s="28" t="s">
        <v>83</v>
      </c>
      <c r="D847" s="28" t="s">
        <v>4018</v>
      </c>
      <c r="E847" s="4" t="n">
        <v>3</v>
      </c>
      <c r="F847" s="4" t="s">
        <v>213</v>
      </c>
      <c r="G847" s="4" t="s">
        <v>2412</v>
      </c>
      <c r="H847" s="4" t="n">
        <v>1985</v>
      </c>
      <c r="I847" s="4" t="s">
        <v>492</v>
      </c>
      <c r="J847" s="25" t="str">
        <f aca="false">IF(M847=1,"✓","")</f>
        <v/>
      </c>
      <c r="K847" s="4" t="str">
        <f aca="false">IF(AND(M847=0,P847=0),"▶ NEXT","")</f>
        <v/>
      </c>
      <c r="L847" s="4" t="n">
        <f aca="false">INDEX('Master List'!$F$2:$F$2594,O847)</f>
        <v>1</v>
      </c>
      <c r="M847" s="4" t="n">
        <f aca="false">INDEX('Master List'!$G$2:$G$2594,O847)</f>
        <v>0</v>
      </c>
      <c r="N847" s="4" t="str">
        <f aca="false">IF(K847="","",A847)</f>
        <v/>
      </c>
      <c r="O847" s="4" t="n">
        <v>2305</v>
      </c>
      <c r="P847" s="4" t="n">
        <f aca="false">IF(A847=A846,P846+1-M846,0)</f>
        <v>2</v>
      </c>
    </row>
    <row r="848" customFormat="false" ht="15" hidden="false" customHeight="false" outlineLevel="0" collapsed="false">
      <c r="A848" s="28" t="s">
        <v>4017</v>
      </c>
      <c r="B848" s="28" t="s">
        <v>51</v>
      </c>
      <c r="C848" s="28" t="s">
        <v>83</v>
      </c>
      <c r="D848" s="28" t="s">
        <v>4018</v>
      </c>
      <c r="E848" s="4" t="n">
        <v>4</v>
      </c>
      <c r="F848" s="4" t="s">
        <v>213</v>
      </c>
      <c r="G848" s="4" t="s">
        <v>1072</v>
      </c>
      <c r="H848" s="4" t="n">
        <v>1985</v>
      </c>
      <c r="I848" s="4" t="s">
        <v>223</v>
      </c>
      <c r="J848" s="25" t="str">
        <f aca="false">IF(M848=1,"✓","")</f>
        <v/>
      </c>
      <c r="K848" s="4" t="str">
        <f aca="false">IF(AND(M848=0,P848=0),"▶ NEXT","")</f>
        <v/>
      </c>
      <c r="L848" s="4" t="n">
        <f aca="false">INDEX('Master List'!$F$2:$F$2594,O848)</f>
        <v>2</v>
      </c>
      <c r="M848" s="4" t="n">
        <f aca="false">INDEX('Master List'!$G$2:$G$2594,O848)</f>
        <v>0</v>
      </c>
      <c r="N848" s="4" t="str">
        <f aca="false">IF(K848="","",A848)</f>
        <v/>
      </c>
      <c r="O848" s="4" t="n">
        <v>2229</v>
      </c>
      <c r="P848" s="4" t="n">
        <f aca="false">IF(A848=A847,P847+1-M847,0)</f>
        <v>3</v>
      </c>
    </row>
    <row r="849" customFormat="false" ht="15" hidden="false" customHeight="false" outlineLevel="0" collapsed="false">
      <c r="A849" s="28" t="s">
        <v>4017</v>
      </c>
      <c r="B849" s="28" t="s">
        <v>51</v>
      </c>
      <c r="C849" s="28" t="s">
        <v>83</v>
      </c>
      <c r="D849" s="28" t="s">
        <v>4018</v>
      </c>
      <c r="E849" s="4" t="n">
        <v>5</v>
      </c>
      <c r="F849" s="4" t="s">
        <v>213</v>
      </c>
      <c r="G849" s="4" t="s">
        <v>2430</v>
      </c>
      <c r="H849" s="4" t="n">
        <v>1986</v>
      </c>
      <c r="I849" s="4" t="s">
        <v>223</v>
      </c>
      <c r="J849" s="25" t="str">
        <f aca="false">IF(M849=1,"✓","")</f>
        <v/>
      </c>
      <c r="K849" s="4" t="str">
        <f aca="false">IF(AND(M849=0,P849=0),"▶ NEXT","")</f>
        <v/>
      </c>
      <c r="L849" s="4" t="n">
        <f aca="false">INDEX('Master List'!$F$2:$F$2594,O849)</f>
        <v>1</v>
      </c>
      <c r="M849" s="4" t="n">
        <f aca="false">INDEX('Master List'!$G$2:$G$2594,O849)</f>
        <v>0</v>
      </c>
      <c r="N849" s="4" t="str">
        <f aca="false">IF(K849="","",A849)</f>
        <v/>
      </c>
      <c r="O849" s="4" t="n">
        <v>2257</v>
      </c>
      <c r="P849" s="4" t="n">
        <f aca="false">IF(A849=A848,P848+1-M848,0)</f>
        <v>4</v>
      </c>
    </row>
    <row r="850" customFormat="false" ht="15" hidden="false" customHeight="false" outlineLevel="0" collapsed="false">
      <c r="A850" s="28" t="s">
        <v>4017</v>
      </c>
      <c r="B850" s="28" t="s">
        <v>51</v>
      </c>
      <c r="C850" s="28" t="s">
        <v>83</v>
      </c>
      <c r="D850" s="28" t="s">
        <v>4018</v>
      </c>
      <c r="E850" s="4" t="n">
        <v>6</v>
      </c>
      <c r="F850" s="4" t="s">
        <v>213</v>
      </c>
      <c r="G850" s="4" t="s">
        <v>613</v>
      </c>
      <c r="H850" s="4" t="n">
        <v>1991</v>
      </c>
      <c r="I850" s="4" t="s">
        <v>223</v>
      </c>
      <c r="J850" s="25" t="str">
        <f aca="false">IF(M850=1,"✓","")</f>
        <v/>
      </c>
      <c r="K850" s="4" t="str">
        <f aca="false">IF(AND(M850=0,P850=0),"▶ NEXT","")</f>
        <v/>
      </c>
      <c r="L850" s="4" t="n">
        <f aca="false">INDEX('Master List'!$F$2:$F$2594,O850)</f>
        <v>3</v>
      </c>
      <c r="M850" s="4" t="n">
        <f aca="false">INDEX('Master List'!$G$2:$G$2594,O850)</f>
        <v>0</v>
      </c>
      <c r="N850" s="4" t="str">
        <f aca="false">IF(K850="","",A850)</f>
        <v/>
      </c>
      <c r="O850" s="4" t="n">
        <v>350</v>
      </c>
      <c r="P850" s="4" t="n">
        <f aca="false">IF(A850=A849,P849+1-M849,0)</f>
        <v>5</v>
      </c>
    </row>
    <row r="851" customFormat="false" ht="15" hidden="false" customHeight="false" outlineLevel="0" collapsed="false">
      <c r="A851" s="28" t="s">
        <v>4017</v>
      </c>
      <c r="B851" s="28" t="s">
        <v>51</v>
      </c>
      <c r="C851" s="28" t="s">
        <v>83</v>
      </c>
      <c r="D851" s="28" t="s">
        <v>4018</v>
      </c>
      <c r="E851" s="4" t="n">
        <v>7</v>
      </c>
      <c r="F851" s="4" t="s">
        <v>213</v>
      </c>
      <c r="G851" s="4" t="s">
        <v>2563</v>
      </c>
      <c r="H851" s="4" t="n">
        <v>1993</v>
      </c>
      <c r="I851" s="4" t="s">
        <v>492</v>
      </c>
      <c r="J851" s="25" t="str">
        <f aca="false">IF(M851=1,"✓","")</f>
        <v/>
      </c>
      <c r="K851" s="4" t="str">
        <f aca="false">IF(AND(M851=0,P851=0),"▶ NEXT","")</f>
        <v/>
      </c>
      <c r="L851" s="4" t="n">
        <f aca="false">INDEX('Master List'!$F$2:$F$2594,O851)</f>
        <v>1</v>
      </c>
      <c r="M851" s="4" t="n">
        <f aca="false">INDEX('Master List'!$G$2:$G$2594,O851)</f>
        <v>0</v>
      </c>
      <c r="N851" s="4" t="str">
        <f aca="false">IF(K851="","",A851)</f>
        <v/>
      </c>
      <c r="O851" s="4" t="n">
        <v>1834</v>
      </c>
      <c r="P851" s="4" t="n">
        <f aca="false">IF(A851=A850,P850+1-M850,0)</f>
        <v>6</v>
      </c>
    </row>
    <row r="852" customFormat="false" ht="15" hidden="false" customHeight="false" outlineLevel="0" collapsed="false">
      <c r="A852" s="28" t="s">
        <v>4017</v>
      </c>
      <c r="B852" s="28" t="s">
        <v>51</v>
      </c>
      <c r="C852" s="28" t="s">
        <v>83</v>
      </c>
      <c r="D852" s="28" t="s">
        <v>4018</v>
      </c>
      <c r="E852" s="4" t="n">
        <v>8</v>
      </c>
      <c r="F852" s="4" t="s">
        <v>213</v>
      </c>
      <c r="G852" s="4" t="s">
        <v>2580</v>
      </c>
      <c r="H852" s="4" t="n">
        <v>1994</v>
      </c>
      <c r="I852" s="4" t="s">
        <v>1165</v>
      </c>
      <c r="J852" s="25" t="str">
        <f aca="false">IF(M852=1,"✓","")</f>
        <v/>
      </c>
      <c r="K852" s="4" t="str">
        <f aca="false">IF(AND(M852=0,P852=0),"▶ NEXT","")</f>
        <v/>
      </c>
      <c r="L852" s="4" t="n">
        <f aca="false">INDEX('Master List'!$F$2:$F$2594,O852)</f>
        <v>1</v>
      </c>
      <c r="M852" s="4" t="n">
        <f aca="false">INDEX('Master List'!$G$2:$G$2594,O852)</f>
        <v>0</v>
      </c>
      <c r="N852" s="4" t="str">
        <f aca="false">IF(K852="","",A852)</f>
        <v/>
      </c>
      <c r="O852" s="4" t="n">
        <v>2439</v>
      </c>
      <c r="P852" s="4" t="n">
        <f aca="false">IF(A852=A851,P851+1-M851,0)</f>
        <v>7</v>
      </c>
    </row>
    <row r="853" customFormat="false" ht="15" hidden="false" customHeight="false" outlineLevel="0" collapsed="false">
      <c r="A853" s="28" t="s">
        <v>4017</v>
      </c>
      <c r="B853" s="28" t="s">
        <v>51</v>
      </c>
      <c r="C853" s="28" t="s">
        <v>83</v>
      </c>
      <c r="D853" s="28" t="s">
        <v>4018</v>
      </c>
      <c r="E853" s="4" t="n">
        <v>9</v>
      </c>
      <c r="F853" s="4" t="s">
        <v>213</v>
      </c>
      <c r="G853" s="4" t="s">
        <v>1164</v>
      </c>
      <c r="H853" s="4" t="n">
        <v>2003</v>
      </c>
      <c r="I853" s="4" t="s">
        <v>1165</v>
      </c>
      <c r="J853" s="25" t="str">
        <f aca="false">IF(M853=1,"✓","")</f>
        <v/>
      </c>
      <c r="K853" s="4" t="str">
        <f aca="false">IF(AND(M853=0,P853=0),"▶ NEXT","")</f>
        <v/>
      </c>
      <c r="L853" s="4" t="n">
        <f aca="false">INDEX('Master List'!$F$2:$F$2594,O853)</f>
        <v>2</v>
      </c>
      <c r="M853" s="4" t="n">
        <f aca="false">INDEX('Master List'!$G$2:$G$2594,O853)</f>
        <v>0</v>
      </c>
      <c r="N853" s="4" t="str">
        <f aca="false">IF(K853="","",A853)</f>
        <v/>
      </c>
      <c r="O853" s="4" t="n">
        <v>933</v>
      </c>
      <c r="P853" s="4" t="n">
        <f aca="false">IF(A853=A852,P852+1-M852,0)</f>
        <v>8</v>
      </c>
    </row>
    <row r="854" customFormat="false" ht="15" hidden="false" customHeight="false" outlineLevel="0" collapsed="false">
      <c r="A854" s="28" t="s">
        <v>4017</v>
      </c>
      <c r="B854" s="28" t="s">
        <v>51</v>
      </c>
      <c r="C854" s="28" t="s">
        <v>83</v>
      </c>
      <c r="D854" s="28" t="s">
        <v>4018</v>
      </c>
      <c r="E854" s="4" t="n">
        <v>10</v>
      </c>
      <c r="F854" s="4" t="s">
        <v>1327</v>
      </c>
      <c r="G854" s="4" t="s">
        <v>3615</v>
      </c>
      <c r="H854" s="4" t="n">
        <v>1983</v>
      </c>
      <c r="I854" s="4" t="s">
        <v>492</v>
      </c>
      <c r="J854" s="25" t="str">
        <f aca="false">IF(M854=1,"✓","")</f>
        <v/>
      </c>
      <c r="K854" s="4" t="str">
        <f aca="false">IF(AND(M854=0,P854=0),"▶ NEXT","")</f>
        <v/>
      </c>
      <c r="L854" s="4" t="n">
        <f aca="false">INDEX('Master List'!$F$2:$F$2594,O854)</f>
        <v>1</v>
      </c>
      <c r="M854" s="4" t="n">
        <f aca="false">INDEX('Master List'!$G$2:$G$2594,O854)</f>
        <v>0</v>
      </c>
      <c r="N854" s="4" t="str">
        <f aca="false">IF(K854="","",A854)</f>
        <v/>
      </c>
      <c r="O854" s="4" t="n">
        <v>332</v>
      </c>
      <c r="P854" s="4" t="n">
        <f aca="false">IF(A854=A853,P853+1-M853,0)</f>
        <v>9</v>
      </c>
    </row>
    <row r="855" customFormat="false" ht="15" hidden="false" customHeight="false" outlineLevel="0" collapsed="false">
      <c r="A855" s="28" t="s">
        <v>4017</v>
      </c>
      <c r="B855" s="28" t="s">
        <v>51</v>
      </c>
      <c r="C855" s="28" t="s">
        <v>83</v>
      </c>
      <c r="D855" s="28" t="s">
        <v>4018</v>
      </c>
      <c r="E855" s="4" t="n">
        <v>11</v>
      </c>
      <c r="F855" s="4" t="s">
        <v>1327</v>
      </c>
      <c r="G855" s="4" t="s">
        <v>3634</v>
      </c>
      <c r="H855" s="4" t="n">
        <v>1986</v>
      </c>
      <c r="I855" s="4" t="s">
        <v>492</v>
      </c>
      <c r="J855" s="25" t="str">
        <f aca="false">IF(M855=1,"✓","")</f>
        <v/>
      </c>
      <c r="K855" s="4" t="str">
        <f aca="false">IF(AND(M855=0,P855=0),"▶ NEXT","")</f>
        <v/>
      </c>
      <c r="L855" s="4" t="n">
        <f aca="false">INDEX('Master List'!$F$2:$F$2594,O855)</f>
        <v>1</v>
      </c>
      <c r="M855" s="4" t="n">
        <f aca="false">INDEX('Master List'!$G$2:$G$2594,O855)</f>
        <v>0</v>
      </c>
      <c r="N855" s="4" t="str">
        <f aca="false">IF(K855="","",A855)</f>
        <v/>
      </c>
      <c r="O855" s="4" t="n">
        <v>696</v>
      </c>
      <c r="P855" s="4" t="n">
        <f aca="false">IF(A855=A854,P854+1-M854,0)</f>
        <v>10</v>
      </c>
    </row>
    <row r="856" customFormat="false" ht="15" hidden="false" customHeight="false" outlineLevel="0" collapsed="false">
      <c r="A856" s="28" t="s">
        <v>4017</v>
      </c>
      <c r="B856" s="28" t="s">
        <v>51</v>
      </c>
      <c r="C856" s="28" t="s">
        <v>83</v>
      </c>
      <c r="D856" s="28" t="s">
        <v>4018</v>
      </c>
      <c r="E856" s="4" t="n">
        <v>12</v>
      </c>
      <c r="F856" s="4" t="s">
        <v>1327</v>
      </c>
      <c r="G856" s="4" t="s">
        <v>1394</v>
      </c>
      <c r="H856" s="4" t="n">
        <v>2001</v>
      </c>
      <c r="I856" s="4" t="s">
        <v>492</v>
      </c>
      <c r="J856" s="25" t="str">
        <f aca="false">IF(M856=1,"✓","")</f>
        <v/>
      </c>
      <c r="K856" s="4" t="str">
        <f aca="false">IF(AND(M856=0,P856=0),"▶ NEXT","")</f>
        <v/>
      </c>
      <c r="L856" s="4" t="n">
        <f aca="false">INDEX('Master List'!$F$2:$F$2594,O856)</f>
        <v>2</v>
      </c>
      <c r="M856" s="4" t="n">
        <f aca="false">INDEX('Master List'!$G$2:$G$2594,O856)</f>
        <v>0</v>
      </c>
      <c r="N856" s="4" t="str">
        <f aca="false">IF(K856="","",A856)</f>
        <v/>
      </c>
      <c r="O856" s="4" t="n">
        <v>1503</v>
      </c>
      <c r="P856" s="4" t="n">
        <f aca="false">IF(A856=A855,P855+1-M855,0)</f>
        <v>11</v>
      </c>
    </row>
    <row r="857" customFormat="false" ht="15" hidden="false" customHeight="false" outlineLevel="0" collapsed="false">
      <c r="A857" s="28" t="s">
        <v>4019</v>
      </c>
      <c r="B857" s="28" t="s">
        <v>51</v>
      </c>
      <c r="C857" s="28" t="s">
        <v>83</v>
      </c>
      <c r="D857" s="28" t="s">
        <v>4020</v>
      </c>
      <c r="E857" s="4" t="n">
        <v>1</v>
      </c>
      <c r="F857" s="4" t="s">
        <v>144</v>
      </c>
      <c r="G857" s="7" t="s">
        <v>1540</v>
      </c>
      <c r="H857" s="4" t="n">
        <v>1991</v>
      </c>
      <c r="I857" s="4" t="s">
        <v>1541</v>
      </c>
      <c r="J857" s="25" t="str">
        <f aca="false">IF(M857=1,"✓","")</f>
        <v/>
      </c>
      <c r="K857" s="4" t="str">
        <f aca="false">IF(AND(M857=0,P857=0),"▶ NEXT","")</f>
        <v>▶ NEXT</v>
      </c>
      <c r="L857" s="4" t="n">
        <f aca="false">INDEX('Master List'!$F$2:$F$2594,O857)</f>
        <v>1</v>
      </c>
      <c r="M857" s="4" t="n">
        <f aca="false">INDEX('Master List'!$G$2:$G$2594,O857)</f>
        <v>0</v>
      </c>
      <c r="N857" s="4" t="str">
        <f aca="false">IF(K857="","",A857)</f>
        <v>N073</v>
      </c>
      <c r="O857" s="4" t="n">
        <v>1856</v>
      </c>
      <c r="P857" s="4" t="n">
        <f aca="false">IF(A857=A856,P856+1-M856,0)</f>
        <v>0</v>
      </c>
    </row>
    <row r="858" customFormat="false" ht="15" hidden="false" customHeight="false" outlineLevel="0" collapsed="false">
      <c r="A858" s="28" t="s">
        <v>4019</v>
      </c>
      <c r="B858" s="28" t="s">
        <v>51</v>
      </c>
      <c r="C858" s="28" t="s">
        <v>83</v>
      </c>
      <c r="D858" s="28" t="s">
        <v>4020</v>
      </c>
      <c r="E858" s="4" t="n">
        <v>2</v>
      </c>
      <c r="F858" s="4" t="s">
        <v>144</v>
      </c>
      <c r="G858" s="7" t="s">
        <v>1550</v>
      </c>
      <c r="H858" s="4" t="n">
        <v>1993</v>
      </c>
      <c r="I858" s="4" t="s">
        <v>1551</v>
      </c>
      <c r="J858" s="25" t="str">
        <f aca="false">IF(M858=1,"✓","")</f>
        <v/>
      </c>
      <c r="K858" s="4" t="str">
        <f aca="false">IF(AND(M858=0,P858=0),"▶ NEXT","")</f>
        <v/>
      </c>
      <c r="L858" s="4" t="n">
        <f aca="false">INDEX('Master List'!$F$2:$F$2594,O858)</f>
        <v>1</v>
      </c>
      <c r="M858" s="4" t="n">
        <f aca="false">INDEX('Master List'!$G$2:$G$2594,O858)</f>
        <v>0</v>
      </c>
      <c r="N858" s="4" t="str">
        <f aca="false">IF(K858="","",A858)</f>
        <v/>
      </c>
      <c r="O858" s="4" t="n">
        <v>786</v>
      </c>
      <c r="P858" s="4" t="n">
        <f aca="false">IF(A858=A857,P857+1-M857,0)</f>
        <v>1</v>
      </c>
    </row>
    <row r="859" customFormat="false" ht="15" hidden="false" customHeight="false" outlineLevel="0" collapsed="false">
      <c r="A859" s="28" t="s">
        <v>4019</v>
      </c>
      <c r="B859" s="28" t="s">
        <v>51</v>
      </c>
      <c r="C859" s="28" t="s">
        <v>83</v>
      </c>
      <c r="D859" s="28" t="s">
        <v>4020</v>
      </c>
      <c r="E859" s="4" t="n">
        <v>3</v>
      </c>
      <c r="F859" s="4" t="s">
        <v>213</v>
      </c>
      <c r="G859" s="4" t="s">
        <v>1851</v>
      </c>
      <c r="H859" s="4" t="n">
        <v>1948</v>
      </c>
      <c r="I859" s="4" t="s">
        <v>1852</v>
      </c>
      <c r="J859" s="25" t="str">
        <f aca="false">IF(M859=1,"✓","")</f>
        <v/>
      </c>
      <c r="K859" s="4" t="str">
        <f aca="false">IF(AND(M859=0,P859=0),"▶ NEXT","")</f>
        <v/>
      </c>
      <c r="L859" s="4" t="n">
        <f aca="false">INDEX('Master List'!$F$2:$F$2594,O859)</f>
        <v>1</v>
      </c>
      <c r="M859" s="4" t="n">
        <f aca="false">INDEX('Master List'!$G$2:$G$2594,O859)</f>
        <v>0</v>
      </c>
      <c r="N859" s="4" t="str">
        <f aca="false">IF(K859="","",A859)</f>
        <v/>
      </c>
      <c r="O859" s="4" t="n">
        <v>2139</v>
      </c>
      <c r="P859" s="4" t="n">
        <f aca="false">IF(A859=A858,P858+1-M858,0)</f>
        <v>2</v>
      </c>
    </row>
    <row r="860" customFormat="false" ht="15" hidden="false" customHeight="false" outlineLevel="0" collapsed="false">
      <c r="A860" s="28" t="s">
        <v>4019</v>
      </c>
      <c r="B860" s="28" t="s">
        <v>51</v>
      </c>
      <c r="C860" s="28" t="s">
        <v>83</v>
      </c>
      <c r="D860" s="28" t="s">
        <v>4020</v>
      </c>
      <c r="E860" s="4" t="n">
        <v>4</v>
      </c>
      <c r="F860" s="4" t="s">
        <v>213</v>
      </c>
      <c r="G860" s="4" t="s">
        <v>2400</v>
      </c>
      <c r="H860" s="4" t="n">
        <v>1984</v>
      </c>
      <c r="I860" s="4" t="s">
        <v>1551</v>
      </c>
      <c r="J860" s="25" t="str">
        <f aca="false">IF(M860=1,"✓","")</f>
        <v/>
      </c>
      <c r="K860" s="4" t="str">
        <f aca="false">IF(AND(M860=0,P860=0),"▶ NEXT","")</f>
        <v/>
      </c>
      <c r="L860" s="4" t="n">
        <f aca="false">INDEX('Master List'!$F$2:$F$2594,O860)</f>
        <v>1</v>
      </c>
      <c r="M860" s="4" t="n">
        <f aca="false">INDEX('Master List'!$G$2:$G$2594,O860)</f>
        <v>0</v>
      </c>
      <c r="N860" s="4" t="str">
        <f aca="false">IF(K860="","",A860)</f>
        <v/>
      </c>
      <c r="O860" s="4" t="n">
        <v>2566</v>
      </c>
      <c r="P860" s="4" t="n">
        <f aca="false">IF(A860=A859,P859+1-M859,0)</f>
        <v>3</v>
      </c>
    </row>
    <row r="861" customFormat="false" ht="15" hidden="false" customHeight="false" outlineLevel="0" collapsed="false">
      <c r="A861" s="28" t="s">
        <v>4019</v>
      </c>
      <c r="B861" s="28" t="s">
        <v>51</v>
      </c>
      <c r="C861" s="28" t="s">
        <v>83</v>
      </c>
      <c r="D861" s="28" t="s">
        <v>4020</v>
      </c>
      <c r="E861" s="4" t="n">
        <v>5</v>
      </c>
      <c r="F861" s="4" t="s">
        <v>213</v>
      </c>
      <c r="G861" s="4" t="s">
        <v>2466</v>
      </c>
      <c r="H861" s="4" t="n">
        <v>1988</v>
      </c>
      <c r="I861" s="4" t="s">
        <v>1541</v>
      </c>
      <c r="J861" s="25" t="str">
        <f aca="false">IF(M861=1,"✓","")</f>
        <v/>
      </c>
      <c r="K861" s="4" t="str">
        <f aca="false">IF(AND(M861=0,P861=0),"▶ NEXT","")</f>
        <v/>
      </c>
      <c r="L861" s="4" t="n">
        <f aca="false">INDEX('Master List'!$F$2:$F$2594,O861)</f>
        <v>1</v>
      </c>
      <c r="M861" s="4" t="n">
        <f aca="false">INDEX('Master List'!$G$2:$G$2594,O861)</f>
        <v>0</v>
      </c>
      <c r="N861" s="4" t="str">
        <f aca="false">IF(K861="","",A861)</f>
        <v/>
      </c>
      <c r="O861" s="4" t="n">
        <v>1878</v>
      </c>
      <c r="P861" s="4" t="n">
        <f aca="false">IF(A861=A860,P860+1-M860,0)</f>
        <v>4</v>
      </c>
    </row>
    <row r="862" customFormat="false" ht="15" hidden="false" customHeight="false" outlineLevel="0" collapsed="false">
      <c r="A862" s="28" t="s">
        <v>4019</v>
      </c>
      <c r="B862" s="28" t="s">
        <v>51</v>
      </c>
      <c r="C862" s="28" t="s">
        <v>83</v>
      </c>
      <c r="D862" s="28" t="s">
        <v>4020</v>
      </c>
      <c r="E862" s="4" t="n">
        <v>6</v>
      </c>
      <c r="F862" s="4" t="s">
        <v>213</v>
      </c>
      <c r="G862" s="4" t="s">
        <v>2581</v>
      </c>
      <c r="H862" s="4" t="n">
        <v>1994</v>
      </c>
      <c r="I862" s="4" t="s">
        <v>1541</v>
      </c>
      <c r="J862" s="25" t="str">
        <f aca="false">IF(M862=1,"✓","")</f>
        <v/>
      </c>
      <c r="K862" s="4" t="str">
        <f aca="false">IF(AND(M862=0,P862=0),"▶ NEXT","")</f>
        <v/>
      </c>
      <c r="L862" s="4" t="n">
        <f aca="false">INDEX('Master List'!$F$2:$F$2594,O862)</f>
        <v>1</v>
      </c>
      <c r="M862" s="4" t="n">
        <f aca="false">INDEX('Master List'!$G$2:$G$2594,O862)</f>
        <v>0</v>
      </c>
      <c r="N862" s="4" t="str">
        <f aca="false">IF(K862="","",A862)</f>
        <v/>
      </c>
      <c r="O862" s="4" t="n">
        <v>2319</v>
      </c>
      <c r="P862" s="4" t="n">
        <f aca="false">IF(A862=A861,P861+1-M861,0)</f>
        <v>5</v>
      </c>
    </row>
    <row r="863" customFormat="false" ht="15" hidden="false" customHeight="false" outlineLevel="0" collapsed="false">
      <c r="A863" s="28" t="s">
        <v>4019</v>
      </c>
      <c r="B863" s="28" t="s">
        <v>51</v>
      </c>
      <c r="C863" s="28" t="s">
        <v>83</v>
      </c>
      <c r="D863" s="28" t="s">
        <v>4020</v>
      </c>
      <c r="E863" s="4" t="n">
        <v>7</v>
      </c>
      <c r="F863" s="4" t="s">
        <v>213</v>
      </c>
      <c r="G863" s="4" t="s">
        <v>2564</v>
      </c>
      <c r="H863" s="4" t="n">
        <v>1993</v>
      </c>
      <c r="I863" s="4" t="s">
        <v>2565</v>
      </c>
      <c r="J863" s="25" t="str">
        <f aca="false">IF(M863=1,"✓","")</f>
        <v/>
      </c>
      <c r="K863" s="4" t="str">
        <f aca="false">IF(AND(M863=0,P863=0),"▶ NEXT","")</f>
        <v/>
      </c>
      <c r="L863" s="4" t="n">
        <f aca="false">INDEX('Master List'!$F$2:$F$2594,O863)</f>
        <v>1</v>
      </c>
      <c r="M863" s="4" t="n">
        <f aca="false">INDEX('Master List'!$G$2:$G$2594,O863)</f>
        <v>0</v>
      </c>
      <c r="N863" s="4" t="str">
        <f aca="false">IF(K863="","",A863)</f>
        <v/>
      </c>
      <c r="O863" s="4" t="n">
        <v>299</v>
      </c>
      <c r="P863" s="4" t="n">
        <f aca="false">IF(A863=A862,P862+1-M862,0)</f>
        <v>6</v>
      </c>
    </row>
    <row r="864" customFormat="false" ht="15" hidden="false" customHeight="false" outlineLevel="0" collapsed="false">
      <c r="A864" s="28" t="s">
        <v>4019</v>
      </c>
      <c r="B864" s="28" t="s">
        <v>51</v>
      </c>
      <c r="C864" s="28" t="s">
        <v>83</v>
      </c>
      <c r="D864" s="28" t="s">
        <v>4020</v>
      </c>
      <c r="E864" s="4" t="n">
        <v>8</v>
      </c>
      <c r="F864" s="4" t="s">
        <v>213</v>
      </c>
      <c r="G864" s="4" t="s">
        <v>2739</v>
      </c>
      <c r="H864" s="4" t="n">
        <v>2001</v>
      </c>
      <c r="I864" s="4" t="s">
        <v>2740</v>
      </c>
      <c r="J864" s="25" t="str">
        <f aca="false">IF(M864=1,"✓","")</f>
        <v/>
      </c>
      <c r="K864" s="4" t="str">
        <f aca="false">IF(AND(M864=0,P864=0),"▶ NEXT","")</f>
        <v/>
      </c>
      <c r="L864" s="4" t="n">
        <f aca="false">INDEX('Master List'!$F$2:$F$2594,O864)</f>
        <v>1</v>
      </c>
      <c r="M864" s="4" t="n">
        <f aca="false">INDEX('Master List'!$G$2:$G$2594,O864)</f>
        <v>0</v>
      </c>
      <c r="N864" s="4" t="str">
        <f aca="false">IF(K864="","",A864)</f>
        <v/>
      </c>
      <c r="O864" s="4" t="n">
        <v>216</v>
      </c>
      <c r="P864" s="4" t="n">
        <f aca="false">IF(A864=A863,P863+1-M863,0)</f>
        <v>7</v>
      </c>
    </row>
    <row r="865" customFormat="false" ht="15" hidden="false" customHeight="false" outlineLevel="0" collapsed="false">
      <c r="A865" s="28" t="s">
        <v>4019</v>
      </c>
      <c r="B865" s="28" t="s">
        <v>51</v>
      </c>
      <c r="C865" s="28" t="s">
        <v>83</v>
      </c>
      <c r="D865" s="28" t="s">
        <v>4020</v>
      </c>
      <c r="E865" s="4" t="n">
        <v>9</v>
      </c>
      <c r="F865" s="4" t="s">
        <v>213</v>
      </c>
      <c r="G865" s="4" t="s">
        <v>1140</v>
      </c>
      <c r="H865" s="4" t="n">
        <v>2000</v>
      </c>
      <c r="I865" s="4" t="s">
        <v>859</v>
      </c>
      <c r="J865" s="25" t="str">
        <f aca="false">IF(M865=1,"✓","")</f>
        <v/>
      </c>
      <c r="K865" s="4" t="str">
        <f aca="false">IF(AND(M865=0,P865=0),"▶ NEXT","")</f>
        <v/>
      </c>
      <c r="L865" s="4" t="n">
        <f aca="false">INDEX('Master List'!$F$2:$F$2594,O865)</f>
        <v>2</v>
      </c>
      <c r="M865" s="4" t="n">
        <f aca="false">INDEX('Master List'!$G$2:$G$2594,O865)</f>
        <v>0</v>
      </c>
      <c r="N865" s="4" t="str">
        <f aca="false">IF(K865="","",A865)</f>
        <v/>
      </c>
      <c r="O865" s="4" t="n">
        <v>1777</v>
      </c>
      <c r="P865" s="4" t="n">
        <f aca="false">IF(A865=A864,P864+1-M864,0)</f>
        <v>8</v>
      </c>
    </row>
    <row r="866" customFormat="false" ht="15" hidden="false" customHeight="false" outlineLevel="0" collapsed="false">
      <c r="A866" s="28" t="s">
        <v>4019</v>
      </c>
      <c r="B866" s="28" t="s">
        <v>51</v>
      </c>
      <c r="C866" s="28" t="s">
        <v>83</v>
      </c>
      <c r="D866" s="28" t="s">
        <v>4020</v>
      </c>
      <c r="E866" s="4" t="n">
        <v>10</v>
      </c>
      <c r="F866" s="4" t="s">
        <v>213</v>
      </c>
      <c r="G866" s="4" t="s">
        <v>858</v>
      </c>
      <c r="H866" s="4" t="n">
        <v>2006</v>
      </c>
      <c r="I866" s="4" t="s">
        <v>859</v>
      </c>
      <c r="J866" s="25" t="str">
        <f aca="false">IF(M866=1,"✓","")</f>
        <v/>
      </c>
      <c r="K866" s="4" t="str">
        <f aca="false">IF(AND(M866=0,P866=0),"▶ NEXT","")</f>
        <v/>
      </c>
      <c r="L866" s="4" t="n">
        <f aca="false">INDEX('Master List'!$F$2:$F$2594,O866)</f>
        <v>2</v>
      </c>
      <c r="M866" s="4" t="n">
        <f aca="false">INDEX('Master List'!$G$2:$G$2594,O866)</f>
        <v>0</v>
      </c>
      <c r="N866" s="4" t="str">
        <f aca="false">IF(K866="","",A866)</f>
        <v/>
      </c>
      <c r="O866" s="4" t="n">
        <v>2157</v>
      </c>
      <c r="P866" s="4" t="n">
        <f aca="false">IF(A866=A865,P865+1-M865,0)</f>
        <v>9</v>
      </c>
    </row>
    <row r="867" customFormat="false" ht="15" hidden="false" customHeight="false" outlineLevel="0" collapsed="false">
      <c r="A867" s="28" t="s">
        <v>4019</v>
      </c>
      <c r="B867" s="28" t="s">
        <v>51</v>
      </c>
      <c r="C867" s="28" t="s">
        <v>83</v>
      </c>
      <c r="D867" s="28" t="s">
        <v>4020</v>
      </c>
      <c r="E867" s="4" t="n">
        <v>11</v>
      </c>
      <c r="F867" s="4" t="s">
        <v>213</v>
      </c>
      <c r="G867" s="4" t="s">
        <v>1206</v>
      </c>
      <c r="H867" s="4" t="n">
        <v>2013</v>
      </c>
      <c r="I867" s="4" t="s">
        <v>859</v>
      </c>
      <c r="J867" s="25" t="str">
        <f aca="false">IF(M867=1,"✓","")</f>
        <v/>
      </c>
      <c r="K867" s="4" t="str">
        <f aca="false">IF(AND(M867=0,P867=0),"▶ NEXT","")</f>
        <v/>
      </c>
      <c r="L867" s="4" t="n">
        <f aca="false">INDEX('Master List'!$F$2:$F$2594,O867)</f>
        <v>2</v>
      </c>
      <c r="M867" s="4" t="n">
        <f aca="false">INDEX('Master List'!$G$2:$G$2594,O867)</f>
        <v>0</v>
      </c>
      <c r="N867" s="4" t="str">
        <f aca="false">IF(K867="","",A867)</f>
        <v/>
      </c>
      <c r="O867" s="4" t="n">
        <v>2345</v>
      </c>
      <c r="P867" s="4" t="n">
        <f aca="false">IF(A867=A866,P866+1-M866,0)</f>
        <v>10</v>
      </c>
    </row>
    <row r="868" customFormat="false" ht="15" hidden="false" customHeight="false" outlineLevel="0" collapsed="false">
      <c r="A868" s="28" t="s">
        <v>4019</v>
      </c>
      <c r="B868" s="28" t="s">
        <v>51</v>
      </c>
      <c r="C868" s="28" t="s">
        <v>83</v>
      </c>
      <c r="D868" s="28" t="s">
        <v>4020</v>
      </c>
      <c r="E868" s="4" t="n">
        <v>12</v>
      </c>
      <c r="F868" s="4" t="s">
        <v>1327</v>
      </c>
      <c r="G868" s="4" t="s">
        <v>3717</v>
      </c>
      <c r="H868" s="4" t="n">
        <v>2000</v>
      </c>
      <c r="I868" s="4" t="s">
        <v>3718</v>
      </c>
      <c r="J868" s="25" t="str">
        <f aca="false">IF(M868=1,"✓","")</f>
        <v/>
      </c>
      <c r="K868" s="4" t="str">
        <f aca="false">IF(AND(M868=0,P868=0),"▶ NEXT","")</f>
        <v/>
      </c>
      <c r="L868" s="4" t="n">
        <f aca="false">INDEX('Master List'!$F$2:$F$2594,O868)</f>
        <v>1</v>
      </c>
      <c r="M868" s="4" t="n">
        <f aca="false">INDEX('Master List'!$G$2:$G$2594,O868)</f>
        <v>0</v>
      </c>
      <c r="N868" s="4" t="str">
        <f aca="false">IF(K868="","",A868)</f>
        <v/>
      </c>
      <c r="O868" s="4" t="n">
        <v>2211</v>
      </c>
      <c r="P868" s="4" t="n">
        <f aca="false">IF(A868=A867,P867+1-M867,0)</f>
        <v>11</v>
      </c>
    </row>
    <row r="869" customFormat="false" ht="15" hidden="false" customHeight="false" outlineLevel="0" collapsed="false">
      <c r="A869" s="28" t="s">
        <v>4019</v>
      </c>
      <c r="B869" s="28" t="s">
        <v>51</v>
      </c>
      <c r="C869" s="28" t="s">
        <v>83</v>
      </c>
      <c r="D869" s="28" t="s">
        <v>4020</v>
      </c>
      <c r="E869" s="4" t="n">
        <v>13</v>
      </c>
      <c r="F869" s="4" t="s">
        <v>1327</v>
      </c>
      <c r="G869" s="4" t="s">
        <v>1661</v>
      </c>
      <c r="H869" s="4" t="n">
        <v>2018</v>
      </c>
      <c r="I869" s="4" t="s">
        <v>1662</v>
      </c>
      <c r="J869" s="25" t="str">
        <f aca="false">IF(M869=1,"✓","")</f>
        <v/>
      </c>
      <c r="K869" s="4" t="str">
        <f aca="false">IF(AND(M869=0,P869=0),"▶ NEXT","")</f>
        <v/>
      </c>
      <c r="L869" s="4" t="n">
        <f aca="false">INDEX('Master List'!$F$2:$F$2594,O869)</f>
        <v>2</v>
      </c>
      <c r="M869" s="4" t="n">
        <f aca="false">INDEX('Master List'!$G$2:$G$2594,O869)</f>
        <v>0</v>
      </c>
      <c r="N869" s="4" t="str">
        <f aca="false">IF(K869="","",A869)</f>
        <v/>
      </c>
      <c r="O869" s="4" t="n">
        <v>1376</v>
      </c>
      <c r="P869" s="4" t="n">
        <f aca="false">IF(A869=A868,P868+1-M868,0)</f>
        <v>12</v>
      </c>
    </row>
    <row r="870" customFormat="false" ht="15" hidden="false" customHeight="false" outlineLevel="0" collapsed="false">
      <c r="A870" s="28" t="s">
        <v>4019</v>
      </c>
      <c r="B870" s="28" t="s">
        <v>51</v>
      </c>
      <c r="C870" s="28" t="s">
        <v>83</v>
      </c>
      <c r="D870" s="28" t="s">
        <v>4020</v>
      </c>
      <c r="E870" s="4" t="n">
        <v>14</v>
      </c>
      <c r="F870" s="4" t="s">
        <v>1327</v>
      </c>
      <c r="G870" s="4" t="s">
        <v>3845</v>
      </c>
      <c r="H870" s="4" t="n">
        <v>2018</v>
      </c>
      <c r="I870" s="4" t="s">
        <v>3846</v>
      </c>
      <c r="J870" s="25" t="str">
        <f aca="false">IF(M870=1,"✓","")</f>
        <v/>
      </c>
      <c r="K870" s="4" t="str">
        <f aca="false">IF(AND(M870=0,P870=0),"▶ NEXT","")</f>
        <v/>
      </c>
      <c r="L870" s="4" t="n">
        <f aca="false">INDEX('Master List'!$F$2:$F$2594,O870)</f>
        <v>1</v>
      </c>
      <c r="M870" s="4" t="n">
        <f aca="false">INDEX('Master List'!$G$2:$G$2594,O870)</f>
        <v>0</v>
      </c>
      <c r="N870" s="4" t="str">
        <f aca="false">IF(K870="","",A870)</f>
        <v/>
      </c>
      <c r="O870" s="4" t="n">
        <v>719</v>
      </c>
      <c r="P870" s="4" t="n">
        <f aca="false">IF(A870=A869,P869+1-M869,0)</f>
        <v>13</v>
      </c>
    </row>
    <row r="871" customFormat="false" ht="15" hidden="false" customHeight="false" outlineLevel="0" collapsed="false">
      <c r="A871" s="28" t="s">
        <v>4021</v>
      </c>
      <c r="B871" s="28" t="s">
        <v>51</v>
      </c>
      <c r="C871" s="28" t="s">
        <v>84</v>
      </c>
      <c r="D871" s="28" t="s">
        <v>4022</v>
      </c>
      <c r="E871" s="4" t="n">
        <v>1</v>
      </c>
      <c r="F871" s="4" t="s">
        <v>144</v>
      </c>
      <c r="G871" s="7" t="s">
        <v>660</v>
      </c>
      <c r="H871" s="4" t="n">
        <v>1960</v>
      </c>
      <c r="I871" s="4" t="s">
        <v>661</v>
      </c>
      <c r="J871" s="25" t="str">
        <f aca="false">IF(M871=1,"✓","")</f>
        <v/>
      </c>
      <c r="K871" s="4" t="str">
        <f aca="false">IF(AND(M871=0,P871=0),"▶ NEXT","")</f>
        <v>▶ NEXT</v>
      </c>
      <c r="L871" s="4" t="n">
        <f aca="false">INDEX('Master List'!$F$2:$F$2594,O871)</f>
        <v>2</v>
      </c>
      <c r="M871" s="4" t="n">
        <f aca="false">INDEX('Master List'!$G$2:$G$2594,O871)</f>
        <v>0</v>
      </c>
      <c r="N871" s="4" t="str">
        <f aca="false">IF(K871="","",A871)</f>
        <v>N074</v>
      </c>
      <c r="O871" s="4" t="n">
        <v>1077</v>
      </c>
      <c r="P871" s="4" t="n">
        <f aca="false">IF(A871=A870,P870+1-M870,0)</f>
        <v>0</v>
      </c>
    </row>
    <row r="872" customFormat="false" ht="15" hidden="false" customHeight="false" outlineLevel="0" collapsed="false">
      <c r="A872" s="28" t="s">
        <v>4021</v>
      </c>
      <c r="B872" s="28" t="s">
        <v>51</v>
      </c>
      <c r="C872" s="28" t="s">
        <v>84</v>
      </c>
      <c r="D872" s="28" t="s">
        <v>4022</v>
      </c>
      <c r="E872" s="4" t="n">
        <v>2</v>
      </c>
      <c r="F872" s="4" t="s">
        <v>144</v>
      </c>
      <c r="G872" s="7" t="s">
        <v>684</v>
      </c>
      <c r="H872" s="4" t="n">
        <v>2003</v>
      </c>
      <c r="I872" s="4" t="s">
        <v>685</v>
      </c>
      <c r="J872" s="25" t="str">
        <f aca="false">IF(M872=1,"✓","")</f>
        <v/>
      </c>
      <c r="K872" s="4" t="str">
        <f aca="false">IF(AND(M872=0,P872=0),"▶ NEXT","")</f>
        <v/>
      </c>
      <c r="L872" s="4" t="n">
        <f aca="false">INDEX('Master List'!$F$2:$F$2594,O872)</f>
        <v>2</v>
      </c>
      <c r="M872" s="4" t="n">
        <f aca="false">INDEX('Master List'!$G$2:$G$2594,O872)</f>
        <v>0</v>
      </c>
      <c r="N872" s="4" t="str">
        <f aca="false">IF(K872="","",A872)</f>
        <v/>
      </c>
      <c r="O872" s="4" t="n">
        <v>1658</v>
      </c>
      <c r="P872" s="4" t="n">
        <f aca="false">IF(A872=A871,P871+1-M871,0)</f>
        <v>1</v>
      </c>
    </row>
    <row r="873" customFormat="false" ht="15" hidden="false" customHeight="false" outlineLevel="0" collapsed="false">
      <c r="A873" s="28" t="s">
        <v>4021</v>
      </c>
      <c r="B873" s="28" t="s">
        <v>51</v>
      </c>
      <c r="C873" s="28" t="s">
        <v>84</v>
      </c>
      <c r="D873" s="28" t="s">
        <v>4022</v>
      </c>
      <c r="E873" s="4" t="n">
        <v>3</v>
      </c>
      <c r="F873" s="4" t="s">
        <v>213</v>
      </c>
      <c r="G873" s="4" t="s">
        <v>1992</v>
      </c>
      <c r="H873" s="4" t="n">
        <v>1961</v>
      </c>
      <c r="I873" s="4" t="s">
        <v>1993</v>
      </c>
      <c r="J873" s="25" t="str">
        <f aca="false">IF(M873=1,"✓","")</f>
        <v/>
      </c>
      <c r="K873" s="4" t="str">
        <f aca="false">IF(AND(M873=0,P873=0),"▶ NEXT","")</f>
        <v/>
      </c>
      <c r="L873" s="4" t="n">
        <f aca="false">INDEX('Master List'!$F$2:$F$2594,O873)</f>
        <v>1</v>
      </c>
      <c r="M873" s="4" t="n">
        <f aca="false">INDEX('Master List'!$G$2:$G$2594,O873)</f>
        <v>0</v>
      </c>
      <c r="N873" s="4" t="str">
        <f aca="false">IF(K873="","",A873)</f>
        <v/>
      </c>
      <c r="O873" s="4" t="n">
        <v>57</v>
      </c>
      <c r="P873" s="4" t="n">
        <f aca="false">IF(A873=A872,P872+1-M872,0)</f>
        <v>2</v>
      </c>
    </row>
    <row r="874" customFormat="false" ht="15" hidden="false" customHeight="false" outlineLevel="0" collapsed="false">
      <c r="A874" s="28" t="s">
        <v>4021</v>
      </c>
      <c r="B874" s="28" t="s">
        <v>51</v>
      </c>
      <c r="C874" s="28" t="s">
        <v>84</v>
      </c>
      <c r="D874" s="28" t="s">
        <v>4022</v>
      </c>
      <c r="E874" s="4" t="n">
        <v>4</v>
      </c>
      <c r="F874" s="4" t="s">
        <v>213</v>
      </c>
      <c r="G874" s="4" t="s">
        <v>2699</v>
      </c>
      <c r="H874" s="4" t="n">
        <v>1999</v>
      </c>
      <c r="I874" s="4" t="s">
        <v>1243</v>
      </c>
      <c r="J874" s="25" t="str">
        <f aca="false">IF(M874=1,"✓","")</f>
        <v/>
      </c>
      <c r="K874" s="4" t="str">
        <f aca="false">IF(AND(M874=0,P874=0),"▶ NEXT","")</f>
        <v/>
      </c>
      <c r="L874" s="4" t="n">
        <f aca="false">INDEX('Master List'!$F$2:$F$2594,O874)</f>
        <v>1</v>
      </c>
      <c r="M874" s="4" t="n">
        <f aca="false">INDEX('Master List'!$G$2:$G$2594,O874)</f>
        <v>0</v>
      </c>
      <c r="N874" s="4" t="str">
        <f aca="false">IF(K874="","",A874)</f>
        <v/>
      </c>
      <c r="O874" s="4" t="n">
        <v>1743</v>
      </c>
      <c r="P874" s="4" t="n">
        <f aca="false">IF(A874=A873,P873+1-M873,0)</f>
        <v>3</v>
      </c>
    </row>
    <row r="875" customFormat="false" ht="15" hidden="false" customHeight="false" outlineLevel="0" collapsed="false">
      <c r="A875" s="28" t="s">
        <v>4021</v>
      </c>
      <c r="B875" s="28" t="s">
        <v>51</v>
      </c>
      <c r="C875" s="28" t="s">
        <v>84</v>
      </c>
      <c r="D875" s="28" t="s">
        <v>4022</v>
      </c>
      <c r="E875" s="4" t="n">
        <v>5</v>
      </c>
      <c r="F875" s="4" t="s">
        <v>213</v>
      </c>
      <c r="G875" s="4" t="s">
        <v>1141</v>
      </c>
      <c r="H875" s="4" t="n">
        <v>2000</v>
      </c>
      <c r="I875" s="4" t="s">
        <v>685</v>
      </c>
      <c r="J875" s="25" t="str">
        <f aca="false">IF(M875=1,"✓","")</f>
        <v/>
      </c>
      <c r="K875" s="4" t="str">
        <f aca="false">IF(AND(M875=0,P875=0),"▶ NEXT","")</f>
        <v/>
      </c>
      <c r="L875" s="4" t="n">
        <f aca="false">INDEX('Master List'!$F$2:$F$2594,O875)</f>
        <v>2</v>
      </c>
      <c r="M875" s="4" t="n">
        <f aca="false">INDEX('Master List'!$G$2:$G$2594,O875)</f>
        <v>0</v>
      </c>
      <c r="N875" s="4" t="str">
        <f aca="false">IF(K875="","",A875)</f>
        <v/>
      </c>
      <c r="O875" s="4" t="n">
        <v>1215</v>
      </c>
      <c r="P875" s="4" t="n">
        <f aca="false">IF(A875=A874,P874+1-M874,0)</f>
        <v>4</v>
      </c>
    </row>
    <row r="876" customFormat="false" ht="15" hidden="false" customHeight="false" outlineLevel="0" collapsed="false">
      <c r="A876" s="28" t="s">
        <v>4021</v>
      </c>
      <c r="B876" s="28" t="s">
        <v>51</v>
      </c>
      <c r="C876" s="28" t="s">
        <v>84</v>
      </c>
      <c r="D876" s="28" t="s">
        <v>4022</v>
      </c>
      <c r="E876" s="4" t="n">
        <v>6</v>
      </c>
      <c r="F876" s="4" t="s">
        <v>213</v>
      </c>
      <c r="G876" s="4" t="s">
        <v>275</v>
      </c>
      <c r="H876" s="4" t="n">
        <v>2003</v>
      </c>
      <c r="I876" s="4" t="s">
        <v>276</v>
      </c>
      <c r="J876" s="25" t="str">
        <f aca="false">IF(M876=1,"✓","")</f>
        <v/>
      </c>
      <c r="K876" s="4" t="str">
        <f aca="false">IF(AND(M876=0,P876=0),"▶ NEXT","")</f>
        <v/>
      </c>
      <c r="L876" s="4" t="n">
        <f aca="false">INDEX('Master List'!$F$2:$F$2594,O876)</f>
        <v>5</v>
      </c>
      <c r="M876" s="4" t="n">
        <f aca="false">INDEX('Master List'!$G$2:$G$2594,O876)</f>
        <v>0</v>
      </c>
      <c r="N876" s="4" t="str">
        <f aca="false">IF(K876="","",A876)</f>
        <v/>
      </c>
      <c r="O876" s="4" t="n">
        <v>1478</v>
      </c>
      <c r="P876" s="4" t="n">
        <f aca="false">IF(A876=A875,P875+1-M875,0)</f>
        <v>5</v>
      </c>
    </row>
    <row r="877" customFormat="false" ht="15" hidden="false" customHeight="false" outlineLevel="0" collapsed="false">
      <c r="A877" s="28" t="s">
        <v>4021</v>
      </c>
      <c r="B877" s="28" t="s">
        <v>51</v>
      </c>
      <c r="C877" s="28" t="s">
        <v>84</v>
      </c>
      <c r="D877" s="28" t="s">
        <v>4022</v>
      </c>
      <c r="E877" s="4" t="n">
        <v>7</v>
      </c>
      <c r="F877" s="4" t="s">
        <v>213</v>
      </c>
      <c r="G877" s="4" t="s">
        <v>2768</v>
      </c>
      <c r="H877" s="4" t="n">
        <v>2002</v>
      </c>
      <c r="I877" s="4" t="s">
        <v>1243</v>
      </c>
      <c r="J877" s="25" t="str">
        <f aca="false">IF(M877=1,"✓","")</f>
        <v/>
      </c>
      <c r="K877" s="4" t="str">
        <f aca="false">IF(AND(M877=0,P877=0),"▶ NEXT","")</f>
        <v/>
      </c>
      <c r="L877" s="4" t="n">
        <f aca="false">INDEX('Master List'!$F$2:$F$2594,O877)</f>
        <v>1</v>
      </c>
      <c r="M877" s="4" t="n">
        <f aca="false">INDEX('Master List'!$G$2:$G$2594,O877)</f>
        <v>0</v>
      </c>
      <c r="N877" s="4" t="str">
        <f aca="false">IF(K877="","",A877)</f>
        <v/>
      </c>
      <c r="O877" s="4" t="n">
        <v>1643</v>
      </c>
      <c r="P877" s="4" t="n">
        <f aca="false">IF(A877=A876,P876+1-M876,0)</f>
        <v>6</v>
      </c>
    </row>
    <row r="878" customFormat="false" ht="15" hidden="false" customHeight="false" outlineLevel="0" collapsed="false">
      <c r="A878" s="28" t="s">
        <v>4021</v>
      </c>
      <c r="B878" s="28" t="s">
        <v>51</v>
      </c>
      <c r="C878" s="28" t="s">
        <v>84</v>
      </c>
      <c r="D878" s="28" t="s">
        <v>4022</v>
      </c>
      <c r="E878" s="4" t="n">
        <v>8</v>
      </c>
      <c r="F878" s="4" t="s">
        <v>213</v>
      </c>
      <c r="G878" s="4" t="s">
        <v>2799</v>
      </c>
      <c r="H878" s="4" t="n">
        <v>2003</v>
      </c>
      <c r="I878" s="4" t="s">
        <v>2800</v>
      </c>
      <c r="J878" s="25" t="str">
        <f aca="false">IF(M878=1,"✓","")</f>
        <v/>
      </c>
      <c r="K878" s="4" t="str">
        <f aca="false">IF(AND(M878=0,P878=0),"▶ NEXT","")</f>
        <v/>
      </c>
      <c r="L878" s="4" t="n">
        <f aca="false">INDEX('Master List'!$F$2:$F$2594,O878)</f>
        <v>1</v>
      </c>
      <c r="M878" s="4" t="n">
        <f aca="false">INDEX('Master List'!$G$2:$G$2594,O878)</f>
        <v>0</v>
      </c>
      <c r="N878" s="4" t="str">
        <f aca="false">IF(K878="","",A878)</f>
        <v/>
      </c>
      <c r="O878" s="4" t="n">
        <v>2140</v>
      </c>
      <c r="P878" s="4" t="n">
        <f aca="false">IF(A878=A877,P877+1-M877,0)</f>
        <v>7</v>
      </c>
    </row>
    <row r="879" customFormat="false" ht="15" hidden="false" customHeight="false" outlineLevel="0" collapsed="false">
      <c r="A879" s="28" t="s">
        <v>4021</v>
      </c>
      <c r="B879" s="28" t="s">
        <v>51</v>
      </c>
      <c r="C879" s="28" t="s">
        <v>84</v>
      </c>
      <c r="D879" s="28" t="s">
        <v>4022</v>
      </c>
      <c r="E879" s="4" t="n">
        <v>9</v>
      </c>
      <c r="F879" s="4" t="s">
        <v>213</v>
      </c>
      <c r="G879" s="4" t="s">
        <v>638</v>
      </c>
      <c r="H879" s="4" t="n">
        <v>2006</v>
      </c>
      <c r="I879" s="4" t="s">
        <v>276</v>
      </c>
      <c r="J879" s="25" t="str">
        <f aca="false">IF(M879=1,"✓","")</f>
        <v/>
      </c>
      <c r="K879" s="4" t="str">
        <f aca="false">IF(AND(M879=0,P879=0),"▶ NEXT","")</f>
        <v/>
      </c>
      <c r="L879" s="4" t="n">
        <f aca="false">INDEX('Master List'!$F$2:$F$2594,O879)</f>
        <v>3</v>
      </c>
      <c r="M879" s="4" t="n">
        <f aca="false">INDEX('Master List'!$G$2:$G$2594,O879)</f>
        <v>0</v>
      </c>
      <c r="N879" s="4" t="str">
        <f aca="false">IF(K879="","",A879)</f>
        <v/>
      </c>
      <c r="O879" s="4" t="n">
        <v>1063</v>
      </c>
      <c r="P879" s="4" t="n">
        <f aca="false">IF(A879=A878,P878+1-M878,0)</f>
        <v>8</v>
      </c>
    </row>
    <row r="880" customFormat="false" ht="15" hidden="false" customHeight="false" outlineLevel="0" collapsed="false">
      <c r="A880" s="28" t="s">
        <v>4021</v>
      </c>
      <c r="B880" s="28" t="s">
        <v>51</v>
      </c>
      <c r="C880" s="28" t="s">
        <v>84</v>
      </c>
      <c r="D880" s="28" t="s">
        <v>4022</v>
      </c>
      <c r="E880" s="4" t="n">
        <v>10</v>
      </c>
      <c r="F880" s="4" t="s">
        <v>213</v>
      </c>
      <c r="G880" s="4" t="s">
        <v>2942</v>
      </c>
      <c r="H880" s="4" t="n">
        <v>2010</v>
      </c>
      <c r="I880" s="4" t="s">
        <v>1243</v>
      </c>
      <c r="J880" s="25" t="str">
        <f aca="false">IF(M880=1,"✓","")</f>
        <v/>
      </c>
      <c r="K880" s="4" t="str">
        <f aca="false">IF(AND(M880=0,P880=0),"▶ NEXT","")</f>
        <v/>
      </c>
      <c r="L880" s="4" t="n">
        <f aca="false">INDEX('Master List'!$F$2:$F$2594,O880)</f>
        <v>1</v>
      </c>
      <c r="M880" s="4" t="n">
        <f aca="false">INDEX('Master List'!$G$2:$G$2594,O880)</f>
        <v>0</v>
      </c>
      <c r="N880" s="4" t="str">
        <f aca="false">IF(K880="","",A880)</f>
        <v/>
      </c>
      <c r="O880" s="4" t="n">
        <v>1782</v>
      </c>
      <c r="P880" s="4" t="n">
        <f aca="false">IF(A880=A879,P879+1-M879,0)</f>
        <v>9</v>
      </c>
    </row>
    <row r="881" customFormat="false" ht="15" hidden="false" customHeight="false" outlineLevel="0" collapsed="false">
      <c r="A881" s="28" t="s">
        <v>4021</v>
      </c>
      <c r="B881" s="28" t="s">
        <v>51</v>
      </c>
      <c r="C881" s="28" t="s">
        <v>84</v>
      </c>
      <c r="D881" s="28" t="s">
        <v>4022</v>
      </c>
      <c r="E881" s="4" t="n">
        <v>11</v>
      </c>
      <c r="F881" s="4" t="s">
        <v>1327</v>
      </c>
      <c r="G881" s="4" t="s">
        <v>3702</v>
      </c>
      <c r="H881" s="4" t="n">
        <v>1998</v>
      </c>
      <c r="I881" s="4" t="s">
        <v>3703</v>
      </c>
      <c r="J881" s="25" t="str">
        <f aca="false">IF(M881=1,"✓","")</f>
        <v/>
      </c>
      <c r="K881" s="4" t="str">
        <f aca="false">IF(AND(M881=0,P881=0),"▶ NEXT","")</f>
        <v/>
      </c>
      <c r="L881" s="4" t="n">
        <f aca="false">INDEX('Master List'!$F$2:$F$2594,O881)</f>
        <v>1</v>
      </c>
      <c r="M881" s="4" t="n">
        <f aca="false">INDEX('Master List'!$G$2:$G$2594,O881)</f>
        <v>0</v>
      </c>
      <c r="N881" s="4" t="str">
        <f aca="false">IF(K881="","",A881)</f>
        <v/>
      </c>
      <c r="O881" s="4" t="n">
        <v>454</v>
      </c>
      <c r="P881" s="4" t="n">
        <f aca="false">IF(A881=A880,P880+1-M880,0)</f>
        <v>10</v>
      </c>
    </row>
    <row r="882" customFormat="false" ht="15" hidden="false" customHeight="false" outlineLevel="0" collapsed="false">
      <c r="A882" s="28" t="s">
        <v>4023</v>
      </c>
      <c r="B882" s="28" t="s">
        <v>51</v>
      </c>
      <c r="C882" s="28" t="s">
        <v>84</v>
      </c>
      <c r="D882" s="28" t="s">
        <v>4024</v>
      </c>
      <c r="E882" s="4" t="n">
        <v>1</v>
      </c>
      <c r="F882" s="4" t="s">
        <v>144</v>
      </c>
      <c r="G882" s="7" t="s">
        <v>860</v>
      </c>
      <c r="H882" s="4" t="n">
        <v>2008</v>
      </c>
      <c r="I882" s="4" t="s">
        <v>861</v>
      </c>
      <c r="J882" s="25" t="str">
        <f aca="false">IF(M882=1,"✓","")</f>
        <v/>
      </c>
      <c r="K882" s="4" t="str">
        <f aca="false">IF(AND(M882=0,P882=0),"▶ NEXT","")</f>
        <v>▶ NEXT</v>
      </c>
      <c r="L882" s="4" t="n">
        <f aca="false">INDEX('Master List'!$F$2:$F$2594,O882)</f>
        <v>2</v>
      </c>
      <c r="M882" s="4" t="n">
        <f aca="false">INDEX('Master List'!$G$2:$G$2594,O882)</f>
        <v>0</v>
      </c>
      <c r="N882" s="4" t="str">
        <f aca="false">IF(K882="","",A882)</f>
        <v>N075</v>
      </c>
      <c r="O882" s="4" t="n">
        <v>433</v>
      </c>
      <c r="P882" s="4" t="n">
        <f aca="false">IF(A882=A881,P881+1-M881,0)</f>
        <v>0</v>
      </c>
    </row>
    <row r="883" customFormat="false" ht="15" hidden="false" customHeight="false" outlineLevel="0" collapsed="false">
      <c r="A883" s="28" t="s">
        <v>4023</v>
      </c>
      <c r="B883" s="28" t="s">
        <v>51</v>
      </c>
      <c r="C883" s="28" t="s">
        <v>84</v>
      </c>
      <c r="D883" s="28" t="s">
        <v>4024</v>
      </c>
      <c r="E883" s="4" t="n">
        <v>2</v>
      </c>
      <c r="F883" s="4" t="s">
        <v>144</v>
      </c>
      <c r="G883" s="7" t="s">
        <v>877</v>
      </c>
      <c r="H883" s="4" t="n">
        <v>2016</v>
      </c>
      <c r="I883" s="4" t="s">
        <v>878</v>
      </c>
      <c r="J883" s="25" t="str">
        <f aca="false">IF(M883=1,"✓","")</f>
        <v/>
      </c>
      <c r="K883" s="4" t="str">
        <f aca="false">IF(AND(M883=0,P883=0),"▶ NEXT","")</f>
        <v/>
      </c>
      <c r="L883" s="4" t="n">
        <f aca="false">INDEX('Master List'!$F$2:$F$2594,O883)</f>
        <v>2</v>
      </c>
      <c r="M883" s="4" t="n">
        <f aca="false">INDEX('Master List'!$G$2:$G$2594,O883)</f>
        <v>0</v>
      </c>
      <c r="N883" s="4" t="str">
        <f aca="false">IF(K883="","",A883)</f>
        <v/>
      </c>
      <c r="O883" s="4" t="n">
        <v>2358</v>
      </c>
      <c r="P883" s="4" t="n">
        <f aca="false">IF(A883=A882,P882+1-M882,0)</f>
        <v>1</v>
      </c>
    </row>
    <row r="884" customFormat="false" ht="15" hidden="false" customHeight="false" outlineLevel="0" collapsed="false">
      <c r="A884" s="28" t="s">
        <v>4023</v>
      </c>
      <c r="B884" s="28" t="s">
        <v>51</v>
      </c>
      <c r="C884" s="28" t="s">
        <v>84</v>
      </c>
      <c r="D884" s="28" t="s">
        <v>4024</v>
      </c>
      <c r="E884" s="4" t="n">
        <v>3</v>
      </c>
      <c r="F884" s="4" t="s">
        <v>213</v>
      </c>
      <c r="G884" s="4" t="s">
        <v>1158</v>
      </c>
      <c r="H884" s="4" t="n">
        <v>2002</v>
      </c>
      <c r="I884" s="4" t="s">
        <v>685</v>
      </c>
      <c r="J884" s="25" t="str">
        <f aca="false">IF(M884=1,"✓","")</f>
        <v/>
      </c>
      <c r="K884" s="4" t="str">
        <f aca="false">IF(AND(M884=0,P884=0),"▶ NEXT","")</f>
        <v/>
      </c>
      <c r="L884" s="4" t="n">
        <f aca="false">INDEX('Master List'!$F$2:$F$2594,O884)</f>
        <v>2</v>
      </c>
      <c r="M884" s="4" t="n">
        <f aca="false">INDEX('Master List'!$G$2:$G$2594,O884)</f>
        <v>0</v>
      </c>
      <c r="N884" s="4" t="str">
        <f aca="false">IF(K884="","",A884)</f>
        <v/>
      </c>
      <c r="O884" s="4" t="n">
        <v>2222</v>
      </c>
      <c r="P884" s="4" t="n">
        <f aca="false">IF(A884=A883,P883+1-M883,0)</f>
        <v>2</v>
      </c>
    </row>
    <row r="885" customFormat="false" ht="15" hidden="false" customHeight="false" outlineLevel="0" collapsed="false">
      <c r="A885" s="28" t="s">
        <v>4023</v>
      </c>
      <c r="B885" s="28" t="s">
        <v>51</v>
      </c>
      <c r="C885" s="28" t="s">
        <v>84</v>
      </c>
      <c r="D885" s="28" t="s">
        <v>4024</v>
      </c>
      <c r="E885" s="4" t="n">
        <v>4</v>
      </c>
      <c r="F885" s="4" t="s">
        <v>213</v>
      </c>
      <c r="G885" s="4" t="s">
        <v>1167</v>
      </c>
      <c r="H885" s="4" t="n">
        <v>2005</v>
      </c>
      <c r="I885" s="4" t="s">
        <v>685</v>
      </c>
      <c r="J885" s="25" t="str">
        <f aca="false">IF(M885=1,"✓","")</f>
        <v/>
      </c>
      <c r="K885" s="4" t="str">
        <f aca="false">IF(AND(M885=0,P885=0),"▶ NEXT","")</f>
        <v/>
      </c>
      <c r="L885" s="4" t="n">
        <f aca="false">INDEX('Master List'!$F$2:$F$2594,O885)</f>
        <v>2</v>
      </c>
      <c r="M885" s="4" t="n">
        <f aca="false">INDEX('Master List'!$G$2:$G$2594,O885)</f>
        <v>0</v>
      </c>
      <c r="N885" s="4" t="str">
        <f aca="false">IF(K885="","",A885)</f>
        <v/>
      </c>
      <c r="O885" s="4" t="n">
        <v>1283</v>
      </c>
      <c r="P885" s="4" t="n">
        <f aca="false">IF(A885=A884,P884+1-M884,0)</f>
        <v>3</v>
      </c>
    </row>
    <row r="886" customFormat="false" ht="15" hidden="false" customHeight="false" outlineLevel="0" collapsed="false">
      <c r="A886" s="28" t="s">
        <v>4023</v>
      </c>
      <c r="B886" s="28" t="s">
        <v>51</v>
      </c>
      <c r="C886" s="28" t="s">
        <v>84</v>
      </c>
      <c r="D886" s="28" t="s">
        <v>4024</v>
      </c>
      <c r="E886" s="4" t="n">
        <v>5</v>
      </c>
      <c r="F886" s="4" t="s">
        <v>213</v>
      </c>
      <c r="G886" s="4" t="s">
        <v>1192</v>
      </c>
      <c r="H886" s="4" t="n">
        <v>2009</v>
      </c>
      <c r="I886" s="4" t="s">
        <v>276</v>
      </c>
      <c r="J886" s="25" t="str">
        <f aca="false">IF(M886=1,"✓","")</f>
        <v/>
      </c>
      <c r="K886" s="4" t="str">
        <f aca="false">IF(AND(M886=0,P886=0),"▶ NEXT","")</f>
        <v/>
      </c>
      <c r="L886" s="4" t="n">
        <f aca="false">INDEX('Master List'!$F$2:$F$2594,O886)</f>
        <v>2</v>
      </c>
      <c r="M886" s="4" t="n">
        <f aca="false">INDEX('Master List'!$G$2:$G$2594,O886)</f>
        <v>0</v>
      </c>
      <c r="N886" s="4" t="str">
        <f aca="false">IF(K886="","",A886)</f>
        <v/>
      </c>
      <c r="O886" s="4" t="n">
        <v>1538</v>
      </c>
      <c r="P886" s="4" t="n">
        <f aca="false">IF(A886=A885,P885+1-M885,0)</f>
        <v>4</v>
      </c>
    </row>
    <row r="887" customFormat="false" ht="15" hidden="false" customHeight="false" outlineLevel="0" collapsed="false">
      <c r="A887" s="28" t="s">
        <v>4023</v>
      </c>
      <c r="B887" s="28" t="s">
        <v>51</v>
      </c>
      <c r="C887" s="28" t="s">
        <v>84</v>
      </c>
      <c r="D887" s="28" t="s">
        <v>4024</v>
      </c>
      <c r="E887" s="4" t="n">
        <v>6</v>
      </c>
      <c r="F887" s="4" t="s">
        <v>213</v>
      </c>
      <c r="G887" s="4" t="s">
        <v>2943</v>
      </c>
      <c r="H887" s="4" t="n">
        <v>2010</v>
      </c>
      <c r="I887" s="4" t="s">
        <v>1401</v>
      </c>
      <c r="J887" s="25" t="str">
        <f aca="false">IF(M887=1,"✓","")</f>
        <v/>
      </c>
      <c r="K887" s="4" t="str">
        <f aca="false">IF(AND(M887=0,P887=0),"▶ NEXT","")</f>
        <v/>
      </c>
      <c r="L887" s="4" t="n">
        <f aca="false">INDEX('Master List'!$F$2:$F$2594,O887)</f>
        <v>1</v>
      </c>
      <c r="M887" s="4" t="n">
        <f aca="false">INDEX('Master List'!$G$2:$G$2594,O887)</f>
        <v>0</v>
      </c>
      <c r="N887" s="4" t="str">
        <f aca="false">IF(K887="","",A887)</f>
        <v/>
      </c>
      <c r="O887" s="4" t="n">
        <v>1107</v>
      </c>
      <c r="P887" s="4" t="n">
        <f aca="false">IF(A887=A886,P886+1-M886,0)</f>
        <v>5</v>
      </c>
    </row>
    <row r="888" customFormat="false" ht="15" hidden="false" customHeight="false" outlineLevel="0" collapsed="false">
      <c r="A888" s="28" t="s">
        <v>4023</v>
      </c>
      <c r="B888" s="28" t="s">
        <v>51</v>
      </c>
      <c r="C888" s="28" t="s">
        <v>84</v>
      </c>
      <c r="D888" s="28" t="s">
        <v>4024</v>
      </c>
      <c r="E888" s="4" t="n">
        <v>7</v>
      </c>
      <c r="F888" s="4" t="s">
        <v>213</v>
      </c>
      <c r="G888" s="4" t="s">
        <v>2944</v>
      </c>
      <c r="H888" s="4" t="n">
        <v>2010</v>
      </c>
      <c r="I888" s="4" t="s">
        <v>861</v>
      </c>
      <c r="J888" s="25" t="str">
        <f aca="false">IF(M888=1,"✓","")</f>
        <v/>
      </c>
      <c r="K888" s="4" t="str">
        <f aca="false">IF(AND(M888=0,P888=0),"▶ NEXT","")</f>
        <v/>
      </c>
      <c r="L888" s="4" t="n">
        <f aca="false">INDEX('Master List'!$F$2:$F$2594,O888)</f>
        <v>1</v>
      </c>
      <c r="M888" s="4" t="n">
        <f aca="false">INDEX('Master List'!$G$2:$G$2594,O888)</f>
        <v>0</v>
      </c>
      <c r="N888" s="4" t="str">
        <f aca="false">IF(K888="","",A888)</f>
        <v/>
      </c>
      <c r="O888" s="4" t="n">
        <v>2567</v>
      </c>
      <c r="P888" s="4" t="n">
        <f aca="false">IF(A888=A887,P887+1-M887,0)</f>
        <v>6</v>
      </c>
    </row>
    <row r="889" customFormat="false" ht="15" hidden="false" customHeight="false" outlineLevel="0" collapsed="false">
      <c r="A889" s="28" t="s">
        <v>4023</v>
      </c>
      <c r="B889" s="28" t="s">
        <v>51</v>
      </c>
      <c r="C889" s="28" t="s">
        <v>84</v>
      </c>
      <c r="D889" s="28" t="s">
        <v>4024</v>
      </c>
      <c r="E889" s="4" t="n">
        <v>8</v>
      </c>
      <c r="F889" s="4" t="s">
        <v>213</v>
      </c>
      <c r="G889" s="4" t="s">
        <v>1227</v>
      </c>
      <c r="H889" s="4" t="n">
        <v>2016</v>
      </c>
      <c r="I889" s="4" t="s">
        <v>861</v>
      </c>
      <c r="J889" s="25" t="str">
        <f aca="false">IF(M889=1,"✓","")</f>
        <v/>
      </c>
      <c r="K889" s="4" t="str">
        <f aca="false">IF(AND(M889=0,P889=0),"▶ NEXT","")</f>
        <v/>
      </c>
      <c r="L889" s="4" t="n">
        <f aca="false">INDEX('Master List'!$F$2:$F$2594,O889)</f>
        <v>2</v>
      </c>
      <c r="M889" s="4" t="n">
        <f aca="false">INDEX('Master List'!$G$2:$G$2594,O889)</f>
        <v>0</v>
      </c>
      <c r="N889" s="4" t="str">
        <f aca="false">IF(K889="","",A889)</f>
        <v/>
      </c>
      <c r="O889" s="4" t="n">
        <v>2450</v>
      </c>
      <c r="P889" s="4" t="n">
        <f aca="false">IF(A889=A888,P888+1-M888,0)</f>
        <v>7</v>
      </c>
    </row>
    <row r="890" customFormat="false" ht="15" hidden="false" customHeight="false" outlineLevel="0" collapsed="false">
      <c r="A890" s="28" t="s">
        <v>4023</v>
      </c>
      <c r="B890" s="28" t="s">
        <v>51</v>
      </c>
      <c r="C890" s="28" t="s">
        <v>84</v>
      </c>
      <c r="D890" s="28" t="s">
        <v>4024</v>
      </c>
      <c r="E890" s="4" t="n">
        <v>9</v>
      </c>
      <c r="F890" s="4" t="s">
        <v>213</v>
      </c>
      <c r="G890" s="4" t="s">
        <v>1228</v>
      </c>
      <c r="H890" s="4" t="n">
        <v>2016</v>
      </c>
      <c r="I890" s="4" t="s">
        <v>685</v>
      </c>
      <c r="J890" s="25" t="str">
        <f aca="false">IF(M890=1,"✓","")</f>
        <v/>
      </c>
      <c r="K890" s="4" t="str">
        <f aca="false">IF(AND(M890=0,P890=0),"▶ NEXT","")</f>
        <v/>
      </c>
      <c r="L890" s="4" t="n">
        <f aca="false">INDEX('Master List'!$F$2:$F$2594,O890)</f>
        <v>2</v>
      </c>
      <c r="M890" s="4" t="n">
        <f aca="false">INDEX('Master List'!$G$2:$G$2594,O890)</f>
        <v>0</v>
      </c>
      <c r="N890" s="4" t="str">
        <f aca="false">IF(K890="","",A890)</f>
        <v/>
      </c>
      <c r="O890" s="4" t="n">
        <v>983</v>
      </c>
      <c r="P890" s="4" t="n">
        <f aca="false">IF(A890=A889,P889+1-M889,0)</f>
        <v>8</v>
      </c>
    </row>
    <row r="891" customFormat="false" ht="15" hidden="false" customHeight="false" outlineLevel="0" collapsed="false">
      <c r="A891" s="28" t="s">
        <v>4023</v>
      </c>
      <c r="B891" s="28" t="s">
        <v>51</v>
      </c>
      <c r="C891" s="28" t="s">
        <v>84</v>
      </c>
      <c r="D891" s="28" t="s">
        <v>4024</v>
      </c>
      <c r="E891" s="4" t="n">
        <v>10</v>
      </c>
      <c r="F891" s="4" t="s">
        <v>213</v>
      </c>
      <c r="G891" s="4" t="s">
        <v>1242</v>
      </c>
      <c r="H891" s="4" t="n">
        <v>2018</v>
      </c>
      <c r="I891" s="4" t="s">
        <v>1243</v>
      </c>
      <c r="J891" s="25" t="str">
        <f aca="false">IF(M891=1,"✓","")</f>
        <v/>
      </c>
      <c r="K891" s="4" t="str">
        <f aca="false">IF(AND(M891=0,P891=0),"▶ NEXT","")</f>
        <v/>
      </c>
      <c r="L891" s="4" t="n">
        <f aca="false">INDEX('Master List'!$F$2:$F$2594,O891)</f>
        <v>2</v>
      </c>
      <c r="M891" s="4" t="n">
        <f aca="false">INDEX('Master List'!$G$2:$G$2594,O891)</f>
        <v>0</v>
      </c>
      <c r="N891" s="4" t="str">
        <f aca="false">IF(K891="","",A891)</f>
        <v/>
      </c>
      <c r="O891" s="4" t="n">
        <v>371</v>
      </c>
      <c r="P891" s="4" t="n">
        <f aca="false">IF(A891=A890,P890+1-M890,0)</f>
        <v>9</v>
      </c>
    </row>
    <row r="892" customFormat="false" ht="15" hidden="false" customHeight="false" outlineLevel="0" collapsed="false">
      <c r="A892" s="28" t="s">
        <v>4023</v>
      </c>
      <c r="B892" s="28" t="s">
        <v>51</v>
      </c>
      <c r="C892" s="28" t="s">
        <v>84</v>
      </c>
      <c r="D892" s="28" t="s">
        <v>4024</v>
      </c>
      <c r="E892" s="4" t="n">
        <v>11</v>
      </c>
      <c r="F892" s="4" t="s">
        <v>213</v>
      </c>
      <c r="G892" s="4" t="s">
        <v>1263</v>
      </c>
      <c r="H892" s="4" t="n">
        <v>2022</v>
      </c>
      <c r="I892" s="4" t="s">
        <v>685</v>
      </c>
      <c r="J892" s="25" t="str">
        <f aca="false">IF(M892=1,"✓","")</f>
        <v/>
      </c>
      <c r="K892" s="4" t="str">
        <f aca="false">IF(AND(M892=0,P892=0),"▶ NEXT","")</f>
        <v/>
      </c>
      <c r="L892" s="4" t="n">
        <f aca="false">INDEX('Master List'!$F$2:$F$2594,O892)</f>
        <v>2</v>
      </c>
      <c r="M892" s="4" t="n">
        <f aca="false">INDEX('Master List'!$G$2:$G$2594,O892)</f>
        <v>0</v>
      </c>
      <c r="N892" s="4" t="str">
        <f aca="false">IF(K892="","",A892)</f>
        <v/>
      </c>
      <c r="O892" s="4" t="n">
        <v>600</v>
      </c>
      <c r="P892" s="4" t="n">
        <f aca="false">IF(A892=A891,P891+1-M891,0)</f>
        <v>10</v>
      </c>
    </row>
    <row r="893" customFormat="false" ht="15" hidden="false" customHeight="false" outlineLevel="0" collapsed="false">
      <c r="A893" s="28" t="s">
        <v>4023</v>
      </c>
      <c r="B893" s="28" t="s">
        <v>51</v>
      </c>
      <c r="C893" s="28" t="s">
        <v>84</v>
      </c>
      <c r="D893" s="28" t="s">
        <v>4024</v>
      </c>
      <c r="E893" s="4" t="n">
        <v>12</v>
      </c>
      <c r="F893" s="4" t="s">
        <v>1327</v>
      </c>
      <c r="G893" s="4" t="s">
        <v>1400</v>
      </c>
      <c r="H893" s="4" t="n">
        <v>2003</v>
      </c>
      <c r="I893" s="4" t="s">
        <v>1401</v>
      </c>
      <c r="J893" s="25" t="str">
        <f aca="false">IF(M893=1,"✓","")</f>
        <v/>
      </c>
      <c r="K893" s="4" t="str">
        <f aca="false">IF(AND(M893=0,P893=0),"▶ NEXT","")</f>
        <v/>
      </c>
      <c r="L893" s="4" t="n">
        <f aca="false">INDEX('Master List'!$F$2:$F$2594,O893)</f>
        <v>2</v>
      </c>
      <c r="M893" s="4" t="n">
        <f aca="false">INDEX('Master List'!$G$2:$G$2594,O893)</f>
        <v>0</v>
      </c>
      <c r="N893" s="4" t="str">
        <f aca="false">IF(K893="","",A893)</f>
        <v/>
      </c>
      <c r="O893" s="4" t="n">
        <v>2234</v>
      </c>
      <c r="P893" s="4" t="n">
        <f aca="false">IF(A893=A892,P892+1-M892,0)</f>
        <v>11</v>
      </c>
    </row>
    <row r="894" customFormat="false" ht="15" hidden="false" customHeight="false" outlineLevel="0" collapsed="false">
      <c r="A894" s="28" t="s">
        <v>4023</v>
      </c>
      <c r="B894" s="28" t="s">
        <v>51</v>
      </c>
      <c r="C894" s="28" t="s">
        <v>84</v>
      </c>
      <c r="D894" s="28" t="s">
        <v>4024</v>
      </c>
      <c r="E894" s="4" t="n">
        <v>13</v>
      </c>
      <c r="F894" s="4" t="s">
        <v>1327</v>
      </c>
      <c r="G894" s="4" t="s">
        <v>3775</v>
      </c>
      <c r="H894" s="4" t="n">
        <v>2008</v>
      </c>
      <c r="I894" s="4" t="s">
        <v>1401</v>
      </c>
      <c r="J894" s="25" t="str">
        <f aca="false">IF(M894=1,"✓","")</f>
        <v/>
      </c>
      <c r="K894" s="4" t="str">
        <f aca="false">IF(AND(M894=0,P894=0),"▶ NEXT","")</f>
        <v/>
      </c>
      <c r="L894" s="4" t="n">
        <f aca="false">INDEX('Master List'!$F$2:$F$2594,O894)</f>
        <v>1</v>
      </c>
      <c r="M894" s="4" t="n">
        <f aca="false">INDEX('Master List'!$G$2:$G$2594,O894)</f>
        <v>0</v>
      </c>
      <c r="N894" s="4" t="str">
        <f aca="false">IF(K894="","",A894)</f>
        <v/>
      </c>
      <c r="O894" s="4" t="n">
        <v>929</v>
      </c>
      <c r="P894" s="4" t="n">
        <f aca="false">IF(A894=A893,P893+1-M893,0)</f>
        <v>12</v>
      </c>
    </row>
    <row r="895" customFormat="false" ht="15" hidden="false" customHeight="false" outlineLevel="0" collapsed="false">
      <c r="A895" s="28" t="s">
        <v>4025</v>
      </c>
      <c r="B895" s="28" t="s">
        <v>51</v>
      </c>
      <c r="C895" s="28" t="s">
        <v>85</v>
      </c>
      <c r="D895" s="28" t="s">
        <v>4026</v>
      </c>
      <c r="E895" s="4" t="n">
        <v>1</v>
      </c>
      <c r="F895" s="4" t="s">
        <v>144</v>
      </c>
      <c r="G895" s="7" t="s">
        <v>252</v>
      </c>
      <c r="H895" s="4" t="n">
        <v>1955</v>
      </c>
      <c r="I895" s="4" t="s">
        <v>253</v>
      </c>
      <c r="J895" s="25" t="str">
        <f aca="false">IF(M895=1,"✓","")</f>
        <v/>
      </c>
      <c r="K895" s="4" t="str">
        <f aca="false">IF(AND(M895=0,P895=0),"▶ NEXT","")</f>
        <v>▶ NEXT</v>
      </c>
      <c r="L895" s="4" t="n">
        <f aca="false">INDEX('Master List'!$F$2:$F$2594,O895)</f>
        <v>5</v>
      </c>
      <c r="M895" s="4" t="n">
        <f aca="false">INDEX('Master List'!$G$2:$G$2594,O895)</f>
        <v>0</v>
      </c>
      <c r="N895" s="4" t="str">
        <f aca="false">IF(K895="","",A895)</f>
        <v>N076</v>
      </c>
      <c r="O895" s="4" t="n">
        <v>1734</v>
      </c>
      <c r="P895" s="4" t="n">
        <f aca="false">IF(A895=A894,P894+1-M894,0)</f>
        <v>0</v>
      </c>
    </row>
    <row r="896" customFormat="false" ht="15" hidden="false" customHeight="false" outlineLevel="0" collapsed="false">
      <c r="A896" s="28" t="s">
        <v>4025</v>
      </c>
      <c r="B896" s="28" t="s">
        <v>51</v>
      </c>
      <c r="C896" s="28" t="s">
        <v>85</v>
      </c>
      <c r="D896" s="28" t="s">
        <v>4026</v>
      </c>
      <c r="E896" s="4" t="n">
        <v>2</v>
      </c>
      <c r="F896" s="4" t="s">
        <v>144</v>
      </c>
      <c r="G896" s="7" t="s">
        <v>769</v>
      </c>
      <c r="H896" s="4" t="n">
        <v>1964</v>
      </c>
      <c r="I896" s="4" t="s">
        <v>253</v>
      </c>
      <c r="J896" s="25" t="str">
        <f aca="false">IF(M896=1,"✓","")</f>
        <v/>
      </c>
      <c r="K896" s="4" t="str">
        <f aca="false">IF(AND(M896=0,P896=0),"▶ NEXT","")</f>
        <v/>
      </c>
      <c r="L896" s="4" t="n">
        <f aca="false">INDEX('Master List'!$F$2:$F$2594,O896)</f>
        <v>2</v>
      </c>
      <c r="M896" s="4" t="n">
        <f aca="false">INDEX('Master List'!$G$2:$G$2594,O896)</f>
        <v>0</v>
      </c>
      <c r="N896" s="4" t="str">
        <f aca="false">IF(K896="","",A896)</f>
        <v/>
      </c>
      <c r="O896" s="4" t="n">
        <v>432</v>
      </c>
      <c r="P896" s="4" t="n">
        <f aca="false">IF(A896=A895,P895+1-M895,0)</f>
        <v>1</v>
      </c>
    </row>
    <row r="897" customFormat="false" ht="15" hidden="false" customHeight="false" outlineLevel="0" collapsed="false">
      <c r="A897" s="28" t="s">
        <v>4025</v>
      </c>
      <c r="B897" s="28" t="s">
        <v>51</v>
      </c>
      <c r="C897" s="28" t="s">
        <v>85</v>
      </c>
      <c r="D897" s="28" t="s">
        <v>4026</v>
      </c>
      <c r="E897" s="4" t="n">
        <v>3</v>
      </c>
      <c r="F897" s="4" t="s">
        <v>213</v>
      </c>
      <c r="G897" s="4" t="s">
        <v>749</v>
      </c>
      <c r="H897" s="4" t="n">
        <v>1956</v>
      </c>
      <c r="I897" s="4" t="s">
        <v>253</v>
      </c>
      <c r="J897" s="25" t="str">
        <f aca="false">IF(M897=1,"✓","")</f>
        <v/>
      </c>
      <c r="K897" s="4" t="str">
        <f aca="false">IF(AND(M897=0,P897=0),"▶ NEXT","")</f>
        <v/>
      </c>
      <c r="L897" s="4" t="n">
        <f aca="false">INDEX('Master List'!$F$2:$F$2594,O897)</f>
        <v>2</v>
      </c>
      <c r="M897" s="4" t="n">
        <f aca="false">INDEX('Master List'!$G$2:$G$2594,O897)</f>
        <v>0</v>
      </c>
      <c r="N897" s="4" t="str">
        <f aca="false">IF(K897="","",A897)</f>
        <v/>
      </c>
      <c r="O897" s="4" t="n">
        <v>119</v>
      </c>
      <c r="P897" s="4" t="n">
        <f aca="false">IF(A897=A896,P896+1-M896,0)</f>
        <v>2</v>
      </c>
    </row>
    <row r="898" customFormat="false" ht="15" hidden="false" customHeight="false" outlineLevel="0" collapsed="false">
      <c r="A898" s="28" t="s">
        <v>4025</v>
      </c>
      <c r="B898" s="28" t="s">
        <v>51</v>
      </c>
      <c r="C898" s="28" t="s">
        <v>85</v>
      </c>
      <c r="D898" s="28" t="s">
        <v>4026</v>
      </c>
      <c r="E898" s="4" t="n">
        <v>4</v>
      </c>
      <c r="F898" s="4" t="s">
        <v>213</v>
      </c>
      <c r="G898" s="4" t="s">
        <v>756</v>
      </c>
      <c r="H898" s="4" t="n">
        <v>1959</v>
      </c>
      <c r="I898" s="4" t="s">
        <v>253</v>
      </c>
      <c r="J898" s="25" t="str">
        <f aca="false">IF(M898=1,"✓","")</f>
        <v/>
      </c>
      <c r="K898" s="4" t="str">
        <f aca="false">IF(AND(M898=0,P898=0),"▶ NEXT","")</f>
        <v/>
      </c>
      <c r="L898" s="4" t="n">
        <f aca="false">INDEX('Master List'!$F$2:$F$2594,O898)</f>
        <v>2</v>
      </c>
      <c r="M898" s="4" t="n">
        <f aca="false">INDEX('Master List'!$G$2:$G$2594,O898)</f>
        <v>0</v>
      </c>
      <c r="N898" s="4" t="str">
        <f aca="false">IF(K898="","",A898)</f>
        <v/>
      </c>
      <c r="O898" s="4" t="n">
        <v>2554</v>
      </c>
      <c r="P898" s="4" t="n">
        <f aca="false">IF(A898=A897,P897+1-M897,0)</f>
        <v>3</v>
      </c>
    </row>
    <row r="899" customFormat="false" ht="15" hidden="false" customHeight="false" outlineLevel="0" collapsed="false">
      <c r="A899" s="28" t="s">
        <v>4025</v>
      </c>
      <c r="B899" s="28" t="s">
        <v>51</v>
      </c>
      <c r="C899" s="28" t="s">
        <v>85</v>
      </c>
      <c r="D899" s="28" t="s">
        <v>4026</v>
      </c>
      <c r="E899" s="4" t="n">
        <v>5</v>
      </c>
      <c r="F899" s="4" t="s">
        <v>213</v>
      </c>
      <c r="G899" s="4" t="s">
        <v>948</v>
      </c>
      <c r="H899" s="4" t="n">
        <v>1958</v>
      </c>
      <c r="I899" s="4" t="s">
        <v>253</v>
      </c>
      <c r="J899" s="25" t="str">
        <f aca="false">IF(M899=1,"✓","")</f>
        <v/>
      </c>
      <c r="K899" s="4" t="str">
        <f aca="false">IF(AND(M899=0,P899=0),"▶ NEXT","")</f>
        <v/>
      </c>
      <c r="L899" s="4" t="n">
        <f aca="false">INDEX('Master List'!$F$2:$F$2594,O899)</f>
        <v>2</v>
      </c>
      <c r="M899" s="4" t="n">
        <f aca="false">INDEX('Master List'!$G$2:$G$2594,O899)</f>
        <v>0</v>
      </c>
      <c r="N899" s="4" t="str">
        <f aca="false">IF(K899="","",A899)</f>
        <v/>
      </c>
      <c r="O899" s="4" t="n">
        <v>1562</v>
      </c>
      <c r="P899" s="4" t="n">
        <f aca="false">IF(A899=A898,P898+1-M898,0)</f>
        <v>4</v>
      </c>
    </row>
    <row r="900" customFormat="false" ht="15" hidden="false" customHeight="false" outlineLevel="0" collapsed="false">
      <c r="A900" s="28" t="s">
        <v>4025</v>
      </c>
      <c r="B900" s="28" t="s">
        <v>51</v>
      </c>
      <c r="C900" s="28" t="s">
        <v>85</v>
      </c>
      <c r="D900" s="28" t="s">
        <v>4026</v>
      </c>
      <c r="E900" s="4" t="n">
        <v>6</v>
      </c>
      <c r="F900" s="4" t="s">
        <v>213</v>
      </c>
      <c r="G900" s="4" t="s">
        <v>1974</v>
      </c>
      <c r="H900" s="4" t="n">
        <v>1960</v>
      </c>
      <c r="I900" s="4" t="s">
        <v>1975</v>
      </c>
      <c r="J900" s="25" t="str">
        <f aca="false">IF(M900=1,"✓","")</f>
        <v/>
      </c>
      <c r="K900" s="4" t="str">
        <f aca="false">IF(AND(M900=0,P900=0),"▶ NEXT","")</f>
        <v/>
      </c>
      <c r="L900" s="4" t="n">
        <f aca="false">INDEX('Master List'!$F$2:$F$2594,O900)</f>
        <v>1</v>
      </c>
      <c r="M900" s="4" t="n">
        <f aca="false">INDEX('Master List'!$G$2:$G$2594,O900)</f>
        <v>0</v>
      </c>
      <c r="N900" s="4" t="str">
        <f aca="false">IF(K900="","",A900)</f>
        <v/>
      </c>
      <c r="O900" s="4" t="n">
        <v>485</v>
      </c>
      <c r="P900" s="4" t="n">
        <f aca="false">IF(A900=A899,P899+1-M899,0)</f>
        <v>5</v>
      </c>
    </row>
    <row r="901" customFormat="false" ht="15" hidden="false" customHeight="false" outlineLevel="0" collapsed="false">
      <c r="A901" s="28" t="s">
        <v>4025</v>
      </c>
      <c r="B901" s="28" t="s">
        <v>51</v>
      </c>
      <c r="C901" s="28" t="s">
        <v>85</v>
      </c>
      <c r="D901" s="28" t="s">
        <v>4026</v>
      </c>
      <c r="E901" s="4" t="n">
        <v>7</v>
      </c>
      <c r="F901" s="4" t="s">
        <v>213</v>
      </c>
      <c r="G901" s="4" t="s">
        <v>1008</v>
      </c>
      <c r="H901" s="4" t="n">
        <v>1970</v>
      </c>
      <c r="I901" s="4" t="s">
        <v>253</v>
      </c>
      <c r="J901" s="25" t="str">
        <f aca="false">IF(M901=1,"✓","")</f>
        <v/>
      </c>
      <c r="K901" s="4" t="str">
        <f aca="false">IF(AND(M901=0,P901=0),"▶ NEXT","")</f>
        <v/>
      </c>
      <c r="L901" s="4" t="n">
        <f aca="false">INDEX('Master List'!$F$2:$F$2594,O901)</f>
        <v>2</v>
      </c>
      <c r="M901" s="4" t="n">
        <f aca="false">INDEX('Master List'!$G$2:$G$2594,O901)</f>
        <v>0</v>
      </c>
      <c r="N901" s="4" t="str">
        <f aca="false">IF(K901="","",A901)</f>
        <v/>
      </c>
      <c r="O901" s="4" t="n">
        <v>578</v>
      </c>
      <c r="P901" s="4" t="n">
        <f aca="false">IF(A901=A900,P900+1-M900,0)</f>
        <v>6</v>
      </c>
    </row>
    <row r="902" customFormat="false" ht="15" hidden="false" customHeight="false" outlineLevel="0" collapsed="false">
      <c r="A902" s="28" t="s">
        <v>4025</v>
      </c>
      <c r="B902" s="28" t="s">
        <v>51</v>
      </c>
      <c r="C902" s="28" t="s">
        <v>85</v>
      </c>
      <c r="D902" s="28" t="s">
        <v>4026</v>
      </c>
      <c r="E902" s="4" t="n">
        <v>8</v>
      </c>
      <c r="F902" s="4" t="s">
        <v>213</v>
      </c>
      <c r="G902" s="4" t="s">
        <v>2240</v>
      </c>
      <c r="H902" s="4" t="n">
        <v>1974</v>
      </c>
      <c r="I902" s="4" t="s">
        <v>2241</v>
      </c>
      <c r="J902" s="25" t="str">
        <f aca="false">IF(M902=1,"✓","")</f>
        <v/>
      </c>
      <c r="K902" s="4" t="str">
        <f aca="false">IF(AND(M902=0,P902=0),"▶ NEXT","")</f>
        <v/>
      </c>
      <c r="L902" s="4" t="n">
        <f aca="false">INDEX('Master List'!$F$2:$F$2594,O902)</f>
        <v>1</v>
      </c>
      <c r="M902" s="4" t="n">
        <f aca="false">INDEX('Master List'!$G$2:$G$2594,O902)</f>
        <v>0</v>
      </c>
      <c r="N902" s="4" t="str">
        <f aca="false">IF(K902="","",A902)</f>
        <v/>
      </c>
      <c r="O902" s="4" t="n">
        <v>110</v>
      </c>
      <c r="P902" s="4" t="n">
        <f aca="false">IF(A902=A901,P901+1-M901,0)</f>
        <v>7</v>
      </c>
    </row>
    <row r="903" customFormat="false" ht="15" hidden="false" customHeight="false" outlineLevel="0" collapsed="false">
      <c r="A903" s="28" t="s">
        <v>4025</v>
      </c>
      <c r="B903" s="28" t="s">
        <v>51</v>
      </c>
      <c r="C903" s="28" t="s">
        <v>85</v>
      </c>
      <c r="D903" s="28" t="s">
        <v>4026</v>
      </c>
      <c r="E903" s="4" t="n">
        <v>9</v>
      </c>
      <c r="F903" s="4" t="s">
        <v>213</v>
      </c>
      <c r="G903" s="4" t="s">
        <v>2219</v>
      </c>
      <c r="H903" s="4" t="n">
        <v>1973</v>
      </c>
      <c r="I903" s="4" t="s">
        <v>2220</v>
      </c>
      <c r="J903" s="25" t="str">
        <f aca="false">IF(M903=1,"✓","")</f>
        <v/>
      </c>
      <c r="K903" s="4" t="str">
        <f aca="false">IF(AND(M903=0,P903=0),"▶ NEXT","")</f>
        <v/>
      </c>
      <c r="L903" s="4" t="n">
        <f aca="false">INDEX('Master List'!$F$2:$F$2594,O903)</f>
        <v>1</v>
      </c>
      <c r="M903" s="4" t="n">
        <f aca="false">INDEX('Master List'!$G$2:$G$2594,O903)</f>
        <v>0</v>
      </c>
      <c r="N903" s="4" t="str">
        <f aca="false">IF(K903="","",A903)</f>
        <v/>
      </c>
      <c r="O903" s="4" t="n">
        <v>878</v>
      </c>
      <c r="P903" s="4" t="n">
        <f aca="false">IF(A903=A902,P902+1-M902,0)</f>
        <v>8</v>
      </c>
    </row>
    <row r="904" customFormat="false" ht="15" hidden="false" customHeight="false" outlineLevel="0" collapsed="false">
      <c r="A904" s="28" t="s">
        <v>4025</v>
      </c>
      <c r="B904" s="28" t="s">
        <v>51</v>
      </c>
      <c r="C904" s="28" t="s">
        <v>85</v>
      </c>
      <c r="D904" s="28" t="s">
        <v>4026</v>
      </c>
      <c r="E904" s="4" t="n">
        <v>10</v>
      </c>
      <c r="F904" s="4" t="s">
        <v>1327</v>
      </c>
      <c r="G904" s="4" t="s">
        <v>3561</v>
      </c>
      <c r="H904" s="4" t="n">
        <v>1977</v>
      </c>
      <c r="I904" s="4" t="s">
        <v>253</v>
      </c>
      <c r="J904" s="25" t="str">
        <f aca="false">IF(M904=1,"✓","")</f>
        <v/>
      </c>
      <c r="K904" s="4" t="str">
        <f aca="false">IF(AND(M904=0,P904=0),"▶ NEXT","")</f>
        <v/>
      </c>
      <c r="L904" s="4" t="n">
        <f aca="false">INDEX('Master List'!$F$2:$F$2594,O904)</f>
        <v>1</v>
      </c>
      <c r="M904" s="4" t="n">
        <f aca="false">INDEX('Master List'!$G$2:$G$2594,O904)</f>
        <v>0</v>
      </c>
      <c r="N904" s="4" t="str">
        <f aca="false">IF(K904="","",A904)</f>
        <v/>
      </c>
      <c r="O904" s="4" t="n">
        <v>438</v>
      </c>
      <c r="P904" s="4" t="n">
        <f aca="false">IF(A904=A903,P903+1-M903,0)</f>
        <v>9</v>
      </c>
    </row>
    <row r="905" customFormat="false" ht="15" hidden="false" customHeight="false" outlineLevel="0" collapsed="false">
      <c r="A905" s="28" t="s">
        <v>4025</v>
      </c>
      <c r="B905" s="28" t="s">
        <v>51</v>
      </c>
      <c r="C905" s="28" t="s">
        <v>85</v>
      </c>
      <c r="D905" s="28" t="s">
        <v>4026</v>
      </c>
      <c r="E905" s="4" t="n">
        <v>11</v>
      </c>
      <c r="F905" s="4" t="s">
        <v>1327</v>
      </c>
      <c r="G905" s="4" t="s">
        <v>3604</v>
      </c>
      <c r="H905" s="4" t="n">
        <v>1982</v>
      </c>
      <c r="I905" s="4" t="s">
        <v>3605</v>
      </c>
      <c r="J905" s="25" t="str">
        <f aca="false">IF(M905=1,"✓","")</f>
        <v/>
      </c>
      <c r="K905" s="4" t="str">
        <f aca="false">IF(AND(M905=0,P905=0),"▶ NEXT","")</f>
        <v/>
      </c>
      <c r="L905" s="4" t="n">
        <f aca="false">INDEX('Master List'!$F$2:$F$2594,O905)</f>
        <v>1</v>
      </c>
      <c r="M905" s="4" t="n">
        <f aca="false">INDEX('Master List'!$G$2:$G$2594,O905)</f>
        <v>0</v>
      </c>
      <c r="N905" s="4" t="str">
        <f aca="false">IF(K905="","",A905)</f>
        <v/>
      </c>
      <c r="O905" s="4" t="n">
        <v>721</v>
      </c>
      <c r="P905" s="4" t="n">
        <f aca="false">IF(A905=A904,P904+1-M904,0)</f>
        <v>10</v>
      </c>
    </row>
    <row r="906" customFormat="false" ht="15" hidden="false" customHeight="false" outlineLevel="0" collapsed="false">
      <c r="A906" s="28" t="s">
        <v>4025</v>
      </c>
      <c r="B906" s="28" t="s">
        <v>51</v>
      </c>
      <c r="C906" s="28" t="s">
        <v>85</v>
      </c>
      <c r="D906" s="28" t="s">
        <v>4026</v>
      </c>
      <c r="E906" s="4" t="n">
        <v>12</v>
      </c>
      <c r="F906" s="4" t="s">
        <v>1327</v>
      </c>
      <c r="G906" s="4" t="s">
        <v>3461</v>
      </c>
      <c r="H906" s="4" t="n">
        <v>1969</v>
      </c>
      <c r="I906" s="4" t="s">
        <v>3462</v>
      </c>
      <c r="J906" s="25" t="str">
        <f aca="false">IF(M906=1,"✓","")</f>
        <v/>
      </c>
      <c r="K906" s="4" t="str">
        <f aca="false">IF(AND(M906=0,P906=0),"▶ NEXT","")</f>
        <v/>
      </c>
      <c r="L906" s="4" t="n">
        <f aca="false">INDEX('Master List'!$F$2:$F$2594,O906)</f>
        <v>1</v>
      </c>
      <c r="M906" s="4" t="n">
        <f aca="false">INDEX('Master List'!$G$2:$G$2594,O906)</f>
        <v>0</v>
      </c>
      <c r="N906" s="4" t="str">
        <f aca="false">IF(K906="","",A906)</f>
        <v/>
      </c>
      <c r="O906" s="4" t="n">
        <v>237</v>
      </c>
      <c r="P906" s="4" t="n">
        <f aca="false">IF(A906=A905,P905+1-M905,0)</f>
        <v>11</v>
      </c>
    </row>
    <row r="907" customFormat="false" ht="15" hidden="false" customHeight="false" outlineLevel="0" collapsed="false">
      <c r="A907" s="28" t="s">
        <v>4027</v>
      </c>
      <c r="B907" s="28" t="s">
        <v>51</v>
      </c>
      <c r="C907" s="28" t="s">
        <v>85</v>
      </c>
      <c r="D907" s="28" t="s">
        <v>4028</v>
      </c>
      <c r="E907" s="4" t="n">
        <v>1</v>
      </c>
      <c r="F907" s="4" t="s">
        <v>144</v>
      </c>
      <c r="G907" s="7" t="s">
        <v>1448</v>
      </c>
      <c r="H907" s="4" t="n">
        <v>1957</v>
      </c>
      <c r="I907" s="4" t="s">
        <v>1449</v>
      </c>
      <c r="J907" s="25" t="str">
        <f aca="false">IF(M907=1,"✓","")</f>
        <v/>
      </c>
      <c r="K907" s="4" t="str">
        <f aca="false">IF(AND(M907=0,P907=0),"▶ NEXT","")</f>
        <v>▶ NEXT</v>
      </c>
      <c r="L907" s="4" t="n">
        <f aca="false">INDEX('Master List'!$F$2:$F$2594,O907)</f>
        <v>1</v>
      </c>
      <c r="M907" s="4" t="n">
        <f aca="false">INDEX('Master List'!$G$2:$G$2594,O907)</f>
        <v>0</v>
      </c>
      <c r="N907" s="4" t="str">
        <f aca="false">IF(K907="","",A907)</f>
        <v>N077</v>
      </c>
      <c r="O907" s="4" t="n">
        <v>1836</v>
      </c>
      <c r="P907" s="4" t="n">
        <f aca="false">IF(A907=A906,P906+1-M906,0)</f>
        <v>0</v>
      </c>
    </row>
    <row r="908" customFormat="false" ht="15" hidden="false" customHeight="false" outlineLevel="0" collapsed="false">
      <c r="A908" s="28" t="s">
        <v>4027</v>
      </c>
      <c r="B908" s="28" t="s">
        <v>51</v>
      </c>
      <c r="C908" s="28" t="s">
        <v>85</v>
      </c>
      <c r="D908" s="28" t="s">
        <v>4028</v>
      </c>
      <c r="E908" s="4" t="n">
        <v>2</v>
      </c>
      <c r="F908" s="4" t="s">
        <v>144</v>
      </c>
      <c r="G908" s="7" t="s">
        <v>1504</v>
      </c>
      <c r="H908" s="4" t="n">
        <v>1975</v>
      </c>
      <c r="I908" s="4" t="s">
        <v>1505</v>
      </c>
      <c r="J908" s="25" t="str">
        <f aca="false">IF(M908=1,"✓","")</f>
        <v/>
      </c>
      <c r="K908" s="4" t="str">
        <f aca="false">IF(AND(M908=0,P908=0),"▶ NEXT","")</f>
        <v/>
      </c>
      <c r="L908" s="4" t="n">
        <f aca="false">INDEX('Master List'!$F$2:$F$2594,O908)</f>
        <v>1</v>
      </c>
      <c r="M908" s="4" t="n">
        <f aca="false">INDEX('Master List'!$G$2:$G$2594,O908)</f>
        <v>0</v>
      </c>
      <c r="N908" s="4" t="str">
        <f aca="false">IF(K908="","",A908)</f>
        <v/>
      </c>
      <c r="O908" s="4" t="n">
        <v>2051</v>
      </c>
      <c r="P908" s="4" t="n">
        <f aca="false">IF(A908=A907,P907+1-M907,0)</f>
        <v>1</v>
      </c>
    </row>
    <row r="909" customFormat="false" ht="15" hidden="false" customHeight="false" outlineLevel="0" collapsed="false">
      <c r="A909" s="28" t="s">
        <v>4027</v>
      </c>
      <c r="B909" s="28" t="s">
        <v>51</v>
      </c>
      <c r="C909" s="28" t="s">
        <v>85</v>
      </c>
      <c r="D909" s="28" t="s">
        <v>4028</v>
      </c>
      <c r="E909" s="4" t="n">
        <v>3</v>
      </c>
      <c r="F909" s="4" t="s">
        <v>213</v>
      </c>
      <c r="G909" s="4" t="s">
        <v>1939</v>
      </c>
      <c r="H909" s="4" t="n">
        <v>1957</v>
      </c>
      <c r="I909" s="4" t="s">
        <v>1940</v>
      </c>
      <c r="J909" s="25" t="str">
        <f aca="false">IF(M909=1,"✓","")</f>
        <v/>
      </c>
      <c r="K909" s="4" t="str">
        <f aca="false">IF(AND(M909=0,P909=0),"▶ NEXT","")</f>
        <v/>
      </c>
      <c r="L909" s="4" t="n">
        <f aca="false">INDEX('Master List'!$F$2:$F$2594,O909)</f>
        <v>1</v>
      </c>
      <c r="M909" s="4" t="n">
        <f aca="false">INDEX('Master List'!$G$2:$G$2594,O909)</f>
        <v>0</v>
      </c>
      <c r="N909" s="4" t="str">
        <f aca="false">IF(K909="","",A909)</f>
        <v/>
      </c>
      <c r="O909" s="4" t="n">
        <v>1539</v>
      </c>
      <c r="P909" s="4" t="n">
        <f aca="false">IF(A909=A908,P908+1-M908,0)</f>
        <v>2</v>
      </c>
    </row>
    <row r="910" customFormat="false" ht="15" hidden="false" customHeight="false" outlineLevel="0" collapsed="false">
      <c r="A910" s="28" t="s">
        <v>4027</v>
      </c>
      <c r="B910" s="28" t="s">
        <v>51</v>
      </c>
      <c r="C910" s="28" t="s">
        <v>85</v>
      </c>
      <c r="D910" s="28" t="s">
        <v>4028</v>
      </c>
      <c r="E910" s="4" t="n">
        <v>4</v>
      </c>
      <c r="F910" s="4" t="s">
        <v>213</v>
      </c>
      <c r="G910" s="4" t="s">
        <v>1961</v>
      </c>
      <c r="H910" s="4" t="n">
        <v>1959</v>
      </c>
      <c r="I910" s="4" t="s">
        <v>1449</v>
      </c>
      <c r="J910" s="25" t="str">
        <f aca="false">IF(M910=1,"✓","")</f>
        <v/>
      </c>
      <c r="K910" s="4" t="str">
        <f aca="false">IF(AND(M910=0,P910=0),"▶ NEXT","")</f>
        <v/>
      </c>
      <c r="L910" s="4" t="n">
        <f aca="false">INDEX('Master List'!$F$2:$F$2594,O910)</f>
        <v>1</v>
      </c>
      <c r="M910" s="4" t="n">
        <f aca="false">INDEX('Master List'!$G$2:$G$2594,O910)</f>
        <v>0</v>
      </c>
      <c r="N910" s="4" t="str">
        <f aca="false">IF(K910="","",A910)</f>
        <v/>
      </c>
      <c r="O910" s="4" t="n">
        <v>1228</v>
      </c>
      <c r="P910" s="4" t="n">
        <f aca="false">IF(A910=A909,P909+1-M909,0)</f>
        <v>3</v>
      </c>
    </row>
    <row r="911" customFormat="false" ht="15" hidden="false" customHeight="false" outlineLevel="0" collapsed="false">
      <c r="A911" s="28" t="s">
        <v>4027</v>
      </c>
      <c r="B911" s="28" t="s">
        <v>51</v>
      </c>
      <c r="C911" s="28" t="s">
        <v>85</v>
      </c>
      <c r="D911" s="28" t="s">
        <v>4028</v>
      </c>
      <c r="E911" s="4" t="n">
        <v>5</v>
      </c>
      <c r="F911" s="4" t="s">
        <v>213</v>
      </c>
      <c r="G911" s="4" t="s">
        <v>1976</v>
      </c>
      <c r="H911" s="4" t="n">
        <v>1960</v>
      </c>
      <c r="I911" s="4" t="s">
        <v>1977</v>
      </c>
      <c r="J911" s="25" t="str">
        <f aca="false">IF(M911=1,"✓","")</f>
        <v/>
      </c>
      <c r="K911" s="4" t="str">
        <f aca="false">IF(AND(M911=0,P911=0),"▶ NEXT","")</f>
        <v/>
      </c>
      <c r="L911" s="4" t="n">
        <f aca="false">INDEX('Master List'!$F$2:$F$2594,O911)</f>
        <v>1</v>
      </c>
      <c r="M911" s="4" t="n">
        <f aca="false">INDEX('Master List'!$G$2:$G$2594,O911)</f>
        <v>0</v>
      </c>
      <c r="N911" s="4" t="str">
        <f aca="false">IF(K911="","",A911)</f>
        <v/>
      </c>
      <c r="O911" s="4" t="n">
        <v>1554</v>
      </c>
      <c r="P911" s="4" t="n">
        <f aca="false">IF(A911=A910,P910+1-M910,0)</f>
        <v>4</v>
      </c>
    </row>
    <row r="912" customFormat="false" ht="15" hidden="false" customHeight="false" outlineLevel="0" collapsed="false">
      <c r="A912" s="28" t="s">
        <v>4027</v>
      </c>
      <c r="B912" s="28" t="s">
        <v>51</v>
      </c>
      <c r="C912" s="28" t="s">
        <v>85</v>
      </c>
      <c r="D912" s="28" t="s">
        <v>4028</v>
      </c>
      <c r="E912" s="4" t="n">
        <v>6</v>
      </c>
      <c r="F912" s="4" t="s">
        <v>213</v>
      </c>
      <c r="G912" s="4" t="s">
        <v>2260</v>
      </c>
      <c r="H912" s="4" t="n">
        <v>1975</v>
      </c>
      <c r="I912" s="4" t="s">
        <v>2261</v>
      </c>
      <c r="J912" s="25" t="str">
        <f aca="false">IF(M912=1,"✓","")</f>
        <v/>
      </c>
      <c r="K912" s="4" t="str">
        <f aca="false">IF(AND(M912=0,P912=0),"▶ NEXT","")</f>
        <v/>
      </c>
      <c r="L912" s="4" t="n">
        <f aca="false">INDEX('Master List'!$F$2:$F$2594,O912)</f>
        <v>1</v>
      </c>
      <c r="M912" s="4" t="n">
        <f aca="false">INDEX('Master List'!$G$2:$G$2594,O912)</f>
        <v>0</v>
      </c>
      <c r="N912" s="4" t="str">
        <f aca="false">IF(K912="","",A912)</f>
        <v/>
      </c>
      <c r="O912" s="4" t="n">
        <v>606</v>
      </c>
      <c r="P912" s="4" t="n">
        <f aca="false">IF(A912=A911,P911+1-M911,0)</f>
        <v>5</v>
      </c>
    </row>
    <row r="913" customFormat="false" ht="15" hidden="false" customHeight="false" outlineLevel="0" collapsed="false">
      <c r="A913" s="28" t="s">
        <v>4027</v>
      </c>
      <c r="B913" s="28" t="s">
        <v>51</v>
      </c>
      <c r="C913" s="28" t="s">
        <v>85</v>
      </c>
      <c r="D913" s="28" t="s">
        <v>4028</v>
      </c>
      <c r="E913" s="4" t="n">
        <v>7</v>
      </c>
      <c r="F913" s="4" t="s">
        <v>213</v>
      </c>
      <c r="G913" s="4" t="s">
        <v>2605</v>
      </c>
      <c r="H913" s="4" t="n">
        <v>1995</v>
      </c>
      <c r="I913" s="4" t="s">
        <v>2606</v>
      </c>
      <c r="J913" s="25" t="str">
        <f aca="false">IF(M913=1,"✓","")</f>
        <v/>
      </c>
      <c r="K913" s="4" t="str">
        <f aca="false">IF(AND(M913=0,P913=0),"▶ NEXT","")</f>
        <v/>
      </c>
      <c r="L913" s="4" t="n">
        <f aca="false">INDEX('Master List'!$F$2:$F$2594,O913)</f>
        <v>1</v>
      </c>
      <c r="M913" s="4" t="n">
        <f aca="false">INDEX('Master List'!$G$2:$G$2594,O913)</f>
        <v>0</v>
      </c>
      <c r="N913" s="4" t="str">
        <f aca="false">IF(K913="","",A913)</f>
        <v/>
      </c>
      <c r="O913" s="4" t="n">
        <v>631</v>
      </c>
      <c r="P913" s="4" t="n">
        <f aca="false">IF(A913=A912,P912+1-M912,0)</f>
        <v>6</v>
      </c>
    </row>
    <row r="914" customFormat="false" ht="15" hidden="false" customHeight="false" outlineLevel="0" collapsed="false">
      <c r="A914" s="28" t="s">
        <v>4027</v>
      </c>
      <c r="B914" s="28" t="s">
        <v>51</v>
      </c>
      <c r="C914" s="28" t="s">
        <v>85</v>
      </c>
      <c r="D914" s="28" t="s">
        <v>4028</v>
      </c>
      <c r="E914" s="4" t="n">
        <v>8</v>
      </c>
      <c r="F914" s="4" t="s">
        <v>213</v>
      </c>
      <c r="G914" s="4" t="s">
        <v>2741</v>
      </c>
      <c r="H914" s="4" t="n">
        <v>2001</v>
      </c>
      <c r="I914" s="4" t="s">
        <v>2742</v>
      </c>
      <c r="J914" s="25" t="str">
        <f aca="false">IF(M914=1,"✓","")</f>
        <v/>
      </c>
      <c r="K914" s="4" t="str">
        <f aca="false">IF(AND(M914=0,P914=0),"▶ NEXT","")</f>
        <v/>
      </c>
      <c r="L914" s="4" t="n">
        <f aca="false">INDEX('Master List'!$F$2:$F$2594,O914)</f>
        <v>1</v>
      </c>
      <c r="M914" s="4" t="n">
        <f aca="false">INDEX('Master List'!$G$2:$G$2594,O914)</f>
        <v>0</v>
      </c>
      <c r="N914" s="4" t="str">
        <f aca="false">IF(K914="","",A914)</f>
        <v/>
      </c>
      <c r="O914" s="4" t="n">
        <v>1286</v>
      </c>
      <c r="P914" s="4" t="n">
        <f aca="false">IF(A914=A913,P913+1-M913,0)</f>
        <v>7</v>
      </c>
    </row>
    <row r="915" customFormat="false" ht="15" hidden="false" customHeight="false" outlineLevel="0" collapsed="false">
      <c r="A915" s="28" t="s">
        <v>4027</v>
      </c>
      <c r="B915" s="28" t="s">
        <v>51</v>
      </c>
      <c r="C915" s="28" t="s">
        <v>85</v>
      </c>
      <c r="D915" s="28" t="s">
        <v>4028</v>
      </c>
      <c r="E915" s="4" t="n">
        <v>9</v>
      </c>
      <c r="F915" s="4" t="s">
        <v>213</v>
      </c>
      <c r="G915" s="4" t="s">
        <v>2996</v>
      </c>
      <c r="H915" s="4" t="n">
        <v>2012</v>
      </c>
      <c r="I915" s="4" t="s">
        <v>2997</v>
      </c>
      <c r="J915" s="25" t="str">
        <f aca="false">IF(M915=1,"✓","")</f>
        <v/>
      </c>
      <c r="K915" s="4" t="str">
        <f aca="false">IF(AND(M915=0,P915=0),"▶ NEXT","")</f>
        <v/>
      </c>
      <c r="L915" s="4" t="n">
        <f aca="false">INDEX('Master List'!$F$2:$F$2594,O915)</f>
        <v>1</v>
      </c>
      <c r="M915" s="4" t="n">
        <f aca="false">INDEX('Master List'!$G$2:$G$2594,O915)</f>
        <v>0</v>
      </c>
      <c r="N915" s="4" t="str">
        <f aca="false">IF(K915="","",A915)</f>
        <v/>
      </c>
      <c r="O915" s="4" t="n">
        <v>877</v>
      </c>
      <c r="P915" s="4" t="n">
        <f aca="false">IF(A915=A914,P914+1-M914,0)</f>
        <v>8</v>
      </c>
    </row>
    <row r="916" customFormat="false" ht="15" hidden="false" customHeight="false" outlineLevel="0" collapsed="false">
      <c r="A916" s="28" t="s">
        <v>4027</v>
      </c>
      <c r="B916" s="28" t="s">
        <v>51</v>
      </c>
      <c r="C916" s="28" t="s">
        <v>85</v>
      </c>
      <c r="D916" s="28" t="s">
        <v>4028</v>
      </c>
      <c r="E916" s="4" t="n">
        <v>10</v>
      </c>
      <c r="F916" s="4" t="s">
        <v>213</v>
      </c>
      <c r="G916" s="4" t="s">
        <v>3022</v>
      </c>
      <c r="H916" s="4" t="n">
        <v>2013</v>
      </c>
      <c r="I916" s="4" t="s">
        <v>3023</v>
      </c>
      <c r="J916" s="25" t="str">
        <f aca="false">IF(M916=1,"✓","")</f>
        <v/>
      </c>
      <c r="K916" s="4" t="str">
        <f aca="false">IF(AND(M916=0,P916=0),"▶ NEXT","")</f>
        <v/>
      </c>
      <c r="L916" s="4" t="n">
        <f aca="false">INDEX('Master List'!$F$2:$F$2594,O916)</f>
        <v>1</v>
      </c>
      <c r="M916" s="4" t="n">
        <f aca="false">INDEX('Master List'!$G$2:$G$2594,O916)</f>
        <v>0</v>
      </c>
      <c r="N916" s="4" t="str">
        <f aca="false">IF(K916="","",A916)</f>
        <v/>
      </c>
      <c r="O916" s="4" t="n">
        <v>1397</v>
      </c>
      <c r="P916" s="4" t="n">
        <f aca="false">IF(A916=A915,P915+1-M915,0)</f>
        <v>9</v>
      </c>
    </row>
    <row r="917" customFormat="false" ht="15" hidden="false" customHeight="false" outlineLevel="0" collapsed="false">
      <c r="A917" s="28" t="s">
        <v>4027</v>
      </c>
      <c r="B917" s="28" t="s">
        <v>51</v>
      </c>
      <c r="C917" s="28" t="s">
        <v>85</v>
      </c>
      <c r="D917" s="28" t="s">
        <v>4028</v>
      </c>
      <c r="E917" s="4" t="n">
        <v>11</v>
      </c>
      <c r="F917" s="4" t="s">
        <v>213</v>
      </c>
      <c r="G917" s="4" t="s">
        <v>1264</v>
      </c>
      <c r="H917" s="4" t="n">
        <v>2022</v>
      </c>
      <c r="I917" s="4" t="s">
        <v>1265</v>
      </c>
      <c r="J917" s="25" t="str">
        <f aca="false">IF(M917=1,"✓","")</f>
        <v/>
      </c>
      <c r="K917" s="4" t="str">
        <f aca="false">IF(AND(M917=0,P917=0),"▶ NEXT","")</f>
        <v/>
      </c>
      <c r="L917" s="4" t="n">
        <f aca="false">INDEX('Master List'!$F$2:$F$2594,O917)</f>
        <v>2</v>
      </c>
      <c r="M917" s="4" t="n">
        <f aca="false">INDEX('Master List'!$G$2:$G$2594,O917)</f>
        <v>0</v>
      </c>
      <c r="N917" s="4" t="str">
        <f aca="false">IF(K917="","",A917)</f>
        <v/>
      </c>
      <c r="O917" s="4" t="n">
        <v>1942</v>
      </c>
      <c r="P917" s="4" t="n">
        <f aca="false">IF(A917=A916,P916+1-M916,0)</f>
        <v>10</v>
      </c>
    </row>
    <row r="918" customFormat="false" ht="15" hidden="false" customHeight="false" outlineLevel="0" collapsed="false">
      <c r="A918" s="28" t="s">
        <v>4027</v>
      </c>
      <c r="B918" s="28" t="s">
        <v>51</v>
      </c>
      <c r="C918" s="28" t="s">
        <v>85</v>
      </c>
      <c r="D918" s="28" t="s">
        <v>4028</v>
      </c>
      <c r="E918" s="4" t="n">
        <v>12</v>
      </c>
      <c r="F918" s="4" t="s">
        <v>213</v>
      </c>
      <c r="G918" s="4" t="s">
        <v>1267</v>
      </c>
      <c r="H918" s="4" t="n">
        <v>2024</v>
      </c>
      <c r="I918" s="4" t="s">
        <v>1268</v>
      </c>
      <c r="J918" s="25" t="str">
        <f aca="false">IF(M918=1,"✓","")</f>
        <v/>
      </c>
      <c r="K918" s="4" t="str">
        <f aca="false">IF(AND(M918=0,P918=0),"▶ NEXT","")</f>
        <v/>
      </c>
      <c r="L918" s="4" t="n">
        <f aca="false">INDEX('Master List'!$F$2:$F$2594,O918)</f>
        <v>2</v>
      </c>
      <c r="M918" s="4" t="n">
        <f aca="false">INDEX('Master List'!$G$2:$G$2594,O918)</f>
        <v>0</v>
      </c>
      <c r="N918" s="4" t="str">
        <f aca="false">IF(K918="","",A918)</f>
        <v/>
      </c>
      <c r="O918" s="4" t="n">
        <v>79</v>
      </c>
      <c r="P918" s="4" t="n">
        <f aca="false">IF(A918=A917,P917+1-M917,0)</f>
        <v>11</v>
      </c>
    </row>
    <row r="919" customFormat="false" ht="15" hidden="false" customHeight="false" outlineLevel="0" collapsed="false">
      <c r="A919" s="28" t="s">
        <v>4027</v>
      </c>
      <c r="B919" s="28" t="s">
        <v>51</v>
      </c>
      <c r="C919" s="28" t="s">
        <v>85</v>
      </c>
      <c r="D919" s="28" t="s">
        <v>4028</v>
      </c>
      <c r="E919" s="4" t="n">
        <v>13</v>
      </c>
      <c r="F919" s="4" t="s">
        <v>1327</v>
      </c>
      <c r="G919" s="4" t="s">
        <v>3616</v>
      </c>
      <c r="H919" s="4" t="n">
        <v>1983</v>
      </c>
      <c r="I919" s="4" t="s">
        <v>3617</v>
      </c>
      <c r="J919" s="25" t="str">
        <f aca="false">IF(M919=1,"✓","")</f>
        <v/>
      </c>
      <c r="K919" s="4" t="str">
        <f aca="false">IF(AND(M919=0,P919=0),"▶ NEXT","")</f>
        <v/>
      </c>
      <c r="L919" s="4" t="n">
        <f aca="false">INDEX('Master List'!$F$2:$F$2594,O919)</f>
        <v>1</v>
      </c>
      <c r="M919" s="4" t="n">
        <f aca="false">INDEX('Master List'!$G$2:$G$2594,O919)</f>
        <v>0</v>
      </c>
      <c r="N919" s="4" t="str">
        <f aca="false">IF(K919="","",A919)</f>
        <v/>
      </c>
      <c r="O919" s="4" t="n">
        <v>1189</v>
      </c>
      <c r="P919" s="4" t="n">
        <f aca="false">IF(A919=A918,P918+1-M918,0)</f>
        <v>12</v>
      </c>
    </row>
    <row r="920" customFormat="false" ht="15" hidden="false" customHeight="false" outlineLevel="0" collapsed="false">
      <c r="A920" s="28" t="s">
        <v>4029</v>
      </c>
      <c r="B920" s="28" t="s">
        <v>51</v>
      </c>
      <c r="C920" s="28" t="s">
        <v>85</v>
      </c>
      <c r="D920" s="28" t="s">
        <v>4030</v>
      </c>
      <c r="E920" s="4" t="n">
        <v>1</v>
      </c>
      <c r="F920" s="4" t="s">
        <v>144</v>
      </c>
      <c r="G920" s="7" t="s">
        <v>517</v>
      </c>
      <c r="H920" s="4" t="n">
        <v>2010</v>
      </c>
      <c r="I920" s="4" t="s">
        <v>444</v>
      </c>
      <c r="J920" s="25" t="str">
        <f aca="false">IF(M920=1,"✓","")</f>
        <v/>
      </c>
      <c r="K920" s="4" t="str">
        <f aca="false">IF(AND(M920=0,P920=0),"▶ NEXT","")</f>
        <v>▶ NEXT</v>
      </c>
      <c r="L920" s="4" t="n">
        <f aca="false">INDEX('Master List'!$F$2:$F$2594,O920)</f>
        <v>3</v>
      </c>
      <c r="M920" s="4" t="n">
        <f aca="false">INDEX('Master List'!$G$2:$G$2594,O920)</f>
        <v>0</v>
      </c>
      <c r="N920" s="4" t="str">
        <f aca="false">IF(K920="","",A920)</f>
        <v>N078</v>
      </c>
      <c r="O920" s="4" t="n">
        <v>2399</v>
      </c>
      <c r="P920" s="4" t="n">
        <f aca="false">IF(A920=A919,P919+1-M919,0)</f>
        <v>0</v>
      </c>
    </row>
    <row r="921" customFormat="false" ht="15" hidden="false" customHeight="false" outlineLevel="0" collapsed="false">
      <c r="A921" s="28" t="s">
        <v>4029</v>
      </c>
      <c r="B921" s="28" t="s">
        <v>51</v>
      </c>
      <c r="C921" s="28" t="s">
        <v>85</v>
      </c>
      <c r="D921" s="28" t="s">
        <v>4030</v>
      </c>
      <c r="E921" s="4" t="n">
        <v>2</v>
      </c>
      <c r="F921" s="4" t="s">
        <v>144</v>
      </c>
      <c r="G921" s="7" t="s">
        <v>802</v>
      </c>
      <c r="H921" s="4" t="n">
        <v>1975</v>
      </c>
      <c r="I921" s="4" t="s">
        <v>803</v>
      </c>
      <c r="J921" s="25" t="str">
        <f aca="false">IF(M921=1,"✓","")</f>
        <v/>
      </c>
      <c r="K921" s="4" t="str">
        <f aca="false">IF(AND(M921=0,P921=0),"▶ NEXT","")</f>
        <v/>
      </c>
      <c r="L921" s="4" t="n">
        <f aca="false">INDEX('Master List'!$F$2:$F$2594,O921)</f>
        <v>2</v>
      </c>
      <c r="M921" s="4" t="n">
        <f aca="false">INDEX('Master List'!$G$2:$G$2594,O921)</f>
        <v>0</v>
      </c>
      <c r="N921" s="4" t="str">
        <f aca="false">IF(K921="","",A921)</f>
        <v/>
      </c>
      <c r="O921" s="4" t="n">
        <v>1440</v>
      </c>
      <c r="P921" s="4" t="n">
        <f aca="false">IF(A921=A920,P920+1-M920,0)</f>
        <v>1</v>
      </c>
    </row>
    <row r="922" customFormat="false" ht="15" hidden="false" customHeight="false" outlineLevel="0" collapsed="false">
      <c r="A922" s="28" t="s">
        <v>4029</v>
      </c>
      <c r="B922" s="28" t="s">
        <v>51</v>
      </c>
      <c r="C922" s="28" t="s">
        <v>85</v>
      </c>
      <c r="D922" s="28" t="s">
        <v>4030</v>
      </c>
      <c r="E922" s="4" t="n">
        <v>3</v>
      </c>
      <c r="F922" s="4" t="s">
        <v>213</v>
      </c>
      <c r="G922" s="4" t="s">
        <v>1030</v>
      </c>
      <c r="H922" s="4" t="n">
        <v>1976</v>
      </c>
      <c r="I922" s="4" t="s">
        <v>803</v>
      </c>
      <c r="J922" s="25" t="str">
        <f aca="false">IF(M922=1,"✓","")</f>
        <v/>
      </c>
      <c r="K922" s="4" t="str">
        <f aca="false">IF(AND(M922=0,P922=0),"▶ NEXT","")</f>
        <v/>
      </c>
      <c r="L922" s="4" t="n">
        <f aca="false">INDEX('Master List'!$F$2:$F$2594,O922)</f>
        <v>2</v>
      </c>
      <c r="M922" s="4" t="n">
        <f aca="false">INDEX('Master List'!$G$2:$G$2594,O922)</f>
        <v>0</v>
      </c>
      <c r="N922" s="4" t="str">
        <f aca="false">IF(K922="","",A922)</f>
        <v/>
      </c>
      <c r="O922" s="4" t="n">
        <v>1146</v>
      </c>
      <c r="P922" s="4" t="n">
        <f aca="false">IF(A922=A921,P921+1-M921,0)</f>
        <v>2</v>
      </c>
    </row>
    <row r="923" customFormat="false" ht="15" hidden="false" customHeight="false" outlineLevel="0" collapsed="false">
      <c r="A923" s="28" t="s">
        <v>4029</v>
      </c>
      <c r="B923" s="28" t="s">
        <v>51</v>
      </c>
      <c r="C923" s="28" t="s">
        <v>85</v>
      </c>
      <c r="D923" s="28" t="s">
        <v>4030</v>
      </c>
      <c r="E923" s="4" t="n">
        <v>4</v>
      </c>
      <c r="F923" s="4" t="s">
        <v>213</v>
      </c>
      <c r="G923" s="4" t="s">
        <v>1159</v>
      </c>
      <c r="H923" s="4" t="n">
        <v>2002</v>
      </c>
      <c r="I923" s="4" t="s">
        <v>444</v>
      </c>
      <c r="J923" s="25" t="str">
        <f aca="false">IF(M923=1,"✓","")</f>
        <v/>
      </c>
      <c r="K923" s="4" t="str">
        <f aca="false">IF(AND(M923=0,P923=0),"▶ NEXT","")</f>
        <v/>
      </c>
      <c r="L923" s="4" t="n">
        <f aca="false">INDEX('Master List'!$F$2:$F$2594,O923)</f>
        <v>2</v>
      </c>
      <c r="M923" s="4" t="n">
        <f aca="false">INDEX('Master List'!$G$2:$G$2594,O923)</f>
        <v>0</v>
      </c>
      <c r="N923" s="4" t="str">
        <f aca="false">IF(K923="","",A923)</f>
        <v/>
      </c>
      <c r="O923" s="4" t="n">
        <v>287</v>
      </c>
      <c r="P923" s="4" t="n">
        <f aca="false">IF(A923=A922,P922+1-M922,0)</f>
        <v>3</v>
      </c>
    </row>
    <row r="924" customFormat="false" ht="15" hidden="false" customHeight="false" outlineLevel="0" collapsed="false">
      <c r="A924" s="28" t="s">
        <v>4029</v>
      </c>
      <c r="B924" s="28" t="s">
        <v>51</v>
      </c>
      <c r="C924" s="28" t="s">
        <v>85</v>
      </c>
      <c r="D924" s="28" t="s">
        <v>4030</v>
      </c>
      <c r="E924" s="4" t="n">
        <v>5</v>
      </c>
      <c r="F924" s="4" t="s">
        <v>213</v>
      </c>
      <c r="G924" s="4" t="s">
        <v>443</v>
      </c>
      <c r="H924" s="4" t="n">
        <v>2004</v>
      </c>
      <c r="I924" s="4" t="s">
        <v>444</v>
      </c>
      <c r="J924" s="25" t="str">
        <f aca="false">IF(M924=1,"✓","")</f>
        <v/>
      </c>
      <c r="K924" s="4" t="str">
        <f aca="false">IF(AND(M924=0,P924=0),"▶ NEXT","")</f>
        <v/>
      </c>
      <c r="L924" s="4" t="n">
        <f aca="false">INDEX('Master List'!$F$2:$F$2594,O924)</f>
        <v>4</v>
      </c>
      <c r="M924" s="4" t="n">
        <f aca="false">INDEX('Master List'!$G$2:$G$2594,O924)</f>
        <v>0</v>
      </c>
      <c r="N924" s="4" t="str">
        <f aca="false">IF(K924="","",A924)</f>
        <v/>
      </c>
      <c r="O924" s="4" t="n">
        <v>2374</v>
      </c>
      <c r="P924" s="4" t="n">
        <f aca="false">IF(A924=A923,P923+1-M923,0)</f>
        <v>4</v>
      </c>
    </row>
    <row r="925" customFormat="false" ht="15" hidden="false" customHeight="false" outlineLevel="0" collapsed="false">
      <c r="A925" s="28" t="s">
        <v>4029</v>
      </c>
      <c r="B925" s="28" t="s">
        <v>51</v>
      </c>
      <c r="C925" s="28" t="s">
        <v>85</v>
      </c>
      <c r="D925" s="28" t="s">
        <v>4030</v>
      </c>
      <c r="E925" s="4" t="n">
        <v>6</v>
      </c>
      <c r="F925" s="4" t="s">
        <v>213</v>
      </c>
      <c r="G925" s="4" t="s">
        <v>1172</v>
      </c>
      <c r="H925" s="4" t="n">
        <v>2006</v>
      </c>
      <c r="I925" s="4" t="s">
        <v>444</v>
      </c>
      <c r="J925" s="25" t="str">
        <f aca="false">IF(M925=1,"✓","")</f>
        <v/>
      </c>
      <c r="K925" s="4" t="str">
        <f aca="false">IF(AND(M925=0,P925=0),"▶ NEXT","")</f>
        <v/>
      </c>
      <c r="L925" s="4" t="n">
        <f aca="false">INDEX('Master List'!$F$2:$F$2594,O925)</f>
        <v>2</v>
      </c>
      <c r="M925" s="4" t="n">
        <f aca="false">INDEX('Master List'!$G$2:$G$2594,O925)</f>
        <v>0</v>
      </c>
      <c r="N925" s="4" t="str">
        <f aca="false">IF(K925="","",A925)</f>
        <v/>
      </c>
      <c r="O925" s="4" t="n">
        <v>2224</v>
      </c>
      <c r="P925" s="4" t="n">
        <f aca="false">IF(A925=A924,P924+1-M924,0)</f>
        <v>5</v>
      </c>
    </row>
    <row r="926" customFormat="false" ht="15" hidden="false" customHeight="false" outlineLevel="0" collapsed="false">
      <c r="A926" s="28" t="s">
        <v>4029</v>
      </c>
      <c r="B926" s="28" t="s">
        <v>51</v>
      </c>
      <c r="C926" s="28" t="s">
        <v>85</v>
      </c>
      <c r="D926" s="28" t="s">
        <v>4030</v>
      </c>
      <c r="E926" s="4" t="n">
        <v>7</v>
      </c>
      <c r="F926" s="4" t="s">
        <v>213</v>
      </c>
      <c r="G926" s="4" t="s">
        <v>715</v>
      </c>
      <c r="H926" s="4" t="n">
        <v>2012</v>
      </c>
      <c r="I926" s="4" t="s">
        <v>716</v>
      </c>
      <c r="J926" s="25" t="str">
        <f aca="false">IF(M926=1,"✓","")</f>
        <v/>
      </c>
      <c r="K926" s="4" t="str">
        <f aca="false">IF(AND(M926=0,P926=0),"▶ NEXT","")</f>
        <v/>
      </c>
      <c r="L926" s="4" t="n">
        <f aca="false">INDEX('Master List'!$F$2:$F$2594,O926)</f>
        <v>3</v>
      </c>
      <c r="M926" s="4" t="n">
        <f aca="false">INDEX('Master List'!$G$2:$G$2594,O926)</f>
        <v>0</v>
      </c>
      <c r="N926" s="4" t="str">
        <f aca="false">IF(K926="","",A926)</f>
        <v/>
      </c>
      <c r="O926" s="4" t="n">
        <v>40</v>
      </c>
      <c r="P926" s="4" t="n">
        <f aca="false">IF(A926=A925,P925+1-M925,0)</f>
        <v>6</v>
      </c>
    </row>
    <row r="927" customFormat="false" ht="15" hidden="false" customHeight="false" outlineLevel="0" collapsed="false">
      <c r="A927" s="28" t="s">
        <v>4029</v>
      </c>
      <c r="B927" s="28" t="s">
        <v>51</v>
      </c>
      <c r="C927" s="28" t="s">
        <v>85</v>
      </c>
      <c r="D927" s="28" t="s">
        <v>4030</v>
      </c>
      <c r="E927" s="4" t="n">
        <v>8</v>
      </c>
      <c r="F927" s="4" t="s">
        <v>213</v>
      </c>
      <c r="G927" s="4" t="s">
        <v>3024</v>
      </c>
      <c r="H927" s="4" t="n">
        <v>2013</v>
      </c>
      <c r="I927" s="4" t="s">
        <v>3025</v>
      </c>
      <c r="J927" s="25" t="str">
        <f aca="false">IF(M927=1,"✓","")</f>
        <v/>
      </c>
      <c r="K927" s="4" t="str">
        <f aca="false">IF(AND(M927=0,P927=0),"▶ NEXT","")</f>
        <v/>
      </c>
      <c r="L927" s="4" t="n">
        <f aca="false">INDEX('Master List'!$F$2:$F$2594,O927)</f>
        <v>1</v>
      </c>
      <c r="M927" s="4" t="n">
        <f aca="false">INDEX('Master List'!$G$2:$G$2594,O927)</f>
        <v>0</v>
      </c>
      <c r="N927" s="4" t="str">
        <f aca="false">IF(K927="","",A927)</f>
        <v/>
      </c>
      <c r="O927" s="4" t="n">
        <v>1513</v>
      </c>
      <c r="P927" s="4" t="n">
        <f aca="false">IF(A927=A926,P926+1-M926,0)</f>
        <v>7</v>
      </c>
    </row>
    <row r="928" customFormat="false" ht="15" hidden="false" customHeight="false" outlineLevel="0" collapsed="false">
      <c r="A928" s="28" t="s">
        <v>4029</v>
      </c>
      <c r="B928" s="28" t="s">
        <v>51</v>
      </c>
      <c r="C928" s="28" t="s">
        <v>85</v>
      </c>
      <c r="D928" s="28" t="s">
        <v>4030</v>
      </c>
      <c r="E928" s="4" t="n">
        <v>9</v>
      </c>
      <c r="F928" s="4" t="s">
        <v>213</v>
      </c>
      <c r="G928" s="4" t="s">
        <v>1261</v>
      </c>
      <c r="H928" s="4" t="n">
        <v>2021</v>
      </c>
      <c r="I928" s="4" t="s">
        <v>444</v>
      </c>
      <c r="J928" s="25" t="str">
        <f aca="false">IF(M928=1,"✓","")</f>
        <v/>
      </c>
      <c r="K928" s="4" t="str">
        <f aca="false">IF(AND(M928=0,P928=0),"▶ NEXT","")</f>
        <v/>
      </c>
      <c r="L928" s="4" t="n">
        <f aca="false">INDEX('Master List'!$F$2:$F$2594,O928)</f>
        <v>2</v>
      </c>
      <c r="M928" s="4" t="n">
        <f aca="false">INDEX('Master List'!$G$2:$G$2594,O928)</f>
        <v>0</v>
      </c>
      <c r="N928" s="4" t="str">
        <f aca="false">IF(K928="","",A928)</f>
        <v/>
      </c>
      <c r="O928" s="4" t="n">
        <v>1477</v>
      </c>
      <c r="P928" s="4" t="n">
        <f aca="false">IF(A928=A927,P927+1-M927,0)</f>
        <v>8</v>
      </c>
    </row>
    <row r="929" customFormat="false" ht="15" hidden="false" customHeight="false" outlineLevel="0" collapsed="false">
      <c r="A929" s="28" t="s">
        <v>4029</v>
      </c>
      <c r="B929" s="28" t="s">
        <v>51</v>
      </c>
      <c r="C929" s="28" t="s">
        <v>85</v>
      </c>
      <c r="D929" s="28" t="s">
        <v>4030</v>
      </c>
      <c r="E929" s="4" t="n">
        <v>10</v>
      </c>
      <c r="F929" s="4" t="s">
        <v>1327</v>
      </c>
      <c r="G929" s="4" t="s">
        <v>1318</v>
      </c>
      <c r="H929" s="4" t="n">
        <v>1954</v>
      </c>
      <c r="I929" s="4" t="s">
        <v>1319</v>
      </c>
      <c r="J929" s="25" t="str">
        <f aca="false">IF(M929=1,"✓","")</f>
        <v/>
      </c>
      <c r="K929" s="4" t="str">
        <f aca="false">IF(AND(M929=0,P929=0),"▶ NEXT","")</f>
        <v/>
      </c>
      <c r="L929" s="4" t="n">
        <f aca="false">INDEX('Master List'!$F$2:$F$2594,O929)</f>
        <v>2</v>
      </c>
      <c r="M929" s="4" t="n">
        <f aca="false">INDEX('Master List'!$G$2:$G$2594,O929)</f>
        <v>0</v>
      </c>
      <c r="N929" s="4" t="str">
        <f aca="false">IF(K929="","",A929)</f>
        <v/>
      </c>
      <c r="O929" s="4" t="n">
        <v>51</v>
      </c>
      <c r="P929" s="4" t="n">
        <f aca="false">IF(A929=A928,P928+1-M928,0)</f>
        <v>9</v>
      </c>
    </row>
    <row r="930" customFormat="false" ht="15" hidden="false" customHeight="false" outlineLevel="0" collapsed="false">
      <c r="A930" s="28" t="s">
        <v>4029</v>
      </c>
      <c r="B930" s="28" t="s">
        <v>51</v>
      </c>
      <c r="C930" s="28" t="s">
        <v>85</v>
      </c>
      <c r="D930" s="28" t="s">
        <v>4030</v>
      </c>
      <c r="E930" s="4" t="n">
        <v>11</v>
      </c>
      <c r="F930" s="4" t="s">
        <v>1327</v>
      </c>
      <c r="G930" s="4" t="s">
        <v>3812</v>
      </c>
      <c r="H930" s="4" t="n">
        <v>2013</v>
      </c>
      <c r="I930" s="4" t="s">
        <v>3813</v>
      </c>
      <c r="J930" s="25" t="str">
        <f aca="false">IF(M930=1,"✓","")</f>
        <v/>
      </c>
      <c r="K930" s="4" t="str">
        <f aca="false">IF(AND(M930=0,P930=0),"▶ NEXT","")</f>
        <v/>
      </c>
      <c r="L930" s="4" t="n">
        <f aca="false">INDEX('Master List'!$F$2:$F$2594,O930)</f>
        <v>1</v>
      </c>
      <c r="M930" s="4" t="n">
        <f aca="false">INDEX('Master List'!$G$2:$G$2594,O930)</f>
        <v>0</v>
      </c>
      <c r="N930" s="4" t="str">
        <f aca="false">IF(K930="","",A930)</f>
        <v/>
      </c>
      <c r="O930" s="4" t="n">
        <v>1629</v>
      </c>
      <c r="P930" s="4" t="n">
        <f aca="false">IF(A930=A929,P929+1-M929,0)</f>
        <v>10</v>
      </c>
    </row>
    <row r="931" customFormat="false" ht="15" hidden="false" customHeight="false" outlineLevel="0" collapsed="false">
      <c r="A931" s="28" t="s">
        <v>4031</v>
      </c>
      <c r="B931" s="28" t="s">
        <v>51</v>
      </c>
      <c r="C931" s="28" t="s">
        <v>86</v>
      </c>
      <c r="D931" s="28" t="s">
        <v>4032</v>
      </c>
      <c r="E931" s="4" t="n">
        <v>1</v>
      </c>
      <c r="F931" s="4" t="s">
        <v>144</v>
      </c>
      <c r="G931" s="7" t="s">
        <v>202</v>
      </c>
      <c r="H931" s="4" t="n">
        <v>1990</v>
      </c>
      <c r="I931" s="4" t="s">
        <v>203</v>
      </c>
      <c r="J931" s="25" t="str">
        <f aca="false">IF(M931=1,"✓","")</f>
        <v/>
      </c>
      <c r="K931" s="4" t="str">
        <f aca="false">IF(AND(M931=0,P931=0),"▶ NEXT","")</f>
        <v>▶ NEXT</v>
      </c>
      <c r="L931" s="4" t="n">
        <f aca="false">INDEX('Master List'!$F$2:$F$2594,O931)</f>
        <v>7</v>
      </c>
      <c r="M931" s="4" t="n">
        <f aca="false">INDEX('Master List'!$G$2:$G$2594,O931)</f>
        <v>0</v>
      </c>
      <c r="N931" s="4" t="str">
        <f aca="false">IF(K931="","",A931)</f>
        <v>N079</v>
      </c>
      <c r="O931" s="4" t="n">
        <v>480</v>
      </c>
      <c r="P931" s="4" t="n">
        <f aca="false">IF(A931=A930,P930+1-M930,0)</f>
        <v>0</v>
      </c>
    </row>
    <row r="932" customFormat="false" ht="15" hidden="false" customHeight="false" outlineLevel="0" collapsed="false">
      <c r="A932" s="28" t="s">
        <v>4031</v>
      </c>
      <c r="B932" s="28" t="s">
        <v>51</v>
      </c>
      <c r="C932" s="28" t="s">
        <v>86</v>
      </c>
      <c r="D932" s="28" t="s">
        <v>4032</v>
      </c>
      <c r="E932" s="4" t="n">
        <v>2</v>
      </c>
      <c r="F932" s="4" t="s">
        <v>144</v>
      </c>
      <c r="G932" s="7" t="s">
        <v>321</v>
      </c>
      <c r="H932" s="4" t="n">
        <v>1997</v>
      </c>
      <c r="I932" s="4" t="s">
        <v>203</v>
      </c>
      <c r="J932" s="25" t="str">
        <f aca="false">IF(M932=1,"✓","")</f>
        <v>✓</v>
      </c>
      <c r="K932" s="4" t="str">
        <f aca="false">IF(AND(M932=0,P932=0),"▶ NEXT","")</f>
        <v/>
      </c>
      <c r="L932" s="4" t="n">
        <f aca="false">INDEX('Master List'!$F$2:$F$2594,O932)</f>
        <v>4</v>
      </c>
      <c r="M932" s="4" t="n">
        <f aca="false">INDEX('Master List'!$G$2:$G$2594,O932)</f>
        <v>1</v>
      </c>
      <c r="N932" s="4" t="str">
        <f aca="false">IF(K932="","",A932)</f>
        <v/>
      </c>
      <c r="O932" s="4" t="n">
        <v>2245</v>
      </c>
      <c r="P932" s="4" t="n">
        <f aca="false">IF(A932=A931,P931+1-M931,0)</f>
        <v>1</v>
      </c>
    </row>
    <row r="933" customFormat="false" ht="15" hidden="false" customHeight="false" outlineLevel="0" collapsed="false">
      <c r="A933" s="28" t="s">
        <v>4031</v>
      </c>
      <c r="B933" s="28" t="s">
        <v>51</v>
      </c>
      <c r="C933" s="28" t="s">
        <v>86</v>
      </c>
      <c r="D933" s="28" t="s">
        <v>4032</v>
      </c>
      <c r="E933" s="4" t="n">
        <v>3</v>
      </c>
      <c r="F933" s="4" t="s">
        <v>213</v>
      </c>
      <c r="G933" s="4" t="s">
        <v>2025</v>
      </c>
      <c r="H933" s="4" t="n">
        <v>1963</v>
      </c>
      <c r="I933" s="4" t="s">
        <v>2026</v>
      </c>
      <c r="J933" s="25" t="str">
        <f aca="false">IF(M933=1,"✓","")</f>
        <v/>
      </c>
      <c r="K933" s="4" t="str">
        <f aca="false">IF(AND(M933=0,P933=0),"▶ NEXT","")</f>
        <v/>
      </c>
      <c r="L933" s="4" t="n">
        <f aca="false">INDEX('Master List'!$F$2:$F$2594,O933)</f>
        <v>1</v>
      </c>
      <c r="M933" s="4" t="n">
        <f aca="false">INDEX('Master List'!$G$2:$G$2594,O933)</f>
        <v>0</v>
      </c>
      <c r="N933" s="4" t="str">
        <f aca="false">IF(K933="","",A933)</f>
        <v/>
      </c>
      <c r="O933" s="4" t="n">
        <v>1073</v>
      </c>
      <c r="P933" s="4" t="n">
        <f aca="false">IF(A933=A932,P932+1-M932,0)</f>
        <v>1</v>
      </c>
    </row>
    <row r="934" customFormat="false" ht="15" hidden="false" customHeight="false" outlineLevel="0" collapsed="false">
      <c r="A934" s="28" t="s">
        <v>4031</v>
      </c>
      <c r="B934" s="28" t="s">
        <v>51</v>
      </c>
      <c r="C934" s="28" t="s">
        <v>86</v>
      </c>
      <c r="D934" s="28" t="s">
        <v>4032</v>
      </c>
      <c r="E934" s="4" t="n">
        <v>4</v>
      </c>
      <c r="F934" s="4" t="s">
        <v>213</v>
      </c>
      <c r="G934" s="4" t="s">
        <v>1337</v>
      </c>
      <c r="H934" s="4" t="n">
        <v>1969</v>
      </c>
      <c r="I934" s="4" t="s">
        <v>1338</v>
      </c>
      <c r="J934" s="25" t="str">
        <f aca="false">IF(M934=1,"✓","")</f>
        <v/>
      </c>
      <c r="K934" s="4" t="str">
        <f aca="false">IF(AND(M934=0,P934=0),"▶ NEXT","")</f>
        <v/>
      </c>
      <c r="L934" s="4" t="n">
        <f aca="false">INDEX('Master List'!$F$2:$F$2594,O934)</f>
        <v>2</v>
      </c>
      <c r="M934" s="4" t="n">
        <f aca="false">INDEX('Master List'!$G$2:$G$2594,O934)</f>
        <v>0</v>
      </c>
      <c r="N934" s="4" t="str">
        <f aca="false">IF(K934="","",A934)</f>
        <v/>
      </c>
      <c r="O934" s="4" t="n">
        <v>524</v>
      </c>
      <c r="P934" s="4" t="n">
        <f aca="false">IF(A934=A933,P933+1-M933,0)</f>
        <v>2</v>
      </c>
    </row>
    <row r="935" customFormat="false" ht="15" hidden="false" customHeight="false" outlineLevel="0" collapsed="false">
      <c r="A935" s="28" t="s">
        <v>4031</v>
      </c>
      <c r="B935" s="28" t="s">
        <v>51</v>
      </c>
      <c r="C935" s="28" t="s">
        <v>86</v>
      </c>
      <c r="D935" s="28" t="s">
        <v>4032</v>
      </c>
      <c r="E935" s="4" t="n">
        <v>5</v>
      </c>
      <c r="F935" s="4" t="s">
        <v>213</v>
      </c>
      <c r="G935" s="4" t="s">
        <v>1082</v>
      </c>
      <c r="H935" s="4" t="n">
        <v>1987</v>
      </c>
      <c r="I935" s="4" t="s">
        <v>203</v>
      </c>
      <c r="J935" s="25" t="str">
        <f aca="false">IF(M935=1,"✓","")</f>
        <v/>
      </c>
      <c r="K935" s="4" t="str">
        <f aca="false">IF(AND(M935=0,P935=0),"▶ NEXT","")</f>
        <v/>
      </c>
      <c r="L935" s="4" t="n">
        <f aca="false">INDEX('Master List'!$F$2:$F$2594,O935)</f>
        <v>2</v>
      </c>
      <c r="M935" s="4" t="n">
        <f aca="false">INDEX('Master List'!$G$2:$G$2594,O935)</f>
        <v>0</v>
      </c>
      <c r="N935" s="4" t="str">
        <f aca="false">IF(K935="","",A935)</f>
        <v/>
      </c>
      <c r="O935" s="4" t="n">
        <v>2496</v>
      </c>
      <c r="P935" s="4" t="n">
        <f aca="false">IF(A935=A934,P934+1-M934,0)</f>
        <v>3</v>
      </c>
    </row>
    <row r="936" customFormat="false" ht="15" hidden="false" customHeight="false" outlineLevel="0" collapsed="false">
      <c r="A936" s="28" t="s">
        <v>4031</v>
      </c>
      <c r="B936" s="28" t="s">
        <v>51</v>
      </c>
      <c r="C936" s="28" t="s">
        <v>86</v>
      </c>
      <c r="D936" s="28" t="s">
        <v>4032</v>
      </c>
      <c r="E936" s="4" t="n">
        <v>6</v>
      </c>
      <c r="F936" s="4" t="s">
        <v>213</v>
      </c>
      <c r="G936" s="4" t="s">
        <v>1102</v>
      </c>
      <c r="H936" s="4" t="n">
        <v>1992</v>
      </c>
      <c r="I936" s="4" t="s">
        <v>203</v>
      </c>
      <c r="J936" s="25" t="str">
        <f aca="false">IF(M936=1,"✓","")</f>
        <v/>
      </c>
      <c r="K936" s="4" t="str">
        <f aca="false">IF(AND(M936=0,P936=0),"▶ NEXT","")</f>
        <v/>
      </c>
      <c r="L936" s="4" t="n">
        <f aca="false">INDEX('Master List'!$F$2:$F$2594,O936)</f>
        <v>2</v>
      </c>
      <c r="M936" s="4" t="n">
        <f aca="false">INDEX('Master List'!$G$2:$G$2594,O936)</f>
        <v>0</v>
      </c>
      <c r="N936" s="4" t="str">
        <f aca="false">IF(K936="","",A936)</f>
        <v/>
      </c>
      <c r="O936" s="4" t="n">
        <v>1331</v>
      </c>
      <c r="P936" s="4" t="n">
        <f aca="false">IF(A936=A935,P935+1-M935,0)</f>
        <v>4</v>
      </c>
    </row>
    <row r="937" customFormat="false" ht="15" hidden="false" customHeight="false" outlineLevel="0" collapsed="false">
      <c r="A937" s="28" t="s">
        <v>4031</v>
      </c>
      <c r="B937" s="28" t="s">
        <v>51</v>
      </c>
      <c r="C937" s="28" t="s">
        <v>86</v>
      </c>
      <c r="D937" s="28" t="s">
        <v>4032</v>
      </c>
      <c r="E937" s="4" t="n">
        <v>7</v>
      </c>
      <c r="F937" s="4" t="s">
        <v>213</v>
      </c>
      <c r="G937" s="4" t="s">
        <v>1107</v>
      </c>
      <c r="H937" s="4" t="n">
        <v>1994</v>
      </c>
      <c r="I937" s="4" t="s">
        <v>203</v>
      </c>
      <c r="J937" s="25" t="str">
        <f aca="false">IF(M937=1,"✓","")</f>
        <v/>
      </c>
      <c r="K937" s="4" t="str">
        <f aca="false">IF(AND(M937=0,P937=0),"▶ NEXT","")</f>
        <v/>
      </c>
      <c r="L937" s="4" t="n">
        <f aca="false">INDEX('Master List'!$F$2:$F$2594,O937)</f>
        <v>2</v>
      </c>
      <c r="M937" s="4" t="n">
        <f aca="false">INDEX('Master List'!$G$2:$G$2594,O937)</f>
        <v>0</v>
      </c>
      <c r="N937" s="4" t="str">
        <f aca="false">IF(K937="","",A937)</f>
        <v/>
      </c>
      <c r="O937" s="4" t="n">
        <v>2300</v>
      </c>
      <c r="P937" s="4" t="n">
        <f aca="false">IF(A937=A936,P936+1-M936,0)</f>
        <v>5</v>
      </c>
    </row>
    <row r="938" customFormat="false" ht="15" hidden="false" customHeight="false" outlineLevel="0" collapsed="false">
      <c r="A938" s="28" t="s">
        <v>4031</v>
      </c>
      <c r="B938" s="28" t="s">
        <v>51</v>
      </c>
      <c r="C938" s="28" t="s">
        <v>86</v>
      </c>
      <c r="D938" s="28" t="s">
        <v>4032</v>
      </c>
      <c r="E938" s="4" t="n">
        <v>8</v>
      </c>
      <c r="F938" s="4" t="s">
        <v>213</v>
      </c>
      <c r="G938" s="4" t="s">
        <v>2607</v>
      </c>
      <c r="H938" s="4" t="n">
        <v>1995</v>
      </c>
      <c r="I938" s="4" t="s">
        <v>2608</v>
      </c>
      <c r="J938" s="25" t="str">
        <f aca="false">IF(M938=1,"✓","")</f>
        <v/>
      </c>
      <c r="K938" s="4" t="str">
        <f aca="false">IF(AND(M938=0,P938=0),"▶ NEXT","")</f>
        <v/>
      </c>
      <c r="L938" s="4" t="n">
        <f aca="false">INDEX('Master List'!$F$2:$F$2594,O938)</f>
        <v>1</v>
      </c>
      <c r="M938" s="4" t="n">
        <f aca="false">INDEX('Master List'!$G$2:$G$2594,O938)</f>
        <v>0</v>
      </c>
      <c r="N938" s="4" t="str">
        <f aca="false">IF(K938="","",A938)</f>
        <v/>
      </c>
      <c r="O938" s="4" t="n">
        <v>2500</v>
      </c>
      <c r="P938" s="4" t="n">
        <f aca="false">IF(A938=A937,P937+1-M937,0)</f>
        <v>6</v>
      </c>
    </row>
    <row r="939" customFormat="false" ht="15" hidden="false" customHeight="false" outlineLevel="0" collapsed="false">
      <c r="A939" s="28" t="s">
        <v>4031</v>
      </c>
      <c r="B939" s="28" t="s">
        <v>51</v>
      </c>
      <c r="C939" s="28" t="s">
        <v>86</v>
      </c>
      <c r="D939" s="28" t="s">
        <v>4032</v>
      </c>
      <c r="E939" s="4" t="n">
        <v>9</v>
      </c>
      <c r="F939" s="4" t="s">
        <v>213</v>
      </c>
      <c r="G939" s="4" t="s">
        <v>2631</v>
      </c>
      <c r="H939" s="4" t="n">
        <v>1996</v>
      </c>
      <c r="I939" s="4" t="s">
        <v>2632</v>
      </c>
      <c r="J939" s="25" t="str">
        <f aca="false">IF(M939=1,"✓","")</f>
        <v/>
      </c>
      <c r="K939" s="4" t="str">
        <f aca="false">IF(AND(M939=0,P939=0),"▶ NEXT","")</f>
        <v/>
      </c>
      <c r="L939" s="4" t="n">
        <f aca="false">INDEX('Master List'!$F$2:$F$2594,O939)</f>
        <v>1</v>
      </c>
      <c r="M939" s="4" t="n">
        <f aca="false">INDEX('Master List'!$G$2:$G$2594,O939)</f>
        <v>0</v>
      </c>
      <c r="N939" s="4" t="str">
        <f aca="false">IF(K939="","",A939)</f>
        <v/>
      </c>
      <c r="O939" s="4" t="n">
        <v>1520</v>
      </c>
      <c r="P939" s="4" t="n">
        <f aca="false">IF(A939=A938,P938+1-M938,0)</f>
        <v>7</v>
      </c>
    </row>
    <row r="940" customFormat="false" ht="15" hidden="false" customHeight="false" outlineLevel="0" collapsed="false">
      <c r="A940" s="28" t="s">
        <v>4031</v>
      </c>
      <c r="B940" s="28" t="s">
        <v>51</v>
      </c>
      <c r="C940" s="28" t="s">
        <v>86</v>
      </c>
      <c r="D940" s="28" t="s">
        <v>4032</v>
      </c>
      <c r="E940" s="4" t="n">
        <v>10</v>
      </c>
      <c r="F940" s="4" t="s">
        <v>213</v>
      </c>
      <c r="G940" s="4" t="s">
        <v>2666</v>
      </c>
      <c r="H940" s="4" t="n">
        <v>1997</v>
      </c>
      <c r="I940" s="4" t="s">
        <v>2667</v>
      </c>
      <c r="J940" s="25" t="str">
        <f aca="false">IF(M940=1,"✓","")</f>
        <v/>
      </c>
      <c r="K940" s="4" t="str">
        <f aca="false">IF(AND(M940=0,P940=0),"▶ NEXT","")</f>
        <v/>
      </c>
      <c r="L940" s="4" t="n">
        <f aca="false">INDEX('Master List'!$F$2:$F$2594,O940)</f>
        <v>1</v>
      </c>
      <c r="M940" s="4" t="n">
        <f aca="false">INDEX('Master List'!$G$2:$G$2594,O940)</f>
        <v>0</v>
      </c>
      <c r="N940" s="4" t="str">
        <f aca="false">IF(K940="","",A940)</f>
        <v/>
      </c>
      <c r="O940" s="4" t="n">
        <v>443</v>
      </c>
      <c r="P940" s="4" t="n">
        <f aca="false">IF(A940=A939,P939+1-M939,0)</f>
        <v>8</v>
      </c>
    </row>
    <row r="941" customFormat="false" ht="15" hidden="false" customHeight="false" outlineLevel="0" collapsed="false">
      <c r="A941" s="28" t="s">
        <v>4031</v>
      </c>
      <c r="B941" s="28" t="s">
        <v>51</v>
      </c>
      <c r="C941" s="28" t="s">
        <v>86</v>
      </c>
      <c r="D941" s="28" t="s">
        <v>4032</v>
      </c>
      <c r="E941" s="4" t="n">
        <v>11</v>
      </c>
      <c r="F941" s="4" t="s">
        <v>213</v>
      </c>
      <c r="G941" s="4" t="s">
        <v>1125</v>
      </c>
      <c r="H941" s="4" t="n">
        <v>1999</v>
      </c>
      <c r="I941" s="4" t="s">
        <v>203</v>
      </c>
      <c r="J941" s="25" t="str">
        <f aca="false">IF(M941=1,"✓","")</f>
        <v/>
      </c>
      <c r="K941" s="4" t="str">
        <f aca="false">IF(AND(M941=0,P941=0),"▶ NEXT","")</f>
        <v/>
      </c>
      <c r="L941" s="4" t="n">
        <f aca="false">INDEX('Master List'!$F$2:$F$2594,O941)</f>
        <v>2</v>
      </c>
      <c r="M941" s="4" t="n">
        <f aca="false">INDEX('Master List'!$G$2:$G$2594,O941)</f>
        <v>0</v>
      </c>
      <c r="N941" s="4" t="str">
        <f aca="false">IF(K941="","",A941)</f>
        <v/>
      </c>
      <c r="O941" s="4" t="n">
        <v>2523</v>
      </c>
      <c r="P941" s="4" t="n">
        <f aca="false">IF(A941=A940,P940+1-M940,0)</f>
        <v>9</v>
      </c>
    </row>
    <row r="942" customFormat="false" ht="15" hidden="false" customHeight="false" outlineLevel="0" collapsed="false">
      <c r="A942" s="28" t="s">
        <v>4031</v>
      </c>
      <c r="B942" s="28" t="s">
        <v>51</v>
      </c>
      <c r="C942" s="28" t="s">
        <v>86</v>
      </c>
      <c r="D942" s="28" t="s">
        <v>4032</v>
      </c>
      <c r="E942" s="4" t="n">
        <v>12</v>
      </c>
      <c r="F942" s="4" t="s">
        <v>213</v>
      </c>
      <c r="G942" s="4" t="s">
        <v>2717</v>
      </c>
      <c r="H942" s="4" t="n">
        <v>2000</v>
      </c>
      <c r="I942" s="4" t="s">
        <v>2608</v>
      </c>
      <c r="J942" s="25" t="str">
        <f aca="false">IF(M942=1,"✓","")</f>
        <v/>
      </c>
      <c r="K942" s="4" t="str">
        <f aca="false">IF(AND(M942=0,P942=0),"▶ NEXT","")</f>
        <v/>
      </c>
      <c r="L942" s="4" t="n">
        <f aca="false">INDEX('Master List'!$F$2:$F$2594,O942)</f>
        <v>1</v>
      </c>
      <c r="M942" s="4" t="n">
        <f aca="false">INDEX('Master List'!$G$2:$G$2594,O942)</f>
        <v>0</v>
      </c>
      <c r="N942" s="4" t="str">
        <f aca="false">IF(K942="","",A942)</f>
        <v/>
      </c>
      <c r="O942" s="4" t="n">
        <v>461</v>
      </c>
      <c r="P942" s="4" t="n">
        <f aca="false">IF(A942=A941,P941+1-M941,0)</f>
        <v>10</v>
      </c>
    </row>
    <row r="943" customFormat="false" ht="15" hidden="false" customHeight="false" outlineLevel="0" collapsed="false">
      <c r="A943" s="28" t="s">
        <v>4031</v>
      </c>
      <c r="B943" s="28" t="s">
        <v>51</v>
      </c>
      <c r="C943" s="28" t="s">
        <v>86</v>
      </c>
      <c r="D943" s="28" t="s">
        <v>4032</v>
      </c>
      <c r="E943" s="4" t="n">
        <v>13</v>
      </c>
      <c r="F943" s="4" t="s">
        <v>1327</v>
      </c>
      <c r="G943" s="4" t="s">
        <v>3635</v>
      </c>
      <c r="H943" s="4" t="n">
        <v>1986</v>
      </c>
      <c r="I943" s="4" t="s">
        <v>3506</v>
      </c>
      <c r="J943" s="25" t="str">
        <f aca="false">IF(M943=1,"✓","")</f>
        <v/>
      </c>
      <c r="K943" s="4" t="str">
        <f aca="false">IF(AND(M943=0,P943=0),"▶ NEXT","")</f>
        <v/>
      </c>
      <c r="L943" s="4" t="n">
        <f aca="false">INDEX('Master List'!$F$2:$F$2594,O943)</f>
        <v>1</v>
      </c>
      <c r="M943" s="4" t="n">
        <f aca="false">INDEX('Master List'!$G$2:$G$2594,O943)</f>
        <v>0</v>
      </c>
      <c r="N943" s="4" t="str">
        <f aca="false">IF(K943="","",A943)</f>
        <v/>
      </c>
      <c r="O943" s="4" t="n">
        <v>191</v>
      </c>
      <c r="P943" s="4" t="n">
        <f aca="false">IF(A943=A942,P942+1-M942,0)</f>
        <v>11</v>
      </c>
    </row>
    <row r="944" customFormat="false" ht="15" hidden="false" customHeight="false" outlineLevel="0" collapsed="false">
      <c r="A944" s="28" t="s">
        <v>4031</v>
      </c>
      <c r="B944" s="28" t="s">
        <v>51</v>
      </c>
      <c r="C944" s="28" t="s">
        <v>86</v>
      </c>
      <c r="D944" s="28" t="s">
        <v>4032</v>
      </c>
      <c r="E944" s="4" t="n">
        <v>14</v>
      </c>
      <c r="F944" s="4" t="s">
        <v>1327</v>
      </c>
      <c r="G944" s="4" t="s">
        <v>1353</v>
      </c>
      <c r="H944" s="4" t="n">
        <v>1976</v>
      </c>
      <c r="I944" s="4" t="s">
        <v>1354</v>
      </c>
      <c r="J944" s="25" t="str">
        <f aca="false">IF(M944=1,"✓","")</f>
        <v/>
      </c>
      <c r="K944" s="4" t="str">
        <f aca="false">IF(AND(M944=0,P944=0),"▶ NEXT","")</f>
        <v/>
      </c>
      <c r="L944" s="4" t="n">
        <f aca="false">INDEX('Master List'!$F$2:$F$2594,O944)</f>
        <v>2</v>
      </c>
      <c r="M944" s="4" t="n">
        <f aca="false">INDEX('Master List'!$G$2:$G$2594,O944)</f>
        <v>0</v>
      </c>
      <c r="N944" s="4" t="str">
        <f aca="false">IF(K944="","",A944)</f>
        <v/>
      </c>
      <c r="O944" s="4" t="n">
        <v>437</v>
      </c>
      <c r="P944" s="4" t="n">
        <f aca="false">IF(A944=A943,P943+1-M943,0)</f>
        <v>12</v>
      </c>
    </row>
    <row r="945" customFormat="false" ht="15" hidden="false" customHeight="false" outlineLevel="0" collapsed="false">
      <c r="A945" s="28" t="s">
        <v>4033</v>
      </c>
      <c r="B945" s="28" t="s">
        <v>51</v>
      </c>
      <c r="C945" s="28" t="s">
        <v>86</v>
      </c>
      <c r="D945" s="28" t="s">
        <v>4034</v>
      </c>
      <c r="E945" s="4" t="n">
        <v>1</v>
      </c>
      <c r="F945" s="4" t="s">
        <v>144</v>
      </c>
      <c r="G945" s="7" t="s">
        <v>518</v>
      </c>
      <c r="H945" s="4" t="n">
        <v>2011</v>
      </c>
      <c r="I945" s="4" t="s">
        <v>519</v>
      </c>
      <c r="J945" s="25" t="str">
        <f aca="false">IF(M945=1,"✓","")</f>
        <v/>
      </c>
      <c r="K945" s="4" t="str">
        <f aca="false">IF(AND(M945=0,P945=0),"▶ NEXT","")</f>
        <v>▶ NEXT</v>
      </c>
      <c r="L945" s="4" t="n">
        <f aca="false">INDEX('Master List'!$F$2:$F$2594,O945)</f>
        <v>3</v>
      </c>
      <c r="M945" s="4" t="n">
        <f aca="false">INDEX('Master List'!$G$2:$G$2594,O945)</f>
        <v>0</v>
      </c>
      <c r="N945" s="4" t="str">
        <f aca="false">IF(K945="","",A945)</f>
        <v>N080</v>
      </c>
      <c r="O945" s="4" t="n">
        <v>2011</v>
      </c>
      <c r="P945" s="4" t="n">
        <f aca="false">IF(A945=A944,P944+1-M944,0)</f>
        <v>0</v>
      </c>
    </row>
    <row r="946" customFormat="false" ht="15" hidden="false" customHeight="false" outlineLevel="0" collapsed="false">
      <c r="A946" s="28" t="s">
        <v>4033</v>
      </c>
      <c r="B946" s="28" t="s">
        <v>51</v>
      </c>
      <c r="C946" s="28" t="s">
        <v>86</v>
      </c>
      <c r="D946" s="28" t="s">
        <v>4034</v>
      </c>
      <c r="E946" s="4" t="n">
        <v>2</v>
      </c>
      <c r="F946" s="4" t="s">
        <v>144</v>
      </c>
      <c r="G946" s="7" t="s">
        <v>688</v>
      </c>
      <c r="H946" s="4" t="n">
        <v>2007</v>
      </c>
      <c r="I946" s="4" t="s">
        <v>689</v>
      </c>
      <c r="J946" s="25" t="str">
        <f aca="false">IF(M946=1,"✓","")</f>
        <v/>
      </c>
      <c r="K946" s="4" t="str">
        <f aca="false">IF(AND(M946=0,P946=0),"▶ NEXT","")</f>
        <v/>
      </c>
      <c r="L946" s="4" t="n">
        <f aca="false">INDEX('Master List'!$F$2:$F$2594,O946)</f>
        <v>2</v>
      </c>
      <c r="M946" s="4" t="n">
        <f aca="false">INDEX('Master List'!$G$2:$G$2594,O946)</f>
        <v>0</v>
      </c>
      <c r="N946" s="4" t="str">
        <f aca="false">IF(K946="","",A946)</f>
        <v/>
      </c>
      <c r="O946" s="4" t="n">
        <v>1748</v>
      </c>
      <c r="P946" s="4" t="n">
        <f aca="false">IF(A946=A945,P945+1-M945,0)</f>
        <v>1</v>
      </c>
    </row>
    <row r="947" customFormat="false" ht="15" hidden="false" customHeight="false" outlineLevel="0" collapsed="false">
      <c r="A947" s="28" t="s">
        <v>4033</v>
      </c>
      <c r="B947" s="28" t="s">
        <v>51</v>
      </c>
      <c r="C947" s="28" t="s">
        <v>86</v>
      </c>
      <c r="D947" s="28" t="s">
        <v>4034</v>
      </c>
      <c r="E947" s="4" t="n">
        <v>3</v>
      </c>
      <c r="F947" s="4" t="s">
        <v>213</v>
      </c>
      <c r="G947" s="4" t="s">
        <v>2851</v>
      </c>
      <c r="H947" s="4" t="n">
        <v>2006</v>
      </c>
      <c r="I947" s="4" t="s">
        <v>2608</v>
      </c>
      <c r="J947" s="25" t="str">
        <f aca="false">IF(M947=1,"✓","")</f>
        <v/>
      </c>
      <c r="K947" s="4" t="str">
        <f aca="false">IF(AND(M947=0,P947=0),"▶ NEXT","")</f>
        <v/>
      </c>
      <c r="L947" s="4" t="n">
        <f aca="false">INDEX('Master List'!$F$2:$F$2594,O947)</f>
        <v>1</v>
      </c>
      <c r="M947" s="4" t="n">
        <f aca="false">INDEX('Master List'!$G$2:$G$2594,O947)</f>
        <v>0</v>
      </c>
      <c r="N947" s="4" t="str">
        <f aca="false">IF(K947="","",A947)</f>
        <v/>
      </c>
      <c r="O947" s="4" t="n">
        <v>1654</v>
      </c>
      <c r="P947" s="4" t="n">
        <f aca="false">IF(A947=A946,P946+1-M946,0)</f>
        <v>2</v>
      </c>
    </row>
    <row r="948" customFormat="false" ht="15" hidden="false" customHeight="false" outlineLevel="0" collapsed="false">
      <c r="A948" s="28" t="s">
        <v>4033</v>
      </c>
      <c r="B948" s="28" t="s">
        <v>51</v>
      </c>
      <c r="C948" s="28" t="s">
        <v>86</v>
      </c>
      <c r="D948" s="28" t="s">
        <v>4034</v>
      </c>
      <c r="E948" s="4" t="n">
        <v>4</v>
      </c>
      <c r="F948" s="4" t="s">
        <v>213</v>
      </c>
      <c r="G948" s="4" t="s">
        <v>2967</v>
      </c>
      <c r="H948" s="4" t="n">
        <v>2011</v>
      </c>
      <c r="I948" s="4" t="s">
        <v>2968</v>
      </c>
      <c r="J948" s="25" t="str">
        <f aca="false">IF(M948=1,"✓","")</f>
        <v/>
      </c>
      <c r="K948" s="4" t="str">
        <f aca="false">IF(AND(M948=0,P948=0),"▶ NEXT","")</f>
        <v/>
      </c>
      <c r="L948" s="4" t="n">
        <f aca="false">INDEX('Master List'!$F$2:$F$2594,O948)</f>
        <v>1</v>
      </c>
      <c r="M948" s="4" t="n">
        <f aca="false">INDEX('Master List'!$G$2:$G$2594,O948)</f>
        <v>0</v>
      </c>
      <c r="N948" s="4" t="str">
        <f aca="false">IF(K948="","",A948)</f>
        <v/>
      </c>
      <c r="O948" s="4" t="n">
        <v>2284</v>
      </c>
      <c r="P948" s="4" t="n">
        <f aca="false">IF(A948=A947,P947+1-M947,0)</f>
        <v>3</v>
      </c>
    </row>
    <row r="949" customFormat="false" ht="15" hidden="false" customHeight="false" outlineLevel="0" collapsed="false">
      <c r="A949" s="28" t="s">
        <v>4033</v>
      </c>
      <c r="B949" s="28" t="s">
        <v>51</v>
      </c>
      <c r="C949" s="28" t="s">
        <v>86</v>
      </c>
      <c r="D949" s="28" t="s">
        <v>4034</v>
      </c>
      <c r="E949" s="4" t="n">
        <v>5</v>
      </c>
      <c r="F949" s="4" t="s">
        <v>213</v>
      </c>
      <c r="G949" s="4" t="s">
        <v>3095</v>
      </c>
      <c r="H949" s="4" t="n">
        <v>2016</v>
      </c>
      <c r="I949" s="4" t="s">
        <v>519</v>
      </c>
      <c r="J949" s="25" t="str">
        <f aca="false">IF(M949=1,"✓","")</f>
        <v/>
      </c>
      <c r="K949" s="4" t="str">
        <f aca="false">IF(AND(M949=0,P949=0),"▶ NEXT","")</f>
        <v/>
      </c>
      <c r="L949" s="4" t="n">
        <f aca="false">INDEX('Master List'!$F$2:$F$2594,O949)</f>
        <v>1</v>
      </c>
      <c r="M949" s="4" t="n">
        <f aca="false">INDEX('Master List'!$G$2:$G$2594,O949)</f>
        <v>0</v>
      </c>
      <c r="N949" s="4" t="str">
        <f aca="false">IF(K949="","",A949)</f>
        <v/>
      </c>
      <c r="O949" s="4" t="n">
        <v>1960</v>
      </c>
      <c r="P949" s="4" t="n">
        <f aca="false">IF(A949=A948,P948+1-M948,0)</f>
        <v>4</v>
      </c>
    </row>
    <row r="950" customFormat="false" ht="15" hidden="false" customHeight="false" outlineLevel="0" collapsed="false">
      <c r="A950" s="28" t="s">
        <v>4033</v>
      </c>
      <c r="B950" s="28" t="s">
        <v>51</v>
      </c>
      <c r="C950" s="28" t="s">
        <v>86</v>
      </c>
      <c r="D950" s="28" t="s">
        <v>4034</v>
      </c>
      <c r="E950" s="4" t="n">
        <v>6</v>
      </c>
      <c r="F950" s="4" t="s">
        <v>213</v>
      </c>
      <c r="G950" s="4" t="s">
        <v>2998</v>
      </c>
      <c r="H950" s="4" t="n">
        <v>2012</v>
      </c>
      <c r="I950" s="4" t="s">
        <v>2999</v>
      </c>
      <c r="J950" s="25" t="str">
        <f aca="false">IF(M950=1,"✓","")</f>
        <v/>
      </c>
      <c r="K950" s="4" t="str">
        <f aca="false">IF(AND(M950=0,P950=0),"▶ NEXT","")</f>
        <v/>
      </c>
      <c r="L950" s="4" t="n">
        <f aca="false">INDEX('Master List'!$F$2:$F$2594,O950)</f>
        <v>1</v>
      </c>
      <c r="M950" s="4" t="n">
        <f aca="false">INDEX('Master List'!$G$2:$G$2594,O950)</f>
        <v>0</v>
      </c>
      <c r="N950" s="4" t="str">
        <f aca="false">IF(K950="","",A950)</f>
        <v/>
      </c>
      <c r="O950" s="4" t="n">
        <v>2446</v>
      </c>
      <c r="P950" s="4" t="n">
        <f aca="false">IF(A950=A949,P949+1-M949,0)</f>
        <v>5</v>
      </c>
    </row>
    <row r="951" customFormat="false" ht="15" hidden="false" customHeight="false" outlineLevel="0" collapsed="false">
      <c r="A951" s="28" t="s">
        <v>4033</v>
      </c>
      <c r="B951" s="28" t="s">
        <v>51</v>
      </c>
      <c r="C951" s="28" t="s">
        <v>86</v>
      </c>
      <c r="D951" s="28" t="s">
        <v>4034</v>
      </c>
      <c r="E951" s="4" t="n">
        <v>7</v>
      </c>
      <c r="F951" s="4" t="s">
        <v>213</v>
      </c>
      <c r="G951" s="4" t="s">
        <v>862</v>
      </c>
      <c r="H951" s="4" t="n">
        <v>2008</v>
      </c>
      <c r="I951" s="4" t="s">
        <v>863</v>
      </c>
      <c r="J951" s="25" t="str">
        <f aca="false">IF(M951=1,"✓","")</f>
        <v/>
      </c>
      <c r="K951" s="4" t="str">
        <f aca="false">IF(AND(M951=0,P951=0),"▶ NEXT","")</f>
        <v/>
      </c>
      <c r="L951" s="4" t="n">
        <f aca="false">INDEX('Master List'!$F$2:$F$2594,O951)</f>
        <v>2</v>
      </c>
      <c r="M951" s="4" t="n">
        <f aca="false">INDEX('Master List'!$G$2:$G$2594,O951)</f>
        <v>0</v>
      </c>
      <c r="N951" s="4" t="str">
        <f aca="false">IF(K951="","",A951)</f>
        <v/>
      </c>
      <c r="O951" s="4" t="n">
        <v>2460</v>
      </c>
      <c r="P951" s="4" t="n">
        <f aca="false">IF(A951=A950,P950+1-M950,0)</f>
        <v>6</v>
      </c>
    </row>
    <row r="952" customFormat="false" ht="15" hidden="false" customHeight="false" outlineLevel="0" collapsed="false">
      <c r="A952" s="28" t="s">
        <v>4033</v>
      </c>
      <c r="B952" s="28" t="s">
        <v>51</v>
      </c>
      <c r="C952" s="28" t="s">
        <v>86</v>
      </c>
      <c r="D952" s="28" t="s">
        <v>4034</v>
      </c>
      <c r="E952" s="4" t="n">
        <v>8</v>
      </c>
      <c r="F952" s="4" t="s">
        <v>213</v>
      </c>
      <c r="G952" s="4" t="s">
        <v>3138</v>
      </c>
      <c r="H952" s="4" t="n">
        <v>2018</v>
      </c>
      <c r="I952" s="4" t="s">
        <v>3139</v>
      </c>
      <c r="J952" s="25" t="str">
        <f aca="false">IF(M952=1,"✓","")</f>
        <v/>
      </c>
      <c r="K952" s="4" t="str">
        <f aca="false">IF(AND(M952=0,P952=0),"▶ NEXT","")</f>
        <v/>
      </c>
      <c r="L952" s="4" t="n">
        <f aca="false">INDEX('Master List'!$F$2:$F$2594,O952)</f>
        <v>1</v>
      </c>
      <c r="M952" s="4" t="n">
        <f aca="false">INDEX('Master List'!$G$2:$G$2594,O952)</f>
        <v>0</v>
      </c>
      <c r="N952" s="4" t="str">
        <f aca="false">IF(K952="","",A952)</f>
        <v/>
      </c>
      <c r="O952" s="4" t="n">
        <v>391</v>
      </c>
      <c r="P952" s="4" t="n">
        <f aca="false">IF(A952=A951,P951+1-M951,0)</f>
        <v>7</v>
      </c>
    </row>
    <row r="953" customFormat="false" ht="15" hidden="false" customHeight="false" outlineLevel="0" collapsed="false">
      <c r="A953" s="28" t="s">
        <v>4033</v>
      </c>
      <c r="B953" s="28" t="s">
        <v>51</v>
      </c>
      <c r="C953" s="28" t="s">
        <v>86</v>
      </c>
      <c r="D953" s="28" t="s">
        <v>4034</v>
      </c>
      <c r="E953" s="4" t="n">
        <v>9</v>
      </c>
      <c r="F953" s="4" t="s">
        <v>213</v>
      </c>
      <c r="G953" s="4" t="s">
        <v>2969</v>
      </c>
      <c r="H953" s="4" t="n">
        <v>2011</v>
      </c>
      <c r="I953" s="4" t="s">
        <v>1213</v>
      </c>
      <c r="J953" s="25" t="str">
        <f aca="false">IF(M953=1,"✓","")</f>
        <v/>
      </c>
      <c r="K953" s="4" t="str">
        <f aca="false">IF(AND(M953=0,P953=0),"▶ NEXT","")</f>
        <v/>
      </c>
      <c r="L953" s="4" t="n">
        <f aca="false">INDEX('Master List'!$F$2:$F$2594,O953)</f>
        <v>1</v>
      </c>
      <c r="M953" s="4" t="n">
        <f aca="false">INDEX('Master List'!$G$2:$G$2594,O953)</f>
        <v>0</v>
      </c>
      <c r="N953" s="4" t="str">
        <f aca="false">IF(K953="","",A953)</f>
        <v/>
      </c>
      <c r="O953" s="4" t="n">
        <v>1670</v>
      </c>
      <c r="P953" s="4" t="n">
        <f aca="false">IF(A953=A952,P952+1-M952,0)</f>
        <v>8</v>
      </c>
    </row>
    <row r="954" customFormat="false" ht="15" hidden="false" customHeight="false" outlineLevel="0" collapsed="false">
      <c r="A954" s="28" t="s">
        <v>4033</v>
      </c>
      <c r="B954" s="28" t="s">
        <v>51</v>
      </c>
      <c r="C954" s="28" t="s">
        <v>86</v>
      </c>
      <c r="D954" s="28" t="s">
        <v>4034</v>
      </c>
      <c r="E954" s="4" t="n">
        <v>10</v>
      </c>
      <c r="F954" s="4" t="s">
        <v>213</v>
      </c>
      <c r="G954" s="4" t="s">
        <v>1212</v>
      </c>
      <c r="H954" s="4" t="n">
        <v>2014</v>
      </c>
      <c r="I954" s="4" t="s">
        <v>1213</v>
      </c>
      <c r="J954" s="25" t="str">
        <f aca="false">IF(M954=1,"✓","")</f>
        <v/>
      </c>
      <c r="K954" s="4" t="str">
        <f aca="false">IF(AND(M954=0,P954=0),"▶ NEXT","")</f>
        <v/>
      </c>
      <c r="L954" s="4" t="n">
        <f aca="false">INDEX('Master List'!$F$2:$F$2594,O954)</f>
        <v>2</v>
      </c>
      <c r="M954" s="4" t="n">
        <f aca="false">INDEX('Master List'!$G$2:$G$2594,O954)</f>
        <v>0</v>
      </c>
      <c r="N954" s="4" t="str">
        <f aca="false">IF(K954="","",A954)</f>
        <v/>
      </c>
      <c r="O954" s="4" t="n">
        <v>2531</v>
      </c>
      <c r="P954" s="4" t="n">
        <f aca="false">IF(A954=A953,P953+1-M953,0)</f>
        <v>9</v>
      </c>
    </row>
    <row r="955" customFormat="false" ht="15" hidden="false" customHeight="false" outlineLevel="0" collapsed="false">
      <c r="A955" s="28" t="s">
        <v>4033</v>
      </c>
      <c r="B955" s="28" t="s">
        <v>51</v>
      </c>
      <c r="C955" s="28" t="s">
        <v>86</v>
      </c>
      <c r="D955" s="28" t="s">
        <v>4034</v>
      </c>
      <c r="E955" s="4" t="n">
        <v>11</v>
      </c>
      <c r="F955" s="4" t="s">
        <v>213</v>
      </c>
      <c r="G955" s="4" t="s">
        <v>2769</v>
      </c>
      <c r="H955" s="4" t="n">
        <v>2002</v>
      </c>
      <c r="I955" s="4" t="s">
        <v>2770</v>
      </c>
      <c r="J955" s="25" t="str">
        <f aca="false">IF(M955=1,"✓","")</f>
        <v/>
      </c>
      <c r="K955" s="4" t="str">
        <f aca="false">IF(AND(M955=0,P955=0),"▶ NEXT","")</f>
        <v/>
      </c>
      <c r="L955" s="4" t="n">
        <f aca="false">INDEX('Master List'!$F$2:$F$2594,O955)</f>
        <v>1</v>
      </c>
      <c r="M955" s="4" t="n">
        <f aca="false">INDEX('Master List'!$G$2:$G$2594,O955)</f>
        <v>0</v>
      </c>
      <c r="N955" s="4" t="str">
        <f aca="false">IF(K955="","",A955)</f>
        <v/>
      </c>
      <c r="O955" s="4" t="n">
        <v>640</v>
      </c>
      <c r="P955" s="4" t="n">
        <f aca="false">IF(A955=A954,P954+1-M954,0)</f>
        <v>10</v>
      </c>
    </row>
    <row r="956" customFormat="false" ht="15" hidden="false" customHeight="false" outlineLevel="0" collapsed="false">
      <c r="A956" s="28" t="s">
        <v>4033</v>
      </c>
      <c r="B956" s="28" t="s">
        <v>51</v>
      </c>
      <c r="C956" s="28" t="s">
        <v>86</v>
      </c>
      <c r="D956" s="28" t="s">
        <v>4034</v>
      </c>
      <c r="E956" s="4" t="n">
        <v>12</v>
      </c>
      <c r="F956" s="4" t="s">
        <v>1327</v>
      </c>
      <c r="G956" s="4" t="s">
        <v>1328</v>
      </c>
      <c r="H956" s="4" t="n">
        <v>1964</v>
      </c>
      <c r="I956" s="4" t="s">
        <v>1329</v>
      </c>
      <c r="J956" s="25" t="str">
        <f aca="false">IF(M956=1,"✓","")</f>
        <v/>
      </c>
      <c r="K956" s="4" t="str">
        <f aca="false">IF(AND(M956=0,P956=0),"▶ NEXT","")</f>
        <v/>
      </c>
      <c r="L956" s="4" t="n">
        <f aca="false">INDEX('Master List'!$F$2:$F$2594,O956)</f>
        <v>2</v>
      </c>
      <c r="M956" s="4" t="n">
        <f aca="false">INDEX('Master List'!$G$2:$G$2594,O956)</f>
        <v>0</v>
      </c>
      <c r="N956" s="4" t="str">
        <f aca="false">IF(K956="","",A956)</f>
        <v/>
      </c>
      <c r="O956" s="4" t="n">
        <v>685</v>
      </c>
      <c r="P956" s="4" t="n">
        <f aca="false">IF(A956=A955,P955+1-M955,0)</f>
        <v>11</v>
      </c>
    </row>
    <row r="957" customFormat="false" ht="15" hidden="false" customHeight="false" outlineLevel="0" collapsed="false">
      <c r="A957" s="28" t="s">
        <v>4033</v>
      </c>
      <c r="B957" s="28" t="s">
        <v>51</v>
      </c>
      <c r="C957" s="28" t="s">
        <v>86</v>
      </c>
      <c r="D957" s="28" t="s">
        <v>4034</v>
      </c>
      <c r="E957" s="4" t="n">
        <v>13</v>
      </c>
      <c r="F957" s="4" t="s">
        <v>1327</v>
      </c>
      <c r="G957" s="4" t="s">
        <v>3865</v>
      </c>
      <c r="H957" s="4" t="n">
        <v>2024</v>
      </c>
      <c r="I957" s="4" t="s">
        <v>3866</v>
      </c>
      <c r="J957" s="25" t="str">
        <f aca="false">IF(M957=1,"✓","")</f>
        <v/>
      </c>
      <c r="K957" s="4" t="str">
        <f aca="false">IF(AND(M957=0,P957=0),"▶ NEXT","")</f>
        <v/>
      </c>
      <c r="L957" s="4" t="n">
        <f aca="false">INDEX('Master List'!$F$2:$F$2594,O957)</f>
        <v>1</v>
      </c>
      <c r="M957" s="4" t="n">
        <f aca="false">INDEX('Master List'!$G$2:$G$2594,O957)</f>
        <v>0</v>
      </c>
      <c r="N957" s="4" t="str">
        <f aca="false">IF(K957="","",A957)</f>
        <v/>
      </c>
      <c r="O957" s="4" t="n">
        <v>2007</v>
      </c>
      <c r="P957" s="4" t="n">
        <f aca="false">IF(A957=A956,P956+1-M956,0)</f>
        <v>12</v>
      </c>
    </row>
    <row r="958" customFormat="false" ht="15" hidden="false" customHeight="false" outlineLevel="0" collapsed="false">
      <c r="A958" s="28" t="s">
        <v>4035</v>
      </c>
      <c r="B958" s="28" t="s">
        <v>51</v>
      </c>
      <c r="C958" s="28" t="s">
        <v>87</v>
      </c>
      <c r="D958" s="28" t="s">
        <v>4036</v>
      </c>
      <c r="E958" s="4" t="n">
        <v>1</v>
      </c>
      <c r="F958" s="4" t="s">
        <v>144</v>
      </c>
      <c r="G958" s="7" t="s">
        <v>469</v>
      </c>
      <c r="H958" s="4" t="n">
        <v>1966</v>
      </c>
      <c r="I958" s="4" t="s">
        <v>470</v>
      </c>
      <c r="J958" s="25" t="str">
        <f aca="false">IF(M958=1,"✓","")</f>
        <v/>
      </c>
      <c r="K958" s="4" t="str">
        <f aca="false">IF(AND(M958=0,P958=0),"▶ NEXT","")</f>
        <v>▶ NEXT</v>
      </c>
      <c r="L958" s="4" t="n">
        <f aca="false">INDEX('Master List'!$F$2:$F$2594,O958)</f>
        <v>3</v>
      </c>
      <c r="M958" s="4" t="n">
        <f aca="false">INDEX('Master List'!$G$2:$G$2594,O958)</f>
        <v>0</v>
      </c>
      <c r="N958" s="4" t="str">
        <f aca="false">IF(K958="","",A958)</f>
        <v>N081</v>
      </c>
      <c r="O958" s="4" t="n">
        <v>266</v>
      </c>
      <c r="P958" s="4" t="n">
        <f aca="false">IF(A958=A957,P957+1-M957,0)</f>
        <v>0</v>
      </c>
    </row>
    <row r="959" customFormat="false" ht="15" hidden="false" customHeight="false" outlineLevel="0" collapsed="false">
      <c r="A959" s="28" t="s">
        <v>4035</v>
      </c>
      <c r="B959" s="28" t="s">
        <v>51</v>
      </c>
      <c r="C959" s="28" t="s">
        <v>87</v>
      </c>
      <c r="D959" s="28" t="s">
        <v>4036</v>
      </c>
      <c r="E959" s="4" t="n">
        <v>2</v>
      </c>
      <c r="F959" s="4" t="s">
        <v>144</v>
      </c>
      <c r="G959" s="7" t="s">
        <v>339</v>
      </c>
      <c r="H959" s="4" t="n">
        <v>1973</v>
      </c>
      <c r="I959" s="4" t="s">
        <v>340</v>
      </c>
      <c r="J959" s="25" t="str">
        <f aca="false">IF(M959=1,"✓","")</f>
        <v/>
      </c>
      <c r="K959" s="4" t="str">
        <f aca="false">IF(AND(M959=0,P959=0),"▶ NEXT","")</f>
        <v/>
      </c>
      <c r="L959" s="4" t="n">
        <f aca="false">INDEX('Master List'!$F$2:$F$2594,O959)</f>
        <v>4</v>
      </c>
      <c r="M959" s="4" t="n">
        <f aca="false">INDEX('Master List'!$G$2:$G$2594,O959)</f>
        <v>0</v>
      </c>
      <c r="N959" s="4" t="str">
        <f aca="false">IF(K959="","",A959)</f>
        <v/>
      </c>
      <c r="O959" s="4" t="n">
        <v>2349</v>
      </c>
      <c r="P959" s="4" t="n">
        <f aca="false">IF(A959=A958,P958+1-M958,0)</f>
        <v>1</v>
      </c>
    </row>
    <row r="960" customFormat="false" ht="15" hidden="false" customHeight="false" outlineLevel="0" collapsed="false">
      <c r="A960" s="28" t="s">
        <v>4035</v>
      </c>
      <c r="B960" s="28" t="s">
        <v>51</v>
      </c>
      <c r="C960" s="28" t="s">
        <v>87</v>
      </c>
      <c r="D960" s="28" t="s">
        <v>4036</v>
      </c>
      <c r="E960" s="4" t="n">
        <v>3</v>
      </c>
      <c r="F960" s="4" t="s">
        <v>213</v>
      </c>
      <c r="G960" s="4" t="s">
        <v>2027</v>
      </c>
      <c r="H960" s="4" t="n">
        <v>1963</v>
      </c>
      <c r="I960" s="4" t="s">
        <v>470</v>
      </c>
      <c r="J960" s="25" t="str">
        <f aca="false">IF(M960=1,"✓","")</f>
        <v/>
      </c>
      <c r="K960" s="4" t="str">
        <f aca="false">IF(AND(M960=0,P960=0),"▶ NEXT","")</f>
        <v/>
      </c>
      <c r="L960" s="4" t="n">
        <f aca="false">INDEX('Master List'!$F$2:$F$2594,O960)</f>
        <v>1</v>
      </c>
      <c r="M960" s="4" t="n">
        <f aca="false">INDEX('Master List'!$G$2:$G$2594,O960)</f>
        <v>0</v>
      </c>
      <c r="N960" s="4" t="str">
        <f aca="false">IF(K960="","",A960)</f>
        <v/>
      </c>
      <c r="O960" s="4" t="n">
        <v>319</v>
      </c>
      <c r="P960" s="4" t="n">
        <f aca="false">IF(A960=A959,P959+1-M959,0)</f>
        <v>2</v>
      </c>
    </row>
    <row r="961" customFormat="false" ht="15" hidden="false" customHeight="false" outlineLevel="0" collapsed="false">
      <c r="A961" s="28" t="s">
        <v>4035</v>
      </c>
      <c r="B961" s="28" t="s">
        <v>51</v>
      </c>
      <c r="C961" s="28" t="s">
        <v>87</v>
      </c>
      <c r="D961" s="28" t="s">
        <v>4036</v>
      </c>
      <c r="E961" s="4" t="n">
        <v>4</v>
      </c>
      <c r="F961" s="4" t="s">
        <v>213</v>
      </c>
      <c r="G961" s="4" t="s">
        <v>2262</v>
      </c>
      <c r="H961" s="4" t="n">
        <v>1975</v>
      </c>
      <c r="I961" s="4" t="s">
        <v>470</v>
      </c>
      <c r="J961" s="25" t="str">
        <f aca="false">IF(M961=1,"✓","")</f>
        <v/>
      </c>
      <c r="K961" s="4" t="str">
        <f aca="false">IF(AND(M961=0,P961=0),"▶ NEXT","")</f>
        <v/>
      </c>
      <c r="L961" s="4" t="n">
        <f aca="false">INDEX('Master List'!$F$2:$F$2594,O961)</f>
        <v>1</v>
      </c>
      <c r="M961" s="4" t="n">
        <f aca="false">INDEX('Master List'!$G$2:$G$2594,O961)</f>
        <v>0</v>
      </c>
      <c r="N961" s="4" t="str">
        <f aca="false">IF(K961="","",A961)</f>
        <v/>
      </c>
      <c r="O961" s="4" t="n">
        <v>2561</v>
      </c>
      <c r="P961" s="4" t="n">
        <f aca="false">IF(A961=A960,P960+1-M960,0)</f>
        <v>3</v>
      </c>
    </row>
    <row r="962" customFormat="false" ht="15" hidden="false" customHeight="false" outlineLevel="0" collapsed="false">
      <c r="A962" s="28" t="s">
        <v>4035</v>
      </c>
      <c r="B962" s="28" t="s">
        <v>51</v>
      </c>
      <c r="C962" s="28" t="s">
        <v>87</v>
      </c>
      <c r="D962" s="28" t="s">
        <v>4036</v>
      </c>
      <c r="E962" s="4" t="n">
        <v>5</v>
      </c>
      <c r="F962" s="4" t="s">
        <v>213</v>
      </c>
      <c r="G962" s="4" t="s">
        <v>2294</v>
      </c>
      <c r="H962" s="4" t="n">
        <v>1977</v>
      </c>
      <c r="I962" s="4" t="s">
        <v>470</v>
      </c>
      <c r="J962" s="25" t="str">
        <f aca="false">IF(M962=1,"✓","")</f>
        <v/>
      </c>
      <c r="K962" s="4" t="str">
        <f aca="false">IF(AND(M962=0,P962=0),"▶ NEXT","")</f>
        <v/>
      </c>
      <c r="L962" s="4" t="n">
        <f aca="false">INDEX('Master List'!$F$2:$F$2594,O962)</f>
        <v>1</v>
      </c>
      <c r="M962" s="4" t="n">
        <f aca="false">INDEX('Master List'!$G$2:$G$2594,O962)</f>
        <v>0</v>
      </c>
      <c r="N962" s="4" t="str">
        <f aca="false">IF(K962="","",A962)</f>
        <v/>
      </c>
      <c r="O962" s="4" t="n">
        <v>415</v>
      </c>
      <c r="P962" s="4" t="n">
        <f aca="false">IF(A962=A961,P961+1-M961,0)</f>
        <v>4</v>
      </c>
    </row>
    <row r="963" customFormat="false" ht="15" hidden="false" customHeight="false" outlineLevel="0" collapsed="false">
      <c r="A963" s="28" t="s">
        <v>4035</v>
      </c>
      <c r="B963" s="28" t="s">
        <v>51</v>
      </c>
      <c r="C963" s="28" t="s">
        <v>87</v>
      </c>
      <c r="D963" s="28" t="s">
        <v>4036</v>
      </c>
      <c r="E963" s="4" t="n">
        <v>6</v>
      </c>
      <c r="F963" s="4" t="s">
        <v>213</v>
      </c>
      <c r="G963" s="4" t="s">
        <v>2448</v>
      </c>
      <c r="H963" s="4" t="n">
        <v>1987</v>
      </c>
      <c r="I963" s="4" t="s">
        <v>2449</v>
      </c>
      <c r="J963" s="25" t="str">
        <f aca="false">IF(M963=1,"✓","")</f>
        <v/>
      </c>
      <c r="K963" s="4" t="str">
        <f aca="false">IF(AND(M963=0,P963=0),"▶ NEXT","")</f>
        <v/>
      </c>
      <c r="L963" s="4" t="n">
        <f aca="false">INDEX('Master List'!$F$2:$F$2594,O963)</f>
        <v>1</v>
      </c>
      <c r="M963" s="4" t="n">
        <f aca="false">INDEX('Master List'!$G$2:$G$2594,O963)</f>
        <v>0</v>
      </c>
      <c r="N963" s="4" t="str">
        <f aca="false">IF(K963="","",A963)</f>
        <v/>
      </c>
      <c r="O963" s="4" t="n">
        <v>2565</v>
      </c>
      <c r="P963" s="4" t="n">
        <f aca="false">IF(A963=A962,P962+1-M962,0)</f>
        <v>5</v>
      </c>
    </row>
    <row r="964" customFormat="false" ht="15" hidden="false" customHeight="false" outlineLevel="0" collapsed="false">
      <c r="A964" s="28" t="s">
        <v>4035</v>
      </c>
      <c r="B964" s="28" t="s">
        <v>51</v>
      </c>
      <c r="C964" s="28" t="s">
        <v>87</v>
      </c>
      <c r="D964" s="28" t="s">
        <v>4036</v>
      </c>
      <c r="E964" s="4" t="n">
        <v>7</v>
      </c>
      <c r="F964" s="4" t="s">
        <v>213</v>
      </c>
      <c r="G964" s="4" t="s">
        <v>2541</v>
      </c>
      <c r="H964" s="4" t="n">
        <v>1992</v>
      </c>
      <c r="I964" s="4" t="s">
        <v>340</v>
      </c>
      <c r="J964" s="25" t="str">
        <f aca="false">IF(M964=1,"✓","")</f>
        <v/>
      </c>
      <c r="K964" s="4" t="str">
        <f aca="false">IF(AND(M964=0,P964=0),"▶ NEXT","")</f>
        <v/>
      </c>
      <c r="L964" s="4" t="n">
        <f aca="false">INDEX('Master List'!$F$2:$F$2594,O964)</f>
        <v>1</v>
      </c>
      <c r="M964" s="4" t="n">
        <f aca="false">INDEX('Master List'!$G$2:$G$2594,O964)</f>
        <v>0</v>
      </c>
      <c r="N964" s="4" t="str">
        <f aca="false">IF(K964="","",A964)</f>
        <v/>
      </c>
      <c r="O964" s="4" t="n">
        <v>1096</v>
      </c>
      <c r="P964" s="4" t="n">
        <f aca="false">IF(A964=A963,P963+1-M963,0)</f>
        <v>6</v>
      </c>
    </row>
    <row r="965" customFormat="false" ht="15" hidden="false" customHeight="false" outlineLevel="0" collapsed="false">
      <c r="A965" s="28" t="s">
        <v>4035</v>
      </c>
      <c r="B965" s="28" t="s">
        <v>51</v>
      </c>
      <c r="C965" s="28" t="s">
        <v>87</v>
      </c>
      <c r="D965" s="28" t="s">
        <v>4036</v>
      </c>
      <c r="E965" s="4" t="n">
        <v>8</v>
      </c>
      <c r="F965" s="4" t="s">
        <v>213</v>
      </c>
      <c r="G965" s="4" t="s">
        <v>2814</v>
      </c>
      <c r="H965" s="4" t="n">
        <v>2004</v>
      </c>
      <c r="I965" s="4" t="s">
        <v>470</v>
      </c>
      <c r="J965" s="25" t="str">
        <f aca="false">IF(M965=1,"✓","")</f>
        <v/>
      </c>
      <c r="K965" s="4" t="str">
        <f aca="false">IF(AND(M965=0,P965=0),"▶ NEXT","")</f>
        <v/>
      </c>
      <c r="L965" s="4" t="n">
        <f aca="false">INDEX('Master List'!$F$2:$F$2594,O965)</f>
        <v>1</v>
      </c>
      <c r="M965" s="4" t="n">
        <f aca="false">INDEX('Master List'!$G$2:$G$2594,O965)</f>
        <v>0</v>
      </c>
      <c r="N965" s="4" t="str">
        <f aca="false">IF(K965="","",A965)</f>
        <v/>
      </c>
      <c r="O965" s="4" t="n">
        <v>1529</v>
      </c>
      <c r="P965" s="4" t="n">
        <f aca="false">IF(A965=A964,P964+1-M964,0)</f>
        <v>7</v>
      </c>
    </row>
    <row r="966" customFormat="false" ht="15" hidden="false" customHeight="false" outlineLevel="0" collapsed="false">
      <c r="A966" s="28" t="s">
        <v>4035</v>
      </c>
      <c r="B966" s="28" t="s">
        <v>51</v>
      </c>
      <c r="C966" s="28" t="s">
        <v>87</v>
      </c>
      <c r="D966" s="28" t="s">
        <v>4036</v>
      </c>
      <c r="E966" s="4" t="n">
        <v>9</v>
      </c>
      <c r="F966" s="4" t="s">
        <v>213</v>
      </c>
      <c r="G966" s="4" t="s">
        <v>3048</v>
      </c>
      <c r="H966" s="4" t="n">
        <v>2014</v>
      </c>
      <c r="I966" s="4" t="s">
        <v>3049</v>
      </c>
      <c r="J966" s="25" t="str">
        <f aca="false">IF(M966=1,"✓","")</f>
        <v/>
      </c>
      <c r="K966" s="4" t="str">
        <f aca="false">IF(AND(M966=0,P966=0),"▶ NEXT","")</f>
        <v/>
      </c>
      <c r="L966" s="4" t="n">
        <f aca="false">INDEX('Master List'!$F$2:$F$2594,O966)</f>
        <v>1</v>
      </c>
      <c r="M966" s="4" t="n">
        <f aca="false">INDEX('Master List'!$G$2:$G$2594,O966)</f>
        <v>0</v>
      </c>
      <c r="N966" s="4" t="str">
        <f aca="false">IF(K966="","",A966)</f>
        <v/>
      </c>
      <c r="O966" s="4" t="n">
        <v>2302</v>
      </c>
      <c r="P966" s="4" t="n">
        <f aca="false">IF(A966=A965,P965+1-M965,0)</f>
        <v>8</v>
      </c>
    </row>
    <row r="967" customFormat="false" ht="15" hidden="false" customHeight="false" outlineLevel="0" collapsed="false">
      <c r="A967" s="28" t="s">
        <v>4035</v>
      </c>
      <c r="B967" s="28" t="s">
        <v>51</v>
      </c>
      <c r="C967" s="28" t="s">
        <v>87</v>
      </c>
      <c r="D967" s="28" t="s">
        <v>4036</v>
      </c>
      <c r="E967" s="4" t="n">
        <v>10</v>
      </c>
      <c r="F967" s="4" t="s">
        <v>213</v>
      </c>
      <c r="G967" s="4" t="s">
        <v>3169</v>
      </c>
      <c r="H967" s="4" t="n">
        <v>2019</v>
      </c>
      <c r="I967" s="4" t="s">
        <v>3170</v>
      </c>
      <c r="J967" s="25" t="str">
        <f aca="false">IF(M967=1,"✓","")</f>
        <v/>
      </c>
      <c r="K967" s="4" t="str">
        <f aca="false">IF(AND(M967=0,P967=0),"▶ NEXT","")</f>
        <v/>
      </c>
      <c r="L967" s="4" t="n">
        <f aca="false">INDEX('Master List'!$F$2:$F$2594,O967)</f>
        <v>1</v>
      </c>
      <c r="M967" s="4" t="n">
        <f aca="false">INDEX('Master List'!$G$2:$G$2594,O967)</f>
        <v>0</v>
      </c>
      <c r="N967" s="4" t="str">
        <f aca="false">IF(K967="","",A967)</f>
        <v/>
      </c>
      <c r="O967" s="4" t="n">
        <v>146</v>
      </c>
      <c r="P967" s="4" t="n">
        <f aca="false">IF(A967=A966,P966+1-M966,0)</f>
        <v>9</v>
      </c>
    </row>
    <row r="968" customFormat="false" ht="15" hidden="false" customHeight="false" outlineLevel="0" collapsed="false">
      <c r="A968" s="28" t="s">
        <v>4035</v>
      </c>
      <c r="B968" s="28" t="s">
        <v>51</v>
      </c>
      <c r="C968" s="28" t="s">
        <v>87</v>
      </c>
      <c r="D968" s="28" t="s">
        <v>4036</v>
      </c>
      <c r="E968" s="4" t="n">
        <v>11</v>
      </c>
      <c r="F968" s="4" t="s">
        <v>1327</v>
      </c>
      <c r="G968" s="4" t="s">
        <v>704</v>
      </c>
      <c r="H968" s="4" t="n">
        <v>1970</v>
      </c>
      <c r="I968" s="4" t="s">
        <v>705</v>
      </c>
      <c r="J968" s="25" t="str">
        <f aca="false">IF(M968=1,"✓","")</f>
        <v/>
      </c>
      <c r="K968" s="4" t="str">
        <f aca="false">IF(AND(M968=0,P968=0),"▶ NEXT","")</f>
        <v/>
      </c>
      <c r="L968" s="4" t="n">
        <f aca="false">INDEX('Master List'!$F$2:$F$2594,O968)</f>
        <v>3</v>
      </c>
      <c r="M968" s="4" t="n">
        <f aca="false">INDEX('Master List'!$G$2:$G$2594,O968)</f>
        <v>0</v>
      </c>
      <c r="N968" s="4" t="str">
        <f aca="false">IF(K968="","",A968)</f>
        <v/>
      </c>
      <c r="O968" s="4" t="n">
        <v>2105</v>
      </c>
      <c r="P968" s="4" t="n">
        <f aca="false">IF(A968=A967,P967+1-M967,0)</f>
        <v>10</v>
      </c>
    </row>
    <row r="969" customFormat="false" ht="15" hidden="false" customHeight="false" outlineLevel="0" collapsed="false">
      <c r="A969" s="28" t="s">
        <v>4035</v>
      </c>
      <c r="B969" s="28" t="s">
        <v>51</v>
      </c>
      <c r="C969" s="28" t="s">
        <v>87</v>
      </c>
      <c r="D969" s="28" t="s">
        <v>4036</v>
      </c>
      <c r="E969" s="4" t="n">
        <v>12</v>
      </c>
      <c r="F969" s="4" t="s">
        <v>1327</v>
      </c>
      <c r="G969" s="4" t="s">
        <v>1651</v>
      </c>
      <c r="H969" s="4" t="n">
        <v>1975</v>
      </c>
      <c r="I969" s="4" t="s">
        <v>1652</v>
      </c>
      <c r="J969" s="25" t="str">
        <f aca="false">IF(M969=1,"✓","")</f>
        <v/>
      </c>
      <c r="K969" s="4" t="str">
        <f aca="false">IF(AND(M969=0,P969=0),"▶ NEXT","")</f>
        <v/>
      </c>
      <c r="L969" s="4" t="n">
        <f aca="false">INDEX('Master List'!$F$2:$F$2594,O969)</f>
        <v>2</v>
      </c>
      <c r="M969" s="4" t="n">
        <f aca="false">INDEX('Master List'!$G$2:$G$2594,O969)</f>
        <v>0</v>
      </c>
      <c r="N969" s="4" t="str">
        <f aca="false">IF(K969="","",A969)</f>
        <v/>
      </c>
      <c r="O969" s="4" t="n">
        <v>1557</v>
      </c>
      <c r="P969" s="4" t="n">
        <f aca="false">IF(A969=A968,P968+1-M968,0)</f>
        <v>11</v>
      </c>
    </row>
    <row r="970" customFormat="false" ht="15" hidden="false" customHeight="false" outlineLevel="0" collapsed="false">
      <c r="A970" s="28" t="s">
        <v>4035</v>
      </c>
      <c r="B970" s="28" t="s">
        <v>51</v>
      </c>
      <c r="C970" s="28" t="s">
        <v>87</v>
      </c>
      <c r="D970" s="28" t="s">
        <v>4036</v>
      </c>
      <c r="E970" s="4" t="n">
        <v>13</v>
      </c>
      <c r="F970" s="4" t="s">
        <v>1327</v>
      </c>
      <c r="G970" s="4" t="s">
        <v>3756</v>
      </c>
      <c r="H970" s="4" t="n">
        <v>2006</v>
      </c>
      <c r="I970" s="4" t="s">
        <v>3049</v>
      </c>
      <c r="J970" s="25" t="str">
        <f aca="false">IF(M970=1,"✓","")</f>
        <v/>
      </c>
      <c r="K970" s="4" t="str">
        <f aca="false">IF(AND(M970=0,P970=0),"▶ NEXT","")</f>
        <v/>
      </c>
      <c r="L970" s="4" t="n">
        <f aca="false">INDEX('Master List'!$F$2:$F$2594,O970)</f>
        <v>1</v>
      </c>
      <c r="M970" s="4" t="n">
        <f aca="false">INDEX('Master List'!$G$2:$G$2594,O970)</f>
        <v>0</v>
      </c>
      <c r="N970" s="4" t="str">
        <f aca="false">IF(K970="","",A970)</f>
        <v/>
      </c>
      <c r="O970" s="4" t="n">
        <v>179</v>
      </c>
      <c r="P970" s="4" t="n">
        <f aca="false">IF(A970=A969,P969+1-M969,0)</f>
        <v>12</v>
      </c>
    </row>
    <row r="971" customFormat="false" ht="15" hidden="false" customHeight="false" outlineLevel="0" collapsed="false">
      <c r="A971" s="28" t="s">
        <v>4035</v>
      </c>
      <c r="B971" s="28" t="s">
        <v>51</v>
      </c>
      <c r="C971" s="28" t="s">
        <v>87</v>
      </c>
      <c r="D971" s="28" t="s">
        <v>4036</v>
      </c>
      <c r="E971" s="4" t="n">
        <v>14</v>
      </c>
      <c r="F971" s="4" t="s">
        <v>1327</v>
      </c>
      <c r="G971" s="4" t="s">
        <v>3498</v>
      </c>
      <c r="H971" s="4" t="n">
        <v>1972</v>
      </c>
      <c r="I971" s="4" t="s">
        <v>3499</v>
      </c>
      <c r="J971" s="25" t="str">
        <f aca="false">IF(M971=1,"✓","")</f>
        <v/>
      </c>
      <c r="K971" s="4" t="str">
        <f aca="false">IF(AND(M971=0,P971=0),"▶ NEXT","")</f>
        <v/>
      </c>
      <c r="L971" s="4" t="n">
        <f aca="false">INDEX('Master List'!$F$2:$F$2594,O971)</f>
        <v>1</v>
      </c>
      <c r="M971" s="4" t="n">
        <f aca="false">INDEX('Master List'!$G$2:$G$2594,O971)</f>
        <v>0</v>
      </c>
      <c r="N971" s="4" t="str">
        <f aca="false">IF(K971="","",A971)</f>
        <v/>
      </c>
      <c r="O971" s="4" t="n">
        <v>1963</v>
      </c>
      <c r="P971" s="4" t="n">
        <f aca="false">IF(A971=A970,P970+1-M970,0)</f>
        <v>13</v>
      </c>
    </row>
    <row r="972" customFormat="false" ht="15" hidden="false" customHeight="false" outlineLevel="0" collapsed="false">
      <c r="A972" s="28" t="s">
        <v>4037</v>
      </c>
      <c r="B972" s="28" t="s">
        <v>51</v>
      </c>
      <c r="C972" s="28" t="s">
        <v>88</v>
      </c>
      <c r="D972" s="28" t="s">
        <v>4038</v>
      </c>
      <c r="E972" s="4" t="n">
        <v>1</v>
      </c>
      <c r="F972" s="4" t="s">
        <v>144</v>
      </c>
      <c r="G972" s="7" t="s">
        <v>1506</v>
      </c>
      <c r="H972" s="4" t="n">
        <v>1975</v>
      </c>
      <c r="I972" s="4" t="s">
        <v>439</v>
      </c>
      <c r="J972" s="25" t="str">
        <f aca="false">IF(M972=1,"✓","")</f>
        <v>✓</v>
      </c>
      <c r="K972" s="4" t="str">
        <f aca="false">IF(AND(M972=0,P972=0),"▶ NEXT","")</f>
        <v/>
      </c>
      <c r="L972" s="4" t="n">
        <f aca="false">INDEX('Master List'!$F$2:$F$2594,O972)</f>
        <v>1</v>
      </c>
      <c r="M972" s="4" t="n">
        <f aca="false">INDEX('Master List'!$G$2:$G$2594,O972)</f>
        <v>1</v>
      </c>
      <c r="N972" s="4" t="str">
        <f aca="false">IF(K972="","",A972)</f>
        <v/>
      </c>
      <c r="O972" s="4" t="n">
        <v>1764</v>
      </c>
      <c r="P972" s="4" t="n">
        <f aca="false">IF(A972=A971,P971+1-M971,0)</f>
        <v>0</v>
      </c>
    </row>
    <row r="973" customFormat="false" ht="15" hidden="false" customHeight="false" outlineLevel="0" collapsed="false">
      <c r="A973" s="28" t="s">
        <v>4037</v>
      </c>
      <c r="B973" s="28" t="s">
        <v>51</v>
      </c>
      <c r="C973" s="28" t="s">
        <v>88</v>
      </c>
      <c r="D973" s="28" t="s">
        <v>4038</v>
      </c>
      <c r="E973" s="4" t="n">
        <v>2</v>
      </c>
      <c r="F973" s="4" t="s">
        <v>144</v>
      </c>
      <c r="G973" s="7" t="s">
        <v>1514</v>
      </c>
      <c r="H973" s="4" t="n">
        <v>1979</v>
      </c>
      <c r="I973" s="4" t="s">
        <v>872</v>
      </c>
      <c r="J973" s="25" t="str">
        <f aca="false">IF(M973=1,"✓","")</f>
        <v>✓</v>
      </c>
      <c r="K973" s="4" t="str">
        <f aca="false">IF(AND(M973=0,P973=0),"▶ NEXT","")</f>
        <v/>
      </c>
      <c r="L973" s="4" t="n">
        <f aca="false">INDEX('Master List'!$F$2:$F$2594,O973)</f>
        <v>1</v>
      </c>
      <c r="M973" s="4" t="n">
        <f aca="false">INDEX('Master List'!$G$2:$G$2594,O973)</f>
        <v>1</v>
      </c>
      <c r="N973" s="4" t="str">
        <f aca="false">IF(K973="","",A973)</f>
        <v/>
      </c>
      <c r="O973" s="4" t="n">
        <v>1405</v>
      </c>
      <c r="P973" s="4" t="n">
        <f aca="false">IF(A973=A972,P972+1-M972,0)</f>
        <v>0</v>
      </c>
    </row>
    <row r="974" customFormat="false" ht="15" hidden="false" customHeight="false" outlineLevel="0" collapsed="false">
      <c r="A974" s="28" t="s">
        <v>4037</v>
      </c>
      <c r="B974" s="28" t="s">
        <v>51</v>
      </c>
      <c r="C974" s="28" t="s">
        <v>88</v>
      </c>
      <c r="D974" s="28" t="s">
        <v>4038</v>
      </c>
      <c r="E974" s="4" t="n">
        <v>3</v>
      </c>
      <c r="F974" s="4" t="s">
        <v>213</v>
      </c>
      <c r="G974" s="4" t="s">
        <v>2169</v>
      </c>
      <c r="H974" s="4" t="n">
        <v>1971</v>
      </c>
      <c r="I974" s="4" t="s">
        <v>2170</v>
      </c>
      <c r="J974" s="25" t="str">
        <f aca="false">IF(M974=1,"✓","")</f>
        <v/>
      </c>
      <c r="K974" s="4" t="str">
        <f aca="false">IF(AND(M974=0,P974=0),"▶ NEXT","")</f>
        <v>▶ NEXT</v>
      </c>
      <c r="L974" s="4" t="n">
        <f aca="false">INDEX('Master List'!$F$2:$F$2594,O974)</f>
        <v>1</v>
      </c>
      <c r="M974" s="4" t="n">
        <f aca="false">INDEX('Master List'!$G$2:$G$2594,O974)</f>
        <v>0</v>
      </c>
      <c r="N974" s="4" t="str">
        <f aca="false">IF(K974="","",A974)</f>
        <v>N082</v>
      </c>
      <c r="O974" s="4" t="n">
        <v>2452</v>
      </c>
      <c r="P974" s="4" t="n">
        <f aca="false">IF(A974=A973,P973+1-M973,0)</f>
        <v>0</v>
      </c>
    </row>
    <row r="975" customFormat="false" ht="15" hidden="false" customHeight="false" outlineLevel="0" collapsed="false">
      <c r="A975" s="28" t="s">
        <v>4037</v>
      </c>
      <c r="B975" s="28" t="s">
        <v>51</v>
      </c>
      <c r="C975" s="28" t="s">
        <v>88</v>
      </c>
      <c r="D975" s="28" t="s">
        <v>4038</v>
      </c>
      <c r="E975" s="4" t="n">
        <v>4</v>
      </c>
      <c r="F975" s="4" t="s">
        <v>213</v>
      </c>
      <c r="G975" s="4" t="s">
        <v>787</v>
      </c>
      <c r="H975" s="4" t="n">
        <v>1971</v>
      </c>
      <c r="I975" s="4" t="s">
        <v>391</v>
      </c>
      <c r="J975" s="25" t="str">
        <f aca="false">IF(M975=1,"✓","")</f>
        <v/>
      </c>
      <c r="K975" s="4" t="str">
        <f aca="false">IF(AND(M975=0,P975=0),"▶ NEXT","")</f>
        <v/>
      </c>
      <c r="L975" s="4" t="n">
        <f aca="false">INDEX('Master List'!$F$2:$F$2594,O975)</f>
        <v>3</v>
      </c>
      <c r="M975" s="4" t="n">
        <f aca="false">INDEX('Master List'!$G$2:$G$2594,O975)</f>
        <v>0</v>
      </c>
      <c r="N975" s="4" t="str">
        <f aca="false">IF(K975="","",A975)</f>
        <v/>
      </c>
      <c r="O975" s="4" t="n">
        <v>2455</v>
      </c>
      <c r="P975" s="4" t="n">
        <f aca="false">IF(A975=A974,P974+1-M974,0)</f>
        <v>1</v>
      </c>
    </row>
    <row r="976" customFormat="false" ht="15" hidden="false" customHeight="false" outlineLevel="0" collapsed="false">
      <c r="A976" s="28" t="s">
        <v>4037</v>
      </c>
      <c r="B976" s="28" t="s">
        <v>51</v>
      </c>
      <c r="C976" s="28" t="s">
        <v>88</v>
      </c>
      <c r="D976" s="28" t="s">
        <v>4038</v>
      </c>
      <c r="E976" s="4" t="n">
        <v>5</v>
      </c>
      <c r="F976" s="4" t="s">
        <v>213</v>
      </c>
      <c r="G976" s="4" t="s">
        <v>2295</v>
      </c>
      <c r="H976" s="4" t="n">
        <v>1977</v>
      </c>
      <c r="I976" s="4" t="s">
        <v>439</v>
      </c>
      <c r="J976" s="25" t="str">
        <f aca="false">IF(M976=1,"✓","")</f>
        <v>✓</v>
      </c>
      <c r="K976" s="4" t="str">
        <f aca="false">IF(AND(M976=0,P976=0),"▶ NEXT","")</f>
        <v/>
      </c>
      <c r="L976" s="4" t="n">
        <f aca="false">INDEX('Master List'!$F$2:$F$2594,O976)</f>
        <v>1</v>
      </c>
      <c r="M976" s="4" t="n">
        <f aca="false">INDEX('Master List'!$G$2:$G$2594,O976)</f>
        <v>1</v>
      </c>
      <c r="N976" s="4" t="str">
        <f aca="false">IF(K976="","",A976)</f>
        <v/>
      </c>
      <c r="O976" s="4" t="n">
        <v>1304</v>
      </c>
      <c r="P976" s="4" t="n">
        <f aca="false">IF(A976=A975,P975+1-M975,0)</f>
        <v>2</v>
      </c>
    </row>
    <row r="977" customFormat="false" ht="15" hidden="false" customHeight="false" outlineLevel="0" collapsed="false">
      <c r="A977" s="28" t="s">
        <v>4037</v>
      </c>
      <c r="B977" s="28" t="s">
        <v>51</v>
      </c>
      <c r="C977" s="28" t="s">
        <v>88</v>
      </c>
      <c r="D977" s="28" t="s">
        <v>4038</v>
      </c>
      <c r="E977" s="4" t="n">
        <v>6</v>
      </c>
      <c r="F977" s="4" t="s">
        <v>213</v>
      </c>
      <c r="G977" s="4" t="s">
        <v>2307</v>
      </c>
      <c r="H977" s="4" t="n">
        <v>1978</v>
      </c>
      <c r="I977" s="4" t="s">
        <v>2308</v>
      </c>
      <c r="J977" s="25" t="str">
        <f aca="false">IF(M977=1,"✓","")</f>
        <v/>
      </c>
      <c r="K977" s="4" t="str">
        <f aca="false">IF(AND(M977=0,P977=0),"▶ NEXT","")</f>
        <v/>
      </c>
      <c r="L977" s="4" t="n">
        <f aca="false">INDEX('Master List'!$F$2:$F$2594,O977)</f>
        <v>1</v>
      </c>
      <c r="M977" s="4" t="n">
        <f aca="false">INDEX('Master List'!$G$2:$G$2594,O977)</f>
        <v>0</v>
      </c>
      <c r="N977" s="4" t="str">
        <f aca="false">IF(K977="","",A977)</f>
        <v/>
      </c>
      <c r="O977" s="4" t="n">
        <v>429</v>
      </c>
      <c r="P977" s="4" t="n">
        <f aca="false">IF(A977=A976,P976+1-M976,0)</f>
        <v>2</v>
      </c>
    </row>
    <row r="978" customFormat="false" ht="15" hidden="false" customHeight="false" outlineLevel="0" collapsed="false">
      <c r="A978" s="28" t="s">
        <v>4037</v>
      </c>
      <c r="B978" s="28" t="s">
        <v>51</v>
      </c>
      <c r="C978" s="28" t="s">
        <v>88</v>
      </c>
      <c r="D978" s="28" t="s">
        <v>4038</v>
      </c>
      <c r="E978" s="4" t="n">
        <v>7</v>
      </c>
      <c r="F978" s="4" t="s">
        <v>213</v>
      </c>
      <c r="G978" s="4" t="s">
        <v>2326</v>
      </c>
      <c r="H978" s="4" t="n">
        <v>1979</v>
      </c>
      <c r="I978" s="4" t="s">
        <v>2327</v>
      </c>
      <c r="J978" s="25" t="str">
        <f aca="false">IF(M978=1,"✓","")</f>
        <v/>
      </c>
      <c r="K978" s="4" t="str">
        <f aca="false">IF(AND(M978=0,P978=0),"▶ NEXT","")</f>
        <v/>
      </c>
      <c r="L978" s="4" t="n">
        <f aca="false">INDEX('Master List'!$F$2:$F$2594,O978)</f>
        <v>1</v>
      </c>
      <c r="M978" s="4" t="n">
        <f aca="false">INDEX('Master List'!$G$2:$G$2594,O978)</f>
        <v>0</v>
      </c>
      <c r="N978" s="4" t="str">
        <f aca="false">IF(K978="","",A978)</f>
        <v/>
      </c>
      <c r="O978" s="4" t="n">
        <v>1567</v>
      </c>
      <c r="P978" s="4" t="n">
        <f aca="false">IF(A978=A977,P977+1-M977,0)</f>
        <v>3</v>
      </c>
    </row>
    <row r="979" customFormat="false" ht="15" hidden="false" customHeight="false" outlineLevel="0" collapsed="false">
      <c r="A979" s="28" t="s">
        <v>4037</v>
      </c>
      <c r="B979" s="28" t="s">
        <v>51</v>
      </c>
      <c r="C979" s="28" t="s">
        <v>88</v>
      </c>
      <c r="D979" s="28" t="s">
        <v>4038</v>
      </c>
      <c r="E979" s="4" t="n">
        <v>8</v>
      </c>
      <c r="F979" s="4" t="s">
        <v>213</v>
      </c>
      <c r="G979" s="4" t="s">
        <v>1049</v>
      </c>
      <c r="H979" s="4" t="n">
        <v>1980</v>
      </c>
      <c r="I979" s="4" t="s">
        <v>1050</v>
      </c>
      <c r="J979" s="25" t="str">
        <f aca="false">IF(M979=1,"✓","")</f>
        <v/>
      </c>
      <c r="K979" s="4" t="str">
        <f aca="false">IF(AND(M979=0,P979=0),"▶ NEXT","")</f>
        <v/>
      </c>
      <c r="L979" s="4" t="n">
        <f aca="false">INDEX('Master List'!$F$2:$F$2594,O979)</f>
        <v>2</v>
      </c>
      <c r="M979" s="4" t="n">
        <f aca="false">INDEX('Master List'!$G$2:$G$2594,O979)</f>
        <v>0</v>
      </c>
      <c r="N979" s="4" t="str">
        <f aca="false">IF(K979="","",A979)</f>
        <v/>
      </c>
      <c r="O979" s="4" t="n">
        <v>338</v>
      </c>
      <c r="P979" s="4" t="n">
        <f aca="false">IF(A979=A978,P978+1-M978,0)</f>
        <v>4</v>
      </c>
    </row>
    <row r="980" customFormat="false" ht="15" hidden="false" customHeight="false" outlineLevel="0" collapsed="false">
      <c r="A980" s="28" t="s">
        <v>4037</v>
      </c>
      <c r="B980" s="28" t="s">
        <v>51</v>
      </c>
      <c r="C980" s="28" t="s">
        <v>88</v>
      </c>
      <c r="D980" s="28" t="s">
        <v>4038</v>
      </c>
      <c r="E980" s="4" t="n">
        <v>9</v>
      </c>
      <c r="F980" s="4" t="s">
        <v>213</v>
      </c>
      <c r="G980" s="4" t="s">
        <v>2351</v>
      </c>
      <c r="H980" s="4" t="n">
        <v>1981</v>
      </c>
      <c r="I980" s="4" t="s">
        <v>872</v>
      </c>
      <c r="J980" s="25" t="str">
        <f aca="false">IF(M980=1,"✓","")</f>
        <v/>
      </c>
      <c r="K980" s="4" t="str">
        <f aca="false">IF(AND(M980=0,P980=0),"▶ NEXT","")</f>
        <v/>
      </c>
      <c r="L980" s="4" t="n">
        <f aca="false">INDEX('Master List'!$F$2:$F$2594,O980)</f>
        <v>1</v>
      </c>
      <c r="M980" s="4" t="n">
        <f aca="false">INDEX('Master List'!$G$2:$G$2594,O980)</f>
        <v>0</v>
      </c>
      <c r="N980" s="4" t="str">
        <f aca="false">IF(K980="","",A980)</f>
        <v/>
      </c>
      <c r="O980" s="4" t="n">
        <v>1406</v>
      </c>
      <c r="P980" s="4" t="n">
        <f aca="false">IF(A980=A979,P979+1-M979,0)</f>
        <v>5</v>
      </c>
    </row>
    <row r="981" customFormat="false" ht="15" hidden="false" customHeight="false" outlineLevel="0" collapsed="false">
      <c r="A981" s="28" t="s">
        <v>4037</v>
      </c>
      <c r="B981" s="28" t="s">
        <v>51</v>
      </c>
      <c r="C981" s="28" t="s">
        <v>88</v>
      </c>
      <c r="D981" s="28" t="s">
        <v>4038</v>
      </c>
      <c r="E981" s="4" t="n">
        <v>10</v>
      </c>
      <c r="F981" s="4" t="s">
        <v>213</v>
      </c>
      <c r="G981" s="4" t="s">
        <v>1055</v>
      </c>
      <c r="H981" s="4" t="n">
        <v>1981</v>
      </c>
      <c r="I981" s="4" t="s">
        <v>439</v>
      </c>
      <c r="J981" s="25" t="str">
        <f aca="false">IF(M981=1,"✓","")</f>
        <v>✓</v>
      </c>
      <c r="K981" s="4" t="str">
        <f aca="false">IF(AND(M981=0,P981=0),"▶ NEXT","")</f>
        <v/>
      </c>
      <c r="L981" s="4" t="n">
        <f aca="false">INDEX('Master List'!$F$2:$F$2594,O981)</f>
        <v>2</v>
      </c>
      <c r="M981" s="4" t="n">
        <f aca="false">INDEX('Master List'!$G$2:$G$2594,O981)</f>
        <v>1</v>
      </c>
      <c r="N981" s="4" t="str">
        <f aca="false">IF(K981="","",A981)</f>
        <v/>
      </c>
      <c r="O981" s="4" t="n">
        <v>873</v>
      </c>
      <c r="P981" s="4" t="n">
        <f aca="false">IF(A981=A980,P980+1-M980,0)</f>
        <v>6</v>
      </c>
    </row>
    <row r="982" customFormat="false" ht="15" hidden="false" customHeight="false" outlineLevel="0" collapsed="false">
      <c r="A982" s="28" t="s">
        <v>4037</v>
      </c>
      <c r="B982" s="28" t="s">
        <v>51</v>
      </c>
      <c r="C982" s="28" t="s">
        <v>88</v>
      </c>
      <c r="D982" s="28" t="s">
        <v>4038</v>
      </c>
      <c r="E982" s="4" t="n">
        <v>11</v>
      </c>
      <c r="F982" s="4" t="s">
        <v>1327</v>
      </c>
      <c r="G982" s="4" t="s">
        <v>3566</v>
      </c>
      <c r="H982" s="4" t="n">
        <v>1978</v>
      </c>
      <c r="I982" s="4" t="s">
        <v>3567</v>
      </c>
      <c r="J982" s="25" t="str">
        <f aca="false">IF(M982=1,"✓","")</f>
        <v/>
      </c>
      <c r="K982" s="4" t="str">
        <f aca="false">IF(AND(M982=0,P982=0),"▶ NEXT","")</f>
        <v/>
      </c>
      <c r="L982" s="4" t="n">
        <f aca="false">INDEX('Master List'!$F$2:$F$2594,O982)</f>
        <v>1</v>
      </c>
      <c r="M982" s="4" t="n">
        <f aca="false">INDEX('Master List'!$G$2:$G$2594,O982)</f>
        <v>0</v>
      </c>
      <c r="N982" s="4" t="str">
        <f aca="false">IF(K982="","",A982)</f>
        <v/>
      </c>
      <c r="O982" s="4" t="n">
        <v>1378</v>
      </c>
      <c r="P982" s="4" t="n">
        <f aca="false">IF(A982=A981,P981+1-M981,0)</f>
        <v>6</v>
      </c>
    </row>
    <row r="983" customFormat="false" ht="15" hidden="false" customHeight="false" outlineLevel="0" collapsed="false">
      <c r="A983" s="28" t="s">
        <v>4037</v>
      </c>
      <c r="B983" s="28" t="s">
        <v>51</v>
      </c>
      <c r="C983" s="28" t="s">
        <v>88</v>
      </c>
      <c r="D983" s="28" t="s">
        <v>4038</v>
      </c>
      <c r="E983" s="4" t="n">
        <v>12</v>
      </c>
      <c r="F983" s="4" t="s">
        <v>1327</v>
      </c>
      <c r="G983" s="4" t="s">
        <v>3568</v>
      </c>
      <c r="H983" s="4" t="n">
        <v>1978</v>
      </c>
      <c r="I983" s="4" t="s">
        <v>3569</v>
      </c>
      <c r="J983" s="25" t="str">
        <f aca="false">IF(M983=1,"✓","")</f>
        <v/>
      </c>
      <c r="K983" s="4" t="str">
        <f aca="false">IF(AND(M983=0,P983=0),"▶ NEXT","")</f>
        <v/>
      </c>
      <c r="L983" s="4" t="n">
        <f aca="false">INDEX('Master List'!$F$2:$F$2594,O983)</f>
        <v>1</v>
      </c>
      <c r="M983" s="4" t="n">
        <f aca="false">INDEX('Master List'!$G$2:$G$2594,O983)</f>
        <v>0</v>
      </c>
      <c r="N983" s="4" t="str">
        <f aca="false">IF(K983="","",A983)</f>
        <v/>
      </c>
      <c r="O983" s="4" t="n">
        <v>1736</v>
      </c>
      <c r="P983" s="4" t="n">
        <f aca="false">IF(A983=A982,P982+1-M982,0)</f>
        <v>7</v>
      </c>
    </row>
    <row r="984" customFormat="false" ht="15" hidden="false" customHeight="false" outlineLevel="0" collapsed="false">
      <c r="A984" s="28" t="s">
        <v>4037</v>
      </c>
      <c r="B984" s="28" t="s">
        <v>51</v>
      </c>
      <c r="C984" s="28" t="s">
        <v>88</v>
      </c>
      <c r="D984" s="28" t="s">
        <v>4038</v>
      </c>
      <c r="E984" s="4" t="n">
        <v>13</v>
      </c>
      <c r="F984" s="4" t="s">
        <v>1327</v>
      </c>
      <c r="G984" s="4" t="s">
        <v>3533</v>
      </c>
      <c r="H984" s="4" t="n">
        <v>1974</v>
      </c>
      <c r="I984" s="4" t="s">
        <v>3534</v>
      </c>
      <c r="J984" s="25" t="str">
        <f aca="false">IF(M984=1,"✓","")</f>
        <v/>
      </c>
      <c r="K984" s="4" t="str">
        <f aca="false">IF(AND(M984=0,P984=0),"▶ NEXT","")</f>
        <v/>
      </c>
      <c r="L984" s="4" t="n">
        <f aca="false">INDEX('Master List'!$F$2:$F$2594,O984)</f>
        <v>1</v>
      </c>
      <c r="M984" s="4" t="n">
        <f aca="false">INDEX('Master List'!$G$2:$G$2594,O984)</f>
        <v>0</v>
      </c>
      <c r="N984" s="4" t="str">
        <f aca="false">IF(K984="","",A984)</f>
        <v/>
      </c>
      <c r="O984" s="4" t="n">
        <v>2161</v>
      </c>
      <c r="P984" s="4" t="n">
        <f aca="false">IF(A984=A983,P983+1-M983,0)</f>
        <v>8</v>
      </c>
    </row>
    <row r="985" customFormat="false" ht="15" hidden="false" customHeight="false" outlineLevel="0" collapsed="false">
      <c r="A985" s="28" t="s">
        <v>4039</v>
      </c>
      <c r="B985" s="28" t="s">
        <v>51</v>
      </c>
      <c r="C985" s="28" t="s">
        <v>88</v>
      </c>
      <c r="D985" s="28" t="s">
        <v>4040</v>
      </c>
      <c r="E985" s="4" t="n">
        <v>1</v>
      </c>
      <c r="F985" s="4" t="s">
        <v>144</v>
      </c>
      <c r="G985" s="7" t="s">
        <v>832</v>
      </c>
      <c r="H985" s="4" t="n">
        <v>1993</v>
      </c>
      <c r="I985" s="4" t="s">
        <v>833</v>
      </c>
      <c r="J985" s="25" t="str">
        <f aca="false">IF(M985=1,"✓","")</f>
        <v/>
      </c>
      <c r="K985" s="4" t="str">
        <f aca="false">IF(AND(M985=0,P985=0),"▶ NEXT","")</f>
        <v>▶ NEXT</v>
      </c>
      <c r="L985" s="4" t="n">
        <f aca="false">INDEX('Master List'!$F$2:$F$2594,O985)</f>
        <v>2</v>
      </c>
      <c r="M985" s="4" t="n">
        <f aca="false">INDEX('Master List'!$G$2:$G$2594,O985)</f>
        <v>0</v>
      </c>
      <c r="N985" s="4" t="str">
        <f aca="false">IF(K985="","",A985)</f>
        <v>N083</v>
      </c>
      <c r="O985" s="4" t="n">
        <v>1760</v>
      </c>
      <c r="P985" s="4" t="n">
        <f aca="false">IF(A985=A984,P984+1-M984,0)</f>
        <v>0</v>
      </c>
    </row>
    <row r="986" customFormat="false" ht="15" hidden="false" customHeight="false" outlineLevel="0" collapsed="false">
      <c r="A986" s="28" t="s">
        <v>4039</v>
      </c>
      <c r="B986" s="28" t="s">
        <v>51</v>
      </c>
      <c r="C986" s="28" t="s">
        <v>88</v>
      </c>
      <c r="D986" s="28" t="s">
        <v>4040</v>
      </c>
      <c r="E986" s="4" t="n">
        <v>2</v>
      </c>
      <c r="F986" s="4" t="s">
        <v>144</v>
      </c>
      <c r="G986" s="7" t="s">
        <v>1559</v>
      </c>
      <c r="H986" s="4" t="n">
        <v>1994</v>
      </c>
      <c r="I986" s="4" t="s">
        <v>1560</v>
      </c>
      <c r="J986" s="25" t="str">
        <f aca="false">IF(M986=1,"✓","")</f>
        <v/>
      </c>
      <c r="K986" s="4" t="str">
        <f aca="false">IF(AND(M986=0,P986=0),"▶ NEXT","")</f>
        <v/>
      </c>
      <c r="L986" s="4" t="n">
        <f aca="false">INDEX('Master List'!$F$2:$F$2594,O986)</f>
        <v>1</v>
      </c>
      <c r="M986" s="4" t="n">
        <f aca="false">INDEX('Master List'!$G$2:$G$2594,O986)</f>
        <v>0</v>
      </c>
      <c r="N986" s="4" t="str">
        <f aca="false">IF(K986="","",A986)</f>
        <v/>
      </c>
      <c r="O986" s="4" t="n">
        <v>1015</v>
      </c>
      <c r="P986" s="4" t="n">
        <f aca="false">IF(A986=A985,P985+1-M985,0)</f>
        <v>1</v>
      </c>
    </row>
    <row r="987" customFormat="false" ht="15" hidden="false" customHeight="false" outlineLevel="0" collapsed="false">
      <c r="A987" s="28" t="s">
        <v>4039</v>
      </c>
      <c r="B987" s="28" t="s">
        <v>51</v>
      </c>
      <c r="C987" s="28" t="s">
        <v>88</v>
      </c>
      <c r="D987" s="28" t="s">
        <v>4040</v>
      </c>
      <c r="E987" s="4" t="n">
        <v>3</v>
      </c>
      <c r="F987" s="4" t="s">
        <v>213</v>
      </c>
      <c r="G987" s="4" t="s">
        <v>2509</v>
      </c>
      <c r="H987" s="4" t="n">
        <v>1990</v>
      </c>
      <c r="I987" s="4" t="s">
        <v>833</v>
      </c>
      <c r="J987" s="25" t="str">
        <f aca="false">IF(M987=1,"✓","")</f>
        <v/>
      </c>
      <c r="K987" s="4" t="str">
        <f aca="false">IF(AND(M987=0,P987=0),"▶ NEXT","")</f>
        <v/>
      </c>
      <c r="L987" s="4" t="n">
        <f aca="false">INDEX('Master List'!$F$2:$F$2594,O987)</f>
        <v>1</v>
      </c>
      <c r="M987" s="4" t="n">
        <f aca="false">INDEX('Master List'!$G$2:$G$2594,O987)</f>
        <v>0</v>
      </c>
      <c r="N987" s="4" t="str">
        <f aca="false">IF(K987="","",A987)</f>
        <v/>
      </c>
      <c r="O987" s="4" t="n">
        <v>105</v>
      </c>
      <c r="P987" s="4" t="n">
        <f aca="false">IF(A987=A986,P986+1-M986,0)</f>
        <v>2</v>
      </c>
    </row>
    <row r="988" customFormat="false" ht="15" hidden="false" customHeight="false" outlineLevel="0" collapsed="false">
      <c r="A988" s="28" t="s">
        <v>4039</v>
      </c>
      <c r="B988" s="28" t="s">
        <v>51</v>
      </c>
      <c r="C988" s="28" t="s">
        <v>88</v>
      </c>
      <c r="D988" s="28" t="s">
        <v>4040</v>
      </c>
      <c r="E988" s="4" t="n">
        <v>4</v>
      </c>
      <c r="F988" s="4" t="s">
        <v>213</v>
      </c>
      <c r="G988" s="4" t="s">
        <v>1108</v>
      </c>
      <c r="H988" s="4" t="n">
        <v>1994</v>
      </c>
      <c r="I988" s="4" t="s">
        <v>1109</v>
      </c>
      <c r="J988" s="25" t="str">
        <f aca="false">IF(M988=1,"✓","")</f>
        <v/>
      </c>
      <c r="K988" s="4" t="str">
        <f aca="false">IF(AND(M988=0,P988=0),"▶ NEXT","")</f>
        <v/>
      </c>
      <c r="L988" s="4" t="n">
        <f aca="false">INDEX('Master List'!$F$2:$F$2594,O988)</f>
        <v>2</v>
      </c>
      <c r="M988" s="4" t="n">
        <f aca="false">INDEX('Master List'!$G$2:$G$2594,O988)</f>
        <v>0</v>
      </c>
      <c r="N988" s="4" t="str">
        <f aca="false">IF(K988="","",A988)</f>
        <v/>
      </c>
      <c r="O988" s="4" t="n">
        <v>1674</v>
      </c>
      <c r="P988" s="4" t="n">
        <f aca="false">IF(A988=A987,P987+1-M987,0)</f>
        <v>3</v>
      </c>
    </row>
    <row r="989" customFormat="false" ht="15" hidden="false" customHeight="false" outlineLevel="0" collapsed="false">
      <c r="A989" s="28" t="s">
        <v>4039</v>
      </c>
      <c r="B989" s="28" t="s">
        <v>51</v>
      </c>
      <c r="C989" s="28" t="s">
        <v>88</v>
      </c>
      <c r="D989" s="28" t="s">
        <v>4040</v>
      </c>
      <c r="E989" s="4" t="n">
        <v>5</v>
      </c>
      <c r="F989" s="4" t="s">
        <v>213</v>
      </c>
      <c r="G989" s="4" t="s">
        <v>3096</v>
      </c>
      <c r="H989" s="4" t="n">
        <v>2016</v>
      </c>
      <c r="I989" s="4" t="s">
        <v>1410</v>
      </c>
      <c r="J989" s="25" t="str">
        <f aca="false">IF(M989=1,"✓","")</f>
        <v>✓</v>
      </c>
      <c r="K989" s="4" t="str">
        <f aca="false">IF(AND(M989=0,P989=0),"▶ NEXT","")</f>
        <v/>
      </c>
      <c r="L989" s="4" t="n">
        <f aca="false">INDEX('Master List'!$F$2:$F$2594,O989)</f>
        <v>1</v>
      </c>
      <c r="M989" s="4" t="n">
        <f aca="false">INDEX('Master List'!$G$2:$G$2594,O989)</f>
        <v>1</v>
      </c>
      <c r="N989" s="4" t="str">
        <f aca="false">IF(K989="","",A989)</f>
        <v/>
      </c>
      <c r="O989" s="4" t="n">
        <v>1090</v>
      </c>
      <c r="P989" s="4" t="n">
        <f aca="false">IF(A989=A988,P988+1-M988,0)</f>
        <v>4</v>
      </c>
    </row>
    <row r="990" customFormat="false" ht="15" hidden="false" customHeight="false" outlineLevel="0" collapsed="false">
      <c r="A990" s="28" t="s">
        <v>4039</v>
      </c>
      <c r="B990" s="28" t="s">
        <v>51</v>
      </c>
      <c r="C990" s="28" t="s">
        <v>88</v>
      </c>
      <c r="D990" s="28" t="s">
        <v>4040</v>
      </c>
      <c r="E990" s="4" t="n">
        <v>6</v>
      </c>
      <c r="F990" s="4" t="s">
        <v>213</v>
      </c>
      <c r="G990" s="4" t="s">
        <v>2668</v>
      </c>
      <c r="H990" s="4" t="n">
        <v>1997</v>
      </c>
      <c r="I990" s="4" t="s">
        <v>2669</v>
      </c>
      <c r="J990" s="25" t="str">
        <f aca="false">IF(M990=1,"✓","")</f>
        <v/>
      </c>
      <c r="K990" s="4" t="str">
        <f aca="false">IF(AND(M990=0,P990=0),"▶ NEXT","")</f>
        <v/>
      </c>
      <c r="L990" s="4" t="n">
        <f aca="false">INDEX('Master List'!$F$2:$F$2594,O990)</f>
        <v>1</v>
      </c>
      <c r="M990" s="4" t="n">
        <f aca="false">INDEX('Master List'!$G$2:$G$2594,O990)</f>
        <v>0</v>
      </c>
      <c r="N990" s="4" t="str">
        <f aca="false">IF(K990="","",A990)</f>
        <v/>
      </c>
      <c r="O990" s="4" t="n">
        <v>2213</v>
      </c>
      <c r="P990" s="4" t="n">
        <f aca="false">IF(A990=A989,P989+1-M989,0)</f>
        <v>4</v>
      </c>
    </row>
    <row r="991" customFormat="false" ht="15" hidden="false" customHeight="false" outlineLevel="0" collapsed="false">
      <c r="A991" s="28" t="s">
        <v>4039</v>
      </c>
      <c r="B991" s="28" t="s">
        <v>51</v>
      </c>
      <c r="C991" s="28" t="s">
        <v>88</v>
      </c>
      <c r="D991" s="28" t="s">
        <v>4040</v>
      </c>
      <c r="E991" s="4" t="n">
        <v>7</v>
      </c>
      <c r="F991" s="4" t="s">
        <v>213</v>
      </c>
      <c r="G991" s="4" t="s">
        <v>2490</v>
      </c>
      <c r="H991" s="4" t="n">
        <v>1989</v>
      </c>
      <c r="I991" s="4" t="s">
        <v>2432</v>
      </c>
      <c r="J991" s="25" t="str">
        <f aca="false">IF(M991=1,"✓","")</f>
        <v/>
      </c>
      <c r="K991" s="4" t="str">
        <f aca="false">IF(AND(M991=0,P991=0),"▶ NEXT","")</f>
        <v/>
      </c>
      <c r="L991" s="4" t="n">
        <f aca="false">INDEX('Master List'!$F$2:$F$2594,O991)</f>
        <v>1</v>
      </c>
      <c r="M991" s="4" t="n">
        <f aca="false">INDEX('Master List'!$G$2:$G$2594,O991)</f>
        <v>0</v>
      </c>
      <c r="N991" s="4" t="str">
        <f aca="false">IF(K991="","",A991)</f>
        <v/>
      </c>
      <c r="O991" s="4" t="n">
        <v>1204</v>
      </c>
      <c r="P991" s="4" t="n">
        <f aca="false">IF(A991=A990,P990+1-M990,0)</f>
        <v>5</v>
      </c>
    </row>
    <row r="992" customFormat="false" ht="15" hidden="false" customHeight="false" outlineLevel="0" collapsed="false">
      <c r="A992" s="28" t="s">
        <v>4039</v>
      </c>
      <c r="B992" s="28" t="s">
        <v>51</v>
      </c>
      <c r="C992" s="28" t="s">
        <v>88</v>
      </c>
      <c r="D992" s="28" t="s">
        <v>4040</v>
      </c>
      <c r="E992" s="4" t="n">
        <v>8</v>
      </c>
      <c r="F992" s="4" t="s">
        <v>213</v>
      </c>
      <c r="G992" s="4" t="s">
        <v>2431</v>
      </c>
      <c r="H992" s="4" t="n">
        <v>1986</v>
      </c>
      <c r="I992" s="4" t="s">
        <v>2432</v>
      </c>
      <c r="J992" s="25" t="str">
        <f aca="false">IF(M992=1,"✓","")</f>
        <v/>
      </c>
      <c r="K992" s="4" t="str">
        <f aca="false">IF(AND(M992=0,P992=0),"▶ NEXT","")</f>
        <v/>
      </c>
      <c r="L992" s="4" t="n">
        <f aca="false">INDEX('Master List'!$F$2:$F$2594,O992)</f>
        <v>1</v>
      </c>
      <c r="M992" s="4" t="n">
        <f aca="false">INDEX('Master List'!$G$2:$G$2594,O992)</f>
        <v>0</v>
      </c>
      <c r="N992" s="4" t="str">
        <f aca="false">IF(K992="","",A992)</f>
        <v/>
      </c>
      <c r="O992" s="4" t="n">
        <v>601</v>
      </c>
      <c r="P992" s="4" t="n">
        <f aca="false">IF(A992=A991,P991+1-M991,0)</f>
        <v>6</v>
      </c>
    </row>
    <row r="993" customFormat="false" ht="15" hidden="false" customHeight="false" outlineLevel="0" collapsed="false">
      <c r="A993" s="28" t="s">
        <v>4039</v>
      </c>
      <c r="B993" s="28" t="s">
        <v>51</v>
      </c>
      <c r="C993" s="28" t="s">
        <v>88</v>
      </c>
      <c r="D993" s="28" t="s">
        <v>4040</v>
      </c>
      <c r="E993" s="4" t="n">
        <v>9</v>
      </c>
      <c r="F993" s="4" t="s">
        <v>213</v>
      </c>
      <c r="G993" s="4" t="s">
        <v>1196</v>
      </c>
      <c r="H993" s="4" t="n">
        <v>2010</v>
      </c>
      <c r="I993" s="4" t="s">
        <v>327</v>
      </c>
      <c r="J993" s="25" t="str">
        <f aca="false">IF(M993=1,"✓","")</f>
        <v/>
      </c>
      <c r="K993" s="4" t="str">
        <f aca="false">IF(AND(M993=0,P993=0),"▶ NEXT","")</f>
        <v/>
      </c>
      <c r="L993" s="4" t="n">
        <f aca="false">INDEX('Master List'!$F$2:$F$2594,O993)</f>
        <v>2</v>
      </c>
      <c r="M993" s="4" t="n">
        <f aca="false">INDEX('Master List'!$G$2:$G$2594,O993)</f>
        <v>0</v>
      </c>
      <c r="N993" s="4" t="str">
        <f aca="false">IF(K993="","",A993)</f>
        <v/>
      </c>
      <c r="O993" s="4" t="n">
        <v>1132</v>
      </c>
      <c r="P993" s="4" t="n">
        <f aca="false">IF(A993=A992,P992+1-M992,0)</f>
        <v>7</v>
      </c>
    </row>
    <row r="994" customFormat="false" ht="15" hidden="false" customHeight="false" outlineLevel="0" collapsed="false">
      <c r="A994" s="28" t="s">
        <v>4039</v>
      </c>
      <c r="B994" s="28" t="s">
        <v>51</v>
      </c>
      <c r="C994" s="28" t="s">
        <v>88</v>
      </c>
      <c r="D994" s="28" t="s">
        <v>4040</v>
      </c>
      <c r="E994" s="4" t="n">
        <v>10</v>
      </c>
      <c r="F994" s="4" t="s">
        <v>213</v>
      </c>
      <c r="G994" s="4" t="s">
        <v>3050</v>
      </c>
      <c r="H994" s="4" t="n">
        <v>2014</v>
      </c>
      <c r="I994" s="4" t="s">
        <v>3051</v>
      </c>
      <c r="J994" s="25" t="str">
        <f aca="false">IF(M994=1,"✓","")</f>
        <v/>
      </c>
      <c r="K994" s="4" t="str">
        <f aca="false">IF(AND(M994=0,P994=0),"▶ NEXT","")</f>
        <v/>
      </c>
      <c r="L994" s="4" t="n">
        <f aca="false">INDEX('Master List'!$F$2:$F$2594,O994)</f>
        <v>1</v>
      </c>
      <c r="M994" s="4" t="n">
        <f aca="false">INDEX('Master List'!$G$2:$G$2594,O994)</f>
        <v>0</v>
      </c>
      <c r="N994" s="4" t="str">
        <f aca="false">IF(K994="","",A994)</f>
        <v/>
      </c>
      <c r="O994" s="4" t="n">
        <v>1522</v>
      </c>
      <c r="P994" s="4" t="n">
        <f aca="false">IF(A994=A993,P993+1-M993,0)</f>
        <v>8</v>
      </c>
    </row>
    <row r="995" customFormat="false" ht="15" hidden="false" customHeight="false" outlineLevel="0" collapsed="false">
      <c r="A995" s="28" t="s">
        <v>4039</v>
      </c>
      <c r="B995" s="28" t="s">
        <v>51</v>
      </c>
      <c r="C995" s="28" t="s">
        <v>88</v>
      </c>
      <c r="D995" s="28" t="s">
        <v>4040</v>
      </c>
      <c r="E995" s="4" t="n">
        <v>11</v>
      </c>
      <c r="F995" s="4" t="s">
        <v>1327</v>
      </c>
      <c r="G995" s="4" t="s">
        <v>3469</v>
      </c>
      <c r="H995" s="4" t="n">
        <v>1970</v>
      </c>
      <c r="I995" s="4" t="s">
        <v>3470</v>
      </c>
      <c r="J995" s="25" t="str">
        <f aca="false">IF(M995=1,"✓","")</f>
        <v/>
      </c>
      <c r="K995" s="4" t="str">
        <f aca="false">IF(AND(M995=0,P995=0),"▶ NEXT","")</f>
        <v/>
      </c>
      <c r="L995" s="4" t="n">
        <f aca="false">INDEX('Master List'!$F$2:$F$2594,O995)</f>
        <v>1</v>
      </c>
      <c r="M995" s="4" t="n">
        <f aca="false">INDEX('Master List'!$G$2:$G$2594,O995)</f>
        <v>0</v>
      </c>
      <c r="N995" s="4" t="str">
        <f aca="false">IF(K995="","",A995)</f>
        <v/>
      </c>
      <c r="O995" s="4" t="n">
        <v>913</v>
      </c>
      <c r="P995" s="4" t="n">
        <f aca="false">IF(A995=A994,P994+1-M994,0)</f>
        <v>9</v>
      </c>
    </row>
    <row r="996" customFormat="false" ht="15" hidden="false" customHeight="false" outlineLevel="0" collapsed="false">
      <c r="A996" s="28" t="s">
        <v>4039</v>
      </c>
      <c r="B996" s="28" t="s">
        <v>51</v>
      </c>
      <c r="C996" s="28" t="s">
        <v>88</v>
      </c>
      <c r="D996" s="28" t="s">
        <v>4040</v>
      </c>
      <c r="E996" s="4" t="n">
        <v>12</v>
      </c>
      <c r="F996" s="4" t="s">
        <v>1327</v>
      </c>
      <c r="G996" s="4" t="s">
        <v>3487</v>
      </c>
      <c r="H996" s="4" t="n">
        <v>1971</v>
      </c>
      <c r="I996" s="4" t="s">
        <v>3488</v>
      </c>
      <c r="J996" s="25" t="str">
        <f aca="false">IF(M996=1,"✓","")</f>
        <v/>
      </c>
      <c r="K996" s="4" t="str">
        <f aca="false">IF(AND(M996=0,P996=0),"▶ NEXT","")</f>
        <v/>
      </c>
      <c r="L996" s="4" t="n">
        <f aca="false">INDEX('Master List'!$F$2:$F$2594,O996)</f>
        <v>1</v>
      </c>
      <c r="M996" s="4" t="n">
        <f aca="false">INDEX('Master List'!$G$2:$G$2594,O996)</f>
        <v>0</v>
      </c>
      <c r="N996" s="4" t="str">
        <f aca="false">IF(K996="","",A996)</f>
        <v/>
      </c>
      <c r="O996" s="4" t="n">
        <v>1523</v>
      </c>
      <c r="P996" s="4" t="n">
        <f aca="false">IF(A996=A995,P995+1-M995,0)</f>
        <v>10</v>
      </c>
    </row>
    <row r="997" customFormat="false" ht="15" hidden="false" customHeight="false" outlineLevel="0" collapsed="false">
      <c r="A997" s="29" t="s">
        <v>4041</v>
      </c>
      <c r="B997" s="29" t="s">
        <v>52</v>
      </c>
      <c r="C997" s="29" t="s">
        <v>89</v>
      </c>
      <c r="D997" s="29" t="s">
        <v>4042</v>
      </c>
      <c r="E997" s="4" t="n">
        <v>1</v>
      </c>
      <c r="F997" s="4" t="s">
        <v>144</v>
      </c>
      <c r="G997" s="7" t="s">
        <v>219</v>
      </c>
      <c r="H997" s="4" t="n">
        <v>1944</v>
      </c>
      <c r="I997" s="4" t="s">
        <v>200</v>
      </c>
      <c r="J997" s="25" t="str">
        <f aca="false">IF(M997=1,"✓","")</f>
        <v>✓</v>
      </c>
      <c r="K997" s="4" t="str">
        <f aca="false">IF(AND(M997=0,P997=0),"▶ NEXT","")</f>
        <v/>
      </c>
      <c r="L997" s="4" t="n">
        <f aca="false">INDEX('Master List'!$F$2:$F$2594,O997)</f>
        <v>6</v>
      </c>
      <c r="M997" s="4" t="n">
        <f aca="false">INDEX('Master List'!$G$2:$G$2594,O997)</f>
        <v>1</v>
      </c>
      <c r="N997" s="4" t="str">
        <f aca="false">IF(K997="","",A997)</f>
        <v/>
      </c>
      <c r="O997" s="4" t="n">
        <v>663</v>
      </c>
      <c r="P997" s="4" t="n">
        <f aca="false">IF(A997=A996,P996+1-M996,0)</f>
        <v>0</v>
      </c>
    </row>
    <row r="998" customFormat="false" ht="15" hidden="false" customHeight="false" outlineLevel="0" collapsed="false">
      <c r="A998" s="29" t="s">
        <v>4041</v>
      </c>
      <c r="B998" s="29" t="s">
        <v>52</v>
      </c>
      <c r="C998" s="29" t="s">
        <v>89</v>
      </c>
      <c r="D998" s="29" t="s">
        <v>4042</v>
      </c>
      <c r="E998" s="4" t="n">
        <v>2</v>
      </c>
      <c r="F998" s="4" t="s">
        <v>144</v>
      </c>
      <c r="G998" s="7" t="s">
        <v>282</v>
      </c>
      <c r="H998" s="4" t="n">
        <v>1941</v>
      </c>
      <c r="I998" s="4" t="s">
        <v>283</v>
      </c>
      <c r="J998" s="25" t="str">
        <f aca="false">IF(M998=1,"✓","")</f>
        <v/>
      </c>
      <c r="K998" s="4" t="str">
        <f aca="false">IF(AND(M998=0,P998=0),"▶ NEXT","")</f>
        <v>▶ NEXT</v>
      </c>
      <c r="L998" s="4" t="n">
        <f aca="false">INDEX('Master List'!$F$2:$F$2594,O998)</f>
        <v>5</v>
      </c>
      <c r="M998" s="4" t="n">
        <f aca="false">INDEX('Master List'!$G$2:$G$2594,O998)</f>
        <v>0</v>
      </c>
      <c r="N998" s="4" t="str">
        <f aca="false">IF(K998="","",A998)</f>
        <v>N084</v>
      </c>
      <c r="O998" s="4" t="n">
        <v>1419</v>
      </c>
      <c r="P998" s="4" t="n">
        <f aca="false">IF(A998=A997,P997+1-M997,0)</f>
        <v>0</v>
      </c>
    </row>
    <row r="999" customFormat="false" ht="15" hidden="false" customHeight="false" outlineLevel="0" collapsed="false">
      <c r="A999" s="29" t="s">
        <v>4041</v>
      </c>
      <c r="B999" s="29" t="s">
        <v>52</v>
      </c>
      <c r="C999" s="29" t="s">
        <v>89</v>
      </c>
      <c r="D999" s="29" t="s">
        <v>4042</v>
      </c>
      <c r="E999" s="4" t="n">
        <v>3</v>
      </c>
      <c r="F999" s="4" t="s">
        <v>213</v>
      </c>
      <c r="G999" s="4" t="s">
        <v>1815</v>
      </c>
      <c r="H999" s="4" t="n">
        <v>1944</v>
      </c>
      <c r="I999" s="4" t="s">
        <v>951</v>
      </c>
      <c r="J999" s="25" t="str">
        <f aca="false">IF(M999=1,"✓","")</f>
        <v/>
      </c>
      <c r="K999" s="4" t="str">
        <f aca="false">IF(AND(M999=0,P999=0),"▶ NEXT","")</f>
        <v/>
      </c>
      <c r="L999" s="4" t="n">
        <f aca="false">INDEX('Master List'!$F$2:$F$2594,O999)</f>
        <v>1</v>
      </c>
      <c r="M999" s="4" t="n">
        <f aca="false">INDEX('Master List'!$G$2:$G$2594,O999)</f>
        <v>0</v>
      </c>
      <c r="N999" s="4" t="str">
        <f aca="false">IF(K999="","",A999)</f>
        <v/>
      </c>
      <c r="O999" s="4" t="n">
        <v>1309</v>
      </c>
      <c r="P999" s="4" t="n">
        <f aca="false">IF(A999=A998,P998+1-M998,0)</f>
        <v>1</v>
      </c>
    </row>
    <row r="1000" customFormat="false" ht="15" hidden="false" customHeight="false" outlineLevel="0" collapsed="false">
      <c r="A1000" s="29" t="s">
        <v>4041</v>
      </c>
      <c r="B1000" s="29" t="s">
        <v>52</v>
      </c>
      <c r="C1000" s="29" t="s">
        <v>89</v>
      </c>
      <c r="D1000" s="29" t="s">
        <v>4042</v>
      </c>
      <c r="E1000" s="4" t="n">
        <v>4</v>
      </c>
      <c r="F1000" s="4" t="s">
        <v>213</v>
      </c>
      <c r="G1000" s="4" t="s">
        <v>1816</v>
      </c>
      <c r="H1000" s="4" t="n">
        <v>1944</v>
      </c>
      <c r="I1000" s="4" t="s">
        <v>1817</v>
      </c>
      <c r="J1000" s="25" t="str">
        <f aca="false">IF(M1000=1,"✓","")</f>
        <v/>
      </c>
      <c r="K1000" s="4" t="str">
        <f aca="false">IF(AND(M1000=0,P1000=0),"▶ NEXT","")</f>
        <v/>
      </c>
      <c r="L1000" s="4" t="n">
        <f aca="false">INDEX('Master List'!$F$2:$F$2594,O1000)</f>
        <v>1</v>
      </c>
      <c r="M1000" s="4" t="n">
        <f aca="false">INDEX('Master List'!$G$2:$G$2594,O1000)</f>
        <v>0</v>
      </c>
      <c r="N1000" s="4" t="str">
        <f aca="false">IF(K1000="","",A1000)</f>
        <v/>
      </c>
      <c r="O1000" s="4" t="n">
        <v>1560</v>
      </c>
      <c r="P1000" s="4" t="n">
        <f aca="false">IF(A1000=A999,P999+1-M999,0)</f>
        <v>2</v>
      </c>
    </row>
    <row r="1001" customFormat="false" ht="15" hidden="false" customHeight="false" outlineLevel="0" collapsed="false">
      <c r="A1001" s="29" t="s">
        <v>4041</v>
      </c>
      <c r="B1001" s="29" t="s">
        <v>52</v>
      </c>
      <c r="C1001" s="29" t="s">
        <v>89</v>
      </c>
      <c r="D1001" s="29" t="s">
        <v>4042</v>
      </c>
      <c r="E1001" s="4" t="n">
        <v>5</v>
      </c>
      <c r="F1001" s="4" t="s">
        <v>213</v>
      </c>
      <c r="G1001" s="4" t="s">
        <v>1826</v>
      </c>
      <c r="H1001" s="4" t="n">
        <v>1945</v>
      </c>
      <c r="I1001" s="4" t="s">
        <v>1752</v>
      </c>
      <c r="J1001" s="25" t="str">
        <f aca="false">IF(M1001=1,"✓","")</f>
        <v/>
      </c>
      <c r="K1001" s="4" t="str">
        <f aca="false">IF(AND(M1001=0,P1001=0),"▶ NEXT","")</f>
        <v/>
      </c>
      <c r="L1001" s="4" t="n">
        <f aca="false">INDEX('Master List'!$F$2:$F$2594,O1001)</f>
        <v>1</v>
      </c>
      <c r="M1001" s="4" t="n">
        <f aca="false">INDEX('Master List'!$G$2:$G$2594,O1001)</f>
        <v>0</v>
      </c>
      <c r="N1001" s="4" t="str">
        <f aca="false">IF(K1001="","",A1001)</f>
        <v/>
      </c>
      <c r="O1001" s="4" t="n">
        <v>616</v>
      </c>
      <c r="P1001" s="4" t="n">
        <f aca="false">IF(A1001=A1000,P1000+1-M1000,0)</f>
        <v>3</v>
      </c>
    </row>
    <row r="1002" customFormat="false" ht="15" hidden="false" customHeight="false" outlineLevel="0" collapsed="false">
      <c r="A1002" s="29" t="s">
        <v>4041</v>
      </c>
      <c r="B1002" s="29" t="s">
        <v>52</v>
      </c>
      <c r="C1002" s="29" t="s">
        <v>89</v>
      </c>
      <c r="D1002" s="29" t="s">
        <v>4042</v>
      </c>
      <c r="E1002" s="4" t="n">
        <v>6</v>
      </c>
      <c r="F1002" s="4" t="s">
        <v>213</v>
      </c>
      <c r="G1002" s="4" t="s">
        <v>571</v>
      </c>
      <c r="H1002" s="4" t="n">
        <v>1946</v>
      </c>
      <c r="I1002" s="4" t="s">
        <v>168</v>
      </c>
      <c r="J1002" s="25" t="str">
        <f aca="false">IF(M1002=1,"✓","")</f>
        <v/>
      </c>
      <c r="K1002" s="4" t="str">
        <f aca="false">IF(AND(M1002=0,P1002=0),"▶ NEXT","")</f>
        <v/>
      </c>
      <c r="L1002" s="4" t="n">
        <f aca="false">INDEX('Master List'!$F$2:$F$2594,O1002)</f>
        <v>3</v>
      </c>
      <c r="M1002" s="4" t="n">
        <f aca="false">INDEX('Master List'!$G$2:$G$2594,O1002)</f>
        <v>0</v>
      </c>
      <c r="N1002" s="4" t="str">
        <f aca="false">IF(K1002="","",A1002)</f>
        <v/>
      </c>
      <c r="O1002" s="4" t="n">
        <v>248</v>
      </c>
      <c r="P1002" s="4" t="n">
        <f aca="false">IF(A1002=A1001,P1001+1-M1001,0)</f>
        <v>4</v>
      </c>
    </row>
    <row r="1003" customFormat="false" ht="15" hidden="false" customHeight="false" outlineLevel="0" collapsed="false">
      <c r="A1003" s="29" t="s">
        <v>4041</v>
      </c>
      <c r="B1003" s="29" t="s">
        <v>52</v>
      </c>
      <c r="C1003" s="29" t="s">
        <v>89</v>
      </c>
      <c r="D1003" s="29" t="s">
        <v>4042</v>
      </c>
      <c r="E1003" s="4" t="n">
        <v>7</v>
      </c>
      <c r="F1003" s="4" t="s">
        <v>213</v>
      </c>
      <c r="G1003" s="4" t="s">
        <v>1836</v>
      </c>
      <c r="H1003" s="4" t="n">
        <v>1946</v>
      </c>
      <c r="I1003" s="4" t="s">
        <v>1837</v>
      </c>
      <c r="J1003" s="25" t="str">
        <f aca="false">IF(M1003=1,"✓","")</f>
        <v/>
      </c>
      <c r="K1003" s="4" t="str">
        <f aca="false">IF(AND(M1003=0,P1003=0),"▶ NEXT","")</f>
        <v/>
      </c>
      <c r="L1003" s="4" t="n">
        <f aca="false">INDEX('Master List'!$F$2:$F$2594,O1003)</f>
        <v>1</v>
      </c>
      <c r="M1003" s="4" t="n">
        <f aca="false">INDEX('Master List'!$G$2:$G$2594,O1003)</f>
        <v>0</v>
      </c>
      <c r="N1003" s="4" t="str">
        <f aca="false">IF(K1003="","",A1003)</f>
        <v/>
      </c>
      <c r="O1003" s="4" t="n">
        <v>1250</v>
      </c>
      <c r="P1003" s="4" t="n">
        <f aca="false">IF(A1003=A1002,P1002+1-M1002,0)</f>
        <v>5</v>
      </c>
    </row>
    <row r="1004" customFormat="false" ht="15" hidden="false" customHeight="false" outlineLevel="0" collapsed="false">
      <c r="A1004" s="29" t="s">
        <v>4041</v>
      </c>
      <c r="B1004" s="29" t="s">
        <v>52</v>
      </c>
      <c r="C1004" s="29" t="s">
        <v>89</v>
      </c>
      <c r="D1004" s="29" t="s">
        <v>4042</v>
      </c>
      <c r="E1004" s="4" t="n">
        <v>8</v>
      </c>
      <c r="F1004" s="4" t="s">
        <v>213</v>
      </c>
      <c r="G1004" s="4" t="s">
        <v>1838</v>
      </c>
      <c r="H1004" s="4" t="n">
        <v>1946</v>
      </c>
      <c r="I1004" s="4" t="s">
        <v>1839</v>
      </c>
      <c r="J1004" s="25" t="str">
        <f aca="false">IF(M1004=1,"✓","")</f>
        <v/>
      </c>
      <c r="K1004" s="4" t="str">
        <f aca="false">IF(AND(M1004=0,P1004=0),"▶ NEXT","")</f>
        <v/>
      </c>
      <c r="L1004" s="4" t="n">
        <f aca="false">INDEX('Master List'!$F$2:$F$2594,O1004)</f>
        <v>1</v>
      </c>
      <c r="M1004" s="4" t="n">
        <f aca="false">INDEX('Master List'!$G$2:$G$2594,O1004)</f>
        <v>0</v>
      </c>
      <c r="N1004" s="4" t="str">
        <f aca="false">IF(K1004="","",A1004)</f>
        <v/>
      </c>
      <c r="O1004" s="4" t="n">
        <v>896</v>
      </c>
      <c r="P1004" s="4" t="n">
        <f aca="false">IF(A1004=A1003,P1003+1-M1003,0)</f>
        <v>6</v>
      </c>
    </row>
    <row r="1005" customFormat="false" ht="15" hidden="false" customHeight="false" outlineLevel="0" collapsed="false">
      <c r="A1005" s="29" t="s">
        <v>4041</v>
      </c>
      <c r="B1005" s="29" t="s">
        <v>52</v>
      </c>
      <c r="C1005" s="29" t="s">
        <v>89</v>
      </c>
      <c r="D1005" s="29" t="s">
        <v>4042</v>
      </c>
      <c r="E1005" s="4" t="n">
        <v>9</v>
      </c>
      <c r="F1005" s="4" t="s">
        <v>213</v>
      </c>
      <c r="G1005" s="4" t="s">
        <v>1841</v>
      </c>
      <c r="H1005" s="4" t="n">
        <v>1947</v>
      </c>
      <c r="I1005" s="4" t="s">
        <v>884</v>
      </c>
      <c r="J1005" s="25" t="str">
        <f aca="false">IF(M1005=1,"✓","")</f>
        <v/>
      </c>
      <c r="K1005" s="4" t="str">
        <f aca="false">IF(AND(M1005=0,P1005=0),"▶ NEXT","")</f>
        <v/>
      </c>
      <c r="L1005" s="4" t="n">
        <f aca="false">INDEX('Master List'!$F$2:$F$2594,O1005)</f>
        <v>1</v>
      </c>
      <c r="M1005" s="4" t="n">
        <f aca="false">INDEX('Master List'!$G$2:$G$2594,O1005)</f>
        <v>0</v>
      </c>
      <c r="N1005" s="4" t="str">
        <f aca="false">IF(K1005="","",A1005)</f>
        <v/>
      </c>
      <c r="O1005" s="4" t="n">
        <v>1700</v>
      </c>
      <c r="P1005" s="4" t="n">
        <f aca="false">IF(A1005=A1004,P1004+1-M1004,0)</f>
        <v>7</v>
      </c>
    </row>
    <row r="1006" customFormat="false" ht="15" hidden="false" customHeight="false" outlineLevel="0" collapsed="false">
      <c r="A1006" s="29" t="s">
        <v>4041</v>
      </c>
      <c r="B1006" s="29" t="s">
        <v>52</v>
      </c>
      <c r="C1006" s="29" t="s">
        <v>89</v>
      </c>
      <c r="D1006" s="29" t="s">
        <v>4042</v>
      </c>
      <c r="E1006" s="4" t="n">
        <v>10</v>
      </c>
      <c r="F1006" s="4" t="s">
        <v>213</v>
      </c>
      <c r="G1006" s="4" t="s">
        <v>572</v>
      </c>
      <c r="H1006" s="4" t="n">
        <v>1947</v>
      </c>
      <c r="I1006" s="4" t="s">
        <v>143</v>
      </c>
      <c r="J1006" s="25" t="str">
        <f aca="false">IF(M1006=1,"✓","")</f>
        <v/>
      </c>
      <c r="K1006" s="4" t="str">
        <f aca="false">IF(AND(M1006=0,P1006=0),"▶ NEXT","")</f>
        <v/>
      </c>
      <c r="L1006" s="4" t="n">
        <f aca="false">INDEX('Master List'!$F$2:$F$2594,O1006)</f>
        <v>3</v>
      </c>
      <c r="M1006" s="4" t="n">
        <f aca="false">INDEX('Master List'!$G$2:$G$2594,O1006)</f>
        <v>0</v>
      </c>
      <c r="N1006" s="4" t="str">
        <f aca="false">IF(K1006="","",A1006)</f>
        <v/>
      </c>
      <c r="O1006" s="4" t="n">
        <v>1280</v>
      </c>
      <c r="P1006" s="4" t="n">
        <f aca="false">IF(A1006=A1005,P1005+1-M1005,0)</f>
        <v>8</v>
      </c>
    </row>
    <row r="1007" customFormat="false" ht="15" hidden="false" customHeight="false" outlineLevel="0" collapsed="false">
      <c r="A1007" s="29" t="s">
        <v>4041</v>
      </c>
      <c r="B1007" s="29" t="s">
        <v>52</v>
      </c>
      <c r="C1007" s="29" t="s">
        <v>89</v>
      </c>
      <c r="D1007" s="29" t="s">
        <v>4042</v>
      </c>
      <c r="E1007" s="4" t="n">
        <v>11</v>
      </c>
      <c r="F1007" s="4" t="s">
        <v>213</v>
      </c>
      <c r="G1007" s="4" t="s">
        <v>1842</v>
      </c>
      <c r="H1007" s="4" t="n">
        <v>1947</v>
      </c>
      <c r="I1007" s="4" t="s">
        <v>1843</v>
      </c>
      <c r="J1007" s="25" t="str">
        <f aca="false">IF(M1007=1,"✓","")</f>
        <v/>
      </c>
      <c r="K1007" s="4" t="str">
        <f aca="false">IF(AND(M1007=0,P1007=0),"▶ NEXT","")</f>
        <v/>
      </c>
      <c r="L1007" s="4" t="n">
        <f aca="false">INDEX('Master List'!$F$2:$F$2594,O1007)</f>
        <v>1</v>
      </c>
      <c r="M1007" s="4" t="n">
        <f aca="false">INDEX('Master List'!$G$2:$G$2594,O1007)</f>
        <v>0</v>
      </c>
      <c r="N1007" s="4" t="str">
        <f aca="false">IF(K1007="","",A1007)</f>
        <v/>
      </c>
      <c r="O1007" s="4" t="n">
        <v>2227</v>
      </c>
      <c r="P1007" s="4" t="n">
        <f aca="false">IF(A1007=A1006,P1006+1-M1006,0)</f>
        <v>9</v>
      </c>
    </row>
    <row r="1008" customFormat="false" ht="15" hidden="false" customHeight="false" outlineLevel="0" collapsed="false">
      <c r="A1008" s="29" t="s">
        <v>4041</v>
      </c>
      <c r="B1008" s="29" t="s">
        <v>52</v>
      </c>
      <c r="C1008" s="29" t="s">
        <v>89</v>
      </c>
      <c r="D1008" s="29" t="s">
        <v>4042</v>
      </c>
      <c r="E1008" s="4" t="n">
        <v>12</v>
      </c>
      <c r="F1008" s="4" t="s">
        <v>213</v>
      </c>
      <c r="G1008" s="4" t="s">
        <v>1853</v>
      </c>
      <c r="H1008" s="4" t="n">
        <v>1948</v>
      </c>
      <c r="I1008" s="4" t="s">
        <v>1854</v>
      </c>
      <c r="J1008" s="25" t="str">
        <f aca="false">IF(M1008=1,"✓","")</f>
        <v/>
      </c>
      <c r="K1008" s="4" t="str">
        <f aca="false">IF(AND(M1008=0,P1008=0),"▶ NEXT","")</f>
        <v/>
      </c>
      <c r="L1008" s="4" t="n">
        <f aca="false">INDEX('Master List'!$F$2:$F$2594,O1008)</f>
        <v>1</v>
      </c>
      <c r="M1008" s="4" t="n">
        <f aca="false">INDEX('Master List'!$G$2:$G$2594,O1008)</f>
        <v>0</v>
      </c>
      <c r="N1008" s="4" t="str">
        <f aca="false">IF(K1008="","",A1008)</f>
        <v/>
      </c>
      <c r="O1008" s="4" t="n">
        <v>834</v>
      </c>
      <c r="P1008" s="4" t="n">
        <f aca="false">IF(A1008=A1007,P1007+1-M1007,0)</f>
        <v>10</v>
      </c>
    </row>
    <row r="1009" customFormat="false" ht="15" hidden="false" customHeight="false" outlineLevel="0" collapsed="false">
      <c r="A1009" s="29" t="s">
        <v>4041</v>
      </c>
      <c r="B1009" s="29" t="s">
        <v>52</v>
      </c>
      <c r="C1009" s="29" t="s">
        <v>89</v>
      </c>
      <c r="D1009" s="29" t="s">
        <v>4042</v>
      </c>
      <c r="E1009" s="4" t="n">
        <v>13</v>
      </c>
      <c r="F1009" s="4" t="s">
        <v>213</v>
      </c>
      <c r="G1009" s="4" t="s">
        <v>1875</v>
      </c>
      <c r="H1009" s="4" t="n">
        <v>1950</v>
      </c>
      <c r="I1009" s="4" t="s">
        <v>1876</v>
      </c>
      <c r="J1009" s="25" t="str">
        <f aca="false">IF(M1009=1,"✓","")</f>
        <v/>
      </c>
      <c r="K1009" s="4" t="str">
        <f aca="false">IF(AND(M1009=0,P1009=0),"▶ NEXT","")</f>
        <v/>
      </c>
      <c r="L1009" s="4" t="n">
        <f aca="false">INDEX('Master List'!$F$2:$F$2594,O1009)</f>
        <v>1</v>
      </c>
      <c r="M1009" s="4" t="n">
        <f aca="false">INDEX('Master List'!$G$2:$G$2594,O1009)</f>
        <v>0</v>
      </c>
      <c r="N1009" s="4" t="str">
        <f aca="false">IF(K1009="","",A1009)</f>
        <v/>
      </c>
      <c r="O1009" s="4" t="n">
        <v>973</v>
      </c>
      <c r="P1009" s="4" t="n">
        <f aca="false">IF(A1009=A1008,P1008+1-M1008,0)</f>
        <v>11</v>
      </c>
    </row>
    <row r="1010" customFormat="false" ht="15" hidden="false" customHeight="false" outlineLevel="0" collapsed="false">
      <c r="A1010" s="29" t="s">
        <v>4041</v>
      </c>
      <c r="B1010" s="29" t="s">
        <v>52</v>
      </c>
      <c r="C1010" s="29" t="s">
        <v>89</v>
      </c>
      <c r="D1010" s="29" t="s">
        <v>4042</v>
      </c>
      <c r="E1010" s="4" t="n">
        <v>14</v>
      </c>
      <c r="F1010" s="4" t="s">
        <v>213</v>
      </c>
      <c r="G1010" s="4" t="s">
        <v>1274</v>
      </c>
      <c r="H1010" s="4" t="n">
        <v>1950</v>
      </c>
      <c r="I1010" s="4" t="s">
        <v>283</v>
      </c>
      <c r="J1010" s="25" t="str">
        <f aca="false">IF(M1010=1,"✓","")</f>
        <v/>
      </c>
      <c r="K1010" s="4" t="str">
        <f aca="false">IF(AND(M1010=0,P1010=0),"▶ NEXT","")</f>
        <v/>
      </c>
      <c r="L1010" s="4" t="n">
        <f aca="false">INDEX('Master List'!$F$2:$F$2594,O1010)</f>
        <v>2</v>
      </c>
      <c r="M1010" s="4" t="n">
        <f aca="false">INDEX('Master List'!$G$2:$G$2594,O1010)</f>
        <v>0</v>
      </c>
      <c r="N1010" s="4" t="str">
        <f aca="false">IF(K1010="","",A1010)</f>
        <v/>
      </c>
      <c r="O1010" s="4" t="n">
        <v>139</v>
      </c>
      <c r="P1010" s="4" t="n">
        <f aca="false">IF(A1010=A1009,P1009+1-M1009,0)</f>
        <v>12</v>
      </c>
    </row>
    <row r="1011" customFormat="false" ht="15" hidden="false" customHeight="false" outlineLevel="0" collapsed="false">
      <c r="A1011" s="29" t="s">
        <v>4041</v>
      </c>
      <c r="B1011" s="29" t="s">
        <v>52</v>
      </c>
      <c r="C1011" s="29" t="s">
        <v>89</v>
      </c>
      <c r="D1011" s="29" t="s">
        <v>4042</v>
      </c>
      <c r="E1011" s="4" t="n">
        <v>15</v>
      </c>
      <c r="F1011" s="4" t="s">
        <v>213</v>
      </c>
      <c r="G1011" s="4" t="s">
        <v>742</v>
      </c>
      <c r="H1011" s="4" t="n">
        <v>1950</v>
      </c>
      <c r="I1011" s="4" t="s">
        <v>270</v>
      </c>
      <c r="J1011" s="25" t="str">
        <f aca="false">IF(M1011=1,"✓","")</f>
        <v/>
      </c>
      <c r="K1011" s="4" t="str">
        <f aca="false">IF(AND(M1011=0,P1011=0),"▶ NEXT","")</f>
        <v/>
      </c>
      <c r="L1011" s="4" t="n">
        <f aca="false">INDEX('Master List'!$F$2:$F$2594,O1011)</f>
        <v>2</v>
      </c>
      <c r="M1011" s="4" t="n">
        <f aca="false">INDEX('Master List'!$G$2:$G$2594,O1011)</f>
        <v>0</v>
      </c>
      <c r="N1011" s="4" t="str">
        <f aca="false">IF(K1011="","",A1011)</f>
        <v/>
      </c>
      <c r="O1011" s="4" t="n">
        <v>1124</v>
      </c>
      <c r="P1011" s="4" t="n">
        <f aca="false">IF(A1011=A1010,P1010+1-M1010,0)</f>
        <v>13</v>
      </c>
    </row>
    <row r="1012" customFormat="false" ht="15" hidden="false" customHeight="false" outlineLevel="0" collapsed="false">
      <c r="A1012" s="29" t="s">
        <v>4041</v>
      </c>
      <c r="B1012" s="29" t="s">
        <v>52</v>
      </c>
      <c r="C1012" s="29" t="s">
        <v>89</v>
      </c>
      <c r="D1012" s="29" t="s">
        <v>4042</v>
      </c>
      <c r="E1012" s="4" t="n">
        <v>16</v>
      </c>
      <c r="F1012" s="4" t="s">
        <v>213</v>
      </c>
      <c r="G1012" s="4" t="s">
        <v>1877</v>
      </c>
      <c r="H1012" s="4" t="n">
        <v>1950</v>
      </c>
      <c r="I1012" s="4" t="s">
        <v>658</v>
      </c>
      <c r="J1012" s="25" t="str">
        <f aca="false">IF(M1012=1,"✓","")</f>
        <v/>
      </c>
      <c r="K1012" s="4" t="str">
        <f aca="false">IF(AND(M1012=0,P1012=0),"▶ NEXT","")</f>
        <v/>
      </c>
      <c r="L1012" s="4" t="n">
        <f aca="false">INDEX('Master List'!$F$2:$F$2594,O1012)</f>
        <v>1</v>
      </c>
      <c r="M1012" s="4" t="n">
        <f aca="false">INDEX('Master List'!$G$2:$G$2594,O1012)</f>
        <v>0</v>
      </c>
      <c r="N1012" s="4" t="str">
        <f aca="false">IF(K1012="","",A1012)</f>
        <v/>
      </c>
      <c r="O1012" s="4" t="n">
        <v>1601</v>
      </c>
      <c r="P1012" s="4" t="n">
        <f aca="false">IF(A1012=A1011,P1011+1-M1011,0)</f>
        <v>14</v>
      </c>
    </row>
    <row r="1013" customFormat="false" ht="15" hidden="false" customHeight="false" outlineLevel="0" collapsed="false">
      <c r="A1013" s="29" t="s">
        <v>4041</v>
      </c>
      <c r="B1013" s="29" t="s">
        <v>52</v>
      </c>
      <c r="C1013" s="29" t="s">
        <v>89</v>
      </c>
      <c r="D1013" s="29" t="s">
        <v>4042</v>
      </c>
      <c r="E1013" s="4" t="n">
        <v>17</v>
      </c>
      <c r="F1013" s="4" t="s">
        <v>213</v>
      </c>
      <c r="G1013" s="4" t="s">
        <v>574</v>
      </c>
      <c r="H1013" s="4" t="n">
        <v>1951</v>
      </c>
      <c r="I1013" s="4" t="s">
        <v>200</v>
      </c>
      <c r="J1013" s="25" t="str">
        <f aca="false">IF(M1013=1,"✓","")</f>
        <v/>
      </c>
      <c r="K1013" s="4" t="str">
        <f aca="false">IF(AND(M1013=0,P1013=0),"▶ NEXT","")</f>
        <v/>
      </c>
      <c r="L1013" s="4" t="n">
        <f aca="false">INDEX('Master List'!$F$2:$F$2594,O1013)</f>
        <v>3</v>
      </c>
      <c r="M1013" s="4" t="n">
        <f aca="false">INDEX('Master List'!$G$2:$G$2594,O1013)</f>
        <v>0</v>
      </c>
      <c r="N1013" s="4" t="str">
        <f aca="false">IF(K1013="","",A1013)</f>
        <v/>
      </c>
      <c r="O1013" s="4" t="n">
        <v>38</v>
      </c>
      <c r="P1013" s="4" t="n">
        <f aca="false">IF(A1013=A1012,P1012+1-M1012,0)</f>
        <v>15</v>
      </c>
    </row>
    <row r="1014" customFormat="false" ht="15" hidden="false" customHeight="false" outlineLevel="0" collapsed="false">
      <c r="A1014" s="29" t="s">
        <v>4041</v>
      </c>
      <c r="B1014" s="29" t="s">
        <v>52</v>
      </c>
      <c r="C1014" s="29" t="s">
        <v>89</v>
      </c>
      <c r="D1014" s="29" t="s">
        <v>4042</v>
      </c>
      <c r="E1014" s="4" t="n">
        <v>18</v>
      </c>
      <c r="F1014" s="4" t="s">
        <v>213</v>
      </c>
      <c r="G1014" s="4" t="s">
        <v>939</v>
      </c>
      <c r="H1014" s="4" t="n">
        <v>1953</v>
      </c>
      <c r="I1014" s="4" t="s">
        <v>940</v>
      </c>
      <c r="J1014" s="25" t="str">
        <f aca="false">IF(M1014=1,"✓","")</f>
        <v/>
      </c>
      <c r="K1014" s="4" t="str">
        <f aca="false">IF(AND(M1014=0,P1014=0),"▶ NEXT","")</f>
        <v/>
      </c>
      <c r="L1014" s="4" t="n">
        <f aca="false">INDEX('Master List'!$F$2:$F$2594,O1014)</f>
        <v>2</v>
      </c>
      <c r="M1014" s="4" t="n">
        <f aca="false">INDEX('Master List'!$G$2:$G$2594,O1014)</f>
        <v>0</v>
      </c>
      <c r="N1014" s="4" t="str">
        <f aca="false">IF(K1014="","",A1014)</f>
        <v/>
      </c>
      <c r="O1014" s="4" t="n">
        <v>1763</v>
      </c>
      <c r="P1014" s="4" t="n">
        <f aca="false">IF(A1014=A1013,P1013+1-M1013,0)</f>
        <v>16</v>
      </c>
    </row>
    <row r="1015" customFormat="false" ht="15" hidden="false" customHeight="false" outlineLevel="0" collapsed="false">
      <c r="A1015" s="29" t="s">
        <v>4041</v>
      </c>
      <c r="B1015" s="29" t="s">
        <v>52</v>
      </c>
      <c r="C1015" s="29" t="s">
        <v>89</v>
      </c>
      <c r="D1015" s="29" t="s">
        <v>4042</v>
      </c>
      <c r="E1015" s="4" t="n">
        <v>19</v>
      </c>
      <c r="F1015" s="4" t="s">
        <v>213</v>
      </c>
      <c r="G1015" s="4" t="s">
        <v>1892</v>
      </c>
      <c r="H1015" s="4" t="n">
        <v>1953</v>
      </c>
      <c r="I1015" s="4" t="s">
        <v>248</v>
      </c>
      <c r="J1015" s="25" t="str">
        <f aca="false">IF(M1015=1,"✓","")</f>
        <v/>
      </c>
      <c r="K1015" s="4" t="str">
        <f aca="false">IF(AND(M1015=0,P1015=0),"▶ NEXT","")</f>
        <v/>
      </c>
      <c r="L1015" s="4" t="n">
        <f aca="false">INDEX('Master List'!$F$2:$F$2594,O1015)</f>
        <v>1</v>
      </c>
      <c r="M1015" s="4" t="n">
        <f aca="false">INDEX('Master List'!$G$2:$G$2594,O1015)</f>
        <v>0</v>
      </c>
      <c r="N1015" s="4" t="str">
        <f aca="false">IF(K1015="","",A1015)</f>
        <v/>
      </c>
      <c r="O1015" s="4" t="n">
        <v>243</v>
      </c>
      <c r="P1015" s="4" t="n">
        <f aca="false">IF(A1015=A1014,P1014+1-M1014,0)</f>
        <v>17</v>
      </c>
    </row>
    <row r="1016" customFormat="false" ht="15" hidden="false" customHeight="false" outlineLevel="0" collapsed="false">
      <c r="A1016" s="29" t="s">
        <v>4041</v>
      </c>
      <c r="B1016" s="29" t="s">
        <v>52</v>
      </c>
      <c r="C1016" s="29" t="s">
        <v>89</v>
      </c>
      <c r="D1016" s="29" t="s">
        <v>4042</v>
      </c>
      <c r="E1016" s="4" t="n">
        <v>20</v>
      </c>
      <c r="F1016" s="4" t="s">
        <v>213</v>
      </c>
      <c r="G1016" s="4" t="s">
        <v>747</v>
      </c>
      <c r="H1016" s="4" t="n">
        <v>1955</v>
      </c>
      <c r="I1016" s="4" t="s">
        <v>748</v>
      </c>
      <c r="J1016" s="25" t="str">
        <f aca="false">IF(M1016=1,"✓","")</f>
        <v/>
      </c>
      <c r="K1016" s="4" t="str">
        <f aca="false">IF(AND(M1016=0,P1016=0),"▶ NEXT","")</f>
        <v/>
      </c>
      <c r="L1016" s="4" t="n">
        <f aca="false">INDEX('Master List'!$F$2:$F$2594,O1016)</f>
        <v>3</v>
      </c>
      <c r="M1016" s="4" t="n">
        <f aca="false">INDEX('Master List'!$G$2:$G$2594,O1016)</f>
        <v>0</v>
      </c>
      <c r="N1016" s="4" t="str">
        <f aca="false">IF(K1016="","",A1016)</f>
        <v/>
      </c>
      <c r="O1016" s="4" t="n">
        <v>1263</v>
      </c>
      <c r="P1016" s="4" t="n">
        <f aca="false">IF(A1016=A1015,P1015+1-M1015,0)</f>
        <v>18</v>
      </c>
    </row>
    <row r="1017" customFormat="false" ht="15" hidden="false" customHeight="false" outlineLevel="0" collapsed="false">
      <c r="A1017" s="29" t="s">
        <v>4041</v>
      </c>
      <c r="B1017" s="29" t="s">
        <v>52</v>
      </c>
      <c r="C1017" s="29" t="s">
        <v>89</v>
      </c>
      <c r="D1017" s="29" t="s">
        <v>4042</v>
      </c>
      <c r="E1017" s="4" t="n">
        <v>21</v>
      </c>
      <c r="F1017" s="4" t="s">
        <v>213</v>
      </c>
      <c r="G1017" s="4" t="s">
        <v>354</v>
      </c>
      <c r="H1017" s="4" t="n">
        <v>1955</v>
      </c>
      <c r="I1017" s="4" t="s">
        <v>355</v>
      </c>
      <c r="J1017" s="25" t="str">
        <f aca="false">IF(M1017=1,"✓","")</f>
        <v>✓</v>
      </c>
      <c r="K1017" s="4" t="str">
        <f aca="false">IF(AND(M1017=0,P1017=0),"▶ NEXT","")</f>
        <v/>
      </c>
      <c r="L1017" s="4" t="n">
        <f aca="false">INDEX('Master List'!$F$2:$F$2594,O1017)</f>
        <v>4</v>
      </c>
      <c r="M1017" s="4" t="n">
        <f aca="false">INDEX('Master List'!$G$2:$G$2594,O1017)</f>
        <v>1</v>
      </c>
      <c r="N1017" s="4" t="str">
        <f aca="false">IF(K1017="","",A1017)</f>
        <v/>
      </c>
      <c r="O1017" s="4" t="n">
        <v>1606</v>
      </c>
      <c r="P1017" s="4" t="n">
        <f aca="false">IF(A1017=A1016,P1016+1-M1016,0)</f>
        <v>19</v>
      </c>
    </row>
    <row r="1018" customFormat="false" ht="15" hidden="false" customHeight="false" outlineLevel="0" collapsed="false">
      <c r="A1018" s="29" t="s">
        <v>4041</v>
      </c>
      <c r="B1018" s="29" t="s">
        <v>52</v>
      </c>
      <c r="C1018" s="29" t="s">
        <v>89</v>
      </c>
      <c r="D1018" s="29" t="s">
        <v>4042</v>
      </c>
      <c r="E1018" s="4" t="n">
        <v>22</v>
      </c>
      <c r="F1018" s="4" t="s">
        <v>213</v>
      </c>
      <c r="G1018" s="4" t="s">
        <v>410</v>
      </c>
      <c r="H1018" s="4" t="n">
        <v>1957</v>
      </c>
      <c r="I1018" s="4" t="s">
        <v>411</v>
      </c>
      <c r="J1018" s="25" t="str">
        <f aca="false">IF(M1018=1,"✓","")</f>
        <v/>
      </c>
      <c r="K1018" s="4" t="str">
        <f aca="false">IF(AND(M1018=0,P1018=0),"▶ NEXT","")</f>
        <v/>
      </c>
      <c r="L1018" s="4" t="n">
        <f aca="false">INDEX('Master List'!$F$2:$F$2594,O1018)</f>
        <v>4</v>
      </c>
      <c r="M1018" s="4" t="n">
        <f aca="false">INDEX('Master List'!$G$2:$G$2594,O1018)</f>
        <v>0</v>
      </c>
      <c r="N1018" s="4" t="str">
        <f aca="false">IF(K1018="","",A1018)</f>
        <v/>
      </c>
      <c r="O1018" s="4" t="n">
        <v>2215</v>
      </c>
      <c r="P1018" s="4" t="n">
        <f aca="false">IF(A1018=A1017,P1017+1-M1017,0)</f>
        <v>19</v>
      </c>
    </row>
    <row r="1019" customFormat="false" ht="15" hidden="false" customHeight="false" outlineLevel="0" collapsed="false">
      <c r="A1019" s="29" t="s">
        <v>4041</v>
      </c>
      <c r="B1019" s="29" t="s">
        <v>52</v>
      </c>
      <c r="C1019" s="29" t="s">
        <v>89</v>
      </c>
      <c r="D1019" s="29" t="s">
        <v>4042</v>
      </c>
      <c r="E1019" s="4" t="n">
        <v>23</v>
      </c>
      <c r="F1019" s="4" t="s">
        <v>213</v>
      </c>
      <c r="G1019" s="4" t="s">
        <v>308</v>
      </c>
      <c r="H1019" s="4" t="n">
        <v>1958</v>
      </c>
      <c r="I1019" s="4" t="s">
        <v>143</v>
      </c>
      <c r="J1019" s="25" t="str">
        <f aca="false">IF(M1019=1,"✓","")</f>
        <v/>
      </c>
      <c r="K1019" s="4" t="str">
        <f aca="false">IF(AND(M1019=0,P1019=0),"▶ NEXT","")</f>
        <v/>
      </c>
      <c r="L1019" s="4" t="n">
        <f aca="false">INDEX('Master List'!$F$2:$F$2594,O1019)</f>
        <v>4</v>
      </c>
      <c r="M1019" s="4" t="n">
        <f aca="false">INDEX('Master List'!$G$2:$G$2594,O1019)</f>
        <v>0</v>
      </c>
      <c r="N1019" s="4" t="str">
        <f aca="false">IF(K1019="","",A1019)</f>
        <v/>
      </c>
      <c r="O1019" s="4" t="n">
        <v>2344</v>
      </c>
      <c r="P1019" s="4" t="n">
        <f aca="false">IF(A1019=A1018,P1018+1-M1018,0)</f>
        <v>20</v>
      </c>
    </row>
    <row r="1020" customFormat="false" ht="15" hidden="false" customHeight="false" outlineLevel="0" collapsed="false">
      <c r="A1020" s="29" t="s">
        <v>4041</v>
      </c>
      <c r="B1020" s="29" t="s">
        <v>52</v>
      </c>
      <c r="C1020" s="29" t="s">
        <v>89</v>
      </c>
      <c r="D1020" s="29" t="s">
        <v>4042</v>
      </c>
      <c r="E1020" s="4" t="n">
        <v>24</v>
      </c>
      <c r="F1020" s="4" t="s">
        <v>1327</v>
      </c>
      <c r="G1020" s="4" t="s">
        <v>1314</v>
      </c>
      <c r="H1020" s="4" t="n">
        <v>1953</v>
      </c>
      <c r="I1020" s="4" t="s">
        <v>1315</v>
      </c>
      <c r="J1020" s="25" t="str">
        <f aca="false">IF(M1020=1,"✓","")</f>
        <v/>
      </c>
      <c r="K1020" s="4" t="str">
        <f aca="false">IF(AND(M1020=0,P1020=0),"▶ NEXT","")</f>
        <v/>
      </c>
      <c r="L1020" s="4" t="n">
        <f aca="false">INDEX('Master List'!$F$2:$F$2594,O1020)</f>
        <v>2</v>
      </c>
      <c r="M1020" s="4" t="n">
        <f aca="false">INDEX('Master List'!$G$2:$G$2594,O1020)</f>
        <v>0</v>
      </c>
      <c r="N1020" s="4" t="str">
        <f aca="false">IF(K1020="","",A1020)</f>
        <v/>
      </c>
      <c r="O1020" s="4" t="n">
        <v>1046</v>
      </c>
      <c r="P1020" s="4" t="n">
        <f aca="false">IF(A1020=A1019,P1019+1-M1019,0)</f>
        <v>21</v>
      </c>
    </row>
    <row r="1021" customFormat="false" ht="15" hidden="false" customHeight="false" outlineLevel="0" collapsed="false">
      <c r="A1021" s="29" t="s">
        <v>4041</v>
      </c>
      <c r="B1021" s="29" t="s">
        <v>52</v>
      </c>
      <c r="C1021" s="29" t="s">
        <v>89</v>
      </c>
      <c r="D1021" s="29" t="s">
        <v>4042</v>
      </c>
      <c r="E1021" s="4" t="n">
        <v>25</v>
      </c>
      <c r="F1021" s="4" t="s">
        <v>1327</v>
      </c>
      <c r="G1021" s="4" t="s">
        <v>3342</v>
      </c>
      <c r="H1021" s="4" t="n">
        <v>1945</v>
      </c>
      <c r="I1021" s="4" t="s">
        <v>248</v>
      </c>
      <c r="J1021" s="25" t="str">
        <f aca="false">IF(M1021=1,"✓","")</f>
        <v/>
      </c>
      <c r="K1021" s="4" t="str">
        <f aca="false">IF(AND(M1021=0,P1021=0),"▶ NEXT","")</f>
        <v/>
      </c>
      <c r="L1021" s="4" t="n">
        <f aca="false">INDEX('Master List'!$F$2:$F$2594,O1021)</f>
        <v>1</v>
      </c>
      <c r="M1021" s="4" t="n">
        <f aca="false">INDEX('Master List'!$G$2:$G$2594,O1021)</f>
        <v>0</v>
      </c>
      <c r="N1021" s="4" t="str">
        <f aca="false">IF(K1021="","",A1021)</f>
        <v/>
      </c>
      <c r="O1021" s="4" t="n">
        <v>1986</v>
      </c>
      <c r="P1021" s="4" t="n">
        <f aca="false">IF(A1021=A1020,P1020+1-M1020,0)</f>
        <v>22</v>
      </c>
    </row>
    <row r="1022" customFormat="false" ht="15" hidden="false" customHeight="false" outlineLevel="0" collapsed="false">
      <c r="A1022" s="29" t="s">
        <v>4041</v>
      </c>
      <c r="B1022" s="29" t="s">
        <v>52</v>
      </c>
      <c r="C1022" s="29" t="s">
        <v>89</v>
      </c>
      <c r="D1022" s="29" t="s">
        <v>4042</v>
      </c>
      <c r="E1022" s="4" t="n">
        <v>26</v>
      </c>
      <c r="F1022" s="4" t="s">
        <v>1327</v>
      </c>
      <c r="G1022" s="4" t="s">
        <v>3355</v>
      </c>
      <c r="H1022" s="4" t="n">
        <v>1949</v>
      </c>
      <c r="I1022" s="4" t="s">
        <v>1837</v>
      </c>
      <c r="J1022" s="25" t="str">
        <f aca="false">IF(M1022=1,"✓","")</f>
        <v/>
      </c>
      <c r="K1022" s="4" t="str">
        <f aca="false">IF(AND(M1022=0,P1022=0),"▶ NEXT","")</f>
        <v/>
      </c>
      <c r="L1022" s="4" t="n">
        <f aca="false">INDEX('Master List'!$F$2:$F$2594,O1022)</f>
        <v>1</v>
      </c>
      <c r="M1022" s="4" t="n">
        <f aca="false">INDEX('Master List'!$G$2:$G$2594,O1022)</f>
        <v>0</v>
      </c>
      <c r="N1022" s="4" t="str">
        <f aca="false">IF(K1022="","",A1022)</f>
        <v/>
      </c>
      <c r="O1022" s="4" t="n">
        <v>541</v>
      </c>
      <c r="P1022" s="4" t="n">
        <f aca="false">IF(A1022=A1021,P1021+1-M1021,0)</f>
        <v>23</v>
      </c>
    </row>
    <row r="1023" customFormat="false" ht="15" hidden="false" customHeight="false" outlineLevel="0" collapsed="false">
      <c r="A1023" s="29" t="s">
        <v>4041</v>
      </c>
      <c r="B1023" s="29" t="s">
        <v>52</v>
      </c>
      <c r="C1023" s="29" t="s">
        <v>89</v>
      </c>
      <c r="D1023" s="29" t="s">
        <v>4042</v>
      </c>
      <c r="E1023" s="4" t="n">
        <v>27</v>
      </c>
      <c r="F1023" s="4" t="s">
        <v>1327</v>
      </c>
      <c r="G1023" s="4" t="s">
        <v>3348</v>
      </c>
      <c r="H1023" s="4" t="n">
        <v>1948</v>
      </c>
      <c r="I1023" s="4" t="s">
        <v>1843</v>
      </c>
      <c r="J1023" s="25" t="str">
        <f aca="false">IF(M1023=1,"✓","")</f>
        <v/>
      </c>
      <c r="K1023" s="4" t="str">
        <f aca="false">IF(AND(M1023=0,P1023=0),"▶ NEXT","")</f>
        <v/>
      </c>
      <c r="L1023" s="4" t="n">
        <f aca="false">INDEX('Master List'!$F$2:$F$2594,O1023)</f>
        <v>1</v>
      </c>
      <c r="M1023" s="4" t="n">
        <f aca="false">INDEX('Master List'!$G$2:$G$2594,O1023)</f>
        <v>0</v>
      </c>
      <c r="N1023" s="4" t="str">
        <f aca="false">IF(K1023="","",A1023)</f>
        <v/>
      </c>
      <c r="O1023" s="4" t="n">
        <v>1864</v>
      </c>
      <c r="P1023" s="4" t="n">
        <f aca="false">IF(A1023=A1022,P1022+1-M1022,0)</f>
        <v>24</v>
      </c>
    </row>
    <row r="1024" customFormat="false" ht="15" hidden="false" customHeight="false" outlineLevel="0" collapsed="false">
      <c r="A1024" s="29" t="s">
        <v>4043</v>
      </c>
      <c r="B1024" s="29" t="s">
        <v>52</v>
      </c>
      <c r="C1024" s="29" t="s">
        <v>89</v>
      </c>
      <c r="D1024" s="29" t="s">
        <v>4044</v>
      </c>
      <c r="E1024" s="4" t="n">
        <v>1</v>
      </c>
      <c r="F1024" s="4" t="s">
        <v>144</v>
      </c>
      <c r="G1024" s="7" t="s">
        <v>194</v>
      </c>
      <c r="H1024" s="4" t="n">
        <v>1974</v>
      </c>
      <c r="I1024" s="4" t="s">
        <v>195</v>
      </c>
      <c r="J1024" s="25" t="str">
        <f aca="false">IF(M1024=1,"✓","")</f>
        <v>✓</v>
      </c>
      <c r="K1024" s="4" t="str">
        <f aca="false">IF(AND(M1024=0,P1024=0),"▶ NEXT","")</f>
        <v/>
      </c>
      <c r="L1024" s="4" t="n">
        <f aca="false">INDEX('Master List'!$F$2:$F$2594,O1024)</f>
        <v>6</v>
      </c>
      <c r="M1024" s="4" t="n">
        <f aca="false">INDEX('Master List'!$G$2:$G$2594,O1024)</f>
        <v>1</v>
      </c>
      <c r="N1024" s="4" t="str">
        <f aca="false">IF(K1024="","",A1024)</f>
        <v/>
      </c>
      <c r="O1024" s="4" t="n">
        <v>450</v>
      </c>
      <c r="P1024" s="4" t="n">
        <f aca="false">IF(A1024=A1023,P1023+1-M1023,0)</f>
        <v>0</v>
      </c>
    </row>
    <row r="1025" customFormat="false" ht="15" hidden="false" customHeight="false" outlineLevel="0" collapsed="false">
      <c r="A1025" s="29" t="s">
        <v>4043</v>
      </c>
      <c r="B1025" s="29" t="s">
        <v>52</v>
      </c>
      <c r="C1025" s="29" t="s">
        <v>89</v>
      </c>
      <c r="D1025" s="29" t="s">
        <v>4044</v>
      </c>
      <c r="E1025" s="4" t="n">
        <v>2</v>
      </c>
      <c r="F1025" s="4" t="s">
        <v>144</v>
      </c>
      <c r="G1025" s="7" t="s">
        <v>1568</v>
      </c>
      <c r="H1025" s="4" t="n">
        <v>1997</v>
      </c>
      <c r="I1025" s="4" t="s">
        <v>1569</v>
      </c>
      <c r="J1025" s="25" t="str">
        <f aca="false">IF(M1025=1,"✓","")</f>
        <v/>
      </c>
      <c r="K1025" s="4" t="str">
        <f aca="false">IF(AND(M1025=0,P1025=0),"▶ NEXT","")</f>
        <v>▶ NEXT</v>
      </c>
      <c r="L1025" s="4" t="n">
        <f aca="false">INDEX('Master List'!$F$2:$F$2594,O1025)</f>
        <v>1</v>
      </c>
      <c r="M1025" s="4" t="n">
        <f aca="false">INDEX('Master List'!$G$2:$G$2594,O1025)</f>
        <v>0</v>
      </c>
      <c r="N1025" s="4" t="str">
        <f aca="false">IF(K1025="","",A1025)</f>
        <v>N085</v>
      </c>
      <c r="O1025" s="4" t="n">
        <v>33</v>
      </c>
      <c r="P1025" s="4" t="n">
        <f aca="false">IF(A1025=A1024,P1024+1-M1024,0)</f>
        <v>0</v>
      </c>
    </row>
    <row r="1026" customFormat="false" ht="15" hidden="false" customHeight="false" outlineLevel="0" collapsed="false">
      <c r="A1026" s="29" t="s">
        <v>4043</v>
      </c>
      <c r="B1026" s="29" t="s">
        <v>52</v>
      </c>
      <c r="C1026" s="29" t="s">
        <v>89</v>
      </c>
      <c r="D1026" s="29" t="s">
        <v>4044</v>
      </c>
      <c r="E1026" s="4" t="n">
        <v>3</v>
      </c>
      <c r="F1026" s="4" t="s">
        <v>213</v>
      </c>
      <c r="G1026" s="4" t="s">
        <v>774</v>
      </c>
      <c r="H1026" s="4" t="n">
        <v>1967</v>
      </c>
      <c r="I1026" s="4" t="s">
        <v>775</v>
      </c>
      <c r="J1026" s="25" t="str">
        <f aca="false">IF(M1026=1,"✓","")</f>
        <v/>
      </c>
      <c r="K1026" s="4" t="str">
        <f aca="false">IF(AND(M1026=0,P1026=0),"▶ NEXT","")</f>
        <v/>
      </c>
      <c r="L1026" s="4" t="n">
        <f aca="false">INDEX('Master List'!$F$2:$F$2594,O1026)</f>
        <v>3</v>
      </c>
      <c r="M1026" s="4" t="n">
        <f aca="false">INDEX('Master List'!$G$2:$G$2594,O1026)</f>
        <v>0</v>
      </c>
      <c r="N1026" s="4" t="str">
        <f aca="false">IF(K1026="","",A1026)</f>
        <v/>
      </c>
      <c r="O1026" s="4" t="n">
        <v>1783</v>
      </c>
      <c r="P1026" s="4" t="n">
        <f aca="false">IF(A1026=A1025,P1025+1-M1025,0)</f>
        <v>1</v>
      </c>
    </row>
    <row r="1027" customFormat="false" ht="15" hidden="false" customHeight="false" outlineLevel="0" collapsed="false">
      <c r="A1027" s="29" t="s">
        <v>4043</v>
      </c>
      <c r="B1027" s="29" t="s">
        <v>52</v>
      </c>
      <c r="C1027" s="29" t="s">
        <v>89</v>
      </c>
      <c r="D1027" s="29" t="s">
        <v>4044</v>
      </c>
      <c r="E1027" s="4" t="n">
        <v>4</v>
      </c>
      <c r="F1027" s="4" t="s">
        <v>213</v>
      </c>
      <c r="G1027" s="4" t="s">
        <v>480</v>
      </c>
      <c r="H1027" s="4" t="n">
        <v>1973</v>
      </c>
      <c r="I1027" s="4" t="s">
        <v>197</v>
      </c>
      <c r="J1027" s="25" t="str">
        <f aca="false">IF(M1027=1,"✓","")</f>
        <v>✓</v>
      </c>
      <c r="K1027" s="4" t="str">
        <f aca="false">IF(AND(M1027=0,P1027=0),"▶ NEXT","")</f>
        <v/>
      </c>
      <c r="L1027" s="4" t="n">
        <f aca="false">INDEX('Master List'!$F$2:$F$2594,O1027)</f>
        <v>3</v>
      </c>
      <c r="M1027" s="4" t="n">
        <f aca="false">INDEX('Master List'!$G$2:$G$2594,O1027)</f>
        <v>1</v>
      </c>
      <c r="N1027" s="4" t="str">
        <f aca="false">IF(K1027="","",A1027)</f>
        <v/>
      </c>
      <c r="O1027" s="4" t="n">
        <v>1377</v>
      </c>
      <c r="P1027" s="4" t="n">
        <f aca="false">IF(A1027=A1026,P1026+1-M1026,0)</f>
        <v>2</v>
      </c>
    </row>
    <row r="1028" customFormat="false" ht="15" hidden="false" customHeight="false" outlineLevel="0" collapsed="false">
      <c r="A1028" s="29" t="s">
        <v>4043</v>
      </c>
      <c r="B1028" s="29" t="s">
        <v>52</v>
      </c>
      <c r="C1028" s="29" t="s">
        <v>89</v>
      </c>
      <c r="D1028" s="29" t="s">
        <v>4044</v>
      </c>
      <c r="E1028" s="4" t="n">
        <v>5</v>
      </c>
      <c r="F1028" s="4" t="s">
        <v>213</v>
      </c>
      <c r="G1028" s="4" t="s">
        <v>2263</v>
      </c>
      <c r="H1028" s="4" t="n">
        <v>1975</v>
      </c>
      <c r="I1028" s="4" t="s">
        <v>301</v>
      </c>
      <c r="J1028" s="25" t="str">
        <f aca="false">IF(M1028=1,"✓","")</f>
        <v/>
      </c>
      <c r="K1028" s="4" t="str">
        <f aca="false">IF(AND(M1028=0,P1028=0),"▶ NEXT","")</f>
        <v/>
      </c>
      <c r="L1028" s="4" t="n">
        <f aca="false">INDEX('Master List'!$F$2:$F$2594,O1028)</f>
        <v>1</v>
      </c>
      <c r="M1028" s="4" t="n">
        <f aca="false">INDEX('Master List'!$G$2:$G$2594,O1028)</f>
        <v>0</v>
      </c>
      <c r="N1028" s="4" t="str">
        <f aca="false">IF(K1028="","",A1028)</f>
        <v/>
      </c>
      <c r="O1028" s="4" t="n">
        <v>1604</v>
      </c>
      <c r="P1028" s="4" t="n">
        <f aca="false">IF(A1028=A1027,P1027+1-M1027,0)</f>
        <v>2</v>
      </c>
    </row>
    <row r="1029" customFormat="false" ht="15" hidden="false" customHeight="false" outlineLevel="0" collapsed="false">
      <c r="A1029" s="29" t="s">
        <v>4043</v>
      </c>
      <c r="B1029" s="29" t="s">
        <v>52</v>
      </c>
      <c r="C1029" s="29" t="s">
        <v>89</v>
      </c>
      <c r="D1029" s="29" t="s">
        <v>4044</v>
      </c>
      <c r="E1029" s="4" t="n">
        <v>6</v>
      </c>
      <c r="F1029" s="4" t="s">
        <v>213</v>
      </c>
      <c r="G1029" s="4" t="s">
        <v>549</v>
      </c>
      <c r="H1029" s="4" t="n">
        <v>1981</v>
      </c>
      <c r="I1029" s="4" t="s">
        <v>550</v>
      </c>
      <c r="J1029" s="25" t="str">
        <f aca="false">IF(M1029=1,"✓","")</f>
        <v/>
      </c>
      <c r="K1029" s="4" t="str">
        <f aca="false">IF(AND(M1029=0,P1029=0),"▶ NEXT","")</f>
        <v/>
      </c>
      <c r="L1029" s="4" t="n">
        <f aca="false">INDEX('Master List'!$F$2:$F$2594,O1029)</f>
        <v>3</v>
      </c>
      <c r="M1029" s="4" t="n">
        <f aca="false">INDEX('Master List'!$G$2:$G$2594,O1029)</f>
        <v>0</v>
      </c>
      <c r="N1029" s="4" t="str">
        <f aca="false">IF(K1029="","",A1029)</f>
        <v/>
      </c>
      <c r="O1029" s="4" t="n">
        <v>309</v>
      </c>
      <c r="P1029" s="4" t="n">
        <f aca="false">IF(A1029=A1028,P1028+1-M1028,0)</f>
        <v>3</v>
      </c>
    </row>
    <row r="1030" customFormat="false" ht="15" hidden="false" customHeight="false" outlineLevel="0" collapsed="false">
      <c r="A1030" s="29" t="s">
        <v>4043</v>
      </c>
      <c r="B1030" s="29" t="s">
        <v>52</v>
      </c>
      <c r="C1030" s="29" t="s">
        <v>89</v>
      </c>
      <c r="D1030" s="29" t="s">
        <v>4044</v>
      </c>
      <c r="E1030" s="4" t="n">
        <v>7</v>
      </c>
      <c r="F1030" s="4" t="s">
        <v>213</v>
      </c>
      <c r="G1030" s="4" t="s">
        <v>396</v>
      </c>
      <c r="H1030" s="4" t="n">
        <v>1984</v>
      </c>
      <c r="I1030" s="4" t="s">
        <v>397</v>
      </c>
      <c r="J1030" s="25" t="str">
        <f aca="false">IF(M1030=1,"✓","")</f>
        <v>✓</v>
      </c>
      <c r="K1030" s="4" t="str">
        <f aca="false">IF(AND(M1030=0,P1030=0),"▶ NEXT","")</f>
        <v/>
      </c>
      <c r="L1030" s="4" t="n">
        <f aca="false">INDEX('Master List'!$F$2:$F$2594,O1030)</f>
        <v>4</v>
      </c>
      <c r="M1030" s="4" t="n">
        <f aca="false">INDEX('Master List'!$G$2:$G$2594,O1030)</f>
        <v>1</v>
      </c>
      <c r="N1030" s="4" t="str">
        <f aca="false">IF(K1030="","",A1030)</f>
        <v/>
      </c>
      <c r="O1030" s="4" t="n">
        <v>294</v>
      </c>
      <c r="P1030" s="4" t="n">
        <f aca="false">IF(A1030=A1029,P1029+1-M1029,0)</f>
        <v>4</v>
      </c>
    </row>
    <row r="1031" customFormat="false" ht="15" hidden="false" customHeight="false" outlineLevel="0" collapsed="false">
      <c r="A1031" s="29" t="s">
        <v>4043</v>
      </c>
      <c r="B1031" s="29" t="s">
        <v>52</v>
      </c>
      <c r="C1031" s="29" t="s">
        <v>89</v>
      </c>
      <c r="D1031" s="29" t="s">
        <v>4044</v>
      </c>
      <c r="E1031" s="4" t="n">
        <v>8</v>
      </c>
      <c r="F1031" s="4" t="s">
        <v>213</v>
      </c>
      <c r="G1031" s="4" t="s">
        <v>317</v>
      </c>
      <c r="H1031" s="4" t="n">
        <v>1986</v>
      </c>
      <c r="I1031" s="4" t="s">
        <v>154</v>
      </c>
      <c r="J1031" s="25" t="str">
        <f aca="false">IF(M1031=1,"✓","")</f>
        <v>✓</v>
      </c>
      <c r="K1031" s="4" t="str">
        <f aca="false">IF(AND(M1031=0,P1031=0),"▶ NEXT","")</f>
        <v/>
      </c>
      <c r="L1031" s="4" t="n">
        <f aca="false">INDEX('Master List'!$F$2:$F$2594,O1031)</f>
        <v>4</v>
      </c>
      <c r="M1031" s="4" t="n">
        <f aca="false">INDEX('Master List'!$G$2:$G$2594,O1031)</f>
        <v>1</v>
      </c>
      <c r="N1031" s="4" t="str">
        <f aca="false">IF(K1031="","",A1031)</f>
        <v/>
      </c>
      <c r="O1031" s="4" t="n">
        <v>302</v>
      </c>
      <c r="P1031" s="4" t="n">
        <f aca="false">IF(A1031=A1030,P1030+1-M1030,0)</f>
        <v>4</v>
      </c>
    </row>
    <row r="1032" customFormat="false" ht="15" hidden="false" customHeight="false" outlineLevel="0" collapsed="false">
      <c r="A1032" s="29" t="s">
        <v>4043</v>
      </c>
      <c r="B1032" s="29" t="s">
        <v>52</v>
      </c>
      <c r="C1032" s="29" t="s">
        <v>89</v>
      </c>
      <c r="D1032" s="29" t="s">
        <v>4044</v>
      </c>
      <c r="E1032" s="4" t="n">
        <v>9</v>
      </c>
      <c r="F1032" s="4" t="s">
        <v>213</v>
      </c>
      <c r="G1032" s="4" t="s">
        <v>1283</v>
      </c>
      <c r="H1032" s="4" t="n">
        <v>1990</v>
      </c>
      <c r="I1032" s="4" t="s">
        <v>1284</v>
      </c>
      <c r="J1032" s="25" t="str">
        <f aca="false">IF(M1032=1,"✓","")</f>
        <v/>
      </c>
      <c r="K1032" s="4" t="str">
        <f aca="false">IF(AND(M1032=0,P1032=0),"▶ NEXT","")</f>
        <v/>
      </c>
      <c r="L1032" s="4" t="n">
        <f aca="false">INDEX('Master List'!$F$2:$F$2594,O1032)</f>
        <v>2</v>
      </c>
      <c r="M1032" s="4" t="n">
        <f aca="false">INDEX('Master List'!$G$2:$G$2594,O1032)</f>
        <v>0</v>
      </c>
      <c r="N1032" s="4" t="str">
        <f aca="false">IF(K1032="","",A1032)</f>
        <v/>
      </c>
      <c r="O1032" s="4" t="n">
        <v>967</v>
      </c>
      <c r="P1032" s="4" t="n">
        <f aca="false">IF(A1032=A1031,P1031+1-M1031,0)</f>
        <v>4</v>
      </c>
    </row>
    <row r="1033" customFormat="false" ht="15" hidden="false" customHeight="false" outlineLevel="0" collapsed="false">
      <c r="A1033" s="29" t="s">
        <v>4043</v>
      </c>
      <c r="B1033" s="29" t="s">
        <v>52</v>
      </c>
      <c r="C1033" s="29" t="s">
        <v>89</v>
      </c>
      <c r="D1033" s="29" t="s">
        <v>4044</v>
      </c>
      <c r="E1033" s="4" t="n">
        <v>10</v>
      </c>
      <c r="F1033" s="4" t="s">
        <v>213</v>
      </c>
      <c r="G1033" s="4" t="s">
        <v>2609</v>
      </c>
      <c r="H1033" s="4" t="n">
        <v>1995</v>
      </c>
      <c r="I1033" s="4" t="s">
        <v>2610</v>
      </c>
      <c r="J1033" s="25" t="str">
        <f aca="false">IF(M1033=1,"✓","")</f>
        <v/>
      </c>
      <c r="K1033" s="4" t="str">
        <f aca="false">IF(AND(M1033=0,P1033=0),"▶ NEXT","")</f>
        <v/>
      </c>
      <c r="L1033" s="4" t="n">
        <f aca="false">INDEX('Master List'!$F$2:$F$2594,O1033)</f>
        <v>1</v>
      </c>
      <c r="M1033" s="4" t="n">
        <f aca="false">INDEX('Master List'!$G$2:$G$2594,O1033)</f>
        <v>0</v>
      </c>
      <c r="N1033" s="4" t="str">
        <f aca="false">IF(K1033="","",A1033)</f>
        <v/>
      </c>
      <c r="O1033" s="4" t="n">
        <v>620</v>
      </c>
      <c r="P1033" s="4" t="n">
        <f aca="false">IF(A1033=A1032,P1032+1-M1032,0)</f>
        <v>5</v>
      </c>
    </row>
    <row r="1034" customFormat="false" ht="15" hidden="false" customHeight="false" outlineLevel="0" collapsed="false">
      <c r="A1034" s="29" t="s">
        <v>4043</v>
      </c>
      <c r="B1034" s="29" t="s">
        <v>52</v>
      </c>
      <c r="C1034" s="29" t="s">
        <v>89</v>
      </c>
      <c r="D1034" s="29" t="s">
        <v>4044</v>
      </c>
      <c r="E1034" s="4" t="n">
        <v>11</v>
      </c>
      <c r="F1034" s="4" t="s">
        <v>213</v>
      </c>
      <c r="G1034" s="4" t="s">
        <v>442</v>
      </c>
      <c r="H1034" s="4" t="n">
        <v>1997</v>
      </c>
      <c r="I1034" s="4" t="s">
        <v>154</v>
      </c>
      <c r="J1034" s="25" t="str">
        <f aca="false">IF(M1034=1,"✓","")</f>
        <v/>
      </c>
      <c r="K1034" s="4" t="str">
        <f aca="false">IF(AND(M1034=0,P1034=0),"▶ NEXT","")</f>
        <v/>
      </c>
      <c r="L1034" s="4" t="n">
        <f aca="false">INDEX('Master List'!$F$2:$F$2594,O1034)</f>
        <v>4</v>
      </c>
      <c r="M1034" s="4" t="n">
        <f aca="false">INDEX('Master List'!$G$2:$G$2594,O1034)</f>
        <v>0</v>
      </c>
      <c r="N1034" s="4" t="str">
        <f aca="false">IF(K1034="","",A1034)</f>
        <v/>
      </c>
      <c r="O1034" s="4" t="n">
        <v>1384</v>
      </c>
      <c r="P1034" s="4" t="n">
        <f aca="false">IF(A1034=A1033,P1033+1-M1033,0)</f>
        <v>6</v>
      </c>
    </row>
    <row r="1035" customFormat="false" ht="15" hidden="false" customHeight="false" outlineLevel="0" collapsed="false">
      <c r="A1035" s="29" t="s">
        <v>4043</v>
      </c>
      <c r="B1035" s="29" t="s">
        <v>52</v>
      </c>
      <c r="C1035" s="29" t="s">
        <v>89</v>
      </c>
      <c r="D1035" s="29" t="s">
        <v>4044</v>
      </c>
      <c r="E1035" s="4" t="n">
        <v>12</v>
      </c>
      <c r="F1035" s="4" t="s">
        <v>213</v>
      </c>
      <c r="G1035" s="4" t="s">
        <v>1148</v>
      </c>
      <c r="H1035" s="4" t="n">
        <v>2001</v>
      </c>
      <c r="I1035" s="4" t="s">
        <v>397</v>
      </c>
      <c r="J1035" s="25" t="str">
        <f aca="false">IF(M1035=1,"✓","")</f>
        <v/>
      </c>
      <c r="K1035" s="4" t="str">
        <f aca="false">IF(AND(M1035=0,P1035=0),"▶ NEXT","")</f>
        <v/>
      </c>
      <c r="L1035" s="4" t="n">
        <f aca="false">INDEX('Master List'!$F$2:$F$2594,O1035)</f>
        <v>2</v>
      </c>
      <c r="M1035" s="4" t="n">
        <f aca="false">INDEX('Master List'!$G$2:$G$2594,O1035)</f>
        <v>0</v>
      </c>
      <c r="N1035" s="4" t="str">
        <f aca="false">IF(K1035="","",A1035)</f>
        <v/>
      </c>
      <c r="O1035" s="4" t="n">
        <v>1432</v>
      </c>
      <c r="P1035" s="4" t="n">
        <f aca="false">IF(A1035=A1034,P1034+1-M1034,0)</f>
        <v>7</v>
      </c>
    </row>
    <row r="1036" customFormat="false" ht="15" hidden="false" customHeight="false" outlineLevel="0" collapsed="false">
      <c r="A1036" s="29" t="s">
        <v>4043</v>
      </c>
      <c r="B1036" s="29" t="s">
        <v>52</v>
      </c>
      <c r="C1036" s="29" t="s">
        <v>89</v>
      </c>
      <c r="D1036" s="29" t="s">
        <v>4044</v>
      </c>
      <c r="E1036" s="4" t="n">
        <v>13</v>
      </c>
      <c r="F1036" s="4" t="s">
        <v>213</v>
      </c>
      <c r="G1036" s="4" t="s">
        <v>2832</v>
      </c>
      <c r="H1036" s="4" t="n">
        <v>2005</v>
      </c>
      <c r="I1036" s="4" t="s">
        <v>2833</v>
      </c>
      <c r="J1036" s="25" t="str">
        <f aca="false">IF(M1036=1,"✓","")</f>
        <v>✓</v>
      </c>
      <c r="K1036" s="4" t="str">
        <f aca="false">IF(AND(M1036=0,P1036=0),"▶ NEXT","")</f>
        <v/>
      </c>
      <c r="L1036" s="4" t="n">
        <f aca="false">INDEX('Master List'!$F$2:$F$2594,O1036)</f>
        <v>1</v>
      </c>
      <c r="M1036" s="4" t="n">
        <f aca="false">INDEX('Master List'!$G$2:$G$2594,O1036)</f>
        <v>1</v>
      </c>
      <c r="N1036" s="4" t="str">
        <f aca="false">IF(K1036="","",A1036)</f>
        <v/>
      </c>
      <c r="O1036" s="4" t="n">
        <v>344</v>
      </c>
      <c r="P1036" s="4" t="n">
        <f aca="false">IF(A1036=A1035,P1035+1-M1035,0)</f>
        <v>8</v>
      </c>
    </row>
    <row r="1037" customFormat="false" ht="15" hidden="false" customHeight="false" outlineLevel="0" collapsed="false">
      <c r="A1037" s="29" t="s">
        <v>4043</v>
      </c>
      <c r="B1037" s="29" t="s">
        <v>52</v>
      </c>
      <c r="C1037" s="29" t="s">
        <v>89</v>
      </c>
      <c r="D1037" s="29" t="s">
        <v>4044</v>
      </c>
      <c r="E1037" s="4" t="n">
        <v>14</v>
      </c>
      <c r="F1037" s="4" t="s">
        <v>213</v>
      </c>
      <c r="G1037" s="4" t="s">
        <v>520</v>
      </c>
      <c r="H1037" s="4" t="n">
        <v>2011</v>
      </c>
      <c r="I1037" s="4" t="s">
        <v>521</v>
      </c>
      <c r="J1037" s="25" t="str">
        <f aca="false">IF(M1037=1,"✓","")</f>
        <v/>
      </c>
      <c r="K1037" s="4" t="str">
        <f aca="false">IF(AND(M1037=0,P1037=0),"▶ NEXT","")</f>
        <v/>
      </c>
      <c r="L1037" s="4" t="n">
        <f aca="false">INDEX('Master List'!$F$2:$F$2594,O1037)</f>
        <v>3</v>
      </c>
      <c r="M1037" s="4" t="n">
        <f aca="false">INDEX('Master List'!$G$2:$G$2594,O1037)</f>
        <v>0</v>
      </c>
      <c r="N1037" s="4" t="str">
        <f aca="false">IF(K1037="","",A1037)</f>
        <v/>
      </c>
      <c r="O1037" s="4" t="n">
        <v>680</v>
      </c>
      <c r="P1037" s="4" t="n">
        <f aca="false">IF(A1037=A1036,P1036+1-M1036,0)</f>
        <v>8</v>
      </c>
    </row>
    <row r="1038" customFormat="false" ht="15" hidden="false" customHeight="false" outlineLevel="0" collapsed="false">
      <c r="A1038" s="29" t="s">
        <v>4043</v>
      </c>
      <c r="B1038" s="29" t="s">
        <v>52</v>
      </c>
      <c r="C1038" s="29" t="s">
        <v>89</v>
      </c>
      <c r="D1038" s="29" t="s">
        <v>4044</v>
      </c>
      <c r="E1038" s="4" t="n">
        <v>15</v>
      </c>
      <c r="F1038" s="4" t="s">
        <v>213</v>
      </c>
      <c r="G1038" s="4" t="s">
        <v>1214</v>
      </c>
      <c r="H1038" s="4" t="n">
        <v>2014</v>
      </c>
      <c r="I1038" s="4" t="s">
        <v>1215</v>
      </c>
      <c r="J1038" s="25" t="str">
        <f aca="false">IF(M1038=1,"✓","")</f>
        <v>✓</v>
      </c>
      <c r="K1038" s="4" t="str">
        <f aca="false">IF(AND(M1038=0,P1038=0),"▶ NEXT","")</f>
        <v/>
      </c>
      <c r="L1038" s="4" t="n">
        <f aca="false">INDEX('Master List'!$F$2:$F$2594,O1038)</f>
        <v>2</v>
      </c>
      <c r="M1038" s="4" t="n">
        <f aca="false">INDEX('Master List'!$G$2:$G$2594,O1038)</f>
        <v>1</v>
      </c>
      <c r="N1038" s="4" t="str">
        <f aca="false">IF(K1038="","",A1038)</f>
        <v/>
      </c>
      <c r="O1038" s="4" t="n">
        <v>1610</v>
      </c>
      <c r="P1038" s="4" t="n">
        <f aca="false">IF(A1038=A1037,P1037+1-M1037,0)</f>
        <v>9</v>
      </c>
    </row>
    <row r="1039" customFormat="false" ht="15" hidden="false" customHeight="false" outlineLevel="0" collapsed="false">
      <c r="A1039" s="29" t="s">
        <v>4043</v>
      </c>
      <c r="B1039" s="29" t="s">
        <v>52</v>
      </c>
      <c r="C1039" s="29" t="s">
        <v>89</v>
      </c>
      <c r="D1039" s="29" t="s">
        <v>4044</v>
      </c>
      <c r="E1039" s="4" t="n">
        <v>16</v>
      </c>
      <c r="F1039" s="4" t="s">
        <v>213</v>
      </c>
      <c r="G1039" s="4" t="s">
        <v>644</v>
      </c>
      <c r="H1039" s="4" t="n">
        <v>2014</v>
      </c>
      <c r="I1039" s="4" t="s">
        <v>278</v>
      </c>
      <c r="J1039" s="25" t="str">
        <f aca="false">IF(M1039=1,"✓","")</f>
        <v>✓</v>
      </c>
      <c r="K1039" s="4" t="str">
        <f aca="false">IF(AND(M1039=0,P1039=0),"▶ NEXT","")</f>
        <v/>
      </c>
      <c r="L1039" s="4" t="n">
        <f aca="false">INDEX('Master List'!$F$2:$F$2594,O1039)</f>
        <v>3</v>
      </c>
      <c r="M1039" s="4" t="n">
        <f aca="false">INDEX('Master List'!$G$2:$G$2594,O1039)</f>
        <v>1</v>
      </c>
      <c r="N1039" s="4" t="str">
        <f aca="false">IF(K1039="","",A1039)</f>
        <v/>
      </c>
      <c r="O1039" s="4" t="n">
        <v>1140</v>
      </c>
      <c r="P1039" s="4" t="n">
        <f aca="false">IF(A1039=A1038,P1038+1-M1038,0)</f>
        <v>9</v>
      </c>
    </row>
    <row r="1040" customFormat="false" ht="15" hidden="false" customHeight="false" outlineLevel="0" collapsed="false">
      <c r="A1040" s="29" t="s">
        <v>4043</v>
      </c>
      <c r="B1040" s="29" t="s">
        <v>52</v>
      </c>
      <c r="C1040" s="29" t="s">
        <v>89</v>
      </c>
      <c r="D1040" s="29" t="s">
        <v>4044</v>
      </c>
      <c r="E1040" s="4" t="n">
        <v>17</v>
      </c>
      <c r="F1040" s="4" t="s">
        <v>1327</v>
      </c>
      <c r="G1040" s="4" t="s">
        <v>3511</v>
      </c>
      <c r="H1040" s="4" t="n">
        <v>1973</v>
      </c>
      <c r="I1040" s="4" t="s">
        <v>587</v>
      </c>
      <c r="J1040" s="25" t="str">
        <f aca="false">IF(M1040=1,"✓","")</f>
        <v/>
      </c>
      <c r="K1040" s="4" t="str">
        <f aca="false">IF(AND(M1040=0,P1040=0),"▶ NEXT","")</f>
        <v/>
      </c>
      <c r="L1040" s="4" t="n">
        <f aca="false">INDEX('Master List'!$F$2:$F$2594,O1040)</f>
        <v>1</v>
      </c>
      <c r="M1040" s="4" t="n">
        <f aca="false">INDEX('Master List'!$G$2:$G$2594,O1040)</f>
        <v>0</v>
      </c>
      <c r="N1040" s="4" t="str">
        <f aca="false">IF(K1040="","",A1040)</f>
        <v/>
      </c>
      <c r="O1040" s="4" t="n">
        <v>859</v>
      </c>
      <c r="P1040" s="4" t="n">
        <f aca="false">IF(A1040=A1039,P1039+1-M1039,0)</f>
        <v>9</v>
      </c>
    </row>
    <row r="1041" customFormat="false" ht="15" hidden="false" customHeight="false" outlineLevel="0" collapsed="false">
      <c r="A1041" s="29" t="s">
        <v>4043</v>
      </c>
      <c r="B1041" s="29" t="s">
        <v>52</v>
      </c>
      <c r="C1041" s="29" t="s">
        <v>89</v>
      </c>
      <c r="D1041" s="29" t="s">
        <v>4044</v>
      </c>
      <c r="E1041" s="4" t="n">
        <v>18</v>
      </c>
      <c r="F1041" s="4" t="s">
        <v>1327</v>
      </c>
      <c r="G1041" s="4" t="s">
        <v>3588</v>
      </c>
      <c r="H1041" s="4" t="n">
        <v>1981</v>
      </c>
      <c r="I1041" s="4" t="s">
        <v>3589</v>
      </c>
      <c r="J1041" s="25" t="str">
        <f aca="false">IF(M1041=1,"✓","")</f>
        <v/>
      </c>
      <c r="K1041" s="4" t="str">
        <f aca="false">IF(AND(M1041=0,P1041=0),"▶ NEXT","")</f>
        <v/>
      </c>
      <c r="L1041" s="4" t="n">
        <f aca="false">INDEX('Master List'!$F$2:$F$2594,O1041)</f>
        <v>1</v>
      </c>
      <c r="M1041" s="4" t="n">
        <f aca="false">INDEX('Master List'!$G$2:$G$2594,O1041)</f>
        <v>0</v>
      </c>
      <c r="N1041" s="4" t="str">
        <f aca="false">IF(K1041="","",A1041)</f>
        <v/>
      </c>
      <c r="O1041" s="4" t="n">
        <v>550</v>
      </c>
      <c r="P1041" s="4" t="n">
        <f aca="false">IF(A1041=A1040,P1040+1-M1040,0)</f>
        <v>10</v>
      </c>
    </row>
    <row r="1042" customFormat="false" ht="15" hidden="false" customHeight="false" outlineLevel="0" collapsed="false">
      <c r="A1042" s="29" t="s">
        <v>4043</v>
      </c>
      <c r="B1042" s="29" t="s">
        <v>52</v>
      </c>
      <c r="C1042" s="29" t="s">
        <v>89</v>
      </c>
      <c r="D1042" s="29" t="s">
        <v>4044</v>
      </c>
      <c r="E1042" s="4" t="n">
        <v>19</v>
      </c>
      <c r="F1042" s="4" t="s">
        <v>1327</v>
      </c>
      <c r="G1042" s="4" t="s">
        <v>3675</v>
      </c>
      <c r="H1042" s="4" t="n">
        <v>1993</v>
      </c>
      <c r="I1042" s="4" t="s">
        <v>1562</v>
      </c>
      <c r="J1042" s="25" t="str">
        <f aca="false">IF(M1042=1,"✓","")</f>
        <v/>
      </c>
      <c r="K1042" s="4" t="str">
        <f aca="false">IF(AND(M1042=0,P1042=0),"▶ NEXT","")</f>
        <v/>
      </c>
      <c r="L1042" s="4" t="n">
        <f aca="false">INDEX('Master List'!$F$2:$F$2594,O1042)</f>
        <v>1</v>
      </c>
      <c r="M1042" s="4" t="n">
        <f aca="false">INDEX('Master List'!$G$2:$G$2594,O1042)</f>
        <v>0</v>
      </c>
      <c r="N1042" s="4" t="str">
        <f aca="false">IF(K1042="","",A1042)</f>
        <v/>
      </c>
      <c r="O1042" s="4" t="n">
        <v>1876</v>
      </c>
      <c r="P1042" s="4" t="n">
        <f aca="false">IF(A1042=A1041,P1041+1-M1041,0)</f>
        <v>11</v>
      </c>
    </row>
    <row r="1043" customFormat="false" ht="15" hidden="false" customHeight="false" outlineLevel="0" collapsed="false">
      <c r="A1043" s="29" t="s">
        <v>4043</v>
      </c>
      <c r="B1043" s="29" t="s">
        <v>52</v>
      </c>
      <c r="C1043" s="29" t="s">
        <v>89</v>
      </c>
      <c r="D1043" s="29" t="s">
        <v>4044</v>
      </c>
      <c r="E1043" s="4" t="n">
        <v>20</v>
      </c>
      <c r="F1043" s="4" t="s">
        <v>1327</v>
      </c>
      <c r="G1043" s="4" t="s">
        <v>1561</v>
      </c>
      <c r="H1043" s="4" t="n">
        <v>1994</v>
      </c>
      <c r="I1043" s="4" t="s">
        <v>1562</v>
      </c>
      <c r="J1043" s="25" t="str">
        <f aca="false">IF(M1043=1,"✓","")</f>
        <v/>
      </c>
      <c r="K1043" s="4" t="str">
        <f aca="false">IF(AND(M1043=0,P1043=0),"▶ NEXT","")</f>
        <v/>
      </c>
      <c r="L1043" s="4" t="n">
        <f aca="false">INDEX('Master List'!$F$2:$F$2594,O1043)</f>
        <v>2</v>
      </c>
      <c r="M1043" s="4" t="n">
        <f aca="false">INDEX('Master List'!$G$2:$G$2594,O1043)</f>
        <v>0</v>
      </c>
      <c r="N1043" s="4" t="str">
        <f aca="false">IF(K1043="","",A1043)</f>
        <v/>
      </c>
      <c r="O1043" s="4" t="n">
        <v>1301</v>
      </c>
      <c r="P1043" s="4" t="n">
        <f aca="false">IF(A1043=A1042,P1042+1-M1042,0)</f>
        <v>12</v>
      </c>
    </row>
    <row r="1044" customFormat="false" ht="15" hidden="false" customHeight="false" outlineLevel="0" collapsed="false">
      <c r="A1044" s="29" t="s">
        <v>4045</v>
      </c>
      <c r="B1044" s="29" t="s">
        <v>52</v>
      </c>
      <c r="C1044" s="29" t="s">
        <v>89</v>
      </c>
      <c r="D1044" s="29" t="s">
        <v>4046</v>
      </c>
      <c r="E1044" s="4" t="n">
        <v>1</v>
      </c>
      <c r="F1044" s="4" t="s">
        <v>144</v>
      </c>
      <c r="G1044" s="7" t="s">
        <v>173</v>
      </c>
      <c r="H1044" s="4" t="n">
        <v>1982</v>
      </c>
      <c r="I1044" s="4" t="s">
        <v>174</v>
      </c>
      <c r="J1044" s="25" t="str">
        <f aca="false">IF(M1044=1,"✓","")</f>
        <v>✓</v>
      </c>
      <c r="K1044" s="4" t="str">
        <f aca="false">IF(AND(M1044=0,P1044=0),"▶ NEXT","")</f>
        <v/>
      </c>
      <c r="L1044" s="4" t="n">
        <f aca="false">INDEX('Master List'!$F$2:$F$2594,O1044)</f>
        <v>8</v>
      </c>
      <c r="M1044" s="4" t="n">
        <f aca="false">INDEX('Master List'!$G$2:$G$2594,O1044)</f>
        <v>1</v>
      </c>
      <c r="N1044" s="4" t="str">
        <f aca="false">IF(K1044="","",A1044)</f>
        <v/>
      </c>
      <c r="O1044" s="4" t="n">
        <v>279</v>
      </c>
      <c r="P1044" s="4" t="n">
        <f aca="false">IF(A1044=A1043,P1043+1-M1043,0)</f>
        <v>0</v>
      </c>
    </row>
    <row r="1045" customFormat="false" ht="15" hidden="false" customHeight="false" outlineLevel="0" collapsed="false">
      <c r="A1045" s="29" t="s">
        <v>4045</v>
      </c>
      <c r="B1045" s="29" t="s">
        <v>52</v>
      </c>
      <c r="C1045" s="29" t="s">
        <v>89</v>
      </c>
      <c r="D1045" s="29" t="s">
        <v>4046</v>
      </c>
      <c r="E1045" s="4" t="n">
        <v>2</v>
      </c>
      <c r="F1045" s="4" t="s">
        <v>144</v>
      </c>
      <c r="G1045" s="7" t="s">
        <v>1528</v>
      </c>
      <c r="H1045" s="4" t="n">
        <v>1984</v>
      </c>
      <c r="I1045" s="4" t="s">
        <v>892</v>
      </c>
      <c r="J1045" s="25" t="str">
        <f aca="false">IF(M1045=1,"✓","")</f>
        <v>✓</v>
      </c>
      <c r="K1045" s="4" t="str">
        <f aca="false">IF(AND(M1045=0,P1045=0),"▶ NEXT","")</f>
        <v/>
      </c>
      <c r="L1045" s="4" t="n">
        <f aca="false">INDEX('Master List'!$F$2:$F$2594,O1045)</f>
        <v>1</v>
      </c>
      <c r="M1045" s="4" t="n">
        <f aca="false">INDEX('Master List'!$G$2:$G$2594,O1045)</f>
        <v>1</v>
      </c>
      <c r="N1045" s="4" t="str">
        <f aca="false">IF(K1045="","",A1045)</f>
        <v/>
      </c>
      <c r="O1045" s="4" t="n">
        <v>2254</v>
      </c>
      <c r="P1045" s="4" t="n">
        <f aca="false">IF(A1045=A1044,P1044+1-M1044,0)</f>
        <v>0</v>
      </c>
    </row>
    <row r="1046" customFormat="false" ht="15" hidden="false" customHeight="false" outlineLevel="0" collapsed="false">
      <c r="A1046" s="29" t="s">
        <v>4045</v>
      </c>
      <c r="B1046" s="29" t="s">
        <v>52</v>
      </c>
      <c r="C1046" s="29" t="s">
        <v>89</v>
      </c>
      <c r="D1046" s="29" t="s">
        <v>4046</v>
      </c>
      <c r="E1046" s="4" t="n">
        <v>3</v>
      </c>
      <c r="F1046" s="4" t="s">
        <v>213</v>
      </c>
      <c r="G1046" s="4" t="s">
        <v>664</v>
      </c>
      <c r="H1046" s="4" t="n">
        <v>1965</v>
      </c>
      <c r="I1046" s="4" t="s">
        <v>152</v>
      </c>
      <c r="J1046" s="25" t="str">
        <f aca="false">IF(M1046=1,"✓","")</f>
        <v/>
      </c>
      <c r="K1046" s="4" t="str">
        <f aca="false">IF(AND(M1046=0,P1046=0),"▶ NEXT","")</f>
        <v>▶ NEXT</v>
      </c>
      <c r="L1046" s="4" t="n">
        <f aca="false">INDEX('Master List'!$F$2:$F$2594,O1046)</f>
        <v>3</v>
      </c>
      <c r="M1046" s="4" t="n">
        <f aca="false">INDEX('Master List'!$G$2:$G$2594,O1046)</f>
        <v>0</v>
      </c>
      <c r="N1046" s="4" t="str">
        <f aca="false">IF(K1046="","",A1046)</f>
        <v>N086</v>
      </c>
      <c r="O1046" s="4" t="n">
        <v>82</v>
      </c>
      <c r="P1046" s="4" t="n">
        <f aca="false">IF(A1046=A1045,P1045+1-M1045,0)</f>
        <v>0</v>
      </c>
    </row>
    <row r="1047" customFormat="false" ht="15" hidden="false" customHeight="false" outlineLevel="0" collapsed="false">
      <c r="A1047" s="29" t="s">
        <v>4045</v>
      </c>
      <c r="B1047" s="29" t="s">
        <v>52</v>
      </c>
      <c r="C1047" s="29" t="s">
        <v>89</v>
      </c>
      <c r="D1047" s="29" t="s">
        <v>4046</v>
      </c>
      <c r="E1047" s="4" t="n">
        <v>4</v>
      </c>
      <c r="F1047" s="4" t="s">
        <v>213</v>
      </c>
      <c r="G1047" s="4" t="s">
        <v>698</v>
      </c>
      <c r="H1047" s="4" t="n">
        <v>1987</v>
      </c>
      <c r="I1047" s="4" t="s">
        <v>699</v>
      </c>
      <c r="J1047" s="25" t="str">
        <f aca="false">IF(M1047=1,"✓","")</f>
        <v>✓</v>
      </c>
      <c r="K1047" s="4" t="str">
        <f aca="false">IF(AND(M1047=0,P1047=0),"▶ NEXT","")</f>
        <v/>
      </c>
      <c r="L1047" s="4" t="n">
        <f aca="false">INDEX('Master List'!$F$2:$F$2594,O1047)</f>
        <v>3</v>
      </c>
      <c r="M1047" s="4" t="n">
        <f aca="false">INDEX('Master List'!$G$2:$G$2594,O1047)</f>
        <v>1</v>
      </c>
      <c r="N1047" s="4" t="str">
        <f aca="false">IF(K1047="","",A1047)</f>
        <v/>
      </c>
      <c r="O1047" s="4" t="n">
        <v>1918</v>
      </c>
      <c r="P1047" s="4" t="n">
        <f aca="false">IF(A1047=A1046,P1046+1-M1046,0)</f>
        <v>1</v>
      </c>
    </row>
    <row r="1048" customFormat="false" ht="15" hidden="false" customHeight="false" outlineLevel="0" collapsed="false">
      <c r="A1048" s="29" t="s">
        <v>4045</v>
      </c>
      <c r="B1048" s="29" t="s">
        <v>52</v>
      </c>
      <c r="C1048" s="29" t="s">
        <v>89</v>
      </c>
      <c r="D1048" s="29" t="s">
        <v>4046</v>
      </c>
      <c r="E1048" s="4" t="n">
        <v>5</v>
      </c>
      <c r="F1048" s="4" t="s">
        <v>213</v>
      </c>
      <c r="G1048" s="4" t="s">
        <v>1285</v>
      </c>
      <c r="H1048" s="4" t="n">
        <v>1995</v>
      </c>
      <c r="I1048" s="4" t="s">
        <v>865</v>
      </c>
      <c r="J1048" s="25" t="str">
        <f aca="false">IF(M1048=1,"✓","")</f>
        <v/>
      </c>
      <c r="K1048" s="4" t="str">
        <f aca="false">IF(AND(M1048=0,P1048=0),"▶ NEXT","")</f>
        <v/>
      </c>
      <c r="L1048" s="4" t="n">
        <f aca="false">INDEX('Master List'!$F$2:$F$2594,O1048)</f>
        <v>2</v>
      </c>
      <c r="M1048" s="4" t="n">
        <f aca="false">INDEX('Master List'!$G$2:$G$2594,O1048)</f>
        <v>0</v>
      </c>
      <c r="N1048" s="4" t="str">
        <f aca="false">IF(K1048="","",A1048)</f>
        <v/>
      </c>
      <c r="O1048" s="4" t="n">
        <v>2173</v>
      </c>
      <c r="P1048" s="4" t="n">
        <f aca="false">IF(A1048=A1047,P1047+1-M1047,0)</f>
        <v>1</v>
      </c>
    </row>
    <row r="1049" customFormat="false" ht="15" hidden="false" customHeight="false" outlineLevel="0" collapsed="false">
      <c r="A1049" s="29" t="s">
        <v>4045</v>
      </c>
      <c r="B1049" s="29" t="s">
        <v>52</v>
      </c>
      <c r="C1049" s="29" t="s">
        <v>89</v>
      </c>
      <c r="D1049" s="29" t="s">
        <v>4046</v>
      </c>
      <c r="E1049" s="4" t="n">
        <v>6</v>
      </c>
      <c r="F1049" s="4" t="s">
        <v>213</v>
      </c>
      <c r="G1049" s="4" t="s">
        <v>2682</v>
      </c>
      <c r="H1049" s="4" t="n">
        <v>1998</v>
      </c>
      <c r="I1049" s="4" t="s">
        <v>2683</v>
      </c>
      <c r="J1049" s="25" t="str">
        <f aca="false">IF(M1049=1,"✓","")</f>
        <v/>
      </c>
      <c r="K1049" s="4" t="str">
        <f aca="false">IF(AND(M1049=0,P1049=0),"▶ NEXT","")</f>
        <v/>
      </c>
      <c r="L1049" s="4" t="n">
        <f aca="false">INDEX('Master List'!$F$2:$F$2594,O1049)</f>
        <v>1</v>
      </c>
      <c r="M1049" s="4" t="n">
        <f aca="false">INDEX('Master List'!$G$2:$G$2594,O1049)</f>
        <v>0</v>
      </c>
      <c r="N1049" s="4" t="str">
        <f aca="false">IF(K1049="","",A1049)</f>
        <v/>
      </c>
      <c r="O1049" s="4" t="n">
        <v>562</v>
      </c>
      <c r="P1049" s="4" t="n">
        <f aca="false">IF(A1049=A1048,P1048+1-M1048,0)</f>
        <v>2</v>
      </c>
    </row>
    <row r="1050" customFormat="false" ht="15" hidden="false" customHeight="false" outlineLevel="0" collapsed="false">
      <c r="A1050" s="29" t="s">
        <v>4045</v>
      </c>
      <c r="B1050" s="29" t="s">
        <v>52</v>
      </c>
      <c r="C1050" s="29" t="s">
        <v>89</v>
      </c>
      <c r="D1050" s="29" t="s">
        <v>4046</v>
      </c>
      <c r="E1050" s="4" t="n">
        <v>7</v>
      </c>
      <c r="F1050" s="4" t="s">
        <v>213</v>
      </c>
      <c r="G1050" s="4" t="s">
        <v>683</v>
      </c>
      <c r="H1050" s="4" t="n">
        <v>2002</v>
      </c>
      <c r="I1050" s="4" t="s">
        <v>183</v>
      </c>
      <c r="J1050" s="25" t="str">
        <f aca="false">IF(M1050=1,"✓","")</f>
        <v/>
      </c>
      <c r="K1050" s="4" t="str">
        <f aca="false">IF(AND(M1050=0,P1050=0),"▶ NEXT","")</f>
        <v/>
      </c>
      <c r="L1050" s="4" t="n">
        <f aca="false">INDEX('Master List'!$F$2:$F$2594,O1050)</f>
        <v>3</v>
      </c>
      <c r="M1050" s="4" t="n">
        <f aca="false">INDEX('Master List'!$G$2:$G$2594,O1050)</f>
        <v>0</v>
      </c>
      <c r="N1050" s="4" t="str">
        <f aca="false">IF(K1050="","",A1050)</f>
        <v/>
      </c>
      <c r="O1050" s="4" t="n">
        <v>1509</v>
      </c>
      <c r="P1050" s="4" t="n">
        <f aca="false">IF(A1050=A1049,P1049+1-M1049,0)</f>
        <v>3</v>
      </c>
    </row>
    <row r="1051" customFormat="false" ht="15" hidden="false" customHeight="false" outlineLevel="0" collapsed="false">
      <c r="A1051" s="29" t="s">
        <v>4045</v>
      </c>
      <c r="B1051" s="29" t="s">
        <v>52</v>
      </c>
      <c r="C1051" s="29" t="s">
        <v>89</v>
      </c>
      <c r="D1051" s="29" t="s">
        <v>4046</v>
      </c>
      <c r="E1051" s="4" t="n">
        <v>8</v>
      </c>
      <c r="F1051" s="4" t="s">
        <v>213</v>
      </c>
      <c r="G1051" s="4" t="s">
        <v>1231</v>
      </c>
      <c r="H1051" s="4" t="n">
        <v>2017</v>
      </c>
      <c r="I1051" s="4" t="s">
        <v>327</v>
      </c>
      <c r="J1051" s="25" t="str">
        <f aca="false">IF(M1051=1,"✓","")</f>
        <v>✓</v>
      </c>
      <c r="K1051" s="4" t="str">
        <f aca="false">IF(AND(M1051=0,P1051=0),"▶ NEXT","")</f>
        <v/>
      </c>
      <c r="L1051" s="4" t="n">
        <f aca="false">INDEX('Master List'!$F$2:$F$2594,O1051)</f>
        <v>2</v>
      </c>
      <c r="M1051" s="4" t="n">
        <f aca="false">INDEX('Master List'!$G$2:$G$2594,O1051)</f>
        <v>1</v>
      </c>
      <c r="N1051" s="4" t="str">
        <f aca="false">IF(K1051="","",A1051)</f>
        <v/>
      </c>
      <c r="O1051" s="4" t="n">
        <v>280</v>
      </c>
      <c r="P1051" s="4" t="n">
        <f aca="false">IF(A1051=A1050,P1050+1-M1050,0)</f>
        <v>4</v>
      </c>
    </row>
    <row r="1052" customFormat="false" ht="15" hidden="false" customHeight="false" outlineLevel="0" collapsed="false">
      <c r="A1052" s="29" t="s">
        <v>4045</v>
      </c>
      <c r="B1052" s="29" t="s">
        <v>52</v>
      </c>
      <c r="C1052" s="29" t="s">
        <v>89</v>
      </c>
      <c r="D1052" s="29" t="s">
        <v>4046</v>
      </c>
      <c r="E1052" s="4" t="n">
        <v>9</v>
      </c>
      <c r="F1052" s="4" t="s">
        <v>1327</v>
      </c>
      <c r="G1052" s="4" t="s">
        <v>893</v>
      </c>
      <c r="H1052" s="4" t="n">
        <v>1997</v>
      </c>
      <c r="I1052" s="4" t="s">
        <v>894</v>
      </c>
      <c r="J1052" s="25" t="str">
        <f aca="false">IF(M1052=1,"✓","")</f>
        <v/>
      </c>
      <c r="K1052" s="4" t="str">
        <f aca="false">IF(AND(M1052=0,P1052=0),"▶ NEXT","")</f>
        <v/>
      </c>
      <c r="L1052" s="4" t="n">
        <f aca="false">INDEX('Master List'!$F$2:$F$2594,O1052)</f>
        <v>3</v>
      </c>
      <c r="M1052" s="4" t="n">
        <f aca="false">INDEX('Master List'!$G$2:$G$2594,O1052)</f>
        <v>0</v>
      </c>
      <c r="N1052" s="4" t="str">
        <f aca="false">IF(K1052="","",A1052)</f>
        <v/>
      </c>
      <c r="O1052" s="4" t="n">
        <v>882</v>
      </c>
      <c r="P1052" s="4" t="n">
        <f aca="false">IF(A1052=A1051,P1051+1-M1051,0)</f>
        <v>4</v>
      </c>
    </row>
    <row r="1053" customFormat="false" ht="15" hidden="false" customHeight="false" outlineLevel="0" collapsed="false">
      <c r="A1053" s="29" t="s">
        <v>4047</v>
      </c>
      <c r="B1053" s="29" t="s">
        <v>52</v>
      </c>
      <c r="C1053" s="29" t="s">
        <v>90</v>
      </c>
      <c r="D1053" s="29" t="s">
        <v>4048</v>
      </c>
      <c r="E1053" s="4" t="n">
        <v>1</v>
      </c>
      <c r="F1053" s="4" t="s">
        <v>144</v>
      </c>
      <c r="G1053" s="7" t="s">
        <v>302</v>
      </c>
      <c r="H1053" s="4" t="n">
        <v>1939</v>
      </c>
      <c r="I1053" s="4" t="s">
        <v>205</v>
      </c>
      <c r="J1053" s="25" t="str">
        <f aca="false">IF(M1053=1,"✓","")</f>
        <v/>
      </c>
      <c r="K1053" s="4" t="str">
        <f aca="false">IF(AND(M1053=0,P1053=0),"▶ NEXT","")</f>
        <v>▶ NEXT</v>
      </c>
      <c r="L1053" s="4" t="n">
        <f aca="false">INDEX('Master List'!$F$2:$F$2594,O1053)</f>
        <v>4</v>
      </c>
      <c r="M1053" s="4" t="n">
        <f aca="false">INDEX('Master List'!$G$2:$G$2594,O1053)</f>
        <v>0</v>
      </c>
      <c r="N1053" s="4" t="str">
        <f aca="false">IF(K1053="","",A1053)</f>
        <v>N087</v>
      </c>
      <c r="O1053" s="4" t="n">
        <v>2143</v>
      </c>
      <c r="P1053" s="4" t="n">
        <f aca="false">IF(A1053=A1052,P1052+1-M1052,0)</f>
        <v>0</v>
      </c>
    </row>
    <row r="1054" customFormat="false" ht="15" hidden="false" customHeight="false" outlineLevel="0" collapsed="false">
      <c r="A1054" s="29" t="s">
        <v>4047</v>
      </c>
      <c r="B1054" s="29" t="s">
        <v>52</v>
      </c>
      <c r="C1054" s="29" t="s">
        <v>90</v>
      </c>
      <c r="D1054" s="29" t="s">
        <v>4048</v>
      </c>
      <c r="E1054" s="4" t="n">
        <v>2</v>
      </c>
      <c r="F1054" s="4" t="s">
        <v>144</v>
      </c>
      <c r="G1054" s="7" t="s">
        <v>221</v>
      </c>
      <c r="H1054" s="4" t="n">
        <v>1956</v>
      </c>
      <c r="I1054" s="4" t="s">
        <v>205</v>
      </c>
      <c r="J1054" s="25" t="str">
        <f aca="false">IF(M1054=1,"✓","")</f>
        <v>✓</v>
      </c>
      <c r="K1054" s="4" t="str">
        <f aca="false">IF(AND(M1054=0,P1054=0),"▶ NEXT","")</f>
        <v/>
      </c>
      <c r="L1054" s="4" t="n">
        <f aca="false">INDEX('Master List'!$F$2:$F$2594,O1054)</f>
        <v>6</v>
      </c>
      <c r="M1054" s="4" t="n">
        <f aca="false">INDEX('Master List'!$G$2:$G$2594,O1054)</f>
        <v>1</v>
      </c>
      <c r="N1054" s="4" t="str">
        <f aca="false">IF(K1054="","",A1054)</f>
        <v/>
      </c>
      <c r="O1054" s="4" t="n">
        <v>1998</v>
      </c>
      <c r="P1054" s="4" t="n">
        <f aca="false">IF(A1054=A1053,P1053+1-M1053,0)</f>
        <v>1</v>
      </c>
    </row>
    <row r="1055" customFormat="false" ht="15" hidden="false" customHeight="false" outlineLevel="0" collapsed="false">
      <c r="A1055" s="29" t="s">
        <v>4047</v>
      </c>
      <c r="B1055" s="29" t="s">
        <v>52</v>
      </c>
      <c r="C1055" s="29" t="s">
        <v>90</v>
      </c>
      <c r="D1055" s="29" t="s">
        <v>4048</v>
      </c>
      <c r="E1055" s="4" t="n">
        <v>3</v>
      </c>
      <c r="F1055" s="4" t="s">
        <v>213</v>
      </c>
      <c r="G1055" s="4" t="s">
        <v>924</v>
      </c>
      <c r="H1055" s="4" t="n">
        <v>1946</v>
      </c>
      <c r="I1055" s="4" t="s">
        <v>205</v>
      </c>
      <c r="J1055" s="25" t="str">
        <f aca="false">IF(M1055=1,"✓","")</f>
        <v/>
      </c>
      <c r="K1055" s="4" t="str">
        <f aca="false">IF(AND(M1055=0,P1055=0),"▶ NEXT","")</f>
        <v/>
      </c>
      <c r="L1055" s="4" t="n">
        <f aca="false">INDEX('Master List'!$F$2:$F$2594,O1055)</f>
        <v>2</v>
      </c>
      <c r="M1055" s="4" t="n">
        <f aca="false">INDEX('Master List'!$G$2:$G$2594,O1055)</f>
        <v>0</v>
      </c>
      <c r="N1055" s="4" t="str">
        <f aca="false">IF(K1055="","",A1055)</f>
        <v/>
      </c>
      <c r="O1055" s="4" t="n">
        <v>1570</v>
      </c>
      <c r="P1055" s="4" t="n">
        <f aca="false">IF(A1055=A1054,P1054+1-M1054,0)</f>
        <v>1</v>
      </c>
    </row>
    <row r="1056" customFormat="false" ht="15" hidden="false" customHeight="false" outlineLevel="0" collapsed="false">
      <c r="A1056" s="29" t="s">
        <v>4047</v>
      </c>
      <c r="B1056" s="29" t="s">
        <v>52</v>
      </c>
      <c r="C1056" s="29" t="s">
        <v>90</v>
      </c>
      <c r="D1056" s="29" t="s">
        <v>4048</v>
      </c>
      <c r="E1056" s="4" t="n">
        <v>4</v>
      </c>
      <c r="F1056" s="4" t="s">
        <v>213</v>
      </c>
      <c r="G1056" s="4" t="s">
        <v>929</v>
      </c>
      <c r="H1056" s="4" t="n">
        <v>1948</v>
      </c>
      <c r="I1056" s="4" t="s">
        <v>168</v>
      </c>
      <c r="J1056" s="25" t="str">
        <f aca="false">IF(M1056=1,"✓","")</f>
        <v/>
      </c>
      <c r="K1056" s="4" t="str">
        <f aca="false">IF(AND(M1056=0,P1056=0),"▶ NEXT","")</f>
        <v/>
      </c>
      <c r="L1056" s="4" t="n">
        <f aca="false">INDEX('Master List'!$F$2:$F$2594,O1056)</f>
        <v>2</v>
      </c>
      <c r="M1056" s="4" t="n">
        <f aca="false">INDEX('Master List'!$G$2:$G$2594,O1056)</f>
        <v>0</v>
      </c>
      <c r="N1056" s="4" t="str">
        <f aca="false">IF(K1056="","",A1056)</f>
        <v/>
      </c>
      <c r="O1056" s="4" t="n">
        <v>1875</v>
      </c>
      <c r="P1056" s="4" t="n">
        <f aca="false">IF(A1056=A1055,P1055+1-M1055,0)</f>
        <v>2</v>
      </c>
    </row>
    <row r="1057" customFormat="false" ht="15" hidden="false" customHeight="false" outlineLevel="0" collapsed="false">
      <c r="A1057" s="29" t="s">
        <v>4047</v>
      </c>
      <c r="B1057" s="29" t="s">
        <v>52</v>
      </c>
      <c r="C1057" s="29" t="s">
        <v>90</v>
      </c>
      <c r="D1057" s="29" t="s">
        <v>4048</v>
      </c>
      <c r="E1057" s="4" t="n">
        <v>5</v>
      </c>
      <c r="F1057" s="4" t="s">
        <v>213</v>
      </c>
      <c r="G1057" s="4" t="s">
        <v>930</v>
      </c>
      <c r="H1057" s="4" t="n">
        <v>1948</v>
      </c>
      <c r="I1057" s="4" t="s">
        <v>205</v>
      </c>
      <c r="J1057" s="25" t="str">
        <f aca="false">IF(M1057=1,"✓","")</f>
        <v/>
      </c>
      <c r="K1057" s="4" t="str">
        <f aca="false">IF(AND(M1057=0,P1057=0),"▶ NEXT","")</f>
        <v/>
      </c>
      <c r="L1057" s="4" t="n">
        <f aca="false">INDEX('Master List'!$F$2:$F$2594,O1057)</f>
        <v>2</v>
      </c>
      <c r="M1057" s="4" t="n">
        <f aca="false">INDEX('Master List'!$G$2:$G$2594,O1057)</f>
        <v>0</v>
      </c>
      <c r="N1057" s="4" t="str">
        <f aca="false">IF(K1057="","",A1057)</f>
        <v/>
      </c>
      <c r="O1057" s="4" t="n">
        <v>838</v>
      </c>
      <c r="P1057" s="4" t="n">
        <f aca="false">IF(A1057=A1056,P1056+1-M1056,0)</f>
        <v>3</v>
      </c>
    </row>
    <row r="1058" customFormat="false" ht="15" hidden="false" customHeight="false" outlineLevel="0" collapsed="false">
      <c r="A1058" s="29" t="s">
        <v>4047</v>
      </c>
      <c r="B1058" s="29" t="s">
        <v>52</v>
      </c>
      <c r="C1058" s="29" t="s">
        <v>90</v>
      </c>
      <c r="D1058" s="29" t="s">
        <v>4048</v>
      </c>
      <c r="E1058" s="4" t="n">
        <v>6</v>
      </c>
      <c r="F1058" s="4" t="s">
        <v>213</v>
      </c>
      <c r="G1058" s="4" t="s">
        <v>1867</v>
      </c>
      <c r="H1058" s="4" t="n">
        <v>1949</v>
      </c>
      <c r="I1058" s="4" t="s">
        <v>205</v>
      </c>
      <c r="J1058" s="25" t="str">
        <f aca="false">IF(M1058=1,"✓","")</f>
        <v/>
      </c>
      <c r="K1058" s="4" t="str">
        <f aca="false">IF(AND(M1058=0,P1058=0),"▶ NEXT","")</f>
        <v/>
      </c>
      <c r="L1058" s="4" t="n">
        <f aca="false">INDEX('Master List'!$F$2:$F$2594,O1058)</f>
        <v>1</v>
      </c>
      <c r="M1058" s="4" t="n">
        <f aca="false">INDEX('Master List'!$G$2:$G$2594,O1058)</f>
        <v>0</v>
      </c>
      <c r="N1058" s="4" t="str">
        <f aca="false">IF(K1058="","",A1058)</f>
        <v/>
      </c>
      <c r="O1058" s="4" t="n">
        <v>2042</v>
      </c>
      <c r="P1058" s="4" t="n">
        <f aca="false">IF(A1058=A1057,P1057+1-M1057,0)</f>
        <v>4</v>
      </c>
    </row>
    <row r="1059" customFormat="false" ht="15" hidden="false" customHeight="false" outlineLevel="0" collapsed="false">
      <c r="A1059" s="29" t="s">
        <v>4047</v>
      </c>
      <c r="B1059" s="29" t="s">
        <v>52</v>
      </c>
      <c r="C1059" s="29" t="s">
        <v>90</v>
      </c>
      <c r="D1059" s="29" t="s">
        <v>4048</v>
      </c>
      <c r="E1059" s="4" t="n">
        <v>7</v>
      </c>
      <c r="F1059" s="4" t="s">
        <v>213</v>
      </c>
      <c r="G1059" s="4" t="s">
        <v>1878</v>
      </c>
      <c r="H1059" s="4" t="n">
        <v>1950</v>
      </c>
      <c r="I1059" s="4" t="s">
        <v>1843</v>
      </c>
      <c r="J1059" s="25" t="str">
        <f aca="false">IF(M1059=1,"✓","")</f>
        <v>✓</v>
      </c>
      <c r="K1059" s="4" t="str">
        <f aca="false">IF(AND(M1059=0,P1059=0),"▶ NEXT","")</f>
        <v/>
      </c>
      <c r="L1059" s="4" t="n">
        <f aca="false">INDEX('Master List'!$F$2:$F$2594,O1059)</f>
        <v>1</v>
      </c>
      <c r="M1059" s="4" t="n">
        <f aca="false">INDEX('Master List'!$G$2:$G$2594,O1059)</f>
        <v>1</v>
      </c>
      <c r="N1059" s="4" t="str">
        <f aca="false">IF(K1059="","",A1059)</f>
        <v/>
      </c>
      <c r="O1059" s="4" t="n">
        <v>2519</v>
      </c>
      <c r="P1059" s="4" t="n">
        <f aca="false">IF(A1059=A1058,P1058+1-M1058,0)</f>
        <v>5</v>
      </c>
    </row>
    <row r="1060" customFormat="false" ht="15" hidden="false" customHeight="false" outlineLevel="0" collapsed="false">
      <c r="A1060" s="29" t="s">
        <v>4047</v>
      </c>
      <c r="B1060" s="29" t="s">
        <v>52</v>
      </c>
      <c r="C1060" s="29" t="s">
        <v>90</v>
      </c>
      <c r="D1060" s="29" t="s">
        <v>4048</v>
      </c>
      <c r="E1060" s="4" t="n">
        <v>8</v>
      </c>
      <c r="F1060" s="4" t="s">
        <v>213</v>
      </c>
      <c r="G1060" s="4" t="s">
        <v>352</v>
      </c>
      <c r="H1060" s="4" t="n">
        <v>1952</v>
      </c>
      <c r="I1060" s="4" t="s">
        <v>353</v>
      </c>
      <c r="J1060" s="25" t="str">
        <f aca="false">IF(M1060=1,"✓","")</f>
        <v/>
      </c>
      <c r="K1060" s="4" t="str">
        <f aca="false">IF(AND(M1060=0,P1060=0),"▶ NEXT","")</f>
        <v/>
      </c>
      <c r="L1060" s="4" t="n">
        <f aca="false">INDEX('Master List'!$F$2:$F$2594,O1060)</f>
        <v>4</v>
      </c>
      <c r="M1060" s="4" t="n">
        <f aca="false">INDEX('Master List'!$G$2:$G$2594,O1060)</f>
        <v>0</v>
      </c>
      <c r="N1060" s="4" t="str">
        <f aca="false">IF(K1060="","",A1060)</f>
        <v/>
      </c>
      <c r="O1060" s="4" t="n">
        <v>1035</v>
      </c>
      <c r="P1060" s="4" t="n">
        <f aca="false">IF(A1060=A1059,P1059+1-M1059,0)</f>
        <v>5</v>
      </c>
    </row>
    <row r="1061" customFormat="false" ht="15" hidden="false" customHeight="false" outlineLevel="0" collapsed="false">
      <c r="A1061" s="29" t="s">
        <v>4047</v>
      </c>
      <c r="B1061" s="29" t="s">
        <v>52</v>
      </c>
      <c r="C1061" s="29" t="s">
        <v>90</v>
      </c>
      <c r="D1061" s="29" t="s">
        <v>4048</v>
      </c>
      <c r="E1061" s="4" t="n">
        <v>9</v>
      </c>
      <c r="F1061" s="4" t="s">
        <v>213</v>
      </c>
      <c r="G1061" s="4" t="s">
        <v>941</v>
      </c>
      <c r="H1061" s="4" t="n">
        <v>1953</v>
      </c>
      <c r="I1061" s="4" t="s">
        <v>912</v>
      </c>
      <c r="J1061" s="25" t="str">
        <f aca="false">IF(M1061=1,"✓","")</f>
        <v/>
      </c>
      <c r="K1061" s="4" t="str">
        <f aca="false">IF(AND(M1061=0,P1061=0),"▶ NEXT","")</f>
        <v/>
      </c>
      <c r="L1061" s="4" t="n">
        <f aca="false">INDEX('Master List'!$F$2:$F$2594,O1061)</f>
        <v>2</v>
      </c>
      <c r="M1061" s="4" t="n">
        <f aca="false">INDEX('Master List'!$G$2:$G$2594,O1061)</f>
        <v>0</v>
      </c>
      <c r="N1061" s="4" t="str">
        <f aca="false">IF(K1061="","",A1061)</f>
        <v/>
      </c>
      <c r="O1061" s="4" t="n">
        <v>2035</v>
      </c>
      <c r="P1061" s="4" t="n">
        <f aca="false">IF(A1061=A1060,P1060+1-M1060,0)</f>
        <v>6</v>
      </c>
    </row>
    <row r="1062" customFormat="false" ht="15" hidden="false" customHeight="false" outlineLevel="0" collapsed="false">
      <c r="A1062" s="29" t="s">
        <v>4047</v>
      </c>
      <c r="B1062" s="29" t="s">
        <v>52</v>
      </c>
      <c r="C1062" s="29" t="s">
        <v>90</v>
      </c>
      <c r="D1062" s="29" t="s">
        <v>4048</v>
      </c>
      <c r="E1062" s="4" t="n">
        <v>10</v>
      </c>
      <c r="F1062" s="4" t="s">
        <v>213</v>
      </c>
      <c r="G1062" s="4" t="s">
        <v>943</v>
      </c>
      <c r="H1062" s="4" t="n">
        <v>1954</v>
      </c>
      <c r="I1062" s="4" t="s">
        <v>270</v>
      </c>
      <c r="J1062" s="25" t="str">
        <f aca="false">IF(M1062=1,"✓","")</f>
        <v/>
      </c>
      <c r="K1062" s="4" t="str">
        <f aca="false">IF(AND(M1062=0,P1062=0),"▶ NEXT","")</f>
        <v/>
      </c>
      <c r="L1062" s="4" t="n">
        <f aca="false">INDEX('Master List'!$F$2:$F$2594,O1062)</f>
        <v>2</v>
      </c>
      <c r="M1062" s="4" t="n">
        <f aca="false">INDEX('Master List'!$G$2:$G$2594,O1062)</f>
        <v>0</v>
      </c>
      <c r="N1062" s="4" t="str">
        <f aca="false">IF(K1062="","",A1062)</f>
        <v/>
      </c>
      <c r="O1062" s="4" t="n">
        <v>1213</v>
      </c>
      <c r="P1062" s="4" t="n">
        <f aca="false">IF(A1062=A1061,P1061+1-M1061,0)</f>
        <v>7</v>
      </c>
    </row>
    <row r="1063" customFormat="false" ht="15" hidden="false" customHeight="false" outlineLevel="0" collapsed="false">
      <c r="A1063" s="29" t="s">
        <v>4047</v>
      </c>
      <c r="B1063" s="29" t="s">
        <v>52</v>
      </c>
      <c r="C1063" s="29" t="s">
        <v>90</v>
      </c>
      <c r="D1063" s="29" t="s">
        <v>4048</v>
      </c>
      <c r="E1063" s="4" t="n">
        <v>11</v>
      </c>
      <c r="F1063" s="4" t="s">
        <v>213</v>
      </c>
      <c r="G1063" s="4" t="s">
        <v>414</v>
      </c>
      <c r="H1063" s="4" t="n">
        <v>1959</v>
      </c>
      <c r="I1063" s="4" t="s">
        <v>168</v>
      </c>
      <c r="J1063" s="25" t="str">
        <f aca="false">IF(M1063=1,"✓","")</f>
        <v/>
      </c>
      <c r="K1063" s="4" t="str">
        <f aca="false">IF(AND(M1063=0,P1063=0),"▶ NEXT","")</f>
        <v/>
      </c>
      <c r="L1063" s="4" t="n">
        <f aca="false">INDEX('Master List'!$F$2:$F$2594,O1063)</f>
        <v>3</v>
      </c>
      <c r="M1063" s="4" t="n">
        <f aca="false">INDEX('Master List'!$G$2:$G$2594,O1063)</f>
        <v>0</v>
      </c>
      <c r="N1063" s="4" t="str">
        <f aca="false">IF(K1063="","",A1063)</f>
        <v/>
      </c>
      <c r="O1063" s="4" t="n">
        <v>1909</v>
      </c>
      <c r="P1063" s="4" t="n">
        <f aca="false">IF(A1063=A1062,P1062+1-M1062,0)</f>
        <v>8</v>
      </c>
    </row>
    <row r="1064" customFormat="false" ht="15" hidden="false" customHeight="false" outlineLevel="0" collapsed="false">
      <c r="A1064" s="29" t="s">
        <v>4047</v>
      </c>
      <c r="B1064" s="29" t="s">
        <v>52</v>
      </c>
      <c r="C1064" s="29" t="s">
        <v>90</v>
      </c>
      <c r="D1064" s="29" t="s">
        <v>4048</v>
      </c>
      <c r="E1064" s="4" t="n">
        <v>12</v>
      </c>
      <c r="F1064" s="4" t="s">
        <v>213</v>
      </c>
      <c r="G1064" s="4" t="s">
        <v>963</v>
      </c>
      <c r="H1064" s="4" t="n">
        <v>1962</v>
      </c>
      <c r="I1064" s="4" t="s">
        <v>205</v>
      </c>
      <c r="J1064" s="25" t="str">
        <f aca="false">IF(M1064=1,"✓","")</f>
        <v/>
      </c>
      <c r="K1064" s="4" t="str">
        <f aca="false">IF(AND(M1064=0,P1064=0),"▶ NEXT","")</f>
        <v/>
      </c>
      <c r="L1064" s="4" t="n">
        <f aca="false">INDEX('Master List'!$F$2:$F$2594,O1064)</f>
        <v>2</v>
      </c>
      <c r="M1064" s="4" t="n">
        <f aca="false">INDEX('Master List'!$G$2:$G$2594,O1064)</f>
        <v>0</v>
      </c>
      <c r="N1064" s="4" t="str">
        <f aca="false">IF(K1064="","",A1064)</f>
        <v/>
      </c>
      <c r="O1064" s="4" t="n">
        <v>1431</v>
      </c>
      <c r="P1064" s="4" t="n">
        <f aca="false">IF(A1064=A1063,P1063+1-M1063,0)</f>
        <v>9</v>
      </c>
    </row>
    <row r="1065" customFormat="false" ht="15" hidden="false" customHeight="false" outlineLevel="0" collapsed="false">
      <c r="A1065" s="29" t="s">
        <v>4047</v>
      </c>
      <c r="B1065" s="29" t="s">
        <v>52</v>
      </c>
      <c r="C1065" s="29" t="s">
        <v>90</v>
      </c>
      <c r="D1065" s="29" t="s">
        <v>4048</v>
      </c>
      <c r="E1065" s="4" t="n">
        <v>13</v>
      </c>
      <c r="F1065" s="4" t="s">
        <v>1327</v>
      </c>
      <c r="G1065" s="4" t="s">
        <v>3367</v>
      </c>
      <c r="H1065" s="4" t="n">
        <v>1953</v>
      </c>
      <c r="I1065" s="4" t="s">
        <v>1843</v>
      </c>
      <c r="J1065" s="25" t="str">
        <f aca="false">IF(M1065=1,"✓","")</f>
        <v/>
      </c>
      <c r="K1065" s="4" t="str">
        <f aca="false">IF(AND(M1065=0,P1065=0),"▶ NEXT","")</f>
        <v/>
      </c>
      <c r="L1065" s="4" t="n">
        <f aca="false">INDEX('Master List'!$F$2:$F$2594,O1065)</f>
        <v>1</v>
      </c>
      <c r="M1065" s="4" t="n">
        <f aca="false">INDEX('Master List'!$G$2:$G$2594,O1065)</f>
        <v>0</v>
      </c>
      <c r="N1065" s="4" t="str">
        <f aca="false">IF(K1065="","",A1065)</f>
        <v/>
      </c>
      <c r="O1065" s="4" t="n">
        <v>1582</v>
      </c>
      <c r="P1065" s="4" t="n">
        <f aca="false">IF(A1065=A1064,P1064+1-M1064,0)</f>
        <v>10</v>
      </c>
    </row>
    <row r="1066" customFormat="false" ht="15" hidden="false" customHeight="false" outlineLevel="0" collapsed="false">
      <c r="A1066" s="29" t="s">
        <v>4047</v>
      </c>
      <c r="B1066" s="29" t="s">
        <v>52</v>
      </c>
      <c r="C1066" s="29" t="s">
        <v>90</v>
      </c>
      <c r="D1066" s="29" t="s">
        <v>4048</v>
      </c>
      <c r="E1066" s="4" t="n">
        <v>14</v>
      </c>
      <c r="F1066" s="4" t="s">
        <v>1327</v>
      </c>
      <c r="G1066" s="4" t="s">
        <v>3414</v>
      </c>
      <c r="H1066" s="4" t="n">
        <v>1962</v>
      </c>
      <c r="I1066" s="4" t="s">
        <v>783</v>
      </c>
      <c r="J1066" s="25" t="str">
        <f aca="false">IF(M1066=1,"✓","")</f>
        <v/>
      </c>
      <c r="K1066" s="4" t="str">
        <f aca="false">IF(AND(M1066=0,P1066=0),"▶ NEXT","")</f>
        <v/>
      </c>
      <c r="L1066" s="4" t="n">
        <f aca="false">INDEX('Master List'!$F$2:$F$2594,O1066)</f>
        <v>1</v>
      </c>
      <c r="M1066" s="4" t="n">
        <f aca="false">INDEX('Master List'!$G$2:$G$2594,O1066)</f>
        <v>0</v>
      </c>
      <c r="N1066" s="4" t="str">
        <f aca="false">IF(K1066="","",A1066)</f>
        <v/>
      </c>
      <c r="O1066" s="4" t="n">
        <v>1902</v>
      </c>
      <c r="P1066" s="4" t="n">
        <f aca="false">IF(A1066=A1065,P1065+1-M1065,0)</f>
        <v>11</v>
      </c>
    </row>
    <row r="1067" customFormat="false" ht="15" hidden="false" customHeight="false" outlineLevel="0" collapsed="false">
      <c r="A1067" s="29" t="s">
        <v>4049</v>
      </c>
      <c r="B1067" s="29" t="s">
        <v>52</v>
      </c>
      <c r="C1067" s="29" t="s">
        <v>90</v>
      </c>
      <c r="D1067" s="29" t="s">
        <v>4050</v>
      </c>
      <c r="E1067" s="4" t="n">
        <v>1</v>
      </c>
      <c r="F1067" s="4" t="s">
        <v>144</v>
      </c>
      <c r="G1067" s="7" t="s">
        <v>1455</v>
      </c>
      <c r="H1067" s="4" t="n">
        <v>1959</v>
      </c>
      <c r="I1067" s="4" t="s">
        <v>1451</v>
      </c>
      <c r="J1067" s="25" t="str">
        <f aca="false">IF(M1067=1,"✓","")</f>
        <v/>
      </c>
      <c r="K1067" s="4" t="str">
        <f aca="false">IF(AND(M1067=0,P1067=0),"▶ NEXT","")</f>
        <v>▶ NEXT</v>
      </c>
      <c r="L1067" s="4" t="n">
        <f aca="false">INDEX('Master List'!$F$2:$F$2594,O1067)</f>
        <v>1</v>
      </c>
      <c r="M1067" s="4" t="n">
        <f aca="false">INDEX('Master List'!$G$2:$G$2594,O1067)</f>
        <v>0</v>
      </c>
      <c r="N1067" s="4" t="str">
        <f aca="false">IF(K1067="","",A1067)</f>
        <v>N088</v>
      </c>
      <c r="O1067" s="4" t="n">
        <v>1901</v>
      </c>
      <c r="P1067" s="4" t="n">
        <f aca="false">IF(A1067=A1066,P1066+1-M1066,0)</f>
        <v>0</v>
      </c>
    </row>
    <row r="1068" customFormat="false" ht="15" hidden="false" customHeight="false" outlineLevel="0" collapsed="false">
      <c r="A1068" s="29" t="s">
        <v>4049</v>
      </c>
      <c r="B1068" s="29" t="s">
        <v>52</v>
      </c>
      <c r="C1068" s="29" t="s">
        <v>90</v>
      </c>
      <c r="D1068" s="29" t="s">
        <v>4050</v>
      </c>
      <c r="E1068" s="4" t="n">
        <v>2</v>
      </c>
      <c r="F1068" s="4" t="s">
        <v>144</v>
      </c>
      <c r="G1068" s="7" t="s">
        <v>1450</v>
      </c>
      <c r="H1068" s="4" t="n">
        <v>1957</v>
      </c>
      <c r="I1068" s="4" t="s">
        <v>1451</v>
      </c>
      <c r="J1068" s="25" t="str">
        <f aca="false">IF(M1068=1,"✓","")</f>
        <v/>
      </c>
      <c r="K1068" s="4" t="str">
        <f aca="false">IF(AND(M1068=0,P1068=0),"▶ NEXT","")</f>
        <v/>
      </c>
      <c r="L1068" s="4" t="n">
        <f aca="false">INDEX('Master List'!$F$2:$F$2594,O1068)</f>
        <v>1</v>
      </c>
      <c r="M1068" s="4" t="n">
        <f aca="false">INDEX('Master List'!$G$2:$G$2594,O1068)</f>
        <v>0</v>
      </c>
      <c r="N1068" s="4" t="str">
        <f aca="false">IF(K1068="","",A1068)</f>
        <v/>
      </c>
      <c r="O1068" s="4" t="n">
        <v>2237</v>
      </c>
      <c r="P1068" s="4" t="n">
        <f aca="false">IF(A1068=A1067,P1067+1-M1067,0)</f>
        <v>1</v>
      </c>
    </row>
    <row r="1069" customFormat="false" ht="15" hidden="false" customHeight="false" outlineLevel="0" collapsed="false">
      <c r="A1069" s="29" t="s">
        <v>4049</v>
      </c>
      <c r="B1069" s="29" t="s">
        <v>52</v>
      </c>
      <c r="C1069" s="29" t="s">
        <v>90</v>
      </c>
      <c r="D1069" s="29" t="s">
        <v>4050</v>
      </c>
      <c r="E1069" s="4" t="n">
        <v>3</v>
      </c>
      <c r="F1069" s="4" t="s">
        <v>213</v>
      </c>
      <c r="G1069" s="4" t="s">
        <v>1931</v>
      </c>
      <c r="H1069" s="4" t="n">
        <v>1956</v>
      </c>
      <c r="I1069" s="4" t="s">
        <v>1451</v>
      </c>
      <c r="J1069" s="25" t="str">
        <f aca="false">IF(M1069=1,"✓","")</f>
        <v/>
      </c>
      <c r="K1069" s="4" t="str">
        <f aca="false">IF(AND(M1069=0,P1069=0),"▶ NEXT","")</f>
        <v/>
      </c>
      <c r="L1069" s="4" t="n">
        <f aca="false">INDEX('Master List'!$F$2:$F$2594,O1069)</f>
        <v>1</v>
      </c>
      <c r="M1069" s="4" t="n">
        <f aca="false">INDEX('Master List'!$G$2:$G$2594,O1069)</f>
        <v>0</v>
      </c>
      <c r="N1069" s="4" t="str">
        <f aca="false">IF(K1069="","",A1069)</f>
        <v/>
      </c>
      <c r="O1069" s="4" t="n">
        <v>2020</v>
      </c>
      <c r="P1069" s="4" t="n">
        <f aca="false">IF(A1069=A1068,P1068+1-M1068,0)</f>
        <v>2</v>
      </c>
    </row>
    <row r="1070" customFormat="false" ht="15" hidden="false" customHeight="false" outlineLevel="0" collapsed="false">
      <c r="A1070" s="29" t="s">
        <v>4049</v>
      </c>
      <c r="B1070" s="29" t="s">
        <v>52</v>
      </c>
      <c r="C1070" s="29" t="s">
        <v>90</v>
      </c>
      <c r="D1070" s="29" t="s">
        <v>4050</v>
      </c>
      <c r="E1070" s="4" t="n">
        <v>4</v>
      </c>
      <c r="F1070" s="4" t="s">
        <v>213</v>
      </c>
      <c r="G1070" s="4" t="s">
        <v>1941</v>
      </c>
      <c r="H1070" s="4" t="n">
        <v>1957</v>
      </c>
      <c r="I1070" s="4" t="s">
        <v>1451</v>
      </c>
      <c r="J1070" s="25" t="str">
        <f aca="false">IF(M1070=1,"✓","")</f>
        <v/>
      </c>
      <c r="K1070" s="4" t="str">
        <f aca="false">IF(AND(M1070=0,P1070=0),"▶ NEXT","")</f>
        <v/>
      </c>
      <c r="L1070" s="4" t="n">
        <f aca="false">INDEX('Master List'!$F$2:$F$2594,O1070)</f>
        <v>1</v>
      </c>
      <c r="M1070" s="4" t="n">
        <f aca="false">INDEX('Master List'!$G$2:$G$2594,O1070)</f>
        <v>0</v>
      </c>
      <c r="N1070" s="4" t="str">
        <f aca="false">IF(K1070="","",A1070)</f>
        <v/>
      </c>
      <c r="O1070" s="4" t="n">
        <v>599</v>
      </c>
      <c r="P1070" s="4" t="n">
        <f aca="false">IF(A1070=A1069,P1069+1-M1069,0)</f>
        <v>3</v>
      </c>
    </row>
    <row r="1071" customFormat="false" ht="15" hidden="false" customHeight="false" outlineLevel="0" collapsed="false">
      <c r="A1071" s="29" t="s">
        <v>4049</v>
      </c>
      <c r="B1071" s="29" t="s">
        <v>52</v>
      </c>
      <c r="C1071" s="29" t="s">
        <v>90</v>
      </c>
      <c r="D1071" s="29" t="s">
        <v>4050</v>
      </c>
      <c r="E1071" s="4" t="n">
        <v>5</v>
      </c>
      <c r="F1071" s="4" t="s">
        <v>213</v>
      </c>
      <c r="G1071" s="4" t="s">
        <v>1978</v>
      </c>
      <c r="H1071" s="4" t="n">
        <v>1960</v>
      </c>
      <c r="I1071" s="4" t="s">
        <v>1451</v>
      </c>
      <c r="J1071" s="25" t="str">
        <f aca="false">IF(M1071=1,"✓","")</f>
        <v/>
      </c>
      <c r="K1071" s="4" t="str">
        <f aca="false">IF(AND(M1071=0,P1071=0),"▶ NEXT","")</f>
        <v/>
      </c>
      <c r="L1071" s="4" t="n">
        <f aca="false">INDEX('Master List'!$F$2:$F$2594,O1071)</f>
        <v>1</v>
      </c>
      <c r="M1071" s="4" t="n">
        <f aca="false">INDEX('Master List'!$G$2:$G$2594,O1071)</f>
        <v>0</v>
      </c>
      <c r="N1071" s="4" t="str">
        <f aca="false">IF(K1071="","",A1071)</f>
        <v/>
      </c>
      <c r="O1071" s="4" t="n">
        <v>501</v>
      </c>
      <c r="P1071" s="4" t="n">
        <f aca="false">IF(A1071=A1070,P1070+1-M1070,0)</f>
        <v>4</v>
      </c>
    </row>
    <row r="1072" customFormat="false" ht="15" hidden="false" customHeight="false" outlineLevel="0" collapsed="false">
      <c r="A1072" s="29" t="s">
        <v>4049</v>
      </c>
      <c r="B1072" s="29" t="s">
        <v>52</v>
      </c>
      <c r="C1072" s="29" t="s">
        <v>90</v>
      </c>
      <c r="D1072" s="29" t="s">
        <v>4050</v>
      </c>
      <c r="E1072" s="4" t="n">
        <v>6</v>
      </c>
      <c r="F1072" s="4" t="s">
        <v>213</v>
      </c>
      <c r="G1072" s="4" t="s">
        <v>1887</v>
      </c>
      <c r="H1072" s="4" t="n">
        <v>1952</v>
      </c>
      <c r="I1072" s="4" t="s">
        <v>1843</v>
      </c>
      <c r="J1072" s="25" t="str">
        <f aca="false">IF(M1072=1,"✓","")</f>
        <v/>
      </c>
      <c r="K1072" s="4" t="str">
        <f aca="false">IF(AND(M1072=0,P1072=0),"▶ NEXT","")</f>
        <v/>
      </c>
      <c r="L1072" s="4" t="n">
        <f aca="false">INDEX('Master List'!$F$2:$F$2594,O1072)</f>
        <v>1</v>
      </c>
      <c r="M1072" s="4" t="n">
        <f aca="false">INDEX('Master List'!$G$2:$G$2594,O1072)</f>
        <v>0</v>
      </c>
      <c r="N1072" s="4" t="str">
        <f aca="false">IF(K1072="","",A1072)</f>
        <v/>
      </c>
      <c r="O1072" s="4" t="n">
        <v>224</v>
      </c>
      <c r="P1072" s="4" t="n">
        <f aca="false">IF(A1072=A1071,P1071+1-M1071,0)</f>
        <v>5</v>
      </c>
    </row>
    <row r="1073" customFormat="false" ht="15" hidden="false" customHeight="false" outlineLevel="0" collapsed="false">
      <c r="A1073" s="29" t="s">
        <v>4049</v>
      </c>
      <c r="B1073" s="29" t="s">
        <v>52</v>
      </c>
      <c r="C1073" s="29" t="s">
        <v>90</v>
      </c>
      <c r="D1073" s="29" t="s">
        <v>4050</v>
      </c>
      <c r="E1073" s="4" t="n">
        <v>7</v>
      </c>
      <c r="F1073" s="4" t="s">
        <v>213</v>
      </c>
      <c r="G1073" s="4" t="s">
        <v>1919</v>
      </c>
      <c r="H1073" s="4" t="n">
        <v>1955</v>
      </c>
      <c r="I1073" s="4" t="s">
        <v>1843</v>
      </c>
      <c r="J1073" s="25" t="str">
        <f aca="false">IF(M1073=1,"✓","")</f>
        <v/>
      </c>
      <c r="K1073" s="4" t="str">
        <f aca="false">IF(AND(M1073=0,P1073=0),"▶ NEXT","")</f>
        <v/>
      </c>
      <c r="L1073" s="4" t="n">
        <f aca="false">INDEX('Master List'!$F$2:$F$2594,O1073)</f>
        <v>1</v>
      </c>
      <c r="M1073" s="4" t="n">
        <f aca="false">INDEX('Master List'!$G$2:$G$2594,O1073)</f>
        <v>0</v>
      </c>
      <c r="N1073" s="4" t="str">
        <f aca="false">IF(K1073="","",A1073)</f>
        <v/>
      </c>
      <c r="O1073" s="4" t="n">
        <v>1424</v>
      </c>
      <c r="P1073" s="4" t="n">
        <f aca="false">IF(A1073=A1072,P1072+1-M1072,0)</f>
        <v>6</v>
      </c>
    </row>
    <row r="1074" customFormat="false" ht="15" hidden="false" customHeight="false" outlineLevel="0" collapsed="false">
      <c r="A1074" s="29" t="s">
        <v>4049</v>
      </c>
      <c r="B1074" s="29" t="s">
        <v>52</v>
      </c>
      <c r="C1074" s="29" t="s">
        <v>90</v>
      </c>
      <c r="D1074" s="29" t="s">
        <v>4050</v>
      </c>
      <c r="E1074" s="4" t="n">
        <v>8</v>
      </c>
      <c r="F1074" s="4" t="s">
        <v>213</v>
      </c>
      <c r="G1074" s="4" t="s">
        <v>1955</v>
      </c>
      <c r="H1074" s="4" t="n">
        <v>1958</v>
      </c>
      <c r="I1074" s="4" t="s">
        <v>1843</v>
      </c>
      <c r="J1074" s="25" t="str">
        <f aca="false">IF(M1074=1,"✓","")</f>
        <v/>
      </c>
      <c r="K1074" s="4" t="str">
        <f aca="false">IF(AND(M1074=0,P1074=0),"▶ NEXT","")</f>
        <v/>
      </c>
      <c r="L1074" s="4" t="n">
        <f aca="false">INDEX('Master List'!$F$2:$F$2594,O1074)</f>
        <v>1</v>
      </c>
      <c r="M1074" s="4" t="n">
        <f aca="false">INDEX('Master List'!$G$2:$G$2594,O1074)</f>
        <v>0</v>
      </c>
      <c r="N1074" s="4" t="str">
        <f aca="false">IF(K1074="","",A1074)</f>
        <v/>
      </c>
      <c r="O1074" s="4" t="n">
        <v>1427</v>
      </c>
      <c r="P1074" s="4" t="n">
        <f aca="false">IF(A1074=A1073,P1073+1-M1073,0)</f>
        <v>7</v>
      </c>
    </row>
    <row r="1075" customFormat="false" ht="15" hidden="false" customHeight="false" outlineLevel="0" collapsed="false">
      <c r="A1075" s="29" t="s">
        <v>4049</v>
      </c>
      <c r="B1075" s="29" t="s">
        <v>52</v>
      </c>
      <c r="C1075" s="29" t="s">
        <v>90</v>
      </c>
      <c r="D1075" s="29" t="s">
        <v>4050</v>
      </c>
      <c r="E1075" s="4" t="n">
        <v>9</v>
      </c>
      <c r="F1075" s="4" t="s">
        <v>213</v>
      </c>
      <c r="G1075" s="4" t="s">
        <v>1942</v>
      </c>
      <c r="H1075" s="4" t="n">
        <v>1957</v>
      </c>
      <c r="I1075" s="4" t="s">
        <v>1847</v>
      </c>
      <c r="J1075" s="25" t="str">
        <f aca="false">IF(M1075=1,"✓","")</f>
        <v/>
      </c>
      <c r="K1075" s="4" t="str">
        <f aca="false">IF(AND(M1075=0,P1075=0),"▶ NEXT","")</f>
        <v/>
      </c>
      <c r="L1075" s="4" t="n">
        <f aca="false">INDEX('Master List'!$F$2:$F$2594,O1075)</f>
        <v>1</v>
      </c>
      <c r="M1075" s="4" t="n">
        <f aca="false">INDEX('Master List'!$G$2:$G$2594,O1075)</f>
        <v>0</v>
      </c>
      <c r="N1075" s="4" t="str">
        <f aca="false">IF(K1075="","",A1075)</f>
        <v/>
      </c>
      <c r="O1075" s="4" t="n">
        <v>18</v>
      </c>
      <c r="P1075" s="4" t="n">
        <f aca="false">IF(A1075=A1074,P1074+1-M1074,0)</f>
        <v>8</v>
      </c>
    </row>
    <row r="1076" customFormat="false" ht="15" hidden="false" customHeight="false" outlineLevel="0" collapsed="false">
      <c r="A1076" s="29" t="s">
        <v>4049</v>
      </c>
      <c r="B1076" s="29" t="s">
        <v>52</v>
      </c>
      <c r="C1076" s="29" t="s">
        <v>90</v>
      </c>
      <c r="D1076" s="29" t="s">
        <v>4050</v>
      </c>
      <c r="E1076" s="4" t="n">
        <v>10</v>
      </c>
      <c r="F1076" s="4" t="s">
        <v>1327</v>
      </c>
      <c r="G1076" s="4" t="s">
        <v>3387</v>
      </c>
      <c r="H1076" s="4" t="n">
        <v>1957</v>
      </c>
      <c r="I1076" s="4" t="s">
        <v>940</v>
      </c>
      <c r="J1076" s="25" t="str">
        <f aca="false">IF(M1076=1,"✓","")</f>
        <v/>
      </c>
      <c r="K1076" s="4" t="str">
        <f aca="false">IF(AND(M1076=0,P1076=0),"▶ NEXT","")</f>
        <v/>
      </c>
      <c r="L1076" s="4" t="n">
        <f aca="false">INDEX('Master List'!$F$2:$F$2594,O1076)</f>
        <v>1</v>
      </c>
      <c r="M1076" s="4" t="n">
        <f aca="false">INDEX('Master List'!$G$2:$G$2594,O1076)</f>
        <v>0</v>
      </c>
      <c r="N1076" s="4" t="str">
        <f aca="false">IF(K1076="","",A1076)</f>
        <v/>
      </c>
      <c r="O1076" s="4" t="n">
        <v>840</v>
      </c>
      <c r="P1076" s="4" t="n">
        <f aca="false">IF(A1076=A1075,P1075+1-M1075,0)</f>
        <v>9</v>
      </c>
    </row>
    <row r="1077" customFormat="false" ht="15" hidden="false" customHeight="false" outlineLevel="0" collapsed="false">
      <c r="A1077" s="29" t="s">
        <v>4049</v>
      </c>
      <c r="B1077" s="29" t="s">
        <v>52</v>
      </c>
      <c r="C1077" s="29" t="s">
        <v>90</v>
      </c>
      <c r="D1077" s="29" t="s">
        <v>4050</v>
      </c>
      <c r="E1077" s="4" t="n">
        <v>11</v>
      </c>
      <c r="F1077" s="4" t="s">
        <v>1327</v>
      </c>
      <c r="G1077" s="4" t="s">
        <v>3394</v>
      </c>
      <c r="H1077" s="4" t="n">
        <v>1959</v>
      </c>
      <c r="I1077" s="4" t="s">
        <v>3395</v>
      </c>
      <c r="J1077" s="25" t="str">
        <f aca="false">IF(M1077=1,"✓","")</f>
        <v/>
      </c>
      <c r="K1077" s="4" t="str">
        <f aca="false">IF(AND(M1077=0,P1077=0),"▶ NEXT","")</f>
        <v/>
      </c>
      <c r="L1077" s="4" t="n">
        <f aca="false">INDEX('Master List'!$F$2:$F$2594,O1077)</f>
        <v>1</v>
      </c>
      <c r="M1077" s="4" t="n">
        <f aca="false">INDEX('Master List'!$G$2:$G$2594,O1077)</f>
        <v>0</v>
      </c>
      <c r="N1077" s="4" t="str">
        <f aca="false">IF(K1077="","",A1077)</f>
        <v/>
      </c>
      <c r="O1077" s="4" t="n">
        <v>575</v>
      </c>
      <c r="P1077" s="4" t="n">
        <f aca="false">IF(A1077=A1076,P1076+1-M1076,0)</f>
        <v>10</v>
      </c>
    </row>
    <row r="1078" customFormat="false" ht="15" hidden="false" customHeight="false" outlineLevel="0" collapsed="false">
      <c r="A1078" s="29" t="s">
        <v>4051</v>
      </c>
      <c r="B1078" s="29" t="s">
        <v>52</v>
      </c>
      <c r="C1078" s="29" t="s">
        <v>90</v>
      </c>
      <c r="D1078" s="29" t="s">
        <v>4052</v>
      </c>
      <c r="E1078" s="4" t="n">
        <v>1</v>
      </c>
      <c r="F1078" s="4" t="s">
        <v>144</v>
      </c>
      <c r="G1078" s="7" t="s">
        <v>782</v>
      </c>
      <c r="H1078" s="4" t="n">
        <v>1969</v>
      </c>
      <c r="I1078" s="4" t="s">
        <v>783</v>
      </c>
      <c r="J1078" s="25" t="str">
        <f aca="false">IF(M1078=1,"✓","")</f>
        <v/>
      </c>
      <c r="K1078" s="4" t="str">
        <f aca="false">IF(AND(M1078=0,P1078=0),"▶ NEXT","")</f>
        <v>▶ NEXT</v>
      </c>
      <c r="L1078" s="4" t="n">
        <f aca="false">INDEX('Master List'!$F$2:$F$2594,O1078)</f>
        <v>2</v>
      </c>
      <c r="M1078" s="4" t="n">
        <f aca="false">INDEX('Master List'!$G$2:$G$2594,O1078)</f>
        <v>0</v>
      </c>
      <c r="N1078" s="4" t="str">
        <f aca="false">IF(K1078="","",A1078)</f>
        <v>N089</v>
      </c>
      <c r="O1078" s="4" t="n">
        <v>2514</v>
      </c>
      <c r="P1078" s="4" t="n">
        <f aca="false">IF(A1078=A1077,P1077+1-M1077,0)</f>
        <v>0</v>
      </c>
    </row>
    <row r="1079" customFormat="false" ht="15" hidden="false" customHeight="false" outlineLevel="0" collapsed="false">
      <c r="A1079" s="29" t="s">
        <v>4051</v>
      </c>
      <c r="B1079" s="29" t="s">
        <v>52</v>
      </c>
      <c r="C1079" s="29" t="s">
        <v>90</v>
      </c>
      <c r="D1079" s="29" t="s">
        <v>4052</v>
      </c>
      <c r="E1079" s="4" t="n">
        <v>2</v>
      </c>
      <c r="F1079" s="4" t="s">
        <v>144</v>
      </c>
      <c r="G1079" s="7" t="s">
        <v>828</v>
      </c>
      <c r="H1079" s="4" t="n">
        <v>1992</v>
      </c>
      <c r="I1079" s="4" t="s">
        <v>829</v>
      </c>
      <c r="J1079" s="25" t="str">
        <f aca="false">IF(M1079=1,"✓","")</f>
        <v>✓</v>
      </c>
      <c r="K1079" s="4" t="str">
        <f aca="false">IF(AND(M1079=0,P1079=0),"▶ NEXT","")</f>
        <v/>
      </c>
      <c r="L1079" s="4" t="n">
        <f aca="false">INDEX('Master List'!$F$2:$F$2594,O1079)</f>
        <v>2</v>
      </c>
      <c r="M1079" s="4" t="n">
        <f aca="false">INDEX('Master List'!$G$2:$G$2594,O1079)</f>
        <v>1</v>
      </c>
      <c r="N1079" s="4" t="str">
        <f aca="false">IF(K1079="","",A1079)</f>
        <v/>
      </c>
      <c r="O1079" s="4" t="n">
        <v>2408</v>
      </c>
      <c r="P1079" s="4" t="n">
        <f aca="false">IF(A1079=A1078,P1078+1-M1078,0)</f>
        <v>1</v>
      </c>
    </row>
    <row r="1080" customFormat="false" ht="15" hidden="false" customHeight="false" outlineLevel="0" collapsed="false">
      <c r="A1080" s="29" t="s">
        <v>4051</v>
      </c>
      <c r="B1080" s="29" t="s">
        <v>52</v>
      </c>
      <c r="C1080" s="29" t="s">
        <v>90</v>
      </c>
      <c r="D1080" s="29" t="s">
        <v>4052</v>
      </c>
      <c r="E1080" s="4" t="n">
        <v>3</v>
      </c>
      <c r="F1080" s="4" t="s">
        <v>213</v>
      </c>
      <c r="G1080" s="4" t="s">
        <v>1005</v>
      </c>
      <c r="H1080" s="4" t="n">
        <v>1969</v>
      </c>
      <c r="I1080" s="4" t="s">
        <v>797</v>
      </c>
      <c r="J1080" s="25" t="str">
        <f aca="false">IF(M1080=1,"✓","")</f>
        <v/>
      </c>
      <c r="K1080" s="4" t="str">
        <f aca="false">IF(AND(M1080=0,P1080=0),"▶ NEXT","")</f>
        <v/>
      </c>
      <c r="L1080" s="4" t="n">
        <f aca="false">INDEX('Master List'!$F$2:$F$2594,O1080)</f>
        <v>2</v>
      </c>
      <c r="M1080" s="4" t="n">
        <f aca="false">INDEX('Master List'!$G$2:$G$2594,O1080)</f>
        <v>0</v>
      </c>
      <c r="N1080" s="4" t="str">
        <f aca="false">IF(K1080="","",A1080)</f>
        <v/>
      </c>
      <c r="O1080" s="4" t="n">
        <v>373</v>
      </c>
      <c r="P1080" s="4" t="n">
        <f aca="false">IF(A1080=A1079,P1079+1-M1079,0)</f>
        <v>1</v>
      </c>
    </row>
    <row r="1081" customFormat="false" ht="15" hidden="false" customHeight="false" outlineLevel="0" collapsed="false">
      <c r="A1081" s="29" t="s">
        <v>4051</v>
      </c>
      <c r="B1081" s="29" t="s">
        <v>52</v>
      </c>
      <c r="C1081" s="29" t="s">
        <v>90</v>
      </c>
      <c r="D1081" s="29" t="s">
        <v>4052</v>
      </c>
      <c r="E1081" s="4" t="n">
        <v>4</v>
      </c>
      <c r="F1081" s="4" t="s">
        <v>213</v>
      </c>
      <c r="G1081" s="4" t="s">
        <v>2154</v>
      </c>
      <c r="H1081" s="4" t="n">
        <v>1970</v>
      </c>
      <c r="I1081" s="4" t="s">
        <v>301</v>
      </c>
      <c r="J1081" s="25" t="str">
        <f aca="false">IF(M1081=1,"✓","")</f>
        <v/>
      </c>
      <c r="K1081" s="4" t="str">
        <f aca="false">IF(AND(M1081=0,P1081=0),"▶ NEXT","")</f>
        <v/>
      </c>
      <c r="L1081" s="4" t="n">
        <f aca="false">INDEX('Master List'!$F$2:$F$2594,O1081)</f>
        <v>1</v>
      </c>
      <c r="M1081" s="4" t="n">
        <f aca="false">INDEX('Master List'!$G$2:$G$2594,O1081)</f>
        <v>0</v>
      </c>
      <c r="N1081" s="4" t="str">
        <f aca="false">IF(K1081="","",A1081)</f>
        <v/>
      </c>
      <c r="O1081" s="4" t="n">
        <v>1348</v>
      </c>
      <c r="P1081" s="4" t="n">
        <f aca="false">IF(A1081=A1080,P1080+1-M1080,0)</f>
        <v>2</v>
      </c>
    </row>
    <row r="1082" customFormat="false" ht="15" hidden="false" customHeight="false" outlineLevel="0" collapsed="false">
      <c r="A1082" s="29" t="s">
        <v>4051</v>
      </c>
      <c r="B1082" s="29" t="s">
        <v>52</v>
      </c>
      <c r="C1082" s="29" t="s">
        <v>90</v>
      </c>
      <c r="D1082" s="29" t="s">
        <v>4052</v>
      </c>
      <c r="E1082" s="4" t="n">
        <v>5</v>
      </c>
      <c r="F1082" s="4" t="s">
        <v>213</v>
      </c>
      <c r="G1082" s="4" t="s">
        <v>387</v>
      </c>
      <c r="H1082" s="4" t="n">
        <v>1971</v>
      </c>
      <c r="I1082" s="4" t="s">
        <v>197</v>
      </c>
      <c r="J1082" s="25" t="str">
        <f aca="false">IF(M1082=1,"✓","")</f>
        <v/>
      </c>
      <c r="K1082" s="4" t="str">
        <f aca="false">IF(AND(M1082=0,P1082=0),"▶ NEXT","")</f>
        <v/>
      </c>
      <c r="L1082" s="4" t="n">
        <f aca="false">INDEX('Master List'!$F$2:$F$2594,O1082)</f>
        <v>4</v>
      </c>
      <c r="M1082" s="4" t="n">
        <f aca="false">INDEX('Master List'!$G$2:$G$2594,O1082)</f>
        <v>0</v>
      </c>
      <c r="N1082" s="4" t="str">
        <f aca="false">IF(K1082="","",A1082)</f>
        <v/>
      </c>
      <c r="O1082" s="4" t="n">
        <v>1467</v>
      </c>
      <c r="P1082" s="4" t="n">
        <f aca="false">IF(A1082=A1081,P1081+1-M1081,0)</f>
        <v>3</v>
      </c>
    </row>
    <row r="1083" customFormat="false" ht="15" hidden="false" customHeight="false" outlineLevel="0" collapsed="false">
      <c r="A1083" s="29" t="s">
        <v>4051</v>
      </c>
      <c r="B1083" s="29" t="s">
        <v>52</v>
      </c>
      <c r="C1083" s="29" t="s">
        <v>90</v>
      </c>
      <c r="D1083" s="29" t="s">
        <v>4052</v>
      </c>
      <c r="E1083" s="4" t="n">
        <v>6</v>
      </c>
      <c r="F1083" s="4" t="s">
        <v>213</v>
      </c>
      <c r="G1083" s="4" t="s">
        <v>2221</v>
      </c>
      <c r="H1083" s="4" t="n">
        <v>1973</v>
      </c>
      <c r="I1083" s="4" t="s">
        <v>783</v>
      </c>
      <c r="J1083" s="25" t="str">
        <f aca="false">IF(M1083=1,"✓","")</f>
        <v/>
      </c>
      <c r="K1083" s="4" t="str">
        <f aca="false">IF(AND(M1083=0,P1083=0),"▶ NEXT","")</f>
        <v/>
      </c>
      <c r="L1083" s="4" t="n">
        <f aca="false">INDEX('Master List'!$F$2:$F$2594,O1083)</f>
        <v>1</v>
      </c>
      <c r="M1083" s="4" t="n">
        <f aca="false">INDEX('Master List'!$G$2:$G$2594,O1083)</f>
        <v>0</v>
      </c>
      <c r="N1083" s="4" t="str">
        <f aca="false">IF(K1083="","",A1083)</f>
        <v/>
      </c>
      <c r="O1083" s="4" t="n">
        <v>1732</v>
      </c>
      <c r="P1083" s="4" t="n">
        <f aca="false">IF(A1083=A1082,P1082+1-M1082,0)</f>
        <v>4</v>
      </c>
    </row>
    <row r="1084" customFormat="false" ht="15" hidden="false" customHeight="false" outlineLevel="0" collapsed="false">
      <c r="A1084" s="29" t="s">
        <v>4051</v>
      </c>
      <c r="B1084" s="29" t="s">
        <v>52</v>
      </c>
      <c r="C1084" s="29" t="s">
        <v>90</v>
      </c>
      <c r="D1084" s="29" t="s">
        <v>4052</v>
      </c>
      <c r="E1084" s="4" t="n">
        <v>7</v>
      </c>
      <c r="F1084" s="4" t="s">
        <v>213</v>
      </c>
      <c r="G1084" s="4" t="s">
        <v>2284</v>
      </c>
      <c r="H1084" s="4" t="n">
        <v>1976</v>
      </c>
      <c r="I1084" s="4" t="s">
        <v>829</v>
      </c>
      <c r="J1084" s="25" t="str">
        <f aca="false">IF(M1084=1,"✓","")</f>
        <v/>
      </c>
      <c r="K1084" s="4" t="str">
        <f aca="false">IF(AND(M1084=0,P1084=0),"▶ NEXT","")</f>
        <v/>
      </c>
      <c r="L1084" s="4" t="n">
        <f aca="false">INDEX('Master List'!$F$2:$F$2594,O1084)</f>
        <v>1</v>
      </c>
      <c r="M1084" s="4" t="n">
        <f aca="false">INDEX('Master List'!$G$2:$G$2594,O1084)</f>
        <v>0</v>
      </c>
      <c r="N1084" s="4" t="str">
        <f aca="false">IF(K1084="","",A1084)</f>
        <v/>
      </c>
      <c r="O1084" s="4" t="n">
        <v>1701</v>
      </c>
      <c r="P1084" s="4" t="n">
        <f aca="false">IF(A1084=A1083,P1083+1-M1083,0)</f>
        <v>5</v>
      </c>
    </row>
    <row r="1085" customFormat="false" ht="15" hidden="false" customHeight="false" outlineLevel="0" collapsed="false">
      <c r="A1085" s="29" t="s">
        <v>4051</v>
      </c>
      <c r="B1085" s="29" t="s">
        <v>52</v>
      </c>
      <c r="C1085" s="29" t="s">
        <v>90</v>
      </c>
      <c r="D1085" s="29" t="s">
        <v>4052</v>
      </c>
      <c r="E1085" s="4" t="n">
        <v>8</v>
      </c>
      <c r="F1085" s="4" t="s">
        <v>213</v>
      </c>
      <c r="G1085" s="4" t="s">
        <v>1047</v>
      </c>
      <c r="H1085" s="4" t="n">
        <v>1980</v>
      </c>
      <c r="I1085" s="4" t="s">
        <v>606</v>
      </c>
      <c r="J1085" s="25" t="str">
        <f aca="false">IF(M1085=1,"✓","")</f>
        <v/>
      </c>
      <c r="K1085" s="4" t="str">
        <f aca="false">IF(AND(M1085=0,P1085=0),"▶ NEXT","")</f>
        <v/>
      </c>
      <c r="L1085" s="4" t="n">
        <f aca="false">INDEX('Master List'!$F$2:$F$2594,O1085)</f>
        <v>2</v>
      </c>
      <c r="M1085" s="4" t="n">
        <f aca="false">INDEX('Master List'!$G$2:$G$2594,O1085)</f>
        <v>0</v>
      </c>
      <c r="N1085" s="4" t="str">
        <f aca="false">IF(K1085="","",A1085)</f>
        <v/>
      </c>
      <c r="O1085" s="4" t="n">
        <v>1014</v>
      </c>
      <c r="P1085" s="4" t="n">
        <f aca="false">IF(A1085=A1084,P1084+1-M1084,0)</f>
        <v>6</v>
      </c>
    </row>
    <row r="1086" customFormat="false" ht="15" hidden="false" customHeight="false" outlineLevel="0" collapsed="false">
      <c r="A1086" s="29" t="s">
        <v>4051</v>
      </c>
      <c r="B1086" s="29" t="s">
        <v>52</v>
      </c>
      <c r="C1086" s="29" t="s">
        <v>90</v>
      </c>
      <c r="D1086" s="29" t="s">
        <v>4052</v>
      </c>
      <c r="E1086" s="4" t="n">
        <v>9</v>
      </c>
      <c r="F1086" s="4" t="s">
        <v>213</v>
      </c>
      <c r="G1086" s="4" t="s">
        <v>2510</v>
      </c>
      <c r="H1086" s="4" t="n">
        <v>1990</v>
      </c>
      <c r="I1086" s="4" t="s">
        <v>2511</v>
      </c>
      <c r="J1086" s="25" t="str">
        <f aca="false">IF(M1086=1,"✓","")</f>
        <v/>
      </c>
      <c r="K1086" s="4" t="str">
        <f aca="false">IF(AND(M1086=0,P1086=0),"▶ NEXT","")</f>
        <v/>
      </c>
      <c r="L1086" s="4" t="n">
        <f aca="false">INDEX('Master List'!$F$2:$F$2594,O1086)</f>
        <v>1</v>
      </c>
      <c r="M1086" s="4" t="n">
        <f aca="false">INDEX('Master List'!$G$2:$G$2594,O1086)</f>
        <v>0</v>
      </c>
      <c r="N1086" s="4" t="str">
        <f aca="false">IF(K1086="","",A1086)</f>
        <v/>
      </c>
      <c r="O1086" s="4" t="n">
        <v>560</v>
      </c>
      <c r="P1086" s="4" t="n">
        <f aca="false">IF(A1086=A1085,P1085+1-M1085,0)</f>
        <v>7</v>
      </c>
    </row>
    <row r="1087" customFormat="false" ht="15" hidden="false" customHeight="false" outlineLevel="0" collapsed="false">
      <c r="A1087" s="29" t="s">
        <v>4051</v>
      </c>
      <c r="B1087" s="29" t="s">
        <v>52</v>
      </c>
      <c r="C1087" s="29" t="s">
        <v>90</v>
      </c>
      <c r="D1087" s="29" t="s">
        <v>4052</v>
      </c>
      <c r="E1087" s="4" t="n">
        <v>10</v>
      </c>
      <c r="F1087" s="4" t="s">
        <v>213</v>
      </c>
      <c r="G1087" s="4" t="s">
        <v>1402</v>
      </c>
      <c r="H1087" s="4" t="n">
        <v>2007</v>
      </c>
      <c r="I1087" s="4" t="s">
        <v>1403</v>
      </c>
      <c r="J1087" s="25" t="str">
        <f aca="false">IF(M1087=1,"✓","")</f>
        <v/>
      </c>
      <c r="K1087" s="4" t="str">
        <f aca="false">IF(AND(M1087=0,P1087=0),"▶ NEXT","")</f>
        <v/>
      </c>
      <c r="L1087" s="4" t="n">
        <f aca="false">INDEX('Master List'!$F$2:$F$2594,O1087)</f>
        <v>2</v>
      </c>
      <c r="M1087" s="4" t="n">
        <f aca="false">INDEX('Master List'!$G$2:$G$2594,O1087)</f>
        <v>0</v>
      </c>
      <c r="N1087" s="4" t="str">
        <f aca="false">IF(K1087="","",A1087)</f>
        <v/>
      </c>
      <c r="O1087" s="4" t="n">
        <v>141</v>
      </c>
      <c r="P1087" s="4" t="n">
        <f aca="false">IF(A1087=A1086,P1086+1-M1086,0)</f>
        <v>8</v>
      </c>
    </row>
    <row r="1088" customFormat="false" ht="15" hidden="false" customHeight="false" outlineLevel="0" collapsed="false">
      <c r="A1088" s="29" t="s">
        <v>4051</v>
      </c>
      <c r="B1088" s="29" t="s">
        <v>52</v>
      </c>
      <c r="C1088" s="29" t="s">
        <v>90</v>
      </c>
      <c r="D1088" s="29" t="s">
        <v>4052</v>
      </c>
      <c r="E1088" s="4" t="n">
        <v>11</v>
      </c>
      <c r="F1088" s="4" t="s">
        <v>213</v>
      </c>
      <c r="G1088" s="4" t="s">
        <v>3206</v>
      </c>
      <c r="H1088" s="4" t="n">
        <v>2021</v>
      </c>
      <c r="I1088" s="4" t="s">
        <v>833</v>
      </c>
      <c r="J1088" s="25" t="str">
        <f aca="false">IF(M1088=1,"✓","")</f>
        <v>✓</v>
      </c>
      <c r="K1088" s="4" t="str">
        <f aca="false">IF(AND(M1088=0,P1088=0),"▶ NEXT","")</f>
        <v/>
      </c>
      <c r="L1088" s="4" t="n">
        <f aca="false">INDEX('Master List'!$F$2:$F$2594,O1088)</f>
        <v>1</v>
      </c>
      <c r="M1088" s="4" t="n">
        <f aca="false">INDEX('Master List'!$G$2:$G$2594,O1088)</f>
        <v>1</v>
      </c>
      <c r="N1088" s="4" t="str">
        <f aca="false">IF(K1088="","",A1088)</f>
        <v/>
      </c>
      <c r="O1088" s="4" t="n">
        <v>1805</v>
      </c>
      <c r="P1088" s="4" t="n">
        <f aca="false">IF(A1088=A1087,P1087+1-M1087,0)</f>
        <v>9</v>
      </c>
    </row>
    <row r="1089" customFormat="false" ht="15" hidden="false" customHeight="false" outlineLevel="0" collapsed="false">
      <c r="A1089" s="29" t="s">
        <v>4051</v>
      </c>
      <c r="B1089" s="29" t="s">
        <v>52</v>
      </c>
      <c r="C1089" s="29" t="s">
        <v>90</v>
      </c>
      <c r="D1089" s="29" t="s">
        <v>4052</v>
      </c>
      <c r="E1089" s="4" t="n">
        <v>12</v>
      </c>
      <c r="F1089" s="4" t="s">
        <v>213</v>
      </c>
      <c r="G1089" s="4" t="s">
        <v>654</v>
      </c>
      <c r="H1089" s="4" t="n">
        <v>2023</v>
      </c>
      <c r="I1089" s="4" t="s">
        <v>164</v>
      </c>
      <c r="J1089" s="25" t="str">
        <f aca="false">IF(M1089=1,"✓","")</f>
        <v/>
      </c>
      <c r="K1089" s="4" t="str">
        <f aca="false">IF(AND(M1089=0,P1089=0),"▶ NEXT","")</f>
        <v/>
      </c>
      <c r="L1089" s="4" t="n">
        <f aca="false">INDEX('Master List'!$F$2:$F$2594,O1089)</f>
        <v>3</v>
      </c>
      <c r="M1089" s="4" t="n">
        <f aca="false">INDEX('Master List'!$G$2:$G$2594,O1089)</f>
        <v>0</v>
      </c>
      <c r="N1089" s="4" t="str">
        <f aca="false">IF(K1089="","",A1089)</f>
        <v/>
      </c>
      <c r="O1089" s="4" t="n">
        <v>1251</v>
      </c>
      <c r="P1089" s="4" t="n">
        <f aca="false">IF(A1089=A1088,P1088+1-M1088,0)</f>
        <v>9</v>
      </c>
    </row>
    <row r="1090" customFormat="false" ht="15" hidden="false" customHeight="false" outlineLevel="0" collapsed="false">
      <c r="A1090" s="29" t="s">
        <v>4051</v>
      </c>
      <c r="B1090" s="29" t="s">
        <v>52</v>
      </c>
      <c r="C1090" s="29" t="s">
        <v>90</v>
      </c>
      <c r="D1090" s="29" t="s">
        <v>4052</v>
      </c>
      <c r="E1090" s="4" t="n">
        <v>13</v>
      </c>
      <c r="F1090" s="4" t="s">
        <v>1327</v>
      </c>
      <c r="G1090" s="4" t="s">
        <v>3500</v>
      </c>
      <c r="H1090" s="4" t="n">
        <v>1972</v>
      </c>
      <c r="I1090" s="4" t="s">
        <v>748</v>
      </c>
      <c r="J1090" s="25" t="str">
        <f aca="false">IF(M1090=1,"✓","")</f>
        <v/>
      </c>
      <c r="K1090" s="4" t="str">
        <f aca="false">IF(AND(M1090=0,P1090=0),"▶ NEXT","")</f>
        <v/>
      </c>
      <c r="L1090" s="4" t="n">
        <f aca="false">INDEX('Master List'!$F$2:$F$2594,O1090)</f>
        <v>1</v>
      </c>
      <c r="M1090" s="4" t="n">
        <f aca="false">INDEX('Master List'!$G$2:$G$2594,O1090)</f>
        <v>0</v>
      </c>
      <c r="N1090" s="4" t="str">
        <f aca="false">IF(K1090="","",A1090)</f>
        <v/>
      </c>
      <c r="O1090" s="4" t="n">
        <v>2394</v>
      </c>
      <c r="P1090" s="4" t="n">
        <f aca="false">IF(A1090=A1089,P1089+1-M1089,0)</f>
        <v>10</v>
      </c>
    </row>
    <row r="1091" customFormat="false" ht="15" hidden="false" customHeight="false" outlineLevel="0" collapsed="false">
      <c r="A1091" s="29" t="s">
        <v>4051</v>
      </c>
      <c r="B1091" s="29" t="s">
        <v>52</v>
      </c>
      <c r="C1091" s="29" t="s">
        <v>90</v>
      </c>
      <c r="D1091" s="29" t="s">
        <v>4052</v>
      </c>
      <c r="E1091" s="4" t="n">
        <v>14</v>
      </c>
      <c r="F1091" s="4" t="s">
        <v>1327</v>
      </c>
      <c r="G1091" s="4" t="s">
        <v>1472</v>
      </c>
      <c r="H1091" s="4" t="n">
        <v>1966</v>
      </c>
      <c r="I1091" s="4" t="s">
        <v>1344</v>
      </c>
      <c r="J1091" s="25" t="str">
        <f aca="false">IF(M1091=1,"✓","")</f>
        <v/>
      </c>
      <c r="K1091" s="4" t="str">
        <f aca="false">IF(AND(M1091=0,P1091=0),"▶ NEXT","")</f>
        <v/>
      </c>
      <c r="L1091" s="4" t="n">
        <f aca="false">INDEX('Master List'!$F$2:$F$2594,O1091)</f>
        <v>2</v>
      </c>
      <c r="M1091" s="4" t="n">
        <f aca="false">INDEX('Master List'!$G$2:$G$2594,O1091)</f>
        <v>0</v>
      </c>
      <c r="N1091" s="4" t="str">
        <f aca="false">IF(K1091="","",A1091)</f>
        <v/>
      </c>
      <c r="O1091" s="4" t="n">
        <v>2054</v>
      </c>
      <c r="P1091" s="4" t="n">
        <f aca="false">IF(A1091=A1090,P1090+1-M1090,0)</f>
        <v>11</v>
      </c>
    </row>
    <row r="1092" customFormat="false" ht="15" hidden="false" customHeight="false" outlineLevel="0" collapsed="false">
      <c r="A1092" s="29" t="s">
        <v>4053</v>
      </c>
      <c r="B1092" s="29" t="s">
        <v>52</v>
      </c>
      <c r="C1092" s="29" t="s">
        <v>90</v>
      </c>
      <c r="D1092" s="29" t="s">
        <v>4054</v>
      </c>
      <c r="E1092" s="4" t="n">
        <v>1</v>
      </c>
      <c r="F1092" s="4" t="s">
        <v>144</v>
      </c>
      <c r="G1092" s="7" t="s">
        <v>838</v>
      </c>
      <c r="H1092" s="4" t="n">
        <v>1995</v>
      </c>
      <c r="I1092" s="4" t="s">
        <v>615</v>
      </c>
      <c r="J1092" s="25" t="str">
        <f aca="false">IF(M1092=1,"✓","")</f>
        <v/>
      </c>
      <c r="K1092" s="4" t="str">
        <f aca="false">IF(AND(M1092=0,P1092=0),"▶ NEXT","")</f>
        <v>▶ NEXT</v>
      </c>
      <c r="L1092" s="4" t="n">
        <f aca="false">INDEX('Master List'!$F$2:$F$2594,O1092)</f>
        <v>2</v>
      </c>
      <c r="M1092" s="4" t="n">
        <f aca="false">INDEX('Master List'!$G$2:$G$2594,O1092)</f>
        <v>0</v>
      </c>
      <c r="N1092" s="4" t="str">
        <f aca="false">IF(K1092="","",A1092)</f>
        <v>N090</v>
      </c>
      <c r="O1092" s="4" t="n">
        <v>583</v>
      </c>
      <c r="P1092" s="4" t="n">
        <f aca="false">IF(A1092=A1091,P1091+1-M1091,0)</f>
        <v>0</v>
      </c>
    </row>
    <row r="1093" customFormat="false" ht="15" hidden="false" customHeight="false" outlineLevel="0" collapsed="false">
      <c r="A1093" s="29" t="s">
        <v>4053</v>
      </c>
      <c r="B1093" s="29" t="s">
        <v>52</v>
      </c>
      <c r="C1093" s="29" t="s">
        <v>90</v>
      </c>
      <c r="D1093" s="29" t="s">
        <v>4054</v>
      </c>
      <c r="E1093" s="4" t="n">
        <v>2</v>
      </c>
      <c r="F1093" s="4" t="s">
        <v>144</v>
      </c>
      <c r="G1093" s="7" t="s">
        <v>420</v>
      </c>
      <c r="H1093" s="4" t="n">
        <v>1970</v>
      </c>
      <c r="I1093" s="4" t="s">
        <v>421</v>
      </c>
      <c r="J1093" s="25" t="str">
        <f aca="false">IF(M1093=1,"✓","")</f>
        <v/>
      </c>
      <c r="K1093" s="4" t="str">
        <f aca="false">IF(AND(M1093=0,P1093=0),"▶ NEXT","")</f>
        <v/>
      </c>
      <c r="L1093" s="4" t="n">
        <f aca="false">INDEX('Master List'!$F$2:$F$2594,O1093)</f>
        <v>3</v>
      </c>
      <c r="M1093" s="4" t="n">
        <f aca="false">INDEX('Master List'!$G$2:$G$2594,O1093)</f>
        <v>0</v>
      </c>
      <c r="N1093" s="4" t="str">
        <f aca="false">IF(K1093="","",A1093)</f>
        <v/>
      </c>
      <c r="O1093" s="4" t="n">
        <v>2341</v>
      </c>
      <c r="P1093" s="4" t="n">
        <f aca="false">IF(A1093=A1092,P1092+1-M1092,0)</f>
        <v>1</v>
      </c>
    </row>
    <row r="1094" customFormat="false" ht="15" hidden="false" customHeight="false" outlineLevel="0" collapsed="false">
      <c r="A1094" s="29" t="s">
        <v>4053</v>
      </c>
      <c r="B1094" s="29" t="s">
        <v>52</v>
      </c>
      <c r="C1094" s="29" t="s">
        <v>90</v>
      </c>
      <c r="D1094" s="29" t="s">
        <v>4054</v>
      </c>
      <c r="E1094" s="4" t="n">
        <v>3</v>
      </c>
      <c r="F1094" s="4" t="s">
        <v>213</v>
      </c>
      <c r="G1094" s="4" t="s">
        <v>1472</v>
      </c>
      <c r="H1094" s="4" t="n">
        <v>1966</v>
      </c>
      <c r="I1094" s="4" t="s">
        <v>1344</v>
      </c>
      <c r="J1094" s="25" t="str">
        <f aca="false">IF(M1094=1,"✓","")</f>
        <v/>
      </c>
      <c r="K1094" s="4" t="str">
        <f aca="false">IF(AND(M1094=0,P1094=0),"▶ NEXT","")</f>
        <v/>
      </c>
      <c r="L1094" s="4" t="n">
        <f aca="false">INDEX('Master List'!$F$2:$F$2594,O1094)</f>
        <v>2</v>
      </c>
      <c r="M1094" s="4" t="n">
        <f aca="false">INDEX('Master List'!$G$2:$G$2594,O1094)</f>
        <v>0</v>
      </c>
      <c r="N1094" s="4" t="str">
        <f aca="false">IF(K1094="","",A1094)</f>
        <v/>
      </c>
      <c r="O1094" s="4" t="n">
        <v>2054</v>
      </c>
      <c r="P1094" s="4" t="n">
        <f aca="false">IF(A1094=A1093,P1093+1-M1093,0)</f>
        <v>2</v>
      </c>
    </row>
    <row r="1095" customFormat="false" ht="15" hidden="false" customHeight="false" outlineLevel="0" collapsed="false">
      <c r="A1095" s="29" t="s">
        <v>4053</v>
      </c>
      <c r="B1095" s="29" t="s">
        <v>52</v>
      </c>
      <c r="C1095" s="29" t="s">
        <v>90</v>
      </c>
      <c r="D1095" s="29" t="s">
        <v>4054</v>
      </c>
      <c r="E1095" s="4" t="n">
        <v>4</v>
      </c>
      <c r="F1095" s="4" t="s">
        <v>213</v>
      </c>
      <c r="G1095" s="4" t="s">
        <v>2079</v>
      </c>
      <c r="H1095" s="4" t="n">
        <v>1966</v>
      </c>
      <c r="I1095" s="4" t="s">
        <v>1344</v>
      </c>
      <c r="J1095" s="25" t="str">
        <f aca="false">IF(M1095=1,"✓","")</f>
        <v/>
      </c>
      <c r="K1095" s="4" t="str">
        <f aca="false">IF(AND(M1095=0,P1095=0),"▶ NEXT","")</f>
        <v/>
      </c>
      <c r="L1095" s="4" t="n">
        <f aca="false">INDEX('Master List'!$F$2:$F$2594,O1095)</f>
        <v>1</v>
      </c>
      <c r="M1095" s="4" t="n">
        <f aca="false">INDEX('Master List'!$G$2:$G$2594,O1095)</f>
        <v>0</v>
      </c>
      <c r="N1095" s="4" t="str">
        <f aca="false">IF(K1095="","",A1095)</f>
        <v/>
      </c>
      <c r="O1095" s="4" t="n">
        <v>1900</v>
      </c>
      <c r="P1095" s="4" t="n">
        <f aca="false">IF(A1095=A1094,P1094+1-M1094,0)</f>
        <v>3</v>
      </c>
    </row>
    <row r="1096" customFormat="false" ht="15" hidden="false" customHeight="false" outlineLevel="0" collapsed="false">
      <c r="A1096" s="29" t="s">
        <v>4053</v>
      </c>
      <c r="B1096" s="29" t="s">
        <v>52</v>
      </c>
      <c r="C1096" s="29" t="s">
        <v>90</v>
      </c>
      <c r="D1096" s="29" t="s">
        <v>4054</v>
      </c>
      <c r="E1096" s="4" t="n">
        <v>5</v>
      </c>
      <c r="F1096" s="4" t="s">
        <v>213</v>
      </c>
      <c r="G1096" s="4" t="s">
        <v>2171</v>
      </c>
      <c r="H1096" s="4" t="n">
        <v>1971</v>
      </c>
      <c r="I1096" s="4" t="s">
        <v>2172</v>
      </c>
      <c r="J1096" s="25" t="str">
        <f aca="false">IF(M1096=1,"✓","")</f>
        <v/>
      </c>
      <c r="K1096" s="4" t="str">
        <f aca="false">IF(AND(M1096=0,P1096=0),"▶ NEXT","")</f>
        <v/>
      </c>
      <c r="L1096" s="4" t="n">
        <f aca="false">INDEX('Master List'!$F$2:$F$2594,O1096)</f>
        <v>1</v>
      </c>
      <c r="M1096" s="4" t="n">
        <f aca="false">INDEX('Master List'!$G$2:$G$2594,O1096)</f>
        <v>0</v>
      </c>
      <c r="N1096" s="4" t="str">
        <f aca="false">IF(K1096="","",A1096)</f>
        <v/>
      </c>
      <c r="O1096" s="4" t="n">
        <v>2581</v>
      </c>
      <c r="P1096" s="4" t="n">
        <f aca="false">IF(A1096=A1095,P1095+1-M1095,0)</f>
        <v>4</v>
      </c>
    </row>
    <row r="1097" customFormat="false" ht="15" hidden="false" customHeight="false" outlineLevel="0" collapsed="false">
      <c r="A1097" s="29" t="s">
        <v>4053</v>
      </c>
      <c r="B1097" s="29" t="s">
        <v>52</v>
      </c>
      <c r="C1097" s="29" t="s">
        <v>90</v>
      </c>
      <c r="D1097" s="29" t="s">
        <v>4054</v>
      </c>
      <c r="E1097" s="4" t="n">
        <v>6</v>
      </c>
      <c r="F1097" s="4" t="s">
        <v>213</v>
      </c>
      <c r="G1097" s="4" t="s">
        <v>2173</v>
      </c>
      <c r="H1097" s="4" t="n">
        <v>1971</v>
      </c>
      <c r="I1097" s="4" t="s">
        <v>2174</v>
      </c>
      <c r="J1097" s="25" t="str">
        <f aca="false">IF(M1097=1,"✓","")</f>
        <v/>
      </c>
      <c r="K1097" s="4" t="str">
        <f aca="false">IF(AND(M1097=0,P1097=0),"▶ NEXT","")</f>
        <v/>
      </c>
      <c r="L1097" s="4" t="n">
        <f aca="false">INDEX('Master List'!$F$2:$F$2594,O1097)</f>
        <v>1</v>
      </c>
      <c r="M1097" s="4" t="n">
        <f aca="false">INDEX('Master List'!$G$2:$G$2594,O1097)</f>
        <v>0</v>
      </c>
      <c r="N1097" s="4" t="str">
        <f aca="false">IF(K1097="","",A1097)</f>
        <v/>
      </c>
      <c r="O1097" s="4" t="n">
        <v>1039</v>
      </c>
      <c r="P1097" s="4" t="n">
        <f aca="false">IF(A1097=A1096,P1096+1-M1096,0)</f>
        <v>5</v>
      </c>
    </row>
    <row r="1098" customFormat="false" ht="15" hidden="false" customHeight="false" outlineLevel="0" collapsed="false">
      <c r="A1098" s="29" t="s">
        <v>4053</v>
      </c>
      <c r="B1098" s="29" t="s">
        <v>52</v>
      </c>
      <c r="C1098" s="29" t="s">
        <v>90</v>
      </c>
      <c r="D1098" s="29" t="s">
        <v>4054</v>
      </c>
      <c r="E1098" s="4" t="n">
        <v>7</v>
      </c>
      <c r="F1098" s="4" t="s">
        <v>213</v>
      </c>
      <c r="G1098" s="4" t="s">
        <v>2199</v>
      </c>
      <c r="H1098" s="4" t="n">
        <v>1972</v>
      </c>
      <c r="I1098" s="4" t="s">
        <v>2200</v>
      </c>
      <c r="J1098" s="25" t="str">
        <f aca="false">IF(M1098=1,"✓","")</f>
        <v/>
      </c>
      <c r="K1098" s="4" t="str">
        <f aca="false">IF(AND(M1098=0,P1098=0),"▶ NEXT","")</f>
        <v/>
      </c>
      <c r="L1098" s="4" t="n">
        <f aca="false">INDEX('Master List'!$F$2:$F$2594,O1098)</f>
        <v>1</v>
      </c>
      <c r="M1098" s="4" t="n">
        <f aca="false">INDEX('Master List'!$G$2:$G$2594,O1098)</f>
        <v>0</v>
      </c>
      <c r="N1098" s="4" t="str">
        <f aca="false">IF(K1098="","",A1098)</f>
        <v/>
      </c>
      <c r="O1098" s="4" t="n">
        <v>949</v>
      </c>
      <c r="P1098" s="4" t="n">
        <f aca="false">IF(A1098=A1097,P1097+1-M1097,0)</f>
        <v>6</v>
      </c>
    </row>
    <row r="1099" customFormat="false" ht="15" hidden="false" customHeight="false" outlineLevel="0" collapsed="false">
      <c r="A1099" s="29" t="s">
        <v>4053</v>
      </c>
      <c r="B1099" s="29" t="s">
        <v>52</v>
      </c>
      <c r="C1099" s="29" t="s">
        <v>90</v>
      </c>
      <c r="D1099" s="29" t="s">
        <v>4054</v>
      </c>
      <c r="E1099" s="4" t="n">
        <v>8</v>
      </c>
      <c r="F1099" s="4" t="s">
        <v>213</v>
      </c>
      <c r="G1099" s="4" t="s">
        <v>3071</v>
      </c>
      <c r="H1099" s="4" t="n">
        <v>2015</v>
      </c>
      <c r="I1099" s="4" t="s">
        <v>3072</v>
      </c>
      <c r="J1099" s="25" t="str">
        <f aca="false">IF(M1099=1,"✓","")</f>
        <v>✓</v>
      </c>
      <c r="K1099" s="4" t="str">
        <f aca="false">IF(AND(M1099=0,P1099=0),"▶ NEXT","")</f>
        <v/>
      </c>
      <c r="L1099" s="4" t="n">
        <f aca="false">INDEX('Master List'!$F$2:$F$2594,O1099)</f>
        <v>1</v>
      </c>
      <c r="M1099" s="4" t="n">
        <f aca="false">INDEX('Master List'!$G$2:$G$2594,O1099)</f>
        <v>1</v>
      </c>
      <c r="N1099" s="4" t="str">
        <f aca="false">IF(K1099="","",A1099)</f>
        <v/>
      </c>
      <c r="O1099" s="4" t="n">
        <v>312</v>
      </c>
      <c r="P1099" s="4" t="n">
        <f aca="false">IF(A1099=A1098,P1098+1-M1098,0)</f>
        <v>7</v>
      </c>
    </row>
    <row r="1100" customFormat="false" ht="15" hidden="false" customHeight="false" outlineLevel="0" collapsed="false">
      <c r="A1100" s="29" t="s">
        <v>4053</v>
      </c>
      <c r="B1100" s="29" t="s">
        <v>52</v>
      </c>
      <c r="C1100" s="29" t="s">
        <v>90</v>
      </c>
      <c r="D1100" s="29" t="s">
        <v>4054</v>
      </c>
      <c r="E1100" s="4" t="n">
        <v>9</v>
      </c>
      <c r="F1100" s="4" t="s">
        <v>1327</v>
      </c>
      <c r="G1100" s="4" t="s">
        <v>3489</v>
      </c>
      <c r="H1100" s="4" t="n">
        <v>1971</v>
      </c>
      <c r="I1100" s="4" t="s">
        <v>477</v>
      </c>
      <c r="J1100" s="25" t="str">
        <f aca="false">IF(M1100=1,"✓","")</f>
        <v/>
      </c>
      <c r="K1100" s="4" t="str">
        <f aca="false">IF(AND(M1100=0,P1100=0),"▶ NEXT","")</f>
        <v/>
      </c>
      <c r="L1100" s="4" t="n">
        <f aca="false">INDEX('Master List'!$F$2:$F$2594,O1100)</f>
        <v>1</v>
      </c>
      <c r="M1100" s="4" t="n">
        <f aca="false">INDEX('Master List'!$G$2:$G$2594,O1100)</f>
        <v>0</v>
      </c>
      <c r="N1100" s="4" t="str">
        <f aca="false">IF(K1100="","",A1100)</f>
        <v/>
      </c>
      <c r="O1100" s="4" t="n">
        <v>1298</v>
      </c>
      <c r="P1100" s="4" t="n">
        <f aca="false">IF(A1100=A1099,P1099+1-M1099,0)</f>
        <v>7</v>
      </c>
    </row>
    <row r="1101" customFormat="false" ht="15" hidden="false" customHeight="false" outlineLevel="0" collapsed="false">
      <c r="A1101" s="29" t="s">
        <v>4055</v>
      </c>
      <c r="B1101" s="29" t="s">
        <v>52</v>
      </c>
      <c r="C1101" s="29" t="s">
        <v>90</v>
      </c>
      <c r="D1101" s="29" t="s">
        <v>4056</v>
      </c>
      <c r="E1101" s="4" t="n">
        <v>1</v>
      </c>
      <c r="F1101" s="4" t="s">
        <v>144</v>
      </c>
      <c r="G1101" s="7" t="s">
        <v>322</v>
      </c>
      <c r="H1101" s="4" t="n">
        <v>2007</v>
      </c>
      <c r="I1101" s="4" t="s">
        <v>323</v>
      </c>
      <c r="J1101" s="25" t="str">
        <f aca="false">IF(M1101=1,"✓","")</f>
        <v>✓</v>
      </c>
      <c r="K1101" s="4" t="str">
        <f aca="false">IF(AND(M1101=0,P1101=0),"▶ NEXT","")</f>
        <v/>
      </c>
      <c r="L1101" s="4" t="n">
        <f aca="false">INDEX('Master List'!$F$2:$F$2594,O1101)</f>
        <v>4</v>
      </c>
      <c r="M1101" s="4" t="n">
        <f aca="false">INDEX('Master List'!$G$2:$G$2594,O1101)</f>
        <v>1</v>
      </c>
      <c r="N1101" s="4" t="str">
        <f aca="false">IF(K1101="","",A1101)</f>
        <v/>
      </c>
      <c r="O1101" s="4" t="n">
        <v>1622</v>
      </c>
      <c r="P1101" s="4" t="n">
        <f aca="false">IF(A1101=A1100,P1100+1-M1100,0)</f>
        <v>0</v>
      </c>
    </row>
    <row r="1102" customFormat="false" ht="15" hidden="false" customHeight="false" outlineLevel="0" collapsed="false">
      <c r="A1102" s="29" t="s">
        <v>4055</v>
      </c>
      <c r="B1102" s="29" t="s">
        <v>52</v>
      </c>
      <c r="C1102" s="29" t="s">
        <v>90</v>
      </c>
      <c r="D1102" s="29" t="s">
        <v>4056</v>
      </c>
      <c r="E1102" s="4" t="n">
        <v>2</v>
      </c>
      <c r="F1102" s="4" t="s">
        <v>144</v>
      </c>
      <c r="G1102" s="7" t="s">
        <v>1631</v>
      </c>
      <c r="H1102" s="4" t="n">
        <v>2016</v>
      </c>
      <c r="I1102" s="4" t="s">
        <v>1632</v>
      </c>
      <c r="J1102" s="25" t="str">
        <f aca="false">IF(M1102=1,"✓","")</f>
        <v/>
      </c>
      <c r="K1102" s="4" t="str">
        <f aca="false">IF(AND(M1102=0,P1102=0),"▶ NEXT","")</f>
        <v>▶ NEXT</v>
      </c>
      <c r="L1102" s="4" t="n">
        <f aca="false">INDEX('Master List'!$F$2:$F$2594,O1102)</f>
        <v>1</v>
      </c>
      <c r="M1102" s="4" t="n">
        <f aca="false">INDEX('Master List'!$G$2:$G$2594,O1102)</f>
        <v>0</v>
      </c>
      <c r="N1102" s="4" t="str">
        <f aca="false">IF(K1102="","",A1102)</f>
        <v>N091</v>
      </c>
      <c r="O1102" s="4" t="n">
        <v>1019</v>
      </c>
      <c r="P1102" s="4" t="n">
        <f aca="false">IF(A1102=A1101,P1101+1-M1101,0)</f>
        <v>0</v>
      </c>
    </row>
    <row r="1103" customFormat="false" ht="15" hidden="false" customHeight="false" outlineLevel="0" collapsed="false">
      <c r="A1103" s="29" t="s">
        <v>4055</v>
      </c>
      <c r="B1103" s="29" t="s">
        <v>52</v>
      </c>
      <c r="C1103" s="29" t="s">
        <v>90</v>
      </c>
      <c r="D1103" s="29" t="s">
        <v>4056</v>
      </c>
      <c r="E1103" s="4" t="n">
        <v>3</v>
      </c>
      <c r="F1103" s="4" t="s">
        <v>213</v>
      </c>
      <c r="G1103" s="4" t="s">
        <v>2028</v>
      </c>
      <c r="H1103" s="4" t="n">
        <v>1963</v>
      </c>
      <c r="I1103" s="4" t="s">
        <v>1516</v>
      </c>
      <c r="J1103" s="25" t="str">
        <f aca="false">IF(M1103=1,"✓","")</f>
        <v/>
      </c>
      <c r="K1103" s="4" t="str">
        <f aca="false">IF(AND(M1103=0,P1103=0),"▶ NEXT","")</f>
        <v/>
      </c>
      <c r="L1103" s="4" t="n">
        <f aca="false">INDEX('Master List'!$F$2:$F$2594,O1103)</f>
        <v>1</v>
      </c>
      <c r="M1103" s="4" t="n">
        <f aca="false">INDEX('Master List'!$G$2:$G$2594,O1103)</f>
        <v>0</v>
      </c>
      <c r="N1103" s="4" t="str">
        <f aca="false">IF(K1103="","",A1103)</f>
        <v/>
      </c>
      <c r="O1103" s="4" t="n">
        <v>1081</v>
      </c>
      <c r="P1103" s="4" t="n">
        <f aca="false">IF(A1103=A1102,P1102+1-M1102,0)</f>
        <v>1</v>
      </c>
    </row>
    <row r="1104" customFormat="false" ht="15" hidden="false" customHeight="false" outlineLevel="0" collapsed="false">
      <c r="A1104" s="29" t="s">
        <v>4055</v>
      </c>
      <c r="B1104" s="29" t="s">
        <v>52</v>
      </c>
      <c r="C1104" s="29" t="s">
        <v>90</v>
      </c>
      <c r="D1104" s="29" t="s">
        <v>4056</v>
      </c>
      <c r="E1104" s="4" t="n">
        <v>4</v>
      </c>
      <c r="F1104" s="4" t="s">
        <v>213</v>
      </c>
      <c r="G1104" s="4" t="s">
        <v>1920</v>
      </c>
      <c r="H1104" s="4" t="n">
        <v>1955</v>
      </c>
      <c r="I1104" s="4" t="s">
        <v>971</v>
      </c>
      <c r="J1104" s="25" t="str">
        <f aca="false">IF(M1104=1,"✓","")</f>
        <v>✓</v>
      </c>
      <c r="K1104" s="4" t="str">
        <f aca="false">IF(AND(M1104=0,P1104=0),"▶ NEXT","")</f>
        <v/>
      </c>
      <c r="L1104" s="4" t="n">
        <f aca="false">INDEX('Master List'!$F$2:$F$2594,O1104)</f>
        <v>1</v>
      </c>
      <c r="M1104" s="4" t="n">
        <f aca="false">INDEX('Master List'!$G$2:$G$2594,O1104)</f>
        <v>1</v>
      </c>
      <c r="N1104" s="4" t="str">
        <f aca="false">IF(K1104="","",A1104)</f>
        <v/>
      </c>
      <c r="O1104" s="4" t="n">
        <v>167</v>
      </c>
      <c r="P1104" s="4" t="n">
        <f aca="false">IF(A1104=A1103,P1103+1-M1103,0)</f>
        <v>2</v>
      </c>
    </row>
    <row r="1105" customFormat="false" ht="15" hidden="false" customHeight="false" outlineLevel="0" collapsed="false">
      <c r="A1105" s="29" t="s">
        <v>4055</v>
      </c>
      <c r="B1105" s="29" t="s">
        <v>52</v>
      </c>
      <c r="C1105" s="29" t="s">
        <v>90</v>
      </c>
      <c r="D1105" s="29" t="s">
        <v>4056</v>
      </c>
      <c r="E1105" s="4" t="n">
        <v>5</v>
      </c>
      <c r="F1105" s="4" t="s">
        <v>213</v>
      </c>
      <c r="G1105" s="4" t="s">
        <v>388</v>
      </c>
      <c r="H1105" s="4" t="n">
        <v>1971</v>
      </c>
      <c r="I1105" s="4" t="s">
        <v>389</v>
      </c>
      <c r="J1105" s="25" t="str">
        <f aca="false">IF(M1105=1,"✓","")</f>
        <v/>
      </c>
      <c r="K1105" s="4" t="str">
        <f aca="false">IF(AND(M1105=0,P1105=0),"▶ NEXT","")</f>
        <v/>
      </c>
      <c r="L1105" s="4" t="n">
        <f aca="false">INDEX('Master List'!$F$2:$F$2594,O1105)</f>
        <v>4</v>
      </c>
      <c r="M1105" s="4" t="n">
        <f aca="false">INDEX('Master List'!$G$2:$G$2594,O1105)</f>
        <v>0</v>
      </c>
      <c r="N1105" s="4" t="str">
        <f aca="false">IF(K1105="","",A1105)</f>
        <v/>
      </c>
      <c r="O1105" s="4" t="n">
        <v>1300</v>
      </c>
      <c r="P1105" s="4" t="n">
        <f aca="false">IF(A1105=A1104,P1104+1-M1104,0)</f>
        <v>2</v>
      </c>
    </row>
    <row r="1106" customFormat="false" ht="15" hidden="false" customHeight="false" outlineLevel="0" collapsed="false">
      <c r="A1106" s="29" t="s">
        <v>4055</v>
      </c>
      <c r="B1106" s="29" t="s">
        <v>52</v>
      </c>
      <c r="C1106" s="29" t="s">
        <v>90</v>
      </c>
      <c r="D1106" s="29" t="s">
        <v>4056</v>
      </c>
      <c r="E1106" s="4" t="n">
        <v>6</v>
      </c>
      <c r="F1106" s="4" t="s">
        <v>213</v>
      </c>
      <c r="G1106" s="4" t="s">
        <v>2633</v>
      </c>
      <c r="H1106" s="4" t="n">
        <v>1996</v>
      </c>
      <c r="I1106" s="4" t="s">
        <v>1280</v>
      </c>
      <c r="J1106" s="25" t="str">
        <f aca="false">IF(M1106=1,"✓","")</f>
        <v/>
      </c>
      <c r="K1106" s="4" t="str">
        <f aca="false">IF(AND(M1106=0,P1106=0),"▶ NEXT","")</f>
        <v/>
      </c>
      <c r="L1106" s="4" t="n">
        <f aca="false">INDEX('Master List'!$F$2:$F$2594,O1106)</f>
        <v>1</v>
      </c>
      <c r="M1106" s="4" t="n">
        <f aca="false">INDEX('Master List'!$G$2:$G$2594,O1106)</f>
        <v>0</v>
      </c>
      <c r="N1106" s="4" t="str">
        <f aca="false">IF(K1106="","",A1106)</f>
        <v/>
      </c>
      <c r="O1106" s="4" t="n">
        <v>1371</v>
      </c>
      <c r="P1106" s="4" t="n">
        <f aca="false">IF(A1106=A1105,P1105+1-M1105,0)</f>
        <v>3</v>
      </c>
    </row>
    <row r="1107" customFormat="false" ht="15" hidden="false" customHeight="false" outlineLevel="0" collapsed="false">
      <c r="A1107" s="29" t="s">
        <v>4055</v>
      </c>
      <c r="B1107" s="29" t="s">
        <v>52</v>
      </c>
      <c r="C1107" s="29" t="s">
        <v>90</v>
      </c>
      <c r="D1107" s="29" t="s">
        <v>4056</v>
      </c>
      <c r="E1107" s="4" t="n">
        <v>7</v>
      </c>
      <c r="F1107" s="4" t="s">
        <v>213</v>
      </c>
      <c r="G1107" s="4" t="s">
        <v>2834</v>
      </c>
      <c r="H1107" s="4" t="n">
        <v>2005</v>
      </c>
      <c r="I1107" s="4" t="s">
        <v>2835</v>
      </c>
      <c r="J1107" s="25" t="str">
        <f aca="false">IF(M1107=1,"✓","")</f>
        <v/>
      </c>
      <c r="K1107" s="4" t="str">
        <f aca="false">IF(AND(M1107=0,P1107=0),"▶ NEXT","")</f>
        <v/>
      </c>
      <c r="L1107" s="4" t="n">
        <f aca="false">INDEX('Master List'!$F$2:$F$2594,O1107)</f>
        <v>1</v>
      </c>
      <c r="M1107" s="4" t="n">
        <f aca="false">INDEX('Master List'!$G$2:$G$2594,O1107)</f>
        <v>0</v>
      </c>
      <c r="N1107" s="4" t="str">
        <f aca="false">IF(K1107="","",A1107)</f>
        <v/>
      </c>
      <c r="O1107" s="4" t="n">
        <v>2289</v>
      </c>
      <c r="P1107" s="4" t="n">
        <f aca="false">IF(A1107=A1106,P1106+1-M1106,0)</f>
        <v>4</v>
      </c>
    </row>
    <row r="1108" customFormat="false" ht="15" hidden="false" customHeight="false" outlineLevel="0" collapsed="false">
      <c r="A1108" s="29" t="s">
        <v>4055</v>
      </c>
      <c r="B1108" s="29" t="s">
        <v>52</v>
      </c>
      <c r="C1108" s="29" t="s">
        <v>90</v>
      </c>
      <c r="D1108" s="29" t="s">
        <v>4056</v>
      </c>
      <c r="E1108" s="4" t="n">
        <v>8</v>
      </c>
      <c r="F1108" s="4" t="s">
        <v>213</v>
      </c>
      <c r="G1108" s="4" t="s">
        <v>1168</v>
      </c>
      <c r="H1108" s="4" t="n">
        <v>2005</v>
      </c>
      <c r="I1108" s="4" t="s">
        <v>1169</v>
      </c>
      <c r="J1108" s="25" t="str">
        <f aca="false">IF(M1108=1,"✓","")</f>
        <v>✓</v>
      </c>
      <c r="K1108" s="4" t="str">
        <f aca="false">IF(AND(M1108=0,P1108=0),"▶ NEXT","")</f>
        <v/>
      </c>
      <c r="L1108" s="4" t="n">
        <f aca="false">INDEX('Master List'!$F$2:$F$2594,O1108)</f>
        <v>2</v>
      </c>
      <c r="M1108" s="4" t="n">
        <f aca="false">INDEX('Master List'!$G$2:$G$2594,O1108)</f>
        <v>1</v>
      </c>
      <c r="N1108" s="4" t="str">
        <f aca="false">IF(K1108="","",A1108)</f>
        <v/>
      </c>
      <c r="O1108" s="4" t="n">
        <v>355</v>
      </c>
      <c r="P1108" s="4" t="n">
        <f aca="false">IF(A1108=A1107,P1107+1-M1107,0)</f>
        <v>5</v>
      </c>
    </row>
    <row r="1109" customFormat="false" ht="15" hidden="false" customHeight="false" outlineLevel="0" collapsed="false">
      <c r="A1109" s="29" t="s">
        <v>4055</v>
      </c>
      <c r="B1109" s="29" t="s">
        <v>52</v>
      </c>
      <c r="C1109" s="29" t="s">
        <v>90</v>
      </c>
      <c r="D1109" s="29" t="s">
        <v>4056</v>
      </c>
      <c r="E1109" s="4" t="n">
        <v>9</v>
      </c>
      <c r="F1109" s="4" t="s">
        <v>213</v>
      </c>
      <c r="G1109" s="4" t="s">
        <v>277</v>
      </c>
      <c r="H1109" s="4" t="n">
        <v>2007</v>
      </c>
      <c r="I1109" s="4" t="s">
        <v>278</v>
      </c>
      <c r="J1109" s="25" t="str">
        <f aca="false">IF(M1109=1,"✓","")</f>
        <v>✓</v>
      </c>
      <c r="K1109" s="4" t="str">
        <f aca="false">IF(AND(M1109=0,P1109=0),"▶ NEXT","")</f>
        <v/>
      </c>
      <c r="L1109" s="4" t="n">
        <f aca="false">INDEX('Master List'!$F$2:$F$2594,O1109)</f>
        <v>5</v>
      </c>
      <c r="M1109" s="4" t="n">
        <f aca="false">INDEX('Master List'!$G$2:$G$2594,O1109)</f>
        <v>1</v>
      </c>
      <c r="N1109" s="4" t="str">
        <f aca="false">IF(K1109="","",A1109)</f>
        <v/>
      </c>
      <c r="O1109" s="4" t="n">
        <v>2269</v>
      </c>
      <c r="P1109" s="4" t="n">
        <f aca="false">IF(A1109=A1108,P1108+1-M1108,0)</f>
        <v>5</v>
      </c>
    </row>
    <row r="1110" customFormat="false" ht="15" hidden="false" customHeight="false" outlineLevel="0" collapsed="false">
      <c r="A1110" s="29" t="s">
        <v>4055</v>
      </c>
      <c r="B1110" s="29" t="s">
        <v>52</v>
      </c>
      <c r="C1110" s="29" t="s">
        <v>90</v>
      </c>
      <c r="D1110" s="29" t="s">
        <v>4056</v>
      </c>
      <c r="E1110" s="4" t="n">
        <v>10</v>
      </c>
      <c r="F1110" s="4" t="s">
        <v>213</v>
      </c>
      <c r="G1110" s="4" t="s">
        <v>1232</v>
      </c>
      <c r="H1110" s="4" t="n">
        <v>2017</v>
      </c>
      <c r="I1110" s="4" t="s">
        <v>1233</v>
      </c>
      <c r="J1110" s="25" t="str">
        <f aca="false">IF(M1110=1,"✓","")</f>
        <v/>
      </c>
      <c r="K1110" s="4" t="str">
        <f aca="false">IF(AND(M1110=0,P1110=0),"▶ NEXT","")</f>
        <v/>
      </c>
      <c r="L1110" s="4" t="n">
        <f aca="false">INDEX('Master List'!$F$2:$F$2594,O1110)</f>
        <v>2</v>
      </c>
      <c r="M1110" s="4" t="n">
        <f aca="false">INDEX('Master List'!$G$2:$G$2594,O1110)</f>
        <v>0</v>
      </c>
      <c r="N1110" s="4" t="str">
        <f aca="false">IF(K1110="","",A1110)</f>
        <v/>
      </c>
      <c r="O1110" s="4" t="n">
        <v>2522</v>
      </c>
      <c r="P1110" s="4" t="n">
        <f aca="false">IF(A1110=A1109,P1109+1-M1109,0)</f>
        <v>5</v>
      </c>
    </row>
    <row r="1111" customFormat="false" ht="15" hidden="false" customHeight="false" outlineLevel="0" collapsed="false">
      <c r="A1111" s="29" t="s">
        <v>4055</v>
      </c>
      <c r="B1111" s="29" t="s">
        <v>52</v>
      </c>
      <c r="C1111" s="29" t="s">
        <v>90</v>
      </c>
      <c r="D1111" s="29" t="s">
        <v>4056</v>
      </c>
      <c r="E1111" s="4" t="n">
        <v>11</v>
      </c>
      <c r="F1111" s="4" t="s">
        <v>213</v>
      </c>
      <c r="G1111" s="4" t="s">
        <v>3117</v>
      </c>
      <c r="H1111" s="4" t="n">
        <v>2017</v>
      </c>
      <c r="I1111" s="4" t="s">
        <v>1258</v>
      </c>
      <c r="J1111" s="25" t="str">
        <f aca="false">IF(M1111=1,"✓","")</f>
        <v/>
      </c>
      <c r="K1111" s="4" t="str">
        <f aca="false">IF(AND(M1111=0,P1111=0),"▶ NEXT","")</f>
        <v/>
      </c>
      <c r="L1111" s="4" t="n">
        <f aca="false">INDEX('Master List'!$F$2:$F$2594,O1111)</f>
        <v>1</v>
      </c>
      <c r="M1111" s="4" t="n">
        <f aca="false">INDEX('Master List'!$G$2:$G$2594,O1111)</f>
        <v>0</v>
      </c>
      <c r="N1111" s="4" t="str">
        <f aca="false">IF(K1111="","",A1111)</f>
        <v/>
      </c>
      <c r="O1111" s="4" t="n">
        <v>1903</v>
      </c>
      <c r="P1111" s="4" t="n">
        <f aca="false">IF(A1111=A1110,P1110+1-M1110,0)</f>
        <v>6</v>
      </c>
    </row>
    <row r="1112" customFormat="false" ht="15" hidden="false" customHeight="false" outlineLevel="0" collapsed="false">
      <c r="A1112" s="29" t="s">
        <v>4055</v>
      </c>
      <c r="B1112" s="29" t="s">
        <v>52</v>
      </c>
      <c r="C1112" s="29" t="s">
        <v>90</v>
      </c>
      <c r="D1112" s="29" t="s">
        <v>4056</v>
      </c>
      <c r="E1112" s="4" t="n">
        <v>12</v>
      </c>
      <c r="F1112" s="4" t="s">
        <v>213</v>
      </c>
      <c r="G1112" s="4" t="s">
        <v>879</v>
      </c>
      <c r="H1112" s="4" t="n">
        <v>2019</v>
      </c>
      <c r="I1112" s="4" t="s">
        <v>867</v>
      </c>
      <c r="J1112" s="25" t="str">
        <f aca="false">IF(M1112=1,"✓","")</f>
        <v/>
      </c>
      <c r="K1112" s="4" t="str">
        <f aca="false">IF(AND(M1112=0,P1112=0),"▶ NEXT","")</f>
        <v/>
      </c>
      <c r="L1112" s="4" t="n">
        <f aca="false">INDEX('Master List'!$F$2:$F$2594,O1112)</f>
        <v>2</v>
      </c>
      <c r="M1112" s="4" t="n">
        <f aca="false">INDEX('Master List'!$G$2:$G$2594,O1112)</f>
        <v>0</v>
      </c>
      <c r="N1112" s="4" t="str">
        <f aca="false">IF(K1112="","",A1112)</f>
        <v/>
      </c>
      <c r="O1112" s="4" t="n">
        <v>809</v>
      </c>
      <c r="P1112" s="4" t="n">
        <f aca="false">IF(A1112=A1111,P1111+1-M1111,0)</f>
        <v>7</v>
      </c>
    </row>
    <row r="1113" customFormat="false" ht="15" hidden="false" customHeight="false" outlineLevel="0" collapsed="false">
      <c r="A1113" s="29" t="s">
        <v>4055</v>
      </c>
      <c r="B1113" s="29" t="s">
        <v>52</v>
      </c>
      <c r="C1113" s="29" t="s">
        <v>90</v>
      </c>
      <c r="D1113" s="29" t="s">
        <v>4056</v>
      </c>
      <c r="E1113" s="4" t="n">
        <v>13</v>
      </c>
      <c r="F1113" s="4" t="s">
        <v>1327</v>
      </c>
      <c r="G1113" s="4" t="s">
        <v>1408</v>
      </c>
      <c r="H1113" s="4" t="n">
        <v>2010</v>
      </c>
      <c r="I1113" s="4" t="s">
        <v>867</v>
      </c>
      <c r="J1113" s="25" t="str">
        <f aca="false">IF(M1113=1,"✓","")</f>
        <v/>
      </c>
      <c r="K1113" s="4" t="str">
        <f aca="false">IF(AND(M1113=0,P1113=0),"▶ NEXT","")</f>
        <v/>
      </c>
      <c r="L1113" s="4" t="n">
        <f aca="false">INDEX('Master List'!$F$2:$F$2594,O1113)</f>
        <v>2</v>
      </c>
      <c r="M1113" s="4" t="n">
        <f aca="false">INDEX('Master List'!$G$2:$G$2594,O1113)</f>
        <v>0</v>
      </c>
      <c r="N1113" s="4" t="str">
        <f aca="false">IF(K1113="","",A1113)</f>
        <v/>
      </c>
      <c r="O1113" s="4" t="n">
        <v>1471</v>
      </c>
      <c r="P1113" s="4" t="n">
        <f aca="false">IF(A1113=A1112,P1112+1-M1112,0)</f>
        <v>8</v>
      </c>
    </row>
    <row r="1114" customFormat="false" ht="15" hidden="false" customHeight="false" outlineLevel="0" collapsed="false">
      <c r="A1114" s="29" t="s">
        <v>4055</v>
      </c>
      <c r="B1114" s="29" t="s">
        <v>52</v>
      </c>
      <c r="C1114" s="29" t="s">
        <v>90</v>
      </c>
      <c r="D1114" s="29" t="s">
        <v>4056</v>
      </c>
      <c r="E1114" s="4" t="n">
        <v>14</v>
      </c>
      <c r="F1114" s="4" t="s">
        <v>1327</v>
      </c>
      <c r="G1114" s="4" t="s">
        <v>3415</v>
      </c>
      <c r="H1114" s="4" t="n">
        <v>1962</v>
      </c>
      <c r="I1114" s="4" t="s">
        <v>3416</v>
      </c>
      <c r="J1114" s="25" t="str">
        <f aca="false">IF(M1114=1,"✓","")</f>
        <v/>
      </c>
      <c r="K1114" s="4" t="str">
        <f aca="false">IF(AND(M1114=0,P1114=0),"▶ NEXT","")</f>
        <v/>
      </c>
      <c r="L1114" s="4" t="n">
        <f aca="false">INDEX('Master List'!$F$2:$F$2594,O1114)</f>
        <v>1</v>
      </c>
      <c r="M1114" s="4" t="n">
        <f aca="false">INDEX('Master List'!$G$2:$G$2594,O1114)</f>
        <v>0</v>
      </c>
      <c r="N1114" s="4" t="str">
        <f aca="false">IF(K1114="","",A1114)</f>
        <v/>
      </c>
      <c r="O1114" s="4" t="n">
        <v>1374</v>
      </c>
      <c r="P1114" s="4" t="n">
        <f aca="false">IF(A1114=A1113,P1113+1-M1113,0)</f>
        <v>9</v>
      </c>
    </row>
    <row r="1115" customFormat="false" ht="15" hidden="false" customHeight="false" outlineLevel="0" collapsed="false">
      <c r="A1115" s="29" t="s">
        <v>4057</v>
      </c>
      <c r="B1115" s="29" t="s">
        <v>52</v>
      </c>
      <c r="C1115" s="29" t="s">
        <v>91</v>
      </c>
      <c r="D1115" s="29" t="s">
        <v>4058</v>
      </c>
      <c r="E1115" s="4" t="n">
        <v>1</v>
      </c>
      <c r="F1115" s="4" t="s">
        <v>144</v>
      </c>
      <c r="G1115" s="7" t="s">
        <v>1431</v>
      </c>
      <c r="H1115" s="4" t="n">
        <v>1931</v>
      </c>
      <c r="I1115" s="4" t="s">
        <v>1432</v>
      </c>
      <c r="J1115" s="25" t="str">
        <f aca="false">IF(M1115=1,"✓","")</f>
        <v/>
      </c>
      <c r="K1115" s="4" t="str">
        <f aca="false">IF(AND(M1115=0,P1115=0),"▶ NEXT","")</f>
        <v>▶ NEXT</v>
      </c>
      <c r="L1115" s="4" t="n">
        <f aca="false">INDEX('Master List'!$F$2:$F$2594,O1115)</f>
        <v>1</v>
      </c>
      <c r="M1115" s="4" t="n">
        <f aca="false">INDEX('Master List'!$G$2:$G$2594,O1115)</f>
        <v>0</v>
      </c>
      <c r="N1115" s="4" t="str">
        <f aca="false">IF(K1115="","",A1115)</f>
        <v>N092</v>
      </c>
      <c r="O1115" s="4" t="n">
        <v>846</v>
      </c>
      <c r="P1115" s="4" t="n">
        <f aca="false">IF(A1115=A1114,P1114+1-M1114,0)</f>
        <v>0</v>
      </c>
    </row>
    <row r="1116" customFormat="false" ht="15" hidden="false" customHeight="false" outlineLevel="0" collapsed="false">
      <c r="A1116" s="29" t="s">
        <v>4057</v>
      </c>
      <c r="B1116" s="29" t="s">
        <v>52</v>
      </c>
      <c r="C1116" s="29" t="s">
        <v>91</v>
      </c>
      <c r="D1116" s="29" t="s">
        <v>4058</v>
      </c>
      <c r="E1116" s="4" t="n">
        <v>2</v>
      </c>
      <c r="F1116" s="4" t="s">
        <v>144</v>
      </c>
      <c r="G1116" s="7" t="s">
        <v>1435</v>
      </c>
      <c r="H1116" s="4" t="n">
        <v>1935</v>
      </c>
      <c r="I1116" s="4" t="s">
        <v>1432</v>
      </c>
      <c r="J1116" s="25" t="str">
        <f aca="false">IF(M1116=1,"✓","")</f>
        <v/>
      </c>
      <c r="K1116" s="4" t="str">
        <f aca="false">IF(AND(M1116=0,P1116=0),"▶ NEXT","")</f>
        <v/>
      </c>
      <c r="L1116" s="4" t="n">
        <f aca="false">INDEX('Master List'!$F$2:$F$2594,O1116)</f>
        <v>1</v>
      </c>
      <c r="M1116" s="4" t="n">
        <f aca="false">INDEX('Master List'!$G$2:$G$2594,O1116)</f>
        <v>0</v>
      </c>
      <c r="N1116" s="4" t="str">
        <f aca="false">IF(K1116="","",A1116)</f>
        <v/>
      </c>
      <c r="O1116" s="4" t="n">
        <v>345</v>
      </c>
      <c r="P1116" s="4" t="n">
        <f aca="false">IF(A1116=A1115,P1115+1-M1115,0)</f>
        <v>1</v>
      </c>
    </row>
    <row r="1117" customFormat="false" ht="15" hidden="false" customHeight="false" outlineLevel="0" collapsed="false">
      <c r="A1117" s="29" t="s">
        <v>4057</v>
      </c>
      <c r="B1117" s="29" t="s">
        <v>52</v>
      </c>
      <c r="C1117" s="29" t="s">
        <v>91</v>
      </c>
      <c r="D1117" s="29" t="s">
        <v>4058</v>
      </c>
      <c r="E1117" s="4" t="n">
        <v>3</v>
      </c>
      <c r="F1117" s="4" t="s">
        <v>213</v>
      </c>
      <c r="G1117" s="4" t="s">
        <v>1454</v>
      </c>
      <c r="H1117" s="4" t="n">
        <v>1931</v>
      </c>
      <c r="I1117" s="4" t="s">
        <v>907</v>
      </c>
      <c r="J1117" s="25" t="str">
        <f aca="false">IF(M1117=1,"✓","")</f>
        <v/>
      </c>
      <c r="K1117" s="4" t="str">
        <f aca="false">IF(AND(M1117=0,P1117=0),"▶ NEXT","")</f>
        <v/>
      </c>
      <c r="L1117" s="4" t="n">
        <f aca="false">INDEX('Master List'!$F$2:$F$2594,O1117)</f>
        <v>1</v>
      </c>
      <c r="M1117" s="4" t="n">
        <f aca="false">INDEX('Master List'!$G$2:$G$2594,O1117)</f>
        <v>0</v>
      </c>
      <c r="N1117" s="4" t="str">
        <f aca="false">IF(K1117="","",A1117)</f>
        <v/>
      </c>
      <c r="O1117" s="4" t="n">
        <v>672</v>
      </c>
      <c r="P1117" s="4" t="n">
        <f aca="false">IF(A1117=A1116,P1116+1-M1116,0)</f>
        <v>2</v>
      </c>
    </row>
    <row r="1118" customFormat="false" ht="15" hidden="false" customHeight="false" outlineLevel="0" collapsed="false">
      <c r="A1118" s="29" t="s">
        <v>4057</v>
      </c>
      <c r="B1118" s="29" t="s">
        <v>52</v>
      </c>
      <c r="C1118" s="29" t="s">
        <v>91</v>
      </c>
      <c r="D1118" s="29" t="s">
        <v>4058</v>
      </c>
      <c r="E1118" s="4" t="n">
        <v>4</v>
      </c>
      <c r="F1118" s="4" t="s">
        <v>213</v>
      </c>
      <c r="G1118" s="4" t="s">
        <v>1729</v>
      </c>
      <c r="H1118" s="4" t="n">
        <v>1932</v>
      </c>
      <c r="I1118" s="4" t="s">
        <v>1730</v>
      </c>
      <c r="J1118" s="25" t="str">
        <f aca="false">IF(M1118=1,"✓","")</f>
        <v/>
      </c>
      <c r="K1118" s="4" t="str">
        <f aca="false">IF(AND(M1118=0,P1118=0),"▶ NEXT","")</f>
        <v/>
      </c>
      <c r="L1118" s="4" t="n">
        <f aca="false">INDEX('Master List'!$F$2:$F$2594,O1118)</f>
        <v>1</v>
      </c>
      <c r="M1118" s="4" t="n">
        <f aca="false">INDEX('Master List'!$G$2:$G$2594,O1118)</f>
        <v>0</v>
      </c>
      <c r="N1118" s="4" t="str">
        <f aca="false">IF(K1118="","",A1118)</f>
        <v/>
      </c>
      <c r="O1118" s="4" t="n">
        <v>1556</v>
      </c>
      <c r="P1118" s="4" t="n">
        <f aca="false">IF(A1118=A1117,P1117+1-M1117,0)</f>
        <v>3</v>
      </c>
    </row>
    <row r="1119" customFormat="false" ht="15" hidden="false" customHeight="false" outlineLevel="0" collapsed="false">
      <c r="A1119" s="29" t="s">
        <v>4057</v>
      </c>
      <c r="B1119" s="29" t="s">
        <v>52</v>
      </c>
      <c r="C1119" s="29" t="s">
        <v>91</v>
      </c>
      <c r="D1119" s="29" t="s">
        <v>4058</v>
      </c>
      <c r="E1119" s="4" t="n">
        <v>5</v>
      </c>
      <c r="F1119" s="4" t="s">
        <v>213</v>
      </c>
      <c r="G1119" s="4" t="s">
        <v>1745</v>
      </c>
      <c r="H1119" s="4" t="n">
        <v>1933</v>
      </c>
      <c r="I1119" s="4" t="s">
        <v>1432</v>
      </c>
      <c r="J1119" s="25" t="str">
        <f aca="false">IF(M1119=1,"✓","")</f>
        <v/>
      </c>
      <c r="K1119" s="4" t="str">
        <f aca="false">IF(AND(M1119=0,P1119=0),"▶ NEXT","")</f>
        <v/>
      </c>
      <c r="L1119" s="4" t="n">
        <f aca="false">INDEX('Master List'!$F$2:$F$2594,O1119)</f>
        <v>1</v>
      </c>
      <c r="M1119" s="4" t="n">
        <f aca="false">INDEX('Master List'!$G$2:$G$2594,O1119)</f>
        <v>0</v>
      </c>
      <c r="N1119" s="4" t="str">
        <f aca="false">IF(K1119="","",A1119)</f>
        <v/>
      </c>
      <c r="O1119" s="4" t="n">
        <v>1162</v>
      </c>
      <c r="P1119" s="4" t="n">
        <f aca="false">IF(A1119=A1118,P1118+1-M1118,0)</f>
        <v>4</v>
      </c>
    </row>
    <row r="1120" customFormat="false" ht="15" hidden="false" customHeight="false" outlineLevel="0" collapsed="false">
      <c r="A1120" s="29" t="s">
        <v>4057</v>
      </c>
      <c r="B1120" s="29" t="s">
        <v>52</v>
      </c>
      <c r="C1120" s="29" t="s">
        <v>91</v>
      </c>
      <c r="D1120" s="29" t="s">
        <v>4058</v>
      </c>
      <c r="E1120" s="4" t="n">
        <v>6</v>
      </c>
      <c r="F1120" s="4" t="s">
        <v>213</v>
      </c>
      <c r="G1120" s="4" t="s">
        <v>1731</v>
      </c>
      <c r="H1120" s="4" t="n">
        <v>1932</v>
      </c>
      <c r="I1120" s="4" t="s">
        <v>1432</v>
      </c>
      <c r="J1120" s="25" t="str">
        <f aca="false">IF(M1120=1,"✓","")</f>
        <v/>
      </c>
      <c r="K1120" s="4" t="str">
        <f aca="false">IF(AND(M1120=0,P1120=0),"▶ NEXT","")</f>
        <v/>
      </c>
      <c r="L1120" s="4" t="n">
        <f aca="false">INDEX('Master List'!$F$2:$F$2594,O1120)</f>
        <v>1</v>
      </c>
      <c r="M1120" s="4" t="n">
        <f aca="false">INDEX('Master List'!$G$2:$G$2594,O1120)</f>
        <v>0</v>
      </c>
      <c r="N1120" s="4" t="str">
        <f aca="false">IF(K1120="","",A1120)</f>
        <v/>
      </c>
      <c r="O1120" s="4" t="n">
        <v>1656</v>
      </c>
      <c r="P1120" s="4" t="n">
        <f aca="false">IF(A1120=A1119,P1119+1-M1119,0)</f>
        <v>5</v>
      </c>
    </row>
    <row r="1121" customFormat="false" ht="15" hidden="false" customHeight="false" outlineLevel="0" collapsed="false">
      <c r="A1121" s="29" t="s">
        <v>4057</v>
      </c>
      <c r="B1121" s="29" t="s">
        <v>52</v>
      </c>
      <c r="C1121" s="29" t="s">
        <v>91</v>
      </c>
      <c r="D1121" s="29" t="s">
        <v>4058</v>
      </c>
      <c r="E1121" s="4" t="n">
        <v>7</v>
      </c>
      <c r="F1121" s="4" t="s">
        <v>213</v>
      </c>
      <c r="G1121" s="4" t="s">
        <v>1751</v>
      </c>
      <c r="H1121" s="4" t="n">
        <v>1934</v>
      </c>
      <c r="I1121" s="4" t="s">
        <v>1752</v>
      </c>
      <c r="J1121" s="25" t="str">
        <f aca="false">IF(M1121=1,"✓","")</f>
        <v/>
      </c>
      <c r="K1121" s="4" t="str">
        <f aca="false">IF(AND(M1121=0,P1121=0),"▶ NEXT","")</f>
        <v/>
      </c>
      <c r="L1121" s="4" t="n">
        <f aca="false">INDEX('Master List'!$F$2:$F$2594,O1121)</f>
        <v>1</v>
      </c>
      <c r="M1121" s="4" t="n">
        <f aca="false">INDEX('Master List'!$G$2:$G$2594,O1121)</f>
        <v>0</v>
      </c>
      <c r="N1121" s="4" t="str">
        <f aca="false">IF(K1121="","",A1121)</f>
        <v/>
      </c>
      <c r="O1121" s="4" t="n">
        <v>264</v>
      </c>
      <c r="P1121" s="4" t="n">
        <f aca="false">IF(A1121=A1120,P1120+1-M1120,0)</f>
        <v>6</v>
      </c>
    </row>
    <row r="1122" customFormat="false" ht="15" hidden="false" customHeight="false" outlineLevel="0" collapsed="false">
      <c r="A1122" s="29" t="s">
        <v>4057</v>
      </c>
      <c r="B1122" s="29" t="s">
        <v>52</v>
      </c>
      <c r="C1122" s="29" t="s">
        <v>91</v>
      </c>
      <c r="D1122" s="29" t="s">
        <v>4058</v>
      </c>
      <c r="E1122" s="4" t="n">
        <v>8</v>
      </c>
      <c r="F1122" s="4" t="s">
        <v>213</v>
      </c>
      <c r="G1122" s="4" t="s">
        <v>1792</v>
      </c>
      <c r="H1122" s="4" t="n">
        <v>1941</v>
      </c>
      <c r="I1122" s="4" t="s">
        <v>1793</v>
      </c>
      <c r="J1122" s="25" t="str">
        <f aca="false">IF(M1122=1,"✓","")</f>
        <v/>
      </c>
      <c r="K1122" s="4" t="str">
        <f aca="false">IF(AND(M1122=0,P1122=0),"▶ NEXT","")</f>
        <v/>
      </c>
      <c r="L1122" s="4" t="n">
        <f aca="false">INDEX('Master List'!$F$2:$F$2594,O1122)</f>
        <v>1</v>
      </c>
      <c r="M1122" s="4" t="n">
        <f aca="false">INDEX('Master List'!$G$2:$G$2594,O1122)</f>
        <v>0</v>
      </c>
      <c r="N1122" s="4" t="str">
        <f aca="false">IF(K1122="","",A1122)</f>
        <v/>
      </c>
      <c r="O1122" s="4" t="n">
        <v>2541</v>
      </c>
      <c r="P1122" s="4" t="n">
        <f aca="false">IF(A1122=A1121,P1121+1-M1121,0)</f>
        <v>7</v>
      </c>
    </row>
    <row r="1123" customFormat="false" ht="15" hidden="false" customHeight="false" outlineLevel="0" collapsed="false">
      <c r="A1123" s="29" t="s">
        <v>4057</v>
      </c>
      <c r="B1123" s="29" t="s">
        <v>52</v>
      </c>
      <c r="C1123" s="29" t="s">
        <v>91</v>
      </c>
      <c r="D1123" s="29" t="s">
        <v>4058</v>
      </c>
      <c r="E1123" s="4" t="n">
        <v>9</v>
      </c>
      <c r="F1123" s="4" t="s">
        <v>213</v>
      </c>
      <c r="G1123" s="4" t="s">
        <v>1902</v>
      </c>
      <c r="H1123" s="4" t="n">
        <v>1954</v>
      </c>
      <c r="I1123" s="4" t="s">
        <v>1903</v>
      </c>
      <c r="J1123" s="25" t="str">
        <f aca="false">IF(M1123=1,"✓","")</f>
        <v/>
      </c>
      <c r="K1123" s="4" t="str">
        <f aca="false">IF(AND(M1123=0,P1123=0),"▶ NEXT","")</f>
        <v/>
      </c>
      <c r="L1123" s="4" t="n">
        <f aca="false">INDEX('Master List'!$F$2:$F$2594,O1123)</f>
        <v>1</v>
      </c>
      <c r="M1123" s="4" t="n">
        <f aca="false">INDEX('Master List'!$G$2:$G$2594,O1123)</f>
        <v>0</v>
      </c>
      <c r="N1123" s="4" t="str">
        <f aca="false">IF(K1123="","",A1123)</f>
        <v/>
      </c>
      <c r="O1123" s="4" t="n">
        <v>530</v>
      </c>
      <c r="P1123" s="4" t="n">
        <f aca="false">IF(A1123=A1122,P1122+1-M1122,0)</f>
        <v>8</v>
      </c>
    </row>
    <row r="1124" customFormat="false" ht="15" hidden="false" customHeight="false" outlineLevel="0" collapsed="false">
      <c r="A1124" s="29" t="s">
        <v>4057</v>
      </c>
      <c r="B1124" s="29" t="s">
        <v>52</v>
      </c>
      <c r="C1124" s="29" t="s">
        <v>91</v>
      </c>
      <c r="D1124" s="29" t="s">
        <v>4058</v>
      </c>
      <c r="E1124" s="4" t="n">
        <v>10</v>
      </c>
      <c r="F1124" s="4" t="s">
        <v>1327</v>
      </c>
      <c r="G1124" s="4" t="s">
        <v>3331</v>
      </c>
      <c r="H1124" s="4" t="n">
        <v>1939</v>
      </c>
      <c r="I1124" s="4" t="s">
        <v>3332</v>
      </c>
      <c r="J1124" s="25" t="str">
        <f aca="false">IF(M1124=1,"✓","")</f>
        <v/>
      </c>
      <c r="K1124" s="4" t="str">
        <f aca="false">IF(AND(M1124=0,P1124=0),"▶ NEXT","")</f>
        <v/>
      </c>
      <c r="L1124" s="4" t="n">
        <f aca="false">INDEX('Master List'!$F$2:$F$2594,O1124)</f>
        <v>1</v>
      </c>
      <c r="M1124" s="4" t="n">
        <f aca="false">INDEX('Master List'!$G$2:$G$2594,O1124)</f>
        <v>0</v>
      </c>
      <c r="N1124" s="4" t="str">
        <f aca="false">IF(K1124="","",A1124)</f>
        <v/>
      </c>
      <c r="O1124" s="4" t="n">
        <v>2109</v>
      </c>
      <c r="P1124" s="4" t="n">
        <f aca="false">IF(A1124=A1123,P1123+1-M1123,0)</f>
        <v>9</v>
      </c>
    </row>
    <row r="1125" customFormat="false" ht="15" hidden="false" customHeight="false" outlineLevel="0" collapsed="false">
      <c r="A1125" s="29" t="s">
        <v>4059</v>
      </c>
      <c r="B1125" s="29" t="s">
        <v>52</v>
      </c>
      <c r="C1125" s="29" t="s">
        <v>91</v>
      </c>
      <c r="D1125" s="29" t="s">
        <v>4060</v>
      </c>
      <c r="E1125" s="4" t="n">
        <v>1</v>
      </c>
      <c r="F1125" s="4" t="s">
        <v>144</v>
      </c>
      <c r="G1125" s="7" t="s">
        <v>1441</v>
      </c>
      <c r="H1125" s="4" t="n">
        <v>1942</v>
      </c>
      <c r="I1125" s="4" t="s">
        <v>884</v>
      </c>
      <c r="J1125" s="25" t="str">
        <f aca="false">IF(M1125=1,"✓","")</f>
        <v/>
      </c>
      <c r="K1125" s="4" t="str">
        <f aca="false">IF(AND(M1125=0,P1125=0),"▶ NEXT","")</f>
        <v>▶ NEXT</v>
      </c>
      <c r="L1125" s="4" t="n">
        <f aca="false">INDEX('Master List'!$F$2:$F$2594,O1125)</f>
        <v>1</v>
      </c>
      <c r="M1125" s="4" t="n">
        <f aca="false">INDEX('Master List'!$G$2:$G$2594,O1125)</f>
        <v>0</v>
      </c>
      <c r="N1125" s="4" t="str">
        <f aca="false">IF(K1125="","",A1125)</f>
        <v>N093</v>
      </c>
      <c r="O1125" s="4" t="n">
        <v>411</v>
      </c>
      <c r="P1125" s="4" t="n">
        <f aca="false">IF(A1125=A1124,P1124+1-M1124,0)</f>
        <v>0</v>
      </c>
    </row>
    <row r="1126" customFormat="false" ht="15" hidden="false" customHeight="false" outlineLevel="0" collapsed="false">
      <c r="A1126" s="29" t="s">
        <v>4059</v>
      </c>
      <c r="B1126" s="29" t="s">
        <v>52</v>
      </c>
      <c r="C1126" s="29" t="s">
        <v>91</v>
      </c>
      <c r="D1126" s="29" t="s">
        <v>4060</v>
      </c>
      <c r="E1126" s="4" t="n">
        <v>2</v>
      </c>
      <c r="F1126" s="4" t="s">
        <v>144</v>
      </c>
      <c r="G1126" s="7" t="s">
        <v>883</v>
      </c>
      <c r="H1126" s="4" t="n">
        <v>1943</v>
      </c>
      <c r="I1126" s="4" t="s">
        <v>884</v>
      </c>
      <c r="J1126" s="25" t="str">
        <f aca="false">IF(M1126=1,"✓","")</f>
        <v/>
      </c>
      <c r="K1126" s="4" t="str">
        <f aca="false">IF(AND(M1126=0,P1126=0),"▶ NEXT","")</f>
        <v/>
      </c>
      <c r="L1126" s="4" t="n">
        <f aca="false">INDEX('Master List'!$F$2:$F$2594,O1126)</f>
        <v>2</v>
      </c>
      <c r="M1126" s="4" t="n">
        <f aca="false">INDEX('Master List'!$G$2:$G$2594,O1126)</f>
        <v>0</v>
      </c>
      <c r="N1126" s="4" t="str">
        <f aca="false">IF(K1126="","",A1126)</f>
        <v/>
      </c>
      <c r="O1126" s="4" t="n">
        <v>1110</v>
      </c>
      <c r="P1126" s="4" t="n">
        <f aca="false">IF(A1126=A1125,P1125+1-M1125,0)</f>
        <v>1</v>
      </c>
    </row>
    <row r="1127" customFormat="false" ht="15" hidden="false" customHeight="false" outlineLevel="0" collapsed="false">
      <c r="A1127" s="29" t="s">
        <v>4059</v>
      </c>
      <c r="B1127" s="29" t="s">
        <v>52</v>
      </c>
      <c r="C1127" s="29" t="s">
        <v>91</v>
      </c>
      <c r="D1127" s="29" t="s">
        <v>4060</v>
      </c>
      <c r="E1127" s="4" t="n">
        <v>3</v>
      </c>
      <c r="F1127" s="4" t="s">
        <v>213</v>
      </c>
      <c r="G1127" s="4" t="s">
        <v>1805</v>
      </c>
      <c r="H1127" s="4" t="n">
        <v>1943</v>
      </c>
      <c r="I1127" s="4" t="s">
        <v>884</v>
      </c>
      <c r="J1127" s="25" t="str">
        <f aca="false">IF(M1127=1,"✓","")</f>
        <v/>
      </c>
      <c r="K1127" s="4" t="str">
        <f aca="false">IF(AND(M1127=0,P1127=0),"▶ NEXT","")</f>
        <v/>
      </c>
      <c r="L1127" s="4" t="n">
        <f aca="false">INDEX('Master List'!$F$2:$F$2594,O1127)</f>
        <v>1</v>
      </c>
      <c r="M1127" s="4" t="n">
        <f aca="false">INDEX('Master List'!$G$2:$G$2594,O1127)</f>
        <v>0</v>
      </c>
      <c r="N1127" s="4" t="str">
        <f aca="false">IF(K1127="","",A1127)</f>
        <v/>
      </c>
      <c r="O1127" s="4" t="n">
        <v>1322</v>
      </c>
      <c r="P1127" s="4" t="n">
        <f aca="false">IF(A1127=A1126,P1126+1-M1126,0)</f>
        <v>2</v>
      </c>
    </row>
    <row r="1128" customFormat="false" ht="15" hidden="false" customHeight="false" outlineLevel="0" collapsed="false">
      <c r="A1128" s="29" t="s">
        <v>4059</v>
      </c>
      <c r="B1128" s="29" t="s">
        <v>52</v>
      </c>
      <c r="C1128" s="29" t="s">
        <v>91</v>
      </c>
      <c r="D1128" s="29" t="s">
        <v>4060</v>
      </c>
      <c r="E1128" s="4" t="n">
        <v>4</v>
      </c>
      <c r="F1128" s="4" t="s">
        <v>213</v>
      </c>
      <c r="G1128" s="4" t="s">
        <v>1806</v>
      </c>
      <c r="H1128" s="4" t="n">
        <v>1943</v>
      </c>
      <c r="I1128" s="4" t="s">
        <v>1807</v>
      </c>
      <c r="J1128" s="25" t="str">
        <f aca="false">IF(M1128=1,"✓","")</f>
        <v/>
      </c>
      <c r="K1128" s="4" t="str">
        <f aca="false">IF(AND(M1128=0,P1128=0),"▶ NEXT","")</f>
        <v/>
      </c>
      <c r="L1128" s="4" t="n">
        <f aca="false">INDEX('Master List'!$F$2:$F$2594,O1128)</f>
        <v>1</v>
      </c>
      <c r="M1128" s="4" t="n">
        <f aca="false">INDEX('Master List'!$G$2:$G$2594,O1128)</f>
        <v>0</v>
      </c>
      <c r="N1128" s="4" t="str">
        <f aca="false">IF(K1128="","",A1128)</f>
        <v/>
      </c>
      <c r="O1128" s="4" t="n">
        <v>2026</v>
      </c>
      <c r="P1128" s="4" t="n">
        <f aca="false">IF(A1128=A1127,P1127+1-M1127,0)</f>
        <v>3</v>
      </c>
    </row>
    <row r="1129" customFormat="false" ht="15" hidden="false" customHeight="false" outlineLevel="0" collapsed="false">
      <c r="A1129" s="29" t="s">
        <v>4059</v>
      </c>
      <c r="B1129" s="29" t="s">
        <v>52</v>
      </c>
      <c r="C1129" s="29" t="s">
        <v>91</v>
      </c>
      <c r="D1129" s="29" t="s">
        <v>4060</v>
      </c>
      <c r="E1129" s="4" t="n">
        <v>5</v>
      </c>
      <c r="F1129" s="4" t="s">
        <v>213</v>
      </c>
      <c r="G1129" s="4" t="s">
        <v>1827</v>
      </c>
      <c r="H1129" s="4" t="n">
        <v>1945</v>
      </c>
      <c r="I1129" s="4" t="s">
        <v>789</v>
      </c>
      <c r="J1129" s="25" t="str">
        <f aca="false">IF(M1129=1,"✓","")</f>
        <v/>
      </c>
      <c r="K1129" s="4" t="str">
        <f aca="false">IF(AND(M1129=0,P1129=0),"▶ NEXT","")</f>
        <v/>
      </c>
      <c r="L1129" s="4" t="n">
        <f aca="false">INDEX('Master List'!$F$2:$F$2594,O1129)</f>
        <v>1</v>
      </c>
      <c r="M1129" s="4" t="n">
        <f aca="false">INDEX('Master List'!$G$2:$G$2594,O1129)</f>
        <v>0</v>
      </c>
      <c r="N1129" s="4" t="str">
        <f aca="false">IF(K1129="","",A1129)</f>
        <v/>
      </c>
      <c r="O1129" s="4" t="n">
        <v>310</v>
      </c>
      <c r="P1129" s="4" t="n">
        <f aca="false">IF(A1129=A1128,P1128+1-M1128,0)</f>
        <v>4</v>
      </c>
    </row>
    <row r="1130" customFormat="false" ht="15" hidden="false" customHeight="false" outlineLevel="0" collapsed="false">
      <c r="A1130" s="29" t="s">
        <v>4059</v>
      </c>
      <c r="B1130" s="29" t="s">
        <v>52</v>
      </c>
      <c r="C1130" s="29" t="s">
        <v>91</v>
      </c>
      <c r="D1130" s="29" t="s">
        <v>4060</v>
      </c>
      <c r="E1130" s="4" t="n">
        <v>6</v>
      </c>
      <c r="F1130" s="4" t="s">
        <v>213</v>
      </c>
      <c r="G1130" s="4" t="s">
        <v>1828</v>
      </c>
      <c r="H1130" s="4" t="n">
        <v>1945</v>
      </c>
      <c r="I1130" s="4" t="s">
        <v>1807</v>
      </c>
      <c r="J1130" s="25" t="str">
        <f aca="false">IF(M1130=1,"✓","")</f>
        <v/>
      </c>
      <c r="K1130" s="4" t="str">
        <f aca="false">IF(AND(M1130=0,P1130=0),"▶ NEXT","")</f>
        <v/>
      </c>
      <c r="L1130" s="4" t="n">
        <f aca="false">INDEX('Master List'!$F$2:$F$2594,O1130)</f>
        <v>1</v>
      </c>
      <c r="M1130" s="4" t="n">
        <f aca="false">INDEX('Master List'!$G$2:$G$2594,O1130)</f>
        <v>0</v>
      </c>
      <c r="N1130" s="4" t="str">
        <f aca="false">IF(K1130="","",A1130)</f>
        <v/>
      </c>
      <c r="O1130" s="4" t="n">
        <v>1172</v>
      </c>
      <c r="P1130" s="4" t="n">
        <f aca="false">IF(A1130=A1129,P1129+1-M1129,0)</f>
        <v>5</v>
      </c>
    </row>
    <row r="1131" customFormat="false" ht="15" hidden="false" customHeight="false" outlineLevel="0" collapsed="false">
      <c r="A1131" s="29" t="s">
        <v>4059</v>
      </c>
      <c r="B1131" s="29" t="s">
        <v>52</v>
      </c>
      <c r="C1131" s="29" t="s">
        <v>91</v>
      </c>
      <c r="D1131" s="29" t="s">
        <v>4060</v>
      </c>
      <c r="E1131" s="4" t="n">
        <v>7</v>
      </c>
      <c r="F1131" s="4" t="s">
        <v>213</v>
      </c>
      <c r="G1131" s="4" t="s">
        <v>1943</v>
      </c>
      <c r="H1131" s="4" t="n">
        <v>1957</v>
      </c>
      <c r="I1131" s="4" t="s">
        <v>884</v>
      </c>
      <c r="J1131" s="25" t="str">
        <f aca="false">IF(M1131=1,"✓","")</f>
        <v/>
      </c>
      <c r="K1131" s="4" t="str">
        <f aca="false">IF(AND(M1131=0,P1131=0),"▶ NEXT","")</f>
        <v/>
      </c>
      <c r="L1131" s="4" t="n">
        <f aca="false">INDEX('Master List'!$F$2:$F$2594,O1131)</f>
        <v>1</v>
      </c>
      <c r="M1131" s="4" t="n">
        <f aca="false">INDEX('Master List'!$G$2:$G$2594,O1131)</f>
        <v>0</v>
      </c>
      <c r="N1131" s="4" t="str">
        <f aca="false">IF(K1131="","",A1131)</f>
        <v/>
      </c>
      <c r="O1131" s="4" t="n">
        <v>1605</v>
      </c>
      <c r="P1131" s="4" t="n">
        <f aca="false">IF(A1131=A1130,P1130+1-M1130,0)</f>
        <v>6</v>
      </c>
    </row>
    <row r="1132" customFormat="false" ht="15" hidden="false" customHeight="false" outlineLevel="0" collapsed="false">
      <c r="A1132" s="29" t="s">
        <v>4059</v>
      </c>
      <c r="B1132" s="29" t="s">
        <v>52</v>
      </c>
      <c r="C1132" s="29" t="s">
        <v>91</v>
      </c>
      <c r="D1132" s="29" t="s">
        <v>4060</v>
      </c>
      <c r="E1132" s="4" t="n">
        <v>8</v>
      </c>
      <c r="F1132" s="4" t="s">
        <v>213</v>
      </c>
      <c r="G1132" s="4" t="s">
        <v>885</v>
      </c>
      <c r="H1132" s="4" t="n">
        <v>1963</v>
      </c>
      <c r="I1132" s="4" t="s">
        <v>789</v>
      </c>
      <c r="J1132" s="25" t="str">
        <f aca="false">IF(M1132=1,"✓","")</f>
        <v/>
      </c>
      <c r="K1132" s="4" t="str">
        <f aca="false">IF(AND(M1132=0,P1132=0),"▶ NEXT","")</f>
        <v/>
      </c>
      <c r="L1132" s="4" t="n">
        <f aca="false">INDEX('Master List'!$F$2:$F$2594,O1132)</f>
        <v>2</v>
      </c>
      <c r="M1132" s="4" t="n">
        <f aca="false">INDEX('Master List'!$G$2:$G$2594,O1132)</f>
        <v>0</v>
      </c>
      <c r="N1132" s="4" t="str">
        <f aca="false">IF(K1132="","",A1132)</f>
        <v/>
      </c>
      <c r="O1132" s="4" t="n">
        <v>1002</v>
      </c>
      <c r="P1132" s="4" t="n">
        <f aca="false">IF(A1132=A1131,P1131+1-M1131,0)</f>
        <v>7</v>
      </c>
    </row>
    <row r="1133" customFormat="false" ht="15" hidden="false" customHeight="false" outlineLevel="0" collapsed="false">
      <c r="A1133" s="29" t="s">
        <v>4059</v>
      </c>
      <c r="B1133" s="29" t="s">
        <v>52</v>
      </c>
      <c r="C1133" s="29" t="s">
        <v>91</v>
      </c>
      <c r="D1133" s="29" t="s">
        <v>4060</v>
      </c>
      <c r="E1133" s="4" t="n">
        <v>9</v>
      </c>
      <c r="F1133" s="4" t="s">
        <v>213</v>
      </c>
      <c r="G1133" s="4" t="s">
        <v>764</v>
      </c>
      <c r="H1133" s="4" t="n">
        <v>1961</v>
      </c>
      <c r="I1133" s="4" t="s">
        <v>765</v>
      </c>
      <c r="J1133" s="25" t="str">
        <f aca="false">IF(M1133=1,"✓","")</f>
        <v/>
      </c>
      <c r="K1133" s="4" t="str">
        <f aca="false">IF(AND(M1133=0,P1133=0),"▶ NEXT","")</f>
        <v/>
      </c>
      <c r="L1133" s="4" t="n">
        <f aca="false">INDEX('Master List'!$F$2:$F$2594,O1133)</f>
        <v>3</v>
      </c>
      <c r="M1133" s="4" t="n">
        <f aca="false">INDEX('Master List'!$G$2:$G$2594,O1133)</f>
        <v>0</v>
      </c>
      <c r="N1133" s="4" t="str">
        <f aca="false">IF(K1133="","",A1133)</f>
        <v/>
      </c>
      <c r="O1133" s="4" t="n">
        <v>1144</v>
      </c>
      <c r="P1133" s="4" t="n">
        <f aca="false">IF(A1133=A1132,P1132+1-M1132,0)</f>
        <v>8</v>
      </c>
    </row>
    <row r="1134" customFormat="false" ht="15" hidden="false" customHeight="false" outlineLevel="0" collapsed="false">
      <c r="A1134" s="29" t="s">
        <v>4061</v>
      </c>
      <c r="B1134" s="29" t="s">
        <v>52</v>
      </c>
      <c r="C1134" s="29" t="s">
        <v>91</v>
      </c>
      <c r="D1134" s="29" t="s">
        <v>4062</v>
      </c>
      <c r="E1134" s="4" t="n">
        <v>1</v>
      </c>
      <c r="F1134" s="4" t="s">
        <v>144</v>
      </c>
      <c r="G1134" s="7" t="s">
        <v>1454</v>
      </c>
      <c r="H1134" s="4" t="n">
        <v>1958</v>
      </c>
      <c r="I1134" s="4" t="s">
        <v>1453</v>
      </c>
      <c r="J1134" s="25" t="str">
        <f aca="false">IF(M1134=1,"✓","")</f>
        <v/>
      </c>
      <c r="K1134" s="4" t="str">
        <f aca="false">IF(AND(M1134=0,P1134=0),"▶ NEXT","")</f>
        <v>▶ NEXT</v>
      </c>
      <c r="L1134" s="4" t="n">
        <f aca="false">INDEX('Master List'!$F$2:$F$2594,O1134)</f>
        <v>1</v>
      </c>
      <c r="M1134" s="4" t="n">
        <f aca="false">INDEX('Master List'!$G$2:$G$2594,O1134)</f>
        <v>0</v>
      </c>
      <c r="N1134" s="4" t="str">
        <f aca="false">IF(K1134="","",A1134)</f>
        <v>N094</v>
      </c>
      <c r="O1134" s="4" t="n">
        <v>673</v>
      </c>
      <c r="P1134" s="4" t="n">
        <f aca="false">IF(A1134=A1133,P1133+1-M1133,0)</f>
        <v>0</v>
      </c>
    </row>
    <row r="1135" customFormat="false" ht="15" hidden="false" customHeight="false" outlineLevel="0" collapsed="false">
      <c r="A1135" s="29" t="s">
        <v>4061</v>
      </c>
      <c r="B1135" s="29" t="s">
        <v>52</v>
      </c>
      <c r="C1135" s="29" t="s">
        <v>91</v>
      </c>
      <c r="D1135" s="29" t="s">
        <v>4062</v>
      </c>
      <c r="E1135" s="4" t="n">
        <v>2</v>
      </c>
      <c r="F1135" s="4" t="s">
        <v>144</v>
      </c>
      <c r="G1135" s="7" t="s">
        <v>1452</v>
      </c>
      <c r="H1135" s="4" t="n">
        <v>1957</v>
      </c>
      <c r="I1135" s="4" t="s">
        <v>1453</v>
      </c>
      <c r="J1135" s="25" t="str">
        <f aca="false">IF(M1135=1,"✓","")</f>
        <v/>
      </c>
      <c r="K1135" s="4" t="str">
        <f aca="false">IF(AND(M1135=0,P1135=0),"▶ NEXT","")</f>
        <v/>
      </c>
      <c r="L1135" s="4" t="n">
        <f aca="false">INDEX('Master List'!$F$2:$F$2594,O1135)</f>
        <v>1</v>
      </c>
      <c r="M1135" s="4" t="n">
        <f aca="false">INDEX('Master List'!$G$2:$G$2594,O1135)</f>
        <v>0</v>
      </c>
      <c r="N1135" s="4" t="str">
        <f aca="false">IF(K1135="","",A1135)</f>
        <v/>
      </c>
      <c r="O1135" s="4" t="n">
        <v>549</v>
      </c>
      <c r="P1135" s="4" t="n">
        <f aca="false">IF(A1135=A1134,P1134+1-M1134,0)</f>
        <v>1</v>
      </c>
    </row>
    <row r="1136" customFormat="false" ht="15" hidden="false" customHeight="false" outlineLevel="0" collapsed="false">
      <c r="A1136" s="29" t="s">
        <v>4061</v>
      </c>
      <c r="B1136" s="29" t="s">
        <v>52</v>
      </c>
      <c r="C1136" s="29" t="s">
        <v>91</v>
      </c>
      <c r="D1136" s="29" t="s">
        <v>4062</v>
      </c>
      <c r="E1136" s="4" t="n">
        <v>3</v>
      </c>
      <c r="F1136" s="4" t="s">
        <v>213</v>
      </c>
      <c r="G1136" s="4" t="s">
        <v>1962</v>
      </c>
      <c r="H1136" s="4" t="n">
        <v>1959</v>
      </c>
      <c r="I1136" s="4" t="s">
        <v>1453</v>
      </c>
      <c r="J1136" s="25" t="str">
        <f aca="false">IF(M1136=1,"✓","")</f>
        <v/>
      </c>
      <c r="K1136" s="4" t="str">
        <f aca="false">IF(AND(M1136=0,P1136=0),"▶ NEXT","")</f>
        <v/>
      </c>
      <c r="L1136" s="4" t="n">
        <f aca="false">INDEX('Master List'!$F$2:$F$2594,O1136)</f>
        <v>1</v>
      </c>
      <c r="M1136" s="4" t="n">
        <f aca="false">INDEX('Master List'!$G$2:$G$2594,O1136)</f>
        <v>0</v>
      </c>
      <c r="N1136" s="4" t="str">
        <f aca="false">IF(K1136="","",A1136)</f>
        <v/>
      </c>
      <c r="O1136" s="4" t="n">
        <v>1068</v>
      </c>
      <c r="P1136" s="4" t="n">
        <f aca="false">IF(A1136=A1135,P1135+1-M1135,0)</f>
        <v>2</v>
      </c>
    </row>
    <row r="1137" customFormat="false" ht="15" hidden="false" customHeight="false" outlineLevel="0" collapsed="false">
      <c r="A1137" s="29" t="s">
        <v>4061</v>
      </c>
      <c r="B1137" s="29" t="s">
        <v>52</v>
      </c>
      <c r="C1137" s="29" t="s">
        <v>91</v>
      </c>
      <c r="D1137" s="29" t="s">
        <v>4062</v>
      </c>
      <c r="E1137" s="4" t="n">
        <v>4</v>
      </c>
      <c r="F1137" s="4" t="s">
        <v>213</v>
      </c>
      <c r="G1137" s="4" t="s">
        <v>922</v>
      </c>
      <c r="H1137" s="4" t="n">
        <v>1945</v>
      </c>
      <c r="I1137" s="4" t="s">
        <v>923</v>
      </c>
      <c r="J1137" s="25" t="str">
        <f aca="false">IF(M1137=1,"✓","")</f>
        <v/>
      </c>
      <c r="K1137" s="4" t="str">
        <f aca="false">IF(AND(M1137=0,P1137=0),"▶ NEXT","")</f>
        <v/>
      </c>
      <c r="L1137" s="4" t="n">
        <f aca="false">INDEX('Master List'!$F$2:$F$2594,O1137)</f>
        <v>2</v>
      </c>
      <c r="M1137" s="4" t="n">
        <f aca="false">INDEX('Master List'!$G$2:$G$2594,O1137)</f>
        <v>0</v>
      </c>
      <c r="N1137" s="4" t="str">
        <f aca="false">IF(K1137="","",A1137)</f>
        <v/>
      </c>
      <c r="O1137" s="4" t="n">
        <v>584</v>
      </c>
      <c r="P1137" s="4" t="n">
        <f aca="false">IF(A1137=A1136,P1136+1-M1136,0)</f>
        <v>3</v>
      </c>
    </row>
    <row r="1138" customFormat="false" ht="15" hidden="false" customHeight="false" outlineLevel="0" collapsed="false">
      <c r="A1138" s="29" t="s">
        <v>4061</v>
      </c>
      <c r="B1138" s="29" t="s">
        <v>52</v>
      </c>
      <c r="C1138" s="29" t="s">
        <v>91</v>
      </c>
      <c r="D1138" s="29" t="s">
        <v>4062</v>
      </c>
      <c r="E1138" s="4" t="n">
        <v>5</v>
      </c>
      <c r="F1138" s="4" t="s">
        <v>213</v>
      </c>
      <c r="G1138" s="4" t="s">
        <v>1921</v>
      </c>
      <c r="H1138" s="4" t="n">
        <v>1955</v>
      </c>
      <c r="I1138" s="4" t="s">
        <v>1922</v>
      </c>
      <c r="J1138" s="25" t="str">
        <f aca="false">IF(M1138=1,"✓","")</f>
        <v/>
      </c>
      <c r="K1138" s="4" t="str">
        <f aca="false">IF(AND(M1138=0,P1138=0),"▶ NEXT","")</f>
        <v/>
      </c>
      <c r="L1138" s="4" t="n">
        <f aca="false">INDEX('Master List'!$F$2:$F$2594,O1138)</f>
        <v>1</v>
      </c>
      <c r="M1138" s="4" t="n">
        <f aca="false">INDEX('Master List'!$G$2:$G$2594,O1138)</f>
        <v>0</v>
      </c>
      <c r="N1138" s="4" t="str">
        <f aca="false">IF(K1138="","",A1138)</f>
        <v/>
      </c>
      <c r="O1138" s="4" t="n">
        <v>1840</v>
      </c>
      <c r="P1138" s="4" t="n">
        <f aca="false">IF(A1138=A1137,P1137+1-M1137,0)</f>
        <v>4</v>
      </c>
    </row>
    <row r="1139" customFormat="false" ht="15" hidden="false" customHeight="false" outlineLevel="0" collapsed="false">
      <c r="A1139" s="29" t="s">
        <v>4061</v>
      </c>
      <c r="B1139" s="29" t="s">
        <v>52</v>
      </c>
      <c r="C1139" s="29" t="s">
        <v>91</v>
      </c>
      <c r="D1139" s="29" t="s">
        <v>4062</v>
      </c>
      <c r="E1139" s="4" t="n">
        <v>6</v>
      </c>
      <c r="F1139" s="4" t="s">
        <v>213</v>
      </c>
      <c r="G1139" s="4" t="s">
        <v>2102</v>
      </c>
      <c r="H1139" s="4" t="n">
        <v>1967</v>
      </c>
      <c r="I1139" s="4" t="s">
        <v>2103</v>
      </c>
      <c r="J1139" s="25" t="str">
        <f aca="false">IF(M1139=1,"✓","")</f>
        <v/>
      </c>
      <c r="K1139" s="4" t="str">
        <f aca="false">IF(AND(M1139=0,P1139=0),"▶ NEXT","")</f>
        <v/>
      </c>
      <c r="L1139" s="4" t="n">
        <f aca="false">INDEX('Master List'!$F$2:$F$2594,O1139)</f>
        <v>1</v>
      </c>
      <c r="M1139" s="4" t="n">
        <f aca="false">INDEX('Master List'!$G$2:$G$2594,O1139)</f>
        <v>0</v>
      </c>
      <c r="N1139" s="4" t="str">
        <f aca="false">IF(K1139="","",A1139)</f>
        <v/>
      </c>
      <c r="O1139" s="4" t="n">
        <v>1839</v>
      </c>
      <c r="P1139" s="4" t="n">
        <f aca="false">IF(A1139=A1138,P1138+1-M1138,0)</f>
        <v>5</v>
      </c>
    </row>
    <row r="1140" customFormat="false" ht="15" hidden="false" customHeight="false" outlineLevel="0" collapsed="false">
      <c r="A1140" s="29" t="s">
        <v>4061</v>
      </c>
      <c r="B1140" s="29" t="s">
        <v>52</v>
      </c>
      <c r="C1140" s="29" t="s">
        <v>91</v>
      </c>
      <c r="D1140" s="29" t="s">
        <v>4062</v>
      </c>
      <c r="E1140" s="4" t="n">
        <v>7</v>
      </c>
      <c r="F1140" s="4" t="s">
        <v>213</v>
      </c>
      <c r="G1140" s="4" t="s">
        <v>2122</v>
      </c>
      <c r="H1140" s="4" t="n">
        <v>1968</v>
      </c>
      <c r="I1140" s="4" t="s">
        <v>1453</v>
      </c>
      <c r="J1140" s="25" t="str">
        <f aca="false">IF(M1140=1,"✓","")</f>
        <v/>
      </c>
      <c r="K1140" s="4" t="str">
        <f aca="false">IF(AND(M1140=0,P1140=0),"▶ NEXT","")</f>
        <v/>
      </c>
      <c r="L1140" s="4" t="n">
        <f aca="false">INDEX('Master List'!$F$2:$F$2594,O1140)</f>
        <v>1</v>
      </c>
      <c r="M1140" s="4" t="n">
        <f aca="false">INDEX('Master List'!$G$2:$G$2594,O1140)</f>
        <v>0</v>
      </c>
      <c r="N1140" s="4" t="str">
        <f aca="false">IF(K1140="","",A1140)</f>
        <v/>
      </c>
      <c r="O1140" s="4" t="n">
        <v>621</v>
      </c>
      <c r="P1140" s="4" t="n">
        <f aca="false">IF(A1140=A1139,P1139+1-M1139,0)</f>
        <v>6</v>
      </c>
    </row>
    <row r="1141" customFormat="false" ht="15" hidden="false" customHeight="false" outlineLevel="0" collapsed="false">
      <c r="A1141" s="29" t="s">
        <v>4061</v>
      </c>
      <c r="B1141" s="29" t="s">
        <v>52</v>
      </c>
      <c r="C1141" s="29" t="s">
        <v>91</v>
      </c>
      <c r="D1141" s="29" t="s">
        <v>4062</v>
      </c>
      <c r="E1141" s="4" t="n">
        <v>8</v>
      </c>
      <c r="F1141" s="4" t="s">
        <v>213</v>
      </c>
      <c r="G1141" s="4" t="s">
        <v>886</v>
      </c>
      <c r="H1141" s="4" t="n">
        <v>1968</v>
      </c>
      <c r="I1141" s="4" t="s">
        <v>887</v>
      </c>
      <c r="J1141" s="25" t="str">
        <f aca="false">IF(M1141=1,"✓","")</f>
        <v/>
      </c>
      <c r="K1141" s="4" t="str">
        <f aca="false">IF(AND(M1141=0,P1141=0),"▶ NEXT","")</f>
        <v/>
      </c>
      <c r="L1141" s="4" t="n">
        <f aca="false">INDEX('Master List'!$F$2:$F$2594,O1141)</f>
        <v>2</v>
      </c>
      <c r="M1141" s="4" t="n">
        <f aca="false">INDEX('Master List'!$G$2:$G$2594,O1141)</f>
        <v>0</v>
      </c>
      <c r="N1141" s="4" t="str">
        <f aca="false">IF(K1141="","",A1141)</f>
        <v/>
      </c>
      <c r="O1141" s="4" t="n">
        <v>2534</v>
      </c>
      <c r="P1141" s="4" t="n">
        <f aca="false">IF(A1141=A1140,P1140+1-M1140,0)</f>
        <v>7</v>
      </c>
    </row>
    <row r="1142" customFormat="false" ht="15" hidden="false" customHeight="false" outlineLevel="0" collapsed="false">
      <c r="A1142" s="29" t="s">
        <v>4061</v>
      </c>
      <c r="B1142" s="29" t="s">
        <v>52</v>
      </c>
      <c r="C1142" s="29" t="s">
        <v>91</v>
      </c>
      <c r="D1142" s="29" t="s">
        <v>4062</v>
      </c>
      <c r="E1142" s="4" t="n">
        <v>9</v>
      </c>
      <c r="F1142" s="4" t="s">
        <v>1327</v>
      </c>
      <c r="G1142" s="4" t="s">
        <v>3438</v>
      </c>
      <c r="H1142" s="4" t="n">
        <v>1966</v>
      </c>
      <c r="I1142" s="4" t="s">
        <v>3439</v>
      </c>
      <c r="J1142" s="25" t="str">
        <f aca="false">IF(M1142=1,"✓","")</f>
        <v/>
      </c>
      <c r="K1142" s="4" t="str">
        <f aca="false">IF(AND(M1142=0,P1142=0),"▶ NEXT","")</f>
        <v/>
      </c>
      <c r="L1142" s="4" t="n">
        <f aca="false">INDEX('Master List'!$F$2:$F$2594,O1142)</f>
        <v>1</v>
      </c>
      <c r="M1142" s="4" t="n">
        <f aca="false">INDEX('Master List'!$G$2:$G$2594,O1142)</f>
        <v>0</v>
      </c>
      <c r="N1142" s="4" t="str">
        <f aca="false">IF(K1142="","",A1142)</f>
        <v/>
      </c>
      <c r="O1142" s="4" t="n">
        <v>1773</v>
      </c>
      <c r="P1142" s="4" t="n">
        <f aca="false">IF(A1142=A1141,P1141+1-M1141,0)</f>
        <v>8</v>
      </c>
    </row>
    <row r="1143" customFormat="false" ht="15" hidden="false" customHeight="false" outlineLevel="0" collapsed="false">
      <c r="A1143" s="29" t="s">
        <v>4061</v>
      </c>
      <c r="B1143" s="29" t="s">
        <v>52</v>
      </c>
      <c r="C1143" s="29" t="s">
        <v>91</v>
      </c>
      <c r="D1143" s="29" t="s">
        <v>4062</v>
      </c>
      <c r="E1143" s="4" t="n">
        <v>10</v>
      </c>
      <c r="F1143" s="4" t="s">
        <v>1327</v>
      </c>
      <c r="G1143" s="4" t="s">
        <v>3512</v>
      </c>
      <c r="H1143" s="4" t="n">
        <v>1973</v>
      </c>
      <c r="I1143" s="4" t="s">
        <v>3513</v>
      </c>
      <c r="J1143" s="25" t="str">
        <f aca="false">IF(M1143=1,"✓","")</f>
        <v/>
      </c>
      <c r="K1143" s="4" t="str">
        <f aca="false">IF(AND(M1143=0,P1143=0),"▶ NEXT","")</f>
        <v/>
      </c>
      <c r="L1143" s="4" t="n">
        <f aca="false">INDEX('Master List'!$F$2:$F$2594,O1143)</f>
        <v>1</v>
      </c>
      <c r="M1143" s="4" t="n">
        <f aca="false">INDEX('Master List'!$G$2:$G$2594,O1143)</f>
        <v>0</v>
      </c>
      <c r="N1143" s="4" t="str">
        <f aca="false">IF(K1143="","",A1143)</f>
        <v/>
      </c>
      <c r="O1143" s="4" t="n">
        <v>2263</v>
      </c>
      <c r="P1143" s="4" t="n">
        <f aca="false">IF(A1143=A1142,P1142+1-M1142,0)</f>
        <v>9</v>
      </c>
    </row>
    <row r="1144" customFormat="false" ht="15" hidden="false" customHeight="false" outlineLevel="0" collapsed="false">
      <c r="A1144" s="29" t="s">
        <v>4063</v>
      </c>
      <c r="B1144" s="29" t="s">
        <v>52</v>
      </c>
      <c r="C1144" s="29" t="s">
        <v>91</v>
      </c>
      <c r="D1144" s="29" t="s">
        <v>4064</v>
      </c>
      <c r="E1144" s="4" t="n">
        <v>1</v>
      </c>
      <c r="F1144" s="4" t="s">
        <v>144</v>
      </c>
      <c r="G1144" s="7" t="s">
        <v>1497</v>
      </c>
      <c r="H1144" s="4" t="n">
        <v>1973</v>
      </c>
      <c r="I1144" s="4" t="s">
        <v>1498</v>
      </c>
      <c r="J1144" s="25" t="str">
        <f aca="false">IF(M1144=1,"✓","")</f>
        <v/>
      </c>
      <c r="K1144" s="4" t="str">
        <f aca="false">IF(AND(M1144=0,P1144=0),"▶ NEXT","")</f>
        <v>▶ NEXT</v>
      </c>
      <c r="L1144" s="4" t="n">
        <f aca="false">INDEX('Master List'!$F$2:$F$2594,O1144)</f>
        <v>1</v>
      </c>
      <c r="M1144" s="4" t="n">
        <f aca="false">INDEX('Master List'!$G$2:$G$2594,O1144)</f>
        <v>0</v>
      </c>
      <c r="N1144" s="4" t="str">
        <f aca="false">IF(K1144="","",A1144)</f>
        <v>N095</v>
      </c>
      <c r="O1144" s="4" t="n">
        <v>2511</v>
      </c>
      <c r="P1144" s="4" t="n">
        <f aca="false">IF(A1144=A1143,P1143+1-M1143,0)</f>
        <v>0</v>
      </c>
    </row>
    <row r="1145" customFormat="false" ht="15" hidden="false" customHeight="false" outlineLevel="0" collapsed="false">
      <c r="A1145" s="29" t="s">
        <v>4063</v>
      </c>
      <c r="B1145" s="29" t="s">
        <v>52</v>
      </c>
      <c r="C1145" s="29" t="s">
        <v>91</v>
      </c>
      <c r="D1145" s="29" t="s">
        <v>4064</v>
      </c>
      <c r="E1145" s="4" t="n">
        <v>2</v>
      </c>
      <c r="F1145" s="4" t="s">
        <v>144</v>
      </c>
      <c r="G1145" s="7" t="s">
        <v>886</v>
      </c>
      <c r="H1145" s="4" t="n">
        <v>1968</v>
      </c>
      <c r="I1145" s="4" t="s">
        <v>887</v>
      </c>
      <c r="J1145" s="25" t="str">
        <f aca="false">IF(M1145=1,"✓","")</f>
        <v/>
      </c>
      <c r="K1145" s="4" t="str">
        <f aca="false">IF(AND(M1145=0,P1145=0),"▶ NEXT","")</f>
        <v/>
      </c>
      <c r="L1145" s="4" t="n">
        <f aca="false">INDEX('Master List'!$F$2:$F$2594,O1145)</f>
        <v>2</v>
      </c>
      <c r="M1145" s="4" t="n">
        <f aca="false">INDEX('Master List'!$G$2:$G$2594,O1145)</f>
        <v>0</v>
      </c>
      <c r="N1145" s="4" t="str">
        <f aca="false">IF(K1145="","",A1145)</f>
        <v/>
      </c>
      <c r="O1145" s="4" t="n">
        <v>2534</v>
      </c>
      <c r="P1145" s="4" t="n">
        <f aca="false">IF(A1145=A1144,P1144+1-M1144,0)</f>
        <v>1</v>
      </c>
    </row>
    <row r="1146" customFormat="false" ht="15" hidden="false" customHeight="false" outlineLevel="0" collapsed="false">
      <c r="A1146" s="29" t="s">
        <v>4063</v>
      </c>
      <c r="B1146" s="29" t="s">
        <v>52</v>
      </c>
      <c r="C1146" s="29" t="s">
        <v>91</v>
      </c>
      <c r="D1146" s="29" t="s">
        <v>4064</v>
      </c>
      <c r="E1146" s="4" t="n">
        <v>3</v>
      </c>
      <c r="F1146" s="4" t="s">
        <v>213</v>
      </c>
      <c r="G1146" s="4" t="s">
        <v>2175</v>
      </c>
      <c r="H1146" s="4" t="n">
        <v>1971</v>
      </c>
      <c r="I1146" s="4" t="s">
        <v>2176</v>
      </c>
      <c r="J1146" s="25" t="str">
        <f aca="false">IF(M1146=1,"✓","")</f>
        <v/>
      </c>
      <c r="K1146" s="4" t="str">
        <f aca="false">IF(AND(M1146=0,P1146=0),"▶ NEXT","")</f>
        <v/>
      </c>
      <c r="L1146" s="4" t="n">
        <f aca="false">INDEX('Master List'!$F$2:$F$2594,O1146)</f>
        <v>1</v>
      </c>
      <c r="M1146" s="4" t="n">
        <f aca="false">INDEX('Master List'!$G$2:$G$2594,O1146)</f>
        <v>0</v>
      </c>
      <c r="N1146" s="4" t="str">
        <f aca="false">IF(K1146="","",A1146)</f>
        <v/>
      </c>
      <c r="O1146" s="4" t="n">
        <v>293</v>
      </c>
      <c r="P1146" s="4" t="n">
        <f aca="false">IF(A1146=A1145,P1145+1-M1145,0)</f>
        <v>2</v>
      </c>
    </row>
    <row r="1147" customFormat="false" ht="15" hidden="false" customHeight="false" outlineLevel="0" collapsed="false">
      <c r="A1147" s="29" t="s">
        <v>4063</v>
      </c>
      <c r="B1147" s="29" t="s">
        <v>52</v>
      </c>
      <c r="C1147" s="29" t="s">
        <v>91</v>
      </c>
      <c r="D1147" s="29" t="s">
        <v>4064</v>
      </c>
      <c r="E1147" s="4" t="n">
        <v>4</v>
      </c>
      <c r="F1147" s="4" t="s">
        <v>213</v>
      </c>
      <c r="G1147" s="4" t="s">
        <v>376</v>
      </c>
      <c r="H1147" s="4" t="n">
        <v>1964</v>
      </c>
      <c r="I1147" s="4" t="s">
        <v>377</v>
      </c>
      <c r="J1147" s="25" t="str">
        <f aca="false">IF(M1147=1,"✓","")</f>
        <v/>
      </c>
      <c r="K1147" s="4" t="str">
        <f aca="false">IF(AND(M1147=0,P1147=0),"▶ NEXT","")</f>
        <v/>
      </c>
      <c r="L1147" s="4" t="n">
        <f aca="false">INDEX('Master List'!$F$2:$F$2594,O1147)</f>
        <v>4</v>
      </c>
      <c r="M1147" s="4" t="n">
        <f aca="false">INDEX('Master List'!$G$2:$G$2594,O1147)</f>
        <v>0</v>
      </c>
      <c r="N1147" s="4" t="str">
        <f aca="false">IF(K1147="","",A1147)</f>
        <v/>
      </c>
      <c r="O1147" s="4" t="n">
        <v>1683</v>
      </c>
      <c r="P1147" s="4" t="n">
        <f aca="false">IF(A1147=A1146,P1146+1-M1146,0)</f>
        <v>3</v>
      </c>
    </row>
    <row r="1148" customFormat="false" ht="15" hidden="false" customHeight="false" outlineLevel="0" collapsed="false">
      <c r="A1148" s="29" t="s">
        <v>4063</v>
      </c>
      <c r="B1148" s="29" t="s">
        <v>52</v>
      </c>
      <c r="C1148" s="29" t="s">
        <v>91</v>
      </c>
      <c r="D1148" s="29" t="s">
        <v>4064</v>
      </c>
      <c r="E1148" s="4" t="n">
        <v>5</v>
      </c>
      <c r="F1148" s="4" t="s">
        <v>213</v>
      </c>
      <c r="G1148" s="4" t="s">
        <v>1296</v>
      </c>
      <c r="H1148" s="4" t="n">
        <v>1922</v>
      </c>
      <c r="I1148" s="4" t="s">
        <v>1297</v>
      </c>
      <c r="J1148" s="25" t="str">
        <f aca="false">IF(M1148=1,"✓","")</f>
        <v/>
      </c>
      <c r="K1148" s="4" t="str">
        <f aca="false">IF(AND(M1148=0,P1148=0),"▶ NEXT","")</f>
        <v/>
      </c>
      <c r="L1148" s="4" t="n">
        <f aca="false">INDEX('Master List'!$F$2:$F$2594,O1148)</f>
        <v>2</v>
      </c>
      <c r="M1148" s="4" t="n">
        <f aca="false">INDEX('Master List'!$G$2:$G$2594,O1148)</f>
        <v>0</v>
      </c>
      <c r="N1148" s="4" t="str">
        <f aca="false">IF(K1148="","",A1148)</f>
        <v/>
      </c>
      <c r="O1148" s="4" t="n">
        <v>1004</v>
      </c>
      <c r="P1148" s="4" t="n">
        <f aca="false">IF(A1148=A1147,P1147+1-M1147,0)</f>
        <v>4</v>
      </c>
    </row>
    <row r="1149" customFormat="false" ht="15" hidden="false" customHeight="false" outlineLevel="0" collapsed="false">
      <c r="A1149" s="29" t="s">
        <v>4063</v>
      </c>
      <c r="B1149" s="29" t="s">
        <v>52</v>
      </c>
      <c r="C1149" s="29" t="s">
        <v>91</v>
      </c>
      <c r="D1149" s="29" t="s">
        <v>4064</v>
      </c>
      <c r="E1149" s="4" t="n">
        <v>6</v>
      </c>
      <c r="F1149" s="4" t="s">
        <v>213</v>
      </c>
      <c r="G1149" s="4" t="s">
        <v>2970</v>
      </c>
      <c r="H1149" s="4" t="n">
        <v>2011</v>
      </c>
      <c r="I1149" s="4" t="s">
        <v>2971</v>
      </c>
      <c r="J1149" s="25" t="str">
        <f aca="false">IF(M1149=1,"✓","")</f>
        <v/>
      </c>
      <c r="K1149" s="4" t="str">
        <f aca="false">IF(AND(M1149=0,P1149=0),"▶ NEXT","")</f>
        <v/>
      </c>
      <c r="L1149" s="4" t="n">
        <f aca="false">INDEX('Master List'!$F$2:$F$2594,O1149)</f>
        <v>1</v>
      </c>
      <c r="M1149" s="4" t="n">
        <f aca="false">INDEX('Master List'!$G$2:$G$2594,O1149)</f>
        <v>0</v>
      </c>
      <c r="N1149" s="4" t="str">
        <f aca="false">IF(K1149="","",A1149)</f>
        <v/>
      </c>
      <c r="O1149" s="4" t="n">
        <v>1244</v>
      </c>
      <c r="P1149" s="4" t="n">
        <f aca="false">IF(A1149=A1148,P1148+1-M1148,0)</f>
        <v>5</v>
      </c>
    </row>
    <row r="1150" customFormat="false" ht="15" hidden="false" customHeight="false" outlineLevel="0" collapsed="false">
      <c r="A1150" s="29" t="s">
        <v>4063</v>
      </c>
      <c r="B1150" s="29" t="s">
        <v>52</v>
      </c>
      <c r="C1150" s="29" t="s">
        <v>91</v>
      </c>
      <c r="D1150" s="29" t="s">
        <v>4064</v>
      </c>
      <c r="E1150" s="4" t="n">
        <v>7</v>
      </c>
      <c r="F1150" s="4" t="s">
        <v>213</v>
      </c>
      <c r="G1150" s="4" t="s">
        <v>3026</v>
      </c>
      <c r="H1150" s="4" t="n">
        <v>2013</v>
      </c>
      <c r="I1150" s="4" t="s">
        <v>2971</v>
      </c>
      <c r="J1150" s="25" t="str">
        <f aca="false">IF(M1150=1,"✓","")</f>
        <v/>
      </c>
      <c r="K1150" s="4" t="str">
        <f aca="false">IF(AND(M1150=0,P1150=0),"▶ NEXT","")</f>
        <v/>
      </c>
      <c r="L1150" s="4" t="n">
        <f aca="false">INDEX('Master List'!$F$2:$F$2594,O1150)</f>
        <v>1</v>
      </c>
      <c r="M1150" s="4" t="n">
        <f aca="false">INDEX('Master List'!$G$2:$G$2594,O1150)</f>
        <v>0</v>
      </c>
      <c r="N1150" s="4" t="str">
        <f aca="false">IF(K1150="","",A1150)</f>
        <v/>
      </c>
      <c r="O1150" s="4" t="n">
        <v>802</v>
      </c>
      <c r="P1150" s="4" t="n">
        <f aca="false">IF(A1150=A1149,P1149+1-M1149,0)</f>
        <v>6</v>
      </c>
    </row>
    <row r="1151" customFormat="false" ht="15" hidden="false" customHeight="false" outlineLevel="0" collapsed="false">
      <c r="A1151" s="29" t="s">
        <v>4063</v>
      </c>
      <c r="B1151" s="29" t="s">
        <v>52</v>
      </c>
      <c r="C1151" s="29" t="s">
        <v>91</v>
      </c>
      <c r="D1151" s="29" t="s">
        <v>4064</v>
      </c>
      <c r="E1151" s="4" t="n">
        <v>8</v>
      </c>
      <c r="F1151" s="4" t="s">
        <v>213</v>
      </c>
      <c r="G1151" s="4" t="s">
        <v>691</v>
      </c>
      <c r="H1151" s="4" t="n">
        <v>2015</v>
      </c>
      <c r="I1151" s="4" t="s">
        <v>692</v>
      </c>
      <c r="J1151" s="25" t="str">
        <f aca="false">IF(M1151=1,"✓","")</f>
        <v/>
      </c>
      <c r="K1151" s="4" t="str">
        <f aca="false">IF(AND(M1151=0,P1151=0),"▶ NEXT","")</f>
        <v/>
      </c>
      <c r="L1151" s="4" t="n">
        <f aca="false">INDEX('Master List'!$F$2:$F$2594,O1151)</f>
        <v>3</v>
      </c>
      <c r="M1151" s="4" t="n">
        <f aca="false">INDEX('Master List'!$G$2:$G$2594,O1151)</f>
        <v>0</v>
      </c>
      <c r="N1151" s="4" t="str">
        <f aca="false">IF(K1151="","",A1151)</f>
        <v/>
      </c>
      <c r="O1151" s="4" t="n">
        <v>2533</v>
      </c>
      <c r="P1151" s="4" t="n">
        <f aca="false">IF(A1151=A1150,P1150+1-M1150,0)</f>
        <v>7</v>
      </c>
    </row>
    <row r="1152" customFormat="false" ht="15" hidden="false" customHeight="false" outlineLevel="0" collapsed="false">
      <c r="A1152" s="29" t="s">
        <v>4063</v>
      </c>
      <c r="B1152" s="29" t="s">
        <v>52</v>
      </c>
      <c r="C1152" s="29" t="s">
        <v>91</v>
      </c>
      <c r="D1152" s="29" t="s">
        <v>4064</v>
      </c>
      <c r="E1152" s="4" t="n">
        <v>9</v>
      </c>
      <c r="F1152" s="4" t="s">
        <v>213</v>
      </c>
      <c r="G1152" s="4" t="s">
        <v>3140</v>
      </c>
      <c r="H1152" s="4" t="n">
        <v>2018</v>
      </c>
      <c r="I1152" s="4" t="s">
        <v>1613</v>
      </c>
      <c r="J1152" s="25" t="str">
        <f aca="false">IF(M1152=1,"✓","")</f>
        <v/>
      </c>
      <c r="K1152" s="4" t="str">
        <f aca="false">IF(AND(M1152=0,P1152=0),"▶ NEXT","")</f>
        <v/>
      </c>
      <c r="L1152" s="4" t="n">
        <f aca="false">INDEX('Master List'!$F$2:$F$2594,O1152)</f>
        <v>1</v>
      </c>
      <c r="M1152" s="4" t="n">
        <f aca="false">INDEX('Master List'!$G$2:$G$2594,O1152)</f>
        <v>0</v>
      </c>
      <c r="N1152" s="4" t="str">
        <f aca="false">IF(K1152="","",A1152)</f>
        <v/>
      </c>
      <c r="O1152" s="4" t="n">
        <v>124</v>
      </c>
      <c r="P1152" s="4" t="n">
        <f aca="false">IF(A1152=A1151,P1151+1-M1151,0)</f>
        <v>8</v>
      </c>
    </row>
    <row r="1153" customFormat="false" ht="15" hidden="false" customHeight="false" outlineLevel="0" collapsed="false">
      <c r="A1153" s="29" t="s">
        <v>4063</v>
      </c>
      <c r="B1153" s="29" t="s">
        <v>52</v>
      </c>
      <c r="C1153" s="29" t="s">
        <v>91</v>
      </c>
      <c r="D1153" s="29" t="s">
        <v>4064</v>
      </c>
      <c r="E1153" s="4" t="n">
        <v>10</v>
      </c>
      <c r="F1153" s="4" t="s">
        <v>213</v>
      </c>
      <c r="G1153" s="4" t="s">
        <v>3171</v>
      </c>
      <c r="H1153" s="4" t="n">
        <v>2019</v>
      </c>
      <c r="I1153" s="4" t="s">
        <v>696</v>
      </c>
      <c r="J1153" s="25" t="str">
        <f aca="false">IF(M1153=1,"✓","")</f>
        <v>✓</v>
      </c>
      <c r="K1153" s="4" t="str">
        <f aca="false">IF(AND(M1153=0,P1153=0),"▶ NEXT","")</f>
        <v/>
      </c>
      <c r="L1153" s="4" t="n">
        <f aca="false">INDEX('Master List'!$F$2:$F$2594,O1153)</f>
        <v>1</v>
      </c>
      <c r="M1153" s="4" t="n">
        <f aca="false">INDEX('Master List'!$G$2:$G$2594,O1153)</f>
        <v>1</v>
      </c>
      <c r="N1153" s="4" t="str">
        <f aca="false">IF(K1153="","",A1153)</f>
        <v/>
      </c>
      <c r="O1153" s="4" t="n">
        <v>1495</v>
      </c>
      <c r="P1153" s="4" t="n">
        <f aca="false">IF(A1153=A1152,P1152+1-M1152,0)</f>
        <v>9</v>
      </c>
    </row>
    <row r="1154" customFormat="false" ht="15" hidden="false" customHeight="false" outlineLevel="0" collapsed="false">
      <c r="A1154" s="29" t="s">
        <v>4063</v>
      </c>
      <c r="B1154" s="29" t="s">
        <v>52</v>
      </c>
      <c r="C1154" s="29" t="s">
        <v>91</v>
      </c>
      <c r="D1154" s="29" t="s">
        <v>4064</v>
      </c>
      <c r="E1154" s="4" t="n">
        <v>11</v>
      </c>
      <c r="F1154" s="4" t="s">
        <v>213</v>
      </c>
      <c r="G1154" s="4" t="s">
        <v>3219</v>
      </c>
      <c r="H1154" s="4" t="n">
        <v>2022</v>
      </c>
      <c r="I1154" s="4" t="s">
        <v>3220</v>
      </c>
      <c r="J1154" s="25" t="str">
        <f aca="false">IF(M1154=1,"✓","")</f>
        <v/>
      </c>
      <c r="K1154" s="4" t="str">
        <f aca="false">IF(AND(M1154=0,P1154=0),"▶ NEXT","")</f>
        <v/>
      </c>
      <c r="L1154" s="4" t="n">
        <f aca="false">INDEX('Master List'!$F$2:$F$2594,O1154)</f>
        <v>1</v>
      </c>
      <c r="M1154" s="4" t="n">
        <f aca="false">INDEX('Master List'!$G$2:$G$2594,O1154)</f>
        <v>0</v>
      </c>
      <c r="N1154" s="4" t="str">
        <f aca="false">IF(K1154="","",A1154)</f>
        <v/>
      </c>
      <c r="O1154" s="4" t="n">
        <v>739</v>
      </c>
      <c r="P1154" s="4" t="n">
        <f aca="false">IF(A1154=A1153,P1153+1-M1153,0)</f>
        <v>9</v>
      </c>
    </row>
    <row r="1155" customFormat="false" ht="15" hidden="false" customHeight="false" outlineLevel="0" collapsed="false">
      <c r="A1155" s="29" t="s">
        <v>4063</v>
      </c>
      <c r="B1155" s="29" t="s">
        <v>52</v>
      </c>
      <c r="C1155" s="29" t="s">
        <v>91</v>
      </c>
      <c r="D1155" s="29" t="s">
        <v>4064</v>
      </c>
      <c r="E1155" s="4" t="n">
        <v>12</v>
      </c>
      <c r="F1155" s="4" t="s">
        <v>1327</v>
      </c>
      <c r="G1155" s="4" t="s">
        <v>3449</v>
      </c>
      <c r="H1155" s="4" t="n">
        <v>1967</v>
      </c>
      <c r="I1155" s="4" t="s">
        <v>3450</v>
      </c>
      <c r="J1155" s="25" t="str">
        <f aca="false">IF(M1155=1,"✓","")</f>
        <v/>
      </c>
      <c r="K1155" s="4" t="str">
        <f aca="false">IF(AND(M1155=0,P1155=0),"▶ NEXT","")</f>
        <v/>
      </c>
      <c r="L1155" s="4" t="n">
        <f aca="false">INDEX('Master List'!$F$2:$F$2594,O1155)</f>
        <v>1</v>
      </c>
      <c r="M1155" s="4" t="n">
        <f aca="false">INDEX('Master List'!$G$2:$G$2594,O1155)</f>
        <v>0</v>
      </c>
      <c r="N1155" s="4" t="str">
        <f aca="false">IF(K1155="","",A1155)</f>
        <v/>
      </c>
      <c r="O1155" s="4" t="n">
        <v>2441</v>
      </c>
      <c r="P1155" s="4" t="n">
        <f aca="false">IF(A1155=A1154,P1154+1-M1154,0)</f>
        <v>10</v>
      </c>
    </row>
    <row r="1156" customFormat="false" ht="15" hidden="false" customHeight="false" outlineLevel="0" collapsed="false">
      <c r="A1156" s="29" t="s">
        <v>4063</v>
      </c>
      <c r="B1156" s="29" t="s">
        <v>52</v>
      </c>
      <c r="C1156" s="29" t="s">
        <v>91</v>
      </c>
      <c r="D1156" s="29" t="s">
        <v>4064</v>
      </c>
      <c r="E1156" s="4" t="n">
        <v>13</v>
      </c>
      <c r="F1156" s="4" t="s">
        <v>1327</v>
      </c>
      <c r="G1156" s="4" t="s">
        <v>3471</v>
      </c>
      <c r="H1156" s="4" t="n">
        <v>1970</v>
      </c>
      <c r="I1156" s="4" t="s">
        <v>3472</v>
      </c>
      <c r="J1156" s="25" t="str">
        <f aca="false">IF(M1156=1,"✓","")</f>
        <v/>
      </c>
      <c r="K1156" s="4" t="str">
        <f aca="false">IF(AND(M1156=0,P1156=0),"▶ NEXT","")</f>
        <v/>
      </c>
      <c r="L1156" s="4" t="n">
        <f aca="false">INDEX('Master List'!$F$2:$F$2594,O1156)</f>
        <v>1</v>
      </c>
      <c r="M1156" s="4" t="n">
        <f aca="false">INDEX('Master List'!$G$2:$G$2594,O1156)</f>
        <v>0</v>
      </c>
      <c r="N1156" s="4" t="str">
        <f aca="false">IF(K1156="","",A1156)</f>
        <v/>
      </c>
      <c r="O1156" s="4" t="n">
        <v>1916</v>
      </c>
      <c r="P1156" s="4" t="n">
        <f aca="false">IF(A1156=A1155,P1155+1-M1155,0)</f>
        <v>11</v>
      </c>
    </row>
    <row r="1157" customFormat="false" ht="15" hidden="false" customHeight="false" outlineLevel="0" collapsed="false">
      <c r="A1157" s="29" t="s">
        <v>4065</v>
      </c>
      <c r="B1157" s="29" t="s">
        <v>52</v>
      </c>
      <c r="C1157" s="29" t="s">
        <v>91</v>
      </c>
      <c r="D1157" s="29" t="s">
        <v>4066</v>
      </c>
      <c r="E1157" s="4" t="n">
        <v>1</v>
      </c>
      <c r="F1157" s="4" t="s">
        <v>144</v>
      </c>
      <c r="G1157" s="7" t="s">
        <v>1475</v>
      </c>
      <c r="H1157" s="4" t="n">
        <v>1968</v>
      </c>
      <c r="I1157" s="4" t="s">
        <v>195</v>
      </c>
      <c r="J1157" s="25" t="str">
        <f aca="false">IF(M1157=1,"✓","")</f>
        <v/>
      </c>
      <c r="K1157" s="4" t="str">
        <f aca="false">IF(AND(M1157=0,P1157=0),"▶ NEXT","")</f>
        <v>▶ NEXT</v>
      </c>
      <c r="L1157" s="4" t="n">
        <f aca="false">INDEX('Master List'!$F$2:$F$2594,O1157)</f>
        <v>1</v>
      </c>
      <c r="M1157" s="4" t="n">
        <f aca="false">INDEX('Master List'!$G$2:$G$2594,O1157)</f>
        <v>0</v>
      </c>
      <c r="N1157" s="4" t="str">
        <f aca="false">IF(K1157="","",A1157)</f>
        <v>N096</v>
      </c>
      <c r="O1157" s="4" t="n">
        <v>1934</v>
      </c>
      <c r="P1157" s="4" t="n">
        <f aca="false">IF(A1157=A1156,P1156+1-M1156,0)</f>
        <v>0</v>
      </c>
    </row>
    <row r="1158" customFormat="false" ht="15" hidden="false" customHeight="false" outlineLevel="0" collapsed="false">
      <c r="A1158" s="29" t="s">
        <v>4065</v>
      </c>
      <c r="B1158" s="29" t="s">
        <v>52</v>
      </c>
      <c r="C1158" s="29" t="s">
        <v>91</v>
      </c>
      <c r="D1158" s="29" t="s">
        <v>4066</v>
      </c>
      <c r="E1158" s="4" t="n">
        <v>2</v>
      </c>
      <c r="F1158" s="4" t="s">
        <v>144</v>
      </c>
      <c r="G1158" s="7" t="s">
        <v>794</v>
      </c>
      <c r="H1158" s="4" t="n">
        <v>1973</v>
      </c>
      <c r="I1158" s="4" t="s">
        <v>479</v>
      </c>
      <c r="J1158" s="25" t="str">
        <f aca="false">IF(M1158=1,"✓","")</f>
        <v>✓</v>
      </c>
      <c r="K1158" s="4" t="str">
        <f aca="false">IF(AND(M1158=0,P1158=0),"▶ NEXT","")</f>
        <v/>
      </c>
      <c r="L1158" s="4" t="n">
        <f aca="false">INDEX('Master List'!$F$2:$F$2594,O1158)</f>
        <v>2</v>
      </c>
      <c r="M1158" s="4" t="n">
        <f aca="false">INDEX('Master List'!$G$2:$G$2594,O1158)</f>
        <v>1</v>
      </c>
      <c r="N1158" s="4" t="str">
        <f aca="false">IF(K1158="","",A1158)</f>
        <v/>
      </c>
      <c r="O1158" s="4" t="n">
        <v>763</v>
      </c>
      <c r="P1158" s="4" t="n">
        <f aca="false">IF(A1158=A1157,P1157+1-M1157,0)</f>
        <v>1</v>
      </c>
    </row>
    <row r="1159" customFormat="false" ht="15" hidden="false" customHeight="false" outlineLevel="0" collapsed="false">
      <c r="A1159" s="29" t="s">
        <v>4065</v>
      </c>
      <c r="B1159" s="29" t="s">
        <v>52</v>
      </c>
      <c r="C1159" s="29" t="s">
        <v>91</v>
      </c>
      <c r="D1159" s="29" t="s">
        <v>4066</v>
      </c>
      <c r="E1159" s="4" t="n">
        <v>3</v>
      </c>
      <c r="F1159" s="4" t="s">
        <v>213</v>
      </c>
      <c r="G1159" s="4" t="s">
        <v>2285</v>
      </c>
      <c r="H1159" s="4" t="n">
        <v>1976</v>
      </c>
      <c r="I1159" s="4" t="s">
        <v>2286</v>
      </c>
      <c r="J1159" s="25" t="str">
        <f aca="false">IF(M1159=1,"✓","")</f>
        <v/>
      </c>
      <c r="K1159" s="4" t="str">
        <f aca="false">IF(AND(M1159=0,P1159=0),"▶ NEXT","")</f>
        <v/>
      </c>
      <c r="L1159" s="4" t="n">
        <f aca="false">INDEX('Master List'!$F$2:$F$2594,O1159)</f>
        <v>1</v>
      </c>
      <c r="M1159" s="4" t="n">
        <f aca="false">INDEX('Master List'!$G$2:$G$2594,O1159)</f>
        <v>0</v>
      </c>
      <c r="N1159" s="4" t="str">
        <f aca="false">IF(K1159="","",A1159)</f>
        <v/>
      </c>
      <c r="O1159" s="4" t="n">
        <v>1661</v>
      </c>
      <c r="P1159" s="4" t="n">
        <f aca="false">IF(A1159=A1158,P1158+1-M1158,0)</f>
        <v>1</v>
      </c>
    </row>
    <row r="1160" customFormat="false" ht="15" hidden="false" customHeight="false" outlineLevel="0" collapsed="false">
      <c r="A1160" s="29" t="s">
        <v>4065</v>
      </c>
      <c r="B1160" s="29" t="s">
        <v>52</v>
      </c>
      <c r="C1160" s="29" t="s">
        <v>91</v>
      </c>
      <c r="D1160" s="29" t="s">
        <v>4066</v>
      </c>
      <c r="E1160" s="4" t="n">
        <v>4</v>
      </c>
      <c r="F1160" s="4" t="s">
        <v>213</v>
      </c>
      <c r="G1160" s="4" t="s">
        <v>2177</v>
      </c>
      <c r="H1160" s="4" t="n">
        <v>1971</v>
      </c>
      <c r="I1160" s="4" t="s">
        <v>2178</v>
      </c>
      <c r="J1160" s="25" t="str">
        <f aca="false">IF(M1160=1,"✓","")</f>
        <v/>
      </c>
      <c r="K1160" s="4" t="str">
        <f aca="false">IF(AND(M1160=0,P1160=0),"▶ NEXT","")</f>
        <v/>
      </c>
      <c r="L1160" s="4" t="n">
        <f aca="false">INDEX('Master List'!$F$2:$F$2594,O1160)</f>
        <v>1</v>
      </c>
      <c r="M1160" s="4" t="n">
        <f aca="false">INDEX('Master List'!$G$2:$G$2594,O1160)</f>
        <v>0</v>
      </c>
      <c r="N1160" s="4" t="str">
        <f aca="false">IF(K1160="","",A1160)</f>
        <v/>
      </c>
      <c r="O1160" s="4" t="n">
        <v>623</v>
      </c>
      <c r="P1160" s="4" t="n">
        <f aca="false">IF(A1160=A1159,P1159+1-M1159,0)</f>
        <v>2</v>
      </c>
    </row>
    <row r="1161" customFormat="false" ht="15" hidden="false" customHeight="false" outlineLevel="0" collapsed="false">
      <c r="A1161" s="29" t="s">
        <v>4065</v>
      </c>
      <c r="B1161" s="29" t="s">
        <v>52</v>
      </c>
      <c r="C1161" s="29" t="s">
        <v>91</v>
      </c>
      <c r="D1161" s="29" t="s">
        <v>4066</v>
      </c>
      <c r="E1161" s="4" t="n">
        <v>5</v>
      </c>
      <c r="F1161" s="4" t="s">
        <v>213</v>
      </c>
      <c r="G1161" s="4" t="s">
        <v>1083</v>
      </c>
      <c r="H1161" s="4" t="n">
        <v>1987</v>
      </c>
      <c r="I1161" s="4" t="s">
        <v>266</v>
      </c>
      <c r="J1161" s="25" t="str">
        <f aca="false">IF(M1161=1,"✓","")</f>
        <v>✓</v>
      </c>
      <c r="K1161" s="4" t="str">
        <f aca="false">IF(AND(M1161=0,P1161=0),"▶ NEXT","")</f>
        <v/>
      </c>
      <c r="L1161" s="4" t="n">
        <f aca="false">INDEX('Master List'!$F$2:$F$2594,O1161)</f>
        <v>2</v>
      </c>
      <c r="M1161" s="4" t="n">
        <f aca="false">INDEX('Master List'!$G$2:$G$2594,O1161)</f>
        <v>1</v>
      </c>
      <c r="N1161" s="4" t="str">
        <f aca="false">IF(K1161="","",A1161)</f>
        <v/>
      </c>
      <c r="O1161" s="4" t="n">
        <v>1815</v>
      </c>
      <c r="P1161" s="4" t="n">
        <f aca="false">IF(A1161=A1160,P1160+1-M1160,0)</f>
        <v>3</v>
      </c>
    </row>
    <row r="1162" customFormat="false" ht="15" hidden="false" customHeight="false" outlineLevel="0" collapsed="false">
      <c r="A1162" s="29" t="s">
        <v>4065</v>
      </c>
      <c r="B1162" s="29" t="s">
        <v>52</v>
      </c>
      <c r="C1162" s="29" t="s">
        <v>91</v>
      </c>
      <c r="D1162" s="29" t="s">
        <v>4066</v>
      </c>
      <c r="E1162" s="4" t="n">
        <v>6</v>
      </c>
      <c r="F1162" s="4" t="s">
        <v>213</v>
      </c>
      <c r="G1162" s="4" t="s">
        <v>2334</v>
      </c>
      <c r="H1162" s="4" t="n">
        <v>1980</v>
      </c>
      <c r="I1162" s="4" t="s">
        <v>2335</v>
      </c>
      <c r="J1162" s="25" t="str">
        <f aca="false">IF(M1162=1,"✓","")</f>
        <v/>
      </c>
      <c r="K1162" s="4" t="str">
        <f aca="false">IF(AND(M1162=0,P1162=0),"▶ NEXT","")</f>
        <v/>
      </c>
      <c r="L1162" s="4" t="n">
        <f aca="false">INDEX('Master List'!$F$2:$F$2594,O1162)</f>
        <v>1</v>
      </c>
      <c r="M1162" s="4" t="n">
        <f aca="false">INDEX('Master List'!$G$2:$G$2594,O1162)</f>
        <v>0</v>
      </c>
      <c r="N1162" s="4" t="str">
        <f aca="false">IF(K1162="","",A1162)</f>
        <v/>
      </c>
      <c r="O1162" s="4" t="n">
        <v>1619</v>
      </c>
      <c r="P1162" s="4" t="n">
        <f aca="false">IF(A1162=A1161,P1161+1-M1161,0)</f>
        <v>3</v>
      </c>
    </row>
    <row r="1163" customFormat="false" ht="15" hidden="false" customHeight="false" outlineLevel="0" collapsed="false">
      <c r="A1163" s="29" t="s">
        <v>4065</v>
      </c>
      <c r="B1163" s="29" t="s">
        <v>52</v>
      </c>
      <c r="C1163" s="29" t="s">
        <v>91</v>
      </c>
      <c r="D1163" s="29" t="s">
        <v>4066</v>
      </c>
      <c r="E1163" s="4" t="n">
        <v>7</v>
      </c>
      <c r="F1163" s="4" t="s">
        <v>213</v>
      </c>
      <c r="G1163" s="4" t="s">
        <v>695</v>
      </c>
      <c r="H1163" s="4" t="n">
        <v>2018</v>
      </c>
      <c r="I1163" s="4" t="s">
        <v>696</v>
      </c>
      <c r="J1163" s="25" t="str">
        <f aca="false">IF(M1163=1,"✓","")</f>
        <v>✓</v>
      </c>
      <c r="K1163" s="4" t="str">
        <f aca="false">IF(AND(M1163=0,P1163=0),"▶ NEXT","")</f>
        <v/>
      </c>
      <c r="L1163" s="4" t="n">
        <f aca="false">INDEX('Master List'!$F$2:$F$2594,O1163)</f>
        <v>3</v>
      </c>
      <c r="M1163" s="4" t="n">
        <f aca="false">INDEX('Master List'!$G$2:$G$2594,O1163)</f>
        <v>1</v>
      </c>
      <c r="N1163" s="4" t="str">
        <f aca="false">IF(K1163="","",A1163)</f>
        <v/>
      </c>
      <c r="O1163" s="4" t="n">
        <v>1025</v>
      </c>
      <c r="P1163" s="4" t="n">
        <f aca="false">IF(A1163=A1162,P1162+1-M1162,0)</f>
        <v>4</v>
      </c>
    </row>
    <row r="1164" customFormat="false" ht="15" hidden="false" customHeight="false" outlineLevel="0" collapsed="false">
      <c r="A1164" s="29" t="s">
        <v>4065</v>
      </c>
      <c r="B1164" s="29" t="s">
        <v>52</v>
      </c>
      <c r="C1164" s="29" t="s">
        <v>91</v>
      </c>
      <c r="D1164" s="29" t="s">
        <v>4066</v>
      </c>
      <c r="E1164" s="4" t="n">
        <v>8</v>
      </c>
      <c r="F1164" s="4" t="s">
        <v>213</v>
      </c>
      <c r="G1164" s="4" t="s">
        <v>3172</v>
      </c>
      <c r="H1164" s="4" t="n">
        <v>2019</v>
      </c>
      <c r="I1164" s="4" t="s">
        <v>3173</v>
      </c>
      <c r="J1164" s="25" t="str">
        <f aca="false">IF(M1164=1,"✓","")</f>
        <v/>
      </c>
      <c r="K1164" s="4" t="str">
        <f aca="false">IF(AND(M1164=0,P1164=0),"▶ NEXT","")</f>
        <v/>
      </c>
      <c r="L1164" s="4" t="n">
        <f aca="false">INDEX('Master List'!$F$2:$F$2594,O1164)</f>
        <v>1</v>
      </c>
      <c r="M1164" s="4" t="n">
        <f aca="false">INDEX('Master List'!$G$2:$G$2594,O1164)</f>
        <v>0</v>
      </c>
      <c r="N1164" s="4" t="str">
        <f aca="false">IF(K1164="","",A1164)</f>
        <v/>
      </c>
      <c r="O1164" s="4" t="n">
        <v>1957</v>
      </c>
      <c r="P1164" s="4" t="n">
        <f aca="false">IF(A1164=A1163,P1163+1-M1163,0)</f>
        <v>4</v>
      </c>
    </row>
    <row r="1165" customFormat="false" ht="15" hidden="false" customHeight="false" outlineLevel="0" collapsed="false">
      <c r="A1165" s="29" t="s">
        <v>4065</v>
      </c>
      <c r="B1165" s="29" t="s">
        <v>52</v>
      </c>
      <c r="C1165" s="29" t="s">
        <v>91</v>
      </c>
      <c r="D1165" s="29" t="s">
        <v>4066</v>
      </c>
      <c r="E1165" s="4" t="n">
        <v>9</v>
      </c>
      <c r="F1165" s="4" t="s">
        <v>213</v>
      </c>
      <c r="G1165" s="4" t="s">
        <v>3254</v>
      </c>
      <c r="H1165" s="4" t="n">
        <v>2024</v>
      </c>
      <c r="I1165" s="4" t="s">
        <v>3255</v>
      </c>
      <c r="J1165" s="25" t="str">
        <f aca="false">IF(M1165=1,"✓","")</f>
        <v/>
      </c>
      <c r="K1165" s="4" t="str">
        <f aca="false">IF(AND(M1165=0,P1165=0),"▶ NEXT","")</f>
        <v/>
      </c>
      <c r="L1165" s="4" t="n">
        <f aca="false">INDEX('Master List'!$F$2:$F$2594,O1165)</f>
        <v>1</v>
      </c>
      <c r="M1165" s="4" t="n">
        <f aca="false">INDEX('Master List'!$G$2:$G$2594,O1165)</f>
        <v>0</v>
      </c>
      <c r="N1165" s="4" t="str">
        <f aca="false">IF(K1165="","",A1165)</f>
        <v/>
      </c>
      <c r="O1165" s="4" t="n">
        <v>1379</v>
      </c>
      <c r="P1165" s="4" t="n">
        <f aca="false">IF(A1165=A1164,P1164+1-M1164,0)</f>
        <v>5</v>
      </c>
    </row>
    <row r="1166" customFormat="false" ht="15" hidden="false" customHeight="false" outlineLevel="0" collapsed="false">
      <c r="A1166" s="29" t="s">
        <v>4065</v>
      </c>
      <c r="B1166" s="29" t="s">
        <v>52</v>
      </c>
      <c r="C1166" s="29" t="s">
        <v>91</v>
      </c>
      <c r="D1166" s="29" t="s">
        <v>4066</v>
      </c>
      <c r="E1166" s="4" t="n">
        <v>10</v>
      </c>
      <c r="F1166" s="4" t="s">
        <v>1327</v>
      </c>
      <c r="G1166" s="4" t="s">
        <v>3562</v>
      </c>
      <c r="H1166" s="4" t="n">
        <v>1977</v>
      </c>
      <c r="I1166" s="4" t="s">
        <v>3563</v>
      </c>
      <c r="J1166" s="25" t="str">
        <f aca="false">IF(M1166=1,"✓","")</f>
        <v/>
      </c>
      <c r="K1166" s="4" t="str">
        <f aca="false">IF(AND(M1166=0,P1166=0),"▶ NEXT","")</f>
        <v/>
      </c>
      <c r="L1166" s="4" t="n">
        <f aca="false">INDEX('Master List'!$F$2:$F$2594,O1166)</f>
        <v>1</v>
      </c>
      <c r="M1166" s="4" t="n">
        <f aca="false">INDEX('Master List'!$G$2:$G$2594,O1166)</f>
        <v>0</v>
      </c>
      <c r="N1166" s="4" t="str">
        <f aca="false">IF(K1166="","",A1166)</f>
        <v/>
      </c>
      <c r="O1166" s="4" t="n">
        <v>2010</v>
      </c>
      <c r="P1166" s="4" t="n">
        <f aca="false">IF(A1166=A1165,P1165+1-M1165,0)</f>
        <v>6</v>
      </c>
    </row>
    <row r="1167" customFormat="false" ht="15" hidden="false" customHeight="false" outlineLevel="0" collapsed="false">
      <c r="A1167" s="29" t="s">
        <v>4065</v>
      </c>
      <c r="B1167" s="29" t="s">
        <v>52</v>
      </c>
      <c r="C1167" s="29" t="s">
        <v>91</v>
      </c>
      <c r="D1167" s="29" t="s">
        <v>4066</v>
      </c>
      <c r="E1167" s="4" t="n">
        <v>11</v>
      </c>
      <c r="F1167" s="4" t="s">
        <v>1327</v>
      </c>
      <c r="G1167" s="4" t="s">
        <v>3660</v>
      </c>
      <c r="H1167" s="4" t="n">
        <v>1990</v>
      </c>
      <c r="I1167" s="4" t="s">
        <v>2335</v>
      </c>
      <c r="J1167" s="25" t="str">
        <f aca="false">IF(M1167=1,"✓","")</f>
        <v/>
      </c>
      <c r="K1167" s="4" t="str">
        <f aca="false">IF(AND(M1167=0,P1167=0),"▶ NEXT","")</f>
        <v/>
      </c>
      <c r="L1167" s="4" t="n">
        <f aca="false">INDEX('Master List'!$F$2:$F$2594,O1167)</f>
        <v>1</v>
      </c>
      <c r="M1167" s="4" t="n">
        <f aca="false">INDEX('Master List'!$G$2:$G$2594,O1167)</f>
        <v>0</v>
      </c>
      <c r="N1167" s="4" t="str">
        <f aca="false">IF(K1167="","",A1167)</f>
        <v/>
      </c>
      <c r="O1167" s="4" t="n">
        <v>764</v>
      </c>
      <c r="P1167" s="4" t="n">
        <f aca="false">IF(A1167=A1166,P1166+1-M1166,0)</f>
        <v>7</v>
      </c>
    </row>
    <row r="1168" customFormat="false" ht="15" hidden="false" customHeight="false" outlineLevel="0" collapsed="false">
      <c r="A1168" s="29" t="s">
        <v>4067</v>
      </c>
      <c r="B1168" s="29" t="s">
        <v>52</v>
      </c>
      <c r="C1168" s="29" t="s">
        <v>91</v>
      </c>
      <c r="D1168" s="29" t="s">
        <v>4068</v>
      </c>
      <c r="E1168" s="4" t="n">
        <v>1</v>
      </c>
      <c r="F1168" s="4" t="s">
        <v>144</v>
      </c>
      <c r="G1168" s="7" t="s">
        <v>474</v>
      </c>
      <c r="H1168" s="4" t="n">
        <v>1968</v>
      </c>
      <c r="I1168" s="4" t="s">
        <v>475</v>
      </c>
      <c r="J1168" s="25" t="str">
        <f aca="false">IF(M1168=1,"✓","")</f>
        <v/>
      </c>
      <c r="K1168" s="4" t="str">
        <f aca="false">IF(AND(M1168=0,P1168=0),"▶ NEXT","")</f>
        <v>▶ NEXT</v>
      </c>
      <c r="L1168" s="4" t="n">
        <f aca="false">INDEX('Master List'!$F$2:$F$2594,O1168)</f>
        <v>3</v>
      </c>
      <c r="M1168" s="4" t="n">
        <f aca="false">INDEX('Master List'!$G$2:$G$2594,O1168)</f>
        <v>0</v>
      </c>
      <c r="N1168" s="4" t="str">
        <f aca="false">IF(K1168="","",A1168)</f>
        <v>N097</v>
      </c>
      <c r="O1168" s="4" t="n">
        <v>1607</v>
      </c>
      <c r="P1168" s="4" t="n">
        <f aca="false">IF(A1168=A1167,P1167+1-M1167,0)</f>
        <v>0</v>
      </c>
    </row>
    <row r="1169" customFormat="false" ht="15" hidden="false" customHeight="false" outlineLevel="0" collapsed="false">
      <c r="A1169" s="29" t="s">
        <v>4067</v>
      </c>
      <c r="B1169" s="29" t="s">
        <v>52</v>
      </c>
      <c r="C1169" s="29" t="s">
        <v>91</v>
      </c>
      <c r="D1169" s="29" t="s">
        <v>4068</v>
      </c>
      <c r="E1169" s="4" t="n">
        <v>2</v>
      </c>
      <c r="F1169" s="4" t="s">
        <v>144</v>
      </c>
      <c r="G1169" s="7" t="s">
        <v>1510</v>
      </c>
      <c r="H1169" s="4" t="n">
        <v>1978</v>
      </c>
      <c r="I1169" s="4" t="s">
        <v>475</v>
      </c>
      <c r="J1169" s="25" t="str">
        <f aca="false">IF(M1169=1,"✓","")</f>
        <v/>
      </c>
      <c r="K1169" s="4" t="str">
        <f aca="false">IF(AND(M1169=0,P1169=0),"▶ NEXT","")</f>
        <v/>
      </c>
      <c r="L1169" s="4" t="n">
        <f aca="false">INDEX('Master List'!$F$2:$F$2594,O1169)</f>
        <v>1</v>
      </c>
      <c r="M1169" s="4" t="n">
        <f aca="false">INDEX('Master List'!$G$2:$G$2594,O1169)</f>
        <v>0</v>
      </c>
      <c r="N1169" s="4" t="str">
        <f aca="false">IF(K1169="","",A1169)</f>
        <v/>
      </c>
      <c r="O1169" s="4" t="n">
        <v>569</v>
      </c>
      <c r="P1169" s="4" t="n">
        <f aca="false">IF(A1169=A1168,P1168+1-M1168,0)</f>
        <v>1</v>
      </c>
    </row>
    <row r="1170" customFormat="false" ht="15" hidden="false" customHeight="false" outlineLevel="0" collapsed="false">
      <c r="A1170" s="29" t="s">
        <v>4067</v>
      </c>
      <c r="B1170" s="29" t="s">
        <v>52</v>
      </c>
      <c r="C1170" s="29" t="s">
        <v>91</v>
      </c>
      <c r="D1170" s="29" t="s">
        <v>4068</v>
      </c>
      <c r="E1170" s="4" t="n">
        <v>3</v>
      </c>
      <c r="F1170" s="4" t="s">
        <v>213</v>
      </c>
      <c r="G1170" s="4" t="s">
        <v>1732</v>
      </c>
      <c r="H1170" s="4" t="n">
        <v>1932</v>
      </c>
      <c r="I1170" s="4" t="s">
        <v>1733</v>
      </c>
      <c r="J1170" s="25" t="str">
        <f aca="false">IF(M1170=1,"✓","")</f>
        <v/>
      </c>
      <c r="K1170" s="4" t="str">
        <f aca="false">IF(AND(M1170=0,P1170=0),"▶ NEXT","")</f>
        <v/>
      </c>
      <c r="L1170" s="4" t="n">
        <f aca="false">INDEX('Master List'!$F$2:$F$2594,O1170)</f>
        <v>1</v>
      </c>
      <c r="M1170" s="4" t="n">
        <f aca="false">INDEX('Master List'!$G$2:$G$2594,O1170)</f>
        <v>0</v>
      </c>
      <c r="N1170" s="4" t="str">
        <f aca="false">IF(K1170="","",A1170)</f>
        <v/>
      </c>
      <c r="O1170" s="4" t="n">
        <v>2508</v>
      </c>
      <c r="P1170" s="4" t="n">
        <f aca="false">IF(A1170=A1169,P1169+1-M1169,0)</f>
        <v>2</v>
      </c>
    </row>
    <row r="1171" customFormat="false" ht="15" hidden="false" customHeight="false" outlineLevel="0" collapsed="false">
      <c r="A1171" s="29" t="s">
        <v>4067</v>
      </c>
      <c r="B1171" s="29" t="s">
        <v>52</v>
      </c>
      <c r="C1171" s="29" t="s">
        <v>91</v>
      </c>
      <c r="D1171" s="29" t="s">
        <v>4068</v>
      </c>
      <c r="E1171" s="4" t="n">
        <v>4</v>
      </c>
      <c r="F1171" s="4" t="s">
        <v>213</v>
      </c>
      <c r="G1171" s="4" t="s">
        <v>883</v>
      </c>
      <c r="H1171" s="4" t="n">
        <v>1943</v>
      </c>
      <c r="I1171" s="4" t="s">
        <v>884</v>
      </c>
      <c r="J1171" s="25" t="str">
        <f aca="false">IF(M1171=1,"✓","")</f>
        <v/>
      </c>
      <c r="K1171" s="4" t="str">
        <f aca="false">IF(AND(M1171=0,P1171=0),"▶ NEXT","")</f>
        <v/>
      </c>
      <c r="L1171" s="4" t="n">
        <f aca="false">INDEX('Master List'!$F$2:$F$2594,O1171)</f>
        <v>2</v>
      </c>
      <c r="M1171" s="4" t="n">
        <f aca="false">INDEX('Master List'!$G$2:$G$2594,O1171)</f>
        <v>0</v>
      </c>
      <c r="N1171" s="4" t="str">
        <f aca="false">IF(K1171="","",A1171)</f>
        <v/>
      </c>
      <c r="O1171" s="4" t="n">
        <v>1110</v>
      </c>
      <c r="P1171" s="4" t="n">
        <f aca="false">IF(A1171=A1170,P1170+1-M1170,0)</f>
        <v>3</v>
      </c>
    </row>
    <row r="1172" customFormat="false" ht="15" hidden="false" customHeight="false" outlineLevel="0" collapsed="false">
      <c r="A1172" s="29" t="s">
        <v>4067</v>
      </c>
      <c r="B1172" s="29" t="s">
        <v>52</v>
      </c>
      <c r="C1172" s="29" t="s">
        <v>91</v>
      </c>
      <c r="D1172" s="29" t="s">
        <v>4068</v>
      </c>
      <c r="E1172" s="4" t="n">
        <v>5</v>
      </c>
      <c r="F1172" s="4" t="s">
        <v>213</v>
      </c>
      <c r="G1172" s="4" t="s">
        <v>2413</v>
      </c>
      <c r="H1172" s="4" t="n">
        <v>1985</v>
      </c>
      <c r="I1172" s="4" t="s">
        <v>475</v>
      </c>
      <c r="J1172" s="25" t="str">
        <f aca="false">IF(M1172=1,"✓","")</f>
        <v/>
      </c>
      <c r="K1172" s="4" t="str">
        <f aca="false">IF(AND(M1172=0,P1172=0),"▶ NEXT","")</f>
        <v/>
      </c>
      <c r="L1172" s="4" t="n">
        <f aca="false">INDEX('Master List'!$F$2:$F$2594,O1172)</f>
        <v>1</v>
      </c>
      <c r="M1172" s="4" t="n">
        <f aca="false">INDEX('Master List'!$G$2:$G$2594,O1172)</f>
        <v>0</v>
      </c>
      <c r="N1172" s="4" t="str">
        <f aca="false">IF(K1172="","",A1172)</f>
        <v/>
      </c>
      <c r="O1172" s="4" t="n">
        <v>574</v>
      </c>
      <c r="P1172" s="4" t="n">
        <f aca="false">IF(A1172=A1171,P1171+1-M1171,0)</f>
        <v>4</v>
      </c>
    </row>
    <row r="1173" customFormat="false" ht="15" hidden="false" customHeight="false" outlineLevel="0" collapsed="false">
      <c r="A1173" s="29" t="s">
        <v>4067</v>
      </c>
      <c r="B1173" s="29" t="s">
        <v>52</v>
      </c>
      <c r="C1173" s="29" t="s">
        <v>91</v>
      </c>
      <c r="D1173" s="29" t="s">
        <v>4068</v>
      </c>
      <c r="E1173" s="4" t="n">
        <v>6</v>
      </c>
      <c r="F1173" s="4" t="s">
        <v>213</v>
      </c>
      <c r="G1173" s="4" t="s">
        <v>2414</v>
      </c>
      <c r="H1173" s="4" t="n">
        <v>1985</v>
      </c>
      <c r="I1173" s="4" t="s">
        <v>2415</v>
      </c>
      <c r="J1173" s="25" t="str">
        <f aca="false">IF(M1173=1,"✓","")</f>
        <v/>
      </c>
      <c r="K1173" s="4" t="str">
        <f aca="false">IF(AND(M1173=0,P1173=0),"▶ NEXT","")</f>
        <v/>
      </c>
      <c r="L1173" s="4" t="n">
        <f aca="false">INDEX('Master List'!$F$2:$F$2594,O1173)</f>
        <v>1</v>
      </c>
      <c r="M1173" s="4" t="n">
        <f aca="false">INDEX('Master List'!$G$2:$G$2594,O1173)</f>
        <v>0</v>
      </c>
      <c r="N1173" s="4" t="str">
        <f aca="false">IF(K1173="","",A1173)</f>
        <v/>
      </c>
      <c r="O1173" s="4" t="n">
        <v>1895</v>
      </c>
      <c r="P1173" s="4" t="n">
        <f aca="false">IF(A1173=A1172,P1172+1-M1172,0)</f>
        <v>5</v>
      </c>
    </row>
    <row r="1174" customFormat="false" ht="15" hidden="false" customHeight="false" outlineLevel="0" collapsed="false">
      <c r="A1174" s="29" t="s">
        <v>4067</v>
      </c>
      <c r="B1174" s="29" t="s">
        <v>52</v>
      </c>
      <c r="C1174" s="29" t="s">
        <v>91</v>
      </c>
      <c r="D1174" s="29" t="s">
        <v>4068</v>
      </c>
      <c r="E1174" s="4" t="n">
        <v>7</v>
      </c>
      <c r="F1174" s="4" t="s">
        <v>213</v>
      </c>
      <c r="G1174" s="4" t="s">
        <v>2542</v>
      </c>
      <c r="H1174" s="4" t="n">
        <v>1992</v>
      </c>
      <c r="I1174" s="4" t="s">
        <v>1560</v>
      </c>
      <c r="J1174" s="25" t="str">
        <f aca="false">IF(M1174=1,"✓","")</f>
        <v/>
      </c>
      <c r="K1174" s="4" t="str">
        <f aca="false">IF(AND(M1174=0,P1174=0),"▶ NEXT","")</f>
        <v/>
      </c>
      <c r="L1174" s="4" t="n">
        <f aca="false">INDEX('Master List'!$F$2:$F$2594,O1174)</f>
        <v>1</v>
      </c>
      <c r="M1174" s="4" t="n">
        <f aca="false">INDEX('Master List'!$G$2:$G$2594,O1174)</f>
        <v>0</v>
      </c>
      <c r="N1174" s="4" t="str">
        <f aca="false">IF(K1174="","",A1174)</f>
        <v/>
      </c>
      <c r="O1174" s="4" t="n">
        <v>334</v>
      </c>
      <c r="P1174" s="4" t="n">
        <f aca="false">IF(A1174=A1173,P1173+1-M1173,0)</f>
        <v>6</v>
      </c>
    </row>
    <row r="1175" customFormat="false" ht="15" hidden="false" customHeight="false" outlineLevel="0" collapsed="false">
      <c r="A1175" s="29" t="s">
        <v>4067</v>
      </c>
      <c r="B1175" s="29" t="s">
        <v>52</v>
      </c>
      <c r="C1175" s="29" t="s">
        <v>91</v>
      </c>
      <c r="D1175" s="29" t="s">
        <v>4068</v>
      </c>
      <c r="E1175" s="4" t="n">
        <v>8</v>
      </c>
      <c r="F1175" s="4" t="s">
        <v>213</v>
      </c>
      <c r="G1175" s="4" t="s">
        <v>1160</v>
      </c>
      <c r="H1175" s="4" t="n">
        <v>2002</v>
      </c>
      <c r="I1175" s="4" t="s">
        <v>1161</v>
      </c>
      <c r="J1175" s="25" t="str">
        <f aca="false">IF(M1175=1,"✓","")</f>
        <v/>
      </c>
      <c r="K1175" s="4" t="str">
        <f aca="false">IF(AND(M1175=0,P1175=0),"▶ NEXT","")</f>
        <v/>
      </c>
      <c r="L1175" s="4" t="n">
        <f aca="false">INDEX('Master List'!$F$2:$F$2594,O1175)</f>
        <v>2</v>
      </c>
      <c r="M1175" s="4" t="n">
        <f aca="false">INDEX('Master List'!$G$2:$G$2594,O1175)</f>
        <v>0</v>
      </c>
      <c r="N1175" s="4" t="str">
        <f aca="false">IF(K1175="","",A1175)</f>
        <v/>
      </c>
      <c r="O1175" s="4" t="n">
        <v>17</v>
      </c>
      <c r="P1175" s="4" t="n">
        <f aca="false">IF(A1175=A1174,P1174+1-M1174,0)</f>
        <v>7</v>
      </c>
    </row>
    <row r="1176" customFormat="false" ht="15" hidden="false" customHeight="false" outlineLevel="0" collapsed="false">
      <c r="A1176" s="29" t="s">
        <v>4067</v>
      </c>
      <c r="B1176" s="29" t="s">
        <v>52</v>
      </c>
      <c r="C1176" s="29" t="s">
        <v>91</v>
      </c>
      <c r="D1176" s="29" t="s">
        <v>4068</v>
      </c>
      <c r="E1176" s="4" t="n">
        <v>9</v>
      </c>
      <c r="F1176" s="4" t="s">
        <v>213</v>
      </c>
      <c r="G1176" s="4" t="s">
        <v>2815</v>
      </c>
      <c r="H1176" s="4" t="n">
        <v>2004</v>
      </c>
      <c r="I1176" s="4" t="s">
        <v>2816</v>
      </c>
      <c r="J1176" s="25" t="str">
        <f aca="false">IF(M1176=1,"✓","")</f>
        <v>✓</v>
      </c>
      <c r="K1176" s="4" t="str">
        <f aca="false">IF(AND(M1176=0,P1176=0),"▶ NEXT","")</f>
        <v/>
      </c>
      <c r="L1176" s="4" t="n">
        <f aca="false">INDEX('Master List'!$F$2:$F$2594,O1176)</f>
        <v>1</v>
      </c>
      <c r="M1176" s="4" t="n">
        <f aca="false">INDEX('Master List'!$G$2:$G$2594,O1176)</f>
        <v>1</v>
      </c>
      <c r="N1176" s="4" t="str">
        <f aca="false">IF(K1176="","",A1176)</f>
        <v/>
      </c>
      <c r="O1176" s="4" t="n">
        <v>2038</v>
      </c>
      <c r="P1176" s="4" t="n">
        <f aca="false">IF(A1176=A1175,P1175+1-M1175,0)</f>
        <v>8</v>
      </c>
    </row>
    <row r="1177" customFormat="false" ht="15" hidden="false" customHeight="false" outlineLevel="0" collapsed="false">
      <c r="A1177" s="29" t="s">
        <v>4067</v>
      </c>
      <c r="B1177" s="29" t="s">
        <v>52</v>
      </c>
      <c r="C1177" s="29" t="s">
        <v>91</v>
      </c>
      <c r="D1177" s="29" t="s">
        <v>4068</v>
      </c>
      <c r="E1177" s="4" t="n">
        <v>10</v>
      </c>
      <c r="F1177" s="4" t="s">
        <v>213</v>
      </c>
      <c r="G1177" s="4" t="s">
        <v>877</v>
      </c>
      <c r="H1177" s="4" t="n">
        <v>2016</v>
      </c>
      <c r="I1177" s="4" t="s">
        <v>878</v>
      </c>
      <c r="J1177" s="25" t="str">
        <f aca="false">IF(M1177=1,"✓","")</f>
        <v/>
      </c>
      <c r="K1177" s="4" t="str">
        <f aca="false">IF(AND(M1177=0,P1177=0),"▶ NEXT","")</f>
        <v/>
      </c>
      <c r="L1177" s="4" t="n">
        <f aca="false">INDEX('Master List'!$F$2:$F$2594,O1177)</f>
        <v>2</v>
      </c>
      <c r="M1177" s="4" t="n">
        <f aca="false">INDEX('Master List'!$G$2:$G$2594,O1177)</f>
        <v>0</v>
      </c>
      <c r="N1177" s="4" t="str">
        <f aca="false">IF(K1177="","",A1177)</f>
        <v/>
      </c>
      <c r="O1177" s="4" t="n">
        <v>2358</v>
      </c>
      <c r="P1177" s="4" t="n">
        <f aca="false">IF(A1177=A1176,P1176+1-M1176,0)</f>
        <v>8</v>
      </c>
    </row>
    <row r="1178" customFormat="false" ht="15" hidden="false" customHeight="false" outlineLevel="0" collapsed="false">
      <c r="A1178" s="29" t="s">
        <v>4067</v>
      </c>
      <c r="B1178" s="29" t="s">
        <v>52</v>
      </c>
      <c r="C1178" s="29" t="s">
        <v>91</v>
      </c>
      <c r="D1178" s="29" t="s">
        <v>4068</v>
      </c>
      <c r="E1178" s="4" t="n">
        <v>11</v>
      </c>
      <c r="F1178" s="4" t="s">
        <v>213</v>
      </c>
      <c r="G1178" s="4" t="s">
        <v>3118</v>
      </c>
      <c r="H1178" s="4" t="n">
        <v>2017</v>
      </c>
      <c r="I1178" s="4" t="s">
        <v>3119</v>
      </c>
      <c r="J1178" s="25" t="str">
        <f aca="false">IF(M1178=1,"✓","")</f>
        <v/>
      </c>
      <c r="K1178" s="4" t="str">
        <f aca="false">IF(AND(M1178=0,P1178=0),"▶ NEXT","")</f>
        <v/>
      </c>
      <c r="L1178" s="4" t="n">
        <f aca="false">INDEX('Master List'!$F$2:$F$2594,O1178)</f>
        <v>1</v>
      </c>
      <c r="M1178" s="4" t="n">
        <f aca="false">INDEX('Master List'!$G$2:$G$2594,O1178)</f>
        <v>0</v>
      </c>
      <c r="N1178" s="4" t="str">
        <f aca="false">IF(K1178="","",A1178)</f>
        <v/>
      </c>
      <c r="O1178" s="4" t="n">
        <v>1677</v>
      </c>
      <c r="P1178" s="4" t="n">
        <f aca="false">IF(A1178=A1177,P1177+1-M1177,0)</f>
        <v>9</v>
      </c>
    </row>
    <row r="1179" customFormat="false" ht="15" hidden="false" customHeight="false" outlineLevel="0" collapsed="false">
      <c r="A1179" s="29" t="s">
        <v>4067</v>
      </c>
      <c r="B1179" s="29" t="s">
        <v>52</v>
      </c>
      <c r="C1179" s="29" t="s">
        <v>91</v>
      </c>
      <c r="D1179" s="29" t="s">
        <v>4068</v>
      </c>
      <c r="E1179" s="4" t="n">
        <v>12</v>
      </c>
      <c r="F1179" s="4" t="s">
        <v>1327</v>
      </c>
      <c r="G1179" s="4" t="s">
        <v>1362</v>
      </c>
      <c r="H1179" s="4" t="n">
        <v>1979</v>
      </c>
      <c r="I1179" s="4" t="s">
        <v>709</v>
      </c>
      <c r="J1179" s="25" t="str">
        <f aca="false">IF(M1179=1,"✓","")</f>
        <v/>
      </c>
      <c r="K1179" s="4" t="str">
        <f aca="false">IF(AND(M1179=0,P1179=0),"▶ NEXT","")</f>
        <v/>
      </c>
      <c r="L1179" s="4" t="n">
        <f aca="false">INDEX('Master List'!$F$2:$F$2594,O1179)</f>
        <v>2</v>
      </c>
      <c r="M1179" s="4" t="n">
        <f aca="false">INDEX('Master List'!$G$2:$G$2594,O1179)</f>
        <v>0</v>
      </c>
      <c r="N1179" s="4" t="str">
        <f aca="false">IF(K1179="","",A1179)</f>
        <v/>
      </c>
      <c r="O1179" s="4" t="n">
        <v>2589</v>
      </c>
      <c r="P1179" s="4" t="n">
        <f aca="false">IF(A1179=A1178,P1178+1-M1178,0)</f>
        <v>10</v>
      </c>
    </row>
    <row r="1180" customFormat="false" ht="15" hidden="false" customHeight="false" outlineLevel="0" collapsed="false">
      <c r="A1180" s="29" t="s">
        <v>4067</v>
      </c>
      <c r="B1180" s="29" t="s">
        <v>52</v>
      </c>
      <c r="C1180" s="29" t="s">
        <v>91</v>
      </c>
      <c r="D1180" s="29" t="s">
        <v>4068</v>
      </c>
      <c r="E1180" s="4" t="n">
        <v>13</v>
      </c>
      <c r="F1180" s="4" t="s">
        <v>1327</v>
      </c>
      <c r="G1180" s="4" t="s">
        <v>3776</v>
      </c>
      <c r="H1180" s="4" t="n">
        <v>2008</v>
      </c>
      <c r="I1180" s="4" t="s">
        <v>3777</v>
      </c>
      <c r="J1180" s="25" t="str">
        <f aca="false">IF(M1180=1,"✓","")</f>
        <v/>
      </c>
      <c r="K1180" s="4" t="str">
        <f aca="false">IF(AND(M1180=0,P1180=0),"▶ NEXT","")</f>
        <v/>
      </c>
      <c r="L1180" s="4" t="n">
        <f aca="false">INDEX('Master List'!$F$2:$F$2594,O1180)</f>
        <v>1</v>
      </c>
      <c r="M1180" s="4" t="n">
        <f aca="false">INDEX('Master List'!$G$2:$G$2594,O1180)</f>
        <v>0</v>
      </c>
      <c r="N1180" s="4" t="str">
        <f aca="false">IF(K1180="","",A1180)</f>
        <v/>
      </c>
      <c r="O1180" s="4" t="n">
        <v>1793</v>
      </c>
      <c r="P1180" s="4" t="n">
        <f aca="false">IF(A1180=A1179,P1179+1-M1179,0)</f>
        <v>11</v>
      </c>
    </row>
    <row r="1181" customFormat="false" ht="15" hidden="false" customHeight="false" outlineLevel="0" collapsed="false">
      <c r="A1181" s="29" t="s">
        <v>4069</v>
      </c>
      <c r="B1181" s="29" t="s">
        <v>52</v>
      </c>
      <c r="C1181" s="29" t="s">
        <v>91</v>
      </c>
      <c r="D1181" s="29" t="s">
        <v>4070</v>
      </c>
      <c r="E1181" s="4" t="n">
        <v>1</v>
      </c>
      <c r="F1181" s="4" t="s">
        <v>144</v>
      </c>
      <c r="G1181" s="7" t="s">
        <v>293</v>
      </c>
      <c r="H1181" s="4" t="n">
        <v>1978</v>
      </c>
      <c r="I1181" s="4" t="s">
        <v>266</v>
      </c>
      <c r="J1181" s="25" t="str">
        <f aca="false">IF(M1181=1,"✓","")</f>
        <v>✓</v>
      </c>
      <c r="K1181" s="4" t="str">
        <f aca="false">IF(AND(M1181=0,P1181=0),"▶ NEXT","")</f>
        <v/>
      </c>
      <c r="L1181" s="4" t="n">
        <f aca="false">INDEX('Master List'!$F$2:$F$2594,O1181)</f>
        <v>4</v>
      </c>
      <c r="M1181" s="4" t="n">
        <f aca="false">INDEX('Master List'!$G$2:$G$2594,O1181)</f>
        <v>1</v>
      </c>
      <c r="N1181" s="4" t="str">
        <f aca="false">IF(K1181="","",A1181)</f>
        <v/>
      </c>
      <c r="O1181" s="4" t="n">
        <v>981</v>
      </c>
      <c r="P1181" s="4" t="n">
        <f aca="false">IF(A1181=A1180,P1180+1-M1180,0)</f>
        <v>0</v>
      </c>
    </row>
    <row r="1182" customFormat="false" ht="15" hidden="false" customHeight="false" outlineLevel="0" collapsed="false">
      <c r="A1182" s="29" t="s">
        <v>4069</v>
      </c>
      <c r="B1182" s="29" t="s">
        <v>52</v>
      </c>
      <c r="C1182" s="29" t="s">
        <v>91</v>
      </c>
      <c r="D1182" s="29" t="s">
        <v>4070</v>
      </c>
      <c r="E1182" s="4" t="n">
        <v>2</v>
      </c>
      <c r="F1182" s="4" t="s">
        <v>144</v>
      </c>
      <c r="G1182" s="7" t="s">
        <v>434</v>
      </c>
      <c r="H1182" s="4" t="n">
        <v>1974</v>
      </c>
      <c r="I1182" s="4" t="s">
        <v>435</v>
      </c>
      <c r="J1182" s="25" t="str">
        <f aca="false">IF(M1182=1,"✓","")</f>
        <v/>
      </c>
      <c r="K1182" s="4" t="str">
        <f aca="false">IF(AND(M1182=0,P1182=0),"▶ NEXT","")</f>
        <v>▶ NEXT</v>
      </c>
      <c r="L1182" s="4" t="n">
        <f aca="false">INDEX('Master List'!$F$2:$F$2594,O1182)</f>
        <v>3</v>
      </c>
      <c r="M1182" s="4" t="n">
        <f aca="false">INDEX('Master List'!$G$2:$G$2594,O1182)</f>
        <v>0</v>
      </c>
      <c r="N1182" s="4" t="str">
        <f aca="false">IF(K1182="","",A1182)</f>
        <v>N098</v>
      </c>
      <c r="O1182" s="4" t="n">
        <v>2260</v>
      </c>
      <c r="P1182" s="4" t="n">
        <f aca="false">IF(A1182=A1181,P1181+1-M1181,0)</f>
        <v>0</v>
      </c>
    </row>
    <row r="1183" customFormat="false" ht="15" hidden="false" customHeight="false" outlineLevel="0" collapsed="false">
      <c r="A1183" s="29" t="s">
        <v>4069</v>
      </c>
      <c r="B1183" s="29" t="s">
        <v>52</v>
      </c>
      <c r="C1183" s="29" t="s">
        <v>91</v>
      </c>
      <c r="D1183" s="29" t="s">
        <v>4070</v>
      </c>
      <c r="E1183" s="4" t="n">
        <v>3</v>
      </c>
      <c r="F1183" s="4" t="s">
        <v>213</v>
      </c>
      <c r="G1183" s="4" t="s">
        <v>177</v>
      </c>
      <c r="H1183" s="4" t="n">
        <v>1960</v>
      </c>
      <c r="I1183" s="4" t="s">
        <v>162</v>
      </c>
      <c r="J1183" s="25" t="str">
        <f aca="false">IF(M1183=1,"✓","")</f>
        <v>✓</v>
      </c>
      <c r="K1183" s="4" t="str">
        <f aca="false">IF(AND(M1183=0,P1183=0),"▶ NEXT","")</f>
        <v/>
      </c>
      <c r="L1183" s="4" t="n">
        <f aca="false">INDEX('Master List'!$F$2:$F$2594,O1183)</f>
        <v>8</v>
      </c>
      <c r="M1183" s="4" t="n">
        <f aca="false">INDEX('Master List'!$G$2:$G$2594,O1183)</f>
        <v>1</v>
      </c>
      <c r="N1183" s="4" t="str">
        <f aca="false">IF(K1183="","",A1183)</f>
        <v/>
      </c>
      <c r="O1183" s="4" t="n">
        <v>1826</v>
      </c>
      <c r="P1183" s="4" t="n">
        <f aca="false">IF(A1183=A1182,P1182+1-M1182,0)</f>
        <v>1</v>
      </c>
    </row>
    <row r="1184" customFormat="false" ht="15" hidden="false" customHeight="false" outlineLevel="0" collapsed="false">
      <c r="A1184" s="29" t="s">
        <v>4069</v>
      </c>
      <c r="B1184" s="29" t="s">
        <v>52</v>
      </c>
      <c r="C1184" s="29" t="s">
        <v>91</v>
      </c>
      <c r="D1184" s="29" t="s">
        <v>4070</v>
      </c>
      <c r="E1184" s="4" t="n">
        <v>4</v>
      </c>
      <c r="F1184" s="4" t="s">
        <v>213</v>
      </c>
      <c r="G1184" s="4" t="s">
        <v>580</v>
      </c>
      <c r="H1184" s="4" t="n">
        <v>1960</v>
      </c>
      <c r="I1184" s="4" t="s">
        <v>581</v>
      </c>
      <c r="J1184" s="25" t="str">
        <f aca="false">IF(M1184=1,"✓","")</f>
        <v/>
      </c>
      <c r="K1184" s="4" t="str">
        <f aca="false">IF(AND(M1184=0,P1184=0),"▶ NEXT","")</f>
        <v/>
      </c>
      <c r="L1184" s="4" t="n">
        <f aca="false">INDEX('Master List'!$F$2:$F$2594,O1184)</f>
        <v>3</v>
      </c>
      <c r="M1184" s="4" t="n">
        <f aca="false">INDEX('Master List'!$G$2:$G$2594,O1184)</f>
        <v>0</v>
      </c>
      <c r="N1184" s="4" t="str">
        <f aca="false">IF(K1184="","",A1184)</f>
        <v/>
      </c>
      <c r="O1184" s="4" t="n">
        <v>1739</v>
      </c>
      <c r="P1184" s="4" t="n">
        <f aca="false">IF(A1184=A1183,P1183+1-M1183,0)</f>
        <v>1</v>
      </c>
    </row>
    <row r="1185" customFormat="false" ht="15" hidden="false" customHeight="false" outlineLevel="0" collapsed="false">
      <c r="A1185" s="29" t="s">
        <v>4069</v>
      </c>
      <c r="B1185" s="29" t="s">
        <v>52</v>
      </c>
      <c r="C1185" s="29" t="s">
        <v>91</v>
      </c>
      <c r="D1185" s="29" t="s">
        <v>4070</v>
      </c>
      <c r="E1185" s="4" t="n">
        <v>5</v>
      </c>
      <c r="F1185" s="4" t="s">
        <v>213</v>
      </c>
      <c r="G1185" s="4" t="s">
        <v>545</v>
      </c>
      <c r="H1185" s="4" t="n">
        <v>1974</v>
      </c>
      <c r="I1185" s="4" t="s">
        <v>546</v>
      </c>
      <c r="J1185" s="25" t="str">
        <f aca="false">IF(M1185=1,"✓","")</f>
        <v/>
      </c>
      <c r="K1185" s="4" t="str">
        <f aca="false">IF(AND(M1185=0,P1185=0),"▶ NEXT","")</f>
        <v/>
      </c>
      <c r="L1185" s="4" t="n">
        <f aca="false">INDEX('Master List'!$F$2:$F$2594,O1185)</f>
        <v>3</v>
      </c>
      <c r="M1185" s="4" t="n">
        <f aca="false">INDEX('Master List'!$G$2:$G$2594,O1185)</f>
        <v>0</v>
      </c>
      <c r="N1185" s="4" t="str">
        <f aca="false">IF(K1185="","",A1185)</f>
        <v/>
      </c>
      <c r="O1185" s="4" t="n">
        <v>265</v>
      </c>
      <c r="P1185" s="4" t="n">
        <f aca="false">IF(A1185=A1184,P1184+1-M1184,0)</f>
        <v>2</v>
      </c>
    </row>
    <row r="1186" customFormat="false" ht="15" hidden="false" customHeight="false" outlineLevel="0" collapsed="false">
      <c r="A1186" s="29" t="s">
        <v>4069</v>
      </c>
      <c r="B1186" s="29" t="s">
        <v>52</v>
      </c>
      <c r="C1186" s="29" t="s">
        <v>91</v>
      </c>
      <c r="D1186" s="29" t="s">
        <v>4070</v>
      </c>
      <c r="E1186" s="4" t="n">
        <v>6</v>
      </c>
      <c r="F1186" s="4" t="s">
        <v>213</v>
      </c>
      <c r="G1186" s="4" t="s">
        <v>2336</v>
      </c>
      <c r="H1186" s="4" t="n">
        <v>1980</v>
      </c>
      <c r="I1186" s="4" t="s">
        <v>2337</v>
      </c>
      <c r="J1186" s="25" t="str">
        <f aca="false">IF(M1186=1,"✓","")</f>
        <v/>
      </c>
      <c r="K1186" s="4" t="str">
        <f aca="false">IF(AND(M1186=0,P1186=0),"▶ NEXT","")</f>
        <v/>
      </c>
      <c r="L1186" s="4" t="n">
        <f aca="false">INDEX('Master List'!$F$2:$F$2594,O1186)</f>
        <v>1</v>
      </c>
      <c r="M1186" s="4" t="n">
        <f aca="false">INDEX('Master List'!$G$2:$G$2594,O1186)</f>
        <v>0</v>
      </c>
      <c r="N1186" s="4" t="str">
        <f aca="false">IF(K1186="","",A1186)</f>
        <v/>
      </c>
      <c r="O1186" s="4" t="n">
        <v>858</v>
      </c>
      <c r="P1186" s="4" t="n">
        <f aca="false">IF(A1186=A1185,P1185+1-M1185,0)</f>
        <v>3</v>
      </c>
    </row>
    <row r="1187" customFormat="false" ht="15" hidden="false" customHeight="false" outlineLevel="0" collapsed="false">
      <c r="A1187" s="29" t="s">
        <v>4069</v>
      </c>
      <c r="B1187" s="29" t="s">
        <v>52</v>
      </c>
      <c r="C1187" s="29" t="s">
        <v>91</v>
      </c>
      <c r="D1187" s="29" t="s">
        <v>4070</v>
      </c>
      <c r="E1187" s="4" t="n">
        <v>7</v>
      </c>
      <c r="F1187" s="4" t="s">
        <v>213</v>
      </c>
      <c r="G1187" s="4" t="s">
        <v>2401</v>
      </c>
      <c r="H1187" s="4" t="n">
        <v>1984</v>
      </c>
      <c r="I1187" s="4" t="s">
        <v>1496</v>
      </c>
      <c r="J1187" s="25" t="str">
        <f aca="false">IF(M1187=1,"✓","")</f>
        <v>✓</v>
      </c>
      <c r="K1187" s="4" t="str">
        <f aca="false">IF(AND(M1187=0,P1187=0),"▶ NEXT","")</f>
        <v/>
      </c>
      <c r="L1187" s="4" t="n">
        <f aca="false">INDEX('Master List'!$F$2:$F$2594,O1187)</f>
        <v>1</v>
      </c>
      <c r="M1187" s="4" t="n">
        <f aca="false">INDEX('Master List'!$G$2:$G$2594,O1187)</f>
        <v>1</v>
      </c>
      <c r="N1187" s="4" t="str">
        <f aca="false">IF(K1187="","",A1187)</f>
        <v/>
      </c>
      <c r="O1187" s="4" t="n">
        <v>1613</v>
      </c>
      <c r="P1187" s="4" t="n">
        <f aca="false">IF(A1187=A1186,P1186+1-M1186,0)</f>
        <v>4</v>
      </c>
    </row>
    <row r="1188" customFormat="false" ht="15" hidden="false" customHeight="false" outlineLevel="0" collapsed="false">
      <c r="A1188" s="29" t="s">
        <v>4069</v>
      </c>
      <c r="B1188" s="29" t="s">
        <v>52</v>
      </c>
      <c r="C1188" s="29" t="s">
        <v>91</v>
      </c>
      <c r="D1188" s="29" t="s">
        <v>4070</v>
      </c>
      <c r="E1188" s="4" t="n">
        <v>8</v>
      </c>
      <c r="F1188" s="4" t="s">
        <v>213</v>
      </c>
      <c r="G1188" s="4" t="s">
        <v>2380</v>
      </c>
      <c r="H1188" s="4" t="n">
        <v>1983</v>
      </c>
      <c r="I1188" s="4" t="s">
        <v>2381</v>
      </c>
      <c r="J1188" s="25" t="str">
        <f aca="false">IF(M1188=1,"✓","")</f>
        <v/>
      </c>
      <c r="K1188" s="4" t="str">
        <f aca="false">IF(AND(M1188=0,P1188=0),"▶ NEXT","")</f>
        <v/>
      </c>
      <c r="L1188" s="4" t="n">
        <f aca="false">INDEX('Master List'!$F$2:$F$2594,O1188)</f>
        <v>1</v>
      </c>
      <c r="M1188" s="4" t="n">
        <f aca="false">INDEX('Master List'!$G$2:$G$2594,O1188)</f>
        <v>0</v>
      </c>
      <c r="N1188" s="4" t="str">
        <f aca="false">IF(K1188="","",A1188)</f>
        <v/>
      </c>
      <c r="O1188" s="4" t="n">
        <v>2089</v>
      </c>
      <c r="P1188" s="4" t="n">
        <f aca="false">IF(A1188=A1187,P1187+1-M1187,0)</f>
        <v>4</v>
      </c>
    </row>
    <row r="1189" customFormat="false" ht="15" hidden="false" customHeight="false" outlineLevel="0" collapsed="false">
      <c r="A1189" s="29" t="s">
        <v>4069</v>
      </c>
      <c r="B1189" s="29" t="s">
        <v>52</v>
      </c>
      <c r="C1189" s="29" t="s">
        <v>91</v>
      </c>
      <c r="D1189" s="29" t="s">
        <v>4070</v>
      </c>
      <c r="E1189" s="4" t="n">
        <v>9</v>
      </c>
      <c r="F1189" s="4" t="s">
        <v>213</v>
      </c>
      <c r="G1189" s="4" t="s">
        <v>2634</v>
      </c>
      <c r="H1189" s="4" t="n">
        <v>1996</v>
      </c>
      <c r="I1189" s="4" t="s">
        <v>1496</v>
      </c>
      <c r="J1189" s="25" t="str">
        <f aca="false">IF(M1189=1,"✓","")</f>
        <v/>
      </c>
      <c r="K1189" s="4" t="str">
        <f aca="false">IF(AND(M1189=0,P1189=0),"▶ NEXT","")</f>
        <v/>
      </c>
      <c r="L1189" s="4" t="n">
        <f aca="false">INDEX('Master List'!$F$2:$F$2594,O1189)</f>
        <v>1</v>
      </c>
      <c r="M1189" s="4" t="n">
        <f aca="false">INDEX('Master List'!$G$2:$G$2594,O1189)</f>
        <v>0</v>
      </c>
      <c r="N1189" s="4" t="str">
        <f aca="false">IF(K1189="","",A1189)</f>
        <v/>
      </c>
      <c r="O1189" s="4" t="n">
        <v>1994</v>
      </c>
      <c r="P1189" s="4" t="n">
        <f aca="false">IF(A1189=A1188,P1188+1-M1188,0)</f>
        <v>5</v>
      </c>
    </row>
    <row r="1190" customFormat="false" ht="15" hidden="false" customHeight="false" outlineLevel="0" collapsed="false">
      <c r="A1190" s="29" t="s">
        <v>4069</v>
      </c>
      <c r="B1190" s="29" t="s">
        <v>52</v>
      </c>
      <c r="C1190" s="29" t="s">
        <v>91</v>
      </c>
      <c r="D1190" s="29" t="s">
        <v>4070</v>
      </c>
      <c r="E1190" s="4" t="n">
        <v>10</v>
      </c>
      <c r="F1190" s="4" t="s">
        <v>213</v>
      </c>
      <c r="G1190" s="4" t="s">
        <v>1290</v>
      </c>
      <c r="H1190" s="4" t="n">
        <v>2014</v>
      </c>
      <c r="I1190" s="4" t="s">
        <v>1291</v>
      </c>
      <c r="J1190" s="25" t="str">
        <f aca="false">IF(M1190=1,"✓","")</f>
        <v/>
      </c>
      <c r="K1190" s="4" t="str">
        <f aca="false">IF(AND(M1190=0,P1190=0),"▶ NEXT","")</f>
        <v/>
      </c>
      <c r="L1190" s="4" t="n">
        <f aca="false">INDEX('Master List'!$F$2:$F$2594,O1190)</f>
        <v>2</v>
      </c>
      <c r="M1190" s="4" t="n">
        <f aca="false">INDEX('Master List'!$G$2:$G$2594,O1190)</f>
        <v>0</v>
      </c>
      <c r="N1190" s="4" t="str">
        <f aca="false">IF(K1190="","",A1190)</f>
        <v/>
      </c>
      <c r="O1190" s="4" t="n">
        <v>1175</v>
      </c>
      <c r="P1190" s="4" t="n">
        <f aca="false">IF(A1190=A1189,P1189+1-M1189,0)</f>
        <v>6</v>
      </c>
    </row>
    <row r="1191" customFormat="false" ht="15" hidden="false" customHeight="false" outlineLevel="0" collapsed="false">
      <c r="A1191" s="29" t="s">
        <v>4069</v>
      </c>
      <c r="B1191" s="29" t="s">
        <v>52</v>
      </c>
      <c r="C1191" s="29" t="s">
        <v>91</v>
      </c>
      <c r="D1191" s="29" t="s">
        <v>4070</v>
      </c>
      <c r="E1191" s="4" t="n">
        <v>11</v>
      </c>
      <c r="F1191" s="4" t="s">
        <v>213</v>
      </c>
      <c r="G1191" s="4" t="s">
        <v>3221</v>
      </c>
      <c r="H1191" s="4" t="n">
        <v>2022</v>
      </c>
      <c r="I1191" s="4" t="s">
        <v>3222</v>
      </c>
      <c r="J1191" s="25" t="str">
        <f aca="false">IF(M1191=1,"✓","")</f>
        <v/>
      </c>
      <c r="K1191" s="4" t="str">
        <f aca="false">IF(AND(M1191=0,P1191=0),"▶ NEXT","")</f>
        <v/>
      </c>
      <c r="L1191" s="4" t="n">
        <f aca="false">INDEX('Master List'!$F$2:$F$2594,O1191)</f>
        <v>1</v>
      </c>
      <c r="M1191" s="4" t="n">
        <f aca="false">INDEX('Master List'!$G$2:$G$2594,O1191)</f>
        <v>0</v>
      </c>
      <c r="N1191" s="4" t="str">
        <f aca="false">IF(K1191="","",A1191)</f>
        <v/>
      </c>
      <c r="O1191" s="4" t="n">
        <v>2560</v>
      </c>
      <c r="P1191" s="4" t="n">
        <f aca="false">IF(A1191=A1190,P1190+1-M1190,0)</f>
        <v>7</v>
      </c>
    </row>
    <row r="1192" customFormat="false" ht="15" hidden="false" customHeight="false" outlineLevel="0" collapsed="false">
      <c r="A1192" s="29" t="s">
        <v>4069</v>
      </c>
      <c r="B1192" s="29" t="s">
        <v>52</v>
      </c>
      <c r="C1192" s="29" t="s">
        <v>91</v>
      </c>
      <c r="D1192" s="29" t="s">
        <v>4070</v>
      </c>
      <c r="E1192" s="4" t="n">
        <v>12</v>
      </c>
      <c r="F1192" s="4" t="s">
        <v>1327</v>
      </c>
      <c r="G1192" s="4" t="s">
        <v>1364</v>
      </c>
      <c r="H1192" s="4" t="n">
        <v>1981</v>
      </c>
      <c r="I1192" s="4" t="s">
        <v>1365</v>
      </c>
      <c r="J1192" s="25" t="str">
        <f aca="false">IF(M1192=1,"✓","")</f>
        <v/>
      </c>
      <c r="K1192" s="4" t="str">
        <f aca="false">IF(AND(M1192=0,P1192=0),"▶ NEXT","")</f>
        <v/>
      </c>
      <c r="L1192" s="4" t="n">
        <f aca="false">INDEX('Master List'!$F$2:$F$2594,O1192)</f>
        <v>2</v>
      </c>
      <c r="M1192" s="4" t="n">
        <f aca="false">INDEX('Master List'!$G$2:$G$2594,O1192)</f>
        <v>0</v>
      </c>
      <c r="N1192" s="4" t="str">
        <f aca="false">IF(K1192="","",A1192)</f>
        <v/>
      </c>
      <c r="O1192" s="4" t="n">
        <v>370</v>
      </c>
      <c r="P1192" s="4" t="n">
        <f aca="false">IF(A1192=A1191,P1191+1-M1191,0)</f>
        <v>8</v>
      </c>
    </row>
    <row r="1193" customFormat="false" ht="15" hidden="false" customHeight="false" outlineLevel="0" collapsed="false">
      <c r="A1193" s="29" t="s">
        <v>4069</v>
      </c>
      <c r="B1193" s="29" t="s">
        <v>52</v>
      </c>
      <c r="C1193" s="29" t="s">
        <v>91</v>
      </c>
      <c r="D1193" s="29" t="s">
        <v>4070</v>
      </c>
      <c r="E1193" s="4" t="n">
        <v>13</v>
      </c>
      <c r="F1193" s="4" t="s">
        <v>1327</v>
      </c>
      <c r="G1193" s="4" t="s">
        <v>1366</v>
      </c>
      <c r="H1193" s="4" t="n">
        <v>1981</v>
      </c>
      <c r="I1193" s="4" t="s">
        <v>1367</v>
      </c>
      <c r="J1193" s="25" t="str">
        <f aca="false">IF(M1193=1,"✓","")</f>
        <v/>
      </c>
      <c r="K1193" s="4" t="str">
        <f aca="false">IF(AND(M1193=0,P1193=0),"▶ NEXT","")</f>
        <v/>
      </c>
      <c r="L1193" s="4" t="n">
        <f aca="false">INDEX('Master List'!$F$2:$F$2594,O1193)</f>
        <v>2</v>
      </c>
      <c r="M1193" s="4" t="n">
        <f aca="false">INDEX('Master List'!$G$2:$G$2594,O1193)</f>
        <v>0</v>
      </c>
      <c r="N1193" s="4" t="str">
        <f aca="false">IF(K1193="","",A1193)</f>
        <v/>
      </c>
      <c r="O1193" s="4" t="n">
        <v>1565</v>
      </c>
      <c r="P1193" s="4" t="n">
        <f aca="false">IF(A1193=A1192,P1192+1-M1192,0)</f>
        <v>9</v>
      </c>
    </row>
    <row r="1194" customFormat="false" ht="15" hidden="false" customHeight="false" outlineLevel="0" collapsed="false">
      <c r="A1194" s="29" t="s">
        <v>4069</v>
      </c>
      <c r="B1194" s="29" t="s">
        <v>52</v>
      </c>
      <c r="C1194" s="29" t="s">
        <v>91</v>
      </c>
      <c r="D1194" s="29" t="s">
        <v>4070</v>
      </c>
      <c r="E1194" s="4" t="n">
        <v>14</v>
      </c>
      <c r="F1194" s="4" t="s">
        <v>1327</v>
      </c>
      <c r="G1194" s="4" t="s">
        <v>3590</v>
      </c>
      <c r="H1194" s="4" t="n">
        <v>1981</v>
      </c>
      <c r="I1194" s="4" t="s">
        <v>3591</v>
      </c>
      <c r="J1194" s="25" t="str">
        <f aca="false">IF(M1194=1,"✓","")</f>
        <v/>
      </c>
      <c r="K1194" s="4" t="str">
        <f aca="false">IF(AND(M1194=0,P1194=0),"▶ NEXT","")</f>
        <v/>
      </c>
      <c r="L1194" s="4" t="n">
        <f aca="false">INDEX('Master List'!$F$2:$F$2594,O1194)</f>
        <v>1</v>
      </c>
      <c r="M1194" s="4" t="n">
        <f aca="false">INDEX('Master List'!$G$2:$G$2594,O1194)</f>
        <v>0</v>
      </c>
      <c r="N1194" s="4" t="str">
        <f aca="false">IF(K1194="","",A1194)</f>
        <v/>
      </c>
      <c r="O1194" s="4" t="n">
        <v>1825</v>
      </c>
      <c r="P1194" s="4" t="n">
        <f aca="false">IF(A1194=A1193,P1193+1-M1193,0)</f>
        <v>10</v>
      </c>
    </row>
    <row r="1195" customFormat="false" ht="15" hidden="false" customHeight="false" outlineLevel="0" collapsed="false">
      <c r="A1195" s="29" t="s">
        <v>4071</v>
      </c>
      <c r="B1195" s="29" t="s">
        <v>52</v>
      </c>
      <c r="C1195" s="29" t="s">
        <v>91</v>
      </c>
      <c r="D1195" s="29" t="s">
        <v>4072</v>
      </c>
      <c r="E1195" s="4" t="n">
        <v>1</v>
      </c>
      <c r="F1195" s="4" t="s">
        <v>144</v>
      </c>
      <c r="G1195" s="7" t="s">
        <v>681</v>
      </c>
      <c r="H1195" s="4" t="n">
        <v>1986</v>
      </c>
      <c r="I1195" s="4" t="s">
        <v>316</v>
      </c>
      <c r="J1195" s="25" t="str">
        <f aca="false">IF(M1195=1,"✓","")</f>
        <v>✓</v>
      </c>
      <c r="K1195" s="4" t="str">
        <f aca="false">IF(AND(M1195=0,P1195=0),"▶ NEXT","")</f>
        <v/>
      </c>
      <c r="L1195" s="4" t="n">
        <f aca="false">INDEX('Master List'!$F$2:$F$2594,O1195)</f>
        <v>2</v>
      </c>
      <c r="M1195" s="4" t="n">
        <f aca="false">INDEX('Master List'!$G$2:$G$2594,O1195)</f>
        <v>1</v>
      </c>
      <c r="N1195" s="4" t="str">
        <f aca="false">IF(K1195="","",A1195)</f>
        <v/>
      </c>
      <c r="O1195" s="4" t="n">
        <v>827</v>
      </c>
      <c r="P1195" s="4" t="n">
        <f aca="false">IF(A1195=A1194,P1194+1-M1194,0)</f>
        <v>0</v>
      </c>
    </row>
    <row r="1196" customFormat="false" ht="15" hidden="false" customHeight="false" outlineLevel="0" collapsed="false">
      <c r="A1196" s="29" t="s">
        <v>4071</v>
      </c>
      <c r="B1196" s="29" t="s">
        <v>52</v>
      </c>
      <c r="C1196" s="29" t="s">
        <v>91</v>
      </c>
      <c r="D1196" s="29" t="s">
        <v>4072</v>
      </c>
      <c r="E1196" s="4" t="n">
        <v>2</v>
      </c>
      <c r="F1196" s="4" t="s">
        <v>144</v>
      </c>
      <c r="G1196" s="7" t="s">
        <v>265</v>
      </c>
      <c r="H1196" s="4" t="n">
        <v>1982</v>
      </c>
      <c r="I1196" s="4" t="s">
        <v>266</v>
      </c>
      <c r="J1196" s="25" t="str">
        <f aca="false">IF(M1196=1,"✓","")</f>
        <v>✓</v>
      </c>
      <c r="K1196" s="4" t="str">
        <f aca="false">IF(AND(M1196=0,P1196=0),"▶ NEXT","")</f>
        <v/>
      </c>
      <c r="L1196" s="4" t="n">
        <f aca="false">INDEX('Master List'!$F$2:$F$2594,O1196)</f>
        <v>4</v>
      </c>
      <c r="M1196" s="4" t="n">
        <f aca="false">INDEX('Master List'!$G$2:$G$2594,O1196)</f>
        <v>1</v>
      </c>
      <c r="N1196" s="4" t="str">
        <f aca="false">IF(K1196="","",A1196)</f>
        <v/>
      </c>
      <c r="O1196" s="4" t="n">
        <v>2278</v>
      </c>
      <c r="P1196" s="4" t="n">
        <f aca="false">IF(A1196=A1195,P1195+1-M1195,0)</f>
        <v>0</v>
      </c>
    </row>
    <row r="1197" customFormat="false" ht="15" hidden="false" customHeight="false" outlineLevel="0" collapsed="false">
      <c r="A1197" s="29" t="s">
        <v>4071</v>
      </c>
      <c r="B1197" s="29" t="s">
        <v>52</v>
      </c>
      <c r="C1197" s="29" t="s">
        <v>91</v>
      </c>
      <c r="D1197" s="29" t="s">
        <v>4072</v>
      </c>
      <c r="E1197" s="4" t="n">
        <v>3</v>
      </c>
      <c r="F1197" s="4" t="s">
        <v>213</v>
      </c>
      <c r="G1197" s="4" t="s">
        <v>602</v>
      </c>
      <c r="H1197" s="4" t="n">
        <v>1975</v>
      </c>
      <c r="I1197" s="4" t="s">
        <v>316</v>
      </c>
      <c r="J1197" s="25" t="str">
        <f aca="false">IF(M1197=1,"✓","")</f>
        <v/>
      </c>
      <c r="K1197" s="4" t="str">
        <f aca="false">IF(AND(M1197=0,P1197=0),"▶ NEXT","")</f>
        <v>▶ NEXT</v>
      </c>
      <c r="L1197" s="4" t="n">
        <f aca="false">INDEX('Master List'!$F$2:$F$2594,O1197)</f>
        <v>3</v>
      </c>
      <c r="M1197" s="4" t="n">
        <f aca="false">INDEX('Master List'!$G$2:$G$2594,O1197)</f>
        <v>0</v>
      </c>
      <c r="N1197" s="4" t="str">
        <f aca="false">IF(K1197="","",A1197)</f>
        <v>N099</v>
      </c>
      <c r="O1197" s="4" t="n">
        <v>2047</v>
      </c>
      <c r="P1197" s="4" t="n">
        <f aca="false">IF(A1197=A1196,P1196+1-M1196,0)</f>
        <v>0</v>
      </c>
    </row>
    <row r="1198" customFormat="false" ht="15" hidden="false" customHeight="false" outlineLevel="0" collapsed="false">
      <c r="A1198" s="29" t="s">
        <v>4071</v>
      </c>
      <c r="B1198" s="29" t="s">
        <v>52</v>
      </c>
      <c r="C1198" s="29" t="s">
        <v>91</v>
      </c>
      <c r="D1198" s="29" t="s">
        <v>4072</v>
      </c>
      <c r="E1198" s="4" t="n">
        <v>4</v>
      </c>
      <c r="F1198" s="4" t="s">
        <v>213</v>
      </c>
      <c r="G1198" s="4" t="s">
        <v>1036</v>
      </c>
      <c r="H1198" s="4" t="n">
        <v>1977</v>
      </c>
      <c r="I1198" s="4" t="s">
        <v>316</v>
      </c>
      <c r="J1198" s="25" t="str">
        <f aca="false">IF(M1198=1,"✓","")</f>
        <v/>
      </c>
      <c r="K1198" s="4" t="str">
        <f aca="false">IF(AND(M1198=0,P1198=0),"▶ NEXT","")</f>
        <v/>
      </c>
      <c r="L1198" s="4" t="n">
        <f aca="false">INDEX('Master List'!$F$2:$F$2594,O1198)</f>
        <v>2</v>
      </c>
      <c r="M1198" s="4" t="n">
        <f aca="false">INDEX('Master List'!$G$2:$G$2594,O1198)</f>
        <v>0</v>
      </c>
      <c r="N1198" s="4" t="str">
        <f aca="false">IF(K1198="","",A1198)</f>
        <v/>
      </c>
      <c r="O1198" s="4" t="n">
        <v>1848</v>
      </c>
      <c r="P1198" s="4" t="n">
        <f aca="false">IF(A1198=A1197,P1197+1-M1197,0)</f>
        <v>1</v>
      </c>
    </row>
    <row r="1199" customFormat="false" ht="15" hidden="false" customHeight="false" outlineLevel="0" collapsed="false">
      <c r="A1199" s="29" t="s">
        <v>4071</v>
      </c>
      <c r="B1199" s="29" t="s">
        <v>52</v>
      </c>
      <c r="C1199" s="29" t="s">
        <v>91</v>
      </c>
      <c r="D1199" s="29" t="s">
        <v>4072</v>
      </c>
      <c r="E1199" s="4" t="n">
        <v>5</v>
      </c>
      <c r="F1199" s="4" t="s">
        <v>213</v>
      </c>
      <c r="G1199" s="4" t="s">
        <v>607</v>
      </c>
      <c r="H1199" s="4" t="n">
        <v>1979</v>
      </c>
      <c r="I1199" s="4" t="s">
        <v>316</v>
      </c>
      <c r="J1199" s="25" t="str">
        <f aca="false">IF(M1199=1,"✓","")</f>
        <v>✓</v>
      </c>
      <c r="K1199" s="4" t="str">
        <f aca="false">IF(AND(M1199=0,P1199=0),"▶ NEXT","")</f>
        <v/>
      </c>
      <c r="L1199" s="4" t="n">
        <f aca="false">INDEX('Master List'!$F$2:$F$2594,O1199)</f>
        <v>3</v>
      </c>
      <c r="M1199" s="4" t="n">
        <f aca="false">INDEX('Master List'!$G$2:$G$2594,O1199)</f>
        <v>1</v>
      </c>
      <c r="N1199" s="4" t="str">
        <f aca="false">IF(K1199="","",A1199)</f>
        <v/>
      </c>
      <c r="O1199" s="4" t="n">
        <v>359</v>
      </c>
      <c r="P1199" s="4" t="n">
        <f aca="false">IF(A1199=A1198,P1198+1-M1198,0)</f>
        <v>2</v>
      </c>
    </row>
    <row r="1200" customFormat="false" ht="15" hidden="false" customHeight="false" outlineLevel="0" collapsed="false">
      <c r="A1200" s="29" t="s">
        <v>4071</v>
      </c>
      <c r="B1200" s="29" t="s">
        <v>52</v>
      </c>
      <c r="C1200" s="29" t="s">
        <v>91</v>
      </c>
      <c r="D1200" s="29" t="s">
        <v>4072</v>
      </c>
      <c r="E1200" s="4" t="n">
        <v>6</v>
      </c>
      <c r="F1200" s="4" t="s">
        <v>213</v>
      </c>
      <c r="G1200" s="4" t="s">
        <v>315</v>
      </c>
      <c r="H1200" s="4" t="n">
        <v>1983</v>
      </c>
      <c r="I1200" s="4" t="s">
        <v>316</v>
      </c>
      <c r="J1200" s="25" t="str">
        <f aca="false">IF(M1200=1,"✓","")</f>
        <v>✓</v>
      </c>
      <c r="K1200" s="4" t="str">
        <f aca="false">IF(AND(M1200=0,P1200=0),"▶ NEXT","")</f>
        <v/>
      </c>
      <c r="L1200" s="4" t="n">
        <f aca="false">INDEX('Master List'!$F$2:$F$2594,O1200)</f>
        <v>5</v>
      </c>
      <c r="M1200" s="4" t="n">
        <f aca="false">INDEX('Master List'!$G$2:$G$2594,O1200)</f>
        <v>1</v>
      </c>
      <c r="N1200" s="4" t="str">
        <f aca="false">IF(K1200="","",A1200)</f>
        <v/>
      </c>
      <c r="O1200" s="4" t="n">
        <v>2434</v>
      </c>
      <c r="P1200" s="4" t="n">
        <f aca="false">IF(A1200=A1199,P1199+1-M1199,0)</f>
        <v>2</v>
      </c>
    </row>
    <row r="1201" customFormat="false" ht="15" hidden="false" customHeight="false" outlineLevel="0" collapsed="false">
      <c r="A1201" s="29" t="s">
        <v>4071</v>
      </c>
      <c r="B1201" s="29" t="s">
        <v>52</v>
      </c>
      <c r="C1201" s="29" t="s">
        <v>91</v>
      </c>
      <c r="D1201" s="29" t="s">
        <v>4072</v>
      </c>
      <c r="E1201" s="4" t="n">
        <v>7</v>
      </c>
      <c r="F1201" s="4" t="s">
        <v>213</v>
      </c>
      <c r="G1201" s="4" t="s">
        <v>1073</v>
      </c>
      <c r="H1201" s="4" t="n">
        <v>1985</v>
      </c>
      <c r="I1201" s="4" t="s">
        <v>1074</v>
      </c>
      <c r="J1201" s="25" t="str">
        <f aca="false">IF(M1201=1,"✓","")</f>
        <v/>
      </c>
      <c r="K1201" s="4" t="str">
        <f aca="false">IF(AND(M1201=0,P1201=0),"▶ NEXT","")</f>
        <v/>
      </c>
      <c r="L1201" s="4" t="n">
        <f aca="false">INDEX('Master List'!$F$2:$F$2594,O1201)</f>
        <v>2</v>
      </c>
      <c r="M1201" s="4" t="n">
        <f aca="false">INDEX('Master List'!$G$2:$G$2594,O1201)</f>
        <v>0</v>
      </c>
      <c r="N1201" s="4" t="str">
        <f aca="false">IF(K1201="","",A1201)</f>
        <v/>
      </c>
      <c r="O1201" s="4" t="n">
        <v>1865</v>
      </c>
      <c r="P1201" s="4" t="n">
        <f aca="false">IF(A1201=A1200,P1200+1-M1200,0)</f>
        <v>2</v>
      </c>
    </row>
    <row r="1202" customFormat="false" ht="15" hidden="false" customHeight="false" outlineLevel="0" collapsed="false">
      <c r="A1202" s="29" t="s">
        <v>4071</v>
      </c>
      <c r="B1202" s="29" t="s">
        <v>52</v>
      </c>
      <c r="C1202" s="29" t="s">
        <v>91</v>
      </c>
      <c r="D1202" s="29" t="s">
        <v>4072</v>
      </c>
      <c r="E1202" s="4" t="n">
        <v>8</v>
      </c>
      <c r="F1202" s="4" t="s">
        <v>213</v>
      </c>
      <c r="G1202" s="4" t="s">
        <v>1093</v>
      </c>
      <c r="H1202" s="4" t="n">
        <v>1989</v>
      </c>
      <c r="I1202" s="4" t="s">
        <v>1094</v>
      </c>
      <c r="J1202" s="25" t="str">
        <f aca="false">IF(M1202=1,"✓","")</f>
        <v/>
      </c>
      <c r="K1202" s="4" t="str">
        <f aca="false">IF(AND(M1202=0,P1202=0),"▶ NEXT","")</f>
        <v/>
      </c>
      <c r="L1202" s="4" t="n">
        <f aca="false">INDEX('Master List'!$F$2:$F$2594,O1202)</f>
        <v>2</v>
      </c>
      <c r="M1202" s="4" t="n">
        <f aca="false">INDEX('Master List'!$G$2:$G$2594,O1202)</f>
        <v>0</v>
      </c>
      <c r="N1202" s="4" t="str">
        <f aca="false">IF(K1202="","",A1202)</f>
        <v/>
      </c>
      <c r="O1202" s="4" t="n">
        <v>2103</v>
      </c>
      <c r="P1202" s="4" t="n">
        <f aca="false">IF(A1202=A1201,P1201+1-M1201,0)</f>
        <v>3</v>
      </c>
    </row>
    <row r="1203" customFormat="false" ht="15" hidden="false" customHeight="false" outlineLevel="0" collapsed="false">
      <c r="A1203" s="29" t="s">
        <v>4071</v>
      </c>
      <c r="B1203" s="29" t="s">
        <v>52</v>
      </c>
      <c r="C1203" s="29" t="s">
        <v>91</v>
      </c>
      <c r="D1203" s="29" t="s">
        <v>4072</v>
      </c>
      <c r="E1203" s="4" t="n">
        <v>9</v>
      </c>
      <c r="F1203" s="4" t="s">
        <v>213</v>
      </c>
      <c r="G1203" s="4" t="s">
        <v>493</v>
      </c>
      <c r="H1203" s="4" t="n">
        <v>1989</v>
      </c>
      <c r="I1203" s="4" t="s">
        <v>494</v>
      </c>
      <c r="J1203" s="25" t="str">
        <f aca="false">IF(M1203=1,"✓","")</f>
        <v/>
      </c>
      <c r="K1203" s="4" t="str">
        <f aca="false">IF(AND(M1203=0,P1203=0),"▶ NEXT","")</f>
        <v/>
      </c>
      <c r="L1203" s="4" t="n">
        <f aca="false">INDEX('Master List'!$F$2:$F$2594,O1203)</f>
        <v>4</v>
      </c>
      <c r="M1203" s="4" t="n">
        <f aca="false">INDEX('Master List'!$G$2:$G$2594,O1203)</f>
        <v>0</v>
      </c>
      <c r="N1203" s="4" t="str">
        <f aca="false">IF(K1203="","",A1203)</f>
        <v/>
      </c>
      <c r="O1203" s="4" t="n">
        <v>2259</v>
      </c>
      <c r="P1203" s="4" t="n">
        <f aca="false">IF(A1203=A1202,P1202+1-M1202,0)</f>
        <v>4</v>
      </c>
    </row>
    <row r="1204" customFormat="false" ht="15" hidden="false" customHeight="false" outlineLevel="0" collapsed="false">
      <c r="A1204" s="29" t="s">
        <v>4071</v>
      </c>
      <c r="B1204" s="29" t="s">
        <v>52</v>
      </c>
      <c r="C1204" s="29" t="s">
        <v>91</v>
      </c>
      <c r="D1204" s="29" t="s">
        <v>4072</v>
      </c>
      <c r="E1204" s="4" t="n">
        <v>10</v>
      </c>
      <c r="F1204" s="4" t="s">
        <v>213</v>
      </c>
      <c r="G1204" s="4" t="s">
        <v>1260</v>
      </c>
      <c r="H1204" s="4" t="n">
        <v>2021</v>
      </c>
      <c r="I1204" s="4" t="s">
        <v>876</v>
      </c>
      <c r="J1204" s="25" t="str">
        <f aca="false">IF(M1204=1,"✓","")</f>
        <v/>
      </c>
      <c r="K1204" s="4" t="str">
        <f aca="false">IF(AND(M1204=0,P1204=0),"▶ NEXT","")</f>
        <v/>
      </c>
      <c r="L1204" s="4" t="n">
        <f aca="false">INDEX('Master List'!$F$2:$F$2594,O1204)</f>
        <v>2</v>
      </c>
      <c r="M1204" s="4" t="n">
        <f aca="false">INDEX('Master List'!$G$2:$G$2594,O1204)</f>
        <v>0</v>
      </c>
      <c r="N1204" s="4" t="str">
        <f aca="false">IF(K1204="","",A1204)</f>
        <v/>
      </c>
      <c r="O1204" s="4" t="n">
        <v>2311</v>
      </c>
      <c r="P1204" s="4" t="n">
        <f aca="false">IF(A1204=A1203,P1203+1-M1203,0)</f>
        <v>5</v>
      </c>
    </row>
    <row r="1205" customFormat="false" ht="15" hidden="false" customHeight="false" outlineLevel="0" collapsed="false">
      <c r="A1205" s="29" t="s">
        <v>4071</v>
      </c>
      <c r="B1205" s="29" t="s">
        <v>52</v>
      </c>
      <c r="C1205" s="29" t="s">
        <v>91</v>
      </c>
      <c r="D1205" s="29" t="s">
        <v>4072</v>
      </c>
      <c r="E1205" s="4" t="n">
        <v>11</v>
      </c>
      <c r="F1205" s="4" t="s">
        <v>213</v>
      </c>
      <c r="G1205" s="4" t="s">
        <v>1422</v>
      </c>
      <c r="H1205" s="4" t="n">
        <v>2022</v>
      </c>
      <c r="I1205" s="4" t="s">
        <v>316</v>
      </c>
      <c r="J1205" s="25" t="str">
        <f aca="false">IF(M1205=1,"✓","")</f>
        <v/>
      </c>
      <c r="K1205" s="4" t="str">
        <f aca="false">IF(AND(M1205=0,P1205=0),"▶ NEXT","")</f>
        <v/>
      </c>
      <c r="L1205" s="4" t="n">
        <f aca="false">INDEX('Master List'!$F$2:$F$2594,O1205)</f>
        <v>2</v>
      </c>
      <c r="M1205" s="4" t="n">
        <f aca="false">INDEX('Master List'!$G$2:$G$2594,O1205)</f>
        <v>0</v>
      </c>
      <c r="N1205" s="4" t="str">
        <f aca="false">IF(K1205="","",A1205)</f>
        <v/>
      </c>
      <c r="O1205" s="4" t="n">
        <v>538</v>
      </c>
      <c r="P1205" s="4" t="n">
        <f aca="false">IF(A1205=A1204,P1204+1-M1204,0)</f>
        <v>6</v>
      </c>
    </row>
    <row r="1206" customFormat="false" ht="15" hidden="false" customHeight="false" outlineLevel="0" collapsed="false">
      <c r="A1206" s="29" t="s">
        <v>4071</v>
      </c>
      <c r="B1206" s="29" t="s">
        <v>52</v>
      </c>
      <c r="C1206" s="29" t="s">
        <v>91</v>
      </c>
      <c r="D1206" s="29" t="s">
        <v>4072</v>
      </c>
      <c r="E1206" s="4" t="n">
        <v>12</v>
      </c>
      <c r="F1206" s="4" t="s">
        <v>213</v>
      </c>
      <c r="G1206" s="4" t="s">
        <v>3256</v>
      </c>
      <c r="H1206" s="4" t="n">
        <v>2024</v>
      </c>
      <c r="I1206" s="4" t="s">
        <v>3257</v>
      </c>
      <c r="J1206" s="25" t="str">
        <f aca="false">IF(M1206=1,"✓","")</f>
        <v/>
      </c>
      <c r="K1206" s="4" t="str">
        <f aca="false">IF(AND(M1206=0,P1206=0),"▶ NEXT","")</f>
        <v/>
      </c>
      <c r="L1206" s="4" t="n">
        <f aca="false">INDEX('Master List'!$F$2:$F$2594,O1206)</f>
        <v>1</v>
      </c>
      <c r="M1206" s="4" t="n">
        <f aca="false">INDEX('Master List'!$G$2:$G$2594,O1206)</f>
        <v>0</v>
      </c>
      <c r="N1206" s="4" t="str">
        <f aca="false">IF(K1206="","",A1206)</f>
        <v/>
      </c>
      <c r="O1206" s="4" t="n">
        <v>2190</v>
      </c>
      <c r="P1206" s="4" t="n">
        <f aca="false">IF(A1206=A1205,P1205+1-M1205,0)</f>
        <v>7</v>
      </c>
    </row>
    <row r="1207" customFormat="false" ht="15" hidden="false" customHeight="false" outlineLevel="0" collapsed="false">
      <c r="A1207" s="29" t="s">
        <v>4071</v>
      </c>
      <c r="B1207" s="29" t="s">
        <v>52</v>
      </c>
      <c r="C1207" s="29" t="s">
        <v>91</v>
      </c>
      <c r="D1207" s="29" t="s">
        <v>4072</v>
      </c>
      <c r="E1207" s="4" t="n">
        <v>13</v>
      </c>
      <c r="F1207" s="4" t="s">
        <v>1327</v>
      </c>
      <c r="G1207" s="4" t="s">
        <v>560</v>
      </c>
      <c r="H1207" s="4" t="n">
        <v>1981</v>
      </c>
      <c r="I1207" s="4" t="s">
        <v>561</v>
      </c>
      <c r="J1207" s="25" t="str">
        <f aca="false">IF(M1207=1,"✓","")</f>
        <v/>
      </c>
      <c r="K1207" s="4" t="str">
        <f aca="false">IF(AND(M1207=0,P1207=0),"▶ NEXT","")</f>
        <v/>
      </c>
      <c r="L1207" s="4" t="n">
        <f aca="false">INDEX('Master List'!$F$2:$F$2594,O1207)</f>
        <v>4</v>
      </c>
      <c r="M1207" s="4" t="n">
        <f aca="false">INDEX('Master List'!$G$2:$G$2594,O1207)</f>
        <v>0</v>
      </c>
      <c r="N1207" s="4" t="str">
        <f aca="false">IF(K1207="","",A1207)</f>
        <v/>
      </c>
      <c r="O1207" s="4" t="n">
        <v>1801</v>
      </c>
      <c r="P1207" s="4" t="n">
        <f aca="false">IF(A1207=A1206,P1206+1-M1206,0)</f>
        <v>8</v>
      </c>
    </row>
    <row r="1208" customFormat="false" ht="15" hidden="false" customHeight="false" outlineLevel="0" collapsed="false">
      <c r="A1208" s="29" t="s">
        <v>4071</v>
      </c>
      <c r="B1208" s="29" t="s">
        <v>52</v>
      </c>
      <c r="C1208" s="29" t="s">
        <v>91</v>
      </c>
      <c r="D1208" s="29" t="s">
        <v>4072</v>
      </c>
      <c r="E1208" s="4" t="n">
        <v>14</v>
      </c>
      <c r="F1208" s="4" t="s">
        <v>1327</v>
      </c>
      <c r="G1208" s="4" t="s">
        <v>1374</v>
      </c>
      <c r="H1208" s="4" t="n">
        <v>1988</v>
      </c>
      <c r="I1208" s="4" t="s">
        <v>316</v>
      </c>
      <c r="J1208" s="25" t="str">
        <f aca="false">IF(M1208=1,"✓","")</f>
        <v/>
      </c>
      <c r="K1208" s="4" t="str">
        <f aca="false">IF(AND(M1208=0,P1208=0),"▶ NEXT","")</f>
        <v/>
      </c>
      <c r="L1208" s="4" t="n">
        <f aca="false">INDEX('Master List'!$F$2:$F$2594,O1208)</f>
        <v>2</v>
      </c>
      <c r="M1208" s="4" t="n">
        <f aca="false">INDEX('Master List'!$G$2:$G$2594,O1208)</f>
        <v>0</v>
      </c>
      <c r="N1208" s="4" t="str">
        <f aca="false">IF(K1208="","",A1208)</f>
        <v/>
      </c>
      <c r="O1208" s="4" t="n">
        <v>587</v>
      </c>
      <c r="P1208" s="4" t="n">
        <f aca="false">IF(A1208=A1207,P1207+1-M1207,0)</f>
        <v>9</v>
      </c>
    </row>
    <row r="1209" customFormat="false" ht="15" hidden="false" customHeight="false" outlineLevel="0" collapsed="false">
      <c r="A1209" s="29" t="s">
        <v>4073</v>
      </c>
      <c r="B1209" s="29" t="s">
        <v>52</v>
      </c>
      <c r="C1209" s="29" t="s">
        <v>91</v>
      </c>
      <c r="D1209" s="29" t="s">
        <v>4074</v>
      </c>
      <c r="E1209" s="4" t="n">
        <v>1</v>
      </c>
      <c r="F1209" s="4" t="s">
        <v>144</v>
      </c>
      <c r="G1209" s="7" t="s">
        <v>844</v>
      </c>
      <c r="H1209" s="4" t="n">
        <v>1998</v>
      </c>
      <c r="I1209" s="4" t="s">
        <v>845</v>
      </c>
      <c r="J1209" s="25" t="str">
        <f aca="false">IF(M1209=1,"✓","")</f>
        <v/>
      </c>
      <c r="K1209" s="4" t="str">
        <f aca="false">IF(AND(M1209=0,P1209=0),"▶ NEXT","")</f>
        <v>▶ NEXT</v>
      </c>
      <c r="L1209" s="4" t="n">
        <f aca="false">INDEX('Master List'!$F$2:$F$2594,O1209)</f>
        <v>2</v>
      </c>
      <c r="M1209" s="4" t="n">
        <f aca="false">INDEX('Master List'!$G$2:$G$2594,O1209)</f>
        <v>0</v>
      </c>
      <c r="N1209" s="4" t="str">
        <f aca="false">IF(K1209="","",A1209)</f>
        <v>N100</v>
      </c>
      <c r="O1209" s="4" t="n">
        <v>1907</v>
      </c>
      <c r="P1209" s="4" t="n">
        <f aca="false">IF(A1209=A1208,P1208+1-M1208,0)</f>
        <v>0</v>
      </c>
    </row>
    <row r="1210" customFormat="false" ht="15" hidden="false" customHeight="false" outlineLevel="0" collapsed="false">
      <c r="A1210" s="29" t="s">
        <v>4073</v>
      </c>
      <c r="B1210" s="29" t="s">
        <v>52</v>
      </c>
      <c r="C1210" s="29" t="s">
        <v>91</v>
      </c>
      <c r="D1210" s="29" t="s">
        <v>4074</v>
      </c>
      <c r="E1210" s="4" t="n">
        <v>2</v>
      </c>
      <c r="F1210" s="4" t="s">
        <v>144</v>
      </c>
      <c r="G1210" s="7" t="s">
        <v>663</v>
      </c>
      <c r="H1210" s="4" t="n">
        <v>1964</v>
      </c>
      <c r="I1210" s="4" t="s">
        <v>541</v>
      </c>
      <c r="J1210" s="25" t="str">
        <f aca="false">IF(M1210=1,"✓","")</f>
        <v/>
      </c>
      <c r="K1210" s="4" t="str">
        <f aca="false">IF(AND(M1210=0,P1210=0),"▶ NEXT","")</f>
        <v/>
      </c>
      <c r="L1210" s="4" t="n">
        <f aca="false">INDEX('Master List'!$F$2:$F$2594,O1210)</f>
        <v>2</v>
      </c>
      <c r="M1210" s="4" t="n">
        <f aca="false">INDEX('Master List'!$G$2:$G$2594,O1210)</f>
        <v>0</v>
      </c>
      <c r="N1210" s="4" t="str">
        <f aca="false">IF(K1210="","",A1210)</f>
        <v/>
      </c>
      <c r="O1210" s="4" t="n">
        <v>1275</v>
      </c>
      <c r="P1210" s="4" t="n">
        <f aca="false">IF(A1210=A1209,P1209+1-M1209,0)</f>
        <v>1</v>
      </c>
    </row>
    <row r="1211" customFormat="false" ht="15" hidden="false" customHeight="false" outlineLevel="0" collapsed="false">
      <c r="A1211" s="29" t="s">
        <v>4073</v>
      </c>
      <c r="B1211" s="29" t="s">
        <v>52</v>
      </c>
      <c r="C1211" s="29" t="s">
        <v>91</v>
      </c>
      <c r="D1211" s="29" t="s">
        <v>4074</v>
      </c>
      <c r="E1211" s="4" t="n">
        <v>3</v>
      </c>
      <c r="F1211" s="4" t="s">
        <v>213</v>
      </c>
      <c r="G1211" s="4" t="s">
        <v>376</v>
      </c>
      <c r="H1211" s="4" t="n">
        <v>1964</v>
      </c>
      <c r="I1211" s="4" t="s">
        <v>377</v>
      </c>
      <c r="J1211" s="25" t="str">
        <f aca="false">IF(M1211=1,"✓","")</f>
        <v/>
      </c>
      <c r="K1211" s="4" t="str">
        <f aca="false">IF(AND(M1211=0,P1211=0),"▶ NEXT","")</f>
        <v/>
      </c>
      <c r="L1211" s="4" t="n">
        <f aca="false">INDEX('Master List'!$F$2:$F$2594,O1211)</f>
        <v>4</v>
      </c>
      <c r="M1211" s="4" t="n">
        <f aca="false">INDEX('Master List'!$G$2:$G$2594,O1211)</f>
        <v>0</v>
      </c>
      <c r="N1211" s="4" t="str">
        <f aca="false">IF(K1211="","",A1211)</f>
        <v/>
      </c>
      <c r="O1211" s="4" t="n">
        <v>1683</v>
      </c>
      <c r="P1211" s="4" t="n">
        <f aca="false">IF(A1211=A1210,P1210+1-M1210,0)</f>
        <v>2</v>
      </c>
    </row>
    <row r="1212" customFormat="false" ht="15" hidden="false" customHeight="false" outlineLevel="0" collapsed="false">
      <c r="A1212" s="29" t="s">
        <v>4073</v>
      </c>
      <c r="B1212" s="29" t="s">
        <v>52</v>
      </c>
      <c r="C1212" s="29" t="s">
        <v>91</v>
      </c>
      <c r="D1212" s="29" t="s">
        <v>4074</v>
      </c>
      <c r="E1212" s="4" t="n">
        <v>4</v>
      </c>
      <c r="F1212" s="4" t="s">
        <v>213</v>
      </c>
      <c r="G1212" s="4" t="s">
        <v>1000</v>
      </c>
      <c r="H1212" s="4" t="n">
        <v>1968</v>
      </c>
      <c r="I1212" s="4" t="s">
        <v>377</v>
      </c>
      <c r="J1212" s="25" t="str">
        <f aca="false">IF(M1212=1,"✓","")</f>
        <v/>
      </c>
      <c r="K1212" s="4" t="str">
        <f aca="false">IF(AND(M1212=0,P1212=0),"▶ NEXT","")</f>
        <v/>
      </c>
      <c r="L1212" s="4" t="n">
        <f aca="false">INDEX('Master List'!$F$2:$F$2594,O1212)</f>
        <v>2</v>
      </c>
      <c r="M1212" s="4" t="n">
        <f aca="false">INDEX('Master List'!$G$2:$G$2594,O1212)</f>
        <v>0</v>
      </c>
      <c r="N1212" s="4" t="str">
        <f aca="false">IF(K1212="","",A1212)</f>
        <v/>
      </c>
      <c r="O1212" s="4" t="n">
        <v>1274</v>
      </c>
      <c r="P1212" s="4" t="n">
        <f aca="false">IF(A1212=A1211,P1211+1-M1211,0)</f>
        <v>3</v>
      </c>
    </row>
    <row r="1213" customFormat="false" ht="15" hidden="false" customHeight="false" outlineLevel="0" collapsed="false">
      <c r="A1213" s="29" t="s">
        <v>4073</v>
      </c>
      <c r="B1213" s="29" t="s">
        <v>52</v>
      </c>
      <c r="C1213" s="29" t="s">
        <v>91</v>
      </c>
      <c r="D1213" s="29" t="s">
        <v>4074</v>
      </c>
      <c r="E1213" s="4" t="n">
        <v>5</v>
      </c>
      <c r="F1213" s="4" t="s">
        <v>213</v>
      </c>
      <c r="G1213" s="4" t="s">
        <v>485</v>
      </c>
      <c r="H1213" s="4" t="n">
        <v>1977</v>
      </c>
      <c r="I1213" s="4" t="s">
        <v>486</v>
      </c>
      <c r="J1213" s="25" t="str">
        <f aca="false">IF(M1213=1,"✓","")</f>
        <v/>
      </c>
      <c r="K1213" s="4" t="str">
        <f aca="false">IF(AND(M1213=0,P1213=0),"▶ NEXT","")</f>
        <v/>
      </c>
      <c r="L1213" s="4" t="n">
        <f aca="false">INDEX('Master List'!$F$2:$F$2594,O1213)</f>
        <v>3</v>
      </c>
      <c r="M1213" s="4" t="n">
        <f aca="false">INDEX('Master List'!$G$2:$G$2594,O1213)</f>
        <v>0</v>
      </c>
      <c r="N1213" s="4" t="str">
        <f aca="false">IF(K1213="","",A1213)</f>
        <v/>
      </c>
      <c r="O1213" s="4" t="n">
        <v>1072</v>
      </c>
      <c r="P1213" s="4" t="n">
        <f aca="false">IF(A1213=A1212,P1212+1-M1212,0)</f>
        <v>4</v>
      </c>
    </row>
    <row r="1214" customFormat="false" ht="15" hidden="false" customHeight="false" outlineLevel="0" collapsed="false">
      <c r="A1214" s="29" t="s">
        <v>4073</v>
      </c>
      <c r="B1214" s="29" t="s">
        <v>52</v>
      </c>
      <c r="C1214" s="29" t="s">
        <v>91</v>
      </c>
      <c r="D1214" s="29" t="s">
        <v>4074</v>
      </c>
      <c r="E1214" s="4" t="n">
        <v>6</v>
      </c>
      <c r="F1214" s="4" t="s">
        <v>213</v>
      </c>
      <c r="G1214" s="4" t="s">
        <v>504</v>
      </c>
      <c r="H1214" s="4" t="n">
        <v>1997</v>
      </c>
      <c r="I1214" s="4" t="s">
        <v>505</v>
      </c>
      <c r="J1214" s="25" t="str">
        <f aca="false">IF(M1214=1,"✓","")</f>
        <v/>
      </c>
      <c r="K1214" s="4" t="str">
        <f aca="false">IF(AND(M1214=0,P1214=0),"▶ NEXT","")</f>
        <v/>
      </c>
      <c r="L1214" s="4" t="n">
        <f aca="false">INDEX('Master List'!$F$2:$F$2594,O1214)</f>
        <v>4</v>
      </c>
      <c r="M1214" s="4" t="n">
        <f aca="false">INDEX('Master List'!$G$2:$G$2594,O1214)</f>
        <v>0</v>
      </c>
      <c r="N1214" s="4" t="str">
        <f aca="false">IF(K1214="","",A1214)</f>
        <v/>
      </c>
      <c r="O1214" s="4" t="n">
        <v>548</v>
      </c>
      <c r="P1214" s="4" t="n">
        <f aca="false">IF(A1214=A1213,P1213+1-M1213,0)</f>
        <v>5</v>
      </c>
    </row>
    <row r="1215" customFormat="false" ht="15" hidden="false" customHeight="false" outlineLevel="0" collapsed="false">
      <c r="A1215" s="29" t="s">
        <v>4073</v>
      </c>
      <c r="B1215" s="29" t="s">
        <v>52</v>
      </c>
      <c r="C1215" s="29" t="s">
        <v>91</v>
      </c>
      <c r="D1215" s="29" t="s">
        <v>4074</v>
      </c>
      <c r="E1215" s="4" t="n">
        <v>7</v>
      </c>
      <c r="F1215" s="4" t="s">
        <v>213</v>
      </c>
      <c r="G1215" s="4" t="s">
        <v>1126</v>
      </c>
      <c r="H1215" s="4" t="n">
        <v>1999</v>
      </c>
      <c r="I1215" s="4" t="s">
        <v>1127</v>
      </c>
      <c r="J1215" s="25" t="str">
        <f aca="false">IF(M1215=1,"✓","")</f>
        <v/>
      </c>
      <c r="K1215" s="4" t="str">
        <f aca="false">IF(AND(M1215=0,P1215=0),"▶ NEXT","")</f>
        <v/>
      </c>
      <c r="L1215" s="4" t="n">
        <f aca="false">INDEX('Master List'!$F$2:$F$2594,O1215)</f>
        <v>2</v>
      </c>
      <c r="M1215" s="4" t="n">
        <f aca="false">INDEX('Master List'!$G$2:$G$2594,O1215)</f>
        <v>0</v>
      </c>
      <c r="N1215" s="4" t="str">
        <f aca="false">IF(K1215="","",A1215)</f>
        <v/>
      </c>
      <c r="O1215" s="4" t="n">
        <v>150</v>
      </c>
      <c r="P1215" s="4" t="n">
        <f aca="false">IF(A1215=A1214,P1214+1-M1214,0)</f>
        <v>6</v>
      </c>
    </row>
    <row r="1216" customFormat="false" ht="15" hidden="false" customHeight="false" outlineLevel="0" collapsed="false">
      <c r="A1216" s="29" t="s">
        <v>4073</v>
      </c>
      <c r="B1216" s="29" t="s">
        <v>52</v>
      </c>
      <c r="C1216" s="29" t="s">
        <v>91</v>
      </c>
      <c r="D1216" s="29" t="s">
        <v>4074</v>
      </c>
      <c r="E1216" s="4" t="n">
        <v>8</v>
      </c>
      <c r="F1216" s="4" t="s">
        <v>213</v>
      </c>
      <c r="G1216" s="4" t="s">
        <v>714</v>
      </c>
      <c r="H1216" s="4" t="n">
        <v>2001</v>
      </c>
      <c r="I1216" s="4" t="s">
        <v>505</v>
      </c>
      <c r="J1216" s="25" t="str">
        <f aca="false">IF(M1216=1,"✓","")</f>
        <v/>
      </c>
      <c r="K1216" s="4" t="str">
        <f aca="false">IF(AND(M1216=0,P1216=0),"▶ NEXT","")</f>
        <v/>
      </c>
      <c r="L1216" s="4" t="n">
        <f aca="false">INDEX('Master List'!$F$2:$F$2594,O1216)</f>
        <v>3</v>
      </c>
      <c r="M1216" s="4" t="n">
        <f aca="false">INDEX('Master List'!$G$2:$G$2594,O1216)</f>
        <v>0</v>
      </c>
      <c r="N1216" s="4" t="str">
        <f aca="false">IF(K1216="","",A1216)</f>
        <v/>
      </c>
      <c r="O1216" s="4" t="n">
        <v>1831</v>
      </c>
      <c r="P1216" s="4" t="n">
        <f aca="false">IF(A1216=A1215,P1215+1-M1215,0)</f>
        <v>7</v>
      </c>
    </row>
    <row r="1217" customFormat="false" ht="15" hidden="false" customHeight="false" outlineLevel="0" collapsed="false">
      <c r="A1217" s="29" t="s">
        <v>4073</v>
      </c>
      <c r="B1217" s="29" t="s">
        <v>52</v>
      </c>
      <c r="C1217" s="29" t="s">
        <v>91</v>
      </c>
      <c r="D1217" s="29" t="s">
        <v>4074</v>
      </c>
      <c r="E1217" s="4" t="n">
        <v>9</v>
      </c>
      <c r="F1217" s="4" t="s">
        <v>213</v>
      </c>
      <c r="G1217" s="4" t="s">
        <v>2771</v>
      </c>
      <c r="H1217" s="4" t="n">
        <v>2002</v>
      </c>
      <c r="I1217" s="4" t="s">
        <v>845</v>
      </c>
      <c r="J1217" s="25" t="str">
        <f aca="false">IF(M1217=1,"✓","")</f>
        <v/>
      </c>
      <c r="K1217" s="4" t="str">
        <f aca="false">IF(AND(M1217=0,P1217=0),"▶ NEXT","")</f>
        <v/>
      </c>
      <c r="L1217" s="4" t="n">
        <f aca="false">INDEX('Master List'!$F$2:$F$2594,O1217)</f>
        <v>1</v>
      </c>
      <c r="M1217" s="4" t="n">
        <f aca="false">INDEX('Master List'!$G$2:$G$2594,O1217)</f>
        <v>0</v>
      </c>
      <c r="N1217" s="4" t="str">
        <f aca="false">IF(K1217="","",A1217)</f>
        <v/>
      </c>
      <c r="O1217" s="4" t="n">
        <v>566</v>
      </c>
      <c r="P1217" s="4" t="n">
        <f aca="false">IF(A1217=A1216,P1216+1-M1216,0)</f>
        <v>8</v>
      </c>
    </row>
    <row r="1218" customFormat="false" ht="15" hidden="false" customHeight="false" outlineLevel="0" collapsed="false">
      <c r="A1218" s="29" t="s">
        <v>4073</v>
      </c>
      <c r="B1218" s="29" t="s">
        <v>52</v>
      </c>
      <c r="C1218" s="29" t="s">
        <v>91</v>
      </c>
      <c r="D1218" s="29" t="s">
        <v>4074</v>
      </c>
      <c r="E1218" s="4" t="n">
        <v>10</v>
      </c>
      <c r="F1218" s="4" t="s">
        <v>213</v>
      </c>
      <c r="G1218" s="4" t="s">
        <v>2772</v>
      </c>
      <c r="H1218" s="4" t="n">
        <v>2002</v>
      </c>
      <c r="I1218" s="4" t="s">
        <v>2773</v>
      </c>
      <c r="J1218" s="25" t="str">
        <f aca="false">IF(M1218=1,"✓","")</f>
        <v/>
      </c>
      <c r="K1218" s="4" t="str">
        <f aca="false">IF(AND(M1218=0,P1218=0),"▶ NEXT","")</f>
        <v/>
      </c>
      <c r="L1218" s="4" t="n">
        <f aca="false">INDEX('Master List'!$F$2:$F$2594,O1218)</f>
        <v>1</v>
      </c>
      <c r="M1218" s="4" t="n">
        <f aca="false">INDEX('Master List'!$G$2:$G$2594,O1218)</f>
        <v>0</v>
      </c>
      <c r="N1218" s="4" t="str">
        <f aca="false">IF(K1218="","",A1218)</f>
        <v/>
      </c>
      <c r="O1218" s="4" t="n">
        <v>1220</v>
      </c>
      <c r="P1218" s="4" t="n">
        <f aca="false">IF(A1218=A1217,P1217+1-M1217,0)</f>
        <v>9</v>
      </c>
    </row>
    <row r="1219" customFormat="false" ht="15" hidden="false" customHeight="false" outlineLevel="0" collapsed="false">
      <c r="A1219" s="29" t="s">
        <v>4073</v>
      </c>
      <c r="B1219" s="29" t="s">
        <v>52</v>
      </c>
      <c r="C1219" s="29" t="s">
        <v>91</v>
      </c>
      <c r="D1219" s="29" t="s">
        <v>4074</v>
      </c>
      <c r="E1219" s="4" t="n">
        <v>11</v>
      </c>
      <c r="F1219" s="4" t="s">
        <v>213</v>
      </c>
      <c r="G1219" s="4" t="s">
        <v>1400</v>
      </c>
      <c r="H1219" s="4" t="n">
        <v>2003</v>
      </c>
      <c r="I1219" s="4" t="s">
        <v>1401</v>
      </c>
      <c r="J1219" s="25" t="str">
        <f aca="false">IF(M1219=1,"✓","")</f>
        <v/>
      </c>
      <c r="K1219" s="4" t="str">
        <f aca="false">IF(AND(M1219=0,P1219=0),"▶ NEXT","")</f>
        <v/>
      </c>
      <c r="L1219" s="4" t="n">
        <f aca="false">INDEX('Master List'!$F$2:$F$2594,O1219)</f>
        <v>2</v>
      </c>
      <c r="M1219" s="4" t="n">
        <f aca="false">INDEX('Master List'!$G$2:$G$2594,O1219)</f>
        <v>0</v>
      </c>
      <c r="N1219" s="4" t="str">
        <f aca="false">IF(K1219="","",A1219)</f>
        <v/>
      </c>
      <c r="O1219" s="4" t="n">
        <v>2234</v>
      </c>
      <c r="P1219" s="4" t="n">
        <f aca="false">IF(A1219=A1218,P1218+1-M1218,0)</f>
        <v>10</v>
      </c>
    </row>
    <row r="1220" customFormat="false" ht="15" hidden="false" customHeight="false" outlineLevel="0" collapsed="false">
      <c r="A1220" s="29" t="s">
        <v>4073</v>
      </c>
      <c r="B1220" s="29" t="s">
        <v>52</v>
      </c>
      <c r="C1220" s="29" t="s">
        <v>91</v>
      </c>
      <c r="D1220" s="29" t="s">
        <v>4074</v>
      </c>
      <c r="E1220" s="4" t="n">
        <v>12</v>
      </c>
      <c r="F1220" s="4" t="s">
        <v>213</v>
      </c>
      <c r="G1220" s="4" t="s">
        <v>2817</v>
      </c>
      <c r="H1220" s="4" t="n">
        <v>2004</v>
      </c>
      <c r="I1220" s="4" t="s">
        <v>2818</v>
      </c>
      <c r="J1220" s="25" t="str">
        <f aca="false">IF(M1220=1,"✓","")</f>
        <v/>
      </c>
      <c r="K1220" s="4" t="str">
        <f aca="false">IF(AND(M1220=0,P1220=0),"▶ NEXT","")</f>
        <v/>
      </c>
      <c r="L1220" s="4" t="n">
        <f aca="false">INDEX('Master List'!$F$2:$F$2594,O1220)</f>
        <v>1</v>
      </c>
      <c r="M1220" s="4" t="n">
        <f aca="false">INDEX('Master List'!$G$2:$G$2594,O1220)</f>
        <v>0</v>
      </c>
      <c r="N1220" s="4" t="str">
        <f aca="false">IF(K1220="","",A1220)</f>
        <v/>
      </c>
      <c r="O1220" s="4" t="n">
        <v>2063</v>
      </c>
      <c r="P1220" s="4" t="n">
        <f aca="false">IF(A1220=A1219,P1219+1-M1219,0)</f>
        <v>11</v>
      </c>
    </row>
    <row r="1221" customFormat="false" ht="15" hidden="false" customHeight="false" outlineLevel="0" collapsed="false">
      <c r="A1221" s="29" t="s">
        <v>4073</v>
      </c>
      <c r="B1221" s="29" t="s">
        <v>52</v>
      </c>
      <c r="C1221" s="29" t="s">
        <v>91</v>
      </c>
      <c r="D1221" s="29" t="s">
        <v>4074</v>
      </c>
      <c r="E1221" s="4" t="n">
        <v>13</v>
      </c>
      <c r="F1221" s="4" t="s">
        <v>213</v>
      </c>
      <c r="G1221" s="4" t="s">
        <v>1227</v>
      </c>
      <c r="H1221" s="4" t="n">
        <v>2016</v>
      </c>
      <c r="I1221" s="4" t="s">
        <v>861</v>
      </c>
      <c r="J1221" s="25" t="str">
        <f aca="false">IF(M1221=1,"✓","")</f>
        <v/>
      </c>
      <c r="K1221" s="4" t="str">
        <f aca="false">IF(AND(M1221=0,P1221=0),"▶ NEXT","")</f>
        <v/>
      </c>
      <c r="L1221" s="4" t="n">
        <f aca="false">INDEX('Master List'!$F$2:$F$2594,O1221)</f>
        <v>2</v>
      </c>
      <c r="M1221" s="4" t="n">
        <f aca="false">INDEX('Master List'!$G$2:$G$2594,O1221)</f>
        <v>0</v>
      </c>
      <c r="N1221" s="4" t="str">
        <f aca="false">IF(K1221="","",A1221)</f>
        <v/>
      </c>
      <c r="O1221" s="4" t="n">
        <v>2450</v>
      </c>
      <c r="P1221" s="4" t="n">
        <f aca="false">IF(A1221=A1220,P1220+1-M1220,0)</f>
        <v>12</v>
      </c>
    </row>
    <row r="1222" customFormat="false" ht="15" hidden="false" customHeight="false" outlineLevel="0" collapsed="false">
      <c r="A1222" s="29" t="s">
        <v>4073</v>
      </c>
      <c r="B1222" s="29" t="s">
        <v>52</v>
      </c>
      <c r="C1222" s="29" t="s">
        <v>91</v>
      </c>
      <c r="D1222" s="29" t="s">
        <v>4074</v>
      </c>
      <c r="E1222" s="4" t="n">
        <v>14</v>
      </c>
      <c r="F1222" s="4" t="s">
        <v>1327</v>
      </c>
      <c r="G1222" s="4" t="s">
        <v>3396</v>
      </c>
      <c r="H1222" s="4" t="n">
        <v>1959</v>
      </c>
      <c r="I1222" s="4" t="s">
        <v>3397</v>
      </c>
      <c r="J1222" s="25" t="str">
        <f aca="false">IF(M1222=1,"✓","")</f>
        <v/>
      </c>
      <c r="K1222" s="4" t="str">
        <f aca="false">IF(AND(M1222=0,P1222=0),"▶ NEXT","")</f>
        <v/>
      </c>
      <c r="L1222" s="4" t="n">
        <f aca="false">INDEX('Master List'!$F$2:$F$2594,O1222)</f>
        <v>1</v>
      </c>
      <c r="M1222" s="4" t="n">
        <f aca="false">INDEX('Master List'!$G$2:$G$2594,O1222)</f>
        <v>0</v>
      </c>
      <c r="N1222" s="4" t="str">
        <f aca="false">IF(K1222="","",A1222)</f>
        <v/>
      </c>
      <c r="O1222" s="4" t="n">
        <v>893</v>
      </c>
      <c r="P1222" s="4" t="n">
        <f aca="false">IF(A1222=A1221,P1221+1-M1221,0)</f>
        <v>13</v>
      </c>
    </row>
    <row r="1223" customFormat="false" ht="15" hidden="false" customHeight="false" outlineLevel="0" collapsed="false">
      <c r="A1223" s="29" t="s">
        <v>4073</v>
      </c>
      <c r="B1223" s="29" t="s">
        <v>52</v>
      </c>
      <c r="C1223" s="29" t="s">
        <v>91</v>
      </c>
      <c r="D1223" s="29" t="s">
        <v>4074</v>
      </c>
      <c r="E1223" s="4" t="n">
        <v>15</v>
      </c>
      <c r="F1223" s="4" t="s">
        <v>1327</v>
      </c>
      <c r="G1223" s="4" t="s">
        <v>3407</v>
      </c>
      <c r="H1223" s="4" t="n">
        <v>1960</v>
      </c>
      <c r="I1223" s="4" t="s">
        <v>3397</v>
      </c>
      <c r="J1223" s="25" t="str">
        <f aca="false">IF(M1223=1,"✓","")</f>
        <v/>
      </c>
      <c r="K1223" s="4" t="str">
        <f aca="false">IF(AND(M1223=0,P1223=0),"▶ NEXT","")</f>
        <v/>
      </c>
      <c r="L1223" s="4" t="n">
        <f aca="false">INDEX('Master List'!$F$2:$F$2594,O1223)</f>
        <v>1</v>
      </c>
      <c r="M1223" s="4" t="n">
        <f aca="false">INDEX('Master List'!$G$2:$G$2594,O1223)</f>
        <v>0</v>
      </c>
      <c r="N1223" s="4" t="str">
        <f aca="false">IF(K1223="","",A1223)</f>
        <v/>
      </c>
      <c r="O1223" s="4" t="n">
        <v>1207</v>
      </c>
      <c r="P1223" s="4" t="n">
        <f aca="false">IF(A1223=A1222,P1222+1-M1222,0)</f>
        <v>14</v>
      </c>
    </row>
    <row r="1224" customFormat="false" ht="15" hidden="false" customHeight="false" outlineLevel="0" collapsed="false">
      <c r="A1224" s="29" t="s">
        <v>4075</v>
      </c>
      <c r="B1224" s="29" t="s">
        <v>52</v>
      </c>
      <c r="C1224" s="29" t="s">
        <v>91</v>
      </c>
      <c r="D1224" s="29" t="s">
        <v>4076</v>
      </c>
      <c r="E1224" s="4" t="n">
        <v>1</v>
      </c>
      <c r="F1224" s="4" t="s">
        <v>144</v>
      </c>
      <c r="G1224" s="7" t="s">
        <v>1573</v>
      </c>
      <c r="H1224" s="4" t="n">
        <v>1999</v>
      </c>
      <c r="I1224" s="4" t="s">
        <v>1574</v>
      </c>
      <c r="J1224" s="25" t="str">
        <f aca="false">IF(M1224=1,"✓","")</f>
        <v/>
      </c>
      <c r="K1224" s="4" t="str">
        <f aca="false">IF(AND(M1224=0,P1224=0),"▶ NEXT","")</f>
        <v>▶ NEXT</v>
      </c>
      <c r="L1224" s="4" t="n">
        <f aca="false">INDEX('Master List'!$F$2:$F$2594,O1224)</f>
        <v>1</v>
      </c>
      <c r="M1224" s="4" t="n">
        <f aca="false">INDEX('Master List'!$G$2:$G$2594,O1224)</f>
        <v>0</v>
      </c>
      <c r="N1224" s="4" t="str">
        <f aca="false">IF(K1224="","",A1224)</f>
        <v>N101</v>
      </c>
      <c r="O1224" s="4" t="n">
        <v>281</v>
      </c>
      <c r="P1224" s="4" t="n">
        <f aca="false">IF(A1224=A1223,P1223+1-M1223,0)</f>
        <v>0</v>
      </c>
    </row>
    <row r="1225" customFormat="false" ht="15" hidden="false" customHeight="false" outlineLevel="0" collapsed="false">
      <c r="A1225" s="29" t="s">
        <v>4075</v>
      </c>
      <c r="B1225" s="29" t="s">
        <v>52</v>
      </c>
      <c r="C1225" s="29" t="s">
        <v>91</v>
      </c>
      <c r="D1225" s="29" t="s">
        <v>4076</v>
      </c>
      <c r="E1225" s="4" t="n">
        <v>2</v>
      </c>
      <c r="F1225" s="4" t="s">
        <v>144</v>
      </c>
      <c r="G1225" s="7" t="s">
        <v>1600</v>
      </c>
      <c r="H1225" s="4" t="n">
        <v>2007</v>
      </c>
      <c r="I1225" s="4" t="s">
        <v>1601</v>
      </c>
      <c r="J1225" s="25" t="str">
        <f aca="false">IF(M1225=1,"✓","")</f>
        <v/>
      </c>
      <c r="K1225" s="4" t="str">
        <f aca="false">IF(AND(M1225=0,P1225=0),"▶ NEXT","")</f>
        <v/>
      </c>
      <c r="L1225" s="4" t="n">
        <f aca="false">INDEX('Master List'!$F$2:$F$2594,O1225)</f>
        <v>1</v>
      </c>
      <c r="M1225" s="4" t="n">
        <f aca="false">INDEX('Master List'!$G$2:$G$2594,O1225)</f>
        <v>0</v>
      </c>
      <c r="N1225" s="4" t="str">
        <f aca="false">IF(K1225="","",A1225)</f>
        <v/>
      </c>
      <c r="O1225" s="4" t="n">
        <v>1870</v>
      </c>
      <c r="P1225" s="4" t="n">
        <f aca="false">IF(A1225=A1224,P1224+1-M1224,0)</f>
        <v>1</v>
      </c>
    </row>
    <row r="1226" customFormat="false" ht="15" hidden="false" customHeight="false" outlineLevel="0" collapsed="false">
      <c r="A1226" s="29" t="s">
        <v>4075</v>
      </c>
      <c r="B1226" s="29" t="s">
        <v>52</v>
      </c>
      <c r="C1226" s="29" t="s">
        <v>91</v>
      </c>
      <c r="D1226" s="29" t="s">
        <v>4076</v>
      </c>
      <c r="E1226" s="4" t="n">
        <v>3</v>
      </c>
      <c r="F1226" s="4" t="s">
        <v>213</v>
      </c>
      <c r="G1226" s="4" t="s">
        <v>1051</v>
      </c>
      <c r="H1226" s="4" t="n">
        <v>1980</v>
      </c>
      <c r="I1226" s="4" t="s">
        <v>1052</v>
      </c>
      <c r="J1226" s="25" t="str">
        <f aca="false">IF(M1226=1,"✓","")</f>
        <v/>
      </c>
      <c r="K1226" s="4" t="str">
        <f aca="false">IF(AND(M1226=0,P1226=0),"▶ NEXT","")</f>
        <v/>
      </c>
      <c r="L1226" s="4" t="n">
        <f aca="false">INDEX('Master List'!$F$2:$F$2594,O1226)</f>
        <v>2</v>
      </c>
      <c r="M1226" s="4" t="n">
        <f aca="false">INDEX('Master List'!$G$2:$G$2594,O1226)</f>
        <v>0</v>
      </c>
      <c r="N1226" s="4" t="str">
        <f aca="false">IF(K1226="","",A1226)</f>
        <v/>
      </c>
      <c r="O1226" s="4" t="n">
        <v>387</v>
      </c>
      <c r="P1226" s="4" t="n">
        <f aca="false">IF(A1226=A1225,P1225+1-M1225,0)</f>
        <v>2</v>
      </c>
    </row>
    <row r="1227" customFormat="false" ht="15" hidden="false" customHeight="false" outlineLevel="0" collapsed="false">
      <c r="A1227" s="29" t="s">
        <v>4075</v>
      </c>
      <c r="B1227" s="29" t="s">
        <v>52</v>
      </c>
      <c r="C1227" s="29" t="s">
        <v>91</v>
      </c>
      <c r="D1227" s="29" t="s">
        <v>4076</v>
      </c>
      <c r="E1227" s="4" t="n">
        <v>4</v>
      </c>
      <c r="F1227" s="4" t="s">
        <v>213</v>
      </c>
      <c r="G1227" s="4" t="s">
        <v>1544</v>
      </c>
      <c r="H1227" s="4" t="n">
        <v>1992</v>
      </c>
      <c r="I1227" s="4" t="s">
        <v>1545</v>
      </c>
      <c r="J1227" s="25" t="str">
        <f aca="false">IF(M1227=1,"✓","")</f>
        <v/>
      </c>
      <c r="K1227" s="4" t="str">
        <f aca="false">IF(AND(M1227=0,P1227=0),"▶ NEXT","")</f>
        <v/>
      </c>
      <c r="L1227" s="4" t="n">
        <f aca="false">INDEX('Master List'!$F$2:$F$2594,O1227)</f>
        <v>2</v>
      </c>
      <c r="M1227" s="4" t="n">
        <f aca="false">INDEX('Master List'!$G$2:$G$2594,O1227)</f>
        <v>0</v>
      </c>
      <c r="N1227" s="4" t="str">
        <f aca="false">IF(K1227="","",A1227)</f>
        <v/>
      </c>
      <c r="O1227" s="4" t="n">
        <v>1421</v>
      </c>
      <c r="P1227" s="4" t="n">
        <f aca="false">IF(A1227=A1226,P1226+1-M1226,0)</f>
        <v>3</v>
      </c>
    </row>
    <row r="1228" customFormat="false" ht="15" hidden="false" customHeight="false" outlineLevel="0" collapsed="false">
      <c r="A1228" s="29" t="s">
        <v>4075</v>
      </c>
      <c r="B1228" s="29" t="s">
        <v>52</v>
      </c>
      <c r="C1228" s="29" t="s">
        <v>91</v>
      </c>
      <c r="D1228" s="29" t="s">
        <v>4076</v>
      </c>
      <c r="E1228" s="4" t="n">
        <v>5</v>
      </c>
      <c r="F1228" s="4" t="s">
        <v>213</v>
      </c>
      <c r="G1228" s="4" t="s">
        <v>2871</v>
      </c>
      <c r="H1228" s="4" t="n">
        <v>2007</v>
      </c>
      <c r="I1228" s="4" t="s">
        <v>2872</v>
      </c>
      <c r="J1228" s="25" t="str">
        <f aca="false">IF(M1228=1,"✓","")</f>
        <v/>
      </c>
      <c r="K1228" s="4" t="str">
        <f aca="false">IF(AND(M1228=0,P1228=0),"▶ NEXT","")</f>
        <v/>
      </c>
      <c r="L1228" s="4" t="n">
        <f aca="false">INDEX('Master List'!$F$2:$F$2594,O1228)</f>
        <v>1</v>
      </c>
      <c r="M1228" s="4" t="n">
        <f aca="false">INDEX('Master List'!$G$2:$G$2594,O1228)</f>
        <v>0</v>
      </c>
      <c r="N1228" s="4" t="str">
        <f aca="false">IF(K1228="","",A1228)</f>
        <v/>
      </c>
      <c r="O1228" s="4" t="n">
        <v>1719</v>
      </c>
      <c r="P1228" s="4" t="n">
        <f aca="false">IF(A1228=A1227,P1227+1-M1227,0)</f>
        <v>4</v>
      </c>
    </row>
    <row r="1229" customFormat="false" ht="15" hidden="false" customHeight="false" outlineLevel="0" collapsed="false">
      <c r="A1229" s="29" t="s">
        <v>4075</v>
      </c>
      <c r="B1229" s="29" t="s">
        <v>52</v>
      </c>
      <c r="C1229" s="29" t="s">
        <v>91</v>
      </c>
      <c r="D1229" s="29" t="s">
        <v>4076</v>
      </c>
      <c r="E1229" s="4" t="n">
        <v>6</v>
      </c>
      <c r="F1229" s="4" t="s">
        <v>213</v>
      </c>
      <c r="G1229" s="4" t="s">
        <v>1183</v>
      </c>
      <c r="H1229" s="4" t="n">
        <v>2008</v>
      </c>
      <c r="I1229" s="4" t="s">
        <v>1184</v>
      </c>
      <c r="J1229" s="25" t="str">
        <f aca="false">IF(M1229=1,"✓","")</f>
        <v/>
      </c>
      <c r="K1229" s="4" t="str">
        <f aca="false">IF(AND(M1229=0,P1229=0),"▶ NEXT","")</f>
        <v/>
      </c>
      <c r="L1229" s="4" t="n">
        <f aca="false">INDEX('Master List'!$F$2:$F$2594,O1229)</f>
        <v>2</v>
      </c>
      <c r="M1229" s="4" t="n">
        <f aca="false">INDEX('Master List'!$G$2:$G$2594,O1229)</f>
        <v>0</v>
      </c>
      <c r="N1229" s="4" t="str">
        <f aca="false">IF(K1229="","",A1229)</f>
        <v/>
      </c>
      <c r="O1229" s="4" t="n">
        <v>486</v>
      </c>
      <c r="P1229" s="4" t="n">
        <f aca="false">IF(A1229=A1228,P1228+1-M1228,0)</f>
        <v>5</v>
      </c>
    </row>
    <row r="1230" customFormat="false" ht="15" hidden="false" customHeight="false" outlineLevel="0" collapsed="false">
      <c r="A1230" s="29" t="s">
        <v>4075</v>
      </c>
      <c r="B1230" s="29" t="s">
        <v>52</v>
      </c>
      <c r="C1230" s="29" t="s">
        <v>91</v>
      </c>
      <c r="D1230" s="29" t="s">
        <v>4076</v>
      </c>
      <c r="E1230" s="4" t="n">
        <v>7</v>
      </c>
      <c r="F1230" s="4" t="s">
        <v>213</v>
      </c>
      <c r="G1230" s="4" t="s">
        <v>2902</v>
      </c>
      <c r="H1230" s="4" t="n">
        <v>2008</v>
      </c>
      <c r="I1230" s="4" t="s">
        <v>2903</v>
      </c>
      <c r="J1230" s="25" t="str">
        <f aca="false">IF(M1230=1,"✓","")</f>
        <v/>
      </c>
      <c r="K1230" s="4" t="str">
        <f aca="false">IF(AND(M1230=0,P1230=0),"▶ NEXT","")</f>
        <v/>
      </c>
      <c r="L1230" s="4" t="n">
        <f aca="false">INDEX('Master List'!$F$2:$F$2594,O1230)</f>
        <v>1</v>
      </c>
      <c r="M1230" s="4" t="n">
        <f aca="false">INDEX('Master List'!$G$2:$G$2594,O1230)</f>
        <v>0</v>
      </c>
      <c r="N1230" s="4" t="str">
        <f aca="false">IF(K1230="","",A1230)</f>
        <v/>
      </c>
      <c r="O1230" s="4" t="n">
        <v>1287</v>
      </c>
      <c r="P1230" s="4" t="n">
        <f aca="false">IF(A1230=A1229,P1229+1-M1229,0)</f>
        <v>6</v>
      </c>
    </row>
    <row r="1231" customFormat="false" ht="15" hidden="false" customHeight="false" outlineLevel="0" collapsed="false">
      <c r="A1231" s="29" t="s">
        <v>4075</v>
      </c>
      <c r="B1231" s="29" t="s">
        <v>52</v>
      </c>
      <c r="C1231" s="29" t="s">
        <v>91</v>
      </c>
      <c r="D1231" s="29" t="s">
        <v>4076</v>
      </c>
      <c r="E1231" s="4" t="n">
        <v>8</v>
      </c>
      <c r="F1231" s="4" t="s">
        <v>213</v>
      </c>
      <c r="G1231" s="4" t="s">
        <v>3052</v>
      </c>
      <c r="H1231" s="4" t="n">
        <v>2014</v>
      </c>
      <c r="I1231" s="4" t="s">
        <v>3053</v>
      </c>
      <c r="J1231" s="25" t="str">
        <f aca="false">IF(M1231=1,"✓","")</f>
        <v>✓</v>
      </c>
      <c r="K1231" s="4" t="str">
        <f aca="false">IF(AND(M1231=0,P1231=0),"▶ NEXT","")</f>
        <v/>
      </c>
      <c r="L1231" s="4" t="n">
        <f aca="false">INDEX('Master List'!$F$2:$F$2594,O1231)</f>
        <v>1</v>
      </c>
      <c r="M1231" s="4" t="n">
        <f aca="false">INDEX('Master List'!$G$2:$G$2594,O1231)</f>
        <v>1</v>
      </c>
      <c r="N1231" s="4" t="str">
        <f aca="false">IF(K1231="","",A1231)</f>
        <v/>
      </c>
      <c r="O1231" s="4" t="n">
        <v>531</v>
      </c>
      <c r="P1231" s="4" t="n">
        <f aca="false">IF(A1231=A1230,P1230+1-M1230,0)</f>
        <v>7</v>
      </c>
    </row>
    <row r="1232" customFormat="false" ht="15" hidden="false" customHeight="false" outlineLevel="0" collapsed="false">
      <c r="A1232" s="29" t="s">
        <v>4075</v>
      </c>
      <c r="B1232" s="29" t="s">
        <v>52</v>
      </c>
      <c r="C1232" s="29" t="s">
        <v>91</v>
      </c>
      <c r="D1232" s="29" t="s">
        <v>4076</v>
      </c>
      <c r="E1232" s="4" t="n">
        <v>9</v>
      </c>
      <c r="F1232" s="4" t="s">
        <v>213</v>
      </c>
      <c r="G1232" s="4" t="s">
        <v>3054</v>
      </c>
      <c r="H1232" s="4" t="n">
        <v>2014</v>
      </c>
      <c r="I1232" s="4" t="s">
        <v>3055</v>
      </c>
      <c r="J1232" s="25" t="str">
        <f aca="false">IF(M1232=1,"✓","")</f>
        <v/>
      </c>
      <c r="K1232" s="4" t="str">
        <f aca="false">IF(AND(M1232=0,P1232=0),"▶ NEXT","")</f>
        <v/>
      </c>
      <c r="L1232" s="4" t="n">
        <f aca="false">INDEX('Master List'!$F$2:$F$2594,O1232)</f>
        <v>1</v>
      </c>
      <c r="M1232" s="4" t="n">
        <f aca="false">INDEX('Master List'!$G$2:$G$2594,O1232)</f>
        <v>0</v>
      </c>
      <c r="N1232" s="4" t="str">
        <f aca="false">IF(K1232="","",A1232)</f>
        <v/>
      </c>
      <c r="O1232" s="4" t="n">
        <v>2409</v>
      </c>
      <c r="P1232" s="4" t="n">
        <f aca="false">IF(A1232=A1231,P1231+1-M1231,0)</f>
        <v>7</v>
      </c>
    </row>
    <row r="1233" customFormat="false" ht="15" hidden="false" customHeight="false" outlineLevel="0" collapsed="false">
      <c r="A1233" s="29" t="s">
        <v>4075</v>
      </c>
      <c r="B1233" s="29" t="s">
        <v>52</v>
      </c>
      <c r="C1233" s="29" t="s">
        <v>91</v>
      </c>
      <c r="D1233" s="29" t="s">
        <v>4076</v>
      </c>
      <c r="E1233" s="4" t="n">
        <v>10</v>
      </c>
      <c r="F1233" s="4" t="s">
        <v>213</v>
      </c>
      <c r="G1233" s="4" t="s">
        <v>3189</v>
      </c>
      <c r="H1233" s="4" t="n">
        <v>2020</v>
      </c>
      <c r="I1233" s="4" t="s">
        <v>3190</v>
      </c>
      <c r="J1233" s="25" t="str">
        <f aca="false">IF(M1233=1,"✓","")</f>
        <v/>
      </c>
      <c r="K1233" s="4" t="str">
        <f aca="false">IF(AND(M1233=0,P1233=0),"▶ NEXT","")</f>
        <v/>
      </c>
      <c r="L1233" s="4" t="n">
        <f aca="false">INDEX('Master List'!$F$2:$F$2594,O1233)</f>
        <v>1</v>
      </c>
      <c r="M1233" s="4" t="n">
        <f aca="false">INDEX('Master List'!$G$2:$G$2594,O1233)</f>
        <v>0</v>
      </c>
      <c r="N1233" s="4" t="str">
        <f aca="false">IF(K1233="","",A1233)</f>
        <v/>
      </c>
      <c r="O1233" s="4" t="n">
        <v>1064</v>
      </c>
      <c r="P1233" s="4" t="n">
        <f aca="false">IF(A1233=A1232,P1232+1-M1232,0)</f>
        <v>8</v>
      </c>
    </row>
    <row r="1234" customFormat="false" ht="15" hidden="false" customHeight="false" outlineLevel="0" collapsed="false">
      <c r="A1234" s="29" t="s">
        <v>4075</v>
      </c>
      <c r="B1234" s="29" t="s">
        <v>52</v>
      </c>
      <c r="C1234" s="29" t="s">
        <v>91</v>
      </c>
      <c r="D1234" s="29" t="s">
        <v>4076</v>
      </c>
      <c r="E1234" s="4" t="n">
        <v>11</v>
      </c>
      <c r="F1234" s="4" t="s">
        <v>1327</v>
      </c>
      <c r="G1234" s="4" t="s">
        <v>3746</v>
      </c>
      <c r="H1234" s="4" t="n">
        <v>2005</v>
      </c>
      <c r="I1234" s="4" t="s">
        <v>3747</v>
      </c>
      <c r="J1234" s="25" t="str">
        <f aca="false">IF(M1234=1,"✓","")</f>
        <v/>
      </c>
      <c r="K1234" s="4" t="str">
        <f aca="false">IF(AND(M1234=0,P1234=0),"▶ NEXT","")</f>
        <v/>
      </c>
      <c r="L1234" s="4" t="n">
        <f aca="false">INDEX('Master List'!$F$2:$F$2594,O1234)</f>
        <v>1</v>
      </c>
      <c r="M1234" s="4" t="n">
        <f aca="false">INDEX('Master List'!$G$2:$G$2594,O1234)</f>
        <v>0</v>
      </c>
      <c r="N1234" s="4" t="str">
        <f aca="false">IF(K1234="","",A1234)</f>
        <v/>
      </c>
      <c r="O1234" s="4" t="n">
        <v>1628</v>
      </c>
      <c r="P1234" s="4" t="n">
        <f aca="false">IF(A1234=A1233,P1233+1-M1233,0)</f>
        <v>9</v>
      </c>
    </row>
    <row r="1235" customFormat="false" ht="15" hidden="false" customHeight="false" outlineLevel="0" collapsed="false">
      <c r="A1235" s="29" t="s">
        <v>4075</v>
      </c>
      <c r="B1235" s="29" t="s">
        <v>52</v>
      </c>
      <c r="C1235" s="29" t="s">
        <v>91</v>
      </c>
      <c r="D1235" s="29" t="s">
        <v>4076</v>
      </c>
      <c r="E1235" s="4" t="n">
        <v>12</v>
      </c>
      <c r="F1235" s="4" t="s">
        <v>1327</v>
      </c>
      <c r="G1235" s="4" t="s">
        <v>3672</v>
      </c>
      <c r="H1235" s="4" t="n">
        <v>1992</v>
      </c>
      <c r="I1235" s="4" t="s">
        <v>3673</v>
      </c>
      <c r="J1235" s="25" t="str">
        <f aca="false">IF(M1235=1,"✓","")</f>
        <v/>
      </c>
      <c r="K1235" s="4" t="str">
        <f aca="false">IF(AND(M1235=0,P1235=0),"▶ NEXT","")</f>
        <v/>
      </c>
      <c r="L1235" s="4" t="n">
        <f aca="false">INDEX('Master List'!$F$2:$F$2594,O1235)</f>
        <v>1</v>
      </c>
      <c r="M1235" s="4" t="n">
        <f aca="false">INDEX('Master List'!$G$2:$G$2594,O1235)</f>
        <v>0</v>
      </c>
      <c r="N1235" s="4" t="str">
        <f aca="false">IF(K1235="","",A1235)</f>
        <v/>
      </c>
      <c r="O1235" s="4" t="n">
        <v>895</v>
      </c>
      <c r="P1235" s="4" t="n">
        <f aca="false">IF(A1235=A1234,P1234+1-M1234,0)</f>
        <v>10</v>
      </c>
    </row>
    <row r="1236" customFormat="false" ht="15" hidden="false" customHeight="false" outlineLevel="0" collapsed="false">
      <c r="A1236" s="29" t="s">
        <v>4077</v>
      </c>
      <c r="B1236" s="29" t="s">
        <v>52</v>
      </c>
      <c r="C1236" s="29" t="s">
        <v>91</v>
      </c>
      <c r="D1236" s="29" t="s">
        <v>4078</v>
      </c>
      <c r="E1236" s="4" t="n">
        <v>1</v>
      </c>
      <c r="F1236" s="4" t="s">
        <v>144</v>
      </c>
      <c r="G1236" s="7" t="s">
        <v>1623</v>
      </c>
      <c r="H1236" s="4" t="n">
        <v>2014</v>
      </c>
      <c r="I1236" s="4" t="s">
        <v>1624</v>
      </c>
      <c r="J1236" s="25" t="str">
        <f aca="false">IF(M1236=1,"✓","")</f>
        <v/>
      </c>
      <c r="K1236" s="4" t="str">
        <f aca="false">IF(AND(M1236=0,P1236=0),"▶ NEXT","")</f>
        <v>▶ NEXT</v>
      </c>
      <c r="L1236" s="4" t="n">
        <f aca="false">INDEX('Master List'!$F$2:$F$2594,O1236)</f>
        <v>1</v>
      </c>
      <c r="M1236" s="4" t="n">
        <f aca="false">INDEX('Master List'!$G$2:$G$2594,O1236)</f>
        <v>0</v>
      </c>
      <c r="N1236" s="4" t="str">
        <f aca="false">IF(K1236="","",A1236)</f>
        <v>N102</v>
      </c>
      <c r="O1236" s="4" t="n">
        <v>157</v>
      </c>
      <c r="P1236" s="4" t="n">
        <f aca="false">IF(A1236=A1235,P1235+1-M1235,0)</f>
        <v>0</v>
      </c>
    </row>
    <row r="1237" customFormat="false" ht="15" hidden="false" customHeight="false" outlineLevel="0" collapsed="false">
      <c r="A1237" s="29" t="s">
        <v>4077</v>
      </c>
      <c r="B1237" s="29" t="s">
        <v>52</v>
      </c>
      <c r="C1237" s="29" t="s">
        <v>91</v>
      </c>
      <c r="D1237" s="29" t="s">
        <v>4078</v>
      </c>
      <c r="E1237" s="4" t="n">
        <v>2</v>
      </c>
      <c r="F1237" s="4" t="s">
        <v>144</v>
      </c>
      <c r="G1237" s="7" t="s">
        <v>279</v>
      </c>
      <c r="H1237" s="4" t="n">
        <v>2017</v>
      </c>
      <c r="I1237" s="4" t="s">
        <v>280</v>
      </c>
      <c r="J1237" s="25" t="str">
        <f aca="false">IF(M1237=1,"✓","")</f>
        <v>✓</v>
      </c>
      <c r="K1237" s="4" t="str">
        <f aca="false">IF(AND(M1237=0,P1237=0),"▶ NEXT","")</f>
        <v/>
      </c>
      <c r="L1237" s="4" t="n">
        <f aca="false">INDEX('Master List'!$F$2:$F$2594,O1237)</f>
        <v>5</v>
      </c>
      <c r="M1237" s="4" t="n">
        <f aca="false">INDEX('Master List'!$G$2:$G$2594,O1237)</f>
        <v>1</v>
      </c>
      <c r="N1237" s="4" t="str">
        <f aca="false">IF(K1237="","",A1237)</f>
        <v/>
      </c>
      <c r="O1237" s="4" t="n">
        <v>889</v>
      </c>
      <c r="P1237" s="4" t="n">
        <f aca="false">IF(A1237=A1236,P1236+1-M1236,0)</f>
        <v>1</v>
      </c>
    </row>
    <row r="1238" customFormat="false" ht="15" hidden="false" customHeight="false" outlineLevel="0" collapsed="false">
      <c r="A1238" s="29" t="s">
        <v>4077</v>
      </c>
      <c r="B1238" s="29" t="s">
        <v>52</v>
      </c>
      <c r="C1238" s="29" t="s">
        <v>91</v>
      </c>
      <c r="D1238" s="29" t="s">
        <v>4078</v>
      </c>
      <c r="E1238" s="4" t="n">
        <v>3</v>
      </c>
      <c r="F1238" s="4" t="s">
        <v>213</v>
      </c>
      <c r="G1238" s="4" t="s">
        <v>1290</v>
      </c>
      <c r="H1238" s="4" t="n">
        <v>2014</v>
      </c>
      <c r="I1238" s="4" t="s">
        <v>1291</v>
      </c>
      <c r="J1238" s="25" t="str">
        <f aca="false">IF(M1238=1,"✓","")</f>
        <v/>
      </c>
      <c r="K1238" s="4" t="str">
        <f aca="false">IF(AND(M1238=0,P1238=0),"▶ NEXT","")</f>
        <v/>
      </c>
      <c r="L1238" s="4" t="n">
        <f aca="false">INDEX('Master List'!$F$2:$F$2594,O1238)</f>
        <v>2</v>
      </c>
      <c r="M1238" s="4" t="n">
        <f aca="false">INDEX('Master List'!$G$2:$G$2594,O1238)</f>
        <v>0</v>
      </c>
      <c r="N1238" s="4" t="str">
        <f aca="false">IF(K1238="","",A1238)</f>
        <v/>
      </c>
      <c r="O1238" s="4" t="n">
        <v>1175</v>
      </c>
      <c r="P1238" s="4" t="n">
        <f aca="false">IF(A1238=A1237,P1237+1-M1237,0)</f>
        <v>1</v>
      </c>
    </row>
    <row r="1239" customFormat="false" ht="15" hidden="false" customHeight="false" outlineLevel="0" collapsed="false">
      <c r="A1239" s="29" t="s">
        <v>4077</v>
      </c>
      <c r="B1239" s="29" t="s">
        <v>52</v>
      </c>
      <c r="C1239" s="29" t="s">
        <v>91</v>
      </c>
      <c r="D1239" s="29" t="s">
        <v>4078</v>
      </c>
      <c r="E1239" s="4" t="n">
        <v>4</v>
      </c>
      <c r="F1239" s="4" t="s">
        <v>213</v>
      </c>
      <c r="G1239" s="4" t="s">
        <v>691</v>
      </c>
      <c r="H1239" s="4" t="n">
        <v>2015</v>
      </c>
      <c r="I1239" s="4" t="s">
        <v>692</v>
      </c>
      <c r="J1239" s="25" t="str">
        <f aca="false">IF(M1239=1,"✓","")</f>
        <v/>
      </c>
      <c r="K1239" s="4" t="str">
        <f aca="false">IF(AND(M1239=0,P1239=0),"▶ NEXT","")</f>
        <v/>
      </c>
      <c r="L1239" s="4" t="n">
        <f aca="false">INDEX('Master List'!$F$2:$F$2594,O1239)</f>
        <v>3</v>
      </c>
      <c r="M1239" s="4" t="n">
        <f aca="false">INDEX('Master List'!$G$2:$G$2594,O1239)</f>
        <v>0</v>
      </c>
      <c r="N1239" s="4" t="str">
        <f aca="false">IF(K1239="","",A1239)</f>
        <v/>
      </c>
      <c r="O1239" s="4" t="n">
        <v>2533</v>
      </c>
      <c r="P1239" s="4" t="n">
        <f aca="false">IF(A1239=A1238,P1238+1-M1238,0)</f>
        <v>2</v>
      </c>
    </row>
    <row r="1240" customFormat="false" ht="15" hidden="false" customHeight="false" outlineLevel="0" collapsed="false">
      <c r="A1240" s="29" t="s">
        <v>4077</v>
      </c>
      <c r="B1240" s="29" t="s">
        <v>52</v>
      </c>
      <c r="C1240" s="29" t="s">
        <v>91</v>
      </c>
      <c r="D1240" s="29" t="s">
        <v>4078</v>
      </c>
      <c r="E1240" s="4" t="n">
        <v>5</v>
      </c>
      <c r="F1240" s="4" t="s">
        <v>213</v>
      </c>
      <c r="G1240" s="4" t="s">
        <v>1207</v>
      </c>
      <c r="H1240" s="4" t="n">
        <v>2013</v>
      </c>
      <c r="I1240" s="4" t="s">
        <v>400</v>
      </c>
      <c r="J1240" s="25" t="str">
        <f aca="false">IF(M1240=1,"✓","")</f>
        <v/>
      </c>
      <c r="K1240" s="4" t="str">
        <f aca="false">IF(AND(M1240=0,P1240=0),"▶ NEXT","")</f>
        <v/>
      </c>
      <c r="L1240" s="4" t="n">
        <f aca="false">INDEX('Master List'!$F$2:$F$2594,O1240)</f>
        <v>2</v>
      </c>
      <c r="M1240" s="4" t="n">
        <f aca="false">INDEX('Master List'!$G$2:$G$2594,O1240)</f>
        <v>0</v>
      </c>
      <c r="N1240" s="4" t="str">
        <f aca="false">IF(K1240="","",A1240)</f>
        <v/>
      </c>
      <c r="O1240" s="4" t="n">
        <v>2402</v>
      </c>
      <c r="P1240" s="4" t="n">
        <f aca="false">IF(A1240=A1239,P1239+1-M1239,0)</f>
        <v>3</v>
      </c>
    </row>
    <row r="1241" customFormat="false" ht="15" hidden="false" customHeight="false" outlineLevel="0" collapsed="false">
      <c r="A1241" s="29" t="s">
        <v>4077</v>
      </c>
      <c r="B1241" s="29" t="s">
        <v>52</v>
      </c>
      <c r="C1241" s="29" t="s">
        <v>91</v>
      </c>
      <c r="D1241" s="29" t="s">
        <v>4078</v>
      </c>
      <c r="E1241" s="4" t="n">
        <v>6</v>
      </c>
      <c r="F1241" s="4" t="s">
        <v>213</v>
      </c>
      <c r="G1241" s="4" t="s">
        <v>3120</v>
      </c>
      <c r="H1241" s="4" t="n">
        <v>2017</v>
      </c>
      <c r="I1241" s="4" t="s">
        <v>3121</v>
      </c>
      <c r="J1241" s="25" t="str">
        <f aca="false">IF(M1241=1,"✓","")</f>
        <v/>
      </c>
      <c r="K1241" s="4" t="str">
        <f aca="false">IF(AND(M1241=0,P1241=0),"▶ NEXT","")</f>
        <v/>
      </c>
      <c r="L1241" s="4" t="n">
        <f aca="false">INDEX('Master List'!$F$2:$F$2594,O1241)</f>
        <v>1</v>
      </c>
      <c r="M1241" s="4" t="n">
        <f aca="false">INDEX('Master List'!$G$2:$G$2594,O1241)</f>
        <v>0</v>
      </c>
      <c r="N1241" s="4" t="str">
        <f aca="false">IF(K1241="","",A1241)</f>
        <v/>
      </c>
      <c r="O1241" s="4" t="n">
        <v>1174</v>
      </c>
      <c r="P1241" s="4" t="n">
        <f aca="false">IF(A1241=A1240,P1240+1-M1240,0)</f>
        <v>4</v>
      </c>
    </row>
    <row r="1242" customFormat="false" ht="15" hidden="false" customHeight="false" outlineLevel="0" collapsed="false">
      <c r="A1242" s="29" t="s">
        <v>4077</v>
      </c>
      <c r="B1242" s="29" t="s">
        <v>52</v>
      </c>
      <c r="C1242" s="29" t="s">
        <v>91</v>
      </c>
      <c r="D1242" s="29" t="s">
        <v>4078</v>
      </c>
      <c r="E1242" s="4" t="n">
        <v>7</v>
      </c>
      <c r="F1242" s="4" t="s">
        <v>213</v>
      </c>
      <c r="G1242" s="4" t="s">
        <v>695</v>
      </c>
      <c r="H1242" s="4" t="n">
        <v>2018</v>
      </c>
      <c r="I1242" s="4" t="s">
        <v>696</v>
      </c>
      <c r="J1242" s="25" t="str">
        <f aca="false">IF(M1242=1,"✓","")</f>
        <v>✓</v>
      </c>
      <c r="K1242" s="4" t="str">
        <f aca="false">IF(AND(M1242=0,P1242=0),"▶ NEXT","")</f>
        <v/>
      </c>
      <c r="L1242" s="4" t="n">
        <f aca="false">INDEX('Master List'!$F$2:$F$2594,O1242)</f>
        <v>3</v>
      </c>
      <c r="M1242" s="4" t="n">
        <f aca="false">INDEX('Master List'!$G$2:$G$2594,O1242)</f>
        <v>1</v>
      </c>
      <c r="N1242" s="4" t="str">
        <f aca="false">IF(K1242="","",A1242)</f>
        <v/>
      </c>
      <c r="O1242" s="4" t="n">
        <v>1025</v>
      </c>
      <c r="P1242" s="4" t="n">
        <f aca="false">IF(A1242=A1241,P1241+1-M1241,0)</f>
        <v>5</v>
      </c>
    </row>
    <row r="1243" customFormat="false" ht="15" hidden="false" customHeight="false" outlineLevel="0" collapsed="false">
      <c r="A1243" s="29" t="s">
        <v>4077</v>
      </c>
      <c r="B1243" s="29" t="s">
        <v>52</v>
      </c>
      <c r="C1243" s="29" t="s">
        <v>91</v>
      </c>
      <c r="D1243" s="29" t="s">
        <v>4078</v>
      </c>
      <c r="E1243" s="4" t="n">
        <v>8</v>
      </c>
      <c r="F1243" s="4" t="s">
        <v>213</v>
      </c>
      <c r="G1243" s="4" t="s">
        <v>1253</v>
      </c>
      <c r="H1243" s="4" t="n">
        <v>2019</v>
      </c>
      <c r="I1243" s="4" t="s">
        <v>692</v>
      </c>
      <c r="J1243" s="25" t="str">
        <f aca="false">IF(M1243=1,"✓","")</f>
        <v>✓</v>
      </c>
      <c r="K1243" s="4" t="str">
        <f aca="false">IF(AND(M1243=0,P1243=0),"▶ NEXT","")</f>
        <v/>
      </c>
      <c r="L1243" s="4" t="n">
        <f aca="false">INDEX('Master List'!$F$2:$F$2594,O1243)</f>
        <v>2</v>
      </c>
      <c r="M1243" s="4" t="n">
        <f aca="false">INDEX('Master List'!$G$2:$G$2594,O1243)</f>
        <v>1</v>
      </c>
      <c r="N1243" s="4" t="str">
        <f aca="false">IF(K1243="","",A1243)</f>
        <v/>
      </c>
      <c r="O1243" s="4" t="n">
        <v>1337</v>
      </c>
      <c r="P1243" s="4" t="n">
        <f aca="false">IF(A1243=A1242,P1242+1-M1242,0)</f>
        <v>5</v>
      </c>
    </row>
    <row r="1244" customFormat="false" ht="15" hidden="false" customHeight="false" outlineLevel="0" collapsed="false">
      <c r="A1244" s="29" t="s">
        <v>4077</v>
      </c>
      <c r="B1244" s="29" t="s">
        <v>52</v>
      </c>
      <c r="C1244" s="29" t="s">
        <v>91</v>
      </c>
      <c r="D1244" s="29" t="s">
        <v>4078</v>
      </c>
      <c r="E1244" s="4" t="n">
        <v>9</v>
      </c>
      <c r="F1244" s="4" t="s">
        <v>213</v>
      </c>
      <c r="G1244" s="4" t="s">
        <v>3174</v>
      </c>
      <c r="H1244" s="4" t="n">
        <v>2019</v>
      </c>
      <c r="I1244" s="4" t="s">
        <v>280</v>
      </c>
      <c r="J1244" s="25" t="str">
        <f aca="false">IF(M1244=1,"✓","")</f>
        <v/>
      </c>
      <c r="K1244" s="4" t="str">
        <f aca="false">IF(AND(M1244=0,P1244=0),"▶ NEXT","")</f>
        <v/>
      </c>
      <c r="L1244" s="4" t="n">
        <f aca="false">INDEX('Master List'!$F$2:$F$2594,O1244)</f>
        <v>1</v>
      </c>
      <c r="M1244" s="4" t="n">
        <f aca="false">INDEX('Master List'!$G$2:$G$2594,O1244)</f>
        <v>0</v>
      </c>
      <c r="N1244" s="4" t="str">
        <f aca="false">IF(K1244="","",A1244)</f>
        <v/>
      </c>
      <c r="O1244" s="4" t="n">
        <v>2415</v>
      </c>
      <c r="P1244" s="4" t="n">
        <f aca="false">IF(A1244=A1243,P1243+1-M1243,0)</f>
        <v>5</v>
      </c>
    </row>
    <row r="1245" customFormat="false" ht="15" hidden="false" customHeight="false" outlineLevel="0" collapsed="false">
      <c r="A1245" s="29" t="s">
        <v>4077</v>
      </c>
      <c r="B1245" s="29" t="s">
        <v>52</v>
      </c>
      <c r="C1245" s="29" t="s">
        <v>91</v>
      </c>
      <c r="D1245" s="29" t="s">
        <v>4078</v>
      </c>
      <c r="E1245" s="4" t="n">
        <v>10</v>
      </c>
      <c r="F1245" s="4" t="s">
        <v>213</v>
      </c>
      <c r="G1245" s="4" t="s">
        <v>3191</v>
      </c>
      <c r="H1245" s="4" t="n">
        <v>2020</v>
      </c>
      <c r="I1245" s="4" t="s">
        <v>3192</v>
      </c>
      <c r="J1245" s="25" t="str">
        <f aca="false">IF(M1245=1,"✓","")</f>
        <v/>
      </c>
      <c r="K1245" s="4" t="str">
        <f aca="false">IF(AND(M1245=0,P1245=0),"▶ NEXT","")</f>
        <v/>
      </c>
      <c r="L1245" s="4" t="n">
        <f aca="false">INDEX('Master List'!$F$2:$F$2594,O1245)</f>
        <v>1</v>
      </c>
      <c r="M1245" s="4" t="n">
        <f aca="false">INDEX('Master List'!$G$2:$G$2594,O1245)</f>
        <v>0</v>
      </c>
      <c r="N1245" s="4" t="str">
        <f aca="false">IF(K1245="","",A1245)</f>
        <v/>
      </c>
      <c r="O1245" s="4" t="n">
        <v>1042</v>
      </c>
      <c r="P1245" s="4" t="n">
        <f aca="false">IF(A1245=A1244,P1244+1-M1244,0)</f>
        <v>6</v>
      </c>
    </row>
    <row r="1246" customFormat="false" ht="15" hidden="false" customHeight="false" outlineLevel="0" collapsed="false">
      <c r="A1246" s="29" t="s">
        <v>4077</v>
      </c>
      <c r="B1246" s="29" t="s">
        <v>52</v>
      </c>
      <c r="C1246" s="29" t="s">
        <v>91</v>
      </c>
      <c r="D1246" s="29" t="s">
        <v>4078</v>
      </c>
      <c r="E1246" s="4" t="n">
        <v>11</v>
      </c>
      <c r="F1246" s="4" t="s">
        <v>213</v>
      </c>
      <c r="G1246" s="4" t="s">
        <v>3223</v>
      </c>
      <c r="H1246" s="4" t="n">
        <v>2022</v>
      </c>
      <c r="I1246" s="4" t="s">
        <v>280</v>
      </c>
      <c r="J1246" s="25" t="str">
        <f aca="false">IF(M1246=1,"✓","")</f>
        <v>✓</v>
      </c>
      <c r="K1246" s="4" t="str">
        <f aca="false">IF(AND(M1246=0,P1246=0),"▶ NEXT","")</f>
        <v/>
      </c>
      <c r="L1246" s="4" t="n">
        <f aca="false">INDEX('Master List'!$F$2:$F$2594,O1246)</f>
        <v>1</v>
      </c>
      <c r="M1246" s="4" t="n">
        <f aca="false">INDEX('Master List'!$G$2:$G$2594,O1246)</f>
        <v>1</v>
      </c>
      <c r="N1246" s="4" t="str">
        <f aca="false">IF(K1246="","",A1246)</f>
        <v/>
      </c>
      <c r="O1246" s="4" t="n">
        <v>1626</v>
      </c>
      <c r="P1246" s="4" t="n">
        <f aca="false">IF(A1246=A1245,P1245+1-M1245,0)</f>
        <v>7</v>
      </c>
    </row>
    <row r="1247" customFormat="false" ht="15" hidden="false" customHeight="false" outlineLevel="0" collapsed="false">
      <c r="A1247" s="29" t="s">
        <v>4077</v>
      </c>
      <c r="B1247" s="29" t="s">
        <v>52</v>
      </c>
      <c r="C1247" s="29" t="s">
        <v>91</v>
      </c>
      <c r="D1247" s="29" t="s">
        <v>4078</v>
      </c>
      <c r="E1247" s="4" t="n">
        <v>12</v>
      </c>
      <c r="F1247" s="4" t="s">
        <v>1327</v>
      </c>
      <c r="G1247" s="4" t="s">
        <v>3838</v>
      </c>
      <c r="H1247" s="4" t="n">
        <v>2017</v>
      </c>
      <c r="I1247" s="4" t="s">
        <v>3839</v>
      </c>
      <c r="J1247" s="25" t="str">
        <f aca="false">IF(M1247=1,"✓","")</f>
        <v>✓</v>
      </c>
      <c r="K1247" s="4" t="str">
        <f aca="false">IF(AND(M1247=0,P1247=0),"▶ NEXT","")</f>
        <v/>
      </c>
      <c r="L1247" s="4" t="n">
        <f aca="false">INDEX('Master List'!$F$2:$F$2594,O1247)</f>
        <v>1</v>
      </c>
      <c r="M1247" s="4" t="n">
        <f aca="false">INDEX('Master List'!$G$2:$G$2594,O1247)</f>
        <v>1</v>
      </c>
      <c r="N1247" s="4" t="str">
        <f aca="false">IF(K1247="","",A1247)</f>
        <v/>
      </c>
      <c r="O1247" s="4" t="n">
        <v>892</v>
      </c>
      <c r="P1247" s="4" t="n">
        <f aca="false">IF(A1247=A1246,P1246+1-M1246,0)</f>
        <v>7</v>
      </c>
    </row>
    <row r="1248" customFormat="false" ht="15" hidden="false" customHeight="false" outlineLevel="0" collapsed="false">
      <c r="A1248" s="29" t="s">
        <v>4077</v>
      </c>
      <c r="B1248" s="29" t="s">
        <v>52</v>
      </c>
      <c r="C1248" s="29" t="s">
        <v>91</v>
      </c>
      <c r="D1248" s="29" t="s">
        <v>4078</v>
      </c>
      <c r="E1248" s="4" t="n">
        <v>13</v>
      </c>
      <c r="F1248" s="4" t="s">
        <v>1327</v>
      </c>
      <c r="G1248" s="4" t="s">
        <v>3852</v>
      </c>
      <c r="H1248" s="4" t="n">
        <v>2020</v>
      </c>
      <c r="I1248" s="4" t="s">
        <v>3853</v>
      </c>
      <c r="J1248" s="25" t="str">
        <f aca="false">IF(M1248=1,"✓","")</f>
        <v/>
      </c>
      <c r="K1248" s="4" t="str">
        <f aca="false">IF(AND(M1248=0,P1248=0),"▶ NEXT","")</f>
        <v/>
      </c>
      <c r="L1248" s="4" t="n">
        <f aca="false">INDEX('Master List'!$F$2:$F$2594,O1248)</f>
        <v>1</v>
      </c>
      <c r="M1248" s="4" t="n">
        <f aca="false">INDEX('Master List'!$G$2:$G$2594,O1248)</f>
        <v>0</v>
      </c>
      <c r="N1248" s="4" t="str">
        <f aca="false">IF(K1248="","",A1248)</f>
        <v/>
      </c>
      <c r="O1248" s="4" t="n">
        <v>1882</v>
      </c>
      <c r="P1248" s="4" t="n">
        <f aca="false">IF(A1248=A1247,P1247+1-M1247,0)</f>
        <v>7</v>
      </c>
    </row>
    <row r="1249" customFormat="false" ht="15" hidden="false" customHeight="false" outlineLevel="0" collapsed="false">
      <c r="A1249" s="29" t="s">
        <v>4079</v>
      </c>
      <c r="B1249" s="29" t="s">
        <v>52</v>
      </c>
      <c r="C1249" s="29" t="s">
        <v>91</v>
      </c>
      <c r="D1249" s="29" t="s">
        <v>4080</v>
      </c>
      <c r="E1249" s="4" t="n">
        <v>1</v>
      </c>
      <c r="F1249" s="4" t="s">
        <v>144</v>
      </c>
      <c r="G1249" s="7" t="s">
        <v>265</v>
      </c>
      <c r="H1249" s="4" t="n">
        <v>1982</v>
      </c>
      <c r="I1249" s="4" t="s">
        <v>266</v>
      </c>
      <c r="J1249" s="25" t="str">
        <f aca="false">IF(M1249=1,"✓","")</f>
        <v>✓</v>
      </c>
      <c r="K1249" s="4" t="str">
        <f aca="false">IF(AND(M1249=0,P1249=0),"▶ NEXT","")</f>
        <v/>
      </c>
      <c r="L1249" s="4" t="n">
        <f aca="false">INDEX('Master List'!$F$2:$F$2594,O1249)</f>
        <v>4</v>
      </c>
      <c r="M1249" s="4" t="n">
        <f aca="false">INDEX('Master List'!$G$2:$G$2594,O1249)</f>
        <v>1</v>
      </c>
      <c r="N1249" s="4" t="str">
        <f aca="false">IF(K1249="","",A1249)</f>
        <v/>
      </c>
      <c r="O1249" s="4" t="n">
        <v>2278</v>
      </c>
      <c r="P1249" s="4" t="n">
        <f aca="false">IF(A1249=A1248,P1248+1-M1248,0)</f>
        <v>0</v>
      </c>
    </row>
    <row r="1250" customFormat="false" ht="15" hidden="false" customHeight="false" outlineLevel="0" collapsed="false">
      <c r="A1250" s="29" t="s">
        <v>4079</v>
      </c>
      <c r="B1250" s="29" t="s">
        <v>52</v>
      </c>
      <c r="C1250" s="29" t="s">
        <v>91</v>
      </c>
      <c r="D1250" s="29" t="s">
        <v>4080</v>
      </c>
      <c r="E1250" s="4" t="n">
        <v>2</v>
      </c>
      <c r="F1250" s="4" t="s">
        <v>144</v>
      </c>
      <c r="G1250" s="7" t="s">
        <v>834</v>
      </c>
      <c r="H1250" s="4" t="n">
        <v>1994</v>
      </c>
      <c r="I1250" s="4" t="s">
        <v>266</v>
      </c>
      <c r="J1250" s="25" t="str">
        <f aca="false">IF(M1250=1,"✓","")</f>
        <v>✓</v>
      </c>
      <c r="K1250" s="4" t="str">
        <f aca="false">IF(AND(M1250=0,P1250=0),"▶ NEXT","")</f>
        <v/>
      </c>
      <c r="L1250" s="4" t="n">
        <f aca="false">INDEX('Master List'!$F$2:$F$2594,O1250)</f>
        <v>2</v>
      </c>
      <c r="M1250" s="4" t="n">
        <f aca="false">INDEX('Master List'!$G$2:$G$2594,O1250)</f>
        <v>1</v>
      </c>
      <c r="N1250" s="4" t="str">
        <f aca="false">IF(K1250="","",A1250)</f>
        <v/>
      </c>
      <c r="O1250" s="4" t="n">
        <v>1130</v>
      </c>
      <c r="P1250" s="4" t="n">
        <f aca="false">IF(A1250=A1249,P1249+1-M1249,0)</f>
        <v>0</v>
      </c>
    </row>
    <row r="1251" customFormat="false" ht="15" hidden="false" customHeight="false" outlineLevel="0" collapsed="false">
      <c r="A1251" s="29" t="s">
        <v>4079</v>
      </c>
      <c r="B1251" s="29" t="s">
        <v>52</v>
      </c>
      <c r="C1251" s="29" t="s">
        <v>91</v>
      </c>
      <c r="D1251" s="29" t="s">
        <v>4080</v>
      </c>
      <c r="E1251" s="4" t="n">
        <v>3</v>
      </c>
      <c r="F1251" s="4" t="s">
        <v>213</v>
      </c>
      <c r="G1251" s="4" t="s">
        <v>1118</v>
      </c>
      <c r="H1251" s="4" t="n">
        <v>1997</v>
      </c>
      <c r="I1251" s="4" t="s">
        <v>1119</v>
      </c>
      <c r="J1251" s="25" t="str">
        <f aca="false">IF(M1251=1,"✓","")</f>
        <v/>
      </c>
      <c r="K1251" s="4" t="str">
        <f aca="false">IF(AND(M1251=0,P1251=0),"▶ NEXT","")</f>
        <v>▶ NEXT</v>
      </c>
      <c r="L1251" s="4" t="n">
        <f aca="false">INDEX('Master List'!$F$2:$F$2594,O1251)</f>
        <v>2</v>
      </c>
      <c r="M1251" s="4" t="n">
        <f aca="false">INDEX('Master List'!$G$2:$G$2594,O1251)</f>
        <v>0</v>
      </c>
      <c r="N1251" s="4" t="str">
        <f aca="false">IF(K1251="","",A1251)</f>
        <v>N103</v>
      </c>
      <c r="O1251" s="4" t="n">
        <v>751</v>
      </c>
      <c r="P1251" s="4" t="n">
        <f aca="false">IF(A1251=A1250,P1250+1-M1250,0)</f>
        <v>0</v>
      </c>
    </row>
    <row r="1252" customFormat="false" ht="15" hidden="false" customHeight="false" outlineLevel="0" collapsed="false">
      <c r="A1252" s="29" t="s">
        <v>4079</v>
      </c>
      <c r="B1252" s="29" t="s">
        <v>52</v>
      </c>
      <c r="C1252" s="29" t="s">
        <v>91</v>
      </c>
      <c r="D1252" s="29" t="s">
        <v>4080</v>
      </c>
      <c r="E1252" s="4" t="n">
        <v>4</v>
      </c>
      <c r="F1252" s="4" t="s">
        <v>213</v>
      </c>
      <c r="G1252" s="4" t="s">
        <v>2873</v>
      </c>
      <c r="H1252" s="4" t="n">
        <v>2007</v>
      </c>
      <c r="I1252" s="4" t="s">
        <v>2599</v>
      </c>
      <c r="J1252" s="25" t="str">
        <f aca="false">IF(M1252=1,"✓","")</f>
        <v/>
      </c>
      <c r="K1252" s="4" t="str">
        <f aca="false">IF(AND(M1252=0,P1252=0),"▶ NEXT","")</f>
        <v/>
      </c>
      <c r="L1252" s="4" t="n">
        <f aca="false">INDEX('Master List'!$F$2:$F$2594,O1252)</f>
        <v>1</v>
      </c>
      <c r="M1252" s="4" t="n">
        <f aca="false">INDEX('Master List'!$G$2:$G$2594,O1252)</f>
        <v>0</v>
      </c>
      <c r="N1252" s="4" t="str">
        <f aca="false">IF(K1252="","",A1252)</f>
        <v/>
      </c>
      <c r="O1252" s="4" t="n">
        <v>1517</v>
      </c>
      <c r="P1252" s="4" t="n">
        <f aca="false">IF(A1252=A1251,P1251+1-M1251,0)</f>
        <v>1</v>
      </c>
    </row>
    <row r="1253" customFormat="false" ht="15" hidden="false" customHeight="false" outlineLevel="0" collapsed="false">
      <c r="A1253" s="29" t="s">
        <v>4079</v>
      </c>
      <c r="B1253" s="29" t="s">
        <v>52</v>
      </c>
      <c r="C1253" s="29" t="s">
        <v>91</v>
      </c>
      <c r="D1253" s="29" t="s">
        <v>4080</v>
      </c>
      <c r="E1253" s="4" t="n">
        <v>5</v>
      </c>
      <c r="F1253" s="4" t="s">
        <v>213</v>
      </c>
      <c r="G1253" s="4" t="s">
        <v>3097</v>
      </c>
      <c r="H1253" s="4" t="n">
        <v>2016</v>
      </c>
      <c r="I1253" s="4" t="s">
        <v>3098</v>
      </c>
      <c r="J1253" s="25" t="str">
        <f aca="false">IF(M1253=1,"✓","")</f>
        <v/>
      </c>
      <c r="K1253" s="4" t="str">
        <f aca="false">IF(AND(M1253=0,P1253=0),"▶ NEXT","")</f>
        <v/>
      </c>
      <c r="L1253" s="4" t="n">
        <f aca="false">INDEX('Master List'!$F$2:$F$2594,O1253)</f>
        <v>1</v>
      </c>
      <c r="M1253" s="4" t="n">
        <f aca="false">INDEX('Master List'!$G$2:$G$2594,O1253)</f>
        <v>0</v>
      </c>
      <c r="N1253" s="4" t="str">
        <f aca="false">IF(K1253="","",A1253)</f>
        <v/>
      </c>
      <c r="O1253" s="4" t="n">
        <v>2442</v>
      </c>
      <c r="P1253" s="4" t="n">
        <f aca="false">IF(A1253=A1252,P1252+1-M1252,0)</f>
        <v>2</v>
      </c>
    </row>
    <row r="1254" customFormat="false" ht="15" hidden="false" customHeight="false" outlineLevel="0" collapsed="false">
      <c r="A1254" s="29" t="s">
        <v>4079</v>
      </c>
      <c r="B1254" s="29" t="s">
        <v>52</v>
      </c>
      <c r="C1254" s="29" t="s">
        <v>91</v>
      </c>
      <c r="D1254" s="29" t="s">
        <v>4080</v>
      </c>
      <c r="E1254" s="4" t="n">
        <v>6</v>
      </c>
      <c r="F1254" s="4" t="s">
        <v>213</v>
      </c>
      <c r="G1254" s="4" t="s">
        <v>1244</v>
      </c>
      <c r="H1254" s="4" t="n">
        <v>2018</v>
      </c>
      <c r="I1254" s="4" t="s">
        <v>646</v>
      </c>
      <c r="J1254" s="25" t="str">
        <f aca="false">IF(M1254=1,"✓","")</f>
        <v/>
      </c>
      <c r="K1254" s="4" t="str">
        <f aca="false">IF(AND(M1254=0,P1254=0),"▶ NEXT","")</f>
        <v/>
      </c>
      <c r="L1254" s="4" t="n">
        <f aca="false">INDEX('Master List'!$F$2:$F$2594,O1254)</f>
        <v>2</v>
      </c>
      <c r="M1254" s="4" t="n">
        <f aca="false">INDEX('Master List'!$G$2:$G$2594,O1254)</f>
        <v>0</v>
      </c>
      <c r="N1254" s="4" t="str">
        <f aca="false">IF(K1254="","",A1254)</f>
        <v/>
      </c>
      <c r="O1254" s="4" t="n">
        <v>113</v>
      </c>
      <c r="P1254" s="4" t="n">
        <f aca="false">IF(A1254=A1253,P1253+1-M1253,0)</f>
        <v>3</v>
      </c>
    </row>
    <row r="1255" customFormat="false" ht="15" hidden="false" customHeight="false" outlineLevel="0" collapsed="false">
      <c r="A1255" s="29" t="s">
        <v>4079</v>
      </c>
      <c r="B1255" s="29" t="s">
        <v>52</v>
      </c>
      <c r="C1255" s="29" t="s">
        <v>91</v>
      </c>
      <c r="D1255" s="29" t="s">
        <v>4080</v>
      </c>
      <c r="E1255" s="4" t="n">
        <v>7</v>
      </c>
      <c r="F1255" s="4" t="s">
        <v>213</v>
      </c>
      <c r="G1255" s="4" t="s">
        <v>3122</v>
      </c>
      <c r="H1255" s="4" t="n">
        <v>2017</v>
      </c>
      <c r="I1255" s="4" t="s">
        <v>3123</v>
      </c>
      <c r="J1255" s="25" t="str">
        <f aca="false">IF(M1255=1,"✓","")</f>
        <v/>
      </c>
      <c r="K1255" s="4" t="str">
        <f aca="false">IF(AND(M1255=0,P1255=0),"▶ NEXT","")</f>
        <v/>
      </c>
      <c r="L1255" s="4" t="n">
        <f aca="false">INDEX('Master List'!$F$2:$F$2594,O1255)</f>
        <v>1</v>
      </c>
      <c r="M1255" s="4" t="n">
        <f aca="false">INDEX('Master List'!$G$2:$G$2594,O1255)</f>
        <v>0</v>
      </c>
      <c r="N1255" s="4" t="str">
        <f aca="false">IF(K1255="","",A1255)</f>
        <v/>
      </c>
      <c r="O1255" s="4" t="n">
        <v>730</v>
      </c>
      <c r="P1255" s="4" t="n">
        <f aca="false">IF(A1255=A1254,P1254+1-M1254,0)</f>
        <v>4</v>
      </c>
    </row>
    <row r="1256" customFormat="false" ht="15" hidden="false" customHeight="false" outlineLevel="0" collapsed="false">
      <c r="A1256" s="29" t="s">
        <v>4079</v>
      </c>
      <c r="B1256" s="29" t="s">
        <v>52</v>
      </c>
      <c r="C1256" s="29" t="s">
        <v>91</v>
      </c>
      <c r="D1256" s="29" t="s">
        <v>4080</v>
      </c>
      <c r="E1256" s="4" t="n">
        <v>8</v>
      </c>
      <c r="F1256" s="4" t="s">
        <v>213</v>
      </c>
      <c r="G1256" s="4" t="s">
        <v>3175</v>
      </c>
      <c r="H1256" s="4" t="n">
        <v>2019</v>
      </c>
      <c r="I1256" s="4" t="s">
        <v>3176</v>
      </c>
      <c r="J1256" s="25" t="str">
        <f aca="false">IF(M1256=1,"✓","")</f>
        <v/>
      </c>
      <c r="K1256" s="4" t="str">
        <f aca="false">IF(AND(M1256=0,P1256=0),"▶ NEXT","")</f>
        <v/>
      </c>
      <c r="L1256" s="4" t="n">
        <f aca="false">INDEX('Master List'!$F$2:$F$2594,O1256)</f>
        <v>1</v>
      </c>
      <c r="M1256" s="4" t="n">
        <f aca="false">INDEX('Master List'!$G$2:$G$2594,O1256)</f>
        <v>0</v>
      </c>
      <c r="N1256" s="4" t="str">
        <f aca="false">IF(K1256="","",A1256)</f>
        <v/>
      </c>
      <c r="O1256" s="4" t="n">
        <v>498</v>
      </c>
      <c r="P1256" s="4" t="n">
        <f aca="false">IF(A1256=A1255,P1255+1-M1255,0)</f>
        <v>5</v>
      </c>
    </row>
    <row r="1257" customFormat="false" ht="15" hidden="false" customHeight="false" outlineLevel="0" collapsed="false">
      <c r="A1257" s="29" t="s">
        <v>4079</v>
      </c>
      <c r="B1257" s="29" t="s">
        <v>52</v>
      </c>
      <c r="C1257" s="29" t="s">
        <v>91</v>
      </c>
      <c r="D1257" s="29" t="s">
        <v>4080</v>
      </c>
      <c r="E1257" s="4" t="n">
        <v>9</v>
      </c>
      <c r="F1257" s="4" t="s">
        <v>1327</v>
      </c>
      <c r="G1257" s="4" t="s">
        <v>3636</v>
      </c>
      <c r="H1257" s="4" t="n">
        <v>1986</v>
      </c>
      <c r="I1257" s="4" t="s">
        <v>1074</v>
      </c>
      <c r="J1257" s="25" t="str">
        <f aca="false">IF(M1257=1,"✓","")</f>
        <v/>
      </c>
      <c r="K1257" s="4" t="str">
        <f aca="false">IF(AND(M1257=0,P1257=0),"▶ NEXT","")</f>
        <v/>
      </c>
      <c r="L1257" s="4" t="n">
        <f aca="false">INDEX('Master List'!$F$2:$F$2594,O1257)</f>
        <v>1</v>
      </c>
      <c r="M1257" s="4" t="n">
        <f aca="false">INDEX('Master List'!$G$2:$G$2594,O1257)</f>
        <v>0</v>
      </c>
      <c r="N1257" s="4" t="str">
        <f aca="false">IF(K1257="","",A1257)</f>
        <v/>
      </c>
      <c r="O1257" s="4" t="n">
        <v>860</v>
      </c>
      <c r="P1257" s="4" t="n">
        <f aca="false">IF(A1257=A1256,P1256+1-M1256,0)</f>
        <v>6</v>
      </c>
    </row>
    <row r="1258" customFormat="false" ht="15" hidden="false" customHeight="false" outlineLevel="0" collapsed="false">
      <c r="A1258" s="29" t="s">
        <v>4079</v>
      </c>
      <c r="B1258" s="29" t="s">
        <v>52</v>
      </c>
      <c r="C1258" s="29" t="s">
        <v>91</v>
      </c>
      <c r="D1258" s="29" t="s">
        <v>4080</v>
      </c>
      <c r="E1258" s="4" t="n">
        <v>10</v>
      </c>
      <c r="F1258" s="4" t="s">
        <v>1327</v>
      </c>
      <c r="G1258" s="4" t="s">
        <v>3854</v>
      </c>
      <c r="H1258" s="4" t="n">
        <v>2020</v>
      </c>
      <c r="I1258" s="4" t="s">
        <v>3855</v>
      </c>
      <c r="J1258" s="25" t="str">
        <f aca="false">IF(M1258=1,"✓","")</f>
        <v/>
      </c>
      <c r="K1258" s="4" t="str">
        <f aca="false">IF(AND(M1258=0,P1258=0),"▶ NEXT","")</f>
        <v/>
      </c>
      <c r="L1258" s="4" t="n">
        <f aca="false">INDEX('Master List'!$F$2:$F$2594,O1258)</f>
        <v>1</v>
      </c>
      <c r="M1258" s="4" t="n">
        <f aca="false">INDEX('Master List'!$G$2:$G$2594,O1258)</f>
        <v>0</v>
      </c>
      <c r="N1258" s="4" t="str">
        <f aca="false">IF(K1258="","",A1258)</f>
        <v/>
      </c>
      <c r="O1258" s="4" t="n">
        <v>1802</v>
      </c>
      <c r="P1258" s="4" t="n">
        <f aca="false">IF(A1258=A1257,P1257+1-M1257,0)</f>
        <v>7</v>
      </c>
    </row>
    <row r="1259" customFormat="false" ht="15" hidden="false" customHeight="false" outlineLevel="0" collapsed="false">
      <c r="A1259" s="29" t="s">
        <v>4081</v>
      </c>
      <c r="B1259" s="29" t="s">
        <v>52</v>
      </c>
      <c r="C1259" s="29" t="s">
        <v>91</v>
      </c>
      <c r="D1259" s="29" t="s">
        <v>4082</v>
      </c>
      <c r="E1259" s="4" t="n">
        <v>1</v>
      </c>
      <c r="F1259" s="4" t="s">
        <v>144</v>
      </c>
      <c r="G1259" s="7" t="s">
        <v>885</v>
      </c>
      <c r="H1259" s="4" t="n">
        <v>1963</v>
      </c>
      <c r="I1259" s="4" t="s">
        <v>789</v>
      </c>
      <c r="J1259" s="25" t="str">
        <f aca="false">IF(M1259=1,"✓","")</f>
        <v/>
      </c>
      <c r="K1259" s="4" t="str">
        <f aca="false">IF(AND(M1259=0,P1259=0),"▶ NEXT","")</f>
        <v>▶ NEXT</v>
      </c>
      <c r="L1259" s="4" t="n">
        <f aca="false">INDEX('Master List'!$F$2:$F$2594,O1259)</f>
        <v>2</v>
      </c>
      <c r="M1259" s="4" t="n">
        <f aca="false">INDEX('Master List'!$G$2:$G$2594,O1259)</f>
        <v>0</v>
      </c>
      <c r="N1259" s="4" t="str">
        <f aca="false">IF(K1259="","",A1259)</f>
        <v>N104</v>
      </c>
      <c r="O1259" s="4" t="n">
        <v>1002</v>
      </c>
      <c r="P1259" s="4" t="n">
        <f aca="false">IF(A1259=A1258,P1258+1-M1258,0)</f>
        <v>0</v>
      </c>
    </row>
    <row r="1260" customFormat="false" ht="15" hidden="false" customHeight="false" outlineLevel="0" collapsed="false">
      <c r="A1260" s="29" t="s">
        <v>4081</v>
      </c>
      <c r="B1260" s="29" t="s">
        <v>52</v>
      </c>
      <c r="C1260" s="29" t="s">
        <v>91</v>
      </c>
      <c r="D1260" s="29" t="s">
        <v>4082</v>
      </c>
      <c r="E1260" s="4" t="n">
        <v>2</v>
      </c>
      <c r="F1260" s="4" t="s">
        <v>144</v>
      </c>
      <c r="G1260" s="7" t="s">
        <v>313</v>
      </c>
      <c r="H1260" s="4" t="n">
        <v>1980</v>
      </c>
      <c r="I1260" s="4" t="s">
        <v>187</v>
      </c>
      <c r="J1260" s="25" t="str">
        <f aca="false">IF(M1260=1,"✓","")</f>
        <v>✓</v>
      </c>
      <c r="K1260" s="4" t="str">
        <f aca="false">IF(AND(M1260=0,P1260=0),"▶ NEXT","")</f>
        <v/>
      </c>
      <c r="L1260" s="4" t="n">
        <f aca="false">INDEX('Master List'!$F$2:$F$2594,O1260)</f>
        <v>4</v>
      </c>
      <c r="M1260" s="4" t="n">
        <f aca="false">INDEX('Master List'!$G$2:$G$2594,O1260)</f>
        <v>1</v>
      </c>
      <c r="N1260" s="4" t="str">
        <f aca="false">IF(K1260="","",A1260)</f>
        <v/>
      </c>
      <c r="O1260" s="4" t="n">
        <v>2046</v>
      </c>
      <c r="P1260" s="4" t="n">
        <f aca="false">IF(A1260=A1259,P1259+1-M1259,0)</f>
        <v>1</v>
      </c>
    </row>
    <row r="1261" customFormat="false" ht="15" hidden="false" customHeight="false" outlineLevel="0" collapsed="false">
      <c r="A1261" s="29" t="s">
        <v>4081</v>
      </c>
      <c r="B1261" s="29" t="s">
        <v>52</v>
      </c>
      <c r="C1261" s="29" t="s">
        <v>91</v>
      </c>
      <c r="D1261" s="29" t="s">
        <v>4082</v>
      </c>
      <c r="E1261" s="4" t="n">
        <v>3</v>
      </c>
      <c r="F1261" s="4" t="s">
        <v>213</v>
      </c>
      <c r="G1261" s="4" t="s">
        <v>764</v>
      </c>
      <c r="H1261" s="4" t="n">
        <v>1961</v>
      </c>
      <c r="I1261" s="4" t="s">
        <v>765</v>
      </c>
      <c r="J1261" s="25" t="str">
        <f aca="false">IF(M1261=1,"✓","")</f>
        <v/>
      </c>
      <c r="K1261" s="4" t="str">
        <f aca="false">IF(AND(M1261=0,P1261=0),"▶ NEXT","")</f>
        <v/>
      </c>
      <c r="L1261" s="4" t="n">
        <f aca="false">INDEX('Master List'!$F$2:$F$2594,O1261)</f>
        <v>3</v>
      </c>
      <c r="M1261" s="4" t="n">
        <f aca="false">INDEX('Master List'!$G$2:$G$2594,O1261)</f>
        <v>0</v>
      </c>
      <c r="N1261" s="4" t="str">
        <f aca="false">IF(K1261="","",A1261)</f>
        <v/>
      </c>
      <c r="O1261" s="4" t="n">
        <v>1144</v>
      </c>
      <c r="P1261" s="4" t="n">
        <f aca="false">IF(A1261=A1260,P1260+1-M1260,0)</f>
        <v>1</v>
      </c>
    </row>
    <row r="1262" customFormat="false" ht="15" hidden="false" customHeight="false" outlineLevel="0" collapsed="false">
      <c r="A1262" s="29" t="s">
        <v>4081</v>
      </c>
      <c r="B1262" s="29" t="s">
        <v>52</v>
      </c>
      <c r="C1262" s="29" t="s">
        <v>91</v>
      </c>
      <c r="D1262" s="29" t="s">
        <v>4082</v>
      </c>
      <c r="E1262" s="4" t="n">
        <v>4</v>
      </c>
      <c r="F1262" s="4" t="s">
        <v>213</v>
      </c>
      <c r="G1262" s="4" t="s">
        <v>1053</v>
      </c>
      <c r="H1262" s="4" t="n">
        <v>1980</v>
      </c>
      <c r="I1262" s="4" t="s">
        <v>1054</v>
      </c>
      <c r="J1262" s="25" t="str">
        <f aca="false">IF(M1262=1,"✓","")</f>
        <v/>
      </c>
      <c r="K1262" s="4" t="str">
        <f aca="false">IF(AND(M1262=0,P1262=0),"▶ NEXT","")</f>
        <v/>
      </c>
      <c r="L1262" s="4" t="n">
        <f aca="false">INDEX('Master List'!$F$2:$F$2594,O1262)</f>
        <v>2</v>
      </c>
      <c r="M1262" s="4" t="n">
        <f aca="false">INDEX('Master List'!$G$2:$G$2594,O1262)</f>
        <v>0</v>
      </c>
      <c r="N1262" s="4" t="str">
        <f aca="false">IF(K1262="","",A1262)</f>
        <v/>
      </c>
      <c r="O1262" s="4" t="n">
        <v>428</v>
      </c>
      <c r="P1262" s="4" t="n">
        <f aca="false">IF(A1262=A1261,P1261+1-M1261,0)</f>
        <v>2</v>
      </c>
    </row>
    <row r="1263" customFormat="false" ht="15" hidden="false" customHeight="false" outlineLevel="0" collapsed="false">
      <c r="A1263" s="29" t="s">
        <v>4081</v>
      </c>
      <c r="B1263" s="29" t="s">
        <v>52</v>
      </c>
      <c r="C1263" s="29" t="s">
        <v>91</v>
      </c>
      <c r="D1263" s="29" t="s">
        <v>4082</v>
      </c>
      <c r="E1263" s="4" t="n">
        <v>5</v>
      </c>
      <c r="F1263" s="4" t="s">
        <v>213</v>
      </c>
      <c r="G1263" s="4" t="s">
        <v>2358</v>
      </c>
      <c r="H1263" s="4" t="n">
        <v>1982</v>
      </c>
      <c r="I1263" s="4" t="s">
        <v>435</v>
      </c>
      <c r="J1263" s="25" t="str">
        <f aca="false">IF(M1263=1,"✓","")</f>
        <v/>
      </c>
      <c r="K1263" s="4" t="str">
        <f aca="false">IF(AND(M1263=0,P1263=0),"▶ NEXT","")</f>
        <v/>
      </c>
      <c r="L1263" s="4" t="n">
        <f aca="false">INDEX('Master List'!$F$2:$F$2594,O1263)</f>
        <v>1</v>
      </c>
      <c r="M1263" s="4" t="n">
        <f aca="false">INDEX('Master List'!$G$2:$G$2594,O1263)</f>
        <v>0</v>
      </c>
      <c r="N1263" s="4" t="str">
        <f aca="false">IF(K1263="","",A1263)</f>
        <v/>
      </c>
      <c r="O1263" s="4" t="n">
        <v>1789</v>
      </c>
      <c r="P1263" s="4" t="n">
        <f aca="false">IF(A1263=A1262,P1262+1-M1262,0)</f>
        <v>3</v>
      </c>
    </row>
    <row r="1264" customFormat="false" ht="15" hidden="false" customHeight="false" outlineLevel="0" collapsed="false">
      <c r="A1264" s="29" t="s">
        <v>4081</v>
      </c>
      <c r="B1264" s="29" t="s">
        <v>52</v>
      </c>
      <c r="C1264" s="29" t="s">
        <v>91</v>
      </c>
      <c r="D1264" s="29" t="s">
        <v>4082</v>
      </c>
      <c r="E1264" s="4" t="n">
        <v>6</v>
      </c>
      <c r="F1264" s="4" t="s">
        <v>213</v>
      </c>
      <c r="G1264" s="4" t="s">
        <v>1144</v>
      </c>
      <c r="H1264" s="4" t="n">
        <v>2001</v>
      </c>
      <c r="I1264" s="4" t="s">
        <v>1145</v>
      </c>
      <c r="J1264" s="25" t="str">
        <f aca="false">IF(M1264=1,"✓","")</f>
        <v/>
      </c>
      <c r="K1264" s="4" t="str">
        <f aca="false">IF(AND(M1264=0,P1264=0),"▶ NEXT","")</f>
        <v/>
      </c>
      <c r="L1264" s="4" t="n">
        <f aca="false">INDEX('Master List'!$F$2:$F$2594,O1264)</f>
        <v>2</v>
      </c>
      <c r="M1264" s="4" t="n">
        <f aca="false">INDEX('Master List'!$G$2:$G$2594,O1264)</f>
        <v>0</v>
      </c>
      <c r="N1264" s="4" t="str">
        <f aca="false">IF(K1264="","",A1264)</f>
        <v/>
      </c>
      <c r="O1264" s="4" t="n">
        <v>1697</v>
      </c>
      <c r="P1264" s="4" t="n">
        <f aca="false">IF(A1264=A1263,P1263+1-M1263,0)</f>
        <v>4</v>
      </c>
    </row>
    <row r="1265" customFormat="false" ht="15" hidden="false" customHeight="false" outlineLevel="0" collapsed="false">
      <c r="A1265" s="29" t="s">
        <v>4081</v>
      </c>
      <c r="B1265" s="29" t="s">
        <v>52</v>
      </c>
      <c r="C1265" s="29" t="s">
        <v>91</v>
      </c>
      <c r="D1265" s="29" t="s">
        <v>4082</v>
      </c>
      <c r="E1265" s="4" t="n">
        <v>7</v>
      </c>
      <c r="F1265" s="4" t="s">
        <v>213</v>
      </c>
      <c r="G1265" s="4" t="s">
        <v>1146</v>
      </c>
      <c r="H1265" s="4" t="n">
        <v>2001</v>
      </c>
      <c r="I1265" s="4" t="s">
        <v>1147</v>
      </c>
      <c r="J1265" s="25" t="str">
        <f aca="false">IF(M1265=1,"✓","")</f>
        <v/>
      </c>
      <c r="K1265" s="4" t="str">
        <f aca="false">IF(AND(M1265=0,P1265=0),"▶ NEXT","")</f>
        <v/>
      </c>
      <c r="L1265" s="4" t="n">
        <f aca="false">INDEX('Master List'!$F$2:$F$2594,O1265)</f>
        <v>2</v>
      </c>
      <c r="M1265" s="4" t="n">
        <f aca="false">INDEX('Master List'!$G$2:$G$2594,O1265)</f>
        <v>0</v>
      </c>
      <c r="N1265" s="4" t="str">
        <f aca="false">IF(K1265="","",A1265)</f>
        <v/>
      </c>
      <c r="O1265" s="4" t="n">
        <v>622</v>
      </c>
      <c r="P1265" s="4" t="n">
        <f aca="false">IF(A1265=A1264,P1264+1-M1264,0)</f>
        <v>5</v>
      </c>
    </row>
    <row r="1266" customFormat="false" ht="15" hidden="false" customHeight="false" outlineLevel="0" collapsed="false">
      <c r="A1266" s="29" t="s">
        <v>4081</v>
      </c>
      <c r="B1266" s="29" t="s">
        <v>52</v>
      </c>
      <c r="C1266" s="29" t="s">
        <v>91</v>
      </c>
      <c r="D1266" s="29" t="s">
        <v>4082</v>
      </c>
      <c r="E1266" s="4" t="n">
        <v>8</v>
      </c>
      <c r="F1266" s="4" t="s">
        <v>213</v>
      </c>
      <c r="G1266" s="4" t="s">
        <v>2874</v>
      </c>
      <c r="H1266" s="4" t="n">
        <v>2007</v>
      </c>
      <c r="I1266" s="4" t="s">
        <v>2875</v>
      </c>
      <c r="J1266" s="25" t="str">
        <f aca="false">IF(M1266=1,"✓","")</f>
        <v/>
      </c>
      <c r="K1266" s="4" t="str">
        <f aca="false">IF(AND(M1266=0,P1266=0),"▶ NEXT","")</f>
        <v/>
      </c>
      <c r="L1266" s="4" t="n">
        <f aca="false">INDEX('Master List'!$F$2:$F$2594,O1266)</f>
        <v>1</v>
      </c>
      <c r="M1266" s="4" t="n">
        <f aca="false">INDEX('Master List'!$G$2:$G$2594,O1266)</f>
        <v>0</v>
      </c>
      <c r="N1266" s="4" t="str">
        <f aca="false">IF(K1266="","",A1266)</f>
        <v/>
      </c>
      <c r="O1266" s="4" t="n">
        <v>1692</v>
      </c>
      <c r="P1266" s="4" t="n">
        <f aca="false">IF(A1266=A1265,P1265+1-M1265,0)</f>
        <v>6</v>
      </c>
    </row>
    <row r="1267" customFormat="false" ht="15" hidden="false" customHeight="false" outlineLevel="0" collapsed="false">
      <c r="A1267" s="29" t="s">
        <v>4081</v>
      </c>
      <c r="B1267" s="29" t="s">
        <v>52</v>
      </c>
      <c r="C1267" s="29" t="s">
        <v>91</v>
      </c>
      <c r="D1267" s="29" t="s">
        <v>4082</v>
      </c>
      <c r="E1267" s="4" t="n">
        <v>9</v>
      </c>
      <c r="F1267" s="4" t="s">
        <v>213</v>
      </c>
      <c r="G1267" s="4" t="s">
        <v>3027</v>
      </c>
      <c r="H1267" s="4" t="n">
        <v>2013</v>
      </c>
      <c r="I1267" s="4" t="s">
        <v>3028</v>
      </c>
      <c r="J1267" s="25" t="str">
        <f aca="false">IF(M1267=1,"✓","")</f>
        <v/>
      </c>
      <c r="K1267" s="4" t="str">
        <f aca="false">IF(AND(M1267=0,P1267=0),"▶ NEXT","")</f>
        <v/>
      </c>
      <c r="L1267" s="4" t="n">
        <f aca="false">INDEX('Master List'!$F$2:$F$2594,O1267)</f>
        <v>1</v>
      </c>
      <c r="M1267" s="4" t="n">
        <f aca="false">INDEX('Master List'!$G$2:$G$2594,O1267)</f>
        <v>0</v>
      </c>
      <c r="N1267" s="4" t="str">
        <f aca="false">IF(K1267="","",A1267)</f>
        <v/>
      </c>
      <c r="O1267" s="4" t="n">
        <v>515</v>
      </c>
      <c r="P1267" s="4" t="n">
        <f aca="false">IF(A1267=A1266,P1266+1-M1266,0)</f>
        <v>7</v>
      </c>
    </row>
    <row r="1268" customFormat="false" ht="15" hidden="false" customHeight="false" outlineLevel="0" collapsed="false">
      <c r="A1268" s="29" t="s">
        <v>4081</v>
      </c>
      <c r="B1268" s="29" t="s">
        <v>52</v>
      </c>
      <c r="C1268" s="29" t="s">
        <v>91</v>
      </c>
      <c r="D1268" s="29" t="s">
        <v>4082</v>
      </c>
      <c r="E1268" s="4" t="n">
        <v>10</v>
      </c>
      <c r="F1268" s="4" t="s">
        <v>1327</v>
      </c>
      <c r="G1268" s="4" t="s">
        <v>3514</v>
      </c>
      <c r="H1268" s="4" t="n">
        <v>1973</v>
      </c>
      <c r="I1268" s="4" t="s">
        <v>3515</v>
      </c>
      <c r="J1268" s="25" t="str">
        <f aca="false">IF(M1268=1,"✓","")</f>
        <v/>
      </c>
      <c r="K1268" s="4" t="str">
        <f aca="false">IF(AND(M1268=0,P1268=0),"▶ NEXT","")</f>
        <v/>
      </c>
      <c r="L1268" s="4" t="n">
        <f aca="false">INDEX('Master List'!$F$2:$F$2594,O1268)</f>
        <v>1</v>
      </c>
      <c r="M1268" s="4" t="n">
        <f aca="false">INDEX('Master List'!$G$2:$G$2594,O1268)</f>
        <v>0</v>
      </c>
      <c r="N1268" s="4" t="str">
        <f aca="false">IF(K1268="","",A1268)</f>
        <v/>
      </c>
      <c r="O1268" s="4" t="n">
        <v>1317</v>
      </c>
      <c r="P1268" s="4" t="n">
        <f aca="false">IF(A1268=A1267,P1267+1-M1267,0)</f>
        <v>8</v>
      </c>
    </row>
    <row r="1269" customFormat="false" ht="15" hidden="false" customHeight="false" outlineLevel="0" collapsed="false">
      <c r="A1269" s="29" t="s">
        <v>4081</v>
      </c>
      <c r="B1269" s="29" t="s">
        <v>52</v>
      </c>
      <c r="C1269" s="29" t="s">
        <v>91</v>
      </c>
      <c r="D1269" s="29" t="s">
        <v>4082</v>
      </c>
      <c r="E1269" s="4" t="n">
        <v>11</v>
      </c>
      <c r="F1269" s="4" t="s">
        <v>1327</v>
      </c>
      <c r="G1269" s="4" t="s">
        <v>3723</v>
      </c>
      <c r="H1269" s="4" t="n">
        <v>2001</v>
      </c>
      <c r="I1269" s="4" t="s">
        <v>505</v>
      </c>
      <c r="J1269" s="25" t="str">
        <f aca="false">IF(M1269=1,"✓","")</f>
        <v/>
      </c>
      <c r="K1269" s="4" t="str">
        <f aca="false">IF(AND(M1269=0,P1269=0),"▶ NEXT","")</f>
        <v/>
      </c>
      <c r="L1269" s="4" t="n">
        <f aca="false">INDEX('Master List'!$F$2:$F$2594,O1269)</f>
        <v>1</v>
      </c>
      <c r="M1269" s="4" t="n">
        <f aca="false">INDEX('Master List'!$G$2:$G$2594,O1269)</f>
        <v>0</v>
      </c>
      <c r="N1269" s="4" t="str">
        <f aca="false">IF(K1269="","",A1269)</f>
        <v/>
      </c>
      <c r="O1269" s="4" t="n">
        <v>1231</v>
      </c>
      <c r="P1269" s="4" t="n">
        <f aca="false">IF(A1269=A1268,P1268+1-M1268,0)</f>
        <v>9</v>
      </c>
    </row>
    <row r="1270" customFormat="false" ht="15" hidden="false" customHeight="false" outlineLevel="0" collapsed="false">
      <c r="A1270" s="29" t="s">
        <v>4083</v>
      </c>
      <c r="B1270" s="29" t="s">
        <v>52</v>
      </c>
      <c r="C1270" s="29" t="s">
        <v>92</v>
      </c>
      <c r="D1270" s="29" t="s">
        <v>4084</v>
      </c>
      <c r="E1270" s="4" t="n">
        <v>1</v>
      </c>
      <c r="F1270" s="4" t="s">
        <v>144</v>
      </c>
      <c r="G1270" s="7" t="s">
        <v>1444</v>
      </c>
      <c r="H1270" s="4" t="n">
        <v>1951</v>
      </c>
      <c r="I1270" s="4" t="s">
        <v>789</v>
      </c>
      <c r="J1270" s="25" t="str">
        <f aca="false">IF(M1270=1,"✓","")</f>
        <v/>
      </c>
      <c r="K1270" s="4" t="str">
        <f aca="false">IF(AND(M1270=0,P1270=0),"▶ NEXT","")</f>
        <v>▶ NEXT</v>
      </c>
      <c r="L1270" s="4" t="n">
        <f aca="false">INDEX('Master List'!$F$2:$F$2594,O1270)</f>
        <v>1</v>
      </c>
      <c r="M1270" s="4" t="n">
        <f aca="false">INDEX('Master List'!$G$2:$G$2594,O1270)</f>
        <v>0</v>
      </c>
      <c r="N1270" s="4" t="str">
        <f aca="false">IF(K1270="","",A1270)</f>
        <v>N105</v>
      </c>
      <c r="O1270" s="4" t="n">
        <v>577</v>
      </c>
      <c r="P1270" s="4" t="n">
        <f aca="false">IF(A1270=A1269,P1269+1-M1269,0)</f>
        <v>0</v>
      </c>
    </row>
    <row r="1271" customFormat="false" ht="15" hidden="false" customHeight="false" outlineLevel="0" collapsed="false">
      <c r="A1271" s="29" t="s">
        <v>4083</v>
      </c>
      <c r="B1271" s="29" t="s">
        <v>52</v>
      </c>
      <c r="C1271" s="29" t="s">
        <v>92</v>
      </c>
      <c r="D1271" s="29" t="s">
        <v>4084</v>
      </c>
      <c r="E1271" s="4" t="n">
        <v>2</v>
      </c>
      <c r="F1271" s="4" t="s">
        <v>144</v>
      </c>
      <c r="G1271" s="7" t="s">
        <v>408</v>
      </c>
      <c r="H1271" s="4" t="n">
        <v>1956</v>
      </c>
      <c r="I1271" s="4" t="s">
        <v>409</v>
      </c>
      <c r="J1271" s="25" t="str">
        <f aca="false">IF(M1271=1,"✓","")</f>
        <v/>
      </c>
      <c r="K1271" s="4" t="str">
        <f aca="false">IF(AND(M1271=0,P1271=0),"▶ NEXT","")</f>
        <v/>
      </c>
      <c r="L1271" s="4" t="n">
        <f aca="false">INDEX('Master List'!$F$2:$F$2594,O1271)</f>
        <v>3</v>
      </c>
      <c r="M1271" s="4" t="n">
        <f aca="false">INDEX('Master List'!$G$2:$G$2594,O1271)</f>
        <v>0</v>
      </c>
      <c r="N1271" s="4" t="str">
        <f aca="false">IF(K1271="","",A1271)</f>
        <v/>
      </c>
      <c r="O1271" s="4" t="n">
        <v>1160</v>
      </c>
      <c r="P1271" s="4" t="n">
        <f aca="false">IF(A1271=A1270,P1270+1-M1270,0)</f>
        <v>1</v>
      </c>
    </row>
    <row r="1272" customFormat="false" ht="15" hidden="false" customHeight="false" outlineLevel="0" collapsed="false">
      <c r="A1272" s="29" t="s">
        <v>4083</v>
      </c>
      <c r="B1272" s="29" t="s">
        <v>52</v>
      </c>
      <c r="C1272" s="29" t="s">
        <v>92</v>
      </c>
      <c r="D1272" s="29" t="s">
        <v>4084</v>
      </c>
      <c r="E1272" s="4" t="n">
        <v>3</v>
      </c>
      <c r="F1272" s="4" t="s">
        <v>213</v>
      </c>
      <c r="G1272" s="4" t="s">
        <v>281</v>
      </c>
      <c r="H1272" s="4" t="n">
        <v>1927</v>
      </c>
      <c r="I1272" s="4" t="s">
        <v>248</v>
      </c>
      <c r="J1272" s="25" t="str">
        <f aca="false">IF(M1272=1,"✓","")</f>
        <v>✓</v>
      </c>
      <c r="K1272" s="4" t="str">
        <f aca="false">IF(AND(M1272=0,P1272=0),"▶ NEXT","")</f>
        <v/>
      </c>
      <c r="L1272" s="4" t="n">
        <f aca="false">INDEX('Master List'!$F$2:$F$2594,O1272)</f>
        <v>5</v>
      </c>
      <c r="M1272" s="4" t="n">
        <f aca="false">INDEX('Master List'!$G$2:$G$2594,O1272)</f>
        <v>1</v>
      </c>
      <c r="N1272" s="4" t="str">
        <f aca="false">IF(K1272="","",A1272)</f>
        <v/>
      </c>
      <c r="O1272" s="4" t="n">
        <v>1487</v>
      </c>
      <c r="P1272" s="4" t="n">
        <f aca="false">IF(A1272=A1271,P1271+1-M1271,0)</f>
        <v>2</v>
      </c>
    </row>
    <row r="1273" customFormat="false" ht="15" hidden="false" customHeight="false" outlineLevel="0" collapsed="false">
      <c r="A1273" s="29" t="s">
        <v>4083</v>
      </c>
      <c r="B1273" s="29" t="s">
        <v>52</v>
      </c>
      <c r="C1273" s="29" t="s">
        <v>92</v>
      </c>
      <c r="D1273" s="29" t="s">
        <v>4084</v>
      </c>
      <c r="E1273" s="4" t="n">
        <v>4</v>
      </c>
      <c r="F1273" s="4" t="s">
        <v>213</v>
      </c>
      <c r="G1273" s="4" t="s">
        <v>1756</v>
      </c>
      <c r="H1273" s="4" t="n">
        <v>1936</v>
      </c>
      <c r="I1273" s="4" t="s">
        <v>1757</v>
      </c>
      <c r="J1273" s="25" t="str">
        <f aca="false">IF(M1273=1,"✓","")</f>
        <v/>
      </c>
      <c r="K1273" s="4" t="str">
        <f aca="false">IF(AND(M1273=0,P1273=0),"▶ NEXT","")</f>
        <v/>
      </c>
      <c r="L1273" s="4" t="n">
        <f aca="false">INDEX('Master List'!$F$2:$F$2594,O1273)</f>
        <v>1</v>
      </c>
      <c r="M1273" s="4" t="n">
        <f aca="false">INDEX('Master List'!$G$2:$G$2594,O1273)</f>
        <v>0</v>
      </c>
      <c r="N1273" s="4" t="str">
        <f aca="false">IF(K1273="","",A1273)</f>
        <v/>
      </c>
      <c r="O1273" s="4" t="n">
        <v>2280</v>
      </c>
      <c r="P1273" s="4" t="n">
        <f aca="false">IF(A1273=A1272,P1272+1-M1272,0)</f>
        <v>2</v>
      </c>
    </row>
    <row r="1274" customFormat="false" ht="15" hidden="false" customHeight="false" outlineLevel="0" collapsed="false">
      <c r="A1274" s="29" t="s">
        <v>4083</v>
      </c>
      <c r="B1274" s="29" t="s">
        <v>52</v>
      </c>
      <c r="C1274" s="29" t="s">
        <v>92</v>
      </c>
      <c r="D1274" s="29" t="s">
        <v>4084</v>
      </c>
      <c r="E1274" s="4" t="n">
        <v>5</v>
      </c>
      <c r="F1274" s="4" t="s">
        <v>213</v>
      </c>
      <c r="G1274" s="4" t="s">
        <v>743</v>
      </c>
      <c r="H1274" s="4" t="n">
        <v>1951</v>
      </c>
      <c r="I1274" s="4" t="s">
        <v>744</v>
      </c>
      <c r="J1274" s="25" t="str">
        <f aca="false">IF(M1274=1,"✓","")</f>
        <v/>
      </c>
      <c r="K1274" s="4" t="str">
        <f aca="false">IF(AND(M1274=0,P1274=0),"▶ NEXT","")</f>
        <v/>
      </c>
      <c r="L1274" s="4" t="n">
        <f aca="false">INDEX('Master List'!$F$2:$F$2594,O1274)</f>
        <v>2</v>
      </c>
      <c r="M1274" s="4" t="n">
        <f aca="false">INDEX('Master List'!$G$2:$G$2594,O1274)</f>
        <v>0</v>
      </c>
      <c r="N1274" s="4" t="str">
        <f aca="false">IF(K1274="","",A1274)</f>
        <v/>
      </c>
      <c r="O1274" s="4" t="n">
        <v>2279</v>
      </c>
      <c r="P1274" s="4" t="n">
        <f aca="false">IF(A1274=A1273,P1273+1-M1273,0)</f>
        <v>3</v>
      </c>
    </row>
    <row r="1275" customFormat="false" ht="15" hidden="false" customHeight="false" outlineLevel="0" collapsed="false">
      <c r="A1275" s="29" t="s">
        <v>4083</v>
      </c>
      <c r="B1275" s="29" t="s">
        <v>52</v>
      </c>
      <c r="C1275" s="29" t="s">
        <v>92</v>
      </c>
      <c r="D1275" s="29" t="s">
        <v>4084</v>
      </c>
      <c r="E1275" s="4" t="n">
        <v>6</v>
      </c>
      <c r="F1275" s="4" t="s">
        <v>213</v>
      </c>
      <c r="G1275" s="4" t="s">
        <v>1893</v>
      </c>
      <c r="H1275" s="4" t="n">
        <v>1953</v>
      </c>
      <c r="I1275" s="4" t="s">
        <v>1894</v>
      </c>
      <c r="J1275" s="25" t="str">
        <f aca="false">IF(M1275=1,"✓","")</f>
        <v/>
      </c>
      <c r="K1275" s="4" t="str">
        <f aca="false">IF(AND(M1275=0,P1275=0),"▶ NEXT","")</f>
        <v/>
      </c>
      <c r="L1275" s="4" t="n">
        <f aca="false">INDEX('Master List'!$F$2:$F$2594,O1275)</f>
        <v>1</v>
      </c>
      <c r="M1275" s="4" t="n">
        <f aca="false">INDEX('Master List'!$G$2:$G$2594,O1275)</f>
        <v>0</v>
      </c>
      <c r="N1275" s="4" t="str">
        <f aca="false">IF(K1275="","",A1275)</f>
        <v/>
      </c>
      <c r="O1275" s="4" t="n">
        <v>2464</v>
      </c>
      <c r="P1275" s="4" t="n">
        <f aca="false">IF(A1275=A1274,P1274+1-M1274,0)</f>
        <v>4</v>
      </c>
    </row>
    <row r="1276" customFormat="false" ht="15" hidden="false" customHeight="false" outlineLevel="0" collapsed="false">
      <c r="A1276" s="29" t="s">
        <v>4083</v>
      </c>
      <c r="B1276" s="29" t="s">
        <v>52</v>
      </c>
      <c r="C1276" s="29" t="s">
        <v>92</v>
      </c>
      <c r="D1276" s="29" t="s">
        <v>4084</v>
      </c>
      <c r="E1276" s="4" t="n">
        <v>7</v>
      </c>
      <c r="F1276" s="4" t="s">
        <v>213</v>
      </c>
      <c r="G1276" s="4" t="s">
        <v>1904</v>
      </c>
      <c r="H1276" s="4" t="n">
        <v>1954</v>
      </c>
      <c r="I1276" s="4" t="s">
        <v>1905</v>
      </c>
      <c r="J1276" s="25" t="str">
        <f aca="false">IF(M1276=1,"✓","")</f>
        <v/>
      </c>
      <c r="K1276" s="4" t="str">
        <f aca="false">IF(AND(M1276=0,P1276=0),"▶ NEXT","")</f>
        <v/>
      </c>
      <c r="L1276" s="4" t="n">
        <f aca="false">INDEX('Master List'!$F$2:$F$2594,O1276)</f>
        <v>1</v>
      </c>
      <c r="M1276" s="4" t="n">
        <f aca="false">INDEX('Master List'!$G$2:$G$2594,O1276)</f>
        <v>0</v>
      </c>
      <c r="N1276" s="4" t="str">
        <f aca="false">IF(K1276="","",A1276)</f>
        <v/>
      </c>
      <c r="O1276" s="4" t="n">
        <v>2265</v>
      </c>
      <c r="P1276" s="4" t="n">
        <f aca="false">IF(A1276=A1275,P1275+1-M1275,0)</f>
        <v>5</v>
      </c>
    </row>
    <row r="1277" customFormat="false" ht="15" hidden="false" customHeight="false" outlineLevel="0" collapsed="false">
      <c r="A1277" s="29" t="s">
        <v>4083</v>
      </c>
      <c r="B1277" s="29" t="s">
        <v>52</v>
      </c>
      <c r="C1277" s="29" t="s">
        <v>92</v>
      </c>
      <c r="D1277" s="29" t="s">
        <v>4084</v>
      </c>
      <c r="E1277" s="4" t="n">
        <v>8</v>
      </c>
      <c r="F1277" s="4" t="s">
        <v>213</v>
      </c>
      <c r="G1277" s="4" t="s">
        <v>406</v>
      </c>
      <c r="H1277" s="4" t="n">
        <v>1954</v>
      </c>
      <c r="I1277" s="4" t="s">
        <v>407</v>
      </c>
      <c r="J1277" s="25" t="str">
        <f aca="false">IF(M1277=1,"✓","")</f>
        <v/>
      </c>
      <c r="K1277" s="4" t="str">
        <f aca="false">IF(AND(M1277=0,P1277=0),"▶ NEXT","")</f>
        <v/>
      </c>
      <c r="L1277" s="4" t="n">
        <f aca="false">INDEX('Master List'!$F$2:$F$2594,O1277)</f>
        <v>3</v>
      </c>
      <c r="M1277" s="4" t="n">
        <f aca="false">INDEX('Master List'!$G$2:$G$2594,O1277)</f>
        <v>0</v>
      </c>
      <c r="N1277" s="4" t="str">
        <f aca="false">IF(K1277="","",A1277)</f>
        <v/>
      </c>
      <c r="O1277" s="4" t="n">
        <v>911</v>
      </c>
      <c r="P1277" s="4" t="n">
        <f aca="false">IF(A1277=A1276,P1276+1-M1276,0)</f>
        <v>6</v>
      </c>
    </row>
    <row r="1278" customFormat="false" ht="15" hidden="false" customHeight="false" outlineLevel="0" collapsed="false">
      <c r="A1278" s="29" t="s">
        <v>4083</v>
      </c>
      <c r="B1278" s="29" t="s">
        <v>52</v>
      </c>
      <c r="C1278" s="29" t="s">
        <v>92</v>
      </c>
      <c r="D1278" s="29" t="s">
        <v>4084</v>
      </c>
      <c r="E1278" s="4" t="n">
        <v>9</v>
      </c>
      <c r="F1278" s="4" t="s">
        <v>213</v>
      </c>
      <c r="G1278" s="4" t="s">
        <v>1932</v>
      </c>
      <c r="H1278" s="4" t="n">
        <v>1956</v>
      </c>
      <c r="I1278" s="4" t="s">
        <v>1933</v>
      </c>
      <c r="J1278" s="25" t="str">
        <f aca="false">IF(M1278=1,"✓","")</f>
        <v/>
      </c>
      <c r="K1278" s="4" t="str">
        <f aca="false">IF(AND(M1278=0,P1278=0),"▶ NEXT","")</f>
        <v/>
      </c>
      <c r="L1278" s="4" t="n">
        <f aca="false">INDEX('Master List'!$F$2:$F$2594,O1278)</f>
        <v>1</v>
      </c>
      <c r="M1278" s="4" t="n">
        <f aca="false">INDEX('Master List'!$G$2:$G$2594,O1278)</f>
        <v>0</v>
      </c>
      <c r="N1278" s="4" t="str">
        <f aca="false">IF(K1278="","",A1278)</f>
        <v/>
      </c>
      <c r="O1278" s="4" t="n">
        <v>832</v>
      </c>
      <c r="P1278" s="4" t="n">
        <f aca="false">IF(A1278=A1277,P1277+1-M1277,0)</f>
        <v>7</v>
      </c>
    </row>
    <row r="1279" customFormat="false" ht="15" hidden="false" customHeight="false" outlineLevel="0" collapsed="false">
      <c r="A1279" s="29" t="s">
        <v>4083</v>
      </c>
      <c r="B1279" s="29" t="s">
        <v>52</v>
      </c>
      <c r="C1279" s="29" t="s">
        <v>92</v>
      </c>
      <c r="D1279" s="29" t="s">
        <v>4084</v>
      </c>
      <c r="E1279" s="4" t="n">
        <v>10</v>
      </c>
      <c r="F1279" s="4" t="s">
        <v>213</v>
      </c>
      <c r="G1279" s="4" t="s">
        <v>1944</v>
      </c>
      <c r="H1279" s="4" t="n">
        <v>1957</v>
      </c>
      <c r="I1279" s="4" t="s">
        <v>1903</v>
      </c>
      <c r="J1279" s="25" t="str">
        <f aca="false">IF(M1279=1,"✓","")</f>
        <v/>
      </c>
      <c r="K1279" s="4" t="str">
        <f aca="false">IF(AND(M1279=0,P1279=0),"▶ NEXT","")</f>
        <v/>
      </c>
      <c r="L1279" s="4" t="n">
        <f aca="false">INDEX('Master List'!$F$2:$F$2594,O1279)</f>
        <v>1</v>
      </c>
      <c r="M1279" s="4" t="n">
        <f aca="false">INDEX('Master List'!$G$2:$G$2594,O1279)</f>
        <v>0</v>
      </c>
      <c r="N1279" s="4" t="str">
        <f aca="false">IF(K1279="","",A1279)</f>
        <v/>
      </c>
      <c r="O1279" s="4" t="n">
        <v>1134</v>
      </c>
      <c r="P1279" s="4" t="n">
        <f aca="false">IF(A1279=A1278,P1278+1-M1278,0)</f>
        <v>8</v>
      </c>
    </row>
    <row r="1280" customFormat="false" ht="15" hidden="false" customHeight="false" outlineLevel="0" collapsed="false">
      <c r="A1280" s="29" t="s">
        <v>4083</v>
      </c>
      <c r="B1280" s="29" t="s">
        <v>52</v>
      </c>
      <c r="C1280" s="29" t="s">
        <v>92</v>
      </c>
      <c r="D1280" s="29" t="s">
        <v>4084</v>
      </c>
      <c r="E1280" s="4" t="n">
        <v>11</v>
      </c>
      <c r="F1280" s="4" t="s">
        <v>1327</v>
      </c>
      <c r="G1280" s="4" t="s">
        <v>3368</v>
      </c>
      <c r="H1280" s="4" t="n">
        <v>1953</v>
      </c>
      <c r="I1280" s="4" t="s">
        <v>1903</v>
      </c>
      <c r="J1280" s="25" t="str">
        <f aca="false">IF(M1280=1,"✓","")</f>
        <v/>
      </c>
      <c r="K1280" s="4" t="str">
        <f aca="false">IF(AND(M1280=0,P1280=0),"▶ NEXT","")</f>
        <v/>
      </c>
      <c r="L1280" s="4" t="n">
        <f aca="false">INDEX('Master List'!$F$2:$F$2594,O1280)</f>
        <v>1</v>
      </c>
      <c r="M1280" s="4" t="n">
        <f aca="false">INDEX('Master List'!$G$2:$G$2594,O1280)</f>
        <v>0</v>
      </c>
      <c r="N1280" s="4" t="str">
        <f aca="false">IF(K1280="","",A1280)</f>
        <v/>
      </c>
      <c r="O1280" s="4" t="n">
        <v>1173</v>
      </c>
      <c r="P1280" s="4" t="n">
        <f aca="false">IF(A1280=A1279,P1279+1-M1279,0)</f>
        <v>9</v>
      </c>
    </row>
    <row r="1281" customFormat="false" ht="15" hidden="false" customHeight="false" outlineLevel="0" collapsed="false">
      <c r="A1281" s="29" t="s">
        <v>4083</v>
      </c>
      <c r="B1281" s="29" t="s">
        <v>52</v>
      </c>
      <c r="C1281" s="29" t="s">
        <v>92</v>
      </c>
      <c r="D1281" s="29" t="s">
        <v>4084</v>
      </c>
      <c r="E1281" s="4" t="n">
        <v>12</v>
      </c>
      <c r="F1281" s="4" t="s">
        <v>1327</v>
      </c>
      <c r="G1281" s="4" t="s">
        <v>747</v>
      </c>
      <c r="H1281" s="4" t="n">
        <v>1955</v>
      </c>
      <c r="I1281" s="4" t="s">
        <v>748</v>
      </c>
      <c r="J1281" s="25" t="str">
        <f aca="false">IF(M1281=1,"✓","")</f>
        <v/>
      </c>
      <c r="K1281" s="4" t="str">
        <f aca="false">IF(AND(M1281=0,P1281=0),"▶ NEXT","")</f>
        <v/>
      </c>
      <c r="L1281" s="4" t="n">
        <f aca="false">INDEX('Master List'!$F$2:$F$2594,O1281)</f>
        <v>3</v>
      </c>
      <c r="M1281" s="4" t="n">
        <f aca="false">INDEX('Master List'!$G$2:$G$2594,O1281)</f>
        <v>0</v>
      </c>
      <c r="N1281" s="4" t="str">
        <f aca="false">IF(K1281="","",A1281)</f>
        <v/>
      </c>
      <c r="O1281" s="4" t="n">
        <v>1263</v>
      </c>
      <c r="P1281" s="4" t="n">
        <f aca="false">IF(A1281=A1280,P1280+1-M1280,0)</f>
        <v>10</v>
      </c>
    </row>
    <row r="1282" customFormat="false" ht="15" hidden="false" customHeight="false" outlineLevel="0" collapsed="false">
      <c r="A1282" s="29" t="s">
        <v>4085</v>
      </c>
      <c r="B1282" s="29" t="s">
        <v>52</v>
      </c>
      <c r="C1282" s="29" t="s">
        <v>92</v>
      </c>
      <c r="D1282" s="29" t="s">
        <v>4086</v>
      </c>
      <c r="E1282" s="4" t="n">
        <v>1</v>
      </c>
      <c r="F1282" s="4" t="s">
        <v>144</v>
      </c>
      <c r="G1282" s="7" t="s">
        <v>186</v>
      </c>
      <c r="H1282" s="4" t="n">
        <v>1968</v>
      </c>
      <c r="I1282" s="4" t="s">
        <v>187</v>
      </c>
      <c r="J1282" s="25" t="str">
        <f aca="false">IF(M1282=1,"✓","")</f>
        <v>✓</v>
      </c>
      <c r="K1282" s="4" t="str">
        <f aca="false">IF(AND(M1282=0,P1282=0),"▶ NEXT","")</f>
        <v/>
      </c>
      <c r="L1282" s="4" t="n">
        <f aca="false">INDEX('Master List'!$F$2:$F$2594,O1282)</f>
        <v>7</v>
      </c>
      <c r="M1282" s="4" t="n">
        <f aca="false">INDEX('Master List'!$G$2:$G$2594,O1282)</f>
        <v>1</v>
      </c>
      <c r="N1282" s="4" t="str">
        <f aca="false">IF(K1282="","",A1282)</f>
        <v/>
      </c>
      <c r="O1282" s="4" t="n">
        <v>12</v>
      </c>
      <c r="P1282" s="4" t="n">
        <f aca="false">IF(A1282=A1281,P1281+1-M1281,0)</f>
        <v>0</v>
      </c>
    </row>
    <row r="1283" customFormat="false" ht="15" hidden="false" customHeight="false" outlineLevel="0" collapsed="false">
      <c r="A1283" s="29" t="s">
        <v>4085</v>
      </c>
      <c r="B1283" s="29" t="s">
        <v>52</v>
      </c>
      <c r="C1283" s="29" t="s">
        <v>92</v>
      </c>
      <c r="D1283" s="29" t="s">
        <v>4086</v>
      </c>
      <c r="E1283" s="4" t="n">
        <v>2</v>
      </c>
      <c r="F1283" s="4" t="s">
        <v>144</v>
      </c>
      <c r="G1283" s="7" t="s">
        <v>1476</v>
      </c>
      <c r="H1283" s="4" t="n">
        <v>1968</v>
      </c>
      <c r="I1283" s="4" t="s">
        <v>1477</v>
      </c>
      <c r="J1283" s="25" t="str">
        <f aca="false">IF(M1283=1,"✓","")</f>
        <v/>
      </c>
      <c r="K1283" s="4" t="str">
        <f aca="false">IF(AND(M1283=0,P1283=0),"▶ NEXT","")</f>
        <v>▶ NEXT</v>
      </c>
      <c r="L1283" s="4" t="n">
        <f aca="false">INDEX('Master List'!$F$2:$F$2594,O1283)</f>
        <v>1</v>
      </c>
      <c r="M1283" s="4" t="n">
        <f aca="false">INDEX('Master List'!$G$2:$G$2594,O1283)</f>
        <v>0</v>
      </c>
      <c r="N1283" s="4" t="str">
        <f aca="false">IF(K1283="","",A1283)</f>
        <v>N106</v>
      </c>
      <c r="O1283" s="4" t="n">
        <v>1776</v>
      </c>
      <c r="P1283" s="4" t="n">
        <f aca="false">IF(A1283=A1282,P1282+1-M1282,0)</f>
        <v>0</v>
      </c>
    </row>
    <row r="1284" customFormat="false" ht="15" hidden="false" customHeight="false" outlineLevel="0" collapsed="false">
      <c r="A1284" s="29" t="s">
        <v>4085</v>
      </c>
      <c r="B1284" s="29" t="s">
        <v>52</v>
      </c>
      <c r="C1284" s="29" t="s">
        <v>92</v>
      </c>
      <c r="D1284" s="29" t="s">
        <v>4086</v>
      </c>
      <c r="E1284" s="4" t="n">
        <v>3</v>
      </c>
      <c r="F1284" s="4" t="s">
        <v>213</v>
      </c>
      <c r="G1284" s="4" t="s">
        <v>415</v>
      </c>
      <c r="H1284" s="4" t="n">
        <v>1962</v>
      </c>
      <c r="I1284" s="4" t="s">
        <v>416</v>
      </c>
      <c r="J1284" s="25" t="str">
        <f aca="false">IF(M1284=1,"✓","")</f>
        <v/>
      </c>
      <c r="K1284" s="4" t="str">
        <f aca="false">IF(AND(M1284=0,P1284=0),"▶ NEXT","")</f>
        <v/>
      </c>
      <c r="L1284" s="4" t="n">
        <f aca="false">INDEX('Master List'!$F$2:$F$2594,O1284)</f>
        <v>3</v>
      </c>
      <c r="M1284" s="4" t="n">
        <f aca="false">INDEX('Master List'!$G$2:$G$2594,O1284)</f>
        <v>0</v>
      </c>
      <c r="N1284" s="4" t="str">
        <f aca="false">IF(K1284="","",A1284)</f>
        <v/>
      </c>
      <c r="O1284" s="4" t="n">
        <v>1205</v>
      </c>
      <c r="P1284" s="4" t="n">
        <f aca="false">IF(A1284=A1283,P1283+1-M1283,0)</f>
        <v>1</v>
      </c>
    </row>
    <row r="1285" customFormat="false" ht="15" hidden="false" customHeight="false" outlineLevel="0" collapsed="false">
      <c r="A1285" s="29" t="s">
        <v>4085</v>
      </c>
      <c r="B1285" s="29" t="s">
        <v>52</v>
      </c>
      <c r="C1285" s="29" t="s">
        <v>92</v>
      </c>
      <c r="D1285" s="29" t="s">
        <v>4086</v>
      </c>
      <c r="E1285" s="4" t="n">
        <v>4</v>
      </c>
      <c r="F1285" s="4" t="s">
        <v>213</v>
      </c>
      <c r="G1285" s="4" t="s">
        <v>664</v>
      </c>
      <c r="H1285" s="4" t="n">
        <v>1965</v>
      </c>
      <c r="I1285" s="4" t="s">
        <v>152</v>
      </c>
      <c r="J1285" s="25" t="str">
        <f aca="false">IF(M1285=1,"✓","")</f>
        <v/>
      </c>
      <c r="K1285" s="4" t="str">
        <f aca="false">IF(AND(M1285=0,P1285=0),"▶ NEXT","")</f>
        <v/>
      </c>
      <c r="L1285" s="4" t="n">
        <f aca="false">INDEX('Master List'!$F$2:$F$2594,O1285)</f>
        <v>3</v>
      </c>
      <c r="M1285" s="4" t="n">
        <f aca="false">INDEX('Master List'!$G$2:$G$2594,O1285)</f>
        <v>0</v>
      </c>
      <c r="N1285" s="4" t="str">
        <f aca="false">IF(K1285="","",A1285)</f>
        <v/>
      </c>
      <c r="O1285" s="4" t="n">
        <v>82</v>
      </c>
      <c r="P1285" s="4" t="n">
        <f aca="false">IF(A1285=A1284,P1284+1-M1284,0)</f>
        <v>2</v>
      </c>
    </row>
    <row r="1286" customFormat="false" ht="15" hidden="false" customHeight="false" outlineLevel="0" collapsed="false">
      <c r="A1286" s="29" t="s">
        <v>4085</v>
      </c>
      <c r="B1286" s="29" t="s">
        <v>52</v>
      </c>
      <c r="C1286" s="29" t="s">
        <v>92</v>
      </c>
      <c r="D1286" s="29" t="s">
        <v>4086</v>
      </c>
      <c r="E1286" s="4" t="n">
        <v>5</v>
      </c>
      <c r="F1286" s="4" t="s">
        <v>213</v>
      </c>
      <c r="G1286" s="4" t="s">
        <v>2080</v>
      </c>
      <c r="H1286" s="4" t="n">
        <v>1966</v>
      </c>
      <c r="I1286" s="4" t="s">
        <v>150</v>
      </c>
      <c r="J1286" s="25" t="str">
        <f aca="false">IF(M1286=1,"✓","")</f>
        <v/>
      </c>
      <c r="K1286" s="4" t="str">
        <f aca="false">IF(AND(M1286=0,P1286=0),"▶ NEXT","")</f>
        <v/>
      </c>
      <c r="L1286" s="4" t="n">
        <f aca="false">INDEX('Master List'!$F$2:$F$2594,O1286)</f>
        <v>1</v>
      </c>
      <c r="M1286" s="4" t="n">
        <f aca="false">INDEX('Master List'!$G$2:$G$2594,O1286)</f>
        <v>0</v>
      </c>
      <c r="N1286" s="4" t="str">
        <f aca="false">IF(K1286="","",A1286)</f>
        <v/>
      </c>
      <c r="O1286" s="4" t="n">
        <v>775</v>
      </c>
      <c r="P1286" s="4" t="n">
        <f aca="false">IF(A1286=A1285,P1285+1-M1285,0)</f>
        <v>3</v>
      </c>
    </row>
    <row r="1287" customFormat="false" ht="15" hidden="false" customHeight="false" outlineLevel="0" collapsed="false">
      <c r="A1287" s="29" t="s">
        <v>4085</v>
      </c>
      <c r="B1287" s="29" t="s">
        <v>52</v>
      </c>
      <c r="C1287" s="29" t="s">
        <v>92</v>
      </c>
      <c r="D1287" s="29" t="s">
        <v>4086</v>
      </c>
      <c r="E1287" s="4" t="n">
        <v>6</v>
      </c>
      <c r="F1287" s="4" t="s">
        <v>213</v>
      </c>
      <c r="G1287" s="4" t="s">
        <v>2081</v>
      </c>
      <c r="H1287" s="4" t="n">
        <v>1966</v>
      </c>
      <c r="I1287" s="4" t="s">
        <v>965</v>
      </c>
      <c r="J1287" s="25" t="str">
        <f aca="false">IF(M1287=1,"✓","")</f>
        <v>✓</v>
      </c>
      <c r="K1287" s="4" t="str">
        <f aca="false">IF(AND(M1287=0,P1287=0),"▶ NEXT","")</f>
        <v/>
      </c>
      <c r="L1287" s="4" t="n">
        <f aca="false">INDEX('Master List'!$F$2:$F$2594,O1287)</f>
        <v>1</v>
      </c>
      <c r="M1287" s="4" t="n">
        <f aca="false">INDEX('Master List'!$G$2:$G$2594,O1287)</f>
        <v>1</v>
      </c>
      <c r="N1287" s="4" t="str">
        <f aca="false">IF(K1287="","",A1287)</f>
        <v/>
      </c>
      <c r="O1287" s="4" t="n">
        <v>2001</v>
      </c>
      <c r="P1287" s="4" t="n">
        <f aca="false">IF(A1287=A1286,P1286+1-M1286,0)</f>
        <v>4</v>
      </c>
    </row>
    <row r="1288" customFormat="false" ht="15" hidden="false" customHeight="false" outlineLevel="0" collapsed="false">
      <c r="A1288" s="29" t="s">
        <v>4085</v>
      </c>
      <c r="B1288" s="29" t="s">
        <v>52</v>
      </c>
      <c r="C1288" s="29" t="s">
        <v>92</v>
      </c>
      <c r="D1288" s="29" t="s">
        <v>4086</v>
      </c>
      <c r="E1288" s="4" t="n">
        <v>7</v>
      </c>
      <c r="F1288" s="4" t="s">
        <v>213</v>
      </c>
      <c r="G1288" s="4" t="s">
        <v>542</v>
      </c>
      <c r="H1288" s="4" t="n">
        <v>1972</v>
      </c>
      <c r="I1288" s="4" t="s">
        <v>210</v>
      </c>
      <c r="J1288" s="25" t="str">
        <f aca="false">IF(M1288=1,"✓","")</f>
        <v/>
      </c>
      <c r="K1288" s="4" t="str">
        <f aca="false">IF(AND(M1288=0,P1288=0),"▶ NEXT","")</f>
        <v/>
      </c>
      <c r="L1288" s="4" t="n">
        <f aca="false">INDEX('Master List'!$F$2:$F$2594,O1288)</f>
        <v>3</v>
      </c>
      <c r="M1288" s="4" t="n">
        <f aca="false">INDEX('Master List'!$G$2:$G$2594,O1288)</f>
        <v>0</v>
      </c>
      <c r="N1288" s="4" t="str">
        <f aca="false">IF(K1288="","",A1288)</f>
        <v/>
      </c>
      <c r="O1288" s="4" t="n">
        <v>2104</v>
      </c>
      <c r="P1288" s="4" t="n">
        <f aca="false">IF(A1288=A1287,P1287+1-M1287,0)</f>
        <v>4</v>
      </c>
    </row>
    <row r="1289" customFormat="false" ht="15" hidden="false" customHeight="false" outlineLevel="0" collapsed="false">
      <c r="A1289" s="29" t="s">
        <v>4085</v>
      </c>
      <c r="B1289" s="29" t="s">
        <v>52</v>
      </c>
      <c r="C1289" s="29" t="s">
        <v>92</v>
      </c>
      <c r="D1289" s="29" t="s">
        <v>4086</v>
      </c>
      <c r="E1289" s="4" t="n">
        <v>8</v>
      </c>
      <c r="F1289" s="4" t="s">
        <v>213</v>
      </c>
      <c r="G1289" s="4" t="s">
        <v>2179</v>
      </c>
      <c r="H1289" s="4" t="n">
        <v>1971</v>
      </c>
      <c r="I1289" s="4" t="s">
        <v>257</v>
      </c>
      <c r="J1289" s="25" t="str">
        <f aca="false">IF(M1289=1,"✓","")</f>
        <v/>
      </c>
      <c r="K1289" s="4" t="str">
        <f aca="false">IF(AND(M1289=0,P1289=0),"▶ NEXT","")</f>
        <v/>
      </c>
      <c r="L1289" s="4" t="n">
        <f aca="false">INDEX('Master List'!$F$2:$F$2594,O1289)</f>
        <v>1</v>
      </c>
      <c r="M1289" s="4" t="n">
        <f aca="false">INDEX('Master List'!$G$2:$G$2594,O1289)</f>
        <v>0</v>
      </c>
      <c r="N1289" s="4" t="str">
        <f aca="false">IF(K1289="","",A1289)</f>
        <v/>
      </c>
      <c r="O1289" s="4" t="n">
        <v>2301</v>
      </c>
      <c r="P1289" s="4" t="n">
        <f aca="false">IF(A1289=A1288,P1288+1-M1288,0)</f>
        <v>5</v>
      </c>
    </row>
    <row r="1290" customFormat="false" ht="15" hidden="false" customHeight="false" outlineLevel="0" collapsed="false">
      <c r="A1290" s="29" t="s">
        <v>4085</v>
      </c>
      <c r="B1290" s="29" t="s">
        <v>52</v>
      </c>
      <c r="C1290" s="29" t="s">
        <v>92</v>
      </c>
      <c r="D1290" s="29" t="s">
        <v>4086</v>
      </c>
      <c r="E1290" s="4" t="n">
        <v>9</v>
      </c>
      <c r="F1290" s="4" t="s">
        <v>213</v>
      </c>
      <c r="G1290" s="4" t="s">
        <v>2201</v>
      </c>
      <c r="H1290" s="4" t="n">
        <v>1972</v>
      </c>
      <c r="I1290" s="4" t="s">
        <v>2202</v>
      </c>
      <c r="J1290" s="25" t="str">
        <f aca="false">IF(M1290=1,"✓","")</f>
        <v/>
      </c>
      <c r="K1290" s="4" t="str">
        <f aca="false">IF(AND(M1290=0,P1290=0),"▶ NEXT","")</f>
        <v/>
      </c>
      <c r="L1290" s="4" t="n">
        <f aca="false">INDEX('Master List'!$F$2:$F$2594,O1290)</f>
        <v>1</v>
      </c>
      <c r="M1290" s="4" t="n">
        <f aca="false">INDEX('Master List'!$G$2:$G$2594,O1290)</f>
        <v>0</v>
      </c>
      <c r="N1290" s="4" t="str">
        <f aca="false">IF(K1290="","",A1290)</f>
        <v/>
      </c>
      <c r="O1290" s="4" t="n">
        <v>2071</v>
      </c>
      <c r="P1290" s="4" t="n">
        <f aca="false">IF(A1290=A1289,P1289+1-M1289,0)</f>
        <v>6</v>
      </c>
    </row>
    <row r="1291" customFormat="false" ht="15" hidden="false" customHeight="false" outlineLevel="0" collapsed="false">
      <c r="A1291" s="29" t="s">
        <v>4085</v>
      </c>
      <c r="B1291" s="29" t="s">
        <v>52</v>
      </c>
      <c r="C1291" s="29" t="s">
        <v>92</v>
      </c>
      <c r="D1291" s="29" t="s">
        <v>4086</v>
      </c>
      <c r="E1291" s="4" t="n">
        <v>10</v>
      </c>
      <c r="F1291" s="4" t="s">
        <v>213</v>
      </c>
      <c r="G1291" s="4" t="s">
        <v>2222</v>
      </c>
      <c r="H1291" s="4" t="n">
        <v>1973</v>
      </c>
      <c r="I1291" s="4" t="s">
        <v>2223</v>
      </c>
      <c r="J1291" s="25" t="str">
        <f aca="false">IF(M1291=1,"✓","")</f>
        <v/>
      </c>
      <c r="K1291" s="4" t="str">
        <f aca="false">IF(AND(M1291=0,P1291=0),"▶ NEXT","")</f>
        <v/>
      </c>
      <c r="L1291" s="4" t="n">
        <f aca="false">INDEX('Master List'!$F$2:$F$2594,O1291)</f>
        <v>1</v>
      </c>
      <c r="M1291" s="4" t="n">
        <f aca="false">INDEX('Master List'!$G$2:$G$2594,O1291)</f>
        <v>0</v>
      </c>
      <c r="N1291" s="4" t="str">
        <f aca="false">IF(K1291="","",A1291)</f>
        <v/>
      </c>
      <c r="O1291" s="4" t="n">
        <v>2125</v>
      </c>
      <c r="P1291" s="4" t="n">
        <f aca="false">IF(A1291=A1290,P1290+1-M1290,0)</f>
        <v>7</v>
      </c>
    </row>
    <row r="1292" customFormat="false" ht="15" hidden="false" customHeight="false" outlineLevel="0" collapsed="false">
      <c r="A1292" s="29" t="s">
        <v>4085</v>
      </c>
      <c r="B1292" s="29" t="s">
        <v>52</v>
      </c>
      <c r="C1292" s="29" t="s">
        <v>92</v>
      </c>
      <c r="D1292" s="29" t="s">
        <v>4086</v>
      </c>
      <c r="E1292" s="4" t="n">
        <v>11</v>
      </c>
      <c r="F1292" s="4" t="s">
        <v>213</v>
      </c>
      <c r="G1292" s="4" t="s">
        <v>209</v>
      </c>
      <c r="H1292" s="4" t="n">
        <v>1979</v>
      </c>
      <c r="I1292" s="4" t="s">
        <v>210</v>
      </c>
      <c r="J1292" s="25" t="str">
        <f aca="false">IF(M1292=1,"✓","")</f>
        <v>✓</v>
      </c>
      <c r="K1292" s="4" t="str">
        <f aca="false">IF(AND(M1292=0,P1292=0),"▶ NEXT","")</f>
        <v/>
      </c>
      <c r="L1292" s="4" t="n">
        <f aca="false">INDEX('Master List'!$F$2:$F$2594,O1292)</f>
        <v>7</v>
      </c>
      <c r="M1292" s="4" t="n">
        <f aca="false">INDEX('Master List'!$G$2:$G$2594,O1292)</f>
        <v>1</v>
      </c>
      <c r="N1292" s="4" t="str">
        <f aca="false">IF(K1292="","",A1292)</f>
        <v/>
      </c>
      <c r="O1292" s="4" t="n">
        <v>2145</v>
      </c>
      <c r="P1292" s="4" t="n">
        <f aca="false">IF(A1292=A1291,P1291+1-M1291,0)</f>
        <v>8</v>
      </c>
    </row>
    <row r="1293" customFormat="false" ht="15" hidden="false" customHeight="false" outlineLevel="0" collapsed="false">
      <c r="A1293" s="29" t="s">
        <v>4085</v>
      </c>
      <c r="B1293" s="29" t="s">
        <v>52</v>
      </c>
      <c r="C1293" s="29" t="s">
        <v>92</v>
      </c>
      <c r="D1293" s="29" t="s">
        <v>4086</v>
      </c>
      <c r="E1293" s="4" t="n">
        <v>12</v>
      </c>
      <c r="F1293" s="4" t="s">
        <v>1327</v>
      </c>
      <c r="G1293" s="4" t="s">
        <v>3535</v>
      </c>
      <c r="H1293" s="4" t="n">
        <v>1974</v>
      </c>
      <c r="I1293" s="4" t="s">
        <v>775</v>
      </c>
      <c r="J1293" s="25" t="str">
        <f aca="false">IF(M1293=1,"✓","")</f>
        <v/>
      </c>
      <c r="K1293" s="4" t="str">
        <f aca="false">IF(AND(M1293=0,P1293=0),"▶ NEXT","")</f>
        <v/>
      </c>
      <c r="L1293" s="4" t="n">
        <f aca="false">INDEX('Master List'!$F$2:$F$2594,O1293)</f>
        <v>1</v>
      </c>
      <c r="M1293" s="4" t="n">
        <f aca="false">INDEX('Master List'!$G$2:$G$2594,O1293)</f>
        <v>0</v>
      </c>
      <c r="N1293" s="4" t="str">
        <f aca="false">IF(K1293="","",A1293)</f>
        <v/>
      </c>
      <c r="O1293" s="4" t="n">
        <v>2583</v>
      </c>
      <c r="P1293" s="4" t="n">
        <f aca="false">IF(A1293=A1292,P1292+1-M1292,0)</f>
        <v>8</v>
      </c>
    </row>
    <row r="1294" customFormat="false" ht="15" hidden="false" customHeight="false" outlineLevel="0" collapsed="false">
      <c r="A1294" s="29" t="s">
        <v>4085</v>
      </c>
      <c r="B1294" s="29" t="s">
        <v>52</v>
      </c>
      <c r="C1294" s="29" t="s">
        <v>92</v>
      </c>
      <c r="D1294" s="29" t="s">
        <v>4086</v>
      </c>
      <c r="E1294" s="4" t="n">
        <v>13</v>
      </c>
      <c r="F1294" s="4" t="s">
        <v>1327</v>
      </c>
      <c r="G1294" s="4" t="s">
        <v>1650</v>
      </c>
      <c r="H1294" s="4" t="n">
        <v>1974</v>
      </c>
      <c r="I1294" s="4" t="s">
        <v>266</v>
      </c>
      <c r="J1294" s="25" t="str">
        <f aca="false">IF(M1294=1,"✓","")</f>
        <v>✓</v>
      </c>
      <c r="K1294" s="4" t="str">
        <f aca="false">IF(AND(M1294=0,P1294=0),"▶ NEXT","")</f>
        <v/>
      </c>
      <c r="L1294" s="4" t="n">
        <f aca="false">INDEX('Master List'!$F$2:$F$2594,O1294)</f>
        <v>2</v>
      </c>
      <c r="M1294" s="4" t="n">
        <f aca="false">INDEX('Master List'!$G$2:$G$2594,O1294)</f>
        <v>1</v>
      </c>
      <c r="N1294" s="4" t="str">
        <f aca="false">IF(K1294="","",A1294)</f>
        <v/>
      </c>
      <c r="O1294" s="4" t="n">
        <v>565</v>
      </c>
      <c r="P1294" s="4" t="n">
        <f aca="false">IF(A1294=A1293,P1293+1-M1293,0)</f>
        <v>9</v>
      </c>
    </row>
    <row r="1295" customFormat="false" ht="15" hidden="false" customHeight="false" outlineLevel="0" collapsed="false">
      <c r="A1295" s="29" t="s">
        <v>4085</v>
      </c>
      <c r="B1295" s="29" t="s">
        <v>52</v>
      </c>
      <c r="C1295" s="29" t="s">
        <v>92</v>
      </c>
      <c r="D1295" s="29" t="s">
        <v>4086</v>
      </c>
      <c r="E1295" s="4" t="n">
        <v>14</v>
      </c>
      <c r="F1295" s="4" t="s">
        <v>1327</v>
      </c>
      <c r="G1295" s="4" t="s">
        <v>3536</v>
      </c>
      <c r="H1295" s="4" t="n">
        <v>1974</v>
      </c>
      <c r="I1295" s="4" t="s">
        <v>3537</v>
      </c>
      <c r="J1295" s="25" t="str">
        <f aca="false">IF(M1295=1,"✓","")</f>
        <v/>
      </c>
      <c r="K1295" s="4" t="str">
        <f aca="false">IF(AND(M1295=0,P1295=0),"▶ NEXT","")</f>
        <v/>
      </c>
      <c r="L1295" s="4" t="n">
        <f aca="false">INDEX('Master List'!$F$2:$F$2594,O1295)</f>
        <v>1</v>
      </c>
      <c r="M1295" s="4" t="n">
        <f aca="false">INDEX('Master List'!$G$2:$G$2594,O1295)</f>
        <v>0</v>
      </c>
      <c r="N1295" s="4" t="str">
        <f aca="false">IF(K1295="","",A1295)</f>
        <v/>
      </c>
      <c r="O1295" s="4" t="n">
        <v>1755</v>
      </c>
      <c r="P1295" s="4" t="n">
        <f aca="false">IF(A1295=A1294,P1294+1-M1294,0)</f>
        <v>9</v>
      </c>
    </row>
    <row r="1296" customFormat="false" ht="15" hidden="false" customHeight="false" outlineLevel="0" collapsed="false">
      <c r="A1296" s="29" t="s">
        <v>4087</v>
      </c>
      <c r="B1296" s="29" t="s">
        <v>52</v>
      </c>
      <c r="C1296" s="29" t="s">
        <v>92</v>
      </c>
      <c r="D1296" s="29" t="s">
        <v>4088</v>
      </c>
      <c r="E1296" s="4" t="n">
        <v>1</v>
      </c>
      <c r="F1296" s="4" t="s">
        <v>144</v>
      </c>
      <c r="G1296" s="7" t="s">
        <v>173</v>
      </c>
      <c r="H1296" s="4" t="n">
        <v>1982</v>
      </c>
      <c r="I1296" s="4" t="s">
        <v>174</v>
      </c>
      <c r="J1296" s="25" t="str">
        <f aca="false">IF(M1296=1,"✓","")</f>
        <v>✓</v>
      </c>
      <c r="K1296" s="4" t="str">
        <f aca="false">IF(AND(M1296=0,P1296=0),"▶ NEXT","")</f>
        <v/>
      </c>
      <c r="L1296" s="4" t="n">
        <f aca="false">INDEX('Master List'!$F$2:$F$2594,O1296)</f>
        <v>8</v>
      </c>
      <c r="M1296" s="4" t="n">
        <f aca="false">INDEX('Master List'!$G$2:$G$2594,O1296)</f>
        <v>1</v>
      </c>
      <c r="N1296" s="4" t="str">
        <f aca="false">IF(K1296="","",A1296)</f>
        <v/>
      </c>
      <c r="O1296" s="4" t="n">
        <v>279</v>
      </c>
      <c r="P1296" s="4" t="n">
        <f aca="false">IF(A1296=A1295,P1295+1-M1295,0)</f>
        <v>0</v>
      </c>
    </row>
    <row r="1297" customFormat="false" ht="15" hidden="false" customHeight="false" outlineLevel="0" collapsed="false">
      <c r="A1297" s="29" t="s">
        <v>4087</v>
      </c>
      <c r="B1297" s="29" t="s">
        <v>52</v>
      </c>
      <c r="C1297" s="29" t="s">
        <v>92</v>
      </c>
      <c r="D1297" s="29" t="s">
        <v>4088</v>
      </c>
      <c r="E1297" s="4" t="n">
        <v>2</v>
      </c>
      <c r="F1297" s="4" t="s">
        <v>144</v>
      </c>
      <c r="G1297" s="7" t="s">
        <v>847</v>
      </c>
      <c r="H1297" s="4" t="n">
        <v>1999</v>
      </c>
      <c r="I1297" s="4" t="s">
        <v>848</v>
      </c>
      <c r="J1297" s="25" t="str">
        <f aca="false">IF(M1297=1,"✓","")</f>
        <v>✓</v>
      </c>
      <c r="K1297" s="4" t="str">
        <f aca="false">IF(AND(M1297=0,P1297=0),"▶ NEXT","")</f>
        <v/>
      </c>
      <c r="L1297" s="4" t="n">
        <f aca="false">INDEX('Master List'!$F$2:$F$2594,O1297)</f>
        <v>2</v>
      </c>
      <c r="M1297" s="4" t="n">
        <f aca="false">INDEX('Master List'!$G$2:$G$2594,O1297)</f>
        <v>1</v>
      </c>
      <c r="N1297" s="4" t="str">
        <f aca="false">IF(K1297="","",A1297)</f>
        <v/>
      </c>
      <c r="O1297" s="4" t="n">
        <v>1464</v>
      </c>
      <c r="P1297" s="4" t="n">
        <f aca="false">IF(A1297=A1296,P1296+1-M1296,0)</f>
        <v>0</v>
      </c>
    </row>
    <row r="1298" customFormat="false" ht="15" hidden="false" customHeight="false" outlineLevel="0" collapsed="false">
      <c r="A1298" s="29" t="s">
        <v>4087</v>
      </c>
      <c r="B1298" s="29" t="s">
        <v>52</v>
      </c>
      <c r="C1298" s="29" t="s">
        <v>92</v>
      </c>
      <c r="D1298" s="29" t="s">
        <v>4088</v>
      </c>
      <c r="E1298" s="4" t="n">
        <v>3</v>
      </c>
      <c r="F1298" s="4" t="s">
        <v>213</v>
      </c>
      <c r="G1298" s="4" t="s">
        <v>2359</v>
      </c>
      <c r="H1298" s="4" t="n">
        <v>1982</v>
      </c>
      <c r="I1298" s="4" t="s">
        <v>2360</v>
      </c>
      <c r="J1298" s="25" t="str">
        <f aca="false">IF(M1298=1,"✓","")</f>
        <v/>
      </c>
      <c r="K1298" s="4" t="str">
        <f aca="false">IF(AND(M1298=0,P1298=0),"▶ NEXT","")</f>
        <v>▶ NEXT</v>
      </c>
      <c r="L1298" s="4" t="n">
        <f aca="false">INDEX('Master List'!$F$2:$F$2594,O1298)</f>
        <v>1</v>
      </c>
      <c r="M1298" s="4" t="n">
        <f aca="false">INDEX('Master List'!$G$2:$G$2594,O1298)</f>
        <v>0</v>
      </c>
      <c r="N1298" s="4" t="str">
        <f aca="false">IF(K1298="","",A1298)</f>
        <v>N107</v>
      </c>
      <c r="O1298" s="4" t="n">
        <v>2373</v>
      </c>
      <c r="P1298" s="4" t="n">
        <f aca="false">IF(A1298=A1297,P1297+1-M1297,0)</f>
        <v>0</v>
      </c>
    </row>
    <row r="1299" customFormat="false" ht="15" hidden="false" customHeight="false" outlineLevel="0" collapsed="false">
      <c r="A1299" s="29" t="s">
        <v>4087</v>
      </c>
      <c r="B1299" s="29" t="s">
        <v>52</v>
      </c>
      <c r="C1299" s="29" t="s">
        <v>92</v>
      </c>
      <c r="D1299" s="29" t="s">
        <v>4088</v>
      </c>
      <c r="E1299" s="4" t="n">
        <v>4</v>
      </c>
      <c r="F1299" s="4" t="s">
        <v>213</v>
      </c>
      <c r="G1299" s="4" t="s">
        <v>315</v>
      </c>
      <c r="H1299" s="4" t="n">
        <v>1983</v>
      </c>
      <c r="I1299" s="4" t="s">
        <v>316</v>
      </c>
      <c r="J1299" s="25" t="str">
        <f aca="false">IF(M1299=1,"✓","")</f>
        <v>✓</v>
      </c>
      <c r="K1299" s="4" t="str">
        <f aca="false">IF(AND(M1299=0,P1299=0),"▶ NEXT","")</f>
        <v/>
      </c>
      <c r="L1299" s="4" t="n">
        <f aca="false">INDEX('Master List'!$F$2:$F$2594,O1299)</f>
        <v>5</v>
      </c>
      <c r="M1299" s="4" t="n">
        <f aca="false">INDEX('Master List'!$G$2:$G$2594,O1299)</f>
        <v>1</v>
      </c>
      <c r="N1299" s="4" t="str">
        <f aca="false">IF(K1299="","",A1299)</f>
        <v/>
      </c>
      <c r="O1299" s="4" t="n">
        <v>2434</v>
      </c>
      <c r="P1299" s="4" t="n">
        <f aca="false">IF(A1299=A1298,P1298+1-M1298,0)</f>
        <v>1</v>
      </c>
    </row>
    <row r="1300" customFormat="false" ht="15" hidden="false" customHeight="false" outlineLevel="0" collapsed="false">
      <c r="A1300" s="29" t="s">
        <v>4087</v>
      </c>
      <c r="B1300" s="29" t="s">
        <v>52</v>
      </c>
      <c r="C1300" s="29" t="s">
        <v>92</v>
      </c>
      <c r="D1300" s="29" t="s">
        <v>4088</v>
      </c>
      <c r="E1300" s="4" t="n">
        <v>5</v>
      </c>
      <c r="F1300" s="4" t="s">
        <v>213</v>
      </c>
      <c r="G1300" s="4" t="s">
        <v>819</v>
      </c>
      <c r="H1300" s="4" t="n">
        <v>1988</v>
      </c>
      <c r="I1300" s="4" t="s">
        <v>820</v>
      </c>
      <c r="J1300" s="25" t="str">
        <f aca="false">IF(M1300=1,"✓","")</f>
        <v/>
      </c>
      <c r="K1300" s="4" t="str">
        <f aca="false">IF(AND(M1300=0,P1300=0),"▶ NEXT","")</f>
        <v/>
      </c>
      <c r="L1300" s="4" t="n">
        <f aca="false">INDEX('Master List'!$F$2:$F$2594,O1300)</f>
        <v>2</v>
      </c>
      <c r="M1300" s="4" t="n">
        <f aca="false">INDEX('Master List'!$G$2:$G$2594,O1300)</f>
        <v>0</v>
      </c>
      <c r="N1300" s="4" t="str">
        <f aca="false">IF(K1300="","",A1300)</f>
        <v/>
      </c>
      <c r="O1300" s="4" t="n">
        <v>60</v>
      </c>
      <c r="P1300" s="4" t="n">
        <f aca="false">IF(A1300=A1299,P1299+1-M1299,0)</f>
        <v>1</v>
      </c>
    </row>
    <row r="1301" customFormat="false" ht="15" hidden="false" customHeight="false" outlineLevel="0" collapsed="false">
      <c r="A1301" s="29" t="s">
        <v>4087</v>
      </c>
      <c r="B1301" s="29" t="s">
        <v>52</v>
      </c>
      <c r="C1301" s="29" t="s">
        <v>92</v>
      </c>
      <c r="D1301" s="29" t="s">
        <v>4088</v>
      </c>
      <c r="E1301" s="4" t="n">
        <v>6</v>
      </c>
      <c r="F1301" s="4" t="s">
        <v>213</v>
      </c>
      <c r="G1301" s="4" t="s">
        <v>836</v>
      </c>
      <c r="H1301" s="4" t="n">
        <v>1995</v>
      </c>
      <c r="I1301" s="4" t="s">
        <v>837</v>
      </c>
      <c r="J1301" s="25" t="str">
        <f aca="false">IF(M1301=1,"✓","")</f>
        <v>✓</v>
      </c>
      <c r="K1301" s="4" t="str">
        <f aca="false">IF(AND(M1301=0,P1301=0),"▶ NEXT","")</f>
        <v/>
      </c>
      <c r="L1301" s="4" t="n">
        <f aca="false">INDEX('Master List'!$F$2:$F$2594,O1301)</f>
        <v>2</v>
      </c>
      <c r="M1301" s="4" t="n">
        <f aca="false">INDEX('Master List'!$G$2:$G$2594,O1301)</f>
        <v>1</v>
      </c>
      <c r="N1301" s="4" t="str">
        <f aca="false">IF(K1301="","",A1301)</f>
        <v/>
      </c>
      <c r="O1301" s="4" t="n">
        <v>891</v>
      </c>
      <c r="P1301" s="4" t="n">
        <f aca="false">IF(A1301=A1300,P1300+1-M1300,0)</f>
        <v>2</v>
      </c>
    </row>
    <row r="1302" customFormat="false" ht="15" hidden="false" customHeight="false" outlineLevel="0" collapsed="false">
      <c r="A1302" s="29" t="s">
        <v>4087</v>
      </c>
      <c r="B1302" s="29" t="s">
        <v>52</v>
      </c>
      <c r="C1302" s="29" t="s">
        <v>92</v>
      </c>
      <c r="D1302" s="29" t="s">
        <v>4088</v>
      </c>
      <c r="E1302" s="4" t="n">
        <v>7</v>
      </c>
      <c r="F1302" s="4" t="s">
        <v>213</v>
      </c>
      <c r="G1302" s="4" t="s">
        <v>1285</v>
      </c>
      <c r="H1302" s="4" t="n">
        <v>1995</v>
      </c>
      <c r="I1302" s="4" t="s">
        <v>865</v>
      </c>
      <c r="J1302" s="25" t="str">
        <f aca="false">IF(M1302=1,"✓","")</f>
        <v/>
      </c>
      <c r="K1302" s="4" t="str">
        <f aca="false">IF(AND(M1302=0,P1302=0),"▶ NEXT","")</f>
        <v/>
      </c>
      <c r="L1302" s="4" t="n">
        <f aca="false">INDEX('Master List'!$F$2:$F$2594,O1302)</f>
        <v>2</v>
      </c>
      <c r="M1302" s="4" t="n">
        <f aca="false">INDEX('Master List'!$G$2:$G$2594,O1302)</f>
        <v>0</v>
      </c>
      <c r="N1302" s="4" t="str">
        <f aca="false">IF(K1302="","",A1302)</f>
        <v/>
      </c>
      <c r="O1302" s="4" t="n">
        <v>2173</v>
      </c>
      <c r="P1302" s="4" t="n">
        <f aca="false">IF(A1302=A1301,P1301+1-M1301,0)</f>
        <v>2</v>
      </c>
    </row>
    <row r="1303" customFormat="false" ht="15" hidden="false" customHeight="false" outlineLevel="0" collapsed="false">
      <c r="A1303" s="29" t="s">
        <v>4087</v>
      </c>
      <c r="B1303" s="29" t="s">
        <v>52</v>
      </c>
      <c r="C1303" s="29" t="s">
        <v>92</v>
      </c>
      <c r="D1303" s="29" t="s">
        <v>4088</v>
      </c>
      <c r="E1303" s="4" t="n">
        <v>8</v>
      </c>
      <c r="F1303" s="4" t="s">
        <v>213</v>
      </c>
      <c r="G1303" s="4" t="s">
        <v>2700</v>
      </c>
      <c r="H1303" s="4" t="n">
        <v>1999</v>
      </c>
      <c r="I1303" s="4" t="s">
        <v>316</v>
      </c>
      <c r="J1303" s="25" t="str">
        <f aca="false">IF(M1303=1,"✓","")</f>
        <v/>
      </c>
      <c r="K1303" s="4" t="str">
        <f aca="false">IF(AND(M1303=0,P1303=0),"▶ NEXT","")</f>
        <v/>
      </c>
      <c r="L1303" s="4" t="n">
        <f aca="false">INDEX('Master List'!$F$2:$F$2594,O1303)</f>
        <v>1</v>
      </c>
      <c r="M1303" s="4" t="n">
        <f aca="false">INDEX('Master List'!$G$2:$G$2594,O1303)</f>
        <v>0</v>
      </c>
      <c r="N1303" s="4" t="str">
        <f aca="false">IF(K1303="","",A1303)</f>
        <v/>
      </c>
      <c r="O1303" s="4" t="n">
        <v>761</v>
      </c>
      <c r="P1303" s="4" t="n">
        <f aca="false">IF(A1303=A1302,P1302+1-M1302,0)</f>
        <v>3</v>
      </c>
    </row>
    <row r="1304" customFormat="false" ht="15" hidden="false" customHeight="false" outlineLevel="0" collapsed="false">
      <c r="A1304" s="29" t="s">
        <v>4087</v>
      </c>
      <c r="B1304" s="29" t="s">
        <v>52</v>
      </c>
      <c r="C1304" s="29" t="s">
        <v>92</v>
      </c>
      <c r="D1304" s="29" t="s">
        <v>4088</v>
      </c>
      <c r="E1304" s="4" t="n">
        <v>9</v>
      </c>
      <c r="F1304" s="4" t="s">
        <v>1327</v>
      </c>
      <c r="G1304" s="4" t="s">
        <v>3688</v>
      </c>
      <c r="H1304" s="4" t="n">
        <v>1995</v>
      </c>
      <c r="I1304" s="4" t="s">
        <v>3689</v>
      </c>
      <c r="J1304" s="25" t="str">
        <f aca="false">IF(M1304=1,"✓","")</f>
        <v/>
      </c>
      <c r="K1304" s="4" t="str">
        <f aca="false">IF(AND(M1304=0,P1304=0),"▶ NEXT","")</f>
        <v/>
      </c>
      <c r="L1304" s="4" t="n">
        <f aca="false">INDEX('Master List'!$F$2:$F$2594,O1304)</f>
        <v>1</v>
      </c>
      <c r="M1304" s="4" t="n">
        <f aca="false">INDEX('Master List'!$G$2:$G$2594,O1304)</f>
        <v>0</v>
      </c>
      <c r="N1304" s="4" t="str">
        <f aca="false">IF(K1304="","",A1304)</f>
        <v/>
      </c>
      <c r="O1304" s="4" t="n">
        <v>1214</v>
      </c>
      <c r="P1304" s="4" t="n">
        <f aca="false">IF(A1304=A1303,P1303+1-M1303,0)</f>
        <v>4</v>
      </c>
    </row>
    <row r="1305" customFormat="false" ht="15" hidden="false" customHeight="false" outlineLevel="0" collapsed="false">
      <c r="A1305" s="29" t="s">
        <v>4087</v>
      </c>
      <c r="B1305" s="29" t="s">
        <v>52</v>
      </c>
      <c r="C1305" s="29" t="s">
        <v>92</v>
      </c>
      <c r="D1305" s="29" t="s">
        <v>4088</v>
      </c>
      <c r="E1305" s="4" t="n">
        <v>10</v>
      </c>
      <c r="F1305" s="4" t="s">
        <v>1327</v>
      </c>
      <c r="G1305" s="4" t="s">
        <v>493</v>
      </c>
      <c r="H1305" s="4" t="n">
        <v>1989</v>
      </c>
      <c r="I1305" s="4" t="s">
        <v>494</v>
      </c>
      <c r="J1305" s="25" t="str">
        <f aca="false">IF(M1305=1,"✓","")</f>
        <v/>
      </c>
      <c r="K1305" s="4" t="str">
        <f aca="false">IF(AND(M1305=0,P1305=0),"▶ NEXT","")</f>
        <v/>
      </c>
      <c r="L1305" s="4" t="n">
        <f aca="false">INDEX('Master List'!$F$2:$F$2594,O1305)</f>
        <v>4</v>
      </c>
      <c r="M1305" s="4" t="n">
        <f aca="false">INDEX('Master List'!$G$2:$G$2594,O1305)</f>
        <v>0</v>
      </c>
      <c r="N1305" s="4" t="str">
        <f aca="false">IF(K1305="","",A1305)</f>
        <v/>
      </c>
      <c r="O1305" s="4" t="n">
        <v>2259</v>
      </c>
      <c r="P1305" s="4" t="n">
        <f aca="false">IF(A1305=A1304,P1304+1-M1304,0)</f>
        <v>5</v>
      </c>
    </row>
    <row r="1306" customFormat="false" ht="15" hidden="false" customHeight="false" outlineLevel="0" collapsed="false">
      <c r="A1306" s="29" t="s">
        <v>4089</v>
      </c>
      <c r="B1306" s="29" t="s">
        <v>52</v>
      </c>
      <c r="C1306" s="29" t="s">
        <v>92</v>
      </c>
      <c r="D1306" s="29" t="s">
        <v>4090</v>
      </c>
      <c r="E1306" s="4" t="n">
        <v>1</v>
      </c>
      <c r="F1306" s="4" t="s">
        <v>144</v>
      </c>
      <c r="G1306" s="7" t="s">
        <v>326</v>
      </c>
      <c r="H1306" s="4" t="n">
        <v>2016</v>
      </c>
      <c r="I1306" s="4" t="s">
        <v>327</v>
      </c>
      <c r="J1306" s="25" t="str">
        <f aca="false">IF(M1306=1,"✓","")</f>
        <v>✓</v>
      </c>
      <c r="K1306" s="4" t="str">
        <f aca="false">IF(AND(M1306=0,P1306=0),"▶ NEXT","")</f>
        <v/>
      </c>
      <c r="L1306" s="4" t="n">
        <f aca="false">INDEX('Master List'!$F$2:$F$2594,O1306)</f>
        <v>4</v>
      </c>
      <c r="M1306" s="4" t="n">
        <f aca="false">INDEX('Master List'!$G$2:$G$2594,O1306)</f>
        <v>1</v>
      </c>
      <c r="N1306" s="4" t="str">
        <f aca="false">IF(K1306="","",A1306)</f>
        <v/>
      </c>
      <c r="O1306" s="4" t="n">
        <v>130</v>
      </c>
      <c r="P1306" s="4" t="n">
        <f aca="false">IF(A1306=A1305,P1305+1-M1305,0)</f>
        <v>0</v>
      </c>
    </row>
    <row r="1307" customFormat="false" ht="15" hidden="false" customHeight="false" outlineLevel="0" collapsed="false">
      <c r="A1307" s="29" t="s">
        <v>4089</v>
      </c>
      <c r="B1307" s="29" t="s">
        <v>52</v>
      </c>
      <c r="C1307" s="29" t="s">
        <v>92</v>
      </c>
      <c r="D1307" s="29" t="s">
        <v>4090</v>
      </c>
      <c r="E1307" s="4" t="n">
        <v>2</v>
      </c>
      <c r="F1307" s="4" t="s">
        <v>144</v>
      </c>
      <c r="G1307" s="7" t="s">
        <v>512</v>
      </c>
      <c r="H1307" s="4" t="n">
        <v>2004</v>
      </c>
      <c r="I1307" s="4" t="s">
        <v>513</v>
      </c>
      <c r="J1307" s="25" t="str">
        <f aca="false">IF(M1307=1,"✓","")</f>
        <v/>
      </c>
      <c r="K1307" s="4" t="str">
        <f aca="false">IF(AND(M1307=0,P1307=0),"▶ NEXT","")</f>
        <v>▶ NEXT</v>
      </c>
      <c r="L1307" s="4" t="n">
        <f aca="false">INDEX('Master List'!$F$2:$F$2594,O1307)</f>
        <v>3</v>
      </c>
      <c r="M1307" s="4" t="n">
        <f aca="false">INDEX('Master List'!$G$2:$G$2594,O1307)</f>
        <v>0</v>
      </c>
      <c r="N1307" s="4" t="str">
        <f aca="false">IF(K1307="","",A1307)</f>
        <v>N108</v>
      </c>
      <c r="O1307" s="4" t="n">
        <v>1814</v>
      </c>
      <c r="P1307" s="4" t="n">
        <f aca="false">IF(A1307=A1306,P1306+1-M1306,0)</f>
        <v>0</v>
      </c>
    </row>
    <row r="1308" customFormat="false" ht="15" hidden="false" customHeight="false" outlineLevel="0" collapsed="false">
      <c r="A1308" s="29" t="s">
        <v>4089</v>
      </c>
      <c r="B1308" s="29" t="s">
        <v>52</v>
      </c>
      <c r="C1308" s="29" t="s">
        <v>92</v>
      </c>
      <c r="D1308" s="29" t="s">
        <v>4090</v>
      </c>
      <c r="E1308" s="4" t="n">
        <v>3</v>
      </c>
      <c r="F1308" s="4" t="s">
        <v>213</v>
      </c>
      <c r="G1308" s="4" t="s">
        <v>1120</v>
      </c>
      <c r="H1308" s="4" t="n">
        <v>1997</v>
      </c>
      <c r="I1308" s="4" t="s">
        <v>1070</v>
      </c>
      <c r="J1308" s="25" t="str">
        <f aca="false">IF(M1308=1,"✓","")</f>
        <v/>
      </c>
      <c r="K1308" s="4" t="str">
        <f aca="false">IF(AND(M1308=0,P1308=0),"▶ NEXT","")</f>
        <v/>
      </c>
      <c r="L1308" s="4" t="n">
        <f aca="false">INDEX('Master List'!$F$2:$F$2594,O1308)</f>
        <v>2</v>
      </c>
      <c r="M1308" s="4" t="n">
        <f aca="false">INDEX('Master List'!$G$2:$G$2594,O1308)</f>
        <v>0</v>
      </c>
      <c r="N1308" s="4" t="str">
        <f aca="false">IF(K1308="","",A1308)</f>
        <v/>
      </c>
      <c r="O1308" s="4" t="n">
        <v>516</v>
      </c>
      <c r="P1308" s="4" t="n">
        <f aca="false">IF(A1308=A1307,P1307+1-M1307,0)</f>
        <v>1</v>
      </c>
    </row>
    <row r="1309" customFormat="false" ht="15" hidden="false" customHeight="false" outlineLevel="0" collapsed="false">
      <c r="A1309" s="29" t="s">
        <v>4089</v>
      </c>
      <c r="B1309" s="29" t="s">
        <v>52</v>
      </c>
      <c r="C1309" s="29" t="s">
        <v>92</v>
      </c>
      <c r="D1309" s="29" t="s">
        <v>4090</v>
      </c>
      <c r="E1309" s="4" t="n">
        <v>4</v>
      </c>
      <c r="F1309" s="4" t="s">
        <v>213</v>
      </c>
      <c r="G1309" s="4" t="s">
        <v>893</v>
      </c>
      <c r="H1309" s="4" t="n">
        <v>1997</v>
      </c>
      <c r="I1309" s="4" t="s">
        <v>894</v>
      </c>
      <c r="J1309" s="25" t="str">
        <f aca="false">IF(M1309=1,"✓","")</f>
        <v/>
      </c>
      <c r="K1309" s="4" t="str">
        <f aca="false">IF(AND(M1309=0,P1309=0),"▶ NEXT","")</f>
        <v/>
      </c>
      <c r="L1309" s="4" t="n">
        <f aca="false">INDEX('Master List'!$F$2:$F$2594,O1309)</f>
        <v>3</v>
      </c>
      <c r="M1309" s="4" t="n">
        <f aca="false">INDEX('Master List'!$G$2:$G$2594,O1309)</f>
        <v>0</v>
      </c>
      <c r="N1309" s="4" t="str">
        <f aca="false">IF(K1309="","",A1309)</f>
        <v/>
      </c>
      <c r="O1309" s="4" t="n">
        <v>882</v>
      </c>
      <c r="P1309" s="4" t="n">
        <f aca="false">IF(A1309=A1308,P1308+1-M1308,0)</f>
        <v>2</v>
      </c>
    </row>
    <row r="1310" customFormat="false" ht="15" hidden="false" customHeight="false" outlineLevel="0" collapsed="false">
      <c r="A1310" s="29" t="s">
        <v>4089</v>
      </c>
      <c r="B1310" s="29" t="s">
        <v>52</v>
      </c>
      <c r="C1310" s="29" t="s">
        <v>92</v>
      </c>
      <c r="D1310" s="29" t="s">
        <v>4090</v>
      </c>
      <c r="E1310" s="4" t="n">
        <v>5</v>
      </c>
      <c r="F1310" s="4" t="s">
        <v>213</v>
      </c>
      <c r="G1310" s="4" t="s">
        <v>1193</v>
      </c>
      <c r="H1310" s="4" t="n">
        <v>2009</v>
      </c>
      <c r="I1310" s="4" t="s">
        <v>1194</v>
      </c>
      <c r="J1310" s="25" t="str">
        <f aca="false">IF(M1310=1,"✓","")</f>
        <v>✓</v>
      </c>
      <c r="K1310" s="4" t="str">
        <f aca="false">IF(AND(M1310=0,P1310=0),"▶ NEXT","")</f>
        <v/>
      </c>
      <c r="L1310" s="4" t="n">
        <f aca="false">INDEX('Master List'!$F$2:$F$2594,O1310)</f>
        <v>2</v>
      </c>
      <c r="M1310" s="4" t="n">
        <f aca="false">INDEX('Master List'!$G$2:$G$2594,O1310)</f>
        <v>1</v>
      </c>
      <c r="N1310" s="4" t="str">
        <f aca="false">IF(K1310="","",A1310)</f>
        <v/>
      </c>
      <c r="O1310" s="4" t="n">
        <v>1530</v>
      </c>
      <c r="P1310" s="4" t="n">
        <f aca="false">IF(A1310=A1309,P1309+1-M1309,0)</f>
        <v>3</v>
      </c>
    </row>
    <row r="1311" customFormat="false" ht="15" hidden="false" customHeight="false" outlineLevel="0" collapsed="false">
      <c r="A1311" s="29" t="s">
        <v>4089</v>
      </c>
      <c r="B1311" s="29" t="s">
        <v>52</v>
      </c>
      <c r="C1311" s="29" t="s">
        <v>92</v>
      </c>
      <c r="D1311" s="29" t="s">
        <v>4090</v>
      </c>
      <c r="E1311" s="4" t="n">
        <v>6</v>
      </c>
      <c r="F1311" s="4" t="s">
        <v>213</v>
      </c>
      <c r="G1311" s="4" t="s">
        <v>542</v>
      </c>
      <c r="H1311" s="4" t="n">
        <v>1972</v>
      </c>
      <c r="I1311" s="4" t="s">
        <v>210</v>
      </c>
      <c r="J1311" s="25" t="str">
        <f aca="false">IF(M1311=1,"✓","")</f>
        <v/>
      </c>
      <c r="K1311" s="4" t="str">
        <f aca="false">IF(AND(M1311=0,P1311=0),"▶ NEXT","")</f>
        <v/>
      </c>
      <c r="L1311" s="4" t="n">
        <f aca="false">INDEX('Master List'!$F$2:$F$2594,O1311)</f>
        <v>3</v>
      </c>
      <c r="M1311" s="4" t="n">
        <f aca="false">INDEX('Master List'!$G$2:$G$2594,O1311)</f>
        <v>0</v>
      </c>
      <c r="N1311" s="4" t="str">
        <f aca="false">IF(K1311="","",A1311)</f>
        <v/>
      </c>
      <c r="O1311" s="4" t="n">
        <v>2104</v>
      </c>
      <c r="P1311" s="4" t="n">
        <f aca="false">IF(A1311=A1310,P1310+1-M1310,0)</f>
        <v>3</v>
      </c>
    </row>
    <row r="1312" customFormat="false" ht="15" hidden="false" customHeight="false" outlineLevel="0" collapsed="false">
      <c r="A1312" s="29" t="s">
        <v>4089</v>
      </c>
      <c r="B1312" s="29" t="s">
        <v>52</v>
      </c>
      <c r="C1312" s="29" t="s">
        <v>92</v>
      </c>
      <c r="D1312" s="29" t="s">
        <v>4090</v>
      </c>
      <c r="E1312" s="4" t="n">
        <v>7</v>
      </c>
      <c r="F1312" s="4" t="s">
        <v>213</v>
      </c>
      <c r="G1312" s="4" t="s">
        <v>1216</v>
      </c>
      <c r="H1312" s="4" t="n">
        <v>2014</v>
      </c>
      <c r="I1312" s="4" t="s">
        <v>342</v>
      </c>
      <c r="J1312" s="25" t="str">
        <f aca="false">IF(M1312=1,"✓","")</f>
        <v/>
      </c>
      <c r="K1312" s="4" t="str">
        <f aca="false">IF(AND(M1312=0,P1312=0),"▶ NEXT","")</f>
        <v/>
      </c>
      <c r="L1312" s="4" t="n">
        <f aca="false">INDEX('Master List'!$F$2:$F$2594,O1312)</f>
        <v>2</v>
      </c>
      <c r="M1312" s="4" t="n">
        <f aca="false">INDEX('Master List'!$G$2:$G$2594,O1312)</f>
        <v>0</v>
      </c>
      <c r="N1312" s="4" t="str">
        <f aca="false">IF(K1312="","",A1312)</f>
        <v/>
      </c>
      <c r="O1312" s="4" t="n">
        <v>1156</v>
      </c>
      <c r="P1312" s="4" t="n">
        <f aca="false">IF(A1312=A1311,P1311+1-M1311,0)</f>
        <v>4</v>
      </c>
    </row>
    <row r="1313" customFormat="false" ht="15" hidden="false" customHeight="false" outlineLevel="0" collapsed="false">
      <c r="A1313" s="29" t="s">
        <v>4089</v>
      </c>
      <c r="B1313" s="29" t="s">
        <v>52</v>
      </c>
      <c r="C1313" s="29" t="s">
        <v>92</v>
      </c>
      <c r="D1313" s="29" t="s">
        <v>4090</v>
      </c>
      <c r="E1313" s="4" t="n">
        <v>8</v>
      </c>
      <c r="F1313" s="4" t="s">
        <v>213</v>
      </c>
      <c r="G1313" s="4" t="s">
        <v>645</v>
      </c>
      <c r="H1313" s="4" t="n">
        <v>2015</v>
      </c>
      <c r="I1313" s="4" t="s">
        <v>646</v>
      </c>
      <c r="J1313" s="25" t="str">
        <f aca="false">IF(M1313=1,"✓","")</f>
        <v/>
      </c>
      <c r="K1313" s="4" t="str">
        <f aca="false">IF(AND(M1313=0,P1313=0),"▶ NEXT","")</f>
        <v/>
      </c>
      <c r="L1313" s="4" t="n">
        <f aca="false">INDEX('Master List'!$F$2:$F$2594,O1313)</f>
        <v>3</v>
      </c>
      <c r="M1313" s="4" t="n">
        <f aca="false">INDEX('Master List'!$G$2:$G$2594,O1313)</f>
        <v>0</v>
      </c>
      <c r="N1313" s="4" t="str">
        <f aca="false">IF(K1313="","",A1313)</f>
        <v/>
      </c>
      <c r="O1313" s="4" t="n">
        <v>756</v>
      </c>
      <c r="P1313" s="4" t="n">
        <f aca="false">IF(A1313=A1312,P1312+1-M1312,0)</f>
        <v>5</v>
      </c>
    </row>
    <row r="1314" customFormat="false" ht="15" hidden="false" customHeight="false" outlineLevel="0" collapsed="false">
      <c r="A1314" s="29" t="s">
        <v>4089</v>
      </c>
      <c r="B1314" s="29" t="s">
        <v>52</v>
      </c>
      <c r="C1314" s="29" t="s">
        <v>92</v>
      </c>
      <c r="D1314" s="29" t="s">
        <v>4090</v>
      </c>
      <c r="E1314" s="4" t="n">
        <v>9</v>
      </c>
      <c r="F1314" s="4" t="s">
        <v>213</v>
      </c>
      <c r="G1314" s="4" t="s">
        <v>1413</v>
      </c>
      <c r="H1314" s="4" t="n">
        <v>2013</v>
      </c>
      <c r="I1314" s="4" t="s">
        <v>1414</v>
      </c>
      <c r="J1314" s="25" t="str">
        <f aca="false">IF(M1314=1,"✓","")</f>
        <v/>
      </c>
      <c r="K1314" s="4" t="str">
        <f aca="false">IF(AND(M1314=0,P1314=0),"▶ NEXT","")</f>
        <v/>
      </c>
      <c r="L1314" s="4" t="n">
        <f aca="false">INDEX('Master List'!$F$2:$F$2594,O1314)</f>
        <v>2</v>
      </c>
      <c r="M1314" s="4" t="n">
        <f aca="false">INDEX('Master List'!$G$2:$G$2594,O1314)</f>
        <v>0</v>
      </c>
      <c r="N1314" s="4" t="str">
        <f aca="false">IF(K1314="","",A1314)</f>
        <v/>
      </c>
      <c r="O1314" s="4" t="n">
        <v>493</v>
      </c>
      <c r="P1314" s="4" t="n">
        <f aca="false">IF(A1314=A1313,P1313+1-M1313,0)</f>
        <v>6</v>
      </c>
    </row>
    <row r="1315" customFormat="false" ht="15" hidden="false" customHeight="false" outlineLevel="0" collapsed="false">
      <c r="A1315" s="29" t="s">
        <v>4089</v>
      </c>
      <c r="B1315" s="29" t="s">
        <v>52</v>
      </c>
      <c r="C1315" s="29" t="s">
        <v>92</v>
      </c>
      <c r="D1315" s="29" t="s">
        <v>4090</v>
      </c>
      <c r="E1315" s="4" t="n">
        <v>10</v>
      </c>
      <c r="F1315" s="4" t="s">
        <v>213</v>
      </c>
      <c r="G1315" s="4" t="s">
        <v>3029</v>
      </c>
      <c r="H1315" s="4" t="n">
        <v>2013</v>
      </c>
      <c r="I1315" s="4" t="s">
        <v>513</v>
      </c>
      <c r="J1315" s="25" t="str">
        <f aca="false">IF(M1315=1,"✓","")</f>
        <v/>
      </c>
      <c r="K1315" s="4" t="str">
        <f aca="false">IF(AND(M1315=0,P1315=0),"▶ NEXT","")</f>
        <v/>
      </c>
      <c r="L1315" s="4" t="n">
        <f aca="false">INDEX('Master List'!$F$2:$F$2594,O1315)</f>
        <v>1</v>
      </c>
      <c r="M1315" s="4" t="n">
        <f aca="false">INDEX('Master List'!$G$2:$G$2594,O1315)</f>
        <v>0</v>
      </c>
      <c r="N1315" s="4" t="str">
        <f aca="false">IF(K1315="","",A1315)</f>
        <v/>
      </c>
      <c r="O1315" s="4" t="n">
        <v>2414</v>
      </c>
      <c r="P1315" s="4" t="n">
        <f aca="false">IF(A1315=A1314,P1314+1-M1314,0)</f>
        <v>7</v>
      </c>
    </row>
    <row r="1316" customFormat="false" ht="15" hidden="false" customHeight="false" outlineLevel="0" collapsed="false">
      <c r="A1316" s="29" t="s">
        <v>4089</v>
      </c>
      <c r="B1316" s="29" t="s">
        <v>52</v>
      </c>
      <c r="C1316" s="29" t="s">
        <v>92</v>
      </c>
      <c r="D1316" s="29" t="s">
        <v>4090</v>
      </c>
      <c r="E1316" s="4" t="n">
        <v>11</v>
      </c>
      <c r="F1316" s="4" t="s">
        <v>1327</v>
      </c>
      <c r="G1316" s="4" t="s">
        <v>209</v>
      </c>
      <c r="H1316" s="4" t="n">
        <v>1979</v>
      </c>
      <c r="I1316" s="4" t="s">
        <v>210</v>
      </c>
      <c r="J1316" s="25" t="str">
        <f aca="false">IF(M1316=1,"✓","")</f>
        <v>✓</v>
      </c>
      <c r="K1316" s="4" t="str">
        <f aca="false">IF(AND(M1316=0,P1316=0),"▶ NEXT","")</f>
        <v/>
      </c>
      <c r="L1316" s="4" t="n">
        <f aca="false">INDEX('Master List'!$F$2:$F$2594,O1316)</f>
        <v>7</v>
      </c>
      <c r="M1316" s="4" t="n">
        <f aca="false">INDEX('Master List'!$G$2:$G$2594,O1316)</f>
        <v>1</v>
      </c>
      <c r="N1316" s="4" t="str">
        <f aca="false">IF(K1316="","",A1316)</f>
        <v/>
      </c>
      <c r="O1316" s="4" t="n">
        <v>2145</v>
      </c>
      <c r="P1316" s="4" t="n">
        <f aca="false">IF(A1316=A1315,P1315+1-M1315,0)</f>
        <v>8</v>
      </c>
    </row>
    <row r="1317" customFormat="false" ht="15" hidden="false" customHeight="false" outlineLevel="0" collapsed="false">
      <c r="A1317" s="29" t="s">
        <v>4089</v>
      </c>
      <c r="B1317" s="29" t="s">
        <v>52</v>
      </c>
      <c r="C1317" s="29" t="s">
        <v>92</v>
      </c>
      <c r="D1317" s="29" t="s">
        <v>4090</v>
      </c>
      <c r="E1317" s="4" t="n">
        <v>12</v>
      </c>
      <c r="F1317" s="4" t="s">
        <v>1327</v>
      </c>
      <c r="G1317" s="4" t="s">
        <v>1418</v>
      </c>
      <c r="H1317" s="4" t="n">
        <v>2018</v>
      </c>
      <c r="I1317" s="4" t="s">
        <v>262</v>
      </c>
      <c r="J1317" s="25" t="str">
        <f aca="false">IF(M1317=1,"✓","")</f>
        <v/>
      </c>
      <c r="K1317" s="4" t="str">
        <f aca="false">IF(AND(M1317=0,P1317=0),"▶ NEXT","")</f>
        <v/>
      </c>
      <c r="L1317" s="4" t="n">
        <f aca="false">INDEX('Master List'!$F$2:$F$2594,O1317)</f>
        <v>2</v>
      </c>
      <c r="M1317" s="4" t="n">
        <f aca="false">INDEX('Master List'!$G$2:$G$2594,O1317)</f>
        <v>0</v>
      </c>
      <c r="N1317" s="4" t="str">
        <f aca="false">IF(K1317="","",A1317)</f>
        <v/>
      </c>
      <c r="O1317" s="4" t="n">
        <v>1034</v>
      </c>
      <c r="P1317" s="4" t="n">
        <f aca="false">IF(A1317=A1316,P1316+1-M1316,0)</f>
        <v>8</v>
      </c>
    </row>
    <row r="1318" customFormat="false" ht="15" hidden="false" customHeight="false" outlineLevel="0" collapsed="false">
      <c r="A1318" s="29" t="s">
        <v>4091</v>
      </c>
      <c r="B1318" s="29" t="s">
        <v>52</v>
      </c>
      <c r="C1318" s="29" t="s">
        <v>92</v>
      </c>
      <c r="D1318" s="29" t="s">
        <v>4092</v>
      </c>
      <c r="E1318" s="4" t="n">
        <v>1</v>
      </c>
      <c r="F1318" s="4" t="s">
        <v>144</v>
      </c>
      <c r="G1318" s="7" t="s">
        <v>383</v>
      </c>
      <c r="H1318" s="4" t="n">
        <v>2006</v>
      </c>
      <c r="I1318" s="4" t="s">
        <v>384</v>
      </c>
      <c r="J1318" s="25" t="str">
        <f aca="false">IF(M1318=1,"✓","")</f>
        <v>✓</v>
      </c>
      <c r="K1318" s="4" t="str">
        <f aca="false">IF(AND(M1318=0,P1318=0),"▶ NEXT","")</f>
        <v/>
      </c>
      <c r="L1318" s="4" t="n">
        <f aca="false">INDEX('Master List'!$F$2:$F$2594,O1318)</f>
        <v>4</v>
      </c>
      <c r="M1318" s="4" t="n">
        <f aca="false">INDEX('Master List'!$G$2:$G$2594,O1318)</f>
        <v>1</v>
      </c>
      <c r="N1318" s="4" t="str">
        <f aca="false">IF(K1318="","",A1318)</f>
        <v/>
      </c>
      <c r="O1318" s="4" t="n">
        <v>444</v>
      </c>
      <c r="P1318" s="4" t="n">
        <f aca="false">IF(A1318=A1317,P1317+1-M1317,0)</f>
        <v>0</v>
      </c>
    </row>
    <row r="1319" customFormat="false" ht="15" hidden="false" customHeight="false" outlineLevel="0" collapsed="false">
      <c r="A1319" s="29" t="s">
        <v>4091</v>
      </c>
      <c r="B1319" s="29" t="s">
        <v>52</v>
      </c>
      <c r="C1319" s="29" t="s">
        <v>92</v>
      </c>
      <c r="D1319" s="29" t="s">
        <v>4092</v>
      </c>
      <c r="E1319" s="4" t="n">
        <v>2</v>
      </c>
      <c r="F1319" s="4" t="s">
        <v>144</v>
      </c>
      <c r="G1319" s="7" t="s">
        <v>366</v>
      </c>
      <c r="H1319" s="4" t="n">
        <v>1985</v>
      </c>
      <c r="I1319" s="4" t="s">
        <v>367</v>
      </c>
      <c r="J1319" s="25" t="str">
        <f aca="false">IF(M1319=1,"✓","")</f>
        <v/>
      </c>
      <c r="K1319" s="4" t="str">
        <f aca="false">IF(AND(M1319=0,P1319=0),"▶ NEXT","")</f>
        <v>▶ NEXT</v>
      </c>
      <c r="L1319" s="4" t="n">
        <f aca="false">INDEX('Master List'!$F$2:$F$2594,O1319)</f>
        <v>4</v>
      </c>
      <c r="M1319" s="4" t="n">
        <f aca="false">INDEX('Master List'!$G$2:$G$2594,O1319)</f>
        <v>0</v>
      </c>
      <c r="N1319" s="4" t="str">
        <f aca="false">IF(K1319="","",A1319)</f>
        <v>N109</v>
      </c>
      <c r="O1319" s="4" t="n">
        <v>337</v>
      </c>
      <c r="P1319" s="4" t="n">
        <f aca="false">IF(A1319=A1318,P1318+1-M1318,0)</f>
        <v>0</v>
      </c>
    </row>
    <row r="1320" customFormat="false" ht="15" hidden="false" customHeight="false" outlineLevel="0" collapsed="false">
      <c r="A1320" s="29" t="s">
        <v>4091</v>
      </c>
      <c r="B1320" s="29" t="s">
        <v>52</v>
      </c>
      <c r="C1320" s="29" t="s">
        <v>92</v>
      </c>
      <c r="D1320" s="29" t="s">
        <v>4092</v>
      </c>
      <c r="E1320" s="4" t="n">
        <v>3</v>
      </c>
      <c r="F1320" s="4" t="s">
        <v>213</v>
      </c>
      <c r="G1320" s="4" t="s">
        <v>281</v>
      </c>
      <c r="H1320" s="4" t="n">
        <v>1927</v>
      </c>
      <c r="I1320" s="4" t="s">
        <v>248</v>
      </c>
      <c r="J1320" s="25" t="str">
        <f aca="false">IF(M1320=1,"✓","")</f>
        <v>✓</v>
      </c>
      <c r="K1320" s="4" t="str">
        <f aca="false">IF(AND(M1320=0,P1320=0),"▶ NEXT","")</f>
        <v/>
      </c>
      <c r="L1320" s="4" t="n">
        <f aca="false">INDEX('Master List'!$F$2:$F$2594,O1320)</f>
        <v>5</v>
      </c>
      <c r="M1320" s="4" t="n">
        <f aca="false">INDEX('Master List'!$G$2:$G$2594,O1320)</f>
        <v>1</v>
      </c>
      <c r="N1320" s="4" t="str">
        <f aca="false">IF(K1320="","",A1320)</f>
        <v/>
      </c>
      <c r="O1320" s="4" t="n">
        <v>1487</v>
      </c>
      <c r="P1320" s="4" t="n">
        <f aca="false">IF(A1320=A1319,P1319+1-M1319,0)</f>
        <v>1</v>
      </c>
    </row>
    <row r="1321" customFormat="false" ht="15" hidden="false" customHeight="false" outlineLevel="0" collapsed="false">
      <c r="A1321" s="29" t="s">
        <v>4091</v>
      </c>
      <c r="B1321" s="29" t="s">
        <v>52</v>
      </c>
      <c r="C1321" s="29" t="s">
        <v>92</v>
      </c>
      <c r="D1321" s="29" t="s">
        <v>4092</v>
      </c>
      <c r="E1321" s="4" t="n">
        <v>4</v>
      </c>
      <c r="F1321" s="4" t="s">
        <v>213</v>
      </c>
      <c r="G1321" s="4" t="s">
        <v>597</v>
      </c>
      <c r="H1321" s="4" t="n">
        <v>1971</v>
      </c>
      <c r="I1321" s="4" t="s">
        <v>187</v>
      </c>
      <c r="J1321" s="25" t="str">
        <f aca="false">IF(M1321=1,"✓","")</f>
        <v>✓</v>
      </c>
      <c r="K1321" s="4" t="str">
        <f aca="false">IF(AND(M1321=0,P1321=0),"▶ NEXT","")</f>
        <v/>
      </c>
      <c r="L1321" s="4" t="n">
        <f aca="false">INDEX('Master List'!$F$2:$F$2594,O1321)</f>
        <v>3</v>
      </c>
      <c r="M1321" s="4" t="n">
        <f aca="false">INDEX('Master List'!$G$2:$G$2594,O1321)</f>
        <v>1</v>
      </c>
      <c r="N1321" s="4" t="str">
        <f aca="false">IF(K1321="","",A1321)</f>
        <v/>
      </c>
      <c r="O1321" s="4" t="n">
        <v>478</v>
      </c>
      <c r="P1321" s="4" t="n">
        <f aca="false">IF(A1321=A1320,P1320+1-M1320,0)</f>
        <v>1</v>
      </c>
    </row>
    <row r="1322" customFormat="false" ht="15" hidden="false" customHeight="false" outlineLevel="0" collapsed="false">
      <c r="A1322" s="29" t="s">
        <v>4091</v>
      </c>
      <c r="B1322" s="29" t="s">
        <v>52</v>
      </c>
      <c r="C1322" s="29" t="s">
        <v>92</v>
      </c>
      <c r="D1322" s="29" t="s">
        <v>4092</v>
      </c>
      <c r="E1322" s="4" t="n">
        <v>5</v>
      </c>
      <c r="F1322" s="4" t="s">
        <v>213</v>
      </c>
      <c r="G1322" s="4" t="s">
        <v>698</v>
      </c>
      <c r="H1322" s="4" t="n">
        <v>1987</v>
      </c>
      <c r="I1322" s="4" t="s">
        <v>699</v>
      </c>
      <c r="J1322" s="25" t="str">
        <f aca="false">IF(M1322=1,"✓","")</f>
        <v>✓</v>
      </c>
      <c r="K1322" s="4" t="str">
        <f aca="false">IF(AND(M1322=0,P1322=0),"▶ NEXT","")</f>
        <v/>
      </c>
      <c r="L1322" s="4" t="n">
        <f aca="false">INDEX('Master List'!$F$2:$F$2594,O1322)</f>
        <v>3</v>
      </c>
      <c r="M1322" s="4" t="n">
        <f aca="false">INDEX('Master List'!$G$2:$G$2594,O1322)</f>
        <v>1</v>
      </c>
      <c r="N1322" s="4" t="str">
        <f aca="false">IF(K1322="","",A1322)</f>
        <v/>
      </c>
      <c r="O1322" s="4" t="n">
        <v>1918</v>
      </c>
      <c r="P1322" s="4" t="n">
        <f aca="false">IF(A1322=A1321,P1321+1-M1321,0)</f>
        <v>1</v>
      </c>
    </row>
    <row r="1323" customFormat="false" ht="15" hidden="false" customHeight="false" outlineLevel="0" collapsed="false">
      <c r="A1323" s="29" t="s">
        <v>4091</v>
      </c>
      <c r="B1323" s="29" t="s">
        <v>52</v>
      </c>
      <c r="C1323" s="29" t="s">
        <v>92</v>
      </c>
      <c r="D1323" s="29" t="s">
        <v>4092</v>
      </c>
      <c r="E1323" s="4" t="n">
        <v>6</v>
      </c>
      <c r="F1323" s="4" t="s">
        <v>213</v>
      </c>
      <c r="G1323" s="4" t="s">
        <v>1088</v>
      </c>
      <c r="H1323" s="4" t="n">
        <v>1988</v>
      </c>
      <c r="I1323" s="4" t="s">
        <v>266</v>
      </c>
      <c r="J1323" s="25" t="str">
        <f aca="false">IF(M1323=1,"✓","")</f>
        <v>✓</v>
      </c>
      <c r="K1323" s="4" t="str">
        <f aca="false">IF(AND(M1323=0,P1323=0),"▶ NEXT","")</f>
        <v/>
      </c>
      <c r="L1323" s="4" t="n">
        <f aca="false">INDEX('Master List'!$F$2:$F$2594,O1323)</f>
        <v>2</v>
      </c>
      <c r="M1323" s="4" t="n">
        <f aca="false">INDEX('Master List'!$G$2:$G$2594,O1323)</f>
        <v>1</v>
      </c>
      <c r="N1323" s="4" t="str">
        <f aca="false">IF(K1323="","",A1323)</f>
        <v/>
      </c>
      <c r="O1323" s="4" t="n">
        <v>2270</v>
      </c>
      <c r="P1323" s="4" t="n">
        <f aca="false">IF(A1323=A1322,P1322+1-M1322,0)</f>
        <v>1</v>
      </c>
    </row>
    <row r="1324" customFormat="false" ht="15" hidden="false" customHeight="false" outlineLevel="0" collapsed="false">
      <c r="A1324" s="29" t="s">
        <v>4091</v>
      </c>
      <c r="B1324" s="29" t="s">
        <v>52</v>
      </c>
      <c r="C1324" s="29" t="s">
        <v>92</v>
      </c>
      <c r="D1324" s="29" t="s">
        <v>4092</v>
      </c>
      <c r="E1324" s="4" t="n">
        <v>7</v>
      </c>
      <c r="F1324" s="4" t="s">
        <v>213</v>
      </c>
      <c r="G1324" s="4" t="s">
        <v>893</v>
      </c>
      <c r="H1324" s="4" t="n">
        <v>1997</v>
      </c>
      <c r="I1324" s="4" t="s">
        <v>894</v>
      </c>
      <c r="J1324" s="25" t="str">
        <f aca="false">IF(M1324=1,"✓","")</f>
        <v/>
      </c>
      <c r="K1324" s="4" t="str">
        <f aca="false">IF(AND(M1324=0,P1324=0),"▶ NEXT","")</f>
        <v/>
      </c>
      <c r="L1324" s="4" t="n">
        <f aca="false">INDEX('Master List'!$F$2:$F$2594,O1324)</f>
        <v>3</v>
      </c>
      <c r="M1324" s="4" t="n">
        <f aca="false">INDEX('Master List'!$G$2:$G$2594,O1324)</f>
        <v>0</v>
      </c>
      <c r="N1324" s="4" t="str">
        <f aca="false">IF(K1324="","",A1324)</f>
        <v/>
      </c>
      <c r="O1324" s="4" t="n">
        <v>882</v>
      </c>
      <c r="P1324" s="4" t="n">
        <f aca="false">IF(A1324=A1323,P1323+1-M1323,0)</f>
        <v>1</v>
      </c>
    </row>
    <row r="1325" customFormat="false" ht="15" hidden="false" customHeight="false" outlineLevel="0" collapsed="false">
      <c r="A1325" s="29" t="s">
        <v>4091</v>
      </c>
      <c r="B1325" s="29" t="s">
        <v>52</v>
      </c>
      <c r="C1325" s="29" t="s">
        <v>92</v>
      </c>
      <c r="D1325" s="29" t="s">
        <v>4092</v>
      </c>
      <c r="E1325" s="4" t="n">
        <v>8</v>
      </c>
      <c r="F1325" s="4" t="s">
        <v>213</v>
      </c>
      <c r="G1325" s="4" t="s">
        <v>683</v>
      </c>
      <c r="H1325" s="4" t="n">
        <v>2002</v>
      </c>
      <c r="I1325" s="4" t="s">
        <v>183</v>
      </c>
      <c r="J1325" s="25" t="str">
        <f aca="false">IF(M1325=1,"✓","")</f>
        <v/>
      </c>
      <c r="K1325" s="4" t="str">
        <f aca="false">IF(AND(M1325=0,P1325=0),"▶ NEXT","")</f>
        <v/>
      </c>
      <c r="L1325" s="4" t="n">
        <f aca="false">INDEX('Master List'!$F$2:$F$2594,O1325)</f>
        <v>3</v>
      </c>
      <c r="M1325" s="4" t="n">
        <f aca="false">INDEX('Master List'!$G$2:$G$2594,O1325)</f>
        <v>0</v>
      </c>
      <c r="N1325" s="4" t="str">
        <f aca="false">IF(K1325="","",A1325)</f>
        <v/>
      </c>
      <c r="O1325" s="4" t="n">
        <v>1509</v>
      </c>
      <c r="P1325" s="4" t="n">
        <f aca="false">IF(A1325=A1324,P1324+1-M1324,0)</f>
        <v>2</v>
      </c>
    </row>
    <row r="1326" customFormat="false" ht="15" hidden="false" customHeight="false" outlineLevel="0" collapsed="false">
      <c r="A1326" s="29" t="s">
        <v>4091</v>
      </c>
      <c r="B1326" s="29" t="s">
        <v>52</v>
      </c>
      <c r="C1326" s="29" t="s">
        <v>92</v>
      </c>
      <c r="D1326" s="29" t="s">
        <v>4092</v>
      </c>
      <c r="E1326" s="4" t="n">
        <v>9</v>
      </c>
      <c r="F1326" s="4" t="s">
        <v>213</v>
      </c>
      <c r="G1326" s="4" t="s">
        <v>1208</v>
      </c>
      <c r="H1326" s="4" t="n">
        <v>2013</v>
      </c>
      <c r="I1326" s="4" t="s">
        <v>276</v>
      </c>
      <c r="J1326" s="25" t="str">
        <f aca="false">IF(M1326=1,"✓","")</f>
        <v>✓</v>
      </c>
      <c r="K1326" s="4" t="str">
        <f aca="false">IF(AND(M1326=0,P1326=0),"▶ NEXT","")</f>
        <v/>
      </c>
      <c r="L1326" s="4" t="n">
        <f aca="false">INDEX('Master List'!$F$2:$F$2594,O1326)</f>
        <v>2</v>
      </c>
      <c r="M1326" s="4" t="n">
        <f aca="false">INDEX('Master List'!$G$2:$G$2594,O1326)</f>
        <v>1</v>
      </c>
      <c r="N1326" s="4" t="str">
        <f aca="false">IF(K1326="","",A1326)</f>
        <v/>
      </c>
      <c r="O1326" s="4" t="n">
        <v>2101</v>
      </c>
      <c r="P1326" s="4" t="n">
        <f aca="false">IF(A1326=A1325,P1325+1-M1325,0)</f>
        <v>3</v>
      </c>
    </row>
    <row r="1327" customFormat="false" ht="15" hidden="false" customHeight="false" outlineLevel="0" collapsed="false">
      <c r="A1327" s="29" t="s">
        <v>4091</v>
      </c>
      <c r="B1327" s="29" t="s">
        <v>52</v>
      </c>
      <c r="C1327" s="29" t="s">
        <v>92</v>
      </c>
      <c r="D1327" s="29" t="s">
        <v>4092</v>
      </c>
      <c r="E1327" s="4" t="n">
        <v>10</v>
      </c>
      <c r="F1327" s="4" t="s">
        <v>213</v>
      </c>
      <c r="G1327" s="4" t="s">
        <v>555</v>
      </c>
      <c r="H1327" s="4" t="n">
        <v>2013</v>
      </c>
      <c r="I1327" s="4" t="s">
        <v>508</v>
      </c>
      <c r="J1327" s="25" t="str">
        <f aca="false">IF(M1327=1,"✓","")</f>
        <v>✓</v>
      </c>
      <c r="K1327" s="4" t="str">
        <f aca="false">IF(AND(M1327=0,P1327=0),"▶ NEXT","")</f>
        <v/>
      </c>
      <c r="L1327" s="4" t="n">
        <f aca="false">INDEX('Master List'!$F$2:$F$2594,O1327)</f>
        <v>3</v>
      </c>
      <c r="M1327" s="4" t="n">
        <f aca="false">INDEX('Master List'!$G$2:$G$2594,O1327)</f>
        <v>1</v>
      </c>
      <c r="N1327" s="4" t="str">
        <f aca="false">IF(K1327="","",A1327)</f>
        <v/>
      </c>
      <c r="O1327" s="4" t="n">
        <v>1024</v>
      </c>
      <c r="P1327" s="4" t="n">
        <f aca="false">IF(A1327=A1326,P1326+1-M1326,0)</f>
        <v>3</v>
      </c>
    </row>
    <row r="1328" customFormat="false" ht="15" hidden="false" customHeight="false" outlineLevel="0" collapsed="false">
      <c r="A1328" s="29" t="s">
        <v>4091</v>
      </c>
      <c r="B1328" s="29" t="s">
        <v>52</v>
      </c>
      <c r="C1328" s="29" t="s">
        <v>92</v>
      </c>
      <c r="D1328" s="29" t="s">
        <v>4092</v>
      </c>
      <c r="E1328" s="4" t="n">
        <v>11</v>
      </c>
      <c r="F1328" s="4" t="s">
        <v>213</v>
      </c>
      <c r="G1328" s="4" t="s">
        <v>873</v>
      </c>
      <c r="H1328" s="4" t="n">
        <v>2015</v>
      </c>
      <c r="I1328" s="4" t="s">
        <v>874</v>
      </c>
      <c r="J1328" s="25" t="str">
        <f aca="false">IF(M1328=1,"✓","")</f>
        <v>✓</v>
      </c>
      <c r="K1328" s="4" t="str">
        <f aca="false">IF(AND(M1328=0,P1328=0),"▶ NEXT","")</f>
        <v/>
      </c>
      <c r="L1328" s="4" t="n">
        <f aca="false">INDEX('Master List'!$F$2:$F$2594,O1328)</f>
        <v>2</v>
      </c>
      <c r="M1328" s="4" t="n">
        <f aca="false">INDEX('Master List'!$G$2:$G$2594,O1328)</f>
        <v>1</v>
      </c>
      <c r="N1328" s="4" t="str">
        <f aca="false">IF(K1328="","",A1328)</f>
        <v/>
      </c>
      <c r="O1328" s="4" t="n">
        <v>1362</v>
      </c>
      <c r="P1328" s="4" t="n">
        <f aca="false">IF(A1328=A1327,P1327+1-M1327,0)</f>
        <v>3</v>
      </c>
    </row>
    <row r="1329" customFormat="false" ht="15" hidden="false" customHeight="false" outlineLevel="0" collapsed="false">
      <c r="A1329" s="29" t="s">
        <v>4091</v>
      </c>
      <c r="B1329" s="29" t="s">
        <v>52</v>
      </c>
      <c r="C1329" s="29" t="s">
        <v>92</v>
      </c>
      <c r="D1329" s="29" t="s">
        <v>4092</v>
      </c>
      <c r="E1329" s="4" t="n">
        <v>12</v>
      </c>
      <c r="F1329" s="4" t="s">
        <v>1327</v>
      </c>
      <c r="G1329" s="4" t="s">
        <v>3490</v>
      </c>
      <c r="H1329" s="4" t="n">
        <v>1971</v>
      </c>
      <c r="I1329" s="4" t="s">
        <v>1335</v>
      </c>
      <c r="J1329" s="25" t="str">
        <f aca="false">IF(M1329=1,"✓","")</f>
        <v/>
      </c>
      <c r="K1329" s="4" t="str">
        <f aca="false">IF(AND(M1329=0,P1329=0),"▶ NEXT","")</f>
        <v/>
      </c>
      <c r="L1329" s="4" t="n">
        <f aca="false">INDEX('Master List'!$F$2:$F$2594,O1329)</f>
        <v>1</v>
      </c>
      <c r="M1329" s="4" t="n">
        <f aca="false">INDEX('Master List'!$G$2:$G$2594,O1329)</f>
        <v>0</v>
      </c>
      <c r="N1329" s="4" t="str">
        <f aca="false">IF(K1329="","",A1329)</f>
        <v/>
      </c>
      <c r="O1329" s="4" t="n">
        <v>1833</v>
      </c>
      <c r="P1329" s="4" t="n">
        <f aca="false">IF(A1329=A1328,P1328+1-M1328,0)</f>
        <v>3</v>
      </c>
    </row>
    <row r="1330" customFormat="false" ht="15" hidden="false" customHeight="false" outlineLevel="0" collapsed="false">
      <c r="A1330" s="29" t="s">
        <v>4091</v>
      </c>
      <c r="B1330" s="29" t="s">
        <v>52</v>
      </c>
      <c r="C1330" s="29" t="s">
        <v>92</v>
      </c>
      <c r="D1330" s="29" t="s">
        <v>4092</v>
      </c>
      <c r="E1330" s="4" t="n">
        <v>13</v>
      </c>
      <c r="F1330" s="4" t="s">
        <v>1327</v>
      </c>
      <c r="G1330" s="4" t="s">
        <v>3757</v>
      </c>
      <c r="H1330" s="4" t="n">
        <v>2006</v>
      </c>
      <c r="I1330" s="4" t="s">
        <v>2702</v>
      </c>
      <c r="J1330" s="25" t="str">
        <f aca="false">IF(M1330=1,"✓","")</f>
        <v>✓</v>
      </c>
      <c r="K1330" s="4" t="str">
        <f aca="false">IF(AND(M1330=0,P1330=0),"▶ NEXT","")</f>
        <v/>
      </c>
      <c r="L1330" s="4" t="n">
        <f aca="false">INDEX('Master List'!$F$2:$F$2594,O1330)</f>
        <v>1</v>
      </c>
      <c r="M1330" s="4" t="n">
        <f aca="false">INDEX('Master List'!$G$2:$G$2594,O1330)</f>
        <v>1</v>
      </c>
      <c r="N1330" s="4" t="str">
        <f aca="false">IF(K1330="","",A1330)</f>
        <v/>
      </c>
      <c r="O1330" s="4" t="n">
        <v>1114</v>
      </c>
      <c r="P1330" s="4" t="n">
        <f aca="false">IF(A1330=A1329,P1329+1-M1329,0)</f>
        <v>4</v>
      </c>
    </row>
    <row r="1331" customFormat="false" ht="15" hidden="false" customHeight="false" outlineLevel="0" collapsed="false">
      <c r="A1331" s="29" t="s">
        <v>4093</v>
      </c>
      <c r="B1331" s="29" t="s">
        <v>52</v>
      </c>
      <c r="C1331" s="29" t="s">
        <v>92</v>
      </c>
      <c r="D1331" s="29" t="s">
        <v>4094</v>
      </c>
      <c r="E1331" s="4" t="n">
        <v>1</v>
      </c>
      <c r="F1331" s="4" t="s">
        <v>144</v>
      </c>
      <c r="G1331" s="7" t="s">
        <v>256</v>
      </c>
      <c r="H1331" s="4" t="n">
        <v>1977</v>
      </c>
      <c r="I1331" s="4" t="s">
        <v>257</v>
      </c>
      <c r="J1331" s="25" t="str">
        <f aca="false">IF(M1331=1,"✓","")</f>
        <v>✓</v>
      </c>
      <c r="K1331" s="4" t="str">
        <f aca="false">IF(AND(M1331=0,P1331=0),"▶ NEXT","")</f>
        <v/>
      </c>
      <c r="L1331" s="4" t="n">
        <f aca="false">INDEX('Master List'!$F$2:$F$2594,O1331)</f>
        <v>5</v>
      </c>
      <c r="M1331" s="4" t="n">
        <f aca="false">INDEX('Master List'!$G$2:$G$2594,O1331)</f>
        <v>1</v>
      </c>
      <c r="N1331" s="4" t="str">
        <f aca="false">IF(K1331="","",A1331)</f>
        <v/>
      </c>
      <c r="O1331" s="4" t="n">
        <v>2149</v>
      </c>
      <c r="P1331" s="4" t="n">
        <f aca="false">IF(A1331=A1330,P1330+1-M1330,0)</f>
        <v>0</v>
      </c>
    </row>
    <row r="1332" customFormat="false" ht="15" hidden="false" customHeight="false" outlineLevel="0" collapsed="false">
      <c r="A1332" s="29" t="s">
        <v>4093</v>
      </c>
      <c r="B1332" s="29" t="s">
        <v>52</v>
      </c>
      <c r="C1332" s="29" t="s">
        <v>92</v>
      </c>
      <c r="D1332" s="29" t="s">
        <v>4094</v>
      </c>
      <c r="E1332" s="4" t="n">
        <v>2</v>
      </c>
      <c r="F1332" s="4" t="s">
        <v>144</v>
      </c>
      <c r="G1332" s="7" t="s">
        <v>362</v>
      </c>
      <c r="H1332" s="4" t="n">
        <v>1979</v>
      </c>
      <c r="I1332" s="4" t="s">
        <v>174</v>
      </c>
      <c r="J1332" s="25" t="str">
        <f aca="false">IF(M1332=1,"✓","")</f>
        <v>✓</v>
      </c>
      <c r="K1332" s="4" t="str">
        <f aca="false">IF(AND(M1332=0,P1332=0),"▶ NEXT","")</f>
        <v/>
      </c>
      <c r="L1332" s="4" t="n">
        <f aca="false">INDEX('Master List'!$F$2:$F$2594,O1332)</f>
        <v>4</v>
      </c>
      <c r="M1332" s="4" t="n">
        <f aca="false">INDEX('Master List'!$G$2:$G$2594,O1332)</f>
        <v>1</v>
      </c>
      <c r="N1332" s="4" t="str">
        <f aca="false">IF(K1332="","",A1332)</f>
        <v/>
      </c>
      <c r="O1332" s="4" t="n">
        <v>66</v>
      </c>
      <c r="P1332" s="4" t="n">
        <f aca="false">IF(A1332=A1331,P1331+1-M1331,0)</f>
        <v>0</v>
      </c>
    </row>
    <row r="1333" customFormat="false" ht="15" hidden="false" customHeight="false" outlineLevel="0" collapsed="false">
      <c r="A1333" s="29" t="s">
        <v>4093</v>
      </c>
      <c r="B1333" s="29" t="s">
        <v>52</v>
      </c>
      <c r="C1333" s="29" t="s">
        <v>92</v>
      </c>
      <c r="D1333" s="29" t="s">
        <v>4094</v>
      </c>
      <c r="E1333" s="4" t="n">
        <v>3</v>
      </c>
      <c r="F1333" s="4" t="s">
        <v>213</v>
      </c>
      <c r="G1333" s="4" t="s">
        <v>2338</v>
      </c>
      <c r="H1333" s="4" t="n">
        <v>1980</v>
      </c>
      <c r="I1333" s="4" t="s">
        <v>2339</v>
      </c>
      <c r="J1333" s="25" t="str">
        <f aca="false">IF(M1333=1,"✓","")</f>
        <v>✓</v>
      </c>
      <c r="K1333" s="4" t="str">
        <f aca="false">IF(AND(M1333=0,P1333=0),"▶ NEXT","")</f>
        <v/>
      </c>
      <c r="L1333" s="4" t="n">
        <f aca="false">INDEX('Master List'!$F$2:$F$2594,O1333)</f>
        <v>1</v>
      </c>
      <c r="M1333" s="4" t="n">
        <f aca="false">INDEX('Master List'!$G$2:$G$2594,O1333)</f>
        <v>1</v>
      </c>
      <c r="N1333" s="4" t="str">
        <f aca="false">IF(K1333="","",A1333)</f>
        <v/>
      </c>
      <c r="O1333" s="4" t="n">
        <v>726</v>
      </c>
      <c r="P1333" s="4" t="n">
        <f aca="false">IF(A1333=A1332,P1332+1-M1332,0)</f>
        <v>0</v>
      </c>
    </row>
    <row r="1334" customFormat="false" ht="15" hidden="false" customHeight="false" outlineLevel="0" collapsed="false">
      <c r="A1334" s="29" t="s">
        <v>4093</v>
      </c>
      <c r="B1334" s="29" t="s">
        <v>52</v>
      </c>
      <c r="C1334" s="29" t="s">
        <v>92</v>
      </c>
      <c r="D1334" s="29" t="s">
        <v>4094</v>
      </c>
      <c r="E1334" s="4" t="n">
        <v>4</v>
      </c>
      <c r="F1334" s="4" t="s">
        <v>213</v>
      </c>
      <c r="G1334" s="4" t="s">
        <v>1278</v>
      </c>
      <c r="H1334" s="4" t="n">
        <v>1986</v>
      </c>
      <c r="I1334" s="4" t="s">
        <v>892</v>
      </c>
      <c r="J1334" s="25" t="str">
        <f aca="false">IF(M1334=1,"✓","")</f>
        <v>✓</v>
      </c>
      <c r="K1334" s="4" t="str">
        <f aca="false">IF(AND(M1334=0,P1334=0),"▶ NEXT","")</f>
        <v/>
      </c>
      <c r="L1334" s="4" t="n">
        <f aca="false">INDEX('Master List'!$F$2:$F$2594,O1334)</f>
        <v>2</v>
      </c>
      <c r="M1334" s="4" t="n">
        <f aca="false">INDEX('Master List'!$G$2:$G$2594,O1334)</f>
        <v>1</v>
      </c>
      <c r="N1334" s="4" t="str">
        <f aca="false">IF(K1334="","",A1334)</f>
        <v/>
      </c>
      <c r="O1334" s="4" t="n">
        <v>67</v>
      </c>
      <c r="P1334" s="4" t="n">
        <f aca="false">IF(A1334=A1333,P1333+1-M1333,0)</f>
        <v>0</v>
      </c>
    </row>
    <row r="1335" customFormat="false" ht="15" hidden="false" customHeight="false" outlineLevel="0" collapsed="false">
      <c r="A1335" s="29" t="s">
        <v>4093</v>
      </c>
      <c r="B1335" s="29" t="s">
        <v>52</v>
      </c>
      <c r="C1335" s="29" t="s">
        <v>92</v>
      </c>
      <c r="D1335" s="29" t="s">
        <v>4094</v>
      </c>
      <c r="E1335" s="4" t="n">
        <v>5</v>
      </c>
      <c r="F1335" s="4" t="s">
        <v>213</v>
      </c>
      <c r="G1335" s="4" t="s">
        <v>891</v>
      </c>
      <c r="H1335" s="4" t="n">
        <v>1991</v>
      </c>
      <c r="I1335" s="4" t="s">
        <v>892</v>
      </c>
      <c r="J1335" s="25" t="str">
        <f aca="false">IF(M1335=1,"✓","")</f>
        <v/>
      </c>
      <c r="K1335" s="4" t="str">
        <f aca="false">IF(AND(M1335=0,P1335=0),"▶ NEXT","")</f>
        <v>▶ NEXT</v>
      </c>
      <c r="L1335" s="4" t="n">
        <f aca="false">INDEX('Master List'!$F$2:$F$2594,O1335)</f>
        <v>2</v>
      </c>
      <c r="M1335" s="4" t="n">
        <f aca="false">INDEX('Master List'!$G$2:$G$2594,O1335)</f>
        <v>0</v>
      </c>
      <c r="N1335" s="4" t="str">
        <f aca="false">IF(K1335="","",A1335)</f>
        <v>N110</v>
      </c>
      <c r="O1335" s="4" t="n">
        <v>2255</v>
      </c>
      <c r="P1335" s="4" t="n">
        <f aca="false">IF(A1335=A1334,P1334+1-M1334,0)</f>
        <v>0</v>
      </c>
    </row>
    <row r="1336" customFormat="false" ht="15" hidden="false" customHeight="false" outlineLevel="0" collapsed="false">
      <c r="A1336" s="29" t="s">
        <v>4093</v>
      </c>
      <c r="B1336" s="29" t="s">
        <v>52</v>
      </c>
      <c r="C1336" s="29" t="s">
        <v>92</v>
      </c>
      <c r="D1336" s="29" t="s">
        <v>4094</v>
      </c>
      <c r="E1336" s="4" t="n">
        <v>6</v>
      </c>
      <c r="F1336" s="4" t="s">
        <v>213</v>
      </c>
      <c r="G1336" s="4" t="s">
        <v>2670</v>
      </c>
      <c r="H1336" s="4" t="n">
        <v>1997</v>
      </c>
      <c r="I1336" s="4" t="s">
        <v>699</v>
      </c>
      <c r="J1336" s="25" t="str">
        <f aca="false">IF(M1336=1,"✓","")</f>
        <v/>
      </c>
      <c r="K1336" s="4" t="str">
        <f aca="false">IF(AND(M1336=0,P1336=0),"▶ NEXT","")</f>
        <v/>
      </c>
      <c r="L1336" s="4" t="n">
        <f aca="false">INDEX('Master List'!$F$2:$F$2594,O1336)</f>
        <v>1</v>
      </c>
      <c r="M1336" s="4" t="n">
        <f aca="false">INDEX('Master List'!$G$2:$G$2594,O1336)</f>
        <v>0</v>
      </c>
      <c r="N1336" s="4" t="str">
        <f aca="false">IF(K1336="","",A1336)</f>
        <v/>
      </c>
      <c r="O1336" s="4" t="n">
        <v>2152</v>
      </c>
      <c r="P1336" s="4" t="n">
        <f aca="false">IF(A1336=A1335,P1335+1-M1335,0)</f>
        <v>1</v>
      </c>
    </row>
    <row r="1337" customFormat="false" ht="15" hidden="false" customHeight="false" outlineLevel="0" collapsed="false">
      <c r="A1337" s="29" t="s">
        <v>4093</v>
      </c>
      <c r="B1337" s="29" t="s">
        <v>52</v>
      </c>
      <c r="C1337" s="29" t="s">
        <v>92</v>
      </c>
      <c r="D1337" s="29" t="s">
        <v>4094</v>
      </c>
      <c r="E1337" s="4" t="n">
        <v>7</v>
      </c>
      <c r="F1337" s="4" t="s">
        <v>213</v>
      </c>
      <c r="G1337" s="4" t="s">
        <v>3207</v>
      </c>
      <c r="H1337" s="4" t="n">
        <v>2021</v>
      </c>
      <c r="I1337" s="4" t="s">
        <v>327</v>
      </c>
      <c r="J1337" s="25" t="str">
        <f aca="false">IF(M1337=1,"✓","")</f>
        <v/>
      </c>
      <c r="K1337" s="4" t="str">
        <f aca="false">IF(AND(M1337=0,P1337=0),"▶ NEXT","")</f>
        <v/>
      </c>
      <c r="L1337" s="4" t="n">
        <f aca="false">INDEX('Master List'!$F$2:$F$2594,O1337)</f>
        <v>1</v>
      </c>
      <c r="M1337" s="4" t="n">
        <f aca="false">INDEX('Master List'!$G$2:$G$2594,O1337)</f>
        <v>0</v>
      </c>
      <c r="N1337" s="4" t="str">
        <f aca="false">IF(K1337="","",A1337)</f>
        <v/>
      </c>
      <c r="O1337" s="4" t="n">
        <v>693</v>
      </c>
      <c r="P1337" s="4" t="n">
        <f aca="false">IF(A1337=A1336,P1336+1-M1336,0)</f>
        <v>2</v>
      </c>
    </row>
    <row r="1338" customFormat="false" ht="15" hidden="false" customHeight="false" outlineLevel="0" collapsed="false">
      <c r="A1338" s="29" t="s">
        <v>4093</v>
      </c>
      <c r="B1338" s="29" t="s">
        <v>52</v>
      </c>
      <c r="C1338" s="29" t="s">
        <v>92</v>
      </c>
      <c r="D1338" s="29" t="s">
        <v>4094</v>
      </c>
      <c r="E1338" s="4" t="n">
        <v>8</v>
      </c>
      <c r="F1338" s="4" t="s">
        <v>213</v>
      </c>
      <c r="G1338" s="4" t="s">
        <v>3258</v>
      </c>
      <c r="H1338" s="4" t="n">
        <v>2024</v>
      </c>
      <c r="I1338" s="4" t="s">
        <v>327</v>
      </c>
      <c r="J1338" s="25" t="str">
        <f aca="false">IF(M1338=1,"✓","")</f>
        <v/>
      </c>
      <c r="K1338" s="4" t="str">
        <f aca="false">IF(AND(M1338=0,P1338=0),"▶ NEXT","")</f>
        <v/>
      </c>
      <c r="L1338" s="4" t="n">
        <f aca="false">INDEX('Master List'!$F$2:$F$2594,O1338)</f>
        <v>1</v>
      </c>
      <c r="M1338" s="4" t="n">
        <f aca="false">INDEX('Master List'!$G$2:$G$2594,O1338)</f>
        <v>0</v>
      </c>
      <c r="N1338" s="4" t="str">
        <f aca="false">IF(K1338="","",A1338)</f>
        <v/>
      </c>
      <c r="O1338" s="4" t="n">
        <v>694</v>
      </c>
      <c r="P1338" s="4" t="n">
        <f aca="false">IF(A1338=A1337,P1337+1-M1337,0)</f>
        <v>3</v>
      </c>
    </row>
    <row r="1339" customFormat="false" ht="15" hidden="false" customHeight="false" outlineLevel="0" collapsed="false">
      <c r="A1339" s="29" t="s">
        <v>4093</v>
      </c>
      <c r="B1339" s="29" t="s">
        <v>52</v>
      </c>
      <c r="C1339" s="29" t="s">
        <v>92</v>
      </c>
      <c r="D1339" s="29" t="s">
        <v>4094</v>
      </c>
      <c r="E1339" s="4" t="n">
        <v>9</v>
      </c>
      <c r="F1339" s="4" t="s">
        <v>1327</v>
      </c>
      <c r="G1339" s="4" t="s">
        <v>3454</v>
      </c>
      <c r="H1339" s="4" t="n">
        <v>1968</v>
      </c>
      <c r="I1339" s="4" t="s">
        <v>3455</v>
      </c>
      <c r="J1339" s="25" t="str">
        <f aca="false">IF(M1339=1,"✓","")</f>
        <v/>
      </c>
      <c r="K1339" s="4" t="str">
        <f aca="false">IF(AND(M1339=0,P1339=0),"▶ NEXT","")</f>
        <v/>
      </c>
      <c r="L1339" s="4" t="n">
        <f aca="false">INDEX('Master List'!$F$2:$F$2594,O1339)</f>
        <v>1</v>
      </c>
      <c r="M1339" s="4" t="n">
        <f aca="false">INDEX('Master List'!$G$2:$G$2594,O1339)</f>
        <v>0</v>
      </c>
      <c r="N1339" s="4" t="str">
        <f aca="false">IF(K1339="","",A1339)</f>
        <v/>
      </c>
      <c r="O1339" s="4" t="n">
        <v>186</v>
      </c>
      <c r="P1339" s="4" t="n">
        <f aca="false">IF(A1339=A1338,P1338+1-M1338,0)</f>
        <v>4</v>
      </c>
    </row>
    <row r="1340" customFormat="false" ht="15" hidden="false" customHeight="false" outlineLevel="0" collapsed="false">
      <c r="A1340" s="29" t="s">
        <v>4095</v>
      </c>
      <c r="B1340" s="29" t="s">
        <v>52</v>
      </c>
      <c r="C1340" s="29" t="s">
        <v>93</v>
      </c>
      <c r="D1340" s="29" t="s">
        <v>4096</v>
      </c>
      <c r="E1340" s="4" t="n">
        <v>1</v>
      </c>
      <c r="F1340" s="4" t="s">
        <v>144</v>
      </c>
      <c r="G1340" s="7" t="s">
        <v>175</v>
      </c>
      <c r="H1340" s="4" t="n">
        <v>1934</v>
      </c>
      <c r="I1340" s="4" t="s">
        <v>176</v>
      </c>
      <c r="J1340" s="25" t="str">
        <f aca="false">IF(M1340=1,"✓","")</f>
        <v/>
      </c>
      <c r="K1340" s="4" t="str">
        <f aca="false">IF(AND(M1340=0,P1340=0),"▶ NEXT","")</f>
        <v>▶ NEXT</v>
      </c>
      <c r="L1340" s="4" t="n">
        <f aca="false">INDEX('Master List'!$F$2:$F$2594,O1340)</f>
        <v>7</v>
      </c>
      <c r="M1340" s="4" t="n">
        <f aca="false">INDEX('Master List'!$G$2:$G$2594,O1340)</f>
        <v>0</v>
      </c>
      <c r="N1340" s="4" t="str">
        <f aca="false">IF(K1340="","",A1340)</f>
        <v>N111</v>
      </c>
      <c r="O1340" s="4" t="n">
        <v>1176</v>
      </c>
      <c r="P1340" s="4" t="n">
        <f aca="false">IF(A1340=A1339,P1339+1-M1339,0)</f>
        <v>0</v>
      </c>
    </row>
    <row r="1341" customFormat="false" ht="15" hidden="false" customHeight="false" outlineLevel="0" collapsed="false">
      <c r="A1341" s="29" t="s">
        <v>4095</v>
      </c>
      <c r="B1341" s="29" t="s">
        <v>52</v>
      </c>
      <c r="C1341" s="29" t="s">
        <v>93</v>
      </c>
      <c r="D1341" s="29" t="s">
        <v>4096</v>
      </c>
      <c r="E1341" s="4" t="n">
        <v>2</v>
      </c>
      <c r="F1341" s="4" t="s">
        <v>144</v>
      </c>
      <c r="G1341" s="7" t="s">
        <v>167</v>
      </c>
      <c r="H1341" s="4" t="n">
        <v>1940</v>
      </c>
      <c r="I1341" s="4" t="s">
        <v>168</v>
      </c>
      <c r="J1341" s="25" t="str">
        <f aca="false">IF(M1341=1,"✓","")</f>
        <v>✓</v>
      </c>
      <c r="K1341" s="4" t="str">
        <f aca="false">IF(AND(M1341=0,P1341=0),"▶ NEXT","")</f>
        <v/>
      </c>
      <c r="L1341" s="4" t="n">
        <f aca="false">INDEX('Master List'!$F$2:$F$2594,O1341)</f>
        <v>7</v>
      </c>
      <c r="M1341" s="4" t="n">
        <f aca="false">INDEX('Master List'!$G$2:$G$2594,O1341)</f>
        <v>1</v>
      </c>
      <c r="N1341" s="4" t="str">
        <f aca="false">IF(K1341="","",A1341)</f>
        <v/>
      </c>
      <c r="O1341" s="4" t="n">
        <v>1041</v>
      </c>
      <c r="P1341" s="4" t="n">
        <f aca="false">IF(A1341=A1340,P1340+1-M1340,0)</f>
        <v>1</v>
      </c>
    </row>
    <row r="1342" customFormat="false" ht="15" hidden="false" customHeight="false" outlineLevel="0" collapsed="false">
      <c r="A1342" s="29" t="s">
        <v>4095</v>
      </c>
      <c r="B1342" s="29" t="s">
        <v>52</v>
      </c>
      <c r="C1342" s="29" t="s">
        <v>93</v>
      </c>
      <c r="D1342" s="29" t="s">
        <v>4096</v>
      </c>
      <c r="E1342" s="4" t="n">
        <v>3</v>
      </c>
      <c r="F1342" s="4" t="s">
        <v>213</v>
      </c>
      <c r="G1342" s="4" t="s">
        <v>910</v>
      </c>
      <c r="H1342" s="4" t="n">
        <v>1934</v>
      </c>
      <c r="I1342" s="4" t="s">
        <v>168</v>
      </c>
      <c r="J1342" s="25" t="str">
        <f aca="false">IF(M1342=1,"✓","")</f>
        <v/>
      </c>
      <c r="K1342" s="4" t="str">
        <f aca="false">IF(AND(M1342=0,P1342=0),"▶ NEXT","")</f>
        <v/>
      </c>
      <c r="L1342" s="4" t="n">
        <f aca="false">INDEX('Master List'!$F$2:$F$2594,O1342)</f>
        <v>2</v>
      </c>
      <c r="M1342" s="4" t="n">
        <f aca="false">INDEX('Master List'!$G$2:$G$2594,O1342)</f>
        <v>0</v>
      </c>
      <c r="N1342" s="4" t="str">
        <f aca="false">IF(K1342="","",A1342)</f>
        <v/>
      </c>
      <c r="O1342" s="4" t="n">
        <v>2383</v>
      </c>
      <c r="P1342" s="4" t="n">
        <f aca="false">IF(A1342=A1341,P1341+1-M1341,0)</f>
        <v>1</v>
      </c>
    </row>
    <row r="1343" customFormat="false" ht="15" hidden="false" customHeight="false" outlineLevel="0" collapsed="false">
      <c r="A1343" s="29" t="s">
        <v>4095</v>
      </c>
      <c r="B1343" s="29" t="s">
        <v>52</v>
      </c>
      <c r="C1343" s="29" t="s">
        <v>93</v>
      </c>
      <c r="D1343" s="29" t="s">
        <v>4096</v>
      </c>
      <c r="E1343" s="4" t="n">
        <v>4</v>
      </c>
      <c r="F1343" s="4" t="s">
        <v>213</v>
      </c>
      <c r="G1343" s="4" t="s">
        <v>1758</v>
      </c>
      <c r="H1343" s="4" t="n">
        <v>1936</v>
      </c>
      <c r="I1343" s="4" t="s">
        <v>1759</v>
      </c>
      <c r="J1343" s="25" t="str">
        <f aca="false">IF(M1343=1,"✓","")</f>
        <v/>
      </c>
      <c r="K1343" s="4" t="str">
        <f aca="false">IF(AND(M1343=0,P1343=0),"▶ NEXT","")</f>
        <v/>
      </c>
      <c r="L1343" s="4" t="n">
        <f aca="false">INDEX('Master List'!$F$2:$F$2594,O1343)</f>
        <v>1</v>
      </c>
      <c r="M1343" s="4" t="n">
        <f aca="false">INDEX('Master List'!$G$2:$G$2594,O1343)</f>
        <v>0</v>
      </c>
      <c r="N1343" s="4" t="str">
        <f aca="false">IF(K1343="","",A1343)</f>
        <v/>
      </c>
      <c r="O1343" s="4" t="n">
        <v>1573</v>
      </c>
      <c r="P1343" s="4" t="n">
        <f aca="false">IF(A1343=A1342,P1342+1-M1342,0)</f>
        <v>2</v>
      </c>
    </row>
    <row r="1344" customFormat="false" ht="15" hidden="false" customHeight="false" outlineLevel="0" collapsed="false">
      <c r="A1344" s="29" t="s">
        <v>4095</v>
      </c>
      <c r="B1344" s="29" t="s">
        <v>52</v>
      </c>
      <c r="C1344" s="29" t="s">
        <v>93</v>
      </c>
      <c r="D1344" s="29" t="s">
        <v>4096</v>
      </c>
      <c r="E1344" s="4" t="n">
        <v>5</v>
      </c>
      <c r="F1344" s="4" t="s">
        <v>213</v>
      </c>
      <c r="G1344" s="4" t="s">
        <v>1273</v>
      </c>
      <c r="H1344" s="4" t="n">
        <v>1937</v>
      </c>
      <c r="I1344" s="4" t="s">
        <v>450</v>
      </c>
      <c r="J1344" s="25" t="str">
        <f aca="false">IF(M1344=1,"✓","")</f>
        <v/>
      </c>
      <c r="K1344" s="4" t="str">
        <f aca="false">IF(AND(M1344=0,P1344=0),"▶ NEXT","")</f>
        <v/>
      </c>
      <c r="L1344" s="4" t="n">
        <f aca="false">INDEX('Master List'!$F$2:$F$2594,O1344)</f>
        <v>2</v>
      </c>
      <c r="M1344" s="4" t="n">
        <f aca="false">INDEX('Master List'!$G$2:$G$2594,O1344)</f>
        <v>0</v>
      </c>
      <c r="N1344" s="4" t="str">
        <f aca="false">IF(K1344="","",A1344)</f>
        <v/>
      </c>
      <c r="O1344" s="4" t="n">
        <v>155</v>
      </c>
      <c r="P1344" s="4" t="n">
        <f aca="false">IF(A1344=A1343,P1343+1-M1343,0)</f>
        <v>3</v>
      </c>
    </row>
    <row r="1345" customFormat="false" ht="15" hidden="false" customHeight="false" outlineLevel="0" collapsed="false">
      <c r="A1345" s="29" t="s">
        <v>4095</v>
      </c>
      <c r="B1345" s="29" t="s">
        <v>52</v>
      </c>
      <c r="C1345" s="29" t="s">
        <v>93</v>
      </c>
      <c r="D1345" s="29" t="s">
        <v>4096</v>
      </c>
      <c r="E1345" s="4" t="n">
        <v>6</v>
      </c>
      <c r="F1345" s="4" t="s">
        <v>213</v>
      </c>
      <c r="G1345" s="4" t="s">
        <v>403</v>
      </c>
      <c r="H1345" s="4" t="n">
        <v>1938</v>
      </c>
      <c r="I1345" s="4" t="s">
        <v>168</v>
      </c>
      <c r="J1345" s="25" t="str">
        <f aca="false">IF(M1345=1,"✓","")</f>
        <v/>
      </c>
      <c r="K1345" s="4" t="str">
        <f aca="false">IF(AND(M1345=0,P1345=0),"▶ NEXT","")</f>
        <v/>
      </c>
      <c r="L1345" s="4" t="n">
        <f aca="false">INDEX('Master List'!$F$2:$F$2594,O1345)</f>
        <v>4</v>
      </c>
      <c r="M1345" s="4" t="n">
        <f aca="false">INDEX('Master List'!$G$2:$G$2594,O1345)</f>
        <v>0</v>
      </c>
      <c r="N1345" s="4" t="str">
        <f aca="false">IF(K1345="","",A1345)</f>
        <v/>
      </c>
      <c r="O1345" s="4" t="n">
        <v>353</v>
      </c>
      <c r="P1345" s="4" t="n">
        <f aca="false">IF(A1345=A1344,P1344+1-M1344,0)</f>
        <v>4</v>
      </c>
    </row>
    <row r="1346" customFormat="false" ht="15" hidden="false" customHeight="false" outlineLevel="0" collapsed="false">
      <c r="A1346" s="29" t="s">
        <v>4095</v>
      </c>
      <c r="B1346" s="29" t="s">
        <v>52</v>
      </c>
      <c r="C1346" s="29" t="s">
        <v>93</v>
      </c>
      <c r="D1346" s="29" t="s">
        <v>4096</v>
      </c>
      <c r="E1346" s="4" t="n">
        <v>7</v>
      </c>
      <c r="F1346" s="4" t="s">
        <v>213</v>
      </c>
      <c r="G1346" s="4" t="s">
        <v>1776</v>
      </c>
      <c r="H1346" s="4" t="n">
        <v>1938</v>
      </c>
      <c r="I1346" s="4" t="s">
        <v>537</v>
      </c>
      <c r="J1346" s="25" t="str">
        <f aca="false">IF(M1346=1,"✓","")</f>
        <v/>
      </c>
      <c r="K1346" s="4" t="str">
        <f aca="false">IF(AND(M1346=0,P1346=0),"▶ NEXT","")</f>
        <v/>
      </c>
      <c r="L1346" s="4" t="n">
        <f aca="false">INDEX('Master List'!$F$2:$F$2594,O1346)</f>
        <v>1</v>
      </c>
      <c r="M1346" s="4" t="n">
        <f aca="false">INDEX('Master List'!$G$2:$G$2594,O1346)</f>
        <v>0</v>
      </c>
      <c r="N1346" s="4" t="str">
        <f aca="false">IF(K1346="","",A1346)</f>
        <v/>
      </c>
      <c r="O1346" s="4" t="n">
        <v>1050</v>
      </c>
      <c r="P1346" s="4" t="n">
        <f aca="false">IF(A1346=A1345,P1345+1-M1345,0)</f>
        <v>5</v>
      </c>
    </row>
    <row r="1347" customFormat="false" ht="15" hidden="false" customHeight="false" outlineLevel="0" collapsed="false">
      <c r="A1347" s="29" t="s">
        <v>4095</v>
      </c>
      <c r="B1347" s="29" t="s">
        <v>52</v>
      </c>
      <c r="C1347" s="29" t="s">
        <v>93</v>
      </c>
      <c r="D1347" s="29" t="s">
        <v>4096</v>
      </c>
      <c r="E1347" s="4" t="n">
        <v>8</v>
      </c>
      <c r="F1347" s="4" t="s">
        <v>213</v>
      </c>
      <c r="G1347" s="4" t="s">
        <v>536</v>
      </c>
      <c r="H1347" s="4" t="n">
        <v>1940</v>
      </c>
      <c r="I1347" s="4" t="s">
        <v>537</v>
      </c>
      <c r="J1347" s="25" t="str">
        <f aca="false">IF(M1347=1,"✓","")</f>
        <v/>
      </c>
      <c r="K1347" s="4" t="str">
        <f aca="false">IF(AND(M1347=0,P1347=0),"▶ NEXT","")</f>
        <v/>
      </c>
      <c r="L1347" s="4" t="n">
        <f aca="false">INDEX('Master List'!$F$2:$F$2594,O1347)</f>
        <v>3</v>
      </c>
      <c r="M1347" s="4" t="n">
        <f aca="false">INDEX('Master List'!$G$2:$G$2594,O1347)</f>
        <v>0</v>
      </c>
      <c r="N1347" s="4" t="str">
        <f aca="false">IF(K1347="","",A1347)</f>
        <v/>
      </c>
      <c r="O1347" s="4" t="n">
        <v>1757</v>
      </c>
      <c r="P1347" s="4" t="n">
        <f aca="false">IF(A1347=A1346,P1346+1-M1346,0)</f>
        <v>6</v>
      </c>
    </row>
    <row r="1348" customFormat="false" ht="15" hidden="false" customHeight="false" outlineLevel="0" collapsed="false">
      <c r="A1348" s="29" t="s">
        <v>4095</v>
      </c>
      <c r="B1348" s="29" t="s">
        <v>52</v>
      </c>
      <c r="C1348" s="29" t="s">
        <v>93</v>
      </c>
      <c r="D1348" s="29" t="s">
        <v>4096</v>
      </c>
      <c r="E1348" s="4" t="n">
        <v>9</v>
      </c>
      <c r="F1348" s="4" t="s">
        <v>213</v>
      </c>
      <c r="G1348" s="4" t="s">
        <v>431</v>
      </c>
      <c r="H1348" s="4" t="n">
        <v>1941</v>
      </c>
      <c r="I1348" s="4" t="s">
        <v>250</v>
      </c>
      <c r="J1348" s="25" t="str">
        <f aca="false">IF(M1348=1,"✓","")</f>
        <v/>
      </c>
      <c r="K1348" s="4" t="str">
        <f aca="false">IF(AND(M1348=0,P1348=0),"▶ NEXT","")</f>
        <v/>
      </c>
      <c r="L1348" s="4" t="n">
        <f aca="false">INDEX('Master List'!$F$2:$F$2594,O1348)</f>
        <v>4</v>
      </c>
      <c r="M1348" s="4" t="n">
        <f aca="false">INDEX('Master List'!$G$2:$G$2594,O1348)</f>
        <v>0</v>
      </c>
      <c r="N1348" s="4" t="str">
        <f aca="false">IF(K1348="","",A1348)</f>
        <v/>
      </c>
      <c r="O1348" s="4" t="n">
        <v>1279</v>
      </c>
      <c r="P1348" s="4" t="n">
        <f aca="false">IF(A1348=A1347,P1347+1-M1347,0)</f>
        <v>7</v>
      </c>
    </row>
    <row r="1349" customFormat="false" ht="15" hidden="false" customHeight="false" outlineLevel="0" collapsed="false">
      <c r="A1349" s="29" t="s">
        <v>4095</v>
      </c>
      <c r="B1349" s="29" t="s">
        <v>52</v>
      </c>
      <c r="C1349" s="29" t="s">
        <v>93</v>
      </c>
      <c r="D1349" s="29" t="s">
        <v>4096</v>
      </c>
      <c r="E1349" s="4" t="n">
        <v>10</v>
      </c>
      <c r="F1349" s="4" t="s">
        <v>213</v>
      </c>
      <c r="G1349" s="4" t="s">
        <v>1311</v>
      </c>
      <c r="H1349" s="4" t="n">
        <v>1941</v>
      </c>
      <c r="I1349" s="4" t="s">
        <v>168</v>
      </c>
      <c r="J1349" s="25" t="str">
        <f aca="false">IF(M1349=1,"✓","")</f>
        <v/>
      </c>
      <c r="K1349" s="4" t="str">
        <f aca="false">IF(AND(M1349=0,P1349=0),"▶ NEXT","")</f>
        <v/>
      </c>
      <c r="L1349" s="4" t="n">
        <f aca="false">INDEX('Master List'!$F$2:$F$2594,O1349)</f>
        <v>2</v>
      </c>
      <c r="M1349" s="4" t="n">
        <f aca="false">INDEX('Master List'!$G$2:$G$2594,O1349)</f>
        <v>0</v>
      </c>
      <c r="N1349" s="4" t="str">
        <f aca="false">IF(K1349="","",A1349)</f>
        <v/>
      </c>
      <c r="O1349" s="4" t="n">
        <v>174</v>
      </c>
      <c r="P1349" s="4" t="n">
        <f aca="false">IF(A1349=A1348,P1348+1-M1348,0)</f>
        <v>8</v>
      </c>
    </row>
    <row r="1350" customFormat="false" ht="15" hidden="false" customHeight="false" outlineLevel="0" collapsed="false">
      <c r="A1350" s="29" t="s">
        <v>4095</v>
      </c>
      <c r="B1350" s="29" t="s">
        <v>52</v>
      </c>
      <c r="C1350" s="29" t="s">
        <v>93</v>
      </c>
      <c r="D1350" s="29" t="s">
        <v>4096</v>
      </c>
      <c r="E1350" s="4" t="n">
        <v>11</v>
      </c>
      <c r="F1350" s="4" t="s">
        <v>213</v>
      </c>
      <c r="G1350" s="4" t="s">
        <v>919</v>
      </c>
      <c r="H1350" s="4" t="n">
        <v>1942</v>
      </c>
      <c r="I1350" s="4" t="s">
        <v>250</v>
      </c>
      <c r="J1350" s="25" t="str">
        <f aca="false">IF(M1350=1,"✓","")</f>
        <v/>
      </c>
      <c r="K1350" s="4" t="str">
        <f aca="false">IF(AND(M1350=0,P1350=0),"▶ NEXT","")</f>
        <v/>
      </c>
      <c r="L1350" s="4" t="n">
        <f aca="false">INDEX('Master List'!$F$2:$F$2594,O1350)</f>
        <v>2</v>
      </c>
      <c r="M1350" s="4" t="n">
        <f aca="false">INDEX('Master List'!$G$2:$G$2594,O1350)</f>
        <v>0</v>
      </c>
      <c r="N1350" s="4" t="str">
        <f aca="false">IF(K1350="","",A1350)</f>
        <v/>
      </c>
      <c r="O1350" s="4" t="n">
        <v>1709</v>
      </c>
      <c r="P1350" s="4" t="n">
        <f aca="false">IF(A1350=A1349,P1349+1-M1349,0)</f>
        <v>9</v>
      </c>
    </row>
    <row r="1351" customFormat="false" ht="15" hidden="false" customHeight="false" outlineLevel="0" collapsed="false">
      <c r="A1351" s="29" t="s">
        <v>4095</v>
      </c>
      <c r="B1351" s="29" t="s">
        <v>52</v>
      </c>
      <c r="C1351" s="29" t="s">
        <v>93</v>
      </c>
      <c r="D1351" s="29" t="s">
        <v>4096</v>
      </c>
      <c r="E1351" s="4" t="n">
        <v>12</v>
      </c>
      <c r="F1351" s="4" t="s">
        <v>1327</v>
      </c>
      <c r="G1351" s="4" t="s">
        <v>3323</v>
      </c>
      <c r="H1351" s="4" t="n">
        <v>1937</v>
      </c>
      <c r="I1351" s="4" t="s">
        <v>564</v>
      </c>
      <c r="J1351" s="25" t="str">
        <f aca="false">IF(M1351=1,"✓","")</f>
        <v/>
      </c>
      <c r="K1351" s="4" t="str">
        <f aca="false">IF(AND(M1351=0,P1351=0),"▶ NEXT","")</f>
        <v/>
      </c>
      <c r="L1351" s="4" t="n">
        <f aca="false">INDEX('Master List'!$F$2:$F$2594,O1351)</f>
        <v>1</v>
      </c>
      <c r="M1351" s="4" t="n">
        <f aca="false">INDEX('Master List'!$G$2:$G$2594,O1351)</f>
        <v>0</v>
      </c>
      <c r="N1351" s="4" t="str">
        <f aca="false">IF(K1351="","",A1351)</f>
        <v/>
      </c>
      <c r="O1351" s="4" t="n">
        <v>1637</v>
      </c>
      <c r="P1351" s="4" t="n">
        <f aca="false">IF(A1351=A1350,P1350+1-M1350,0)</f>
        <v>10</v>
      </c>
    </row>
    <row r="1352" customFormat="false" ht="15" hidden="false" customHeight="false" outlineLevel="0" collapsed="false">
      <c r="A1352" s="29" t="s">
        <v>4095</v>
      </c>
      <c r="B1352" s="29" t="s">
        <v>52</v>
      </c>
      <c r="C1352" s="29" t="s">
        <v>93</v>
      </c>
      <c r="D1352" s="29" t="s">
        <v>4096</v>
      </c>
      <c r="E1352" s="4" t="n">
        <v>13</v>
      </c>
      <c r="F1352" s="4" t="s">
        <v>1327</v>
      </c>
      <c r="G1352" s="4" t="s">
        <v>3324</v>
      </c>
      <c r="H1352" s="4" t="n">
        <v>1937</v>
      </c>
      <c r="I1352" s="4" t="s">
        <v>3325</v>
      </c>
      <c r="J1352" s="25" t="str">
        <f aca="false">IF(M1352=1,"✓","")</f>
        <v/>
      </c>
      <c r="K1352" s="4" t="str">
        <f aca="false">IF(AND(M1352=0,P1352=0),"▶ NEXT","")</f>
        <v/>
      </c>
      <c r="L1352" s="4" t="n">
        <f aca="false">INDEX('Master List'!$F$2:$F$2594,O1352)</f>
        <v>1</v>
      </c>
      <c r="M1352" s="4" t="n">
        <f aca="false">INDEX('Master List'!$G$2:$G$2594,O1352)</f>
        <v>0</v>
      </c>
      <c r="N1352" s="4" t="str">
        <f aca="false">IF(K1352="","",A1352)</f>
        <v/>
      </c>
      <c r="O1352" s="4" t="n">
        <v>705</v>
      </c>
      <c r="P1352" s="4" t="n">
        <f aca="false">IF(A1352=A1351,P1351+1-M1351,0)</f>
        <v>11</v>
      </c>
    </row>
    <row r="1353" customFormat="false" ht="15" hidden="false" customHeight="false" outlineLevel="0" collapsed="false">
      <c r="A1353" s="29" t="s">
        <v>4095</v>
      </c>
      <c r="B1353" s="29" t="s">
        <v>52</v>
      </c>
      <c r="C1353" s="29" t="s">
        <v>93</v>
      </c>
      <c r="D1353" s="29" t="s">
        <v>4096</v>
      </c>
      <c r="E1353" s="4" t="n">
        <v>14</v>
      </c>
      <c r="F1353" s="4" t="s">
        <v>1327</v>
      </c>
      <c r="G1353" s="4" t="s">
        <v>3333</v>
      </c>
      <c r="H1353" s="4" t="n">
        <v>1939</v>
      </c>
      <c r="I1353" s="4" t="s">
        <v>3325</v>
      </c>
      <c r="J1353" s="25" t="str">
        <f aca="false">IF(M1353=1,"✓","")</f>
        <v/>
      </c>
      <c r="K1353" s="4" t="str">
        <f aca="false">IF(AND(M1353=0,P1353=0),"▶ NEXT","")</f>
        <v/>
      </c>
      <c r="L1353" s="4" t="n">
        <f aca="false">INDEX('Master List'!$F$2:$F$2594,O1353)</f>
        <v>1</v>
      </c>
      <c r="M1353" s="4" t="n">
        <f aca="false">INDEX('Master List'!$G$2:$G$2594,O1353)</f>
        <v>0</v>
      </c>
      <c r="N1353" s="4" t="str">
        <f aca="false">IF(K1353="","",A1353)</f>
        <v/>
      </c>
      <c r="O1353" s="4" t="n">
        <v>1492</v>
      </c>
      <c r="P1353" s="4" t="n">
        <f aca="false">IF(A1353=A1352,P1352+1-M1352,0)</f>
        <v>12</v>
      </c>
    </row>
    <row r="1354" customFormat="false" ht="15" hidden="false" customHeight="false" outlineLevel="0" collapsed="false">
      <c r="A1354" s="29" t="s">
        <v>4097</v>
      </c>
      <c r="B1354" s="29" t="s">
        <v>52</v>
      </c>
      <c r="C1354" s="29" t="s">
        <v>93</v>
      </c>
      <c r="D1354" s="29" t="s">
        <v>4098</v>
      </c>
      <c r="E1354" s="4" t="n">
        <v>1</v>
      </c>
      <c r="F1354" s="4" t="s">
        <v>144</v>
      </c>
      <c r="G1354" s="7" t="s">
        <v>449</v>
      </c>
      <c r="H1354" s="4" t="n">
        <v>1933</v>
      </c>
      <c r="I1354" s="4" t="s">
        <v>450</v>
      </c>
      <c r="J1354" s="25" t="str">
        <f aca="false">IF(M1354=1,"✓","")</f>
        <v/>
      </c>
      <c r="K1354" s="4" t="str">
        <f aca="false">IF(AND(M1354=0,P1354=0),"▶ NEXT","")</f>
        <v>▶ NEXT</v>
      </c>
      <c r="L1354" s="4" t="n">
        <f aca="false">INDEX('Master List'!$F$2:$F$2594,O1354)</f>
        <v>3</v>
      </c>
      <c r="M1354" s="4" t="n">
        <f aca="false">INDEX('Master List'!$G$2:$G$2594,O1354)</f>
        <v>0</v>
      </c>
      <c r="N1354" s="4" t="str">
        <f aca="false">IF(K1354="","",A1354)</f>
        <v>N112</v>
      </c>
      <c r="O1354" s="4" t="n">
        <v>686</v>
      </c>
      <c r="P1354" s="4" t="n">
        <f aca="false">IF(A1354=A1353,P1353+1-M1353,0)</f>
        <v>0</v>
      </c>
    </row>
    <row r="1355" customFormat="false" ht="15" hidden="false" customHeight="false" outlineLevel="0" collapsed="false">
      <c r="A1355" s="29" t="s">
        <v>4097</v>
      </c>
      <c r="B1355" s="29" t="s">
        <v>52</v>
      </c>
      <c r="C1355" s="29" t="s">
        <v>93</v>
      </c>
      <c r="D1355" s="29" t="s">
        <v>4098</v>
      </c>
      <c r="E1355" s="4" t="n">
        <v>2</v>
      </c>
      <c r="F1355" s="4" t="s">
        <v>144</v>
      </c>
      <c r="G1355" s="7" t="s">
        <v>733</v>
      </c>
      <c r="H1355" s="4" t="n">
        <v>1935</v>
      </c>
      <c r="I1355" s="4" t="s">
        <v>734</v>
      </c>
      <c r="J1355" s="25" t="str">
        <f aca="false">IF(M1355=1,"✓","")</f>
        <v/>
      </c>
      <c r="K1355" s="4" t="str">
        <f aca="false">IF(AND(M1355=0,P1355=0),"▶ NEXT","")</f>
        <v/>
      </c>
      <c r="L1355" s="4" t="n">
        <f aca="false">INDEX('Master List'!$F$2:$F$2594,O1355)</f>
        <v>2</v>
      </c>
      <c r="M1355" s="4" t="n">
        <f aca="false">INDEX('Master List'!$G$2:$G$2594,O1355)</f>
        <v>0</v>
      </c>
      <c r="N1355" s="4" t="str">
        <f aca="false">IF(K1355="","",A1355)</f>
        <v/>
      </c>
      <c r="O1355" s="4" t="n">
        <v>1602</v>
      </c>
      <c r="P1355" s="4" t="n">
        <f aca="false">IF(A1355=A1354,P1354+1-M1354,0)</f>
        <v>1</v>
      </c>
    </row>
    <row r="1356" customFormat="false" ht="15" hidden="false" customHeight="false" outlineLevel="0" collapsed="false">
      <c r="A1356" s="29" t="s">
        <v>4097</v>
      </c>
      <c r="B1356" s="29" t="s">
        <v>52</v>
      </c>
      <c r="C1356" s="29" t="s">
        <v>93</v>
      </c>
      <c r="D1356" s="29" t="s">
        <v>4098</v>
      </c>
      <c r="E1356" s="4" t="n">
        <v>3</v>
      </c>
      <c r="F1356" s="4" t="s">
        <v>213</v>
      </c>
      <c r="G1356" s="4" t="s">
        <v>1713</v>
      </c>
      <c r="H1356" s="4" t="n">
        <v>1930</v>
      </c>
      <c r="I1356" s="4" t="s">
        <v>1714</v>
      </c>
      <c r="J1356" s="25" t="str">
        <f aca="false">IF(M1356=1,"✓","")</f>
        <v/>
      </c>
      <c r="K1356" s="4" t="str">
        <f aca="false">IF(AND(M1356=0,P1356=0),"▶ NEXT","")</f>
        <v/>
      </c>
      <c r="L1356" s="4" t="n">
        <f aca="false">INDEX('Master List'!$F$2:$F$2594,O1356)</f>
        <v>1</v>
      </c>
      <c r="M1356" s="4" t="n">
        <f aca="false">INDEX('Master List'!$G$2:$G$2594,O1356)</f>
        <v>0</v>
      </c>
      <c r="N1356" s="4" t="str">
        <f aca="false">IF(K1356="","",A1356)</f>
        <v/>
      </c>
      <c r="O1356" s="4" t="n">
        <v>108</v>
      </c>
      <c r="P1356" s="4" t="n">
        <f aca="false">IF(A1356=A1355,P1355+1-M1355,0)</f>
        <v>2</v>
      </c>
    </row>
    <row r="1357" customFormat="false" ht="15" hidden="false" customHeight="false" outlineLevel="0" collapsed="false">
      <c r="A1357" s="29" t="s">
        <v>4097</v>
      </c>
      <c r="B1357" s="29" t="s">
        <v>52</v>
      </c>
      <c r="C1357" s="29" t="s">
        <v>93</v>
      </c>
      <c r="D1357" s="29" t="s">
        <v>4098</v>
      </c>
      <c r="E1357" s="4" t="n">
        <v>4</v>
      </c>
      <c r="F1357" s="4" t="s">
        <v>213</v>
      </c>
      <c r="G1357" s="4" t="s">
        <v>1734</v>
      </c>
      <c r="H1357" s="4" t="n">
        <v>1932</v>
      </c>
      <c r="I1357" s="4" t="s">
        <v>1735</v>
      </c>
      <c r="J1357" s="25" t="str">
        <f aca="false">IF(M1357=1,"✓","")</f>
        <v/>
      </c>
      <c r="K1357" s="4" t="str">
        <f aca="false">IF(AND(M1357=0,P1357=0),"▶ NEXT","")</f>
        <v/>
      </c>
      <c r="L1357" s="4" t="n">
        <f aca="false">INDEX('Master List'!$F$2:$F$2594,O1357)</f>
        <v>1</v>
      </c>
      <c r="M1357" s="4" t="n">
        <f aca="false">INDEX('Master List'!$G$2:$G$2594,O1357)</f>
        <v>0</v>
      </c>
      <c r="N1357" s="4" t="str">
        <f aca="false">IF(K1357="","",A1357)</f>
        <v/>
      </c>
      <c r="O1357" s="4" t="n">
        <v>1062</v>
      </c>
      <c r="P1357" s="4" t="n">
        <f aca="false">IF(A1357=A1356,P1356+1-M1356,0)</f>
        <v>3</v>
      </c>
    </row>
    <row r="1358" customFormat="false" ht="15" hidden="false" customHeight="false" outlineLevel="0" collapsed="false">
      <c r="A1358" s="29" t="s">
        <v>4097</v>
      </c>
      <c r="B1358" s="29" t="s">
        <v>52</v>
      </c>
      <c r="C1358" s="29" t="s">
        <v>93</v>
      </c>
      <c r="D1358" s="29" t="s">
        <v>4098</v>
      </c>
      <c r="E1358" s="4" t="n">
        <v>5</v>
      </c>
      <c r="F1358" s="4" t="s">
        <v>213</v>
      </c>
      <c r="G1358" s="4" t="s">
        <v>1306</v>
      </c>
      <c r="H1358" s="4" t="n">
        <v>1933</v>
      </c>
      <c r="I1358" s="4" t="s">
        <v>1307</v>
      </c>
      <c r="J1358" s="25" t="str">
        <f aca="false">IF(M1358=1,"✓","")</f>
        <v/>
      </c>
      <c r="K1358" s="4" t="str">
        <f aca="false">IF(AND(M1358=0,P1358=0),"▶ NEXT","")</f>
        <v/>
      </c>
      <c r="L1358" s="4" t="n">
        <f aca="false">INDEX('Master List'!$F$2:$F$2594,O1358)</f>
        <v>2</v>
      </c>
      <c r="M1358" s="4" t="n">
        <f aca="false">INDEX('Master List'!$G$2:$G$2594,O1358)</f>
        <v>0</v>
      </c>
      <c r="N1358" s="4" t="str">
        <f aca="false">IF(K1358="","",A1358)</f>
        <v/>
      </c>
      <c r="O1358" s="4" t="n">
        <v>2115</v>
      </c>
      <c r="P1358" s="4" t="n">
        <f aca="false">IF(A1358=A1357,P1357+1-M1357,0)</f>
        <v>4</v>
      </c>
    </row>
    <row r="1359" customFormat="false" ht="15" hidden="false" customHeight="false" outlineLevel="0" collapsed="false">
      <c r="A1359" s="29" t="s">
        <v>4097</v>
      </c>
      <c r="B1359" s="29" t="s">
        <v>52</v>
      </c>
      <c r="C1359" s="29" t="s">
        <v>93</v>
      </c>
      <c r="D1359" s="29" t="s">
        <v>4098</v>
      </c>
      <c r="E1359" s="4" t="n">
        <v>6</v>
      </c>
      <c r="F1359" s="4" t="s">
        <v>213</v>
      </c>
      <c r="G1359" s="4" t="s">
        <v>1753</v>
      </c>
      <c r="H1359" s="4" t="n">
        <v>1934</v>
      </c>
      <c r="I1359" s="4" t="s">
        <v>1735</v>
      </c>
      <c r="J1359" s="25" t="str">
        <f aca="false">IF(M1359=1,"✓","")</f>
        <v/>
      </c>
      <c r="K1359" s="4" t="str">
        <f aca="false">IF(AND(M1359=0,P1359=0),"▶ NEXT","")</f>
        <v/>
      </c>
      <c r="L1359" s="4" t="n">
        <f aca="false">INDEX('Master List'!$F$2:$F$2594,O1359)</f>
        <v>1</v>
      </c>
      <c r="M1359" s="4" t="n">
        <f aca="false">INDEX('Master List'!$G$2:$G$2594,O1359)</f>
        <v>0</v>
      </c>
      <c r="N1359" s="4" t="str">
        <f aca="false">IF(K1359="","",A1359)</f>
        <v/>
      </c>
      <c r="O1359" s="4" t="n">
        <v>1177</v>
      </c>
      <c r="P1359" s="4" t="n">
        <f aca="false">IF(A1359=A1358,P1358+1-M1358,0)</f>
        <v>5</v>
      </c>
    </row>
    <row r="1360" customFormat="false" ht="15" hidden="false" customHeight="false" outlineLevel="0" collapsed="false">
      <c r="A1360" s="29" t="s">
        <v>4097</v>
      </c>
      <c r="B1360" s="29" t="s">
        <v>52</v>
      </c>
      <c r="C1360" s="29" t="s">
        <v>93</v>
      </c>
      <c r="D1360" s="29" t="s">
        <v>4098</v>
      </c>
      <c r="E1360" s="4" t="n">
        <v>7</v>
      </c>
      <c r="F1360" s="4" t="s">
        <v>213</v>
      </c>
      <c r="G1360" s="4" t="s">
        <v>915</v>
      </c>
      <c r="H1360" s="4" t="n">
        <v>1940</v>
      </c>
      <c r="I1360" s="4" t="s">
        <v>916</v>
      </c>
      <c r="J1360" s="25" t="str">
        <f aca="false">IF(M1360=1,"✓","")</f>
        <v/>
      </c>
      <c r="K1360" s="4" t="str">
        <f aca="false">IF(AND(M1360=0,P1360=0),"▶ NEXT","")</f>
        <v/>
      </c>
      <c r="L1360" s="4" t="n">
        <f aca="false">INDEX('Master List'!$F$2:$F$2594,O1360)</f>
        <v>2</v>
      </c>
      <c r="M1360" s="4" t="n">
        <f aca="false">INDEX('Master List'!$G$2:$G$2594,O1360)</f>
        <v>0</v>
      </c>
      <c r="N1360" s="4" t="str">
        <f aca="false">IF(K1360="","",A1360)</f>
        <v/>
      </c>
      <c r="O1360" s="4" t="n">
        <v>184</v>
      </c>
      <c r="P1360" s="4" t="n">
        <f aca="false">IF(A1360=A1359,P1359+1-M1359,0)</f>
        <v>6</v>
      </c>
    </row>
    <row r="1361" customFormat="false" ht="15" hidden="false" customHeight="false" outlineLevel="0" collapsed="false">
      <c r="A1361" s="29" t="s">
        <v>4097</v>
      </c>
      <c r="B1361" s="29" t="s">
        <v>52</v>
      </c>
      <c r="C1361" s="29" t="s">
        <v>93</v>
      </c>
      <c r="D1361" s="29" t="s">
        <v>4098</v>
      </c>
      <c r="E1361" s="4" t="n">
        <v>8</v>
      </c>
      <c r="F1361" s="4" t="s">
        <v>1327</v>
      </c>
      <c r="G1361" s="4" t="s">
        <v>3326</v>
      </c>
      <c r="H1361" s="4" t="n">
        <v>1937</v>
      </c>
      <c r="I1361" s="4" t="s">
        <v>3327</v>
      </c>
      <c r="J1361" s="25" t="str">
        <f aca="false">IF(M1361=1,"✓","")</f>
        <v/>
      </c>
      <c r="K1361" s="4" t="str">
        <f aca="false">IF(AND(M1361=0,P1361=0),"▶ NEXT","")</f>
        <v/>
      </c>
      <c r="L1361" s="4" t="n">
        <f aca="false">INDEX('Master List'!$F$2:$F$2594,O1361)</f>
        <v>1</v>
      </c>
      <c r="M1361" s="4" t="n">
        <f aca="false">INDEX('Master List'!$G$2:$G$2594,O1361)</f>
        <v>0</v>
      </c>
      <c r="N1361" s="4" t="str">
        <f aca="false">IF(K1361="","",A1361)</f>
        <v/>
      </c>
      <c r="O1361" s="4" t="n">
        <v>2474</v>
      </c>
      <c r="P1361" s="4" t="n">
        <f aca="false">IF(A1361=A1360,P1360+1-M1360,0)</f>
        <v>7</v>
      </c>
    </row>
    <row r="1362" customFormat="false" ht="15" hidden="false" customHeight="false" outlineLevel="0" collapsed="false">
      <c r="A1362" s="29" t="s">
        <v>4097</v>
      </c>
      <c r="B1362" s="29" t="s">
        <v>52</v>
      </c>
      <c r="C1362" s="29" t="s">
        <v>93</v>
      </c>
      <c r="D1362" s="29" t="s">
        <v>4098</v>
      </c>
      <c r="E1362" s="4" t="n">
        <v>9</v>
      </c>
      <c r="F1362" s="4" t="s">
        <v>1327</v>
      </c>
      <c r="G1362" s="4" t="s">
        <v>3337</v>
      </c>
      <c r="H1362" s="4" t="n">
        <v>1941</v>
      </c>
      <c r="I1362" s="4" t="s">
        <v>3338</v>
      </c>
      <c r="J1362" s="25" t="str">
        <f aca="false">IF(M1362=1,"✓","")</f>
        <v/>
      </c>
      <c r="K1362" s="4" t="str">
        <f aca="false">IF(AND(M1362=0,P1362=0),"▶ NEXT","")</f>
        <v/>
      </c>
      <c r="L1362" s="4" t="n">
        <f aca="false">INDEX('Master List'!$F$2:$F$2594,O1362)</f>
        <v>1</v>
      </c>
      <c r="M1362" s="4" t="n">
        <f aca="false">INDEX('Master List'!$G$2:$G$2594,O1362)</f>
        <v>0</v>
      </c>
      <c r="N1362" s="4" t="str">
        <f aca="false">IF(K1362="","",A1362)</f>
        <v/>
      </c>
      <c r="O1362" s="4" t="n">
        <v>1021</v>
      </c>
      <c r="P1362" s="4" t="n">
        <f aca="false">IF(A1362=A1361,P1361+1-M1361,0)</f>
        <v>8</v>
      </c>
    </row>
    <row r="1363" customFormat="false" ht="15" hidden="false" customHeight="false" outlineLevel="0" collapsed="false">
      <c r="A1363" s="29" t="s">
        <v>4099</v>
      </c>
      <c r="B1363" s="29" t="s">
        <v>52</v>
      </c>
      <c r="C1363" s="29" t="s">
        <v>93</v>
      </c>
      <c r="D1363" s="29" t="s">
        <v>4100</v>
      </c>
      <c r="E1363" s="4" t="n">
        <v>1</v>
      </c>
      <c r="F1363" s="4" t="s">
        <v>144</v>
      </c>
      <c r="G1363" s="7" t="s">
        <v>237</v>
      </c>
      <c r="H1363" s="4" t="n">
        <v>1964</v>
      </c>
      <c r="I1363" s="4" t="s">
        <v>187</v>
      </c>
      <c r="J1363" s="25" t="str">
        <f aca="false">IF(M1363=1,"✓","")</f>
        <v>✓</v>
      </c>
      <c r="K1363" s="4" t="str">
        <f aca="false">IF(AND(M1363=0,P1363=0),"▶ NEXT","")</f>
        <v/>
      </c>
      <c r="L1363" s="4" t="n">
        <f aca="false">INDEX('Master List'!$F$2:$F$2594,O1363)</f>
        <v>5</v>
      </c>
      <c r="M1363" s="4" t="n">
        <f aca="false">INDEX('Master List'!$G$2:$G$2594,O1363)</f>
        <v>1</v>
      </c>
      <c r="N1363" s="4" t="str">
        <f aca="false">IF(K1363="","",A1363)</f>
        <v/>
      </c>
      <c r="O1363" s="4" t="n">
        <v>671</v>
      </c>
      <c r="P1363" s="4" t="n">
        <f aca="false">IF(A1363=A1362,P1362+1-M1362,0)</f>
        <v>0</v>
      </c>
    </row>
    <row r="1364" customFormat="false" ht="15" hidden="false" customHeight="false" outlineLevel="0" collapsed="false">
      <c r="A1364" s="29" t="s">
        <v>4099</v>
      </c>
      <c r="B1364" s="29" t="s">
        <v>52</v>
      </c>
      <c r="C1364" s="29" t="s">
        <v>93</v>
      </c>
      <c r="D1364" s="29" t="s">
        <v>4100</v>
      </c>
      <c r="E1364" s="4" t="n">
        <v>2</v>
      </c>
      <c r="F1364" s="4" t="s">
        <v>144</v>
      </c>
      <c r="G1364" s="7" t="s">
        <v>188</v>
      </c>
      <c r="H1364" s="4" t="n">
        <v>1976</v>
      </c>
      <c r="I1364" s="4" t="s">
        <v>189</v>
      </c>
      <c r="J1364" s="25" t="str">
        <f aca="false">IF(M1364=1,"✓","")</f>
        <v>✓</v>
      </c>
      <c r="K1364" s="4" t="str">
        <f aca="false">IF(AND(M1364=0,P1364=0),"▶ NEXT","")</f>
        <v/>
      </c>
      <c r="L1364" s="4" t="n">
        <f aca="false">INDEX('Master List'!$F$2:$F$2594,O1364)</f>
        <v>7</v>
      </c>
      <c r="M1364" s="4" t="n">
        <f aca="false">INDEX('Master List'!$G$2:$G$2594,O1364)</f>
        <v>1</v>
      </c>
      <c r="N1364" s="4" t="str">
        <f aca="false">IF(K1364="","",A1364)</f>
        <v/>
      </c>
      <c r="O1364" s="4" t="n">
        <v>1593</v>
      </c>
      <c r="P1364" s="4" t="n">
        <f aca="false">IF(A1364=A1363,P1363+1-M1363,0)</f>
        <v>0</v>
      </c>
    </row>
    <row r="1365" customFormat="false" ht="15" hidden="false" customHeight="false" outlineLevel="0" collapsed="false">
      <c r="A1365" s="29" t="s">
        <v>4099</v>
      </c>
      <c r="B1365" s="29" t="s">
        <v>52</v>
      </c>
      <c r="C1365" s="29" t="s">
        <v>93</v>
      </c>
      <c r="D1365" s="29" t="s">
        <v>4100</v>
      </c>
      <c r="E1365" s="4" t="n">
        <v>3</v>
      </c>
      <c r="F1365" s="4" t="s">
        <v>213</v>
      </c>
      <c r="G1365" s="4" t="s">
        <v>454</v>
      </c>
      <c r="H1365" s="4" t="n">
        <v>1949</v>
      </c>
      <c r="I1365" s="4" t="s">
        <v>455</v>
      </c>
      <c r="J1365" s="25" t="str">
        <f aca="false">IF(M1365=1,"✓","")</f>
        <v/>
      </c>
      <c r="K1365" s="4" t="str">
        <f aca="false">IF(AND(M1365=0,P1365=0),"▶ NEXT","")</f>
        <v>▶ NEXT</v>
      </c>
      <c r="L1365" s="4" t="n">
        <f aca="false">INDEX('Master List'!$F$2:$F$2594,O1365)</f>
        <v>3</v>
      </c>
      <c r="M1365" s="4" t="n">
        <f aca="false">INDEX('Master List'!$G$2:$G$2594,O1365)</f>
        <v>0</v>
      </c>
      <c r="N1365" s="4" t="str">
        <f aca="false">IF(K1365="","",A1365)</f>
        <v>N113</v>
      </c>
      <c r="O1365" s="4" t="n">
        <v>1255</v>
      </c>
      <c r="P1365" s="4" t="n">
        <f aca="false">IF(A1365=A1364,P1364+1-M1364,0)</f>
        <v>0</v>
      </c>
    </row>
    <row r="1366" customFormat="false" ht="15" hidden="false" customHeight="false" outlineLevel="0" collapsed="false">
      <c r="A1366" s="29" t="s">
        <v>4099</v>
      </c>
      <c r="B1366" s="29" t="s">
        <v>52</v>
      </c>
      <c r="C1366" s="29" t="s">
        <v>93</v>
      </c>
      <c r="D1366" s="29" t="s">
        <v>4100</v>
      </c>
      <c r="E1366" s="4" t="n">
        <v>4</v>
      </c>
      <c r="F1366" s="4" t="s">
        <v>213</v>
      </c>
      <c r="G1366" s="4" t="s">
        <v>199</v>
      </c>
      <c r="H1366" s="4" t="n">
        <v>1960</v>
      </c>
      <c r="I1366" s="4" t="s">
        <v>200</v>
      </c>
      <c r="J1366" s="25" t="str">
        <f aca="false">IF(M1366=1,"✓","")</f>
        <v/>
      </c>
      <c r="K1366" s="4" t="str">
        <f aca="false">IF(AND(M1366=0,P1366=0),"▶ NEXT","")</f>
        <v/>
      </c>
      <c r="L1366" s="4" t="n">
        <f aca="false">INDEX('Master List'!$F$2:$F$2594,O1366)</f>
        <v>7</v>
      </c>
      <c r="M1366" s="4" t="n">
        <f aca="false">INDEX('Master List'!$G$2:$G$2594,O1366)</f>
        <v>0</v>
      </c>
      <c r="N1366" s="4" t="str">
        <f aca="false">IF(K1366="","",A1366)</f>
        <v/>
      </c>
      <c r="O1366" s="4" t="n">
        <v>120</v>
      </c>
      <c r="P1366" s="4" t="n">
        <f aca="false">IF(A1366=A1365,P1365+1-M1365,0)</f>
        <v>1</v>
      </c>
    </row>
    <row r="1367" customFormat="false" ht="15" hidden="false" customHeight="false" outlineLevel="0" collapsed="false">
      <c r="A1367" s="29" t="s">
        <v>4099</v>
      </c>
      <c r="B1367" s="29" t="s">
        <v>52</v>
      </c>
      <c r="C1367" s="29" t="s">
        <v>93</v>
      </c>
      <c r="D1367" s="29" t="s">
        <v>4100</v>
      </c>
      <c r="E1367" s="4" t="n">
        <v>5</v>
      </c>
      <c r="F1367" s="4" t="s">
        <v>213</v>
      </c>
      <c r="G1367" s="4" t="s">
        <v>2063</v>
      </c>
      <c r="H1367" s="4" t="n">
        <v>1965</v>
      </c>
      <c r="I1367" s="4" t="s">
        <v>1991</v>
      </c>
      <c r="J1367" s="25" t="str">
        <f aca="false">IF(M1367=1,"✓","")</f>
        <v/>
      </c>
      <c r="K1367" s="4" t="str">
        <f aca="false">IF(AND(M1367=0,P1367=0),"▶ NEXT","")</f>
        <v/>
      </c>
      <c r="L1367" s="4" t="n">
        <f aca="false">INDEX('Master List'!$F$2:$F$2594,O1367)</f>
        <v>1</v>
      </c>
      <c r="M1367" s="4" t="n">
        <f aca="false">INDEX('Master List'!$G$2:$G$2594,O1367)</f>
        <v>0</v>
      </c>
      <c r="N1367" s="4" t="str">
        <f aca="false">IF(K1367="","",A1367)</f>
        <v/>
      </c>
      <c r="O1367" s="4" t="n">
        <v>1392</v>
      </c>
      <c r="P1367" s="4" t="n">
        <f aca="false">IF(A1367=A1366,P1366+1-M1366,0)</f>
        <v>2</v>
      </c>
    </row>
    <row r="1368" customFormat="false" ht="15" hidden="false" customHeight="false" outlineLevel="0" collapsed="false">
      <c r="A1368" s="29" t="s">
        <v>4099</v>
      </c>
      <c r="B1368" s="29" t="s">
        <v>52</v>
      </c>
      <c r="C1368" s="29" t="s">
        <v>93</v>
      </c>
      <c r="D1368" s="29" t="s">
        <v>4100</v>
      </c>
      <c r="E1368" s="4" t="n">
        <v>6</v>
      </c>
      <c r="F1368" s="4" t="s">
        <v>213</v>
      </c>
      <c r="G1368" s="4" t="s">
        <v>422</v>
      </c>
      <c r="H1368" s="4" t="n">
        <v>1970</v>
      </c>
      <c r="I1368" s="4" t="s">
        <v>197</v>
      </c>
      <c r="J1368" s="25" t="str">
        <f aca="false">IF(M1368=1,"✓","")</f>
        <v>✓</v>
      </c>
      <c r="K1368" s="4" t="str">
        <f aca="false">IF(AND(M1368=0,P1368=0),"▶ NEXT","")</f>
        <v/>
      </c>
      <c r="L1368" s="4" t="n">
        <f aca="false">INDEX('Master List'!$F$2:$F$2594,O1368)</f>
        <v>4</v>
      </c>
      <c r="M1368" s="4" t="n">
        <f aca="false">INDEX('Master List'!$G$2:$G$2594,O1368)</f>
        <v>1</v>
      </c>
      <c r="N1368" s="4" t="str">
        <f aca="false">IF(K1368="","",A1368)</f>
        <v/>
      </c>
      <c r="O1368" s="4" t="n">
        <v>1399</v>
      </c>
      <c r="P1368" s="4" t="n">
        <f aca="false">IF(A1368=A1367,P1367+1-M1367,0)</f>
        <v>3</v>
      </c>
    </row>
    <row r="1369" customFormat="false" ht="15" hidden="false" customHeight="false" outlineLevel="0" collapsed="false">
      <c r="A1369" s="29" t="s">
        <v>4099</v>
      </c>
      <c r="B1369" s="29" t="s">
        <v>52</v>
      </c>
      <c r="C1369" s="29" t="s">
        <v>93</v>
      </c>
      <c r="D1369" s="29" t="s">
        <v>4100</v>
      </c>
      <c r="E1369" s="4" t="n">
        <v>7</v>
      </c>
      <c r="F1369" s="4" t="s">
        <v>213</v>
      </c>
      <c r="G1369" s="4" t="s">
        <v>309</v>
      </c>
      <c r="H1369" s="4" t="n">
        <v>1971</v>
      </c>
      <c r="I1369" s="4" t="s">
        <v>310</v>
      </c>
      <c r="J1369" s="25" t="str">
        <f aca="false">IF(M1369=1,"✓","")</f>
        <v/>
      </c>
      <c r="K1369" s="4" t="str">
        <f aca="false">IF(AND(M1369=0,P1369=0),"▶ NEXT","")</f>
        <v/>
      </c>
      <c r="L1369" s="4" t="n">
        <f aca="false">INDEX('Master List'!$F$2:$F$2594,O1369)</f>
        <v>4</v>
      </c>
      <c r="M1369" s="4" t="n">
        <f aca="false">INDEX('Master List'!$G$2:$G$2594,O1369)</f>
        <v>0</v>
      </c>
      <c r="N1369" s="4" t="str">
        <f aca="false">IF(K1369="","",A1369)</f>
        <v/>
      </c>
      <c r="O1369" s="4" t="n">
        <v>999</v>
      </c>
      <c r="P1369" s="4" t="n">
        <f aca="false">IF(A1369=A1368,P1368+1-M1368,0)</f>
        <v>3</v>
      </c>
    </row>
    <row r="1370" customFormat="false" ht="15" hidden="false" customHeight="false" outlineLevel="0" collapsed="false">
      <c r="A1370" s="29" t="s">
        <v>4099</v>
      </c>
      <c r="B1370" s="29" t="s">
        <v>52</v>
      </c>
      <c r="C1370" s="29" t="s">
        <v>93</v>
      </c>
      <c r="D1370" s="29" t="s">
        <v>4100</v>
      </c>
      <c r="E1370" s="4" t="n">
        <v>8</v>
      </c>
      <c r="F1370" s="4" t="s">
        <v>213</v>
      </c>
      <c r="G1370" s="4" t="s">
        <v>608</v>
      </c>
      <c r="H1370" s="4" t="n">
        <v>1979</v>
      </c>
      <c r="I1370" s="4" t="s">
        <v>310</v>
      </c>
      <c r="J1370" s="25" t="str">
        <f aca="false">IF(M1370=1,"✓","")</f>
        <v/>
      </c>
      <c r="K1370" s="4" t="str">
        <f aca="false">IF(AND(M1370=0,P1370=0),"▶ NEXT","")</f>
        <v/>
      </c>
      <c r="L1370" s="4" t="n">
        <f aca="false">INDEX('Master List'!$F$2:$F$2594,O1370)</f>
        <v>3</v>
      </c>
      <c r="M1370" s="4" t="n">
        <f aca="false">INDEX('Master List'!$G$2:$G$2594,O1370)</f>
        <v>0</v>
      </c>
      <c r="N1370" s="4" t="str">
        <f aca="false">IF(K1370="","",A1370)</f>
        <v/>
      </c>
      <c r="O1370" s="4" t="n">
        <v>218</v>
      </c>
      <c r="P1370" s="4" t="n">
        <f aca="false">IF(A1370=A1369,P1369+1-M1369,0)</f>
        <v>4</v>
      </c>
    </row>
    <row r="1371" customFormat="false" ht="15" hidden="false" customHeight="false" outlineLevel="0" collapsed="false">
      <c r="A1371" s="29" t="s">
        <v>4099</v>
      </c>
      <c r="B1371" s="29" t="s">
        <v>52</v>
      </c>
      <c r="C1371" s="29" t="s">
        <v>93</v>
      </c>
      <c r="D1371" s="29" t="s">
        <v>4100</v>
      </c>
      <c r="E1371" s="4" t="n">
        <v>9</v>
      </c>
      <c r="F1371" s="4" t="s">
        <v>213</v>
      </c>
      <c r="G1371" s="4" t="s">
        <v>2491</v>
      </c>
      <c r="H1371" s="4" t="n">
        <v>1989</v>
      </c>
      <c r="I1371" s="4" t="s">
        <v>2492</v>
      </c>
      <c r="J1371" s="25" t="str">
        <f aca="false">IF(M1371=1,"✓","")</f>
        <v/>
      </c>
      <c r="K1371" s="4" t="str">
        <f aca="false">IF(AND(M1371=0,P1371=0),"▶ NEXT","")</f>
        <v/>
      </c>
      <c r="L1371" s="4" t="n">
        <f aca="false">INDEX('Master List'!$F$2:$F$2594,O1371)</f>
        <v>1</v>
      </c>
      <c r="M1371" s="4" t="n">
        <f aca="false">INDEX('Master List'!$G$2:$G$2594,O1371)</f>
        <v>0</v>
      </c>
      <c r="N1371" s="4" t="str">
        <f aca="false">IF(K1371="","",A1371)</f>
        <v/>
      </c>
      <c r="O1371" s="4" t="n">
        <v>1012</v>
      </c>
      <c r="P1371" s="4" t="n">
        <f aca="false">IF(A1371=A1370,P1370+1-M1370,0)</f>
        <v>5</v>
      </c>
    </row>
    <row r="1372" customFormat="false" ht="15" hidden="false" customHeight="false" outlineLevel="0" collapsed="false">
      <c r="A1372" s="29" t="s">
        <v>4099</v>
      </c>
      <c r="B1372" s="29" t="s">
        <v>52</v>
      </c>
      <c r="C1372" s="29" t="s">
        <v>93</v>
      </c>
      <c r="D1372" s="29" t="s">
        <v>4100</v>
      </c>
      <c r="E1372" s="4" t="n">
        <v>10</v>
      </c>
      <c r="F1372" s="4" t="s">
        <v>213</v>
      </c>
      <c r="G1372" s="4" t="s">
        <v>2671</v>
      </c>
      <c r="H1372" s="4" t="n">
        <v>1997</v>
      </c>
      <c r="I1372" s="4" t="s">
        <v>2374</v>
      </c>
      <c r="J1372" s="25" t="str">
        <f aca="false">IF(M1372=1,"✓","")</f>
        <v>✓</v>
      </c>
      <c r="K1372" s="4" t="str">
        <f aca="false">IF(AND(M1372=0,P1372=0),"▶ NEXT","")</f>
        <v/>
      </c>
      <c r="L1372" s="4" t="n">
        <f aca="false">INDEX('Master List'!$F$2:$F$2594,O1372)</f>
        <v>1</v>
      </c>
      <c r="M1372" s="4" t="n">
        <f aca="false">INDEX('Master List'!$G$2:$G$2594,O1372)</f>
        <v>1</v>
      </c>
      <c r="N1372" s="4" t="str">
        <f aca="false">IF(K1372="","",A1372)</f>
        <v/>
      </c>
      <c r="O1372" s="4" t="n">
        <v>2447</v>
      </c>
      <c r="P1372" s="4" t="n">
        <f aca="false">IF(A1372=A1371,P1371+1-M1371,0)</f>
        <v>6</v>
      </c>
    </row>
    <row r="1373" customFormat="false" ht="15" hidden="false" customHeight="false" outlineLevel="0" collapsed="false">
      <c r="A1373" s="29" t="s">
        <v>4099</v>
      </c>
      <c r="B1373" s="29" t="s">
        <v>52</v>
      </c>
      <c r="C1373" s="29" t="s">
        <v>93</v>
      </c>
      <c r="D1373" s="29" t="s">
        <v>4100</v>
      </c>
      <c r="E1373" s="4" t="n">
        <v>11</v>
      </c>
      <c r="F1373" s="4" t="s">
        <v>213</v>
      </c>
      <c r="G1373" s="4" t="s">
        <v>428</v>
      </c>
      <c r="H1373" s="4" t="n">
        <v>1999</v>
      </c>
      <c r="I1373" s="4" t="s">
        <v>429</v>
      </c>
      <c r="J1373" s="25" t="str">
        <f aca="false">IF(M1373=1,"✓","")</f>
        <v>✓</v>
      </c>
      <c r="K1373" s="4" t="str">
        <f aca="false">IF(AND(M1373=0,P1373=0),"▶ NEXT","")</f>
        <v/>
      </c>
      <c r="L1373" s="4" t="n">
        <f aca="false">INDEX('Master List'!$F$2:$F$2594,O1373)</f>
        <v>4</v>
      </c>
      <c r="M1373" s="4" t="n">
        <f aca="false">INDEX('Master List'!$G$2:$G$2594,O1373)</f>
        <v>1</v>
      </c>
      <c r="N1373" s="4" t="str">
        <f aca="false">IF(K1373="","",A1373)</f>
        <v/>
      </c>
      <c r="O1373" s="4" t="n">
        <v>716</v>
      </c>
      <c r="P1373" s="4" t="n">
        <f aca="false">IF(A1373=A1372,P1372+1-M1372,0)</f>
        <v>6</v>
      </c>
    </row>
    <row r="1374" customFormat="false" ht="15" hidden="false" customHeight="false" outlineLevel="0" collapsed="false">
      <c r="A1374" s="29" t="s">
        <v>4099</v>
      </c>
      <c r="B1374" s="29" t="s">
        <v>52</v>
      </c>
      <c r="C1374" s="29" t="s">
        <v>93</v>
      </c>
      <c r="D1374" s="29" t="s">
        <v>4100</v>
      </c>
      <c r="E1374" s="4" t="n">
        <v>12</v>
      </c>
      <c r="F1374" s="4" t="s">
        <v>213</v>
      </c>
      <c r="G1374" s="4" t="s">
        <v>2922</v>
      </c>
      <c r="H1374" s="4" t="n">
        <v>2009</v>
      </c>
      <c r="I1374" s="4" t="s">
        <v>2923</v>
      </c>
      <c r="J1374" s="25" t="str">
        <f aca="false">IF(M1374=1,"✓","")</f>
        <v/>
      </c>
      <c r="K1374" s="4" t="str">
        <f aca="false">IF(AND(M1374=0,P1374=0),"▶ NEXT","")</f>
        <v/>
      </c>
      <c r="L1374" s="4" t="n">
        <f aca="false">INDEX('Master List'!$F$2:$F$2594,O1374)</f>
        <v>1</v>
      </c>
      <c r="M1374" s="4" t="n">
        <f aca="false">INDEX('Master List'!$G$2:$G$2594,O1374)</f>
        <v>0</v>
      </c>
      <c r="N1374" s="4" t="str">
        <f aca="false">IF(K1374="","",A1374)</f>
        <v/>
      </c>
      <c r="O1374" s="4" t="n">
        <v>1128</v>
      </c>
      <c r="P1374" s="4" t="n">
        <f aca="false">IF(A1374=A1373,P1373+1-M1373,0)</f>
        <v>6</v>
      </c>
    </row>
    <row r="1375" customFormat="false" ht="15" hidden="false" customHeight="false" outlineLevel="0" collapsed="false">
      <c r="A1375" s="29" t="s">
        <v>4099</v>
      </c>
      <c r="B1375" s="29" t="s">
        <v>52</v>
      </c>
      <c r="C1375" s="29" t="s">
        <v>93</v>
      </c>
      <c r="D1375" s="29" t="s">
        <v>4100</v>
      </c>
      <c r="E1375" s="4" t="n">
        <v>13</v>
      </c>
      <c r="F1375" s="4" t="s">
        <v>213</v>
      </c>
      <c r="G1375" s="4" t="s">
        <v>3124</v>
      </c>
      <c r="H1375" s="4" t="n">
        <v>2017</v>
      </c>
      <c r="I1375" s="4" t="s">
        <v>2923</v>
      </c>
      <c r="J1375" s="25" t="str">
        <f aca="false">IF(M1375=1,"✓","")</f>
        <v>✓</v>
      </c>
      <c r="K1375" s="4" t="str">
        <f aca="false">IF(AND(M1375=0,P1375=0),"▶ NEXT","")</f>
        <v/>
      </c>
      <c r="L1375" s="4" t="n">
        <f aca="false">INDEX('Master List'!$F$2:$F$2594,O1375)</f>
        <v>1</v>
      </c>
      <c r="M1375" s="4" t="n">
        <f aca="false">INDEX('Master List'!$G$2:$G$2594,O1375)</f>
        <v>1</v>
      </c>
      <c r="N1375" s="4" t="str">
        <f aca="false">IF(K1375="","",A1375)</f>
        <v/>
      </c>
      <c r="O1375" s="4" t="n">
        <v>594</v>
      </c>
      <c r="P1375" s="4" t="n">
        <f aca="false">IF(A1375=A1374,P1374+1-M1374,0)</f>
        <v>7</v>
      </c>
    </row>
    <row r="1376" customFormat="false" ht="15" hidden="false" customHeight="false" outlineLevel="0" collapsed="false">
      <c r="A1376" s="29" t="s">
        <v>4099</v>
      </c>
      <c r="B1376" s="29" t="s">
        <v>52</v>
      </c>
      <c r="C1376" s="29" t="s">
        <v>93</v>
      </c>
      <c r="D1376" s="29" t="s">
        <v>4100</v>
      </c>
      <c r="E1376" s="4" t="n">
        <v>14</v>
      </c>
      <c r="F1376" s="4" t="s">
        <v>1327</v>
      </c>
      <c r="G1376" s="4" t="s">
        <v>669</v>
      </c>
      <c r="H1376" s="4" t="n">
        <v>1972</v>
      </c>
      <c r="I1376" s="4" t="s">
        <v>402</v>
      </c>
      <c r="J1376" s="25" t="str">
        <f aca="false">IF(M1376=1,"✓","")</f>
        <v/>
      </c>
      <c r="K1376" s="4" t="str">
        <f aca="false">IF(AND(M1376=0,P1376=0),"▶ NEXT","")</f>
        <v/>
      </c>
      <c r="L1376" s="4" t="n">
        <f aca="false">INDEX('Master List'!$F$2:$F$2594,O1376)</f>
        <v>3</v>
      </c>
      <c r="M1376" s="4" t="n">
        <f aca="false">INDEX('Master List'!$G$2:$G$2594,O1376)</f>
        <v>0</v>
      </c>
      <c r="N1376" s="4" t="str">
        <f aca="false">IF(K1376="","",A1376)</f>
        <v/>
      </c>
      <c r="O1376" s="4" t="n">
        <v>636</v>
      </c>
      <c r="P1376" s="4" t="n">
        <f aca="false">IF(A1376=A1375,P1375+1-M1375,0)</f>
        <v>7</v>
      </c>
    </row>
    <row r="1377" customFormat="false" ht="15" hidden="false" customHeight="false" outlineLevel="0" collapsed="false">
      <c r="A1377" s="29" t="s">
        <v>4099</v>
      </c>
      <c r="B1377" s="29" t="s">
        <v>52</v>
      </c>
      <c r="C1377" s="29" t="s">
        <v>93</v>
      </c>
      <c r="D1377" s="29" t="s">
        <v>4100</v>
      </c>
      <c r="E1377" s="4" t="n">
        <v>15</v>
      </c>
      <c r="F1377" s="4" t="s">
        <v>1327</v>
      </c>
      <c r="G1377" s="4" t="s">
        <v>3463</v>
      </c>
      <c r="H1377" s="4" t="n">
        <v>1969</v>
      </c>
      <c r="I1377" s="4" t="s">
        <v>2200</v>
      </c>
      <c r="J1377" s="25" t="str">
        <f aca="false">IF(M1377=1,"✓","")</f>
        <v/>
      </c>
      <c r="K1377" s="4" t="str">
        <f aca="false">IF(AND(M1377=0,P1377=0),"▶ NEXT","")</f>
        <v/>
      </c>
      <c r="L1377" s="4" t="n">
        <f aca="false">INDEX('Master List'!$F$2:$F$2594,O1377)</f>
        <v>1</v>
      </c>
      <c r="M1377" s="4" t="n">
        <f aca="false">INDEX('Master List'!$G$2:$G$2594,O1377)</f>
        <v>0</v>
      </c>
      <c r="N1377" s="4" t="str">
        <f aca="false">IF(K1377="","",A1377)</f>
        <v/>
      </c>
      <c r="O1377" s="4" t="n">
        <v>1835</v>
      </c>
      <c r="P1377" s="4" t="n">
        <f aca="false">IF(A1377=A1376,P1376+1-M1376,0)</f>
        <v>8</v>
      </c>
    </row>
    <row r="1378" customFormat="false" ht="15" hidden="false" customHeight="false" outlineLevel="0" collapsed="false">
      <c r="A1378" s="29" t="s">
        <v>4101</v>
      </c>
      <c r="B1378" s="29" t="s">
        <v>52</v>
      </c>
      <c r="C1378" s="29" t="s">
        <v>93</v>
      </c>
      <c r="D1378" s="29" t="s">
        <v>4102</v>
      </c>
      <c r="E1378" s="4" t="n">
        <v>1</v>
      </c>
      <c r="F1378" s="4" t="s">
        <v>144</v>
      </c>
      <c r="G1378" s="7" t="s">
        <v>1520</v>
      </c>
      <c r="H1378" s="4" t="n">
        <v>1980</v>
      </c>
      <c r="I1378" s="4" t="s">
        <v>1521</v>
      </c>
      <c r="J1378" s="25" t="str">
        <f aca="false">IF(M1378=1,"✓","")</f>
        <v>✓</v>
      </c>
      <c r="K1378" s="4" t="str">
        <f aca="false">IF(AND(M1378=0,P1378=0),"▶ NEXT","")</f>
        <v/>
      </c>
      <c r="L1378" s="4" t="n">
        <f aca="false">INDEX('Master List'!$F$2:$F$2594,O1378)</f>
        <v>1</v>
      </c>
      <c r="M1378" s="4" t="n">
        <f aca="false">INDEX('Master List'!$G$2:$G$2594,O1378)</f>
        <v>1</v>
      </c>
      <c r="N1378" s="4" t="str">
        <f aca="false">IF(K1378="","",A1378)</f>
        <v/>
      </c>
      <c r="O1378" s="4" t="n">
        <v>58</v>
      </c>
      <c r="P1378" s="4" t="n">
        <f aca="false">IF(A1378=A1377,P1377+1-M1377,0)</f>
        <v>0</v>
      </c>
    </row>
    <row r="1379" customFormat="false" ht="15" hidden="false" customHeight="false" outlineLevel="0" collapsed="false">
      <c r="A1379" s="29" t="s">
        <v>4101</v>
      </c>
      <c r="B1379" s="29" t="s">
        <v>52</v>
      </c>
      <c r="C1379" s="29" t="s">
        <v>93</v>
      </c>
      <c r="D1379" s="29" t="s">
        <v>4102</v>
      </c>
      <c r="E1379" s="4" t="n">
        <v>2</v>
      </c>
      <c r="F1379" s="4" t="s">
        <v>144</v>
      </c>
      <c r="G1379" s="7" t="s">
        <v>1499</v>
      </c>
      <c r="H1379" s="4" t="n">
        <v>1974</v>
      </c>
      <c r="I1379" s="4" t="s">
        <v>1500</v>
      </c>
      <c r="J1379" s="25" t="str">
        <f aca="false">IF(M1379=1,"✓","")</f>
        <v/>
      </c>
      <c r="K1379" s="4" t="str">
        <f aca="false">IF(AND(M1379=0,P1379=0),"▶ NEXT","")</f>
        <v>▶ NEXT</v>
      </c>
      <c r="L1379" s="4" t="n">
        <f aca="false">INDEX('Master List'!$F$2:$F$2594,O1379)</f>
        <v>1</v>
      </c>
      <c r="M1379" s="4" t="n">
        <f aca="false">INDEX('Master List'!$G$2:$G$2594,O1379)</f>
        <v>0</v>
      </c>
      <c r="N1379" s="4" t="str">
        <f aca="false">IF(K1379="","",A1379)</f>
        <v>N114</v>
      </c>
      <c r="O1379" s="4" t="n">
        <v>2574</v>
      </c>
      <c r="P1379" s="4" t="n">
        <f aca="false">IF(A1379=A1378,P1378+1-M1378,0)</f>
        <v>0</v>
      </c>
    </row>
    <row r="1380" customFormat="false" ht="15" hidden="false" customHeight="false" outlineLevel="0" collapsed="false">
      <c r="A1380" s="29" t="s">
        <v>4101</v>
      </c>
      <c r="B1380" s="29" t="s">
        <v>52</v>
      </c>
      <c r="C1380" s="29" t="s">
        <v>93</v>
      </c>
      <c r="D1380" s="29" t="s">
        <v>4102</v>
      </c>
      <c r="E1380" s="4" t="n">
        <v>3</v>
      </c>
      <c r="F1380" s="4" t="s">
        <v>213</v>
      </c>
      <c r="G1380" s="4" t="s">
        <v>2242</v>
      </c>
      <c r="H1380" s="4" t="n">
        <v>1974</v>
      </c>
      <c r="I1380" s="4" t="s">
        <v>1500</v>
      </c>
      <c r="J1380" s="25" t="str">
        <f aca="false">IF(M1380=1,"✓","")</f>
        <v/>
      </c>
      <c r="K1380" s="4" t="str">
        <f aca="false">IF(AND(M1380=0,P1380=0),"▶ NEXT","")</f>
        <v/>
      </c>
      <c r="L1380" s="4" t="n">
        <f aca="false">INDEX('Master List'!$F$2:$F$2594,O1380)</f>
        <v>1</v>
      </c>
      <c r="M1380" s="4" t="n">
        <f aca="false">INDEX('Master List'!$G$2:$G$2594,O1380)</f>
        <v>0</v>
      </c>
      <c r="N1380" s="4" t="str">
        <f aca="false">IF(K1380="","",A1380)</f>
        <v/>
      </c>
      <c r="O1380" s="4" t="n">
        <v>282</v>
      </c>
      <c r="P1380" s="4" t="n">
        <f aca="false">IF(A1380=A1379,P1379+1-M1379,0)</f>
        <v>1</v>
      </c>
    </row>
    <row r="1381" customFormat="false" ht="15" hidden="false" customHeight="false" outlineLevel="0" collapsed="false">
      <c r="A1381" s="29" t="s">
        <v>4101</v>
      </c>
      <c r="B1381" s="29" t="s">
        <v>52</v>
      </c>
      <c r="C1381" s="29" t="s">
        <v>93</v>
      </c>
      <c r="D1381" s="29" t="s">
        <v>4102</v>
      </c>
      <c r="E1381" s="4" t="n">
        <v>4</v>
      </c>
      <c r="F1381" s="4" t="s">
        <v>213</v>
      </c>
      <c r="G1381" s="4" t="s">
        <v>2264</v>
      </c>
      <c r="H1381" s="4" t="n">
        <v>1975</v>
      </c>
      <c r="I1381" s="4" t="s">
        <v>2265</v>
      </c>
      <c r="J1381" s="25" t="str">
        <f aca="false">IF(M1381=1,"✓","")</f>
        <v/>
      </c>
      <c r="K1381" s="4" t="str">
        <f aca="false">IF(AND(M1381=0,P1381=0),"▶ NEXT","")</f>
        <v/>
      </c>
      <c r="L1381" s="4" t="n">
        <f aca="false">INDEX('Master List'!$F$2:$F$2594,O1381)</f>
        <v>1</v>
      </c>
      <c r="M1381" s="4" t="n">
        <f aca="false">INDEX('Master List'!$G$2:$G$2594,O1381)</f>
        <v>0</v>
      </c>
      <c r="N1381" s="4" t="str">
        <f aca="false">IF(K1381="","",A1381)</f>
        <v/>
      </c>
      <c r="O1381" s="4" t="n">
        <v>1528</v>
      </c>
      <c r="P1381" s="4" t="n">
        <f aca="false">IF(A1381=A1380,P1380+1-M1380,0)</f>
        <v>2</v>
      </c>
    </row>
    <row r="1382" customFormat="false" ht="15" hidden="false" customHeight="false" outlineLevel="0" collapsed="false">
      <c r="A1382" s="29" t="s">
        <v>4101</v>
      </c>
      <c r="B1382" s="29" t="s">
        <v>52</v>
      </c>
      <c r="C1382" s="29" t="s">
        <v>93</v>
      </c>
      <c r="D1382" s="29" t="s">
        <v>4102</v>
      </c>
      <c r="E1382" s="4" t="n">
        <v>5</v>
      </c>
      <c r="F1382" s="4" t="s">
        <v>213</v>
      </c>
      <c r="G1382" s="4" t="s">
        <v>1043</v>
      </c>
      <c r="H1382" s="4" t="n">
        <v>1979</v>
      </c>
      <c r="I1382" s="4" t="s">
        <v>1044</v>
      </c>
      <c r="J1382" s="25" t="str">
        <f aca="false">IF(M1382=1,"✓","")</f>
        <v>✓</v>
      </c>
      <c r="K1382" s="4" t="str">
        <f aca="false">IF(AND(M1382=0,P1382=0),"▶ NEXT","")</f>
        <v/>
      </c>
      <c r="L1382" s="4" t="n">
        <f aca="false">INDEX('Master List'!$F$2:$F$2594,O1382)</f>
        <v>2</v>
      </c>
      <c r="M1382" s="4" t="n">
        <f aca="false">INDEX('Master List'!$G$2:$G$2594,O1382)</f>
        <v>1</v>
      </c>
      <c r="N1382" s="4" t="str">
        <f aca="false">IF(K1382="","",A1382)</f>
        <v/>
      </c>
      <c r="O1382" s="4" t="n">
        <v>1333</v>
      </c>
      <c r="P1382" s="4" t="n">
        <f aca="false">IF(A1382=A1381,P1381+1-M1381,0)</f>
        <v>3</v>
      </c>
    </row>
    <row r="1383" customFormat="false" ht="15" hidden="false" customHeight="false" outlineLevel="0" collapsed="false">
      <c r="A1383" s="29" t="s">
        <v>4101</v>
      </c>
      <c r="B1383" s="29" t="s">
        <v>52</v>
      </c>
      <c r="C1383" s="29" t="s">
        <v>93</v>
      </c>
      <c r="D1383" s="29" t="s">
        <v>4102</v>
      </c>
      <c r="E1383" s="4" t="n">
        <v>6</v>
      </c>
      <c r="F1383" s="4" t="s">
        <v>213</v>
      </c>
      <c r="G1383" s="4" t="s">
        <v>2402</v>
      </c>
      <c r="H1383" s="4" t="n">
        <v>1984</v>
      </c>
      <c r="I1383" s="4" t="s">
        <v>1521</v>
      </c>
      <c r="J1383" s="25" t="str">
        <f aca="false">IF(M1383=1,"✓","")</f>
        <v/>
      </c>
      <c r="K1383" s="4" t="str">
        <f aca="false">IF(AND(M1383=0,P1383=0),"▶ NEXT","")</f>
        <v/>
      </c>
      <c r="L1383" s="4" t="n">
        <f aca="false">INDEX('Master List'!$F$2:$F$2594,O1383)</f>
        <v>1</v>
      </c>
      <c r="M1383" s="4" t="n">
        <f aca="false">INDEX('Master List'!$G$2:$G$2594,O1383)</f>
        <v>0</v>
      </c>
      <c r="N1383" s="4" t="str">
        <f aca="false">IF(K1383="","",A1383)</f>
        <v/>
      </c>
      <c r="O1383" s="4" t="n">
        <v>2339</v>
      </c>
      <c r="P1383" s="4" t="n">
        <f aca="false">IF(A1383=A1382,P1382+1-M1382,0)</f>
        <v>3</v>
      </c>
    </row>
    <row r="1384" customFormat="false" ht="15" hidden="false" customHeight="false" outlineLevel="0" collapsed="false">
      <c r="A1384" s="29" t="s">
        <v>4101</v>
      </c>
      <c r="B1384" s="29" t="s">
        <v>52</v>
      </c>
      <c r="C1384" s="29" t="s">
        <v>93</v>
      </c>
      <c r="D1384" s="29" t="s">
        <v>4102</v>
      </c>
      <c r="E1384" s="4" t="n">
        <v>7</v>
      </c>
      <c r="F1384" s="4" t="s">
        <v>213</v>
      </c>
      <c r="G1384" s="4" t="s">
        <v>889</v>
      </c>
      <c r="H1384" s="4" t="n">
        <v>1984</v>
      </c>
      <c r="I1384" s="4" t="s">
        <v>822</v>
      </c>
      <c r="J1384" s="25" t="str">
        <f aca="false">IF(M1384=1,"✓","")</f>
        <v/>
      </c>
      <c r="K1384" s="4" t="str">
        <f aca="false">IF(AND(M1384=0,P1384=0),"▶ NEXT","")</f>
        <v/>
      </c>
      <c r="L1384" s="4" t="n">
        <f aca="false">INDEX('Master List'!$F$2:$F$2594,O1384)</f>
        <v>2</v>
      </c>
      <c r="M1384" s="4" t="n">
        <f aca="false">INDEX('Master List'!$G$2:$G$2594,O1384)</f>
        <v>0</v>
      </c>
      <c r="N1384" s="4" t="str">
        <f aca="false">IF(K1384="","",A1384)</f>
        <v/>
      </c>
      <c r="O1384" s="4" t="n">
        <v>2285</v>
      </c>
      <c r="P1384" s="4" t="n">
        <f aca="false">IF(A1384=A1383,P1383+1-M1383,0)</f>
        <v>4</v>
      </c>
    </row>
    <row r="1385" customFormat="false" ht="15" hidden="false" customHeight="false" outlineLevel="0" collapsed="false">
      <c r="A1385" s="29" t="s">
        <v>4101</v>
      </c>
      <c r="B1385" s="29" t="s">
        <v>52</v>
      </c>
      <c r="C1385" s="29" t="s">
        <v>93</v>
      </c>
      <c r="D1385" s="29" t="s">
        <v>4102</v>
      </c>
      <c r="E1385" s="4" t="n">
        <v>8</v>
      </c>
      <c r="F1385" s="4" t="s">
        <v>213</v>
      </c>
      <c r="G1385" s="4" t="s">
        <v>2467</v>
      </c>
      <c r="H1385" s="4" t="n">
        <v>1988</v>
      </c>
      <c r="I1385" s="4" t="s">
        <v>2468</v>
      </c>
      <c r="J1385" s="25" t="str">
        <f aca="false">IF(M1385=1,"✓","")</f>
        <v>✓</v>
      </c>
      <c r="K1385" s="4" t="str">
        <f aca="false">IF(AND(M1385=0,P1385=0),"▶ NEXT","")</f>
        <v/>
      </c>
      <c r="L1385" s="4" t="n">
        <f aca="false">INDEX('Master List'!$F$2:$F$2594,O1385)</f>
        <v>1</v>
      </c>
      <c r="M1385" s="4" t="n">
        <f aca="false">INDEX('Master List'!$G$2:$G$2594,O1385)</f>
        <v>1</v>
      </c>
      <c r="N1385" s="4" t="str">
        <f aca="false">IF(K1385="","",A1385)</f>
        <v/>
      </c>
      <c r="O1385" s="4" t="n">
        <v>1579</v>
      </c>
      <c r="P1385" s="4" t="n">
        <f aca="false">IF(A1385=A1384,P1384+1-M1384,0)</f>
        <v>5</v>
      </c>
    </row>
    <row r="1386" customFormat="false" ht="15" hidden="false" customHeight="false" outlineLevel="0" collapsed="false">
      <c r="A1386" s="29" t="s">
        <v>4101</v>
      </c>
      <c r="B1386" s="29" t="s">
        <v>52</v>
      </c>
      <c r="C1386" s="29" t="s">
        <v>93</v>
      </c>
      <c r="D1386" s="29" t="s">
        <v>4102</v>
      </c>
      <c r="E1386" s="4" t="n">
        <v>9</v>
      </c>
      <c r="F1386" s="4" t="s">
        <v>213</v>
      </c>
      <c r="G1386" s="4" t="s">
        <v>2525</v>
      </c>
      <c r="H1386" s="4" t="n">
        <v>1991</v>
      </c>
      <c r="I1386" s="4" t="s">
        <v>2526</v>
      </c>
      <c r="J1386" s="25" t="str">
        <f aca="false">IF(M1386=1,"✓","")</f>
        <v>✓</v>
      </c>
      <c r="K1386" s="4" t="str">
        <f aca="false">IF(AND(M1386=0,P1386=0),"▶ NEXT","")</f>
        <v/>
      </c>
      <c r="L1386" s="4" t="n">
        <f aca="false">INDEX('Master List'!$F$2:$F$2594,O1386)</f>
        <v>1</v>
      </c>
      <c r="M1386" s="4" t="n">
        <f aca="false">INDEX('Master List'!$G$2:$G$2594,O1386)</f>
        <v>1</v>
      </c>
      <c r="N1386" s="4" t="str">
        <f aca="false">IF(K1386="","",A1386)</f>
        <v/>
      </c>
      <c r="O1386" s="4" t="n">
        <v>1066</v>
      </c>
      <c r="P1386" s="4" t="n">
        <f aca="false">IF(A1386=A1385,P1385+1-M1385,0)</f>
        <v>5</v>
      </c>
    </row>
    <row r="1387" customFormat="false" ht="15" hidden="false" customHeight="false" outlineLevel="0" collapsed="false">
      <c r="A1387" s="29" t="s">
        <v>4101</v>
      </c>
      <c r="B1387" s="29" t="s">
        <v>52</v>
      </c>
      <c r="C1387" s="29" t="s">
        <v>93</v>
      </c>
      <c r="D1387" s="29" t="s">
        <v>4102</v>
      </c>
      <c r="E1387" s="4" t="n">
        <v>10</v>
      </c>
      <c r="F1387" s="4" t="s">
        <v>213</v>
      </c>
      <c r="G1387" s="4" t="s">
        <v>2876</v>
      </c>
      <c r="H1387" s="4" t="n">
        <v>2007</v>
      </c>
      <c r="I1387" s="4" t="s">
        <v>2877</v>
      </c>
      <c r="J1387" s="25" t="str">
        <f aca="false">IF(M1387=1,"✓","")</f>
        <v/>
      </c>
      <c r="K1387" s="4" t="str">
        <f aca="false">IF(AND(M1387=0,P1387=0),"▶ NEXT","")</f>
        <v/>
      </c>
      <c r="L1387" s="4" t="n">
        <f aca="false">INDEX('Master List'!$F$2:$F$2594,O1387)</f>
        <v>1</v>
      </c>
      <c r="M1387" s="4" t="n">
        <f aca="false">INDEX('Master List'!$G$2:$G$2594,O1387)</f>
        <v>0</v>
      </c>
      <c r="N1387" s="4" t="str">
        <f aca="false">IF(K1387="","",A1387)</f>
        <v/>
      </c>
      <c r="O1387" s="4" t="n">
        <v>2454</v>
      </c>
      <c r="P1387" s="4" t="n">
        <f aca="false">IF(A1387=A1386,P1386+1-M1386,0)</f>
        <v>5</v>
      </c>
    </row>
    <row r="1388" customFormat="false" ht="15" hidden="false" customHeight="false" outlineLevel="0" collapsed="false">
      <c r="A1388" s="29" t="s">
        <v>4101</v>
      </c>
      <c r="B1388" s="29" t="s">
        <v>52</v>
      </c>
      <c r="C1388" s="29" t="s">
        <v>93</v>
      </c>
      <c r="D1388" s="29" t="s">
        <v>4102</v>
      </c>
      <c r="E1388" s="4" t="n">
        <v>11</v>
      </c>
      <c r="F1388" s="4" t="s">
        <v>213</v>
      </c>
      <c r="G1388" s="4" t="s">
        <v>2878</v>
      </c>
      <c r="H1388" s="4" t="n">
        <v>2007</v>
      </c>
      <c r="I1388" s="4" t="s">
        <v>2816</v>
      </c>
      <c r="J1388" s="25" t="str">
        <f aca="false">IF(M1388=1,"✓","")</f>
        <v>✓</v>
      </c>
      <c r="K1388" s="4" t="str">
        <f aca="false">IF(AND(M1388=0,P1388=0),"▶ NEXT","")</f>
        <v/>
      </c>
      <c r="L1388" s="4" t="n">
        <f aca="false">INDEX('Master List'!$F$2:$F$2594,O1388)</f>
        <v>1</v>
      </c>
      <c r="M1388" s="4" t="n">
        <f aca="false">INDEX('Master List'!$G$2:$G$2594,O1388)</f>
        <v>1</v>
      </c>
      <c r="N1388" s="4" t="str">
        <f aca="false">IF(K1388="","",A1388)</f>
        <v/>
      </c>
      <c r="O1388" s="4" t="n">
        <v>1065</v>
      </c>
      <c r="P1388" s="4" t="n">
        <f aca="false">IF(A1388=A1387,P1387+1-M1387,0)</f>
        <v>6</v>
      </c>
    </row>
    <row r="1389" customFormat="false" ht="15" hidden="false" customHeight="false" outlineLevel="0" collapsed="false">
      <c r="A1389" s="29" t="s">
        <v>4101</v>
      </c>
      <c r="B1389" s="29" t="s">
        <v>52</v>
      </c>
      <c r="C1389" s="29" t="s">
        <v>93</v>
      </c>
      <c r="D1389" s="29" t="s">
        <v>4102</v>
      </c>
      <c r="E1389" s="4" t="n">
        <v>12</v>
      </c>
      <c r="F1389" s="4" t="s">
        <v>1327</v>
      </c>
      <c r="G1389" s="4" t="s">
        <v>3564</v>
      </c>
      <c r="H1389" s="4" t="n">
        <v>1977</v>
      </c>
      <c r="I1389" s="4" t="s">
        <v>1062</v>
      </c>
      <c r="J1389" s="25" t="str">
        <f aca="false">IF(M1389=1,"✓","")</f>
        <v/>
      </c>
      <c r="K1389" s="4" t="str">
        <f aca="false">IF(AND(M1389=0,P1389=0),"▶ NEXT","")</f>
        <v/>
      </c>
      <c r="L1389" s="4" t="n">
        <f aca="false">INDEX('Master List'!$F$2:$F$2594,O1389)</f>
        <v>1</v>
      </c>
      <c r="M1389" s="4" t="n">
        <f aca="false">INDEX('Master List'!$G$2:$G$2594,O1389)</f>
        <v>0</v>
      </c>
      <c r="N1389" s="4" t="str">
        <f aca="false">IF(K1389="","",A1389)</f>
        <v/>
      </c>
      <c r="O1389" s="4" t="n">
        <v>1234</v>
      </c>
      <c r="P1389" s="4" t="n">
        <f aca="false">IF(A1389=A1388,P1388+1-M1388,0)</f>
        <v>6</v>
      </c>
    </row>
    <row r="1390" customFormat="false" ht="15" hidden="false" customHeight="false" outlineLevel="0" collapsed="false">
      <c r="A1390" s="29" t="s">
        <v>4103</v>
      </c>
      <c r="B1390" s="29" t="s">
        <v>52</v>
      </c>
      <c r="C1390" s="29" t="s">
        <v>93</v>
      </c>
      <c r="D1390" s="29" t="s">
        <v>4104</v>
      </c>
      <c r="E1390" s="4" t="n">
        <v>1</v>
      </c>
      <c r="F1390" s="4" t="s">
        <v>144</v>
      </c>
      <c r="G1390" s="7" t="s">
        <v>889</v>
      </c>
      <c r="H1390" s="4" t="n">
        <v>1984</v>
      </c>
      <c r="I1390" s="4" t="s">
        <v>822</v>
      </c>
      <c r="J1390" s="25" t="str">
        <f aca="false">IF(M1390=1,"✓","")</f>
        <v/>
      </c>
      <c r="K1390" s="4" t="str">
        <f aca="false">IF(AND(M1390=0,P1390=0),"▶ NEXT","")</f>
        <v>▶ NEXT</v>
      </c>
      <c r="L1390" s="4" t="n">
        <f aca="false">INDEX('Master List'!$F$2:$F$2594,O1390)</f>
        <v>2</v>
      </c>
      <c r="M1390" s="4" t="n">
        <f aca="false">INDEX('Master List'!$G$2:$G$2594,O1390)</f>
        <v>0</v>
      </c>
      <c r="N1390" s="4" t="str">
        <f aca="false">IF(K1390="","",A1390)</f>
        <v>N115</v>
      </c>
      <c r="O1390" s="4" t="n">
        <v>2285</v>
      </c>
      <c r="P1390" s="4" t="n">
        <f aca="false">IF(A1390=A1389,P1389+1-M1389,0)</f>
        <v>0</v>
      </c>
    </row>
    <row r="1391" customFormat="false" ht="15" hidden="false" customHeight="false" outlineLevel="0" collapsed="false">
      <c r="A1391" s="29" t="s">
        <v>4103</v>
      </c>
      <c r="B1391" s="29" t="s">
        <v>52</v>
      </c>
      <c r="C1391" s="29" t="s">
        <v>93</v>
      </c>
      <c r="D1391" s="29" t="s">
        <v>4104</v>
      </c>
      <c r="E1391" s="4" t="n">
        <v>2</v>
      </c>
      <c r="F1391" s="4" t="s">
        <v>144</v>
      </c>
      <c r="G1391" s="7" t="s">
        <v>1625</v>
      </c>
      <c r="H1391" s="4" t="n">
        <v>2014</v>
      </c>
      <c r="I1391" s="4" t="s">
        <v>1626</v>
      </c>
      <c r="J1391" s="25" t="str">
        <f aca="false">IF(M1391=1,"✓","")</f>
        <v/>
      </c>
      <c r="K1391" s="4" t="str">
        <f aca="false">IF(AND(M1391=0,P1391=0),"▶ NEXT","")</f>
        <v/>
      </c>
      <c r="L1391" s="4" t="n">
        <f aca="false">INDEX('Master List'!$F$2:$F$2594,O1391)</f>
        <v>1</v>
      </c>
      <c r="M1391" s="4" t="n">
        <f aca="false">INDEX('Master List'!$G$2:$G$2594,O1391)</f>
        <v>0</v>
      </c>
      <c r="N1391" s="4" t="str">
        <f aca="false">IF(K1391="","",A1391)</f>
        <v/>
      </c>
      <c r="O1391" s="4" t="n">
        <v>2490</v>
      </c>
      <c r="P1391" s="4" t="n">
        <f aca="false">IF(A1391=A1390,P1390+1-M1390,0)</f>
        <v>1</v>
      </c>
    </row>
    <row r="1392" customFormat="false" ht="15" hidden="false" customHeight="false" outlineLevel="0" collapsed="false">
      <c r="A1392" s="29" t="s">
        <v>4103</v>
      </c>
      <c r="B1392" s="29" t="s">
        <v>52</v>
      </c>
      <c r="C1392" s="29" t="s">
        <v>93</v>
      </c>
      <c r="D1392" s="29" t="s">
        <v>4104</v>
      </c>
      <c r="E1392" s="4" t="n">
        <v>3</v>
      </c>
      <c r="F1392" s="4" t="s">
        <v>213</v>
      </c>
      <c r="G1392" s="4" t="s">
        <v>2143</v>
      </c>
      <c r="H1392" s="4" t="n">
        <v>1969</v>
      </c>
      <c r="I1392" s="4" t="s">
        <v>604</v>
      </c>
      <c r="J1392" s="25" t="str">
        <f aca="false">IF(M1392=1,"✓","")</f>
        <v/>
      </c>
      <c r="K1392" s="4" t="str">
        <f aca="false">IF(AND(M1392=0,P1392=0),"▶ NEXT","")</f>
        <v/>
      </c>
      <c r="L1392" s="4" t="n">
        <f aca="false">INDEX('Master List'!$F$2:$F$2594,O1392)</f>
        <v>1</v>
      </c>
      <c r="M1392" s="4" t="n">
        <f aca="false">INDEX('Master List'!$G$2:$G$2594,O1392)</f>
        <v>0</v>
      </c>
      <c r="N1392" s="4" t="str">
        <f aca="false">IF(K1392="","",A1392)</f>
        <v/>
      </c>
      <c r="O1392" s="4" t="n">
        <v>2231</v>
      </c>
      <c r="P1392" s="4" t="n">
        <f aca="false">IF(A1392=A1391,P1391+1-M1391,0)</f>
        <v>2</v>
      </c>
    </row>
    <row r="1393" customFormat="false" ht="15" hidden="false" customHeight="false" outlineLevel="0" collapsed="false">
      <c r="A1393" s="29" t="s">
        <v>4103</v>
      </c>
      <c r="B1393" s="29" t="s">
        <v>52</v>
      </c>
      <c r="C1393" s="29" t="s">
        <v>93</v>
      </c>
      <c r="D1393" s="29" t="s">
        <v>4104</v>
      </c>
      <c r="E1393" s="4" t="n">
        <v>4</v>
      </c>
      <c r="F1393" s="4" t="s">
        <v>213</v>
      </c>
      <c r="G1393" s="4" t="s">
        <v>2382</v>
      </c>
      <c r="H1393" s="4" t="n">
        <v>1983</v>
      </c>
      <c r="I1393" s="4" t="s">
        <v>604</v>
      </c>
      <c r="J1393" s="25" t="str">
        <f aca="false">IF(M1393=1,"✓","")</f>
        <v>✓</v>
      </c>
      <c r="K1393" s="4" t="str">
        <f aca="false">IF(AND(M1393=0,P1393=0),"▶ NEXT","")</f>
        <v/>
      </c>
      <c r="L1393" s="4" t="n">
        <f aca="false">INDEX('Master List'!$F$2:$F$2594,O1393)</f>
        <v>1</v>
      </c>
      <c r="M1393" s="4" t="n">
        <f aca="false">INDEX('Master List'!$G$2:$G$2594,O1393)</f>
        <v>1</v>
      </c>
      <c r="N1393" s="4" t="str">
        <f aca="false">IF(K1393="","",A1393)</f>
        <v/>
      </c>
      <c r="O1393" s="4" t="n">
        <v>2585</v>
      </c>
      <c r="P1393" s="4" t="n">
        <f aca="false">IF(A1393=A1392,P1392+1-M1392,0)</f>
        <v>3</v>
      </c>
    </row>
    <row r="1394" customFormat="false" ht="15" hidden="false" customHeight="false" outlineLevel="0" collapsed="false">
      <c r="A1394" s="29" t="s">
        <v>4103</v>
      </c>
      <c r="B1394" s="29" t="s">
        <v>52</v>
      </c>
      <c r="C1394" s="29" t="s">
        <v>93</v>
      </c>
      <c r="D1394" s="29" t="s">
        <v>4104</v>
      </c>
      <c r="E1394" s="4" t="n">
        <v>5</v>
      </c>
      <c r="F1394" s="4" t="s">
        <v>213</v>
      </c>
      <c r="G1394" s="4" t="s">
        <v>2635</v>
      </c>
      <c r="H1394" s="4" t="n">
        <v>1996</v>
      </c>
      <c r="I1394" s="4" t="s">
        <v>2636</v>
      </c>
      <c r="J1394" s="25" t="str">
        <f aca="false">IF(M1394=1,"✓","")</f>
        <v/>
      </c>
      <c r="K1394" s="4" t="str">
        <f aca="false">IF(AND(M1394=0,P1394=0),"▶ NEXT","")</f>
        <v/>
      </c>
      <c r="L1394" s="4" t="n">
        <f aca="false">INDEX('Master List'!$F$2:$F$2594,O1394)</f>
        <v>1</v>
      </c>
      <c r="M1394" s="4" t="n">
        <f aca="false">INDEX('Master List'!$G$2:$G$2594,O1394)</f>
        <v>0</v>
      </c>
      <c r="N1394" s="4" t="str">
        <f aca="false">IF(K1394="","",A1394)</f>
        <v/>
      </c>
      <c r="O1394" s="4" t="n">
        <v>2451</v>
      </c>
      <c r="P1394" s="4" t="n">
        <f aca="false">IF(A1394=A1393,P1393+1-M1393,0)</f>
        <v>3</v>
      </c>
    </row>
    <row r="1395" customFormat="false" ht="15" hidden="false" customHeight="false" outlineLevel="0" collapsed="false">
      <c r="A1395" s="29" t="s">
        <v>4103</v>
      </c>
      <c r="B1395" s="29" t="s">
        <v>52</v>
      </c>
      <c r="C1395" s="29" t="s">
        <v>93</v>
      </c>
      <c r="D1395" s="29" t="s">
        <v>4104</v>
      </c>
      <c r="E1395" s="4" t="n">
        <v>6</v>
      </c>
      <c r="F1395" s="4" t="s">
        <v>213</v>
      </c>
      <c r="G1395" s="4" t="s">
        <v>2718</v>
      </c>
      <c r="H1395" s="4" t="n">
        <v>2000</v>
      </c>
      <c r="I1395" s="4" t="s">
        <v>2636</v>
      </c>
      <c r="J1395" s="25" t="str">
        <f aca="false">IF(M1395=1,"✓","")</f>
        <v/>
      </c>
      <c r="K1395" s="4" t="str">
        <f aca="false">IF(AND(M1395=0,P1395=0),"▶ NEXT","")</f>
        <v/>
      </c>
      <c r="L1395" s="4" t="n">
        <f aca="false">INDEX('Master List'!$F$2:$F$2594,O1395)</f>
        <v>1</v>
      </c>
      <c r="M1395" s="4" t="n">
        <f aca="false">INDEX('Master List'!$G$2:$G$2594,O1395)</f>
        <v>0</v>
      </c>
      <c r="N1395" s="4" t="str">
        <f aca="false">IF(K1395="","",A1395)</f>
        <v/>
      </c>
      <c r="O1395" s="4" t="n">
        <v>229</v>
      </c>
      <c r="P1395" s="4" t="n">
        <f aca="false">IF(A1395=A1394,P1394+1-M1394,0)</f>
        <v>4</v>
      </c>
    </row>
    <row r="1396" customFormat="false" ht="15" hidden="false" customHeight="false" outlineLevel="0" collapsed="false">
      <c r="A1396" s="29" t="s">
        <v>4103</v>
      </c>
      <c r="B1396" s="29" t="s">
        <v>52</v>
      </c>
      <c r="C1396" s="29" t="s">
        <v>93</v>
      </c>
      <c r="D1396" s="29" t="s">
        <v>4104</v>
      </c>
      <c r="E1396" s="4" t="n">
        <v>7</v>
      </c>
      <c r="F1396" s="4" t="s">
        <v>213</v>
      </c>
      <c r="G1396" s="4" t="s">
        <v>2801</v>
      </c>
      <c r="H1396" s="4" t="n">
        <v>2003</v>
      </c>
      <c r="I1396" s="4" t="s">
        <v>2636</v>
      </c>
      <c r="J1396" s="25" t="str">
        <f aca="false">IF(M1396=1,"✓","")</f>
        <v/>
      </c>
      <c r="K1396" s="4" t="str">
        <f aca="false">IF(AND(M1396=0,P1396=0),"▶ NEXT","")</f>
        <v/>
      </c>
      <c r="L1396" s="4" t="n">
        <f aca="false">INDEX('Master List'!$F$2:$F$2594,O1396)</f>
        <v>1</v>
      </c>
      <c r="M1396" s="4" t="n">
        <f aca="false">INDEX('Master List'!$G$2:$G$2594,O1396)</f>
        <v>0</v>
      </c>
      <c r="N1396" s="4" t="str">
        <f aca="false">IF(K1396="","",A1396)</f>
        <v/>
      </c>
      <c r="O1396" s="4" t="n">
        <v>1497</v>
      </c>
      <c r="P1396" s="4" t="n">
        <f aca="false">IF(A1396=A1395,P1395+1-M1395,0)</f>
        <v>5</v>
      </c>
    </row>
    <row r="1397" customFormat="false" ht="15" hidden="false" customHeight="false" outlineLevel="0" collapsed="false">
      <c r="A1397" s="29" t="s">
        <v>4103</v>
      </c>
      <c r="B1397" s="29" t="s">
        <v>52</v>
      </c>
      <c r="C1397" s="29" t="s">
        <v>93</v>
      </c>
      <c r="D1397" s="29" t="s">
        <v>4104</v>
      </c>
      <c r="E1397" s="4" t="n">
        <v>8</v>
      </c>
      <c r="F1397" s="4" t="s">
        <v>213</v>
      </c>
      <c r="G1397" s="4" t="s">
        <v>2852</v>
      </c>
      <c r="H1397" s="4" t="n">
        <v>2006</v>
      </c>
      <c r="I1397" s="4" t="s">
        <v>2853</v>
      </c>
      <c r="J1397" s="25" t="str">
        <f aca="false">IF(M1397=1,"✓","")</f>
        <v/>
      </c>
      <c r="K1397" s="4" t="str">
        <f aca="false">IF(AND(M1397=0,P1397=0),"▶ NEXT","")</f>
        <v/>
      </c>
      <c r="L1397" s="4" t="n">
        <f aca="false">INDEX('Master List'!$F$2:$F$2594,O1397)</f>
        <v>1</v>
      </c>
      <c r="M1397" s="4" t="n">
        <f aca="false">INDEX('Master List'!$G$2:$G$2594,O1397)</f>
        <v>0</v>
      </c>
      <c r="N1397" s="4" t="str">
        <f aca="false">IF(K1397="","",A1397)</f>
        <v/>
      </c>
      <c r="O1397" s="4" t="n">
        <v>317</v>
      </c>
      <c r="P1397" s="4" t="n">
        <f aca="false">IF(A1397=A1396,P1396+1-M1396,0)</f>
        <v>6</v>
      </c>
    </row>
    <row r="1398" customFormat="false" ht="15" hidden="false" customHeight="false" outlineLevel="0" collapsed="false">
      <c r="A1398" s="29" t="s">
        <v>4103</v>
      </c>
      <c r="B1398" s="29" t="s">
        <v>52</v>
      </c>
      <c r="C1398" s="29" t="s">
        <v>93</v>
      </c>
      <c r="D1398" s="29" t="s">
        <v>4104</v>
      </c>
      <c r="E1398" s="4" t="n">
        <v>9</v>
      </c>
      <c r="F1398" s="4" t="s">
        <v>213</v>
      </c>
      <c r="G1398" s="4" t="s">
        <v>3099</v>
      </c>
      <c r="H1398" s="4" t="n">
        <v>2016</v>
      </c>
      <c r="I1398" s="4" t="s">
        <v>3100</v>
      </c>
      <c r="J1398" s="25" t="str">
        <f aca="false">IF(M1398=1,"✓","")</f>
        <v/>
      </c>
      <c r="K1398" s="4" t="str">
        <f aca="false">IF(AND(M1398=0,P1398=0),"▶ NEXT","")</f>
        <v/>
      </c>
      <c r="L1398" s="4" t="n">
        <f aca="false">INDEX('Master List'!$F$2:$F$2594,O1398)</f>
        <v>1</v>
      </c>
      <c r="M1398" s="4" t="n">
        <f aca="false">INDEX('Master List'!$G$2:$G$2594,O1398)</f>
        <v>0</v>
      </c>
      <c r="N1398" s="4" t="str">
        <f aca="false">IF(K1398="","",A1398)</f>
        <v/>
      </c>
      <c r="O1398" s="4" t="n">
        <v>1796</v>
      </c>
      <c r="P1398" s="4" t="n">
        <f aca="false">IF(A1398=A1397,P1397+1-M1397,0)</f>
        <v>7</v>
      </c>
    </row>
    <row r="1399" customFormat="false" ht="15" hidden="false" customHeight="false" outlineLevel="0" collapsed="false">
      <c r="A1399" s="29" t="s">
        <v>4103</v>
      </c>
      <c r="B1399" s="29" t="s">
        <v>52</v>
      </c>
      <c r="C1399" s="29" t="s">
        <v>93</v>
      </c>
      <c r="D1399" s="29" t="s">
        <v>4104</v>
      </c>
      <c r="E1399" s="4" t="n">
        <v>10</v>
      </c>
      <c r="F1399" s="4" t="s">
        <v>1327</v>
      </c>
      <c r="G1399" s="4" t="s">
        <v>1382</v>
      </c>
      <c r="H1399" s="4" t="n">
        <v>1992</v>
      </c>
      <c r="I1399" s="4" t="s">
        <v>1383</v>
      </c>
      <c r="J1399" s="25" t="str">
        <f aca="false">IF(M1399=1,"✓","")</f>
        <v/>
      </c>
      <c r="K1399" s="4" t="str">
        <f aca="false">IF(AND(M1399=0,P1399=0),"▶ NEXT","")</f>
        <v/>
      </c>
      <c r="L1399" s="4" t="n">
        <f aca="false">INDEX('Master List'!$F$2:$F$2594,O1399)</f>
        <v>2</v>
      </c>
      <c r="M1399" s="4" t="n">
        <f aca="false">INDEX('Master List'!$G$2:$G$2594,O1399)</f>
        <v>0</v>
      </c>
      <c r="N1399" s="4" t="str">
        <f aca="false">IF(K1399="","",A1399)</f>
        <v/>
      </c>
      <c r="O1399" s="4" t="n">
        <v>306</v>
      </c>
      <c r="P1399" s="4" t="n">
        <f aca="false">IF(A1399=A1398,P1398+1-M1398,0)</f>
        <v>8</v>
      </c>
    </row>
    <row r="1400" customFormat="false" ht="15" hidden="false" customHeight="false" outlineLevel="0" collapsed="false">
      <c r="A1400" s="29" t="s">
        <v>4103</v>
      </c>
      <c r="B1400" s="29" t="s">
        <v>52</v>
      </c>
      <c r="C1400" s="29" t="s">
        <v>93</v>
      </c>
      <c r="D1400" s="29" t="s">
        <v>4104</v>
      </c>
      <c r="E1400" s="4" t="n">
        <v>11</v>
      </c>
      <c r="F1400" s="4" t="s">
        <v>1327</v>
      </c>
      <c r="G1400" s="4" t="s">
        <v>1544</v>
      </c>
      <c r="H1400" s="4" t="n">
        <v>1992</v>
      </c>
      <c r="I1400" s="4" t="s">
        <v>1545</v>
      </c>
      <c r="J1400" s="25" t="str">
        <f aca="false">IF(M1400=1,"✓","")</f>
        <v/>
      </c>
      <c r="K1400" s="4" t="str">
        <f aca="false">IF(AND(M1400=0,P1400=0),"▶ NEXT","")</f>
        <v/>
      </c>
      <c r="L1400" s="4" t="n">
        <f aca="false">INDEX('Master List'!$F$2:$F$2594,O1400)</f>
        <v>2</v>
      </c>
      <c r="M1400" s="4" t="n">
        <f aca="false">INDEX('Master List'!$G$2:$G$2594,O1400)</f>
        <v>0</v>
      </c>
      <c r="N1400" s="4" t="str">
        <f aca="false">IF(K1400="","",A1400)</f>
        <v/>
      </c>
      <c r="O1400" s="4" t="n">
        <v>1421</v>
      </c>
      <c r="P1400" s="4" t="n">
        <f aca="false">IF(A1400=A1399,P1399+1-M1399,0)</f>
        <v>9</v>
      </c>
    </row>
    <row r="1401" customFormat="false" ht="15" hidden="false" customHeight="false" outlineLevel="0" collapsed="false">
      <c r="A1401" s="29" t="s">
        <v>4103</v>
      </c>
      <c r="B1401" s="29" t="s">
        <v>52</v>
      </c>
      <c r="C1401" s="29" t="s">
        <v>93</v>
      </c>
      <c r="D1401" s="29" t="s">
        <v>4104</v>
      </c>
      <c r="E1401" s="4" t="n">
        <v>12</v>
      </c>
      <c r="F1401" s="4" t="s">
        <v>1327</v>
      </c>
      <c r="G1401" s="4" t="s">
        <v>3690</v>
      </c>
      <c r="H1401" s="4" t="n">
        <v>1995</v>
      </c>
      <c r="I1401" s="4" t="s">
        <v>3691</v>
      </c>
      <c r="J1401" s="25" t="str">
        <f aca="false">IF(M1401=1,"✓","")</f>
        <v/>
      </c>
      <c r="K1401" s="4" t="str">
        <f aca="false">IF(AND(M1401=0,P1401=0),"▶ NEXT","")</f>
        <v/>
      </c>
      <c r="L1401" s="4" t="n">
        <f aca="false">INDEX('Master List'!$F$2:$F$2594,O1401)</f>
        <v>1</v>
      </c>
      <c r="M1401" s="4" t="n">
        <f aca="false">INDEX('Master List'!$G$2:$G$2594,O1401)</f>
        <v>0</v>
      </c>
      <c r="N1401" s="4" t="str">
        <f aca="false">IF(K1401="","",A1401)</f>
        <v/>
      </c>
      <c r="O1401" s="4" t="n">
        <v>836</v>
      </c>
      <c r="P1401" s="4" t="n">
        <f aca="false">IF(A1401=A1400,P1400+1-M1400,0)</f>
        <v>10</v>
      </c>
    </row>
    <row r="1402" customFormat="false" ht="15" hidden="false" customHeight="false" outlineLevel="0" collapsed="false">
      <c r="A1402" s="29" t="s">
        <v>4105</v>
      </c>
      <c r="B1402" s="29" t="s">
        <v>52</v>
      </c>
      <c r="C1402" s="29" t="s">
        <v>93</v>
      </c>
      <c r="D1402" s="29" t="s">
        <v>4106</v>
      </c>
      <c r="E1402" s="4" t="n">
        <v>1</v>
      </c>
      <c r="F1402" s="4" t="s">
        <v>144</v>
      </c>
      <c r="G1402" s="7" t="s">
        <v>852</v>
      </c>
      <c r="H1402" s="4" t="n">
        <v>2002</v>
      </c>
      <c r="I1402" s="4" t="s">
        <v>278</v>
      </c>
      <c r="J1402" s="25" t="str">
        <f aca="false">IF(M1402=1,"✓","")</f>
        <v>✓</v>
      </c>
      <c r="K1402" s="4" t="str">
        <f aca="false">IF(AND(M1402=0,P1402=0),"▶ NEXT","")</f>
        <v/>
      </c>
      <c r="L1402" s="4" t="n">
        <f aca="false">INDEX('Master List'!$F$2:$F$2594,O1402)</f>
        <v>2</v>
      </c>
      <c r="M1402" s="4" t="n">
        <f aca="false">INDEX('Master List'!$G$2:$G$2594,O1402)</f>
        <v>1</v>
      </c>
      <c r="N1402" s="4" t="str">
        <f aca="false">IF(K1402="","",A1402)</f>
        <v/>
      </c>
      <c r="O1402" s="4" t="n">
        <v>1832</v>
      </c>
      <c r="P1402" s="4" t="n">
        <f aca="false">IF(A1402=A1401,P1401+1-M1401,0)</f>
        <v>0</v>
      </c>
    </row>
    <row r="1403" customFormat="false" ht="15" hidden="false" customHeight="false" outlineLevel="0" collapsed="false">
      <c r="A1403" s="29" t="s">
        <v>4105</v>
      </c>
      <c r="B1403" s="29" t="s">
        <v>52</v>
      </c>
      <c r="C1403" s="29" t="s">
        <v>93</v>
      </c>
      <c r="D1403" s="29" t="s">
        <v>4106</v>
      </c>
      <c r="E1403" s="4" t="n">
        <v>2</v>
      </c>
      <c r="F1403" s="4" t="s">
        <v>144</v>
      </c>
      <c r="G1403" s="7" t="s">
        <v>314</v>
      </c>
      <c r="H1403" s="4" t="n">
        <v>1982</v>
      </c>
      <c r="I1403" s="4" t="s">
        <v>164</v>
      </c>
      <c r="J1403" s="25" t="str">
        <f aca="false">IF(M1403=1,"✓","")</f>
        <v>✓</v>
      </c>
      <c r="K1403" s="4" t="str">
        <f aca="false">IF(AND(M1403=0,P1403=0),"▶ NEXT","")</f>
        <v/>
      </c>
      <c r="L1403" s="4" t="n">
        <f aca="false">INDEX('Master List'!$F$2:$F$2594,O1403)</f>
        <v>4</v>
      </c>
      <c r="M1403" s="4" t="n">
        <f aca="false">INDEX('Master List'!$G$2:$G$2594,O1403)</f>
        <v>1</v>
      </c>
      <c r="N1403" s="4" t="str">
        <f aca="false">IF(K1403="","",A1403)</f>
        <v/>
      </c>
      <c r="O1403" s="4" t="n">
        <v>1258</v>
      </c>
      <c r="P1403" s="4" t="n">
        <f aca="false">IF(A1403=A1402,P1402+1-M1402,0)</f>
        <v>0</v>
      </c>
    </row>
    <row r="1404" customFormat="false" ht="15" hidden="false" customHeight="false" outlineLevel="0" collapsed="false">
      <c r="A1404" s="29" t="s">
        <v>4105</v>
      </c>
      <c r="B1404" s="29" t="s">
        <v>52</v>
      </c>
      <c r="C1404" s="29" t="s">
        <v>93</v>
      </c>
      <c r="D1404" s="29" t="s">
        <v>4106</v>
      </c>
      <c r="E1404" s="4" t="n">
        <v>3</v>
      </c>
      <c r="F1404" s="4" t="s">
        <v>213</v>
      </c>
      <c r="G1404" s="4" t="s">
        <v>706</v>
      </c>
      <c r="H1404" s="4" t="n">
        <v>1972</v>
      </c>
      <c r="I1404" s="4" t="s">
        <v>707</v>
      </c>
      <c r="J1404" s="25" t="str">
        <f aca="false">IF(M1404=1,"✓","")</f>
        <v/>
      </c>
      <c r="K1404" s="4" t="str">
        <f aca="false">IF(AND(M1404=0,P1404=0),"▶ NEXT","")</f>
        <v>▶ NEXT</v>
      </c>
      <c r="L1404" s="4" t="n">
        <f aca="false">INDEX('Master List'!$F$2:$F$2594,O1404)</f>
        <v>3</v>
      </c>
      <c r="M1404" s="4" t="n">
        <f aca="false">INDEX('Master List'!$G$2:$G$2594,O1404)</f>
        <v>0</v>
      </c>
      <c r="N1404" s="4" t="str">
        <f aca="false">IF(K1404="","",A1404)</f>
        <v>N116</v>
      </c>
      <c r="O1404" s="4" t="n">
        <v>1008</v>
      </c>
      <c r="P1404" s="4" t="n">
        <f aca="false">IF(A1404=A1403,P1403+1-M1403,0)</f>
        <v>0</v>
      </c>
    </row>
    <row r="1405" customFormat="false" ht="15" hidden="false" customHeight="false" outlineLevel="0" collapsed="false">
      <c r="A1405" s="29" t="s">
        <v>4105</v>
      </c>
      <c r="B1405" s="29" t="s">
        <v>52</v>
      </c>
      <c r="C1405" s="29" t="s">
        <v>93</v>
      </c>
      <c r="D1405" s="29" t="s">
        <v>4106</v>
      </c>
      <c r="E1405" s="4" t="n">
        <v>4</v>
      </c>
      <c r="F1405" s="4" t="s">
        <v>213</v>
      </c>
      <c r="G1405" s="4" t="s">
        <v>630</v>
      </c>
      <c r="H1405" s="4" t="n">
        <v>2000</v>
      </c>
      <c r="I1405" s="4" t="s">
        <v>631</v>
      </c>
      <c r="J1405" s="25" t="str">
        <f aca="false">IF(M1405=1,"✓","")</f>
        <v/>
      </c>
      <c r="K1405" s="4" t="str">
        <f aca="false">IF(AND(M1405=0,P1405=0),"▶ NEXT","")</f>
        <v/>
      </c>
      <c r="L1405" s="4" t="n">
        <f aca="false">INDEX('Master List'!$F$2:$F$2594,O1405)</f>
        <v>3</v>
      </c>
      <c r="M1405" s="4" t="n">
        <f aca="false">INDEX('Master List'!$G$2:$G$2594,O1405)</f>
        <v>0</v>
      </c>
      <c r="N1405" s="4" t="str">
        <f aca="false">IF(K1405="","",A1405)</f>
        <v/>
      </c>
      <c r="O1405" s="4" t="n">
        <v>2113</v>
      </c>
      <c r="P1405" s="4" t="n">
        <f aca="false">IF(A1405=A1404,P1404+1-M1404,0)</f>
        <v>1</v>
      </c>
    </row>
    <row r="1406" customFormat="false" ht="15" hidden="false" customHeight="false" outlineLevel="0" collapsed="false">
      <c r="A1406" s="29" t="s">
        <v>4105</v>
      </c>
      <c r="B1406" s="29" t="s">
        <v>52</v>
      </c>
      <c r="C1406" s="29" t="s">
        <v>93</v>
      </c>
      <c r="D1406" s="29" t="s">
        <v>4106</v>
      </c>
      <c r="E1406" s="4" t="n">
        <v>5</v>
      </c>
      <c r="F1406" s="4" t="s">
        <v>213</v>
      </c>
      <c r="G1406" s="4" t="s">
        <v>2819</v>
      </c>
      <c r="H1406" s="4" t="n">
        <v>2004</v>
      </c>
      <c r="I1406" s="4" t="s">
        <v>2820</v>
      </c>
      <c r="J1406" s="25" t="str">
        <f aca="false">IF(M1406=1,"✓","")</f>
        <v>✓</v>
      </c>
      <c r="K1406" s="4" t="str">
        <f aca="false">IF(AND(M1406=0,P1406=0),"▶ NEXT","")</f>
        <v/>
      </c>
      <c r="L1406" s="4" t="n">
        <f aca="false">INDEX('Master List'!$F$2:$F$2594,O1406)</f>
        <v>1</v>
      </c>
      <c r="M1406" s="4" t="n">
        <f aca="false">INDEX('Master List'!$G$2:$G$2594,O1406)</f>
        <v>1</v>
      </c>
      <c r="N1406" s="4" t="str">
        <f aca="false">IF(K1406="","",A1406)</f>
        <v/>
      </c>
      <c r="O1406" s="4" t="n">
        <v>1586</v>
      </c>
      <c r="P1406" s="4" t="n">
        <f aca="false">IF(A1406=A1405,P1405+1-M1405,0)</f>
        <v>2</v>
      </c>
    </row>
    <row r="1407" customFormat="false" ht="15" hidden="false" customHeight="false" outlineLevel="0" collapsed="false">
      <c r="A1407" s="29" t="s">
        <v>4105</v>
      </c>
      <c r="B1407" s="29" t="s">
        <v>52</v>
      </c>
      <c r="C1407" s="29" t="s">
        <v>93</v>
      </c>
      <c r="D1407" s="29" t="s">
        <v>4106</v>
      </c>
      <c r="E1407" s="4" t="n">
        <v>6</v>
      </c>
      <c r="F1407" s="4" t="s">
        <v>213</v>
      </c>
      <c r="G1407" s="4" t="s">
        <v>3000</v>
      </c>
      <c r="H1407" s="4" t="n">
        <v>2012</v>
      </c>
      <c r="I1407" s="4" t="s">
        <v>3001</v>
      </c>
      <c r="J1407" s="25" t="str">
        <f aca="false">IF(M1407=1,"✓","")</f>
        <v/>
      </c>
      <c r="K1407" s="4" t="str">
        <f aca="false">IF(AND(M1407=0,P1407=0),"▶ NEXT","")</f>
        <v/>
      </c>
      <c r="L1407" s="4" t="n">
        <f aca="false">INDEX('Master List'!$F$2:$F$2594,O1407)</f>
        <v>1</v>
      </c>
      <c r="M1407" s="4" t="n">
        <f aca="false">INDEX('Master List'!$G$2:$G$2594,O1407)</f>
        <v>0</v>
      </c>
      <c r="N1407" s="4" t="str">
        <f aca="false">IF(K1407="","",A1407)</f>
        <v/>
      </c>
      <c r="O1407" s="4" t="n">
        <v>504</v>
      </c>
      <c r="P1407" s="4" t="n">
        <f aca="false">IF(A1407=A1406,P1406+1-M1406,0)</f>
        <v>2</v>
      </c>
    </row>
    <row r="1408" customFormat="false" ht="15" hidden="false" customHeight="false" outlineLevel="0" collapsed="false">
      <c r="A1408" s="29" t="s">
        <v>4105</v>
      </c>
      <c r="B1408" s="29" t="s">
        <v>52</v>
      </c>
      <c r="C1408" s="29" t="s">
        <v>93</v>
      </c>
      <c r="D1408" s="29" t="s">
        <v>4106</v>
      </c>
      <c r="E1408" s="4" t="n">
        <v>7</v>
      </c>
      <c r="F1408" s="4" t="s">
        <v>213</v>
      </c>
      <c r="G1408" s="4" t="s">
        <v>526</v>
      </c>
      <c r="H1408" s="4" t="n">
        <v>2016</v>
      </c>
      <c r="I1408" s="4" t="s">
        <v>527</v>
      </c>
      <c r="J1408" s="25" t="str">
        <f aca="false">IF(M1408=1,"✓","")</f>
        <v/>
      </c>
      <c r="K1408" s="4" t="str">
        <f aca="false">IF(AND(M1408=0,P1408=0),"▶ NEXT","")</f>
        <v/>
      </c>
      <c r="L1408" s="4" t="n">
        <f aca="false">INDEX('Master List'!$F$2:$F$2594,O1408)</f>
        <v>3</v>
      </c>
      <c r="M1408" s="4" t="n">
        <f aca="false">INDEX('Master List'!$G$2:$G$2594,O1408)</f>
        <v>0</v>
      </c>
      <c r="N1408" s="4" t="str">
        <f aca="false">IF(K1408="","",A1408)</f>
        <v/>
      </c>
      <c r="O1408" s="4" t="n">
        <v>2332</v>
      </c>
      <c r="P1408" s="4" t="n">
        <f aca="false">IF(A1408=A1407,P1407+1-M1407,0)</f>
        <v>3</v>
      </c>
    </row>
    <row r="1409" customFormat="false" ht="15" hidden="false" customHeight="false" outlineLevel="0" collapsed="false">
      <c r="A1409" s="29" t="s">
        <v>4105</v>
      </c>
      <c r="B1409" s="29" t="s">
        <v>52</v>
      </c>
      <c r="C1409" s="29" t="s">
        <v>93</v>
      </c>
      <c r="D1409" s="29" t="s">
        <v>4106</v>
      </c>
      <c r="E1409" s="4" t="n">
        <v>8</v>
      </c>
      <c r="F1409" s="4" t="s">
        <v>213</v>
      </c>
      <c r="G1409" s="4" t="s">
        <v>642</v>
      </c>
      <c r="H1409" s="4" t="n">
        <v>2014</v>
      </c>
      <c r="I1409" s="4" t="s">
        <v>643</v>
      </c>
      <c r="J1409" s="25" t="str">
        <f aca="false">IF(M1409=1,"✓","")</f>
        <v/>
      </c>
      <c r="K1409" s="4" t="str">
        <f aca="false">IF(AND(M1409=0,P1409=0),"▶ NEXT","")</f>
        <v/>
      </c>
      <c r="L1409" s="4" t="n">
        <f aca="false">INDEX('Master List'!$F$2:$F$2594,O1409)</f>
        <v>3</v>
      </c>
      <c r="M1409" s="4" t="n">
        <f aca="false">INDEX('Master List'!$G$2:$G$2594,O1409)</f>
        <v>0</v>
      </c>
      <c r="N1409" s="4" t="str">
        <f aca="false">IF(K1409="","",A1409)</f>
        <v/>
      </c>
      <c r="O1409" s="4" t="n">
        <v>833</v>
      </c>
      <c r="P1409" s="4" t="n">
        <f aca="false">IF(A1409=A1408,P1408+1-M1408,0)</f>
        <v>4</v>
      </c>
    </row>
    <row r="1410" customFormat="false" ht="15" hidden="false" customHeight="false" outlineLevel="0" collapsed="false">
      <c r="A1410" s="29" t="s">
        <v>4105</v>
      </c>
      <c r="B1410" s="29" t="s">
        <v>52</v>
      </c>
      <c r="C1410" s="29" t="s">
        <v>93</v>
      </c>
      <c r="D1410" s="29" t="s">
        <v>4106</v>
      </c>
      <c r="E1410" s="4" t="n">
        <v>9</v>
      </c>
      <c r="F1410" s="4" t="s">
        <v>1327</v>
      </c>
      <c r="G1410" s="4" t="s">
        <v>1424</v>
      </c>
      <c r="H1410" s="4" t="n">
        <v>2023</v>
      </c>
      <c r="I1410" s="4" t="s">
        <v>1155</v>
      </c>
      <c r="J1410" s="25" t="str">
        <f aca="false">IF(M1410=1,"✓","")</f>
        <v/>
      </c>
      <c r="K1410" s="4" t="str">
        <f aca="false">IF(AND(M1410=0,P1410=0),"▶ NEXT","")</f>
        <v/>
      </c>
      <c r="L1410" s="4" t="n">
        <f aca="false">INDEX('Master List'!$F$2:$F$2594,O1410)</f>
        <v>2</v>
      </c>
      <c r="M1410" s="4" t="n">
        <f aca="false">INDEX('Master List'!$G$2:$G$2594,O1410)</f>
        <v>0</v>
      </c>
      <c r="N1410" s="4" t="str">
        <f aca="false">IF(K1410="","",A1410)</f>
        <v/>
      </c>
      <c r="O1410" s="4" t="n">
        <v>779</v>
      </c>
      <c r="P1410" s="4" t="n">
        <f aca="false">IF(A1410=A1409,P1409+1-M1409,0)</f>
        <v>5</v>
      </c>
    </row>
    <row r="1411" customFormat="false" ht="15" hidden="false" customHeight="false" outlineLevel="0" collapsed="false">
      <c r="A1411" s="29" t="s">
        <v>4105</v>
      </c>
      <c r="B1411" s="29" t="s">
        <v>52</v>
      </c>
      <c r="C1411" s="29" t="s">
        <v>93</v>
      </c>
      <c r="D1411" s="29" t="s">
        <v>4106</v>
      </c>
      <c r="E1411" s="4" t="n">
        <v>10</v>
      </c>
      <c r="F1411" s="4" t="s">
        <v>1327</v>
      </c>
      <c r="G1411" s="4" t="s">
        <v>1404</v>
      </c>
      <c r="H1411" s="4" t="n">
        <v>2007</v>
      </c>
      <c r="I1411" s="4" t="s">
        <v>631</v>
      </c>
      <c r="J1411" s="25" t="str">
        <f aca="false">IF(M1411=1,"✓","")</f>
        <v/>
      </c>
      <c r="K1411" s="4" t="str">
        <f aca="false">IF(AND(M1411=0,P1411=0),"▶ NEXT","")</f>
        <v/>
      </c>
      <c r="L1411" s="4" t="n">
        <f aca="false">INDEX('Master List'!$F$2:$F$2594,O1411)</f>
        <v>2</v>
      </c>
      <c r="M1411" s="4" t="n">
        <f aca="false">INDEX('Master List'!$G$2:$G$2594,O1411)</f>
        <v>0</v>
      </c>
      <c r="N1411" s="4" t="str">
        <f aca="false">IF(K1411="","",A1411)</f>
        <v/>
      </c>
      <c r="O1411" s="4" t="n">
        <v>2572</v>
      </c>
      <c r="P1411" s="4" t="n">
        <f aca="false">IF(A1411=A1410,P1410+1-M1410,0)</f>
        <v>6</v>
      </c>
    </row>
    <row r="1412" customFormat="false" ht="15" hidden="false" customHeight="false" outlineLevel="0" collapsed="false">
      <c r="A1412" s="29" t="s">
        <v>4107</v>
      </c>
      <c r="B1412" s="29" t="s">
        <v>52</v>
      </c>
      <c r="C1412" s="29" t="s">
        <v>93</v>
      </c>
      <c r="D1412" s="29" t="s">
        <v>4108</v>
      </c>
      <c r="E1412" s="4" t="n">
        <v>1</v>
      </c>
      <c r="F1412" s="4" t="s">
        <v>144</v>
      </c>
      <c r="G1412" s="7" t="s">
        <v>259</v>
      </c>
      <c r="H1412" s="4" t="n">
        <v>1993</v>
      </c>
      <c r="I1412" s="4" t="s">
        <v>260</v>
      </c>
      <c r="J1412" s="25" t="str">
        <f aca="false">IF(M1412=1,"✓","")</f>
        <v>✓</v>
      </c>
      <c r="K1412" s="4" t="str">
        <f aca="false">IF(AND(M1412=0,P1412=0),"▶ NEXT","")</f>
        <v/>
      </c>
      <c r="L1412" s="4" t="n">
        <f aca="false">INDEX('Master List'!$F$2:$F$2594,O1412)</f>
        <v>5</v>
      </c>
      <c r="M1412" s="4" t="n">
        <f aca="false">INDEX('Master List'!$G$2:$G$2594,O1412)</f>
        <v>1</v>
      </c>
      <c r="N1412" s="4" t="str">
        <f aca="false">IF(K1412="","",A1412)</f>
        <v/>
      </c>
      <c r="O1412" s="4" t="n">
        <v>970</v>
      </c>
      <c r="P1412" s="4" t="n">
        <f aca="false">IF(A1412=A1411,P1411+1-M1411,0)</f>
        <v>0</v>
      </c>
    </row>
    <row r="1413" customFormat="false" ht="15" hidden="false" customHeight="false" outlineLevel="0" collapsed="false">
      <c r="A1413" s="29" t="s">
        <v>4107</v>
      </c>
      <c r="B1413" s="29" t="s">
        <v>52</v>
      </c>
      <c r="C1413" s="29" t="s">
        <v>93</v>
      </c>
      <c r="D1413" s="29" t="s">
        <v>4108</v>
      </c>
      <c r="E1413" s="4" t="n">
        <v>2</v>
      </c>
      <c r="F1413" s="4" t="s">
        <v>144</v>
      </c>
      <c r="G1413" s="7" t="s">
        <v>855</v>
      </c>
      <c r="H1413" s="4" t="n">
        <v>2004</v>
      </c>
      <c r="I1413" s="4" t="s">
        <v>856</v>
      </c>
      <c r="J1413" s="25" t="str">
        <f aca="false">IF(M1413=1,"✓","")</f>
        <v>✓</v>
      </c>
      <c r="K1413" s="4" t="str">
        <f aca="false">IF(AND(M1413=0,P1413=0),"▶ NEXT","")</f>
        <v/>
      </c>
      <c r="L1413" s="4" t="n">
        <f aca="false">INDEX('Master List'!$F$2:$F$2594,O1413)</f>
        <v>2</v>
      </c>
      <c r="M1413" s="4" t="n">
        <f aca="false">INDEX('Master List'!$G$2:$G$2594,O1413)</f>
        <v>1</v>
      </c>
      <c r="N1413" s="4" t="str">
        <f aca="false">IF(K1413="","",A1413)</f>
        <v/>
      </c>
      <c r="O1413" s="4" t="n">
        <v>100</v>
      </c>
      <c r="P1413" s="4" t="n">
        <f aca="false">IF(A1413=A1412,P1412+1-M1412,0)</f>
        <v>0</v>
      </c>
    </row>
    <row r="1414" customFormat="false" ht="15" hidden="false" customHeight="false" outlineLevel="0" collapsed="false">
      <c r="A1414" s="29" t="s">
        <v>4107</v>
      </c>
      <c r="B1414" s="29" t="s">
        <v>52</v>
      </c>
      <c r="C1414" s="29" t="s">
        <v>93</v>
      </c>
      <c r="D1414" s="29" t="s">
        <v>4108</v>
      </c>
      <c r="E1414" s="4" t="n">
        <v>3</v>
      </c>
      <c r="F1414" s="4" t="s">
        <v>213</v>
      </c>
      <c r="G1414" s="4" t="s">
        <v>2309</v>
      </c>
      <c r="H1414" s="4" t="n">
        <v>1978</v>
      </c>
      <c r="I1414" s="4" t="s">
        <v>1062</v>
      </c>
      <c r="J1414" s="25" t="str">
        <f aca="false">IF(M1414=1,"✓","")</f>
        <v>✓</v>
      </c>
      <c r="K1414" s="4" t="str">
        <f aca="false">IF(AND(M1414=0,P1414=0),"▶ NEXT","")</f>
        <v/>
      </c>
      <c r="L1414" s="4" t="n">
        <f aca="false">INDEX('Master List'!$F$2:$F$2594,O1414)</f>
        <v>1</v>
      </c>
      <c r="M1414" s="4" t="n">
        <f aca="false">INDEX('Master List'!$G$2:$G$2594,O1414)</f>
        <v>1</v>
      </c>
      <c r="N1414" s="4" t="str">
        <f aca="false">IF(K1414="","",A1414)</f>
        <v/>
      </c>
      <c r="O1414" s="4" t="n">
        <v>109</v>
      </c>
      <c r="P1414" s="4" t="n">
        <f aca="false">IF(A1414=A1413,P1413+1-M1413,0)</f>
        <v>0</v>
      </c>
    </row>
    <row r="1415" customFormat="false" ht="15" hidden="false" customHeight="false" outlineLevel="0" collapsed="false">
      <c r="A1415" s="29" t="s">
        <v>4107</v>
      </c>
      <c r="B1415" s="29" t="s">
        <v>52</v>
      </c>
      <c r="C1415" s="29" t="s">
        <v>93</v>
      </c>
      <c r="D1415" s="29" t="s">
        <v>4108</v>
      </c>
      <c r="E1415" s="4" t="n">
        <v>4</v>
      </c>
      <c r="F1415" s="4" t="s">
        <v>213</v>
      </c>
      <c r="G1415" s="4" t="s">
        <v>2340</v>
      </c>
      <c r="H1415" s="4" t="n">
        <v>1980</v>
      </c>
      <c r="I1415" s="4" t="s">
        <v>260</v>
      </c>
      <c r="J1415" s="25" t="str">
        <f aca="false">IF(M1415=1,"✓","")</f>
        <v>✓</v>
      </c>
      <c r="K1415" s="4" t="str">
        <f aca="false">IF(AND(M1415=0,P1415=0),"▶ NEXT","")</f>
        <v/>
      </c>
      <c r="L1415" s="4" t="n">
        <f aca="false">INDEX('Master List'!$F$2:$F$2594,O1415)</f>
        <v>1</v>
      </c>
      <c r="M1415" s="4" t="n">
        <f aca="false">INDEX('Master List'!$G$2:$G$2594,O1415)</f>
        <v>1</v>
      </c>
      <c r="N1415" s="4" t="str">
        <f aca="false">IF(K1415="","",A1415)</f>
        <v/>
      </c>
      <c r="O1415" s="4" t="n">
        <v>380</v>
      </c>
      <c r="P1415" s="4" t="n">
        <f aca="false">IF(A1415=A1414,P1414+1-M1414,0)</f>
        <v>0</v>
      </c>
    </row>
    <row r="1416" customFormat="false" ht="15" hidden="false" customHeight="false" outlineLevel="0" collapsed="false">
      <c r="A1416" s="29" t="s">
        <v>4107</v>
      </c>
      <c r="B1416" s="29" t="s">
        <v>52</v>
      </c>
      <c r="C1416" s="29" t="s">
        <v>93</v>
      </c>
      <c r="D1416" s="29" t="s">
        <v>4108</v>
      </c>
      <c r="E1416" s="4" t="n">
        <v>5</v>
      </c>
      <c r="F1416" s="4" t="s">
        <v>213</v>
      </c>
      <c r="G1416" s="4" t="s">
        <v>1277</v>
      </c>
      <c r="H1416" s="4" t="n">
        <v>1980</v>
      </c>
      <c r="I1416" s="4" t="s">
        <v>1062</v>
      </c>
      <c r="J1416" s="25" t="str">
        <f aca="false">IF(M1416=1,"✓","")</f>
        <v/>
      </c>
      <c r="K1416" s="4" t="str">
        <f aca="false">IF(AND(M1416=0,P1416=0),"▶ NEXT","")</f>
        <v>▶ NEXT</v>
      </c>
      <c r="L1416" s="4" t="n">
        <f aca="false">INDEX('Master List'!$F$2:$F$2594,O1416)</f>
        <v>2</v>
      </c>
      <c r="M1416" s="4" t="n">
        <f aca="false">INDEX('Master List'!$G$2:$G$2594,O1416)</f>
        <v>0</v>
      </c>
      <c r="N1416" s="4" t="str">
        <f aca="false">IF(K1416="","",A1416)</f>
        <v>N117</v>
      </c>
      <c r="O1416" s="4" t="n">
        <v>303</v>
      </c>
      <c r="P1416" s="4" t="n">
        <f aca="false">IF(A1416=A1415,P1415+1-M1415,0)</f>
        <v>0</v>
      </c>
    </row>
    <row r="1417" customFormat="false" ht="15" hidden="false" customHeight="false" outlineLevel="0" collapsed="false">
      <c r="A1417" s="29" t="s">
        <v>4107</v>
      </c>
      <c r="B1417" s="29" t="s">
        <v>52</v>
      </c>
      <c r="C1417" s="29" t="s">
        <v>93</v>
      </c>
      <c r="D1417" s="29" t="s">
        <v>4108</v>
      </c>
      <c r="E1417" s="4" t="n">
        <v>6</v>
      </c>
      <c r="F1417" s="4" t="s">
        <v>213</v>
      </c>
      <c r="G1417" s="4" t="s">
        <v>1061</v>
      </c>
      <c r="H1417" s="4" t="n">
        <v>1983</v>
      </c>
      <c r="I1417" s="4" t="s">
        <v>1062</v>
      </c>
      <c r="J1417" s="25" t="str">
        <f aca="false">IF(M1417=1,"✓","")</f>
        <v/>
      </c>
      <c r="K1417" s="4" t="str">
        <f aca="false">IF(AND(M1417=0,P1417=0),"▶ NEXT","")</f>
        <v/>
      </c>
      <c r="L1417" s="4" t="n">
        <f aca="false">INDEX('Master List'!$F$2:$F$2594,O1417)</f>
        <v>2</v>
      </c>
      <c r="M1417" s="4" t="n">
        <f aca="false">INDEX('Master List'!$G$2:$G$2594,O1417)</f>
        <v>0</v>
      </c>
      <c r="N1417" s="4" t="str">
        <f aca="false">IF(K1417="","",A1417)</f>
        <v/>
      </c>
      <c r="O1417" s="4" t="n">
        <v>2355</v>
      </c>
      <c r="P1417" s="4" t="n">
        <f aca="false">IF(A1417=A1416,P1416+1-M1416,0)</f>
        <v>1</v>
      </c>
    </row>
    <row r="1418" customFormat="false" ht="15" hidden="false" customHeight="false" outlineLevel="0" collapsed="false">
      <c r="A1418" s="29" t="s">
        <v>4107</v>
      </c>
      <c r="B1418" s="29" t="s">
        <v>52</v>
      </c>
      <c r="C1418" s="29" t="s">
        <v>93</v>
      </c>
      <c r="D1418" s="29" t="s">
        <v>4108</v>
      </c>
      <c r="E1418" s="4" t="n">
        <v>7</v>
      </c>
      <c r="F1418" s="4" t="s">
        <v>213</v>
      </c>
      <c r="G1418" s="4" t="s">
        <v>2403</v>
      </c>
      <c r="H1418" s="4" t="n">
        <v>1984</v>
      </c>
      <c r="I1418" s="4" t="s">
        <v>2404</v>
      </c>
      <c r="J1418" s="25" t="str">
        <f aca="false">IF(M1418=1,"✓","")</f>
        <v>✓</v>
      </c>
      <c r="K1418" s="4" t="str">
        <f aca="false">IF(AND(M1418=0,P1418=0),"▶ NEXT","")</f>
        <v/>
      </c>
      <c r="L1418" s="4" t="n">
        <f aca="false">INDEX('Master List'!$F$2:$F$2594,O1418)</f>
        <v>1</v>
      </c>
      <c r="M1418" s="4" t="n">
        <f aca="false">INDEX('Master List'!$G$2:$G$2594,O1418)</f>
        <v>1</v>
      </c>
      <c r="N1418" s="4" t="str">
        <f aca="false">IF(K1418="","",A1418)</f>
        <v/>
      </c>
      <c r="O1418" s="4" t="n">
        <v>894</v>
      </c>
      <c r="P1418" s="4" t="n">
        <f aca="false">IF(A1418=A1417,P1417+1-M1417,0)</f>
        <v>2</v>
      </c>
    </row>
    <row r="1419" customFormat="false" ht="15" hidden="false" customHeight="false" outlineLevel="0" collapsed="false">
      <c r="A1419" s="29" t="s">
        <v>4107</v>
      </c>
      <c r="B1419" s="29" t="s">
        <v>52</v>
      </c>
      <c r="C1419" s="29" t="s">
        <v>93</v>
      </c>
      <c r="D1419" s="29" t="s">
        <v>4108</v>
      </c>
      <c r="E1419" s="4" t="n">
        <v>8</v>
      </c>
      <c r="F1419" s="4" t="s">
        <v>213</v>
      </c>
      <c r="G1419" s="4" t="s">
        <v>1372</v>
      </c>
      <c r="H1419" s="4" t="n">
        <v>1987</v>
      </c>
      <c r="I1419" s="4" t="s">
        <v>1373</v>
      </c>
      <c r="J1419" s="25" t="str">
        <f aca="false">IF(M1419=1,"✓","")</f>
        <v>✓</v>
      </c>
      <c r="K1419" s="4" t="str">
        <f aca="false">IF(AND(M1419=0,P1419=0),"▶ NEXT","")</f>
        <v/>
      </c>
      <c r="L1419" s="4" t="n">
        <f aca="false">INDEX('Master List'!$F$2:$F$2594,O1419)</f>
        <v>2</v>
      </c>
      <c r="M1419" s="4" t="n">
        <f aca="false">INDEX('Master List'!$G$2:$G$2594,O1419)</f>
        <v>1</v>
      </c>
      <c r="N1419" s="4" t="str">
        <f aca="false">IF(K1419="","",A1419)</f>
        <v/>
      </c>
      <c r="O1419" s="4" t="n">
        <v>1775</v>
      </c>
      <c r="P1419" s="4" t="n">
        <f aca="false">IF(A1419=A1418,P1418+1-M1418,0)</f>
        <v>2</v>
      </c>
    </row>
    <row r="1420" customFormat="false" ht="15" hidden="false" customHeight="false" outlineLevel="0" collapsed="false">
      <c r="A1420" s="29" t="s">
        <v>4107</v>
      </c>
      <c r="B1420" s="29" t="s">
        <v>52</v>
      </c>
      <c r="C1420" s="29" t="s">
        <v>93</v>
      </c>
      <c r="D1420" s="29" t="s">
        <v>4108</v>
      </c>
      <c r="E1420" s="4" t="n">
        <v>9</v>
      </c>
      <c r="F1420" s="4" t="s">
        <v>213</v>
      </c>
      <c r="G1420" s="4" t="s">
        <v>2469</v>
      </c>
      <c r="H1420" s="4" t="n">
        <v>1988</v>
      </c>
      <c r="I1420" s="4" t="s">
        <v>1062</v>
      </c>
      <c r="J1420" s="25" t="str">
        <f aca="false">IF(M1420=1,"✓","")</f>
        <v/>
      </c>
      <c r="K1420" s="4" t="str">
        <f aca="false">IF(AND(M1420=0,P1420=0),"▶ NEXT","")</f>
        <v/>
      </c>
      <c r="L1420" s="4" t="n">
        <f aca="false">INDEX('Master List'!$F$2:$F$2594,O1420)</f>
        <v>1</v>
      </c>
      <c r="M1420" s="4" t="n">
        <f aca="false">INDEX('Master List'!$G$2:$G$2594,O1420)</f>
        <v>0</v>
      </c>
      <c r="N1420" s="4" t="str">
        <f aca="false">IF(K1420="","",A1420)</f>
        <v/>
      </c>
      <c r="O1420" s="4" t="n">
        <v>506</v>
      </c>
      <c r="P1420" s="4" t="n">
        <f aca="false">IF(A1420=A1419,P1419+1-M1419,0)</f>
        <v>2</v>
      </c>
    </row>
    <row r="1421" customFormat="false" ht="15" hidden="false" customHeight="false" outlineLevel="0" collapsed="false">
      <c r="A1421" s="29" t="s">
        <v>4107</v>
      </c>
      <c r="B1421" s="29" t="s">
        <v>52</v>
      </c>
      <c r="C1421" s="29" t="s">
        <v>93</v>
      </c>
      <c r="D1421" s="29" t="s">
        <v>4108</v>
      </c>
      <c r="E1421" s="4" t="n">
        <v>10</v>
      </c>
      <c r="F1421" s="4" t="s">
        <v>213</v>
      </c>
      <c r="G1421" s="4" t="s">
        <v>2582</v>
      </c>
      <c r="H1421" s="4" t="n">
        <v>1994</v>
      </c>
      <c r="I1421" s="4" t="s">
        <v>2583</v>
      </c>
      <c r="J1421" s="25" t="str">
        <f aca="false">IF(M1421=1,"✓","")</f>
        <v>✓</v>
      </c>
      <c r="K1421" s="4" t="str">
        <f aca="false">IF(AND(M1421=0,P1421=0),"▶ NEXT","")</f>
        <v/>
      </c>
      <c r="L1421" s="4" t="n">
        <f aca="false">INDEX('Master List'!$F$2:$F$2594,O1421)</f>
        <v>1</v>
      </c>
      <c r="M1421" s="4" t="n">
        <f aca="false">INDEX('Master List'!$G$2:$G$2594,O1421)</f>
        <v>1</v>
      </c>
      <c r="N1421" s="4" t="str">
        <f aca="false">IF(K1421="","",A1421)</f>
        <v/>
      </c>
      <c r="O1421" s="4" t="n">
        <v>690</v>
      </c>
      <c r="P1421" s="4" t="n">
        <f aca="false">IF(A1421=A1420,P1420+1-M1420,0)</f>
        <v>3</v>
      </c>
    </row>
    <row r="1422" customFormat="false" ht="15" hidden="false" customHeight="false" outlineLevel="0" collapsed="false">
      <c r="A1422" s="29" t="s">
        <v>4107</v>
      </c>
      <c r="B1422" s="29" t="s">
        <v>52</v>
      </c>
      <c r="C1422" s="29" t="s">
        <v>93</v>
      </c>
      <c r="D1422" s="29" t="s">
        <v>4108</v>
      </c>
      <c r="E1422" s="4" t="n">
        <v>11</v>
      </c>
      <c r="F1422" s="4" t="s">
        <v>213</v>
      </c>
      <c r="G1422" s="4" t="s">
        <v>2701</v>
      </c>
      <c r="H1422" s="4" t="n">
        <v>1999</v>
      </c>
      <c r="I1422" s="4" t="s">
        <v>2702</v>
      </c>
      <c r="J1422" s="25" t="str">
        <f aca="false">IF(M1422=1,"✓","")</f>
        <v>✓</v>
      </c>
      <c r="K1422" s="4" t="str">
        <f aca="false">IF(AND(M1422=0,P1422=0),"▶ NEXT","")</f>
        <v/>
      </c>
      <c r="L1422" s="4" t="n">
        <f aca="false">INDEX('Master List'!$F$2:$F$2594,O1422)</f>
        <v>1</v>
      </c>
      <c r="M1422" s="4" t="n">
        <f aca="false">INDEX('Master List'!$G$2:$G$2594,O1422)</f>
        <v>1</v>
      </c>
      <c r="N1422" s="4" t="str">
        <f aca="false">IF(K1422="","",A1422)</f>
        <v/>
      </c>
      <c r="O1422" s="4" t="n">
        <v>1652</v>
      </c>
      <c r="P1422" s="4" t="n">
        <f aca="false">IF(A1422=A1421,P1421+1-M1421,0)</f>
        <v>3</v>
      </c>
    </row>
    <row r="1423" customFormat="false" ht="15" hidden="false" customHeight="false" outlineLevel="0" collapsed="false">
      <c r="A1423" s="29" t="s">
        <v>4107</v>
      </c>
      <c r="B1423" s="29" t="s">
        <v>52</v>
      </c>
      <c r="C1423" s="29" t="s">
        <v>93</v>
      </c>
      <c r="D1423" s="29" t="s">
        <v>4108</v>
      </c>
      <c r="E1423" s="4" t="n">
        <v>12</v>
      </c>
      <c r="F1423" s="4" t="s">
        <v>213</v>
      </c>
      <c r="G1423" s="4" t="s">
        <v>2743</v>
      </c>
      <c r="H1423" s="4" t="n">
        <v>2001</v>
      </c>
      <c r="I1423" s="4" t="s">
        <v>2744</v>
      </c>
      <c r="J1423" s="25" t="str">
        <f aca="false">IF(M1423=1,"✓","")</f>
        <v>✓</v>
      </c>
      <c r="K1423" s="4" t="str">
        <f aca="false">IF(AND(M1423=0,P1423=0),"▶ NEXT","")</f>
        <v/>
      </c>
      <c r="L1423" s="4" t="n">
        <f aca="false">INDEX('Master List'!$F$2:$F$2594,O1423)</f>
        <v>1</v>
      </c>
      <c r="M1423" s="4" t="n">
        <f aca="false">INDEX('Master List'!$G$2:$G$2594,O1423)</f>
        <v>1</v>
      </c>
      <c r="N1423" s="4" t="str">
        <f aca="false">IF(K1423="","",A1423)</f>
        <v/>
      </c>
      <c r="O1423" s="4" t="n">
        <v>2592</v>
      </c>
      <c r="P1423" s="4" t="n">
        <f aca="false">IF(A1423=A1422,P1422+1-M1422,0)</f>
        <v>3</v>
      </c>
    </row>
    <row r="1424" customFormat="false" ht="15" hidden="false" customHeight="false" outlineLevel="0" collapsed="false">
      <c r="A1424" s="29" t="s">
        <v>4107</v>
      </c>
      <c r="B1424" s="29" t="s">
        <v>52</v>
      </c>
      <c r="C1424" s="29" t="s">
        <v>93</v>
      </c>
      <c r="D1424" s="29" t="s">
        <v>4108</v>
      </c>
      <c r="E1424" s="4" t="n">
        <v>13</v>
      </c>
      <c r="F1424" s="4" t="s">
        <v>213</v>
      </c>
      <c r="G1424" s="4" t="s">
        <v>2879</v>
      </c>
      <c r="H1424" s="4" t="n">
        <v>2007</v>
      </c>
      <c r="I1424" s="4" t="s">
        <v>2661</v>
      </c>
      <c r="J1424" s="25" t="str">
        <f aca="false">IF(M1424=1,"✓","")</f>
        <v/>
      </c>
      <c r="K1424" s="4" t="str">
        <f aca="false">IF(AND(M1424=0,P1424=0),"▶ NEXT","")</f>
        <v/>
      </c>
      <c r="L1424" s="4" t="n">
        <f aca="false">INDEX('Master List'!$F$2:$F$2594,O1424)</f>
        <v>1</v>
      </c>
      <c r="M1424" s="4" t="n">
        <f aca="false">INDEX('Master List'!$G$2:$G$2594,O1424)</f>
        <v>0</v>
      </c>
      <c r="N1424" s="4" t="str">
        <f aca="false">IF(K1424="","",A1424)</f>
        <v/>
      </c>
      <c r="O1424" s="4" t="n">
        <v>2205</v>
      </c>
      <c r="P1424" s="4" t="n">
        <f aca="false">IF(A1424=A1423,P1423+1-M1423,0)</f>
        <v>3</v>
      </c>
    </row>
    <row r="1425" customFormat="false" ht="15" hidden="false" customHeight="false" outlineLevel="0" collapsed="false">
      <c r="A1425" s="29" t="s">
        <v>4107</v>
      </c>
      <c r="B1425" s="29" t="s">
        <v>52</v>
      </c>
      <c r="C1425" s="29" t="s">
        <v>93</v>
      </c>
      <c r="D1425" s="29" t="s">
        <v>4108</v>
      </c>
      <c r="E1425" s="4" t="n">
        <v>14</v>
      </c>
      <c r="F1425" s="4" t="s">
        <v>213</v>
      </c>
      <c r="G1425" s="4" t="s">
        <v>2904</v>
      </c>
      <c r="H1425" s="4" t="n">
        <v>2008</v>
      </c>
      <c r="I1425" s="4" t="s">
        <v>856</v>
      </c>
      <c r="J1425" s="25" t="str">
        <f aca="false">IF(M1425=1,"✓","")</f>
        <v>✓</v>
      </c>
      <c r="K1425" s="4" t="str">
        <f aca="false">IF(AND(M1425=0,P1425=0),"▶ NEXT","")</f>
        <v/>
      </c>
      <c r="L1425" s="4" t="n">
        <f aca="false">INDEX('Master List'!$F$2:$F$2594,O1425)</f>
        <v>1</v>
      </c>
      <c r="M1425" s="4" t="n">
        <f aca="false">INDEX('Master List'!$G$2:$G$2594,O1425)</f>
        <v>1</v>
      </c>
      <c r="N1425" s="4" t="str">
        <f aca="false">IF(K1425="","",A1425)</f>
        <v/>
      </c>
      <c r="O1425" s="4" t="n">
        <v>2156</v>
      </c>
      <c r="P1425" s="4" t="n">
        <f aca="false">IF(A1425=A1424,P1424+1-M1424,0)</f>
        <v>4</v>
      </c>
    </row>
    <row r="1426" customFormat="false" ht="15" hidden="false" customHeight="false" outlineLevel="0" collapsed="false">
      <c r="A1426" s="29" t="s">
        <v>4107</v>
      </c>
      <c r="B1426" s="29" t="s">
        <v>52</v>
      </c>
      <c r="C1426" s="29" t="s">
        <v>93</v>
      </c>
      <c r="D1426" s="29" t="s">
        <v>4108</v>
      </c>
      <c r="E1426" s="4" t="n">
        <v>15</v>
      </c>
      <c r="F1426" s="4" t="s">
        <v>213</v>
      </c>
      <c r="G1426" s="4" t="s">
        <v>2972</v>
      </c>
      <c r="H1426" s="4" t="n">
        <v>2011</v>
      </c>
      <c r="I1426" s="4" t="s">
        <v>2973</v>
      </c>
      <c r="J1426" s="25" t="str">
        <f aca="false">IF(M1426=1,"✓","")</f>
        <v/>
      </c>
      <c r="K1426" s="4" t="str">
        <f aca="false">IF(AND(M1426=0,P1426=0),"▶ NEXT","")</f>
        <v/>
      </c>
      <c r="L1426" s="4" t="n">
        <f aca="false">INDEX('Master List'!$F$2:$F$2594,O1426)</f>
        <v>1</v>
      </c>
      <c r="M1426" s="4" t="n">
        <f aca="false">INDEX('Master List'!$G$2:$G$2594,O1426)</f>
        <v>0</v>
      </c>
      <c r="N1426" s="4" t="str">
        <f aca="false">IF(K1426="","",A1426)</f>
        <v/>
      </c>
      <c r="O1426" s="4" t="n">
        <v>346</v>
      </c>
      <c r="P1426" s="4" t="n">
        <f aca="false">IF(A1426=A1425,P1425+1-M1425,0)</f>
        <v>4</v>
      </c>
    </row>
    <row r="1427" customFormat="false" ht="15" hidden="false" customHeight="false" outlineLevel="0" collapsed="false">
      <c r="A1427" s="29" t="s">
        <v>4107</v>
      </c>
      <c r="B1427" s="29" t="s">
        <v>52</v>
      </c>
      <c r="C1427" s="29" t="s">
        <v>93</v>
      </c>
      <c r="D1427" s="29" t="s">
        <v>4108</v>
      </c>
      <c r="E1427" s="4" t="n">
        <v>16</v>
      </c>
      <c r="F1427" s="4" t="s">
        <v>1327</v>
      </c>
      <c r="G1427" s="4" t="s">
        <v>3592</v>
      </c>
      <c r="H1427" s="4" t="n">
        <v>1981</v>
      </c>
      <c r="I1427" s="4" t="s">
        <v>2404</v>
      </c>
      <c r="J1427" s="25" t="str">
        <f aca="false">IF(M1427=1,"✓","")</f>
        <v>✓</v>
      </c>
      <c r="K1427" s="4" t="str">
        <f aca="false">IF(AND(M1427=0,P1427=0),"▶ NEXT","")</f>
        <v/>
      </c>
      <c r="L1427" s="4" t="n">
        <f aca="false">INDEX('Master List'!$F$2:$F$2594,O1427)</f>
        <v>1</v>
      </c>
      <c r="M1427" s="4" t="n">
        <f aca="false">INDEX('Master List'!$G$2:$G$2594,O1427)</f>
        <v>1</v>
      </c>
      <c r="N1427" s="4" t="str">
        <f aca="false">IF(K1427="","",A1427)</f>
        <v/>
      </c>
      <c r="O1427" s="4" t="n">
        <v>2186</v>
      </c>
      <c r="P1427" s="4" t="n">
        <f aca="false">IF(A1427=A1426,P1426+1-M1426,0)</f>
        <v>5</v>
      </c>
    </row>
    <row r="1428" customFormat="false" ht="15" hidden="false" customHeight="false" outlineLevel="0" collapsed="false">
      <c r="A1428" s="29" t="s">
        <v>4109</v>
      </c>
      <c r="B1428" s="29" t="s">
        <v>52</v>
      </c>
      <c r="C1428" s="29" t="s">
        <v>94</v>
      </c>
      <c r="D1428" s="29" t="s">
        <v>4110</v>
      </c>
      <c r="E1428" s="4" t="n">
        <v>1</v>
      </c>
      <c r="F1428" s="4" t="s">
        <v>144</v>
      </c>
      <c r="G1428" s="7" t="s">
        <v>224</v>
      </c>
      <c r="H1428" s="4" t="n">
        <v>1952</v>
      </c>
      <c r="I1428" s="4" t="s">
        <v>225</v>
      </c>
      <c r="J1428" s="25" t="str">
        <f aca="false">IF(M1428=1,"✓","")</f>
        <v/>
      </c>
      <c r="K1428" s="4" t="str">
        <f aca="false">IF(AND(M1428=0,P1428=0),"▶ NEXT","")</f>
        <v>▶ NEXT</v>
      </c>
      <c r="L1428" s="4" t="n">
        <f aca="false">INDEX('Master List'!$F$2:$F$2594,O1428)</f>
        <v>6</v>
      </c>
      <c r="M1428" s="4" t="n">
        <f aca="false">INDEX('Master List'!$G$2:$G$2594,O1428)</f>
        <v>0</v>
      </c>
      <c r="N1428" s="4" t="str">
        <f aca="false">IF(K1428="","",A1428)</f>
        <v>N118</v>
      </c>
      <c r="O1428" s="4" t="n">
        <v>2080</v>
      </c>
      <c r="P1428" s="4" t="n">
        <f aca="false">IF(A1428=A1427,P1427+1-M1427,0)</f>
        <v>0</v>
      </c>
    </row>
    <row r="1429" customFormat="false" ht="15" hidden="false" customHeight="false" outlineLevel="0" collapsed="false">
      <c r="A1429" s="29" t="s">
        <v>4109</v>
      </c>
      <c r="B1429" s="29" t="s">
        <v>52</v>
      </c>
      <c r="C1429" s="29" t="s">
        <v>94</v>
      </c>
      <c r="D1429" s="29" t="s">
        <v>4110</v>
      </c>
      <c r="E1429" s="4" t="n">
        <v>2</v>
      </c>
      <c r="F1429" s="4" t="s">
        <v>144</v>
      </c>
      <c r="G1429" s="7" t="s">
        <v>1436</v>
      </c>
      <c r="H1429" s="4" t="n">
        <v>1935</v>
      </c>
      <c r="I1429" s="4" t="s">
        <v>1437</v>
      </c>
      <c r="J1429" s="25" t="str">
        <f aca="false">IF(M1429=1,"✓","")</f>
        <v/>
      </c>
      <c r="K1429" s="4" t="str">
        <f aca="false">IF(AND(M1429=0,P1429=0),"▶ NEXT","")</f>
        <v/>
      </c>
      <c r="L1429" s="4" t="n">
        <f aca="false">INDEX('Master List'!$F$2:$F$2594,O1429)</f>
        <v>1</v>
      </c>
      <c r="M1429" s="4" t="n">
        <f aca="false">INDEX('Master List'!$G$2:$G$2594,O1429)</f>
        <v>0</v>
      </c>
      <c r="N1429" s="4" t="str">
        <f aca="false">IF(K1429="","",A1429)</f>
        <v/>
      </c>
      <c r="O1429" s="4" t="n">
        <v>2338</v>
      </c>
      <c r="P1429" s="4" t="n">
        <f aca="false">IF(A1429=A1428,P1428+1-M1428,0)</f>
        <v>1</v>
      </c>
    </row>
    <row r="1430" customFormat="false" ht="15" hidden="false" customHeight="false" outlineLevel="0" collapsed="false">
      <c r="A1430" s="29" t="s">
        <v>4109</v>
      </c>
      <c r="B1430" s="29" t="s">
        <v>52</v>
      </c>
      <c r="C1430" s="29" t="s">
        <v>94</v>
      </c>
      <c r="D1430" s="29" t="s">
        <v>4110</v>
      </c>
      <c r="E1430" s="4" t="n">
        <v>3</v>
      </c>
      <c r="F1430" s="4" t="s">
        <v>213</v>
      </c>
      <c r="G1430" s="4" t="s">
        <v>1746</v>
      </c>
      <c r="H1430" s="4" t="n">
        <v>1933</v>
      </c>
      <c r="I1430" s="4" t="s">
        <v>1747</v>
      </c>
      <c r="J1430" s="25" t="str">
        <f aca="false">IF(M1430=1,"✓","")</f>
        <v/>
      </c>
      <c r="K1430" s="4" t="str">
        <f aca="false">IF(AND(M1430=0,P1430=0),"▶ NEXT","")</f>
        <v/>
      </c>
      <c r="L1430" s="4" t="n">
        <f aca="false">INDEX('Master List'!$F$2:$F$2594,O1430)</f>
        <v>1</v>
      </c>
      <c r="M1430" s="4" t="n">
        <f aca="false">INDEX('Master List'!$G$2:$G$2594,O1430)</f>
        <v>0</v>
      </c>
      <c r="N1430" s="4" t="str">
        <f aca="false">IF(K1430="","",A1430)</f>
        <v/>
      </c>
      <c r="O1430" s="4" t="n">
        <v>26</v>
      </c>
      <c r="P1430" s="4" t="n">
        <f aca="false">IF(A1430=A1429,P1429+1-M1429,0)</f>
        <v>2</v>
      </c>
    </row>
    <row r="1431" customFormat="false" ht="15" hidden="false" customHeight="false" outlineLevel="0" collapsed="false">
      <c r="A1431" s="29" t="s">
        <v>4109</v>
      </c>
      <c r="B1431" s="29" t="s">
        <v>52</v>
      </c>
      <c r="C1431" s="29" t="s">
        <v>94</v>
      </c>
      <c r="D1431" s="29" t="s">
        <v>4110</v>
      </c>
      <c r="E1431" s="4" t="n">
        <v>4</v>
      </c>
      <c r="F1431" s="4" t="s">
        <v>213</v>
      </c>
      <c r="G1431" s="4" t="s">
        <v>1748</v>
      </c>
      <c r="H1431" s="4" t="n">
        <v>1933</v>
      </c>
      <c r="I1431" s="4" t="s">
        <v>909</v>
      </c>
      <c r="J1431" s="25" t="str">
        <f aca="false">IF(M1431=1,"✓","")</f>
        <v/>
      </c>
      <c r="K1431" s="4" t="str">
        <f aca="false">IF(AND(M1431=0,P1431=0),"▶ NEXT","")</f>
        <v/>
      </c>
      <c r="L1431" s="4" t="n">
        <f aca="false">INDEX('Master List'!$F$2:$F$2594,O1431)</f>
        <v>1</v>
      </c>
      <c r="M1431" s="4" t="n">
        <f aca="false">INDEX('Master List'!$G$2:$G$2594,O1431)</f>
        <v>0</v>
      </c>
      <c r="N1431" s="4" t="str">
        <f aca="false">IF(K1431="","",A1431)</f>
        <v/>
      </c>
      <c r="O1431" s="4" t="n">
        <v>915</v>
      </c>
      <c r="P1431" s="4" t="n">
        <f aca="false">IF(A1431=A1430,P1430+1-M1430,0)</f>
        <v>3</v>
      </c>
    </row>
    <row r="1432" customFormat="false" ht="15" hidden="false" customHeight="false" outlineLevel="0" collapsed="false">
      <c r="A1432" s="29" t="s">
        <v>4109</v>
      </c>
      <c r="B1432" s="29" t="s">
        <v>52</v>
      </c>
      <c r="C1432" s="29" t="s">
        <v>94</v>
      </c>
      <c r="D1432" s="29" t="s">
        <v>4110</v>
      </c>
      <c r="E1432" s="4" t="n">
        <v>5</v>
      </c>
      <c r="F1432" s="4" t="s">
        <v>213</v>
      </c>
      <c r="G1432" s="4" t="s">
        <v>1749</v>
      </c>
      <c r="H1432" s="4" t="n">
        <v>1933</v>
      </c>
      <c r="I1432" s="4" t="s">
        <v>1747</v>
      </c>
      <c r="J1432" s="25" t="str">
        <f aca="false">IF(M1432=1,"✓","")</f>
        <v/>
      </c>
      <c r="K1432" s="4" t="str">
        <f aca="false">IF(AND(M1432=0,P1432=0),"▶ NEXT","")</f>
        <v/>
      </c>
      <c r="L1432" s="4" t="n">
        <f aca="false">INDEX('Master List'!$F$2:$F$2594,O1432)</f>
        <v>1</v>
      </c>
      <c r="M1432" s="4" t="n">
        <f aca="false">INDEX('Master List'!$G$2:$G$2594,O1432)</f>
        <v>0</v>
      </c>
      <c r="N1432" s="4" t="str">
        <f aca="false">IF(K1432="","",A1432)</f>
        <v/>
      </c>
      <c r="O1432" s="4" t="n">
        <v>830</v>
      </c>
      <c r="P1432" s="4" t="n">
        <f aca="false">IF(A1432=A1431,P1431+1-M1431,0)</f>
        <v>4</v>
      </c>
    </row>
    <row r="1433" customFormat="false" ht="15" hidden="false" customHeight="false" outlineLevel="0" collapsed="false">
      <c r="A1433" s="29" t="s">
        <v>4109</v>
      </c>
      <c r="B1433" s="29" t="s">
        <v>52</v>
      </c>
      <c r="C1433" s="29" t="s">
        <v>94</v>
      </c>
      <c r="D1433" s="29" t="s">
        <v>4110</v>
      </c>
      <c r="E1433" s="4" t="n">
        <v>6</v>
      </c>
      <c r="F1433" s="4" t="s">
        <v>213</v>
      </c>
      <c r="G1433" s="4" t="s">
        <v>911</v>
      </c>
      <c r="H1433" s="4" t="n">
        <v>1936</v>
      </c>
      <c r="I1433" s="4" t="s">
        <v>912</v>
      </c>
      <c r="J1433" s="25" t="str">
        <f aca="false">IF(M1433=1,"✓","")</f>
        <v/>
      </c>
      <c r="K1433" s="4" t="str">
        <f aca="false">IF(AND(M1433=0,P1433=0),"▶ NEXT","")</f>
        <v/>
      </c>
      <c r="L1433" s="4" t="n">
        <f aca="false">INDEX('Master List'!$F$2:$F$2594,O1433)</f>
        <v>2</v>
      </c>
      <c r="M1433" s="4" t="n">
        <f aca="false">INDEX('Master List'!$G$2:$G$2594,O1433)</f>
        <v>0</v>
      </c>
      <c r="N1433" s="4" t="str">
        <f aca="false">IF(K1433="","",A1433)</f>
        <v/>
      </c>
      <c r="O1433" s="4" t="n">
        <v>2217</v>
      </c>
      <c r="P1433" s="4" t="n">
        <f aca="false">IF(A1433=A1432,P1432+1-M1432,0)</f>
        <v>5</v>
      </c>
    </row>
    <row r="1434" customFormat="false" ht="15" hidden="false" customHeight="false" outlineLevel="0" collapsed="false">
      <c r="A1434" s="29" t="s">
        <v>4109</v>
      </c>
      <c r="B1434" s="29" t="s">
        <v>52</v>
      </c>
      <c r="C1434" s="29" t="s">
        <v>94</v>
      </c>
      <c r="D1434" s="29" t="s">
        <v>4110</v>
      </c>
      <c r="E1434" s="4" t="n">
        <v>7</v>
      </c>
      <c r="F1434" s="4" t="s">
        <v>213</v>
      </c>
      <c r="G1434" s="4" t="s">
        <v>345</v>
      </c>
      <c r="H1434" s="4" t="n">
        <v>1939</v>
      </c>
      <c r="I1434" s="4" t="s">
        <v>346</v>
      </c>
      <c r="J1434" s="25" t="str">
        <f aca="false">IF(M1434=1,"✓","")</f>
        <v/>
      </c>
      <c r="K1434" s="4" t="str">
        <f aca="false">IF(AND(M1434=0,P1434=0),"▶ NEXT","")</f>
        <v/>
      </c>
      <c r="L1434" s="4" t="n">
        <f aca="false">INDEX('Master List'!$F$2:$F$2594,O1434)</f>
        <v>4</v>
      </c>
      <c r="M1434" s="4" t="n">
        <f aca="false">INDEX('Master List'!$G$2:$G$2594,O1434)</f>
        <v>0</v>
      </c>
      <c r="N1434" s="4" t="str">
        <f aca="false">IF(K1434="","",A1434)</f>
        <v/>
      </c>
      <c r="O1434" s="4" t="n">
        <v>2540</v>
      </c>
      <c r="P1434" s="4" t="n">
        <f aca="false">IF(A1434=A1433,P1433+1-M1433,0)</f>
        <v>6</v>
      </c>
    </row>
    <row r="1435" customFormat="false" ht="15" hidden="false" customHeight="false" outlineLevel="0" collapsed="false">
      <c r="A1435" s="29" t="s">
        <v>4109</v>
      </c>
      <c r="B1435" s="29" t="s">
        <v>52</v>
      </c>
      <c r="C1435" s="29" t="s">
        <v>94</v>
      </c>
      <c r="D1435" s="29" t="s">
        <v>4110</v>
      </c>
      <c r="E1435" s="4" t="n">
        <v>8</v>
      </c>
      <c r="F1435" s="4" t="s">
        <v>213</v>
      </c>
      <c r="G1435" s="4" t="s">
        <v>569</v>
      </c>
      <c r="H1435" s="4" t="n">
        <v>1944</v>
      </c>
      <c r="I1435" s="4" t="s">
        <v>570</v>
      </c>
      <c r="J1435" s="25" t="str">
        <f aca="false">IF(M1435=1,"✓","")</f>
        <v/>
      </c>
      <c r="K1435" s="4" t="str">
        <f aca="false">IF(AND(M1435=0,P1435=0),"▶ NEXT","")</f>
        <v/>
      </c>
      <c r="L1435" s="4" t="n">
        <f aca="false">INDEX('Master List'!$F$2:$F$2594,O1435)</f>
        <v>3</v>
      </c>
      <c r="M1435" s="4" t="n">
        <f aca="false">INDEX('Master List'!$G$2:$G$2594,O1435)</f>
        <v>0</v>
      </c>
      <c r="N1435" s="4" t="str">
        <f aca="false">IF(K1435="","",A1435)</f>
        <v/>
      </c>
      <c r="O1435" s="4" t="n">
        <v>1473</v>
      </c>
      <c r="P1435" s="4" t="n">
        <f aca="false">IF(A1435=A1434,P1434+1-M1434,0)</f>
        <v>7</v>
      </c>
    </row>
    <row r="1436" customFormat="false" ht="15" hidden="false" customHeight="false" outlineLevel="0" collapsed="false">
      <c r="A1436" s="29" t="s">
        <v>4109</v>
      </c>
      <c r="B1436" s="29" t="s">
        <v>52</v>
      </c>
      <c r="C1436" s="29" t="s">
        <v>94</v>
      </c>
      <c r="D1436" s="29" t="s">
        <v>4110</v>
      </c>
      <c r="E1436" s="4" t="n">
        <v>9</v>
      </c>
      <c r="F1436" s="4" t="s">
        <v>213</v>
      </c>
      <c r="G1436" s="4" t="s">
        <v>931</v>
      </c>
      <c r="H1436" s="4" t="n">
        <v>1949</v>
      </c>
      <c r="I1436" s="4" t="s">
        <v>225</v>
      </c>
      <c r="J1436" s="25" t="str">
        <f aca="false">IF(M1436=1,"✓","")</f>
        <v/>
      </c>
      <c r="K1436" s="4" t="str">
        <f aca="false">IF(AND(M1436=0,P1436=0),"▶ NEXT","")</f>
        <v/>
      </c>
      <c r="L1436" s="4" t="n">
        <f aca="false">INDEX('Master List'!$F$2:$F$2594,O1436)</f>
        <v>2</v>
      </c>
      <c r="M1436" s="4" t="n">
        <f aca="false">INDEX('Master List'!$G$2:$G$2594,O1436)</f>
        <v>0</v>
      </c>
      <c r="N1436" s="4" t="str">
        <f aca="false">IF(K1436="","",A1436)</f>
        <v/>
      </c>
      <c r="O1436" s="4" t="n">
        <v>1666</v>
      </c>
      <c r="P1436" s="4" t="n">
        <f aca="false">IF(A1436=A1435,P1435+1-M1435,0)</f>
        <v>8</v>
      </c>
    </row>
    <row r="1437" customFormat="false" ht="15" hidden="false" customHeight="false" outlineLevel="0" collapsed="false">
      <c r="A1437" s="29" t="s">
        <v>4109</v>
      </c>
      <c r="B1437" s="29" t="s">
        <v>52</v>
      </c>
      <c r="C1437" s="29" t="s">
        <v>94</v>
      </c>
      <c r="D1437" s="29" t="s">
        <v>4110</v>
      </c>
      <c r="E1437" s="4" t="n">
        <v>10</v>
      </c>
      <c r="F1437" s="4" t="s">
        <v>213</v>
      </c>
      <c r="G1437" s="4" t="s">
        <v>1882</v>
      </c>
      <c r="H1437" s="4" t="n">
        <v>1951</v>
      </c>
      <c r="I1437" s="4" t="s">
        <v>570</v>
      </c>
      <c r="J1437" s="25" t="str">
        <f aca="false">IF(M1437=1,"✓","")</f>
        <v/>
      </c>
      <c r="K1437" s="4" t="str">
        <f aca="false">IF(AND(M1437=0,P1437=0),"▶ NEXT","")</f>
        <v/>
      </c>
      <c r="L1437" s="4" t="n">
        <f aca="false">INDEX('Master List'!$F$2:$F$2594,O1437)</f>
        <v>1</v>
      </c>
      <c r="M1437" s="4" t="n">
        <f aca="false">INDEX('Master List'!$G$2:$G$2594,O1437)</f>
        <v>0</v>
      </c>
      <c r="N1437" s="4" t="str">
        <f aca="false">IF(K1437="","",A1437)</f>
        <v/>
      </c>
      <c r="O1437" s="4" t="n">
        <v>91</v>
      </c>
      <c r="P1437" s="4" t="n">
        <f aca="false">IF(A1437=A1436,P1436+1-M1436,0)</f>
        <v>9</v>
      </c>
    </row>
    <row r="1438" customFormat="false" ht="15" hidden="false" customHeight="false" outlineLevel="0" collapsed="false">
      <c r="A1438" s="29" t="s">
        <v>4109</v>
      </c>
      <c r="B1438" s="29" t="s">
        <v>52</v>
      </c>
      <c r="C1438" s="29" t="s">
        <v>94</v>
      </c>
      <c r="D1438" s="29" t="s">
        <v>4110</v>
      </c>
      <c r="E1438" s="4" t="n">
        <v>11</v>
      </c>
      <c r="F1438" s="4" t="s">
        <v>213</v>
      </c>
      <c r="G1438" s="4" t="s">
        <v>1895</v>
      </c>
      <c r="H1438" s="4" t="n">
        <v>1953</v>
      </c>
      <c r="I1438" s="4" t="s">
        <v>570</v>
      </c>
      <c r="J1438" s="25" t="str">
        <f aca="false">IF(M1438=1,"✓","")</f>
        <v/>
      </c>
      <c r="K1438" s="4" t="str">
        <f aca="false">IF(AND(M1438=0,P1438=0),"▶ NEXT","")</f>
        <v/>
      </c>
      <c r="L1438" s="4" t="n">
        <f aca="false">INDEX('Master List'!$F$2:$F$2594,O1438)</f>
        <v>1</v>
      </c>
      <c r="M1438" s="4" t="n">
        <f aca="false">INDEX('Master List'!$G$2:$G$2594,O1438)</f>
        <v>0</v>
      </c>
      <c r="N1438" s="4" t="str">
        <f aca="false">IF(K1438="","",A1438)</f>
        <v/>
      </c>
      <c r="O1438" s="4" t="n">
        <v>183</v>
      </c>
      <c r="P1438" s="4" t="n">
        <f aca="false">IF(A1438=A1437,P1437+1-M1437,0)</f>
        <v>10</v>
      </c>
    </row>
    <row r="1439" customFormat="false" ht="15" hidden="false" customHeight="false" outlineLevel="0" collapsed="false">
      <c r="A1439" s="29" t="s">
        <v>4109</v>
      </c>
      <c r="B1439" s="29" t="s">
        <v>52</v>
      </c>
      <c r="C1439" s="29" t="s">
        <v>94</v>
      </c>
      <c r="D1439" s="29" t="s">
        <v>4110</v>
      </c>
      <c r="E1439" s="4" t="n">
        <v>12</v>
      </c>
      <c r="F1439" s="4" t="s">
        <v>213</v>
      </c>
      <c r="G1439" s="4" t="s">
        <v>1896</v>
      </c>
      <c r="H1439" s="4" t="n">
        <v>1953</v>
      </c>
      <c r="I1439" s="4" t="s">
        <v>168</v>
      </c>
      <c r="J1439" s="25" t="str">
        <f aca="false">IF(M1439=1,"✓","")</f>
        <v/>
      </c>
      <c r="K1439" s="4" t="str">
        <f aca="false">IF(AND(M1439=0,P1439=0),"▶ NEXT","")</f>
        <v/>
      </c>
      <c r="L1439" s="4" t="n">
        <f aca="false">INDEX('Master List'!$F$2:$F$2594,O1439)</f>
        <v>1</v>
      </c>
      <c r="M1439" s="4" t="n">
        <f aca="false">INDEX('Master List'!$G$2:$G$2594,O1439)</f>
        <v>0</v>
      </c>
      <c r="N1439" s="4" t="str">
        <f aca="false">IF(K1439="","",A1439)</f>
        <v/>
      </c>
      <c r="O1439" s="4" t="n">
        <v>885</v>
      </c>
      <c r="P1439" s="4" t="n">
        <f aca="false">IF(A1439=A1438,P1438+1-M1438,0)</f>
        <v>11</v>
      </c>
    </row>
    <row r="1440" customFormat="false" ht="15" hidden="false" customHeight="false" outlineLevel="0" collapsed="false">
      <c r="A1440" s="29" t="s">
        <v>4109</v>
      </c>
      <c r="B1440" s="29" t="s">
        <v>52</v>
      </c>
      <c r="C1440" s="29" t="s">
        <v>94</v>
      </c>
      <c r="D1440" s="29" t="s">
        <v>4110</v>
      </c>
      <c r="E1440" s="4" t="n">
        <v>13</v>
      </c>
      <c r="F1440" s="4" t="s">
        <v>213</v>
      </c>
      <c r="G1440" s="4" t="s">
        <v>1906</v>
      </c>
      <c r="H1440" s="4" t="n">
        <v>1954</v>
      </c>
      <c r="I1440" s="4" t="s">
        <v>537</v>
      </c>
      <c r="J1440" s="25" t="str">
        <f aca="false">IF(M1440=1,"✓","")</f>
        <v/>
      </c>
      <c r="K1440" s="4" t="str">
        <f aca="false">IF(AND(M1440=0,P1440=0),"▶ NEXT","")</f>
        <v/>
      </c>
      <c r="L1440" s="4" t="n">
        <f aca="false">INDEX('Master List'!$F$2:$F$2594,O1440)</f>
        <v>1</v>
      </c>
      <c r="M1440" s="4" t="n">
        <f aca="false">INDEX('Master List'!$G$2:$G$2594,O1440)</f>
        <v>0</v>
      </c>
      <c r="N1440" s="4" t="str">
        <f aca="false">IF(K1440="","",A1440)</f>
        <v/>
      </c>
      <c r="O1440" s="4" t="n">
        <v>2148</v>
      </c>
      <c r="P1440" s="4" t="n">
        <f aca="false">IF(A1440=A1439,P1439+1-M1439,0)</f>
        <v>12</v>
      </c>
    </row>
    <row r="1441" customFormat="false" ht="15" hidden="false" customHeight="false" outlineLevel="0" collapsed="false">
      <c r="A1441" s="29" t="s">
        <v>4109</v>
      </c>
      <c r="B1441" s="29" t="s">
        <v>52</v>
      </c>
      <c r="C1441" s="29" t="s">
        <v>94</v>
      </c>
      <c r="D1441" s="29" t="s">
        <v>4110</v>
      </c>
      <c r="E1441" s="4" t="n">
        <v>14</v>
      </c>
      <c r="F1441" s="4" t="s">
        <v>213</v>
      </c>
      <c r="G1441" s="4" t="s">
        <v>1923</v>
      </c>
      <c r="H1441" s="4" t="n">
        <v>1955</v>
      </c>
      <c r="I1441" s="4" t="s">
        <v>225</v>
      </c>
      <c r="J1441" s="25" t="str">
        <f aca="false">IF(M1441=1,"✓","")</f>
        <v/>
      </c>
      <c r="K1441" s="4" t="str">
        <f aca="false">IF(AND(M1441=0,P1441=0),"▶ NEXT","")</f>
        <v/>
      </c>
      <c r="L1441" s="4" t="n">
        <f aca="false">INDEX('Master List'!$F$2:$F$2594,O1441)</f>
        <v>1</v>
      </c>
      <c r="M1441" s="4" t="n">
        <f aca="false">INDEX('Master List'!$G$2:$G$2594,O1441)</f>
        <v>0</v>
      </c>
      <c r="N1441" s="4" t="str">
        <f aca="false">IF(K1441="","",A1441)</f>
        <v/>
      </c>
      <c r="O1441" s="4" t="n">
        <v>1179</v>
      </c>
      <c r="P1441" s="4" t="n">
        <f aca="false">IF(A1441=A1440,P1440+1-M1440,0)</f>
        <v>13</v>
      </c>
    </row>
    <row r="1442" customFormat="false" ht="15" hidden="false" customHeight="false" outlineLevel="0" collapsed="false">
      <c r="A1442" s="29" t="s">
        <v>4109</v>
      </c>
      <c r="B1442" s="29" t="s">
        <v>52</v>
      </c>
      <c r="C1442" s="29" t="s">
        <v>94</v>
      </c>
      <c r="D1442" s="29" t="s">
        <v>4110</v>
      </c>
      <c r="E1442" s="4" t="n">
        <v>15</v>
      </c>
      <c r="F1442" s="4" t="s">
        <v>1327</v>
      </c>
      <c r="G1442" s="4" t="s">
        <v>3349</v>
      </c>
      <c r="H1442" s="4" t="n">
        <v>1948</v>
      </c>
      <c r="I1442" s="4" t="s">
        <v>570</v>
      </c>
      <c r="J1442" s="25" t="str">
        <f aca="false">IF(M1442=1,"✓","")</f>
        <v/>
      </c>
      <c r="K1442" s="4" t="str">
        <f aca="false">IF(AND(M1442=0,P1442=0),"▶ NEXT","")</f>
        <v/>
      </c>
      <c r="L1442" s="4" t="n">
        <f aca="false">INDEX('Master List'!$F$2:$F$2594,O1442)</f>
        <v>1</v>
      </c>
      <c r="M1442" s="4" t="n">
        <f aca="false">INDEX('Master List'!$G$2:$G$2594,O1442)</f>
        <v>0</v>
      </c>
      <c r="N1442" s="4" t="str">
        <f aca="false">IF(K1442="","",A1442)</f>
        <v/>
      </c>
      <c r="O1442" s="4" t="n">
        <v>1771</v>
      </c>
      <c r="P1442" s="4" t="n">
        <f aca="false">IF(A1442=A1441,P1441+1-M1441,0)</f>
        <v>14</v>
      </c>
    </row>
    <row r="1443" customFormat="false" ht="15" hidden="false" customHeight="false" outlineLevel="0" collapsed="false">
      <c r="A1443" s="29" t="s">
        <v>4109</v>
      </c>
      <c r="B1443" s="29" t="s">
        <v>52</v>
      </c>
      <c r="C1443" s="29" t="s">
        <v>94</v>
      </c>
      <c r="D1443" s="29" t="s">
        <v>4110</v>
      </c>
      <c r="E1443" s="4" t="n">
        <v>16</v>
      </c>
      <c r="F1443" s="4" t="s">
        <v>1327</v>
      </c>
      <c r="G1443" s="4" t="s">
        <v>1303</v>
      </c>
      <c r="H1443" s="4" t="n">
        <v>1932</v>
      </c>
      <c r="I1443" s="4" t="s">
        <v>1304</v>
      </c>
      <c r="J1443" s="25" t="str">
        <f aca="false">IF(M1443=1,"✓","")</f>
        <v/>
      </c>
      <c r="K1443" s="4" t="str">
        <f aca="false">IF(AND(M1443=0,P1443=0),"▶ NEXT","")</f>
        <v/>
      </c>
      <c r="L1443" s="4" t="n">
        <f aca="false">INDEX('Master List'!$F$2:$F$2594,O1443)</f>
        <v>2</v>
      </c>
      <c r="M1443" s="4" t="n">
        <f aca="false">INDEX('Master List'!$G$2:$G$2594,O1443)</f>
        <v>0</v>
      </c>
      <c r="N1443" s="4" t="str">
        <f aca="false">IF(K1443="","",A1443)</f>
        <v/>
      </c>
      <c r="O1443" s="4" t="n">
        <v>1390</v>
      </c>
      <c r="P1443" s="4" t="n">
        <f aca="false">IF(A1443=A1442,P1442+1-M1442,0)</f>
        <v>15</v>
      </c>
    </row>
    <row r="1444" customFormat="false" ht="15" hidden="false" customHeight="false" outlineLevel="0" collapsed="false">
      <c r="A1444" s="29" t="s">
        <v>4111</v>
      </c>
      <c r="B1444" s="29" t="s">
        <v>52</v>
      </c>
      <c r="C1444" s="29" t="s">
        <v>94</v>
      </c>
      <c r="D1444" s="29" t="s">
        <v>4112</v>
      </c>
      <c r="E1444" s="4" t="n">
        <v>1</v>
      </c>
      <c r="F1444" s="4" t="s">
        <v>144</v>
      </c>
      <c r="G1444" s="7" t="s">
        <v>766</v>
      </c>
      <c r="H1444" s="4" t="n">
        <v>1961</v>
      </c>
      <c r="I1444" s="4" t="s">
        <v>767</v>
      </c>
      <c r="J1444" s="25" t="str">
        <f aca="false">IF(M1444=1,"✓","")</f>
        <v/>
      </c>
      <c r="K1444" s="4" t="str">
        <f aca="false">IF(AND(M1444=0,P1444=0),"▶ NEXT","")</f>
        <v>▶ NEXT</v>
      </c>
      <c r="L1444" s="4" t="n">
        <f aca="false">INDEX('Master List'!$F$2:$F$2594,O1444)</f>
        <v>2</v>
      </c>
      <c r="M1444" s="4" t="n">
        <f aca="false">INDEX('Master List'!$G$2:$G$2594,O1444)</f>
        <v>0</v>
      </c>
      <c r="N1444" s="4" t="str">
        <f aca="false">IF(K1444="","",A1444)</f>
        <v>N119</v>
      </c>
      <c r="O1444" s="4" t="n">
        <v>2485</v>
      </c>
      <c r="P1444" s="4" t="n">
        <f aca="false">IF(A1444=A1443,P1443+1-M1443,0)</f>
        <v>0</v>
      </c>
    </row>
    <row r="1445" customFormat="false" ht="15" hidden="false" customHeight="false" outlineLevel="0" collapsed="false">
      <c r="A1445" s="29" t="s">
        <v>4111</v>
      </c>
      <c r="B1445" s="29" t="s">
        <v>52</v>
      </c>
      <c r="C1445" s="29" t="s">
        <v>94</v>
      </c>
      <c r="D1445" s="29" t="s">
        <v>4112</v>
      </c>
      <c r="E1445" s="4" t="n">
        <v>2</v>
      </c>
      <c r="F1445" s="4" t="s">
        <v>144</v>
      </c>
      <c r="G1445" s="7" t="s">
        <v>790</v>
      </c>
      <c r="H1445" s="4" t="n">
        <v>1972</v>
      </c>
      <c r="I1445" s="4" t="s">
        <v>791</v>
      </c>
      <c r="J1445" s="25" t="str">
        <f aca="false">IF(M1445=1,"✓","")</f>
        <v/>
      </c>
      <c r="K1445" s="4" t="str">
        <f aca="false">IF(AND(M1445=0,P1445=0),"▶ NEXT","")</f>
        <v/>
      </c>
      <c r="L1445" s="4" t="n">
        <f aca="false">INDEX('Master List'!$F$2:$F$2594,O1445)</f>
        <v>2</v>
      </c>
      <c r="M1445" s="4" t="n">
        <f aca="false">INDEX('Master List'!$G$2:$G$2594,O1445)</f>
        <v>0</v>
      </c>
      <c r="N1445" s="4" t="str">
        <f aca="false">IF(K1445="","",A1445)</f>
        <v/>
      </c>
      <c r="O1445" s="4" t="n">
        <v>374</v>
      </c>
      <c r="P1445" s="4" t="n">
        <f aca="false">IF(A1445=A1444,P1444+1-M1444,0)</f>
        <v>1</v>
      </c>
    </row>
    <row r="1446" customFormat="false" ht="15" hidden="false" customHeight="false" outlineLevel="0" collapsed="false">
      <c r="A1446" s="29" t="s">
        <v>4111</v>
      </c>
      <c r="B1446" s="29" t="s">
        <v>52</v>
      </c>
      <c r="C1446" s="29" t="s">
        <v>94</v>
      </c>
      <c r="D1446" s="29" t="s">
        <v>4112</v>
      </c>
      <c r="E1446" s="4" t="n">
        <v>3</v>
      </c>
      <c r="F1446" s="4" t="s">
        <v>213</v>
      </c>
      <c r="G1446" s="4" t="s">
        <v>987</v>
      </c>
      <c r="H1446" s="4" t="n">
        <v>1965</v>
      </c>
      <c r="I1446" s="4" t="s">
        <v>789</v>
      </c>
      <c r="J1446" s="25" t="str">
        <f aca="false">IF(M1446=1,"✓","")</f>
        <v/>
      </c>
      <c r="K1446" s="4" t="str">
        <f aca="false">IF(AND(M1446=0,P1446=0),"▶ NEXT","")</f>
        <v/>
      </c>
      <c r="L1446" s="4" t="n">
        <f aca="false">INDEX('Master List'!$F$2:$F$2594,O1446)</f>
        <v>2</v>
      </c>
      <c r="M1446" s="4" t="n">
        <f aca="false">INDEX('Master List'!$G$2:$G$2594,O1446)</f>
        <v>0</v>
      </c>
      <c r="N1446" s="4" t="str">
        <f aca="false">IF(K1446="","",A1446)</f>
        <v/>
      </c>
      <c r="O1446" s="4" t="n">
        <v>2122</v>
      </c>
      <c r="P1446" s="4" t="n">
        <f aca="false">IF(A1446=A1445,P1445+1-M1445,0)</f>
        <v>2</v>
      </c>
    </row>
    <row r="1447" customFormat="false" ht="15" hidden="false" customHeight="false" outlineLevel="0" collapsed="false">
      <c r="A1447" s="29" t="s">
        <v>4111</v>
      </c>
      <c r="B1447" s="29" t="s">
        <v>52</v>
      </c>
      <c r="C1447" s="29" t="s">
        <v>94</v>
      </c>
      <c r="D1447" s="29" t="s">
        <v>4112</v>
      </c>
      <c r="E1447" s="4" t="n">
        <v>4</v>
      </c>
      <c r="F1447" s="4" t="s">
        <v>213</v>
      </c>
      <c r="G1447" s="4" t="s">
        <v>483</v>
      </c>
      <c r="H1447" s="4" t="n">
        <v>1975</v>
      </c>
      <c r="I1447" s="4" t="s">
        <v>484</v>
      </c>
      <c r="J1447" s="25" t="str">
        <f aca="false">IF(M1447=1,"✓","")</f>
        <v/>
      </c>
      <c r="K1447" s="4" t="str">
        <f aca="false">IF(AND(M1447=0,P1447=0),"▶ NEXT","")</f>
        <v/>
      </c>
      <c r="L1447" s="4" t="n">
        <f aca="false">INDEX('Master List'!$F$2:$F$2594,O1447)</f>
        <v>3</v>
      </c>
      <c r="M1447" s="4" t="n">
        <f aca="false">INDEX('Master List'!$G$2:$G$2594,O1447)</f>
        <v>0</v>
      </c>
      <c r="N1447" s="4" t="str">
        <f aca="false">IF(K1447="","",A1447)</f>
        <v/>
      </c>
      <c r="O1447" s="4" t="n">
        <v>1922</v>
      </c>
      <c r="P1447" s="4" t="n">
        <f aca="false">IF(A1447=A1446,P1446+1-M1446,0)</f>
        <v>3</v>
      </c>
    </row>
    <row r="1448" customFormat="false" ht="15" hidden="false" customHeight="false" outlineLevel="0" collapsed="false">
      <c r="A1448" s="29" t="s">
        <v>4111</v>
      </c>
      <c r="B1448" s="29" t="s">
        <v>52</v>
      </c>
      <c r="C1448" s="29" t="s">
        <v>94</v>
      </c>
      <c r="D1448" s="29" t="s">
        <v>4112</v>
      </c>
      <c r="E1448" s="4" t="n">
        <v>5</v>
      </c>
      <c r="F1448" s="4" t="s">
        <v>213</v>
      </c>
      <c r="G1448" s="4" t="s">
        <v>2328</v>
      </c>
      <c r="H1448" s="4" t="n">
        <v>1979</v>
      </c>
      <c r="I1448" s="4" t="s">
        <v>791</v>
      </c>
      <c r="J1448" s="25" t="str">
        <f aca="false">IF(M1448=1,"✓","")</f>
        <v/>
      </c>
      <c r="K1448" s="4" t="str">
        <f aca="false">IF(AND(M1448=0,P1448=0),"▶ NEXT","")</f>
        <v/>
      </c>
      <c r="L1448" s="4" t="n">
        <f aca="false">INDEX('Master List'!$F$2:$F$2594,O1448)</f>
        <v>1</v>
      </c>
      <c r="M1448" s="4" t="n">
        <f aca="false">INDEX('Master List'!$G$2:$G$2594,O1448)</f>
        <v>0</v>
      </c>
      <c r="N1448" s="4" t="str">
        <f aca="false">IF(K1448="","",A1448)</f>
        <v/>
      </c>
      <c r="O1448" s="4" t="n">
        <v>75</v>
      </c>
      <c r="P1448" s="4" t="n">
        <f aca="false">IF(A1448=A1447,P1447+1-M1447,0)</f>
        <v>4</v>
      </c>
    </row>
    <row r="1449" customFormat="false" ht="15" hidden="false" customHeight="false" outlineLevel="0" collapsed="false">
      <c r="A1449" s="29" t="s">
        <v>4111</v>
      </c>
      <c r="B1449" s="29" t="s">
        <v>52</v>
      </c>
      <c r="C1449" s="29" t="s">
        <v>94</v>
      </c>
      <c r="D1449" s="29" t="s">
        <v>4112</v>
      </c>
      <c r="E1449" s="4" t="n">
        <v>6</v>
      </c>
      <c r="F1449" s="4" t="s">
        <v>213</v>
      </c>
      <c r="G1449" s="4" t="s">
        <v>1277</v>
      </c>
      <c r="H1449" s="4" t="n">
        <v>1980</v>
      </c>
      <c r="I1449" s="4" t="s">
        <v>1062</v>
      </c>
      <c r="J1449" s="25" t="str">
        <f aca="false">IF(M1449=1,"✓","")</f>
        <v/>
      </c>
      <c r="K1449" s="4" t="str">
        <f aca="false">IF(AND(M1449=0,P1449=0),"▶ NEXT","")</f>
        <v/>
      </c>
      <c r="L1449" s="4" t="n">
        <f aca="false">INDEX('Master List'!$F$2:$F$2594,O1449)</f>
        <v>2</v>
      </c>
      <c r="M1449" s="4" t="n">
        <f aca="false">INDEX('Master List'!$G$2:$G$2594,O1449)</f>
        <v>0</v>
      </c>
      <c r="N1449" s="4" t="str">
        <f aca="false">IF(K1449="","",A1449)</f>
        <v/>
      </c>
      <c r="O1449" s="4" t="n">
        <v>303</v>
      </c>
      <c r="P1449" s="4" t="n">
        <f aca="false">IF(A1449=A1448,P1448+1-M1448,0)</f>
        <v>5</v>
      </c>
    </row>
    <row r="1450" customFormat="false" ht="15" hidden="false" customHeight="false" outlineLevel="0" collapsed="false">
      <c r="A1450" s="29" t="s">
        <v>4111</v>
      </c>
      <c r="B1450" s="29" t="s">
        <v>52</v>
      </c>
      <c r="C1450" s="29" t="s">
        <v>94</v>
      </c>
      <c r="D1450" s="29" t="s">
        <v>4112</v>
      </c>
      <c r="E1450" s="4" t="n">
        <v>7</v>
      </c>
      <c r="F1450" s="4" t="s">
        <v>213</v>
      </c>
      <c r="G1450" s="4" t="s">
        <v>2433</v>
      </c>
      <c r="H1450" s="4" t="n">
        <v>1986</v>
      </c>
      <c r="I1450" s="4" t="s">
        <v>2434</v>
      </c>
      <c r="J1450" s="25" t="str">
        <f aca="false">IF(M1450=1,"✓","")</f>
        <v>✓</v>
      </c>
      <c r="K1450" s="4" t="str">
        <f aca="false">IF(AND(M1450=0,P1450=0),"▶ NEXT","")</f>
        <v/>
      </c>
      <c r="L1450" s="4" t="n">
        <f aca="false">INDEX('Master List'!$F$2:$F$2594,O1450)</f>
        <v>1</v>
      </c>
      <c r="M1450" s="4" t="n">
        <f aca="false">INDEX('Master List'!$G$2:$G$2594,O1450)</f>
        <v>1</v>
      </c>
      <c r="N1450" s="4" t="str">
        <f aca="false">IF(K1450="","",A1450)</f>
        <v/>
      </c>
      <c r="O1450" s="4" t="n">
        <v>1355</v>
      </c>
      <c r="P1450" s="4" t="n">
        <f aca="false">IF(A1450=A1449,P1449+1-M1449,0)</f>
        <v>6</v>
      </c>
    </row>
    <row r="1451" customFormat="false" ht="15" hidden="false" customHeight="false" outlineLevel="0" collapsed="false">
      <c r="A1451" s="29" t="s">
        <v>4111</v>
      </c>
      <c r="B1451" s="29" t="s">
        <v>52</v>
      </c>
      <c r="C1451" s="29" t="s">
        <v>94</v>
      </c>
      <c r="D1451" s="29" t="s">
        <v>4112</v>
      </c>
      <c r="E1451" s="4" t="n">
        <v>8</v>
      </c>
      <c r="F1451" s="4" t="s">
        <v>213</v>
      </c>
      <c r="G1451" s="4" t="s">
        <v>1134</v>
      </c>
      <c r="H1451" s="4" t="n">
        <v>2000</v>
      </c>
      <c r="I1451" s="4" t="s">
        <v>1135</v>
      </c>
      <c r="J1451" s="25" t="str">
        <f aca="false">IF(M1451=1,"✓","")</f>
        <v/>
      </c>
      <c r="K1451" s="4" t="str">
        <f aca="false">IF(AND(M1451=0,P1451=0),"▶ NEXT","")</f>
        <v/>
      </c>
      <c r="L1451" s="4" t="n">
        <f aca="false">INDEX('Master List'!$F$2:$F$2594,O1451)</f>
        <v>2</v>
      </c>
      <c r="M1451" s="4" t="n">
        <f aca="false">INDEX('Master List'!$G$2:$G$2594,O1451)</f>
        <v>0</v>
      </c>
      <c r="N1451" s="4" t="str">
        <f aca="false">IF(K1451="","",A1451)</f>
        <v/>
      </c>
      <c r="O1451" s="4" t="n">
        <v>559</v>
      </c>
      <c r="P1451" s="4" t="n">
        <f aca="false">IF(A1451=A1450,P1450+1-M1450,0)</f>
        <v>6</v>
      </c>
    </row>
    <row r="1452" customFormat="false" ht="15" hidden="false" customHeight="false" outlineLevel="0" collapsed="false">
      <c r="A1452" s="29" t="s">
        <v>4111</v>
      </c>
      <c r="B1452" s="29" t="s">
        <v>52</v>
      </c>
      <c r="C1452" s="29" t="s">
        <v>94</v>
      </c>
      <c r="D1452" s="29" t="s">
        <v>4112</v>
      </c>
      <c r="E1452" s="4" t="n">
        <v>9</v>
      </c>
      <c r="F1452" s="4" t="s">
        <v>213</v>
      </c>
      <c r="G1452" s="4" t="s">
        <v>2745</v>
      </c>
      <c r="H1452" s="4" t="n">
        <v>2001</v>
      </c>
      <c r="I1452" s="4" t="s">
        <v>2746</v>
      </c>
      <c r="J1452" s="25" t="str">
        <f aca="false">IF(M1452=1,"✓","")</f>
        <v>✓</v>
      </c>
      <c r="K1452" s="4" t="str">
        <f aca="false">IF(AND(M1452=0,P1452=0),"▶ NEXT","")</f>
        <v/>
      </c>
      <c r="L1452" s="4" t="n">
        <f aca="false">INDEX('Master List'!$F$2:$F$2594,O1452)</f>
        <v>1</v>
      </c>
      <c r="M1452" s="4" t="n">
        <f aca="false">INDEX('Master List'!$G$2:$G$2594,O1452)</f>
        <v>1</v>
      </c>
      <c r="N1452" s="4" t="str">
        <f aca="false">IF(K1452="","",A1452)</f>
        <v/>
      </c>
      <c r="O1452" s="4" t="n">
        <v>1544</v>
      </c>
      <c r="P1452" s="4" t="n">
        <f aca="false">IF(A1452=A1451,P1451+1-M1451,0)</f>
        <v>7</v>
      </c>
    </row>
    <row r="1453" customFormat="false" ht="15" hidden="false" customHeight="false" outlineLevel="0" collapsed="false">
      <c r="A1453" s="29" t="s">
        <v>4111</v>
      </c>
      <c r="B1453" s="29" t="s">
        <v>52</v>
      </c>
      <c r="C1453" s="29" t="s">
        <v>94</v>
      </c>
      <c r="D1453" s="29" t="s">
        <v>4112</v>
      </c>
      <c r="E1453" s="4" t="n">
        <v>10</v>
      </c>
      <c r="F1453" s="4" t="s">
        <v>213</v>
      </c>
      <c r="G1453" s="4" t="s">
        <v>2747</v>
      </c>
      <c r="H1453" s="4" t="n">
        <v>2001</v>
      </c>
      <c r="I1453" s="4" t="s">
        <v>2748</v>
      </c>
      <c r="J1453" s="25" t="str">
        <f aca="false">IF(M1453=1,"✓","")</f>
        <v/>
      </c>
      <c r="K1453" s="4" t="str">
        <f aca="false">IF(AND(M1453=0,P1453=0),"▶ NEXT","")</f>
        <v/>
      </c>
      <c r="L1453" s="4" t="n">
        <f aca="false">INDEX('Master List'!$F$2:$F$2594,O1453)</f>
        <v>1</v>
      </c>
      <c r="M1453" s="4" t="n">
        <f aca="false">INDEX('Master List'!$G$2:$G$2594,O1453)</f>
        <v>0</v>
      </c>
      <c r="N1453" s="4" t="str">
        <f aca="false">IF(K1453="","",A1453)</f>
        <v/>
      </c>
      <c r="O1453" s="4" t="n">
        <v>1017</v>
      </c>
      <c r="P1453" s="4" t="n">
        <f aca="false">IF(A1453=A1452,P1452+1-M1452,0)</f>
        <v>7</v>
      </c>
    </row>
    <row r="1454" customFormat="false" ht="15" hidden="false" customHeight="false" outlineLevel="0" collapsed="false">
      <c r="A1454" s="29" t="s">
        <v>4111</v>
      </c>
      <c r="B1454" s="29" t="s">
        <v>52</v>
      </c>
      <c r="C1454" s="29" t="s">
        <v>94</v>
      </c>
      <c r="D1454" s="29" t="s">
        <v>4112</v>
      </c>
      <c r="E1454" s="4" t="n">
        <v>11</v>
      </c>
      <c r="F1454" s="4" t="s">
        <v>213</v>
      </c>
      <c r="G1454" s="4" t="s">
        <v>3101</v>
      </c>
      <c r="H1454" s="4" t="n">
        <v>2016</v>
      </c>
      <c r="I1454" s="4" t="s">
        <v>1293</v>
      </c>
      <c r="J1454" s="25" t="str">
        <f aca="false">IF(M1454=1,"✓","")</f>
        <v>✓</v>
      </c>
      <c r="K1454" s="4" t="str">
        <f aca="false">IF(AND(M1454=0,P1454=0),"▶ NEXT","")</f>
        <v/>
      </c>
      <c r="L1454" s="4" t="n">
        <f aca="false">INDEX('Master List'!$F$2:$F$2594,O1454)</f>
        <v>1</v>
      </c>
      <c r="M1454" s="4" t="n">
        <f aca="false">INDEX('Master List'!$G$2:$G$2594,O1454)</f>
        <v>1</v>
      </c>
      <c r="N1454" s="4" t="str">
        <f aca="false">IF(K1454="","",A1454)</f>
        <v/>
      </c>
      <c r="O1454" s="4" t="n">
        <v>1276</v>
      </c>
      <c r="P1454" s="4" t="n">
        <f aca="false">IF(A1454=A1453,P1453+1-M1453,0)</f>
        <v>8</v>
      </c>
    </row>
    <row r="1455" customFormat="false" ht="15" hidden="false" customHeight="false" outlineLevel="0" collapsed="false">
      <c r="A1455" s="29" t="s">
        <v>4111</v>
      </c>
      <c r="B1455" s="29" t="s">
        <v>52</v>
      </c>
      <c r="C1455" s="29" t="s">
        <v>94</v>
      </c>
      <c r="D1455" s="29" t="s">
        <v>4112</v>
      </c>
      <c r="E1455" s="4" t="n">
        <v>12</v>
      </c>
      <c r="F1455" s="4" t="s">
        <v>1327</v>
      </c>
      <c r="G1455" s="4" t="s">
        <v>3593</v>
      </c>
      <c r="H1455" s="4" t="n">
        <v>1981</v>
      </c>
      <c r="I1455" s="4" t="s">
        <v>3594</v>
      </c>
      <c r="J1455" s="25" t="str">
        <f aca="false">IF(M1455=1,"✓","")</f>
        <v/>
      </c>
      <c r="K1455" s="4" t="str">
        <f aca="false">IF(AND(M1455=0,P1455=0),"▶ NEXT","")</f>
        <v/>
      </c>
      <c r="L1455" s="4" t="n">
        <f aca="false">INDEX('Master List'!$F$2:$F$2594,O1455)</f>
        <v>1</v>
      </c>
      <c r="M1455" s="4" t="n">
        <f aca="false">INDEX('Master List'!$G$2:$G$2594,O1455)</f>
        <v>0</v>
      </c>
      <c r="N1455" s="4" t="str">
        <f aca="false">IF(K1455="","",A1455)</f>
        <v/>
      </c>
      <c r="O1455" s="4" t="n">
        <v>1740</v>
      </c>
      <c r="P1455" s="4" t="n">
        <f aca="false">IF(A1455=A1454,P1454+1-M1454,0)</f>
        <v>8</v>
      </c>
    </row>
    <row r="1456" customFormat="false" ht="15" hidden="false" customHeight="false" outlineLevel="0" collapsed="false">
      <c r="A1456" s="29" t="s">
        <v>4111</v>
      </c>
      <c r="B1456" s="29" t="s">
        <v>52</v>
      </c>
      <c r="C1456" s="29" t="s">
        <v>94</v>
      </c>
      <c r="D1456" s="29" t="s">
        <v>4112</v>
      </c>
      <c r="E1456" s="4" t="n">
        <v>13</v>
      </c>
      <c r="F1456" s="4" t="s">
        <v>1327</v>
      </c>
      <c r="G1456" s="4" t="s">
        <v>1351</v>
      </c>
      <c r="H1456" s="4" t="n">
        <v>1974</v>
      </c>
      <c r="I1456" s="4" t="s">
        <v>488</v>
      </c>
      <c r="J1456" s="25" t="str">
        <f aca="false">IF(M1456=1,"✓","")</f>
        <v/>
      </c>
      <c r="K1456" s="4" t="str">
        <f aca="false">IF(AND(M1456=0,P1456=0),"▶ NEXT","")</f>
        <v/>
      </c>
      <c r="L1456" s="4" t="n">
        <f aca="false">INDEX('Master List'!$F$2:$F$2594,O1456)</f>
        <v>2</v>
      </c>
      <c r="M1456" s="4" t="n">
        <f aca="false">INDEX('Master List'!$G$2:$G$2594,O1456)</f>
        <v>0</v>
      </c>
      <c r="N1456" s="4" t="str">
        <f aca="false">IF(K1456="","",A1456)</f>
        <v/>
      </c>
      <c r="O1456" s="4" t="n">
        <v>1753</v>
      </c>
      <c r="P1456" s="4" t="n">
        <f aca="false">IF(A1456=A1455,P1455+1-M1455,0)</f>
        <v>9</v>
      </c>
    </row>
    <row r="1457" customFormat="false" ht="15" hidden="false" customHeight="false" outlineLevel="0" collapsed="false">
      <c r="A1457" s="29" t="s">
        <v>4113</v>
      </c>
      <c r="B1457" s="29" t="s">
        <v>52</v>
      </c>
      <c r="C1457" s="29" t="s">
        <v>94</v>
      </c>
      <c r="D1457" s="29" t="s">
        <v>4114</v>
      </c>
      <c r="E1457" s="4" t="n">
        <v>1</v>
      </c>
      <c r="F1457" s="4" t="s">
        <v>144</v>
      </c>
      <c r="G1457" s="7" t="s">
        <v>981</v>
      </c>
      <c r="H1457" s="4" t="n">
        <v>1964</v>
      </c>
      <c r="I1457" s="4" t="s">
        <v>777</v>
      </c>
      <c r="J1457" s="25" t="str">
        <f aca="false">IF(M1457=1,"✓","")</f>
        <v/>
      </c>
      <c r="K1457" s="4" t="str">
        <f aca="false">IF(AND(M1457=0,P1457=0),"▶ NEXT","")</f>
        <v>▶ NEXT</v>
      </c>
      <c r="L1457" s="4" t="n">
        <f aca="false">INDEX('Master List'!$F$2:$F$2594,O1457)</f>
        <v>2</v>
      </c>
      <c r="M1457" s="4" t="n">
        <f aca="false">INDEX('Master List'!$G$2:$G$2594,O1457)</f>
        <v>0</v>
      </c>
      <c r="N1457" s="4" t="str">
        <f aca="false">IF(K1457="","",A1457)</f>
        <v>N120</v>
      </c>
      <c r="O1457" s="4" t="n">
        <v>2396</v>
      </c>
      <c r="P1457" s="4" t="n">
        <f aca="false">IF(A1457=A1456,P1456+1-M1456,0)</f>
        <v>0</v>
      </c>
    </row>
    <row r="1458" customFormat="false" ht="15" hidden="false" customHeight="false" outlineLevel="0" collapsed="false">
      <c r="A1458" s="29" t="s">
        <v>4113</v>
      </c>
      <c r="B1458" s="29" t="s">
        <v>52</v>
      </c>
      <c r="C1458" s="29" t="s">
        <v>94</v>
      </c>
      <c r="D1458" s="29" t="s">
        <v>4114</v>
      </c>
      <c r="E1458" s="4" t="n">
        <v>2</v>
      </c>
      <c r="F1458" s="4" t="s">
        <v>144</v>
      </c>
      <c r="G1458" s="7" t="s">
        <v>776</v>
      </c>
      <c r="H1458" s="4" t="n">
        <v>1967</v>
      </c>
      <c r="I1458" s="4" t="s">
        <v>777</v>
      </c>
      <c r="J1458" s="25" t="str">
        <f aca="false">IF(M1458=1,"✓","")</f>
        <v/>
      </c>
      <c r="K1458" s="4" t="str">
        <f aca="false">IF(AND(M1458=0,P1458=0),"▶ NEXT","")</f>
        <v/>
      </c>
      <c r="L1458" s="4" t="n">
        <f aca="false">INDEX('Master List'!$F$2:$F$2594,O1458)</f>
        <v>2</v>
      </c>
      <c r="M1458" s="4" t="n">
        <f aca="false">INDEX('Master List'!$G$2:$G$2594,O1458)</f>
        <v>0</v>
      </c>
      <c r="N1458" s="4" t="str">
        <f aca="false">IF(K1458="","",A1458)</f>
        <v/>
      </c>
      <c r="O1458" s="4" t="n">
        <v>2575</v>
      </c>
      <c r="P1458" s="4" t="n">
        <f aca="false">IF(A1458=A1457,P1457+1-M1457,0)</f>
        <v>1</v>
      </c>
    </row>
    <row r="1459" customFormat="false" ht="15" hidden="false" customHeight="false" outlineLevel="0" collapsed="false">
      <c r="A1459" s="29" t="s">
        <v>4113</v>
      </c>
      <c r="B1459" s="29" t="s">
        <v>52</v>
      </c>
      <c r="C1459" s="29" t="s">
        <v>94</v>
      </c>
      <c r="D1459" s="29" t="s">
        <v>4114</v>
      </c>
      <c r="E1459" s="4" t="n">
        <v>3</v>
      </c>
      <c r="F1459" s="4" t="s">
        <v>213</v>
      </c>
      <c r="G1459" s="4" t="s">
        <v>1324</v>
      </c>
      <c r="H1459" s="4" t="n">
        <v>1961</v>
      </c>
      <c r="I1459" s="4" t="s">
        <v>777</v>
      </c>
      <c r="J1459" s="25" t="str">
        <f aca="false">IF(M1459=1,"✓","")</f>
        <v/>
      </c>
      <c r="K1459" s="4" t="str">
        <f aca="false">IF(AND(M1459=0,P1459=0),"▶ NEXT","")</f>
        <v/>
      </c>
      <c r="L1459" s="4" t="n">
        <f aca="false">INDEX('Master List'!$F$2:$F$2594,O1459)</f>
        <v>2</v>
      </c>
      <c r="M1459" s="4" t="n">
        <f aca="false">INDEX('Master List'!$G$2:$G$2594,O1459)</f>
        <v>0</v>
      </c>
      <c r="N1459" s="4" t="str">
        <f aca="false">IF(K1459="","",A1459)</f>
        <v/>
      </c>
      <c r="O1459" s="4" t="n">
        <v>1367</v>
      </c>
      <c r="P1459" s="4" t="n">
        <f aca="false">IF(A1459=A1458,P1458+1-M1458,0)</f>
        <v>2</v>
      </c>
    </row>
    <row r="1460" customFormat="false" ht="15" hidden="false" customHeight="false" outlineLevel="0" collapsed="false">
      <c r="A1460" s="29" t="s">
        <v>4113</v>
      </c>
      <c r="B1460" s="29" t="s">
        <v>52</v>
      </c>
      <c r="C1460" s="29" t="s">
        <v>94</v>
      </c>
      <c r="D1460" s="29" t="s">
        <v>4114</v>
      </c>
      <c r="E1460" s="4" t="n">
        <v>4</v>
      </c>
      <c r="F1460" s="4" t="s">
        <v>213</v>
      </c>
      <c r="G1460" s="4" t="s">
        <v>2155</v>
      </c>
      <c r="H1460" s="4" t="n">
        <v>1970</v>
      </c>
      <c r="I1460" s="4" t="s">
        <v>777</v>
      </c>
      <c r="J1460" s="25" t="str">
        <f aca="false">IF(M1460=1,"✓","")</f>
        <v/>
      </c>
      <c r="K1460" s="4" t="str">
        <f aca="false">IF(AND(M1460=0,P1460=0),"▶ NEXT","")</f>
        <v/>
      </c>
      <c r="L1460" s="4" t="n">
        <f aca="false">INDEX('Master List'!$F$2:$F$2594,O1460)</f>
        <v>1</v>
      </c>
      <c r="M1460" s="4" t="n">
        <f aca="false">INDEX('Master List'!$G$2:$G$2594,O1460)</f>
        <v>0</v>
      </c>
      <c r="N1460" s="4" t="str">
        <f aca="false">IF(K1460="","",A1460)</f>
        <v/>
      </c>
      <c r="O1460" s="4" t="n">
        <v>661</v>
      </c>
      <c r="P1460" s="4" t="n">
        <f aca="false">IF(A1460=A1459,P1459+1-M1459,0)</f>
        <v>3</v>
      </c>
    </row>
    <row r="1461" customFormat="false" ht="15" hidden="false" customHeight="false" outlineLevel="0" collapsed="false">
      <c r="A1461" s="29" t="s">
        <v>4113</v>
      </c>
      <c r="B1461" s="29" t="s">
        <v>52</v>
      </c>
      <c r="C1461" s="29" t="s">
        <v>94</v>
      </c>
      <c r="D1461" s="29" t="s">
        <v>4114</v>
      </c>
      <c r="E1461" s="4" t="n">
        <v>5</v>
      </c>
      <c r="F1461" s="4" t="s">
        <v>213</v>
      </c>
      <c r="G1461" s="4" t="s">
        <v>1945</v>
      </c>
      <c r="H1461" s="4" t="n">
        <v>1957</v>
      </c>
      <c r="I1461" s="4" t="s">
        <v>1946</v>
      </c>
      <c r="J1461" s="25" t="str">
        <f aca="false">IF(M1461=1,"✓","")</f>
        <v/>
      </c>
      <c r="K1461" s="4" t="str">
        <f aca="false">IF(AND(M1461=0,P1461=0),"▶ NEXT","")</f>
        <v/>
      </c>
      <c r="L1461" s="4" t="n">
        <f aca="false">INDEX('Master List'!$F$2:$F$2594,O1461)</f>
        <v>1</v>
      </c>
      <c r="M1461" s="4" t="n">
        <f aca="false">INDEX('Master List'!$G$2:$G$2594,O1461)</f>
        <v>0</v>
      </c>
      <c r="N1461" s="4" t="str">
        <f aca="false">IF(K1461="","",A1461)</f>
        <v/>
      </c>
      <c r="O1461" s="4" t="n">
        <v>1707</v>
      </c>
      <c r="P1461" s="4" t="n">
        <f aca="false">IF(A1461=A1460,P1460+1-M1460,0)</f>
        <v>4</v>
      </c>
    </row>
    <row r="1462" customFormat="false" ht="15" hidden="false" customHeight="false" outlineLevel="0" collapsed="false">
      <c r="A1462" s="29" t="s">
        <v>4113</v>
      </c>
      <c r="B1462" s="29" t="s">
        <v>52</v>
      </c>
      <c r="C1462" s="29" t="s">
        <v>94</v>
      </c>
      <c r="D1462" s="29" t="s">
        <v>4114</v>
      </c>
      <c r="E1462" s="4" t="n">
        <v>6</v>
      </c>
      <c r="F1462" s="4" t="s">
        <v>213</v>
      </c>
      <c r="G1462" s="4" t="s">
        <v>1994</v>
      </c>
      <c r="H1462" s="4" t="n">
        <v>1961</v>
      </c>
      <c r="I1462" s="4" t="s">
        <v>152</v>
      </c>
      <c r="J1462" s="25" t="str">
        <f aca="false">IF(M1462=1,"✓","")</f>
        <v/>
      </c>
      <c r="K1462" s="4" t="str">
        <f aca="false">IF(AND(M1462=0,P1462=0),"▶ NEXT","")</f>
        <v/>
      </c>
      <c r="L1462" s="4" t="n">
        <f aca="false">INDEX('Master List'!$F$2:$F$2594,O1462)</f>
        <v>1</v>
      </c>
      <c r="M1462" s="4" t="n">
        <f aca="false">INDEX('Master List'!$G$2:$G$2594,O1462)</f>
        <v>0</v>
      </c>
      <c r="N1462" s="4" t="str">
        <f aca="false">IF(K1462="","",A1462)</f>
        <v/>
      </c>
      <c r="O1462" s="4" t="n">
        <v>2406</v>
      </c>
      <c r="P1462" s="4" t="n">
        <f aca="false">IF(A1462=A1461,P1461+1-M1461,0)</f>
        <v>5</v>
      </c>
    </row>
    <row r="1463" customFormat="false" ht="15" hidden="false" customHeight="false" outlineLevel="0" collapsed="false">
      <c r="A1463" s="29" t="s">
        <v>4113</v>
      </c>
      <c r="B1463" s="29" t="s">
        <v>52</v>
      </c>
      <c r="C1463" s="29" t="s">
        <v>94</v>
      </c>
      <c r="D1463" s="29" t="s">
        <v>4114</v>
      </c>
      <c r="E1463" s="4" t="n">
        <v>7</v>
      </c>
      <c r="F1463" s="4" t="s">
        <v>213</v>
      </c>
      <c r="G1463" s="4" t="s">
        <v>2774</v>
      </c>
      <c r="H1463" s="4" t="n">
        <v>2002</v>
      </c>
      <c r="I1463" s="4" t="s">
        <v>2775</v>
      </c>
      <c r="J1463" s="25" t="str">
        <f aca="false">IF(M1463=1,"✓","")</f>
        <v/>
      </c>
      <c r="K1463" s="4" t="str">
        <f aca="false">IF(AND(M1463=0,P1463=0),"▶ NEXT","")</f>
        <v/>
      </c>
      <c r="L1463" s="4" t="n">
        <f aca="false">INDEX('Master List'!$F$2:$F$2594,O1463)</f>
        <v>1</v>
      </c>
      <c r="M1463" s="4" t="n">
        <f aca="false">INDEX('Master List'!$G$2:$G$2594,O1463)</f>
        <v>0</v>
      </c>
      <c r="N1463" s="4" t="str">
        <f aca="false">IF(K1463="","",A1463)</f>
        <v/>
      </c>
      <c r="O1463" s="4" t="n">
        <v>31</v>
      </c>
      <c r="P1463" s="4" t="n">
        <f aca="false">IF(A1463=A1462,P1462+1-M1462,0)</f>
        <v>6</v>
      </c>
    </row>
    <row r="1464" customFormat="false" ht="15" hidden="false" customHeight="false" outlineLevel="0" collapsed="false">
      <c r="A1464" s="29" t="s">
        <v>4113</v>
      </c>
      <c r="B1464" s="29" t="s">
        <v>52</v>
      </c>
      <c r="C1464" s="29" t="s">
        <v>94</v>
      </c>
      <c r="D1464" s="29" t="s">
        <v>4114</v>
      </c>
      <c r="E1464" s="4" t="n">
        <v>8</v>
      </c>
      <c r="F1464" s="4" t="s">
        <v>213</v>
      </c>
      <c r="G1464" s="4" t="s">
        <v>3208</v>
      </c>
      <c r="H1464" s="4" t="n">
        <v>2021</v>
      </c>
      <c r="I1464" s="4" t="s">
        <v>1202</v>
      </c>
      <c r="J1464" s="25" t="str">
        <f aca="false">IF(M1464=1,"✓","")</f>
        <v/>
      </c>
      <c r="K1464" s="4" t="str">
        <f aca="false">IF(AND(M1464=0,P1464=0),"▶ NEXT","")</f>
        <v/>
      </c>
      <c r="L1464" s="4" t="n">
        <f aca="false">INDEX('Master List'!$F$2:$F$2594,O1464)</f>
        <v>1</v>
      </c>
      <c r="M1464" s="4" t="n">
        <f aca="false">INDEX('Master List'!$G$2:$G$2594,O1464)</f>
        <v>0</v>
      </c>
      <c r="N1464" s="4" t="str">
        <f aca="false">IF(K1464="","",A1464)</f>
        <v/>
      </c>
      <c r="O1464" s="4" t="n">
        <v>111</v>
      </c>
      <c r="P1464" s="4" t="n">
        <f aca="false">IF(A1464=A1463,P1463+1-M1463,0)</f>
        <v>7</v>
      </c>
    </row>
    <row r="1465" customFormat="false" ht="15" hidden="false" customHeight="false" outlineLevel="0" collapsed="false">
      <c r="A1465" s="29" t="s">
        <v>4113</v>
      </c>
      <c r="B1465" s="29" t="s">
        <v>52</v>
      </c>
      <c r="C1465" s="29" t="s">
        <v>94</v>
      </c>
      <c r="D1465" s="29" t="s">
        <v>4114</v>
      </c>
      <c r="E1465" s="4" t="n">
        <v>9</v>
      </c>
      <c r="F1465" s="4" t="s">
        <v>1327</v>
      </c>
      <c r="G1465" s="4" t="s">
        <v>3606</v>
      </c>
      <c r="H1465" s="4" t="n">
        <v>1982</v>
      </c>
      <c r="I1465" s="4" t="s">
        <v>777</v>
      </c>
      <c r="J1465" s="25" t="str">
        <f aca="false">IF(M1465=1,"✓","")</f>
        <v/>
      </c>
      <c r="K1465" s="4" t="str">
        <f aca="false">IF(AND(M1465=0,P1465=0),"▶ NEXT","")</f>
        <v/>
      </c>
      <c r="L1465" s="4" t="n">
        <f aca="false">INDEX('Master List'!$F$2:$F$2594,O1465)</f>
        <v>1</v>
      </c>
      <c r="M1465" s="4" t="n">
        <f aca="false">INDEX('Master List'!$G$2:$G$2594,O1465)</f>
        <v>0</v>
      </c>
      <c r="N1465" s="4" t="str">
        <f aca="false">IF(K1465="","",A1465)</f>
        <v/>
      </c>
      <c r="O1465" s="4" t="n">
        <v>2405</v>
      </c>
      <c r="P1465" s="4" t="n">
        <f aca="false">IF(A1465=A1464,P1464+1-M1464,0)</f>
        <v>8</v>
      </c>
    </row>
    <row r="1466" customFormat="false" ht="15" hidden="false" customHeight="false" outlineLevel="0" collapsed="false">
      <c r="A1466" s="29" t="s">
        <v>4113</v>
      </c>
      <c r="B1466" s="29" t="s">
        <v>52</v>
      </c>
      <c r="C1466" s="29" t="s">
        <v>94</v>
      </c>
      <c r="D1466" s="29" t="s">
        <v>4114</v>
      </c>
      <c r="E1466" s="4" t="n">
        <v>10</v>
      </c>
      <c r="F1466" s="4" t="s">
        <v>1327</v>
      </c>
      <c r="G1466" s="4" t="s">
        <v>3318</v>
      </c>
      <c r="H1466" s="4" t="n">
        <v>1934</v>
      </c>
      <c r="I1466" s="4" t="s">
        <v>348</v>
      </c>
      <c r="J1466" s="25" t="str">
        <f aca="false">IF(M1466=1,"✓","")</f>
        <v/>
      </c>
      <c r="K1466" s="4" t="str">
        <f aca="false">IF(AND(M1466=0,P1466=0),"▶ NEXT","")</f>
        <v/>
      </c>
      <c r="L1466" s="4" t="n">
        <f aca="false">INDEX('Master List'!$F$2:$F$2594,O1466)</f>
        <v>1</v>
      </c>
      <c r="M1466" s="4" t="n">
        <f aca="false">INDEX('Master List'!$G$2:$G$2594,O1466)</f>
        <v>0</v>
      </c>
      <c r="N1466" s="4" t="str">
        <f aca="false">IF(K1466="","",A1466)</f>
        <v/>
      </c>
      <c r="O1466" s="4" t="n">
        <v>1484</v>
      </c>
      <c r="P1466" s="4" t="n">
        <f aca="false">IF(A1466=A1465,P1465+1-M1465,0)</f>
        <v>9</v>
      </c>
    </row>
    <row r="1467" customFormat="false" ht="15" hidden="false" customHeight="false" outlineLevel="0" collapsed="false">
      <c r="A1467" s="29" t="s">
        <v>4115</v>
      </c>
      <c r="B1467" s="29" t="s">
        <v>52</v>
      </c>
      <c r="C1467" s="29" t="s">
        <v>95</v>
      </c>
      <c r="D1467" s="29" t="s">
        <v>4116</v>
      </c>
      <c r="E1467" s="4" t="n">
        <v>1</v>
      </c>
      <c r="F1467" s="4" t="s">
        <v>144</v>
      </c>
      <c r="G1467" s="7" t="s">
        <v>206</v>
      </c>
      <c r="H1467" s="4" t="n">
        <v>1972</v>
      </c>
      <c r="I1467" s="4" t="s">
        <v>172</v>
      </c>
      <c r="J1467" s="25" t="str">
        <f aca="false">IF(M1467=1,"✓","")</f>
        <v>✓</v>
      </c>
      <c r="K1467" s="4" t="str">
        <f aca="false">IF(AND(M1467=0,P1467=0),"▶ NEXT","")</f>
        <v/>
      </c>
      <c r="L1467" s="4" t="n">
        <f aca="false">INDEX('Master List'!$F$2:$F$2594,O1467)</f>
        <v>6</v>
      </c>
      <c r="M1467" s="4" t="n">
        <f aca="false">INDEX('Master List'!$G$2:$G$2594,O1467)</f>
        <v>1</v>
      </c>
      <c r="N1467" s="4" t="str">
        <f aca="false">IF(K1467="","",A1467)</f>
        <v/>
      </c>
      <c r="O1467" s="4" t="n">
        <v>909</v>
      </c>
      <c r="P1467" s="4" t="n">
        <f aca="false">IF(A1467=A1466,P1466+1-M1466,0)</f>
        <v>0</v>
      </c>
    </row>
    <row r="1468" customFormat="false" ht="15" hidden="false" customHeight="false" outlineLevel="0" collapsed="false">
      <c r="A1468" s="29" t="s">
        <v>4115</v>
      </c>
      <c r="B1468" s="29" t="s">
        <v>52</v>
      </c>
      <c r="C1468" s="29" t="s">
        <v>95</v>
      </c>
      <c r="D1468" s="29" t="s">
        <v>4116</v>
      </c>
      <c r="E1468" s="4" t="n">
        <v>2</v>
      </c>
      <c r="F1468" s="4" t="s">
        <v>144</v>
      </c>
      <c r="G1468" s="7" t="s">
        <v>318</v>
      </c>
      <c r="H1468" s="4" t="n">
        <v>1990</v>
      </c>
      <c r="I1468" s="4" t="s">
        <v>164</v>
      </c>
      <c r="J1468" s="25" t="str">
        <f aca="false">IF(M1468=1,"✓","")</f>
        <v>✓</v>
      </c>
      <c r="K1468" s="4" t="str">
        <f aca="false">IF(AND(M1468=0,P1468=0),"▶ NEXT","")</f>
        <v/>
      </c>
      <c r="L1468" s="4" t="n">
        <f aca="false">INDEX('Master List'!$F$2:$F$2594,O1468)</f>
        <v>4</v>
      </c>
      <c r="M1468" s="4" t="n">
        <f aca="false">INDEX('Master List'!$G$2:$G$2594,O1468)</f>
        <v>1</v>
      </c>
      <c r="N1468" s="4" t="str">
        <f aca="false">IF(K1468="","",A1468)</f>
        <v/>
      </c>
      <c r="O1468" s="4" t="n">
        <v>936</v>
      </c>
      <c r="P1468" s="4" t="n">
        <f aca="false">IF(A1468=A1467,P1467+1-M1467,0)</f>
        <v>0</v>
      </c>
    </row>
    <row r="1469" customFormat="false" ht="15" hidden="false" customHeight="false" outlineLevel="0" collapsed="false">
      <c r="A1469" s="29" t="s">
        <v>4115</v>
      </c>
      <c r="B1469" s="29" t="s">
        <v>52</v>
      </c>
      <c r="C1469" s="29" t="s">
        <v>95</v>
      </c>
      <c r="D1469" s="29" t="s">
        <v>4116</v>
      </c>
      <c r="E1469" s="4" t="n">
        <v>3</v>
      </c>
      <c r="F1469" s="4" t="s">
        <v>213</v>
      </c>
      <c r="G1469" s="4" t="s">
        <v>1718</v>
      </c>
      <c r="H1469" s="4" t="n">
        <v>1931</v>
      </c>
      <c r="I1469" s="4" t="s">
        <v>909</v>
      </c>
      <c r="J1469" s="25" t="str">
        <f aca="false">IF(M1469=1,"✓","")</f>
        <v/>
      </c>
      <c r="K1469" s="4" t="str">
        <f aca="false">IF(AND(M1469=0,P1469=0),"▶ NEXT","")</f>
        <v>▶ NEXT</v>
      </c>
      <c r="L1469" s="4" t="n">
        <f aca="false">INDEX('Master List'!$F$2:$F$2594,O1469)</f>
        <v>1</v>
      </c>
      <c r="M1469" s="4" t="n">
        <f aca="false">INDEX('Master List'!$G$2:$G$2594,O1469)</f>
        <v>0</v>
      </c>
      <c r="N1469" s="4" t="str">
        <f aca="false">IF(K1469="","",A1469)</f>
        <v>N121</v>
      </c>
      <c r="O1469" s="4" t="n">
        <v>1349</v>
      </c>
      <c r="P1469" s="4" t="n">
        <f aca="false">IF(A1469=A1468,P1468+1-M1468,0)</f>
        <v>0</v>
      </c>
    </row>
    <row r="1470" customFormat="false" ht="15" hidden="false" customHeight="false" outlineLevel="0" collapsed="false">
      <c r="A1470" s="29" t="s">
        <v>4115</v>
      </c>
      <c r="B1470" s="29" t="s">
        <v>52</v>
      </c>
      <c r="C1470" s="29" t="s">
        <v>95</v>
      </c>
      <c r="D1470" s="29" t="s">
        <v>4116</v>
      </c>
      <c r="E1470" s="4" t="n">
        <v>4</v>
      </c>
      <c r="F1470" s="4" t="s">
        <v>213</v>
      </c>
      <c r="G1470" s="4" t="s">
        <v>563</v>
      </c>
      <c r="H1470" s="4" t="n">
        <v>1931</v>
      </c>
      <c r="I1470" s="4" t="s">
        <v>564</v>
      </c>
      <c r="J1470" s="25" t="str">
        <f aca="false">IF(M1470=1,"✓","")</f>
        <v/>
      </c>
      <c r="K1470" s="4" t="str">
        <f aca="false">IF(AND(M1470=0,P1470=0),"▶ NEXT","")</f>
        <v/>
      </c>
      <c r="L1470" s="4" t="n">
        <f aca="false">INDEX('Master List'!$F$2:$F$2594,O1470)</f>
        <v>3</v>
      </c>
      <c r="M1470" s="4" t="n">
        <f aca="false">INDEX('Master List'!$G$2:$G$2594,O1470)</f>
        <v>0</v>
      </c>
      <c r="N1470" s="4" t="str">
        <f aca="false">IF(K1470="","",A1470)</f>
        <v/>
      </c>
      <c r="O1470" s="4" t="n">
        <v>1828</v>
      </c>
      <c r="P1470" s="4" t="n">
        <f aca="false">IF(A1470=A1469,P1469+1-M1469,0)</f>
        <v>1</v>
      </c>
    </row>
    <row r="1471" customFormat="false" ht="15" hidden="false" customHeight="false" outlineLevel="0" collapsed="false">
      <c r="A1471" s="29" t="s">
        <v>4115</v>
      </c>
      <c r="B1471" s="29" t="s">
        <v>52</v>
      </c>
      <c r="C1471" s="29" t="s">
        <v>95</v>
      </c>
      <c r="D1471" s="29" t="s">
        <v>4116</v>
      </c>
      <c r="E1471" s="4" t="n">
        <v>5</v>
      </c>
      <c r="F1471" s="4" t="s">
        <v>213</v>
      </c>
      <c r="G1471" s="4" t="s">
        <v>565</v>
      </c>
      <c r="H1471" s="4" t="n">
        <v>1932</v>
      </c>
      <c r="I1471" s="4" t="s">
        <v>168</v>
      </c>
      <c r="J1471" s="25" t="str">
        <f aca="false">IF(M1471=1,"✓","")</f>
        <v/>
      </c>
      <c r="K1471" s="4" t="str">
        <f aca="false">IF(AND(M1471=0,P1471=0),"▶ NEXT","")</f>
        <v/>
      </c>
      <c r="L1471" s="4" t="n">
        <f aca="false">INDEX('Master List'!$F$2:$F$2594,O1471)</f>
        <v>3</v>
      </c>
      <c r="M1471" s="4" t="n">
        <f aca="false">INDEX('Master List'!$G$2:$G$2594,O1471)</f>
        <v>0</v>
      </c>
      <c r="N1471" s="4" t="str">
        <f aca="false">IF(K1471="","",A1471)</f>
        <v/>
      </c>
      <c r="O1471" s="4" t="n">
        <v>1983</v>
      </c>
      <c r="P1471" s="4" t="n">
        <f aca="false">IF(A1471=A1470,P1470+1-M1470,0)</f>
        <v>2</v>
      </c>
    </row>
    <row r="1472" customFormat="false" ht="15" hidden="false" customHeight="false" outlineLevel="0" collapsed="false">
      <c r="A1472" s="29" t="s">
        <v>4115</v>
      </c>
      <c r="B1472" s="29" t="s">
        <v>52</v>
      </c>
      <c r="C1472" s="29" t="s">
        <v>95</v>
      </c>
      <c r="D1472" s="29" t="s">
        <v>4116</v>
      </c>
      <c r="E1472" s="4" t="n">
        <v>6</v>
      </c>
      <c r="F1472" s="4" t="s">
        <v>213</v>
      </c>
      <c r="G1472" s="4" t="s">
        <v>1777</v>
      </c>
      <c r="H1472" s="4" t="n">
        <v>1938</v>
      </c>
      <c r="I1472" s="4" t="s">
        <v>335</v>
      </c>
      <c r="J1472" s="25" t="str">
        <f aca="false">IF(M1472=1,"✓","")</f>
        <v/>
      </c>
      <c r="K1472" s="4" t="str">
        <f aca="false">IF(AND(M1472=0,P1472=0),"▶ NEXT","")</f>
        <v/>
      </c>
      <c r="L1472" s="4" t="n">
        <f aca="false">INDEX('Master List'!$F$2:$F$2594,O1472)</f>
        <v>1</v>
      </c>
      <c r="M1472" s="4" t="n">
        <f aca="false">INDEX('Master List'!$G$2:$G$2594,O1472)</f>
        <v>0</v>
      </c>
      <c r="N1472" s="4" t="str">
        <f aca="false">IF(K1472="","",A1472)</f>
        <v/>
      </c>
      <c r="O1472" s="4" t="n">
        <v>107</v>
      </c>
      <c r="P1472" s="4" t="n">
        <f aca="false">IF(A1472=A1471,P1471+1-M1471,0)</f>
        <v>3</v>
      </c>
    </row>
    <row r="1473" customFormat="false" ht="15" hidden="false" customHeight="false" outlineLevel="0" collapsed="false">
      <c r="A1473" s="29" t="s">
        <v>4115</v>
      </c>
      <c r="B1473" s="29" t="s">
        <v>52</v>
      </c>
      <c r="C1473" s="29" t="s">
        <v>95</v>
      </c>
      <c r="D1473" s="29" t="s">
        <v>4116</v>
      </c>
      <c r="E1473" s="4" t="n">
        <v>7</v>
      </c>
      <c r="F1473" s="4" t="s">
        <v>213</v>
      </c>
      <c r="G1473" s="4" t="s">
        <v>1868</v>
      </c>
      <c r="H1473" s="4" t="n">
        <v>1949</v>
      </c>
      <c r="I1473" s="4" t="s">
        <v>1869</v>
      </c>
      <c r="J1473" s="25" t="str">
        <f aca="false">IF(M1473=1,"✓","")</f>
        <v/>
      </c>
      <c r="K1473" s="4" t="str">
        <f aca="false">IF(AND(M1473=0,P1473=0),"▶ NEXT","")</f>
        <v/>
      </c>
      <c r="L1473" s="4" t="n">
        <f aca="false">INDEX('Master List'!$F$2:$F$2594,O1473)</f>
        <v>1</v>
      </c>
      <c r="M1473" s="4" t="n">
        <f aca="false">INDEX('Master List'!$G$2:$G$2594,O1473)</f>
        <v>0</v>
      </c>
      <c r="N1473" s="4" t="str">
        <f aca="false">IF(K1473="","",A1473)</f>
        <v/>
      </c>
      <c r="O1473" s="4" t="n">
        <v>2502</v>
      </c>
      <c r="P1473" s="4" t="n">
        <f aca="false">IF(A1473=A1472,P1472+1-M1472,0)</f>
        <v>4</v>
      </c>
    </row>
    <row r="1474" customFormat="false" ht="15" hidden="false" customHeight="false" outlineLevel="0" collapsed="false">
      <c r="A1474" s="29" t="s">
        <v>4115</v>
      </c>
      <c r="B1474" s="29" t="s">
        <v>52</v>
      </c>
      <c r="C1474" s="29" t="s">
        <v>95</v>
      </c>
      <c r="D1474" s="29" t="s">
        <v>4116</v>
      </c>
      <c r="E1474" s="4" t="n">
        <v>8</v>
      </c>
      <c r="F1474" s="4" t="s">
        <v>213</v>
      </c>
      <c r="G1474" s="4" t="s">
        <v>393</v>
      </c>
      <c r="H1474" s="4" t="n">
        <v>1974</v>
      </c>
      <c r="I1474" s="4" t="s">
        <v>172</v>
      </c>
      <c r="J1474" s="25" t="str">
        <f aca="false">IF(M1474=1,"✓","")</f>
        <v/>
      </c>
      <c r="K1474" s="4" t="str">
        <f aca="false">IF(AND(M1474=0,P1474=0),"▶ NEXT","")</f>
        <v/>
      </c>
      <c r="L1474" s="4" t="n">
        <f aca="false">INDEX('Master List'!$F$2:$F$2594,O1474)</f>
        <v>4</v>
      </c>
      <c r="M1474" s="4" t="n">
        <f aca="false">INDEX('Master List'!$G$2:$G$2594,O1474)</f>
        <v>0</v>
      </c>
      <c r="N1474" s="4" t="str">
        <f aca="false">IF(K1474="","",A1474)</f>
        <v/>
      </c>
      <c r="O1474" s="4" t="n">
        <v>910</v>
      </c>
      <c r="P1474" s="4" t="n">
        <f aca="false">IF(A1474=A1473,P1473+1-M1473,0)</f>
        <v>5</v>
      </c>
    </row>
    <row r="1475" customFormat="false" ht="15" hidden="false" customHeight="false" outlineLevel="0" collapsed="false">
      <c r="A1475" s="29" t="s">
        <v>4115</v>
      </c>
      <c r="B1475" s="29" t="s">
        <v>52</v>
      </c>
      <c r="C1475" s="29" t="s">
        <v>95</v>
      </c>
      <c r="D1475" s="29" t="s">
        <v>4116</v>
      </c>
      <c r="E1475" s="4" t="n">
        <v>9</v>
      </c>
      <c r="F1475" s="4" t="s">
        <v>213</v>
      </c>
      <c r="G1475" s="4" t="s">
        <v>565</v>
      </c>
      <c r="H1475" s="4" t="n">
        <v>1983</v>
      </c>
      <c r="I1475" s="4" t="s">
        <v>488</v>
      </c>
      <c r="J1475" s="25" t="str">
        <f aca="false">IF(M1475=1,"✓","")</f>
        <v/>
      </c>
      <c r="K1475" s="4" t="str">
        <f aca="false">IF(AND(M1475=0,P1475=0),"▶ NEXT","")</f>
        <v/>
      </c>
      <c r="L1475" s="4" t="n">
        <f aca="false">INDEX('Master List'!$F$2:$F$2594,O1475)</f>
        <v>2</v>
      </c>
      <c r="M1475" s="4" t="n">
        <f aca="false">INDEX('Master List'!$G$2:$G$2594,O1475)</f>
        <v>0</v>
      </c>
      <c r="N1475" s="4" t="str">
        <f aca="false">IF(K1475="","",A1475)</f>
        <v/>
      </c>
      <c r="O1475" s="4" t="n">
        <v>1984</v>
      </c>
      <c r="P1475" s="4" t="n">
        <f aca="false">IF(A1475=A1474,P1474+1-M1474,0)</f>
        <v>6</v>
      </c>
    </row>
    <row r="1476" customFormat="false" ht="15" hidden="false" customHeight="false" outlineLevel="0" collapsed="false">
      <c r="A1476" s="29" t="s">
        <v>4115</v>
      </c>
      <c r="B1476" s="29" t="s">
        <v>52</v>
      </c>
      <c r="C1476" s="29" t="s">
        <v>95</v>
      </c>
      <c r="D1476" s="29" t="s">
        <v>4116</v>
      </c>
      <c r="E1476" s="4" t="n">
        <v>10</v>
      </c>
      <c r="F1476" s="4" t="s">
        <v>213</v>
      </c>
      <c r="G1476" s="4" t="s">
        <v>394</v>
      </c>
      <c r="H1476" s="4" t="n">
        <v>1984</v>
      </c>
      <c r="I1476" s="4" t="s">
        <v>395</v>
      </c>
      <c r="J1476" s="25" t="str">
        <f aca="false">IF(M1476=1,"✓","")</f>
        <v/>
      </c>
      <c r="K1476" s="4" t="str">
        <f aca="false">IF(AND(M1476=0,P1476=0),"▶ NEXT","")</f>
        <v/>
      </c>
      <c r="L1476" s="4" t="n">
        <f aca="false">INDEX('Master List'!$F$2:$F$2594,O1476)</f>
        <v>4</v>
      </c>
      <c r="M1476" s="4" t="n">
        <f aca="false">INDEX('Master List'!$G$2:$G$2594,O1476)</f>
        <v>0</v>
      </c>
      <c r="N1476" s="4" t="str">
        <f aca="false">IF(K1476="","",A1476)</f>
        <v/>
      </c>
      <c r="O1476" s="4" t="n">
        <v>1669</v>
      </c>
      <c r="P1476" s="4" t="n">
        <f aca="false">IF(A1476=A1475,P1475+1-M1475,0)</f>
        <v>7</v>
      </c>
    </row>
    <row r="1477" customFormat="false" ht="15" hidden="false" customHeight="false" outlineLevel="0" collapsed="false">
      <c r="A1477" s="29" t="s">
        <v>4115</v>
      </c>
      <c r="B1477" s="29" t="s">
        <v>52</v>
      </c>
      <c r="C1477" s="29" t="s">
        <v>95</v>
      </c>
      <c r="D1477" s="29" t="s">
        <v>4116</v>
      </c>
      <c r="E1477" s="4" t="n">
        <v>11</v>
      </c>
      <c r="F1477" s="4" t="s">
        <v>213</v>
      </c>
      <c r="G1477" s="4" t="s">
        <v>612</v>
      </c>
      <c r="H1477" s="4" t="n">
        <v>1990</v>
      </c>
      <c r="I1477" s="4" t="s">
        <v>397</v>
      </c>
      <c r="J1477" s="25" t="str">
        <f aca="false">IF(M1477=1,"✓","")</f>
        <v>✓</v>
      </c>
      <c r="K1477" s="4" t="str">
        <f aca="false">IF(AND(M1477=0,P1477=0),"▶ NEXT","")</f>
        <v/>
      </c>
      <c r="L1477" s="4" t="n">
        <f aca="false">INDEX('Master List'!$F$2:$F$2594,O1477)</f>
        <v>3</v>
      </c>
      <c r="M1477" s="4" t="n">
        <f aca="false">INDEX('Master List'!$G$2:$G$2594,O1477)</f>
        <v>1</v>
      </c>
      <c r="N1477" s="4" t="str">
        <f aca="false">IF(K1477="","",A1477)</f>
        <v/>
      </c>
      <c r="O1477" s="4" t="n">
        <v>1504</v>
      </c>
      <c r="P1477" s="4" t="n">
        <f aca="false">IF(A1477=A1476,P1476+1-M1476,0)</f>
        <v>8</v>
      </c>
    </row>
    <row r="1478" customFormat="false" ht="15" hidden="false" customHeight="false" outlineLevel="0" collapsed="false">
      <c r="A1478" s="29" t="s">
        <v>4115</v>
      </c>
      <c r="B1478" s="29" t="s">
        <v>52</v>
      </c>
      <c r="C1478" s="29" t="s">
        <v>95</v>
      </c>
      <c r="D1478" s="29" t="s">
        <v>4116</v>
      </c>
      <c r="E1478" s="4" t="n">
        <v>12</v>
      </c>
      <c r="F1478" s="4" t="s">
        <v>213</v>
      </c>
      <c r="G1478" s="4" t="s">
        <v>1112</v>
      </c>
      <c r="H1478" s="4" t="n">
        <v>1995</v>
      </c>
      <c r="I1478" s="4" t="s">
        <v>164</v>
      </c>
      <c r="J1478" s="25" t="str">
        <f aca="false">IF(M1478=1,"✓","")</f>
        <v/>
      </c>
      <c r="K1478" s="4" t="str">
        <f aca="false">IF(AND(M1478=0,P1478=0),"▶ NEXT","")</f>
        <v/>
      </c>
      <c r="L1478" s="4" t="n">
        <f aca="false">INDEX('Master List'!$F$2:$F$2594,O1478)</f>
        <v>2</v>
      </c>
      <c r="M1478" s="4" t="n">
        <f aca="false">INDEX('Master List'!$G$2:$G$2594,O1478)</f>
        <v>0</v>
      </c>
      <c r="N1478" s="4" t="str">
        <f aca="false">IF(K1478="","",A1478)</f>
        <v/>
      </c>
      <c r="O1478" s="4" t="n">
        <v>404</v>
      </c>
      <c r="P1478" s="4" t="n">
        <f aca="false">IF(A1478=A1477,P1477+1-M1477,0)</f>
        <v>8</v>
      </c>
    </row>
    <row r="1479" customFormat="false" ht="15" hidden="false" customHeight="false" outlineLevel="0" collapsed="false">
      <c r="A1479" s="29" t="s">
        <v>4115</v>
      </c>
      <c r="B1479" s="29" t="s">
        <v>52</v>
      </c>
      <c r="C1479" s="29" t="s">
        <v>95</v>
      </c>
      <c r="D1479" s="29" t="s">
        <v>4116</v>
      </c>
      <c r="E1479" s="4" t="n">
        <v>13</v>
      </c>
      <c r="F1479" s="4" t="s">
        <v>213</v>
      </c>
      <c r="G1479" s="4" t="s">
        <v>1254</v>
      </c>
      <c r="H1479" s="4" t="n">
        <v>2019</v>
      </c>
      <c r="I1479" s="4" t="s">
        <v>164</v>
      </c>
      <c r="J1479" s="25" t="str">
        <f aca="false">IF(M1479=1,"✓","")</f>
        <v/>
      </c>
      <c r="K1479" s="4" t="str">
        <f aca="false">IF(AND(M1479=0,P1479=0),"▶ NEXT","")</f>
        <v/>
      </c>
      <c r="L1479" s="4" t="n">
        <f aca="false">INDEX('Master List'!$F$2:$F$2594,O1479)</f>
        <v>2</v>
      </c>
      <c r="M1479" s="4" t="n">
        <f aca="false">INDEX('Master List'!$G$2:$G$2594,O1479)</f>
        <v>0</v>
      </c>
      <c r="N1479" s="4" t="str">
        <f aca="false">IF(K1479="","",A1479)</f>
        <v/>
      </c>
      <c r="O1479" s="4" t="n">
        <v>1164</v>
      </c>
      <c r="P1479" s="4" t="n">
        <f aca="false">IF(A1479=A1478,P1478+1-M1478,0)</f>
        <v>9</v>
      </c>
    </row>
    <row r="1480" customFormat="false" ht="15" hidden="false" customHeight="false" outlineLevel="0" collapsed="false">
      <c r="A1480" s="29" t="s">
        <v>4115</v>
      </c>
      <c r="B1480" s="29" t="s">
        <v>52</v>
      </c>
      <c r="C1480" s="29" t="s">
        <v>95</v>
      </c>
      <c r="D1480" s="29" t="s">
        <v>4116</v>
      </c>
      <c r="E1480" s="4" t="n">
        <v>14</v>
      </c>
      <c r="F1480" s="4" t="s">
        <v>1327</v>
      </c>
      <c r="G1480" s="4" t="s">
        <v>3334</v>
      </c>
      <c r="H1480" s="4" t="n">
        <v>1939</v>
      </c>
      <c r="I1480" s="4" t="s">
        <v>1869</v>
      </c>
      <c r="J1480" s="25" t="str">
        <f aca="false">IF(M1480=1,"✓","")</f>
        <v/>
      </c>
      <c r="K1480" s="4" t="str">
        <f aca="false">IF(AND(M1480=0,P1480=0),"▶ NEXT","")</f>
        <v/>
      </c>
      <c r="L1480" s="4" t="n">
        <f aca="false">INDEX('Master List'!$F$2:$F$2594,O1480)</f>
        <v>1</v>
      </c>
      <c r="M1480" s="4" t="n">
        <f aca="false">INDEX('Master List'!$G$2:$G$2594,O1480)</f>
        <v>0</v>
      </c>
      <c r="N1480" s="4" t="str">
        <f aca="false">IF(K1480="","",A1480)</f>
        <v/>
      </c>
      <c r="O1480" s="4" t="n">
        <v>1915</v>
      </c>
      <c r="P1480" s="4" t="n">
        <f aca="false">IF(A1480=A1479,P1479+1-M1479,0)</f>
        <v>10</v>
      </c>
    </row>
    <row r="1481" customFormat="false" ht="15" hidden="false" customHeight="false" outlineLevel="0" collapsed="false">
      <c r="A1481" s="29" t="s">
        <v>4115</v>
      </c>
      <c r="B1481" s="29" t="s">
        <v>52</v>
      </c>
      <c r="C1481" s="29" t="s">
        <v>95</v>
      </c>
      <c r="D1481" s="29" t="s">
        <v>4116</v>
      </c>
      <c r="E1481" s="4" t="n">
        <v>15</v>
      </c>
      <c r="F1481" s="4" t="s">
        <v>1327</v>
      </c>
      <c r="G1481" s="4" t="s">
        <v>3661</v>
      </c>
      <c r="H1481" s="4" t="n">
        <v>1990</v>
      </c>
      <c r="I1481" s="4" t="s">
        <v>3597</v>
      </c>
      <c r="J1481" s="25" t="str">
        <f aca="false">IF(M1481=1,"✓","")</f>
        <v/>
      </c>
      <c r="K1481" s="4" t="str">
        <f aca="false">IF(AND(M1481=0,P1481=0),"▶ NEXT","")</f>
        <v/>
      </c>
      <c r="L1481" s="4" t="n">
        <f aca="false">INDEX('Master List'!$F$2:$F$2594,O1481)</f>
        <v>1</v>
      </c>
      <c r="M1481" s="4" t="n">
        <f aca="false">INDEX('Master List'!$G$2:$G$2594,O1481)</f>
        <v>0</v>
      </c>
      <c r="N1481" s="4" t="str">
        <f aca="false">IF(K1481="","",A1481)</f>
        <v/>
      </c>
      <c r="O1481" s="4" t="n">
        <v>1260</v>
      </c>
      <c r="P1481" s="4" t="n">
        <f aca="false">IF(A1481=A1480,P1480+1-M1480,0)</f>
        <v>11</v>
      </c>
    </row>
    <row r="1482" customFormat="false" ht="15" hidden="false" customHeight="false" outlineLevel="0" collapsed="false">
      <c r="A1482" s="29" t="s">
        <v>4117</v>
      </c>
      <c r="B1482" s="29" t="s">
        <v>52</v>
      </c>
      <c r="C1482" s="29" t="s">
        <v>95</v>
      </c>
      <c r="D1482" s="29" t="s">
        <v>4118</v>
      </c>
      <c r="E1482" s="4" t="n">
        <v>1</v>
      </c>
      <c r="F1482" s="4" t="s">
        <v>144</v>
      </c>
      <c r="G1482" s="7" t="s">
        <v>657</v>
      </c>
      <c r="H1482" s="4" t="n">
        <v>1955</v>
      </c>
      <c r="I1482" s="4" t="s">
        <v>658</v>
      </c>
      <c r="J1482" s="25" t="str">
        <f aca="false">IF(M1482=1,"✓","")</f>
        <v/>
      </c>
      <c r="K1482" s="4" t="str">
        <f aca="false">IF(AND(M1482=0,P1482=0),"▶ NEXT","")</f>
        <v>▶ NEXT</v>
      </c>
      <c r="L1482" s="4" t="n">
        <f aca="false">INDEX('Master List'!$F$2:$F$2594,O1482)</f>
        <v>2</v>
      </c>
      <c r="M1482" s="4" t="n">
        <f aca="false">INDEX('Master List'!$G$2:$G$2594,O1482)</f>
        <v>0</v>
      </c>
      <c r="N1482" s="4" t="str">
        <f aca="false">IF(K1482="","",A1482)</f>
        <v>N122</v>
      </c>
      <c r="O1482" s="4" t="n">
        <v>1905</v>
      </c>
      <c r="P1482" s="4" t="n">
        <f aca="false">IF(A1482=A1481,P1481+1-M1481,0)</f>
        <v>0</v>
      </c>
    </row>
    <row r="1483" customFormat="false" ht="15" hidden="false" customHeight="false" outlineLevel="0" collapsed="false">
      <c r="A1483" s="29" t="s">
        <v>4117</v>
      </c>
      <c r="B1483" s="29" t="s">
        <v>52</v>
      </c>
      <c r="C1483" s="29" t="s">
        <v>95</v>
      </c>
      <c r="D1483" s="29" t="s">
        <v>4118</v>
      </c>
      <c r="E1483" s="4" t="n">
        <v>2</v>
      </c>
      <c r="F1483" s="4" t="s">
        <v>144</v>
      </c>
      <c r="G1483" s="7" t="s">
        <v>295</v>
      </c>
      <c r="H1483" s="4" t="n">
        <v>1995</v>
      </c>
      <c r="I1483" s="4" t="s">
        <v>296</v>
      </c>
      <c r="J1483" s="25" t="str">
        <f aca="false">IF(M1483=1,"✓","")</f>
        <v>✓</v>
      </c>
      <c r="K1483" s="4" t="str">
        <f aca="false">IF(AND(M1483=0,P1483=0),"▶ NEXT","")</f>
        <v/>
      </c>
      <c r="L1483" s="4" t="n">
        <f aca="false">INDEX('Master List'!$F$2:$F$2594,O1483)</f>
        <v>4</v>
      </c>
      <c r="M1483" s="4" t="n">
        <f aca="false">INDEX('Master List'!$G$2:$G$2594,O1483)</f>
        <v>1</v>
      </c>
      <c r="N1483" s="4" t="str">
        <f aca="false">IF(K1483="","",A1483)</f>
        <v/>
      </c>
      <c r="O1483" s="4" t="n">
        <v>1011</v>
      </c>
      <c r="P1483" s="4" t="n">
        <f aca="false">IF(A1483=A1482,P1482+1-M1482,0)</f>
        <v>1</v>
      </c>
    </row>
    <row r="1484" customFormat="false" ht="15" hidden="false" customHeight="false" outlineLevel="0" collapsed="false">
      <c r="A1484" s="29" t="s">
        <v>4117</v>
      </c>
      <c r="B1484" s="29" t="s">
        <v>52</v>
      </c>
      <c r="C1484" s="29" t="s">
        <v>95</v>
      </c>
      <c r="D1484" s="29" t="s">
        <v>4118</v>
      </c>
      <c r="E1484" s="4" t="n">
        <v>3</v>
      </c>
      <c r="F1484" s="4" t="s">
        <v>213</v>
      </c>
      <c r="G1484" s="4" t="s">
        <v>1274</v>
      </c>
      <c r="H1484" s="4" t="n">
        <v>1950</v>
      </c>
      <c r="I1484" s="4" t="s">
        <v>283</v>
      </c>
      <c r="J1484" s="25" t="str">
        <f aca="false">IF(M1484=1,"✓","")</f>
        <v/>
      </c>
      <c r="K1484" s="4" t="str">
        <f aca="false">IF(AND(M1484=0,P1484=0),"▶ NEXT","")</f>
        <v/>
      </c>
      <c r="L1484" s="4" t="n">
        <f aca="false">INDEX('Master List'!$F$2:$F$2594,O1484)</f>
        <v>2</v>
      </c>
      <c r="M1484" s="4" t="n">
        <f aca="false">INDEX('Master List'!$G$2:$G$2594,O1484)</f>
        <v>0</v>
      </c>
      <c r="N1484" s="4" t="str">
        <f aca="false">IF(K1484="","",A1484)</f>
        <v/>
      </c>
      <c r="O1484" s="4" t="n">
        <v>139</v>
      </c>
      <c r="P1484" s="4" t="n">
        <f aca="false">IF(A1484=A1483,P1483+1-M1483,0)</f>
        <v>1</v>
      </c>
    </row>
    <row r="1485" customFormat="false" ht="15" hidden="false" customHeight="false" outlineLevel="0" collapsed="false">
      <c r="A1485" s="29" t="s">
        <v>4117</v>
      </c>
      <c r="B1485" s="29" t="s">
        <v>52</v>
      </c>
      <c r="C1485" s="29" t="s">
        <v>95</v>
      </c>
      <c r="D1485" s="29" t="s">
        <v>4118</v>
      </c>
      <c r="E1485" s="4" t="n">
        <v>4</v>
      </c>
      <c r="F1485" s="4" t="s">
        <v>213</v>
      </c>
      <c r="G1485" s="4" t="s">
        <v>576</v>
      </c>
      <c r="H1485" s="4" t="n">
        <v>1956</v>
      </c>
      <c r="I1485" s="4" t="s">
        <v>187</v>
      </c>
      <c r="J1485" s="25" t="str">
        <f aca="false">IF(M1485=1,"✓","")</f>
        <v>✓</v>
      </c>
      <c r="K1485" s="4" t="str">
        <f aca="false">IF(AND(M1485=0,P1485=0),"▶ NEXT","")</f>
        <v/>
      </c>
      <c r="L1485" s="4" t="n">
        <f aca="false">INDEX('Master List'!$F$2:$F$2594,O1485)</f>
        <v>3</v>
      </c>
      <c r="M1485" s="4" t="n">
        <f aca="false">INDEX('Master List'!$G$2:$G$2594,O1485)</f>
        <v>1</v>
      </c>
      <c r="N1485" s="4" t="str">
        <f aca="false">IF(K1485="","",A1485)</f>
        <v/>
      </c>
      <c r="O1485" s="4" t="n">
        <v>1252</v>
      </c>
      <c r="P1485" s="4" t="n">
        <f aca="false">IF(A1485=A1484,P1484+1-M1484,0)</f>
        <v>2</v>
      </c>
    </row>
    <row r="1486" customFormat="false" ht="15" hidden="false" customHeight="false" outlineLevel="0" collapsed="false">
      <c r="A1486" s="29" t="s">
        <v>4117</v>
      </c>
      <c r="B1486" s="29" t="s">
        <v>52</v>
      </c>
      <c r="C1486" s="29" t="s">
        <v>95</v>
      </c>
      <c r="D1486" s="29" t="s">
        <v>4118</v>
      </c>
      <c r="E1486" s="4" t="n">
        <v>5</v>
      </c>
      <c r="F1486" s="4" t="s">
        <v>213</v>
      </c>
      <c r="G1486" s="4" t="s">
        <v>577</v>
      </c>
      <c r="H1486" s="4" t="n">
        <v>1956</v>
      </c>
      <c r="I1486" s="4" t="s">
        <v>290</v>
      </c>
      <c r="J1486" s="25" t="str">
        <f aca="false">IF(M1486=1,"✓","")</f>
        <v/>
      </c>
      <c r="K1486" s="4" t="str">
        <f aca="false">IF(AND(M1486=0,P1486=0),"▶ NEXT","")</f>
        <v/>
      </c>
      <c r="L1486" s="4" t="n">
        <f aca="false">INDEX('Master List'!$F$2:$F$2594,O1486)</f>
        <v>3</v>
      </c>
      <c r="M1486" s="4" t="n">
        <f aca="false">INDEX('Master List'!$G$2:$G$2594,O1486)</f>
        <v>0</v>
      </c>
      <c r="N1486" s="4" t="str">
        <f aca="false">IF(K1486="","",A1486)</f>
        <v/>
      </c>
      <c r="O1486" s="4" t="n">
        <v>305</v>
      </c>
      <c r="P1486" s="4" t="n">
        <f aca="false">IF(A1486=A1485,P1485+1-M1485,0)</f>
        <v>2</v>
      </c>
    </row>
    <row r="1487" customFormat="false" ht="15" hidden="false" customHeight="false" outlineLevel="0" collapsed="false">
      <c r="A1487" s="29" t="s">
        <v>4117</v>
      </c>
      <c r="B1487" s="29" t="s">
        <v>52</v>
      </c>
      <c r="C1487" s="29" t="s">
        <v>95</v>
      </c>
      <c r="D1487" s="29" t="s">
        <v>4118</v>
      </c>
      <c r="E1487" s="4" t="n">
        <v>6</v>
      </c>
      <c r="F1487" s="4" t="s">
        <v>213</v>
      </c>
      <c r="G1487" s="4" t="s">
        <v>754</v>
      </c>
      <c r="H1487" s="4" t="n">
        <v>1958</v>
      </c>
      <c r="I1487" s="4" t="s">
        <v>755</v>
      </c>
      <c r="J1487" s="25" t="str">
        <f aca="false">IF(M1487=1,"✓","")</f>
        <v/>
      </c>
      <c r="K1487" s="4" t="str">
        <f aca="false">IF(AND(M1487=0,P1487=0),"▶ NEXT","")</f>
        <v/>
      </c>
      <c r="L1487" s="4" t="n">
        <f aca="false">INDEX('Master List'!$F$2:$F$2594,O1487)</f>
        <v>2</v>
      </c>
      <c r="M1487" s="4" t="n">
        <f aca="false">INDEX('Master List'!$G$2:$G$2594,O1487)</f>
        <v>0</v>
      </c>
      <c r="N1487" s="4" t="str">
        <f aca="false">IF(K1487="","",A1487)</f>
        <v/>
      </c>
      <c r="O1487" s="4" t="n">
        <v>240</v>
      </c>
      <c r="P1487" s="4" t="n">
        <f aca="false">IF(A1487=A1486,P1486+1-M1486,0)</f>
        <v>3</v>
      </c>
    </row>
    <row r="1488" customFormat="false" ht="15" hidden="false" customHeight="false" outlineLevel="0" collapsed="false">
      <c r="A1488" s="29" t="s">
        <v>4117</v>
      </c>
      <c r="B1488" s="29" t="s">
        <v>52</v>
      </c>
      <c r="C1488" s="29" t="s">
        <v>95</v>
      </c>
      <c r="D1488" s="29" t="s">
        <v>4118</v>
      </c>
      <c r="E1488" s="4" t="n">
        <v>7</v>
      </c>
      <c r="F1488" s="4" t="s">
        <v>213</v>
      </c>
      <c r="G1488" s="4" t="s">
        <v>2047</v>
      </c>
      <c r="H1488" s="4" t="n">
        <v>1964</v>
      </c>
      <c r="I1488" s="4" t="s">
        <v>658</v>
      </c>
      <c r="J1488" s="25" t="str">
        <f aca="false">IF(M1488=1,"✓","")</f>
        <v/>
      </c>
      <c r="K1488" s="4" t="str">
        <f aca="false">IF(AND(M1488=0,P1488=0),"▶ NEXT","")</f>
        <v/>
      </c>
      <c r="L1488" s="4" t="n">
        <f aca="false">INDEX('Master List'!$F$2:$F$2594,O1488)</f>
        <v>1</v>
      </c>
      <c r="M1488" s="4" t="n">
        <f aca="false">INDEX('Master List'!$G$2:$G$2594,O1488)</f>
        <v>0</v>
      </c>
      <c r="N1488" s="4" t="str">
        <f aca="false">IF(K1488="","",A1488)</f>
        <v/>
      </c>
      <c r="O1488" s="4" t="n">
        <v>2340</v>
      </c>
      <c r="P1488" s="4" t="n">
        <f aca="false">IF(A1488=A1487,P1487+1-M1487,0)</f>
        <v>4</v>
      </c>
    </row>
    <row r="1489" customFormat="false" ht="15" hidden="false" customHeight="false" outlineLevel="0" collapsed="false">
      <c r="A1489" s="29" t="s">
        <v>4117</v>
      </c>
      <c r="B1489" s="29" t="s">
        <v>52</v>
      </c>
      <c r="C1489" s="29" t="s">
        <v>95</v>
      </c>
      <c r="D1489" s="29" t="s">
        <v>4118</v>
      </c>
      <c r="E1489" s="4" t="n">
        <v>8</v>
      </c>
      <c r="F1489" s="4" t="s">
        <v>213</v>
      </c>
      <c r="G1489" s="4" t="s">
        <v>386</v>
      </c>
      <c r="H1489" s="4" t="n">
        <v>1970</v>
      </c>
      <c r="I1489" s="4" t="s">
        <v>290</v>
      </c>
      <c r="J1489" s="25" t="str">
        <f aca="false">IF(M1489=1,"✓","")</f>
        <v/>
      </c>
      <c r="K1489" s="4" t="str">
        <f aca="false">IF(AND(M1489=0,P1489=0),"▶ NEXT","")</f>
        <v/>
      </c>
      <c r="L1489" s="4" t="n">
        <f aca="false">INDEX('Master List'!$F$2:$F$2594,O1489)</f>
        <v>4</v>
      </c>
      <c r="M1489" s="4" t="n">
        <f aca="false">INDEX('Master List'!$G$2:$G$2594,O1489)</f>
        <v>0</v>
      </c>
      <c r="N1489" s="4" t="str">
        <f aca="false">IF(K1489="","",A1489)</f>
        <v/>
      </c>
      <c r="O1489" s="4" t="n">
        <v>422</v>
      </c>
      <c r="P1489" s="4" t="n">
        <f aca="false">IF(A1489=A1488,P1488+1-M1488,0)</f>
        <v>5</v>
      </c>
    </row>
    <row r="1490" customFormat="false" ht="15" hidden="false" customHeight="false" outlineLevel="0" collapsed="false">
      <c r="A1490" s="29" t="s">
        <v>4117</v>
      </c>
      <c r="B1490" s="29" t="s">
        <v>52</v>
      </c>
      <c r="C1490" s="29" t="s">
        <v>95</v>
      </c>
      <c r="D1490" s="29" t="s">
        <v>4118</v>
      </c>
      <c r="E1490" s="4" t="n">
        <v>9</v>
      </c>
      <c r="F1490" s="4" t="s">
        <v>213</v>
      </c>
      <c r="G1490" s="4" t="s">
        <v>559</v>
      </c>
      <c r="H1490" s="4" t="n">
        <v>1981</v>
      </c>
      <c r="I1490" s="4" t="s">
        <v>296</v>
      </c>
      <c r="J1490" s="25" t="str">
        <f aca="false">IF(M1490=1,"✓","")</f>
        <v/>
      </c>
      <c r="K1490" s="4" t="str">
        <f aca="false">IF(AND(M1490=0,P1490=0),"▶ NEXT","")</f>
        <v/>
      </c>
      <c r="L1490" s="4" t="n">
        <f aca="false">INDEX('Master List'!$F$2:$F$2594,O1490)</f>
        <v>4</v>
      </c>
      <c r="M1490" s="4" t="n">
        <f aca="false">INDEX('Master List'!$G$2:$G$2594,O1490)</f>
        <v>0</v>
      </c>
      <c r="N1490" s="4" t="str">
        <f aca="false">IF(K1490="","",A1490)</f>
        <v/>
      </c>
      <c r="O1490" s="4" t="n">
        <v>2274</v>
      </c>
      <c r="P1490" s="4" t="n">
        <f aca="false">IF(A1490=A1489,P1489+1-M1489,0)</f>
        <v>6</v>
      </c>
    </row>
    <row r="1491" customFormat="false" ht="15" hidden="false" customHeight="false" outlineLevel="0" collapsed="false">
      <c r="A1491" s="29" t="s">
        <v>4117</v>
      </c>
      <c r="B1491" s="29" t="s">
        <v>52</v>
      </c>
      <c r="C1491" s="29" t="s">
        <v>95</v>
      </c>
      <c r="D1491" s="29" t="s">
        <v>4118</v>
      </c>
      <c r="E1491" s="4" t="n">
        <v>10</v>
      </c>
      <c r="F1491" s="4" t="s">
        <v>213</v>
      </c>
      <c r="G1491" s="4" t="s">
        <v>258</v>
      </c>
      <c r="H1491" s="4" t="n">
        <v>1992</v>
      </c>
      <c r="I1491" s="4" t="s">
        <v>208</v>
      </c>
      <c r="J1491" s="25" t="str">
        <f aca="false">IF(M1491=1,"✓","")</f>
        <v>✓</v>
      </c>
      <c r="K1491" s="4" t="str">
        <f aca="false">IF(AND(M1491=0,P1491=0),"▶ NEXT","")</f>
        <v/>
      </c>
      <c r="L1491" s="4" t="n">
        <f aca="false">INDEX('Master List'!$F$2:$F$2594,O1491)</f>
        <v>5</v>
      </c>
      <c r="M1491" s="4" t="n">
        <f aca="false">INDEX('Master List'!$G$2:$G$2594,O1491)</f>
        <v>1</v>
      </c>
      <c r="N1491" s="4" t="str">
        <f aca="false">IF(K1491="","",A1491)</f>
        <v/>
      </c>
      <c r="O1491" s="4" t="n">
        <v>1892</v>
      </c>
      <c r="P1491" s="4" t="n">
        <f aca="false">IF(A1491=A1490,P1490+1-M1490,0)</f>
        <v>7</v>
      </c>
    </row>
    <row r="1492" customFormat="false" ht="15" hidden="false" customHeight="false" outlineLevel="0" collapsed="false">
      <c r="A1492" s="29" t="s">
        <v>4117</v>
      </c>
      <c r="B1492" s="29" t="s">
        <v>52</v>
      </c>
      <c r="C1492" s="29" t="s">
        <v>95</v>
      </c>
      <c r="D1492" s="29" t="s">
        <v>4118</v>
      </c>
      <c r="E1492" s="4" t="n">
        <v>11</v>
      </c>
      <c r="F1492" s="4" t="s">
        <v>213</v>
      </c>
      <c r="G1492" s="4" t="s">
        <v>632</v>
      </c>
      <c r="H1492" s="4" t="n">
        <v>2001</v>
      </c>
      <c r="I1492" s="4" t="s">
        <v>490</v>
      </c>
      <c r="J1492" s="25" t="str">
        <f aca="false">IF(M1492=1,"✓","")</f>
        <v>✓</v>
      </c>
      <c r="K1492" s="4" t="str">
        <f aca="false">IF(AND(M1492=0,P1492=0),"▶ NEXT","")</f>
        <v/>
      </c>
      <c r="L1492" s="4" t="n">
        <f aca="false">INDEX('Master List'!$F$2:$F$2594,O1492)</f>
        <v>3</v>
      </c>
      <c r="M1492" s="4" t="n">
        <f aca="false">INDEX('Master List'!$G$2:$G$2594,O1492)</f>
        <v>1</v>
      </c>
      <c r="N1492" s="4" t="str">
        <f aca="false">IF(K1492="","",A1492)</f>
        <v/>
      </c>
      <c r="O1492" s="4" t="n">
        <v>1646</v>
      </c>
      <c r="P1492" s="4" t="n">
        <f aca="false">IF(A1492=A1491,P1491+1-M1491,0)</f>
        <v>7</v>
      </c>
    </row>
    <row r="1493" customFormat="false" ht="15" hidden="false" customHeight="false" outlineLevel="0" collapsed="false">
      <c r="A1493" s="29" t="s">
        <v>4117</v>
      </c>
      <c r="B1493" s="29" t="s">
        <v>52</v>
      </c>
      <c r="C1493" s="29" t="s">
        <v>95</v>
      </c>
      <c r="D1493" s="29" t="s">
        <v>4118</v>
      </c>
      <c r="E1493" s="4" t="n">
        <v>12</v>
      </c>
      <c r="F1493" s="4" t="s">
        <v>213</v>
      </c>
      <c r="G1493" s="4" t="s">
        <v>1173</v>
      </c>
      <c r="H1493" s="4" t="n">
        <v>2006</v>
      </c>
      <c r="I1493" s="4" t="s">
        <v>148</v>
      </c>
      <c r="J1493" s="25" t="str">
        <f aca="false">IF(M1493=1,"✓","")</f>
        <v/>
      </c>
      <c r="K1493" s="4" t="str">
        <f aca="false">IF(AND(M1493=0,P1493=0),"▶ NEXT","")</f>
        <v/>
      </c>
      <c r="L1493" s="4" t="n">
        <f aca="false">INDEX('Master List'!$F$2:$F$2594,O1493)</f>
        <v>2</v>
      </c>
      <c r="M1493" s="4" t="n">
        <f aca="false">INDEX('Master List'!$G$2:$G$2594,O1493)</f>
        <v>0</v>
      </c>
      <c r="N1493" s="4" t="str">
        <f aca="false">IF(K1493="","",A1493)</f>
        <v/>
      </c>
      <c r="O1493" s="4" t="n">
        <v>1150</v>
      </c>
      <c r="P1493" s="4" t="n">
        <f aca="false">IF(A1493=A1492,P1492+1-M1492,0)</f>
        <v>7</v>
      </c>
    </row>
    <row r="1494" customFormat="false" ht="15" hidden="false" customHeight="false" outlineLevel="0" collapsed="false">
      <c r="A1494" s="29" t="s">
        <v>4117</v>
      </c>
      <c r="B1494" s="29" t="s">
        <v>52</v>
      </c>
      <c r="C1494" s="29" t="s">
        <v>95</v>
      </c>
      <c r="D1494" s="29" t="s">
        <v>4118</v>
      </c>
      <c r="E1494" s="4" t="n">
        <v>13</v>
      </c>
      <c r="F1494" s="4" t="s">
        <v>213</v>
      </c>
      <c r="G1494" s="4" t="s">
        <v>1234</v>
      </c>
      <c r="H1494" s="4" t="n">
        <v>2017</v>
      </c>
      <c r="I1494" s="4" t="s">
        <v>490</v>
      </c>
      <c r="J1494" s="25" t="str">
        <f aca="false">IF(M1494=1,"✓","")</f>
        <v>✓</v>
      </c>
      <c r="K1494" s="4" t="str">
        <f aca="false">IF(AND(M1494=0,P1494=0),"▶ NEXT","")</f>
        <v/>
      </c>
      <c r="L1494" s="4" t="n">
        <f aca="false">INDEX('Master List'!$F$2:$F$2594,O1494)</f>
        <v>2</v>
      </c>
      <c r="M1494" s="4" t="n">
        <f aca="false">INDEX('Master List'!$G$2:$G$2594,O1494)</f>
        <v>1</v>
      </c>
      <c r="N1494" s="4" t="str">
        <f aca="false">IF(K1494="","",A1494)</f>
        <v/>
      </c>
      <c r="O1494" s="4" t="n">
        <v>1366</v>
      </c>
      <c r="P1494" s="4" t="n">
        <f aca="false">IF(A1494=A1493,P1493+1-M1493,0)</f>
        <v>8</v>
      </c>
    </row>
    <row r="1495" customFormat="false" ht="15" hidden="false" customHeight="false" outlineLevel="0" collapsed="false">
      <c r="A1495" s="29" t="s">
        <v>4117</v>
      </c>
      <c r="B1495" s="29" t="s">
        <v>52</v>
      </c>
      <c r="C1495" s="29" t="s">
        <v>95</v>
      </c>
      <c r="D1495" s="29" t="s">
        <v>4118</v>
      </c>
      <c r="E1495" s="4" t="n">
        <v>14</v>
      </c>
      <c r="F1495" s="4" t="s">
        <v>1327</v>
      </c>
      <c r="G1495" s="4" t="s">
        <v>3491</v>
      </c>
      <c r="H1495" s="4" t="n">
        <v>1971</v>
      </c>
      <c r="I1495" s="4" t="s">
        <v>189</v>
      </c>
      <c r="J1495" s="25" t="str">
        <f aca="false">IF(M1495=1,"✓","")</f>
        <v/>
      </c>
      <c r="K1495" s="4" t="str">
        <f aca="false">IF(AND(M1495=0,P1495=0),"▶ NEXT","")</f>
        <v/>
      </c>
      <c r="L1495" s="4" t="n">
        <f aca="false">INDEX('Master List'!$F$2:$F$2594,O1495)</f>
        <v>1</v>
      </c>
      <c r="M1495" s="4" t="n">
        <f aca="false">INDEX('Master List'!$G$2:$G$2594,O1495)</f>
        <v>0</v>
      </c>
      <c r="N1495" s="4" t="str">
        <f aca="false">IF(K1495="","",A1495)</f>
        <v/>
      </c>
      <c r="O1495" s="4" t="n">
        <v>101</v>
      </c>
      <c r="P1495" s="4" t="n">
        <f aca="false">IF(A1495=A1494,P1494+1-M1494,0)</f>
        <v>8</v>
      </c>
    </row>
    <row r="1496" customFormat="false" ht="15" hidden="false" customHeight="false" outlineLevel="0" collapsed="false">
      <c r="A1496" s="29" t="s">
        <v>4117</v>
      </c>
      <c r="B1496" s="29" t="s">
        <v>52</v>
      </c>
      <c r="C1496" s="29" t="s">
        <v>95</v>
      </c>
      <c r="D1496" s="29" t="s">
        <v>4118</v>
      </c>
      <c r="E1496" s="4" t="n">
        <v>15</v>
      </c>
      <c r="F1496" s="4" t="s">
        <v>1327</v>
      </c>
      <c r="G1496" s="4" t="s">
        <v>3516</v>
      </c>
      <c r="H1496" s="4" t="n">
        <v>1973</v>
      </c>
      <c r="I1496" s="4" t="s">
        <v>409</v>
      </c>
      <c r="J1496" s="25" t="str">
        <f aca="false">IF(M1496=1,"✓","")</f>
        <v/>
      </c>
      <c r="K1496" s="4" t="str">
        <f aca="false">IF(AND(M1496=0,P1496=0),"▶ NEXT","")</f>
        <v/>
      </c>
      <c r="L1496" s="4" t="n">
        <f aca="false">INDEX('Master List'!$F$2:$F$2594,O1496)</f>
        <v>1</v>
      </c>
      <c r="M1496" s="4" t="n">
        <f aca="false">INDEX('Master List'!$G$2:$G$2594,O1496)</f>
        <v>0</v>
      </c>
      <c r="N1496" s="4" t="str">
        <f aca="false">IF(K1496="","",A1496)</f>
        <v/>
      </c>
      <c r="O1496" s="4" t="n">
        <v>431</v>
      </c>
      <c r="P1496" s="4" t="n">
        <f aca="false">IF(A1496=A1495,P1495+1-M1495,0)</f>
        <v>9</v>
      </c>
    </row>
    <row r="1497" customFormat="false" ht="15" hidden="false" customHeight="false" outlineLevel="0" collapsed="false">
      <c r="A1497" s="29" t="s">
        <v>4119</v>
      </c>
      <c r="B1497" s="29" t="s">
        <v>52</v>
      </c>
      <c r="C1497" s="29" t="s">
        <v>95</v>
      </c>
      <c r="D1497" s="29" t="s">
        <v>4120</v>
      </c>
      <c r="E1497" s="4" t="n">
        <v>1</v>
      </c>
      <c r="F1497" s="4" t="s">
        <v>144</v>
      </c>
      <c r="G1497" s="7" t="s">
        <v>478</v>
      </c>
      <c r="H1497" s="4" t="n">
        <v>1971</v>
      </c>
      <c r="I1497" s="4" t="s">
        <v>479</v>
      </c>
      <c r="J1497" s="25" t="str">
        <f aca="false">IF(M1497=1,"✓","")</f>
        <v>✓</v>
      </c>
      <c r="K1497" s="4" t="str">
        <f aca="false">IF(AND(M1497=0,P1497=0),"▶ NEXT","")</f>
        <v/>
      </c>
      <c r="L1497" s="4" t="n">
        <f aca="false">INDEX('Master List'!$F$2:$F$2594,O1497)</f>
        <v>3</v>
      </c>
      <c r="M1497" s="4" t="n">
        <f aca="false">INDEX('Master List'!$G$2:$G$2594,O1497)</f>
        <v>1</v>
      </c>
      <c r="N1497" s="4" t="str">
        <f aca="false">IF(K1497="","",A1497)</f>
        <v/>
      </c>
      <c r="O1497" s="4" t="n">
        <v>851</v>
      </c>
      <c r="P1497" s="4" t="n">
        <f aca="false">IF(A1497=A1496,P1496+1-M1496,0)</f>
        <v>0</v>
      </c>
    </row>
    <row r="1498" customFormat="false" ht="15" hidden="false" customHeight="false" outlineLevel="0" collapsed="false">
      <c r="A1498" s="29" t="s">
        <v>4119</v>
      </c>
      <c r="B1498" s="29" t="s">
        <v>52</v>
      </c>
      <c r="C1498" s="29" t="s">
        <v>95</v>
      </c>
      <c r="D1498" s="29" t="s">
        <v>4120</v>
      </c>
      <c r="E1498" s="4" t="n">
        <v>2</v>
      </c>
      <c r="F1498" s="4" t="s">
        <v>144</v>
      </c>
      <c r="G1498" s="7" t="s">
        <v>795</v>
      </c>
      <c r="H1498" s="4" t="n">
        <v>1973</v>
      </c>
      <c r="I1498" s="4" t="s">
        <v>189</v>
      </c>
      <c r="J1498" s="25" t="str">
        <f aca="false">IF(M1498=1,"✓","")</f>
        <v/>
      </c>
      <c r="K1498" s="4" t="str">
        <f aca="false">IF(AND(M1498=0,P1498=0),"▶ NEXT","")</f>
        <v>▶ NEXT</v>
      </c>
      <c r="L1498" s="4" t="n">
        <f aca="false">INDEX('Master List'!$F$2:$F$2594,O1498)</f>
        <v>2</v>
      </c>
      <c r="M1498" s="4" t="n">
        <f aca="false">INDEX('Master List'!$G$2:$G$2594,O1498)</f>
        <v>0</v>
      </c>
      <c r="N1498" s="4" t="str">
        <f aca="false">IF(K1498="","",A1498)</f>
        <v>N123</v>
      </c>
      <c r="O1498" s="4" t="n">
        <v>2013</v>
      </c>
      <c r="P1498" s="4" t="n">
        <f aca="false">IF(A1498=A1497,P1497+1-M1497,0)</f>
        <v>0</v>
      </c>
    </row>
    <row r="1499" customFormat="false" ht="15" hidden="false" customHeight="false" outlineLevel="0" collapsed="false">
      <c r="A1499" s="29" t="s">
        <v>4119</v>
      </c>
      <c r="B1499" s="29" t="s">
        <v>52</v>
      </c>
      <c r="C1499" s="29" t="s">
        <v>95</v>
      </c>
      <c r="D1499" s="29" t="s">
        <v>4120</v>
      </c>
      <c r="E1499" s="4" t="n">
        <v>3</v>
      </c>
      <c r="F1499" s="4" t="s">
        <v>213</v>
      </c>
      <c r="G1499" s="4" t="s">
        <v>586</v>
      </c>
      <c r="H1499" s="4" t="n">
        <v>1968</v>
      </c>
      <c r="I1499" s="4" t="s">
        <v>587</v>
      </c>
      <c r="J1499" s="25" t="str">
        <f aca="false">IF(M1499=1,"✓","")</f>
        <v/>
      </c>
      <c r="K1499" s="4" t="str">
        <f aca="false">IF(AND(M1499=0,P1499=0),"▶ NEXT","")</f>
        <v/>
      </c>
      <c r="L1499" s="4" t="n">
        <f aca="false">INDEX('Master List'!$F$2:$F$2594,O1499)</f>
        <v>3</v>
      </c>
      <c r="M1499" s="4" t="n">
        <f aca="false">INDEX('Master List'!$G$2:$G$2594,O1499)</f>
        <v>0</v>
      </c>
      <c r="N1499" s="4" t="str">
        <f aca="false">IF(K1499="","",A1499)</f>
        <v/>
      </c>
      <c r="O1499" s="4" t="n">
        <v>367</v>
      </c>
      <c r="P1499" s="4" t="n">
        <f aca="false">IF(A1499=A1498,P1498+1-M1498,0)</f>
        <v>1</v>
      </c>
    </row>
    <row r="1500" customFormat="false" ht="15" hidden="false" customHeight="false" outlineLevel="0" collapsed="false">
      <c r="A1500" s="29" t="s">
        <v>4119</v>
      </c>
      <c r="B1500" s="29" t="s">
        <v>52</v>
      </c>
      <c r="C1500" s="29" t="s">
        <v>95</v>
      </c>
      <c r="D1500" s="29" t="s">
        <v>4120</v>
      </c>
      <c r="E1500" s="4" t="n">
        <v>4</v>
      </c>
      <c r="F1500" s="4" t="s">
        <v>213</v>
      </c>
      <c r="G1500" s="4" t="s">
        <v>1013</v>
      </c>
      <c r="H1500" s="4" t="n">
        <v>1971</v>
      </c>
      <c r="I1500" s="4" t="s">
        <v>409</v>
      </c>
      <c r="J1500" s="25" t="str">
        <f aca="false">IF(M1500=1,"✓","")</f>
        <v>✓</v>
      </c>
      <c r="K1500" s="4" t="str">
        <f aca="false">IF(AND(M1500=0,P1500=0),"▶ NEXT","")</f>
        <v/>
      </c>
      <c r="L1500" s="4" t="n">
        <f aca="false">INDEX('Master List'!$F$2:$F$2594,O1500)</f>
        <v>2</v>
      </c>
      <c r="M1500" s="4" t="n">
        <f aca="false">INDEX('Master List'!$G$2:$G$2594,O1500)</f>
        <v>1</v>
      </c>
      <c r="N1500" s="4" t="str">
        <f aca="false">IF(K1500="","",A1500)</f>
        <v/>
      </c>
      <c r="O1500" s="4" t="n">
        <v>633</v>
      </c>
      <c r="P1500" s="4" t="n">
        <f aca="false">IF(A1500=A1499,P1499+1-M1499,0)</f>
        <v>2</v>
      </c>
    </row>
    <row r="1501" customFormat="false" ht="15" hidden="false" customHeight="false" outlineLevel="0" collapsed="false">
      <c r="A1501" s="29" t="s">
        <v>4119</v>
      </c>
      <c r="B1501" s="29" t="s">
        <v>52</v>
      </c>
      <c r="C1501" s="29" t="s">
        <v>95</v>
      </c>
      <c r="D1501" s="29" t="s">
        <v>4120</v>
      </c>
      <c r="E1501" s="4" t="n">
        <v>5</v>
      </c>
      <c r="F1501" s="4" t="s">
        <v>213</v>
      </c>
      <c r="G1501" s="4" t="s">
        <v>2224</v>
      </c>
      <c r="H1501" s="4" t="n">
        <v>1973</v>
      </c>
      <c r="I1501" s="4" t="s">
        <v>2225</v>
      </c>
      <c r="J1501" s="25" t="str">
        <f aca="false">IF(M1501=1,"✓","")</f>
        <v/>
      </c>
      <c r="K1501" s="4" t="str">
        <f aca="false">IF(AND(M1501=0,P1501=0),"▶ NEXT","")</f>
        <v/>
      </c>
      <c r="L1501" s="4" t="n">
        <f aca="false">INDEX('Master List'!$F$2:$F$2594,O1501)</f>
        <v>1</v>
      </c>
      <c r="M1501" s="4" t="n">
        <f aca="false">INDEX('Master List'!$G$2:$G$2594,O1501)</f>
        <v>0</v>
      </c>
      <c r="N1501" s="4" t="str">
        <f aca="false">IF(K1501="","",A1501)</f>
        <v/>
      </c>
      <c r="O1501" s="4" t="n">
        <v>2023</v>
      </c>
      <c r="P1501" s="4" t="n">
        <f aca="false">IF(A1501=A1500,P1500+1-M1500,0)</f>
        <v>2</v>
      </c>
    </row>
    <row r="1502" customFormat="false" ht="15" hidden="false" customHeight="false" outlineLevel="0" collapsed="false">
      <c r="A1502" s="29" t="s">
        <v>4119</v>
      </c>
      <c r="B1502" s="29" t="s">
        <v>52</v>
      </c>
      <c r="C1502" s="29" t="s">
        <v>95</v>
      </c>
      <c r="D1502" s="29" t="s">
        <v>4120</v>
      </c>
      <c r="E1502" s="4" t="n">
        <v>6</v>
      </c>
      <c r="F1502" s="4" t="s">
        <v>213</v>
      </c>
      <c r="G1502" s="4" t="s">
        <v>1025</v>
      </c>
      <c r="H1502" s="4" t="n">
        <v>1974</v>
      </c>
      <c r="I1502" s="4" t="s">
        <v>1026</v>
      </c>
      <c r="J1502" s="25" t="str">
        <f aca="false">IF(M1502=1,"✓","")</f>
        <v/>
      </c>
      <c r="K1502" s="4" t="str">
        <f aca="false">IF(AND(M1502=0,P1502=0),"▶ NEXT","")</f>
        <v/>
      </c>
      <c r="L1502" s="4" t="n">
        <f aca="false">INDEX('Master List'!$F$2:$F$2594,O1502)</f>
        <v>2</v>
      </c>
      <c r="M1502" s="4" t="n">
        <f aca="false">INDEX('Master List'!$G$2:$G$2594,O1502)</f>
        <v>0</v>
      </c>
      <c r="N1502" s="4" t="str">
        <f aca="false">IF(K1502="","",A1502)</f>
        <v/>
      </c>
      <c r="O1502" s="4" t="n">
        <v>2232</v>
      </c>
      <c r="P1502" s="4" t="n">
        <f aca="false">IF(A1502=A1501,P1501+1-M1501,0)</f>
        <v>3</v>
      </c>
    </row>
    <row r="1503" customFormat="false" ht="15" hidden="false" customHeight="false" outlineLevel="0" collapsed="false">
      <c r="A1503" s="29" t="s">
        <v>4119</v>
      </c>
      <c r="B1503" s="29" t="s">
        <v>52</v>
      </c>
      <c r="C1503" s="29" t="s">
        <v>95</v>
      </c>
      <c r="D1503" s="29" t="s">
        <v>4120</v>
      </c>
      <c r="E1503" s="4" t="n">
        <v>7</v>
      </c>
      <c r="F1503" s="4" t="s">
        <v>213</v>
      </c>
      <c r="G1503" s="4" t="s">
        <v>482</v>
      </c>
      <c r="H1503" s="4" t="n">
        <v>1975</v>
      </c>
      <c r="I1503" s="4" t="s">
        <v>189</v>
      </c>
      <c r="J1503" s="25" t="str">
        <f aca="false">IF(M1503=1,"✓","")</f>
        <v>✓</v>
      </c>
      <c r="K1503" s="4" t="str">
        <f aca="false">IF(AND(M1503=0,P1503=0),"▶ NEXT","")</f>
        <v/>
      </c>
      <c r="L1503" s="4" t="n">
        <f aca="false">INDEX('Master List'!$F$2:$F$2594,O1503)</f>
        <v>3</v>
      </c>
      <c r="M1503" s="4" t="n">
        <f aca="false">INDEX('Master List'!$G$2:$G$2594,O1503)</f>
        <v>1</v>
      </c>
      <c r="N1503" s="4" t="str">
        <f aca="false">IF(K1503="","",A1503)</f>
        <v/>
      </c>
      <c r="O1503" s="4" t="n">
        <v>650</v>
      </c>
      <c r="P1503" s="4" t="n">
        <f aca="false">IF(A1503=A1502,P1502+1-M1502,0)</f>
        <v>4</v>
      </c>
    </row>
    <row r="1504" customFormat="false" ht="15" hidden="false" customHeight="false" outlineLevel="0" collapsed="false">
      <c r="A1504" s="29" t="s">
        <v>4119</v>
      </c>
      <c r="B1504" s="29" t="s">
        <v>52</v>
      </c>
      <c r="C1504" s="29" t="s">
        <v>95</v>
      </c>
      <c r="D1504" s="29" t="s">
        <v>4120</v>
      </c>
      <c r="E1504" s="4" t="n">
        <v>8</v>
      </c>
      <c r="F1504" s="4" t="s">
        <v>213</v>
      </c>
      <c r="G1504" s="4" t="s">
        <v>1056</v>
      </c>
      <c r="H1504" s="4" t="n">
        <v>1981</v>
      </c>
      <c r="I1504" s="4" t="s">
        <v>189</v>
      </c>
      <c r="J1504" s="25" t="str">
        <f aca="false">IF(M1504=1,"✓","")</f>
        <v/>
      </c>
      <c r="K1504" s="4" t="str">
        <f aca="false">IF(AND(M1504=0,P1504=0),"▶ NEXT","")</f>
        <v/>
      </c>
      <c r="L1504" s="4" t="n">
        <f aca="false">INDEX('Master List'!$F$2:$F$2594,O1504)</f>
        <v>2</v>
      </c>
      <c r="M1504" s="4" t="n">
        <f aca="false">INDEX('Master List'!$G$2:$G$2594,O1504)</f>
        <v>0</v>
      </c>
      <c r="N1504" s="4" t="str">
        <f aca="false">IF(K1504="","",A1504)</f>
        <v/>
      </c>
      <c r="O1504" s="4" t="n">
        <v>1816</v>
      </c>
      <c r="P1504" s="4" t="n">
        <f aca="false">IF(A1504=A1503,P1503+1-M1503,0)</f>
        <v>4</v>
      </c>
    </row>
    <row r="1505" customFormat="false" ht="15" hidden="false" customHeight="false" outlineLevel="0" collapsed="false">
      <c r="A1505" s="29" t="s">
        <v>4119</v>
      </c>
      <c r="B1505" s="29" t="s">
        <v>52</v>
      </c>
      <c r="C1505" s="29" t="s">
        <v>95</v>
      </c>
      <c r="D1505" s="29" t="s">
        <v>4120</v>
      </c>
      <c r="E1505" s="4" t="n">
        <v>9</v>
      </c>
      <c r="F1505" s="4" t="s">
        <v>1327</v>
      </c>
      <c r="G1505" s="4" t="s">
        <v>3501</v>
      </c>
      <c r="H1505" s="4" t="n">
        <v>1972</v>
      </c>
      <c r="I1505" s="4" t="s">
        <v>2223</v>
      </c>
      <c r="J1505" s="25" t="str">
        <f aca="false">IF(M1505=1,"✓","")</f>
        <v/>
      </c>
      <c r="K1505" s="4" t="str">
        <f aca="false">IF(AND(M1505=0,P1505=0),"▶ NEXT","")</f>
        <v/>
      </c>
      <c r="L1505" s="4" t="n">
        <f aca="false">INDEX('Master List'!$F$2:$F$2594,O1505)</f>
        <v>1</v>
      </c>
      <c r="M1505" s="4" t="n">
        <f aca="false">INDEX('Master List'!$G$2:$G$2594,O1505)</f>
        <v>0</v>
      </c>
      <c r="N1505" s="4" t="str">
        <f aca="false">IF(K1505="","",A1505)</f>
        <v/>
      </c>
      <c r="O1505" s="4" t="n">
        <v>1594</v>
      </c>
      <c r="P1505" s="4" t="n">
        <f aca="false">IF(A1505=A1504,P1504+1-M1504,0)</f>
        <v>5</v>
      </c>
    </row>
    <row r="1506" customFormat="false" ht="15" hidden="false" customHeight="false" outlineLevel="0" collapsed="false">
      <c r="A1506" s="29" t="s">
        <v>4119</v>
      </c>
      <c r="B1506" s="29" t="s">
        <v>52</v>
      </c>
      <c r="C1506" s="29" t="s">
        <v>95</v>
      </c>
      <c r="D1506" s="29" t="s">
        <v>4120</v>
      </c>
      <c r="E1506" s="4" t="n">
        <v>10</v>
      </c>
      <c r="F1506" s="4" t="s">
        <v>1327</v>
      </c>
      <c r="G1506" s="4" t="s">
        <v>3570</v>
      </c>
      <c r="H1506" s="4" t="n">
        <v>1978</v>
      </c>
      <c r="I1506" s="4" t="s">
        <v>3571</v>
      </c>
      <c r="J1506" s="25" t="str">
        <f aca="false">IF(M1506=1,"✓","")</f>
        <v/>
      </c>
      <c r="K1506" s="4" t="str">
        <f aca="false">IF(AND(M1506=0,P1506=0),"▶ NEXT","")</f>
        <v/>
      </c>
      <c r="L1506" s="4" t="n">
        <f aca="false">INDEX('Master List'!$F$2:$F$2594,O1506)</f>
        <v>1</v>
      </c>
      <c r="M1506" s="4" t="n">
        <f aca="false">INDEX('Master List'!$G$2:$G$2594,O1506)</f>
        <v>0</v>
      </c>
      <c r="N1506" s="4" t="str">
        <f aca="false">IF(K1506="","",A1506)</f>
        <v/>
      </c>
      <c r="O1506" s="4" t="n">
        <v>2172</v>
      </c>
      <c r="P1506" s="4" t="n">
        <f aca="false">IF(A1506=A1505,P1505+1-M1505,0)</f>
        <v>6</v>
      </c>
    </row>
    <row r="1507" customFormat="false" ht="15" hidden="false" customHeight="false" outlineLevel="0" collapsed="false">
      <c r="A1507" s="29" t="s">
        <v>4121</v>
      </c>
      <c r="B1507" s="29" t="s">
        <v>52</v>
      </c>
      <c r="C1507" s="29" t="s">
        <v>95</v>
      </c>
      <c r="D1507" s="29" t="s">
        <v>4122</v>
      </c>
      <c r="E1507" s="4" t="n">
        <v>1</v>
      </c>
      <c r="F1507" s="4" t="s">
        <v>144</v>
      </c>
      <c r="G1507" s="7" t="s">
        <v>796</v>
      </c>
      <c r="H1507" s="4" t="n">
        <v>1973</v>
      </c>
      <c r="I1507" s="4" t="s">
        <v>797</v>
      </c>
      <c r="J1507" s="25" t="str">
        <f aca="false">IF(M1507=1,"✓","")</f>
        <v/>
      </c>
      <c r="K1507" s="4" t="str">
        <f aca="false">IF(AND(M1507=0,P1507=0),"▶ NEXT","")</f>
        <v>▶ NEXT</v>
      </c>
      <c r="L1507" s="4" t="n">
        <f aca="false">INDEX('Master List'!$F$2:$F$2594,O1507)</f>
        <v>2</v>
      </c>
      <c r="M1507" s="4" t="n">
        <f aca="false">INDEX('Master List'!$G$2:$G$2594,O1507)</f>
        <v>0</v>
      </c>
      <c r="N1507" s="4" t="str">
        <f aca="false">IF(K1507="","",A1507)</f>
        <v>N124</v>
      </c>
      <c r="O1507" s="4" t="n">
        <v>2159</v>
      </c>
      <c r="P1507" s="4" t="n">
        <f aca="false">IF(A1507=A1506,P1506+1-M1506,0)</f>
        <v>0</v>
      </c>
    </row>
    <row r="1508" customFormat="false" ht="15" hidden="false" customHeight="false" outlineLevel="0" collapsed="false">
      <c r="A1508" s="29" t="s">
        <v>4121</v>
      </c>
      <c r="B1508" s="29" t="s">
        <v>52</v>
      </c>
      <c r="C1508" s="29" t="s">
        <v>95</v>
      </c>
      <c r="D1508" s="29" t="s">
        <v>4122</v>
      </c>
      <c r="E1508" s="4" t="n">
        <v>2</v>
      </c>
      <c r="F1508" s="4" t="s">
        <v>144</v>
      </c>
      <c r="G1508" s="7" t="s">
        <v>423</v>
      </c>
      <c r="H1508" s="4" t="n">
        <v>1973</v>
      </c>
      <c r="I1508" s="4" t="s">
        <v>389</v>
      </c>
      <c r="J1508" s="25" t="str">
        <f aca="false">IF(M1508=1,"✓","")</f>
        <v>✓</v>
      </c>
      <c r="K1508" s="4" t="str">
        <f aca="false">IF(AND(M1508=0,P1508=0),"▶ NEXT","")</f>
        <v/>
      </c>
      <c r="L1508" s="4" t="n">
        <f aca="false">INDEX('Master List'!$F$2:$F$2594,O1508)</f>
        <v>3</v>
      </c>
      <c r="M1508" s="4" t="n">
        <f aca="false">INDEX('Master List'!$G$2:$G$2594,O1508)</f>
        <v>1</v>
      </c>
      <c r="N1508" s="4" t="str">
        <f aca="false">IF(K1508="","",A1508)</f>
        <v/>
      </c>
      <c r="O1508" s="4" t="n">
        <v>1715</v>
      </c>
      <c r="P1508" s="4" t="n">
        <f aca="false">IF(A1508=A1507,P1507+1-M1507,0)</f>
        <v>1</v>
      </c>
    </row>
    <row r="1509" customFormat="false" ht="15" hidden="false" customHeight="false" outlineLevel="0" collapsed="false">
      <c r="A1509" s="29" t="s">
        <v>4121</v>
      </c>
      <c r="B1509" s="29" t="s">
        <v>52</v>
      </c>
      <c r="C1509" s="29" t="s">
        <v>95</v>
      </c>
      <c r="D1509" s="29" t="s">
        <v>4122</v>
      </c>
      <c r="E1509" s="4" t="n">
        <v>3</v>
      </c>
      <c r="F1509" s="4" t="s">
        <v>213</v>
      </c>
      <c r="G1509" s="4" t="s">
        <v>431</v>
      </c>
      <c r="H1509" s="4" t="n">
        <v>1941</v>
      </c>
      <c r="I1509" s="4" t="s">
        <v>250</v>
      </c>
      <c r="J1509" s="25" t="str">
        <f aca="false">IF(M1509=1,"✓","")</f>
        <v/>
      </c>
      <c r="K1509" s="4" t="str">
        <f aca="false">IF(AND(M1509=0,P1509=0),"▶ NEXT","")</f>
        <v/>
      </c>
      <c r="L1509" s="4" t="n">
        <f aca="false">INDEX('Master List'!$F$2:$F$2594,O1509)</f>
        <v>4</v>
      </c>
      <c r="M1509" s="4" t="n">
        <f aca="false">INDEX('Master List'!$G$2:$G$2594,O1509)</f>
        <v>0</v>
      </c>
      <c r="N1509" s="4" t="str">
        <f aca="false">IF(K1509="","",A1509)</f>
        <v/>
      </c>
      <c r="O1509" s="4" t="n">
        <v>1279</v>
      </c>
      <c r="P1509" s="4" t="n">
        <f aca="false">IF(A1509=A1508,P1508+1-M1508,0)</f>
        <v>1</v>
      </c>
    </row>
    <row r="1510" customFormat="false" ht="15" hidden="false" customHeight="false" outlineLevel="0" collapsed="false">
      <c r="A1510" s="29" t="s">
        <v>4121</v>
      </c>
      <c r="B1510" s="29" t="s">
        <v>52</v>
      </c>
      <c r="C1510" s="29" t="s">
        <v>95</v>
      </c>
      <c r="D1510" s="29" t="s">
        <v>4122</v>
      </c>
      <c r="E1510" s="4" t="n">
        <v>4</v>
      </c>
      <c r="F1510" s="4" t="s">
        <v>213</v>
      </c>
      <c r="G1510" s="4" t="s">
        <v>1844</v>
      </c>
      <c r="H1510" s="4" t="n">
        <v>1947</v>
      </c>
      <c r="I1510" s="4" t="s">
        <v>1845</v>
      </c>
      <c r="J1510" s="25" t="str">
        <f aca="false">IF(M1510=1,"✓","")</f>
        <v/>
      </c>
      <c r="K1510" s="4" t="str">
        <f aca="false">IF(AND(M1510=0,P1510=0),"▶ NEXT","")</f>
        <v/>
      </c>
      <c r="L1510" s="4" t="n">
        <f aca="false">INDEX('Master List'!$F$2:$F$2594,O1510)</f>
        <v>1</v>
      </c>
      <c r="M1510" s="4" t="n">
        <f aca="false">INDEX('Master List'!$G$2:$G$2594,O1510)</f>
        <v>0</v>
      </c>
      <c r="N1510" s="4" t="str">
        <f aca="false">IF(K1510="","",A1510)</f>
        <v/>
      </c>
      <c r="O1510" s="4" t="n">
        <v>1611</v>
      </c>
      <c r="P1510" s="4" t="n">
        <f aca="false">IF(A1510=A1509,P1509+1-M1509,0)</f>
        <v>2</v>
      </c>
    </row>
    <row r="1511" customFormat="false" ht="15" hidden="false" customHeight="false" outlineLevel="0" collapsed="false">
      <c r="A1511" s="29" t="s">
        <v>4121</v>
      </c>
      <c r="B1511" s="29" t="s">
        <v>52</v>
      </c>
      <c r="C1511" s="29" t="s">
        <v>95</v>
      </c>
      <c r="D1511" s="29" t="s">
        <v>4122</v>
      </c>
      <c r="E1511" s="4" t="n">
        <v>5</v>
      </c>
      <c r="F1511" s="4" t="s">
        <v>213</v>
      </c>
      <c r="G1511" s="4" t="s">
        <v>2450</v>
      </c>
      <c r="H1511" s="4" t="n">
        <v>1987</v>
      </c>
      <c r="I1511" s="4" t="s">
        <v>2451</v>
      </c>
      <c r="J1511" s="25" t="str">
        <f aca="false">IF(M1511=1,"✓","")</f>
        <v/>
      </c>
      <c r="K1511" s="4" t="str">
        <f aca="false">IF(AND(M1511=0,P1511=0),"▶ NEXT","")</f>
        <v/>
      </c>
      <c r="L1511" s="4" t="n">
        <f aca="false">INDEX('Master List'!$F$2:$F$2594,O1511)</f>
        <v>1</v>
      </c>
      <c r="M1511" s="4" t="n">
        <f aca="false">INDEX('Master List'!$G$2:$G$2594,O1511)</f>
        <v>0</v>
      </c>
      <c r="N1511" s="4" t="str">
        <f aca="false">IF(K1511="","",A1511)</f>
        <v/>
      </c>
      <c r="O1511" s="4" t="n">
        <v>1075</v>
      </c>
      <c r="P1511" s="4" t="n">
        <f aca="false">IF(A1511=A1510,P1510+1-M1510,0)</f>
        <v>3</v>
      </c>
    </row>
    <row r="1512" customFormat="false" ht="15" hidden="false" customHeight="false" outlineLevel="0" collapsed="false">
      <c r="A1512" s="29" t="s">
        <v>4121</v>
      </c>
      <c r="B1512" s="29" t="s">
        <v>52</v>
      </c>
      <c r="C1512" s="29" t="s">
        <v>95</v>
      </c>
      <c r="D1512" s="29" t="s">
        <v>4122</v>
      </c>
      <c r="E1512" s="4" t="n">
        <v>6</v>
      </c>
      <c r="F1512" s="4" t="s">
        <v>213</v>
      </c>
      <c r="G1512" s="4" t="s">
        <v>1283</v>
      </c>
      <c r="H1512" s="4" t="n">
        <v>1990</v>
      </c>
      <c r="I1512" s="4" t="s">
        <v>1284</v>
      </c>
      <c r="J1512" s="25" t="str">
        <f aca="false">IF(M1512=1,"✓","")</f>
        <v/>
      </c>
      <c r="K1512" s="4" t="str">
        <f aca="false">IF(AND(M1512=0,P1512=0),"▶ NEXT","")</f>
        <v/>
      </c>
      <c r="L1512" s="4" t="n">
        <f aca="false">INDEX('Master List'!$F$2:$F$2594,O1512)</f>
        <v>2</v>
      </c>
      <c r="M1512" s="4" t="n">
        <f aca="false">INDEX('Master List'!$G$2:$G$2594,O1512)</f>
        <v>0</v>
      </c>
      <c r="N1512" s="4" t="str">
        <f aca="false">IF(K1512="","",A1512)</f>
        <v/>
      </c>
      <c r="O1512" s="4" t="n">
        <v>967</v>
      </c>
      <c r="P1512" s="4" t="n">
        <f aca="false">IF(A1512=A1511,P1511+1-M1511,0)</f>
        <v>4</v>
      </c>
    </row>
    <row r="1513" customFormat="false" ht="15" hidden="false" customHeight="false" outlineLevel="0" collapsed="false">
      <c r="A1513" s="29" t="s">
        <v>4121</v>
      </c>
      <c r="B1513" s="29" t="s">
        <v>52</v>
      </c>
      <c r="C1513" s="29" t="s">
        <v>95</v>
      </c>
      <c r="D1513" s="29" t="s">
        <v>4122</v>
      </c>
      <c r="E1513" s="4" t="n">
        <v>7</v>
      </c>
      <c r="F1513" s="4" t="s">
        <v>213</v>
      </c>
      <c r="G1513" s="4" t="s">
        <v>1138</v>
      </c>
      <c r="H1513" s="4" t="n">
        <v>2000</v>
      </c>
      <c r="I1513" s="4" t="s">
        <v>1139</v>
      </c>
      <c r="J1513" s="25" t="str">
        <f aca="false">IF(M1513=1,"✓","")</f>
        <v/>
      </c>
      <c r="K1513" s="4" t="str">
        <f aca="false">IF(AND(M1513=0,P1513=0),"▶ NEXT","")</f>
        <v/>
      </c>
      <c r="L1513" s="4" t="n">
        <f aca="false">INDEX('Master List'!$F$2:$F$2594,O1513)</f>
        <v>2</v>
      </c>
      <c r="M1513" s="4" t="n">
        <f aca="false">INDEX('Master List'!$G$2:$G$2594,O1513)</f>
        <v>0</v>
      </c>
      <c r="N1513" s="4" t="str">
        <f aca="false">IF(K1513="","",A1513)</f>
        <v/>
      </c>
      <c r="O1513" s="4" t="n">
        <v>1617</v>
      </c>
      <c r="P1513" s="4" t="n">
        <f aca="false">IF(A1513=A1512,P1512+1-M1512,0)</f>
        <v>5</v>
      </c>
    </row>
    <row r="1514" customFormat="false" ht="15" hidden="false" customHeight="false" outlineLevel="0" collapsed="false">
      <c r="A1514" s="29" t="s">
        <v>4121</v>
      </c>
      <c r="B1514" s="29" t="s">
        <v>52</v>
      </c>
      <c r="C1514" s="29" t="s">
        <v>95</v>
      </c>
      <c r="D1514" s="29" t="s">
        <v>4122</v>
      </c>
      <c r="E1514" s="4" t="n">
        <v>8</v>
      </c>
      <c r="F1514" s="4" t="s">
        <v>213</v>
      </c>
      <c r="G1514" s="4" t="s">
        <v>2802</v>
      </c>
      <c r="H1514" s="4" t="n">
        <v>2003</v>
      </c>
      <c r="I1514" s="4" t="s">
        <v>174</v>
      </c>
      <c r="J1514" s="25" t="str">
        <f aca="false">IF(M1514=1,"✓","")</f>
        <v/>
      </c>
      <c r="K1514" s="4" t="str">
        <f aca="false">IF(AND(M1514=0,P1514=0),"▶ NEXT","")</f>
        <v/>
      </c>
      <c r="L1514" s="4" t="n">
        <f aca="false">INDEX('Master List'!$F$2:$F$2594,O1514)</f>
        <v>1</v>
      </c>
      <c r="M1514" s="4" t="n">
        <f aca="false">INDEX('Master List'!$G$2:$G$2594,O1514)</f>
        <v>0</v>
      </c>
      <c r="N1514" s="4" t="str">
        <f aca="false">IF(K1514="","",A1514)</f>
        <v/>
      </c>
      <c r="O1514" s="4" t="n">
        <v>1462</v>
      </c>
      <c r="P1514" s="4" t="n">
        <f aca="false">IF(A1514=A1513,P1513+1-M1513,0)</f>
        <v>6</v>
      </c>
    </row>
    <row r="1515" customFormat="false" ht="15" hidden="false" customHeight="false" outlineLevel="0" collapsed="false">
      <c r="A1515" s="29" t="s">
        <v>4121</v>
      </c>
      <c r="B1515" s="29" t="s">
        <v>52</v>
      </c>
      <c r="C1515" s="29" t="s">
        <v>95</v>
      </c>
      <c r="D1515" s="29" t="s">
        <v>4122</v>
      </c>
      <c r="E1515" s="4" t="n">
        <v>9</v>
      </c>
      <c r="F1515" s="4" t="s">
        <v>213</v>
      </c>
      <c r="G1515" s="4" t="s">
        <v>2776</v>
      </c>
      <c r="H1515" s="4" t="n">
        <v>2002</v>
      </c>
      <c r="I1515" s="4" t="s">
        <v>183</v>
      </c>
      <c r="J1515" s="25" t="str">
        <f aca="false">IF(M1515=1,"✓","")</f>
        <v>✓</v>
      </c>
      <c r="K1515" s="4" t="str">
        <f aca="false">IF(AND(M1515=0,P1515=0),"▶ NEXT","")</f>
        <v/>
      </c>
      <c r="L1515" s="4" t="n">
        <f aca="false">INDEX('Master List'!$F$2:$F$2594,O1515)</f>
        <v>1</v>
      </c>
      <c r="M1515" s="4" t="n">
        <f aca="false">INDEX('Master List'!$G$2:$G$2594,O1515)</f>
        <v>1</v>
      </c>
      <c r="N1515" s="4" t="str">
        <f aca="false">IF(K1515="","",A1515)</f>
        <v/>
      </c>
      <c r="O1515" s="4" t="n">
        <v>413</v>
      </c>
      <c r="P1515" s="4" t="n">
        <f aca="false">IF(A1515=A1514,P1514+1-M1514,0)</f>
        <v>7</v>
      </c>
    </row>
    <row r="1516" customFormat="false" ht="15" hidden="false" customHeight="false" outlineLevel="0" collapsed="false">
      <c r="A1516" s="29" t="s">
        <v>4121</v>
      </c>
      <c r="B1516" s="29" t="s">
        <v>52</v>
      </c>
      <c r="C1516" s="29" t="s">
        <v>95</v>
      </c>
      <c r="D1516" s="29" t="s">
        <v>4122</v>
      </c>
      <c r="E1516" s="4" t="n">
        <v>10</v>
      </c>
      <c r="F1516" s="4" t="s">
        <v>213</v>
      </c>
      <c r="G1516" s="4" t="s">
        <v>3030</v>
      </c>
      <c r="H1516" s="4" t="n">
        <v>2013</v>
      </c>
      <c r="I1516" s="4" t="s">
        <v>2704</v>
      </c>
      <c r="J1516" s="25" t="str">
        <f aca="false">IF(M1516=1,"✓","")</f>
        <v/>
      </c>
      <c r="K1516" s="4" t="str">
        <f aca="false">IF(AND(M1516=0,P1516=0),"▶ NEXT","")</f>
        <v/>
      </c>
      <c r="L1516" s="4" t="n">
        <f aca="false">INDEX('Master List'!$F$2:$F$2594,O1516)</f>
        <v>1</v>
      </c>
      <c r="M1516" s="4" t="n">
        <f aca="false">INDEX('Master List'!$G$2:$G$2594,O1516)</f>
        <v>0</v>
      </c>
      <c r="N1516" s="4" t="str">
        <f aca="false">IF(K1516="","",A1516)</f>
        <v/>
      </c>
      <c r="O1516" s="4" t="n">
        <v>90</v>
      </c>
      <c r="P1516" s="4" t="n">
        <f aca="false">IF(A1516=A1515,P1515+1-M1515,0)</f>
        <v>7</v>
      </c>
    </row>
    <row r="1517" customFormat="false" ht="15" hidden="false" customHeight="false" outlineLevel="0" collapsed="false">
      <c r="A1517" s="29" t="s">
        <v>4121</v>
      </c>
      <c r="B1517" s="29" t="s">
        <v>52</v>
      </c>
      <c r="C1517" s="29" t="s">
        <v>95</v>
      </c>
      <c r="D1517" s="29" t="s">
        <v>4122</v>
      </c>
      <c r="E1517" s="4" t="n">
        <v>11</v>
      </c>
      <c r="F1517" s="4" t="s">
        <v>1327</v>
      </c>
      <c r="G1517" s="4" t="s">
        <v>3699</v>
      </c>
      <c r="H1517" s="4" t="n">
        <v>1997</v>
      </c>
      <c r="I1517" s="4" t="s">
        <v>2451</v>
      </c>
      <c r="J1517" s="25" t="str">
        <f aca="false">IF(M1517=1,"✓","")</f>
        <v/>
      </c>
      <c r="K1517" s="4" t="str">
        <f aca="false">IF(AND(M1517=0,P1517=0),"▶ NEXT","")</f>
        <v/>
      </c>
      <c r="L1517" s="4" t="n">
        <f aca="false">INDEX('Master List'!$F$2:$F$2594,O1517)</f>
        <v>1</v>
      </c>
      <c r="M1517" s="4" t="n">
        <f aca="false">INDEX('Master List'!$G$2:$G$2594,O1517)</f>
        <v>0</v>
      </c>
      <c r="N1517" s="4" t="str">
        <f aca="false">IF(K1517="","",A1517)</f>
        <v/>
      </c>
      <c r="O1517" s="4" t="n">
        <v>2126</v>
      </c>
      <c r="P1517" s="4" t="n">
        <f aca="false">IF(A1517=A1516,P1516+1-M1516,0)</f>
        <v>8</v>
      </c>
    </row>
    <row r="1518" customFormat="false" ht="15" hidden="false" customHeight="false" outlineLevel="0" collapsed="false">
      <c r="A1518" s="29" t="s">
        <v>4121</v>
      </c>
      <c r="B1518" s="29" t="s">
        <v>52</v>
      </c>
      <c r="C1518" s="29" t="s">
        <v>95</v>
      </c>
      <c r="D1518" s="29" t="s">
        <v>4122</v>
      </c>
      <c r="E1518" s="4" t="n">
        <v>12</v>
      </c>
      <c r="F1518" s="4" t="s">
        <v>1327</v>
      </c>
      <c r="G1518" s="4" t="s">
        <v>3647</v>
      </c>
      <c r="H1518" s="4" t="n">
        <v>1988</v>
      </c>
      <c r="I1518" s="4" t="s">
        <v>2434</v>
      </c>
      <c r="J1518" s="25" t="str">
        <f aca="false">IF(M1518=1,"✓","")</f>
        <v>✓</v>
      </c>
      <c r="K1518" s="4" t="str">
        <f aca="false">IF(AND(M1518=0,P1518=0),"▶ NEXT","")</f>
        <v/>
      </c>
      <c r="L1518" s="4" t="n">
        <f aca="false">INDEX('Master List'!$F$2:$F$2594,O1518)</f>
        <v>1</v>
      </c>
      <c r="M1518" s="4" t="n">
        <f aca="false">INDEX('Master List'!$G$2:$G$2594,O1518)</f>
        <v>1</v>
      </c>
      <c r="N1518" s="4" t="str">
        <f aca="false">IF(K1518="","",A1518)</f>
        <v/>
      </c>
      <c r="O1518" s="4" t="n">
        <v>634</v>
      </c>
      <c r="P1518" s="4" t="n">
        <f aca="false">IF(A1518=A1517,P1517+1-M1517,0)</f>
        <v>9</v>
      </c>
    </row>
    <row r="1519" customFormat="false" ht="15" hidden="false" customHeight="false" outlineLevel="0" collapsed="false">
      <c r="A1519" s="29" t="s">
        <v>4123</v>
      </c>
      <c r="B1519" s="29" t="s">
        <v>52</v>
      </c>
      <c r="C1519" s="29" t="s">
        <v>96</v>
      </c>
      <c r="D1519" s="29" t="s">
        <v>4124</v>
      </c>
      <c r="E1519" s="4" t="n">
        <v>1</v>
      </c>
      <c r="F1519" s="4" t="s">
        <v>144</v>
      </c>
      <c r="G1519" s="7" t="s">
        <v>190</v>
      </c>
      <c r="H1519" s="4" t="n">
        <v>1954</v>
      </c>
      <c r="I1519" s="4" t="s">
        <v>162</v>
      </c>
      <c r="J1519" s="25" t="str">
        <f aca="false">IF(M1519=1,"✓","")</f>
        <v>✓</v>
      </c>
      <c r="K1519" s="4" t="str">
        <f aca="false">IF(AND(M1519=0,P1519=0),"▶ NEXT","")</f>
        <v/>
      </c>
      <c r="L1519" s="4" t="n">
        <f aca="false">INDEX('Master List'!$F$2:$F$2594,O1519)</f>
        <v>6</v>
      </c>
      <c r="M1519" s="4" t="n">
        <f aca="false">INDEX('Master List'!$G$2:$G$2594,O1519)</f>
        <v>1</v>
      </c>
      <c r="N1519" s="4" t="str">
        <f aca="false">IF(K1519="","",A1519)</f>
        <v/>
      </c>
      <c r="O1519" s="4" t="n">
        <v>1866</v>
      </c>
      <c r="P1519" s="4" t="n">
        <f aca="false">IF(A1519=A1518,P1518+1-M1518,0)</f>
        <v>0</v>
      </c>
    </row>
    <row r="1520" customFormat="false" ht="15" hidden="false" customHeight="false" outlineLevel="0" collapsed="false">
      <c r="A1520" s="29" t="s">
        <v>4123</v>
      </c>
      <c r="B1520" s="29" t="s">
        <v>52</v>
      </c>
      <c r="C1520" s="29" t="s">
        <v>96</v>
      </c>
      <c r="D1520" s="29" t="s">
        <v>4124</v>
      </c>
      <c r="E1520" s="4" t="n">
        <v>2</v>
      </c>
      <c r="F1520" s="4" t="s">
        <v>144</v>
      </c>
      <c r="G1520" s="7" t="s">
        <v>161</v>
      </c>
      <c r="H1520" s="4" t="n">
        <v>1958</v>
      </c>
      <c r="I1520" s="4" t="s">
        <v>162</v>
      </c>
      <c r="J1520" s="25" t="str">
        <f aca="false">IF(M1520=1,"✓","")</f>
        <v/>
      </c>
      <c r="K1520" s="4" t="str">
        <f aca="false">IF(AND(M1520=0,P1520=0),"▶ NEXT","")</f>
        <v>▶ NEXT</v>
      </c>
      <c r="L1520" s="4" t="n">
        <f aca="false">INDEX('Master List'!$F$2:$F$2594,O1520)</f>
        <v>7</v>
      </c>
      <c r="M1520" s="4" t="n">
        <f aca="false">INDEX('Master List'!$G$2:$G$2594,O1520)</f>
        <v>0</v>
      </c>
      <c r="N1520" s="4" t="str">
        <f aca="false">IF(K1520="","",A1520)</f>
        <v>N125</v>
      </c>
      <c r="O1520" s="4" t="n">
        <v>2429</v>
      </c>
      <c r="P1520" s="4" t="n">
        <f aca="false">IF(A1520=A1519,P1519+1-M1519,0)</f>
        <v>0</v>
      </c>
    </row>
    <row r="1521" customFormat="false" ht="15" hidden="false" customHeight="false" outlineLevel="0" collapsed="false">
      <c r="A1521" s="29" t="s">
        <v>4123</v>
      </c>
      <c r="B1521" s="29" t="s">
        <v>52</v>
      </c>
      <c r="C1521" s="29" t="s">
        <v>96</v>
      </c>
      <c r="D1521" s="29" t="s">
        <v>4124</v>
      </c>
      <c r="E1521" s="4" t="n">
        <v>3</v>
      </c>
      <c r="F1521" s="4" t="s">
        <v>213</v>
      </c>
      <c r="G1521" s="4" t="s">
        <v>1924</v>
      </c>
      <c r="H1521" s="4" t="n">
        <v>1955</v>
      </c>
      <c r="I1521" s="4" t="s">
        <v>1317</v>
      </c>
      <c r="J1521" s="25" t="str">
        <f aca="false">IF(M1521=1,"✓","")</f>
        <v/>
      </c>
      <c r="K1521" s="4" t="str">
        <f aca="false">IF(AND(M1521=0,P1521=0),"▶ NEXT","")</f>
        <v/>
      </c>
      <c r="L1521" s="4" t="n">
        <f aca="false">INDEX('Master List'!$F$2:$F$2594,O1521)</f>
        <v>1</v>
      </c>
      <c r="M1521" s="4" t="n">
        <f aca="false">INDEX('Master List'!$G$2:$G$2594,O1521)</f>
        <v>0</v>
      </c>
      <c r="N1521" s="4" t="str">
        <f aca="false">IF(K1521="","",A1521)</f>
        <v/>
      </c>
      <c r="O1521" s="4" t="n">
        <v>624</v>
      </c>
      <c r="P1521" s="4" t="n">
        <f aca="false">IF(A1521=A1520,P1520+1-M1520,0)</f>
        <v>1</v>
      </c>
    </row>
    <row r="1522" customFormat="false" ht="15" hidden="false" customHeight="false" outlineLevel="0" collapsed="false">
      <c r="A1522" s="29" t="s">
        <v>4123</v>
      </c>
      <c r="B1522" s="29" t="s">
        <v>52</v>
      </c>
      <c r="C1522" s="29" t="s">
        <v>96</v>
      </c>
      <c r="D1522" s="29" t="s">
        <v>4124</v>
      </c>
      <c r="E1522" s="4" t="n">
        <v>4</v>
      </c>
      <c r="F1522" s="4" t="s">
        <v>213</v>
      </c>
      <c r="G1522" s="4" t="s">
        <v>968</v>
      </c>
      <c r="H1522" s="4" t="n">
        <v>1963</v>
      </c>
      <c r="I1522" s="4" t="s">
        <v>969</v>
      </c>
      <c r="J1522" s="25" t="str">
        <f aca="false">IF(M1522=1,"✓","")</f>
        <v/>
      </c>
      <c r="K1522" s="4" t="str">
        <f aca="false">IF(AND(M1522=0,P1522=0),"▶ NEXT","")</f>
        <v/>
      </c>
      <c r="L1522" s="4" t="n">
        <f aca="false">INDEX('Master List'!$F$2:$F$2594,O1522)</f>
        <v>2</v>
      </c>
      <c r="M1522" s="4" t="n">
        <f aca="false">INDEX('Master List'!$G$2:$G$2594,O1522)</f>
        <v>0</v>
      </c>
      <c r="N1522" s="4" t="str">
        <f aca="false">IF(K1522="","",A1522)</f>
        <v/>
      </c>
      <c r="O1522" s="4" t="n">
        <v>430</v>
      </c>
      <c r="P1522" s="4" t="n">
        <f aca="false">IF(A1522=A1521,P1521+1-M1521,0)</f>
        <v>2</v>
      </c>
    </row>
    <row r="1523" customFormat="false" ht="15" hidden="false" customHeight="false" outlineLevel="0" collapsed="false">
      <c r="A1523" s="29" t="s">
        <v>4123</v>
      </c>
      <c r="B1523" s="29" t="s">
        <v>52</v>
      </c>
      <c r="C1523" s="29" t="s">
        <v>96</v>
      </c>
      <c r="D1523" s="29" t="s">
        <v>4124</v>
      </c>
      <c r="E1523" s="4" t="n">
        <v>5</v>
      </c>
      <c r="F1523" s="4" t="s">
        <v>213</v>
      </c>
      <c r="G1523" s="4" t="s">
        <v>2470</v>
      </c>
      <c r="H1523" s="4" t="n">
        <v>1988</v>
      </c>
      <c r="I1523" s="4" t="s">
        <v>195</v>
      </c>
      <c r="J1523" s="25" t="str">
        <f aca="false">IF(M1523=1,"✓","")</f>
        <v/>
      </c>
      <c r="K1523" s="4" t="str">
        <f aca="false">IF(AND(M1523=0,P1523=0),"▶ NEXT","")</f>
        <v/>
      </c>
      <c r="L1523" s="4" t="n">
        <f aca="false">INDEX('Master List'!$F$2:$F$2594,O1523)</f>
        <v>1</v>
      </c>
      <c r="M1523" s="4" t="n">
        <f aca="false">INDEX('Master List'!$G$2:$G$2594,O1523)</f>
        <v>0</v>
      </c>
      <c r="N1523" s="4" t="str">
        <f aca="false">IF(K1523="","",A1523)</f>
        <v/>
      </c>
      <c r="O1523" s="4" t="n">
        <v>847</v>
      </c>
      <c r="P1523" s="4" t="n">
        <f aca="false">IF(A1523=A1522,P1522+1-M1522,0)</f>
        <v>3</v>
      </c>
    </row>
    <row r="1524" customFormat="false" ht="15" hidden="false" customHeight="false" outlineLevel="0" collapsed="false">
      <c r="A1524" s="29" t="s">
        <v>4123</v>
      </c>
      <c r="B1524" s="29" t="s">
        <v>52</v>
      </c>
      <c r="C1524" s="29" t="s">
        <v>96</v>
      </c>
      <c r="D1524" s="29" t="s">
        <v>4124</v>
      </c>
      <c r="E1524" s="4" t="n">
        <v>6</v>
      </c>
      <c r="F1524" s="4" t="s">
        <v>213</v>
      </c>
      <c r="G1524" s="4" t="s">
        <v>679</v>
      </c>
      <c r="H1524" s="4" t="n">
        <v>1980</v>
      </c>
      <c r="I1524" s="4" t="s">
        <v>488</v>
      </c>
      <c r="J1524" s="25" t="str">
        <f aca="false">IF(M1524=1,"✓","")</f>
        <v/>
      </c>
      <c r="K1524" s="4" t="str">
        <f aca="false">IF(AND(M1524=0,P1524=0),"▶ NEXT","")</f>
        <v/>
      </c>
      <c r="L1524" s="4" t="n">
        <f aca="false">INDEX('Master List'!$F$2:$F$2594,O1524)</f>
        <v>3</v>
      </c>
      <c r="M1524" s="4" t="n">
        <f aca="false">INDEX('Master List'!$G$2:$G$2594,O1524)</f>
        <v>0</v>
      </c>
      <c r="N1524" s="4" t="str">
        <f aca="false">IF(K1524="","",A1524)</f>
        <v/>
      </c>
      <c r="O1524" s="4" t="n">
        <v>677</v>
      </c>
      <c r="P1524" s="4" t="n">
        <f aca="false">IF(A1524=A1523,P1523+1-M1523,0)</f>
        <v>4</v>
      </c>
    </row>
    <row r="1525" customFormat="false" ht="15" hidden="false" customHeight="false" outlineLevel="0" collapsed="false">
      <c r="A1525" s="29" t="s">
        <v>4123</v>
      </c>
      <c r="B1525" s="29" t="s">
        <v>52</v>
      </c>
      <c r="C1525" s="29" t="s">
        <v>96</v>
      </c>
      <c r="D1525" s="29" t="s">
        <v>4124</v>
      </c>
      <c r="E1525" s="4" t="n">
        <v>7</v>
      </c>
      <c r="F1525" s="4" t="s">
        <v>213</v>
      </c>
      <c r="G1525" s="4" t="s">
        <v>814</v>
      </c>
      <c r="H1525" s="4" t="n">
        <v>1984</v>
      </c>
      <c r="I1525" s="4" t="s">
        <v>488</v>
      </c>
      <c r="J1525" s="25" t="str">
        <f aca="false">IF(M1525=1,"✓","")</f>
        <v/>
      </c>
      <c r="K1525" s="4" t="str">
        <f aca="false">IF(AND(M1525=0,P1525=0),"▶ NEXT","")</f>
        <v/>
      </c>
      <c r="L1525" s="4" t="n">
        <f aca="false">INDEX('Master List'!$F$2:$F$2594,O1525)</f>
        <v>3</v>
      </c>
      <c r="M1525" s="4" t="n">
        <f aca="false">INDEX('Master List'!$G$2:$G$2594,O1525)</f>
        <v>0</v>
      </c>
      <c r="N1525" s="4" t="str">
        <f aca="false">IF(K1525="","",A1525)</f>
        <v/>
      </c>
      <c r="O1525" s="4" t="n">
        <v>308</v>
      </c>
      <c r="P1525" s="4" t="n">
        <f aca="false">IF(A1525=A1524,P1524+1-M1524,0)</f>
        <v>5</v>
      </c>
    </row>
    <row r="1526" customFormat="false" ht="15" hidden="false" customHeight="false" outlineLevel="0" collapsed="false">
      <c r="A1526" s="29" t="s">
        <v>4123</v>
      </c>
      <c r="B1526" s="29" t="s">
        <v>52</v>
      </c>
      <c r="C1526" s="29" t="s">
        <v>96</v>
      </c>
      <c r="D1526" s="29" t="s">
        <v>4124</v>
      </c>
      <c r="E1526" s="4" t="n">
        <v>8</v>
      </c>
      <c r="F1526" s="4" t="s">
        <v>213</v>
      </c>
      <c r="G1526" s="4" t="s">
        <v>622</v>
      </c>
      <c r="H1526" s="4" t="n">
        <v>1997</v>
      </c>
      <c r="I1526" s="4" t="s">
        <v>325</v>
      </c>
      <c r="J1526" s="25" t="str">
        <f aca="false">IF(M1526=1,"✓","")</f>
        <v>✓</v>
      </c>
      <c r="K1526" s="4" t="str">
        <f aca="false">IF(AND(M1526=0,P1526=0),"▶ NEXT","")</f>
        <v/>
      </c>
      <c r="L1526" s="4" t="n">
        <f aca="false">INDEX('Master List'!$F$2:$F$2594,O1526)</f>
        <v>3</v>
      </c>
      <c r="M1526" s="4" t="n">
        <f aca="false">INDEX('Master List'!$G$2:$G$2594,O1526)</f>
        <v>1</v>
      </c>
      <c r="N1526" s="4" t="str">
        <f aca="false">IF(K1526="","",A1526)</f>
        <v/>
      </c>
      <c r="O1526" s="4" t="n">
        <v>874</v>
      </c>
      <c r="P1526" s="4" t="n">
        <f aca="false">IF(A1526=A1525,P1525+1-M1525,0)</f>
        <v>6</v>
      </c>
    </row>
    <row r="1527" customFormat="false" ht="15" hidden="false" customHeight="false" outlineLevel="0" collapsed="false">
      <c r="A1527" s="29" t="s">
        <v>4123</v>
      </c>
      <c r="B1527" s="29" t="s">
        <v>52</v>
      </c>
      <c r="C1527" s="29" t="s">
        <v>96</v>
      </c>
      <c r="D1527" s="29" t="s">
        <v>4124</v>
      </c>
      <c r="E1527" s="4" t="n">
        <v>9</v>
      </c>
      <c r="F1527" s="4" t="s">
        <v>213</v>
      </c>
      <c r="G1527" s="4" t="s">
        <v>1217</v>
      </c>
      <c r="H1527" s="4" t="n">
        <v>2014</v>
      </c>
      <c r="I1527" s="4" t="s">
        <v>325</v>
      </c>
      <c r="J1527" s="25" t="str">
        <f aca="false">IF(M1527=1,"✓","")</f>
        <v>✓</v>
      </c>
      <c r="K1527" s="4" t="str">
        <f aca="false">IF(AND(M1527=0,P1527=0),"▶ NEXT","")</f>
        <v/>
      </c>
      <c r="L1527" s="4" t="n">
        <f aca="false">INDEX('Master List'!$F$2:$F$2594,O1527)</f>
        <v>2</v>
      </c>
      <c r="M1527" s="4" t="n">
        <f aca="false">INDEX('Master List'!$G$2:$G$2594,O1527)</f>
        <v>1</v>
      </c>
      <c r="N1527" s="4" t="str">
        <f aca="false">IF(K1527="","",A1527)</f>
        <v/>
      </c>
      <c r="O1527" s="4" t="n">
        <v>922</v>
      </c>
      <c r="P1527" s="4" t="n">
        <f aca="false">IF(A1527=A1526,P1526+1-M1526,0)</f>
        <v>6</v>
      </c>
    </row>
    <row r="1528" customFormat="false" ht="15" hidden="false" customHeight="false" outlineLevel="0" collapsed="false">
      <c r="A1528" s="29" t="s">
        <v>4123</v>
      </c>
      <c r="B1528" s="29" t="s">
        <v>52</v>
      </c>
      <c r="C1528" s="29" t="s">
        <v>96</v>
      </c>
      <c r="D1528" s="29" t="s">
        <v>4124</v>
      </c>
      <c r="E1528" s="4" t="n">
        <v>10</v>
      </c>
      <c r="F1528" s="4" t="s">
        <v>1327</v>
      </c>
      <c r="G1528" s="4" t="s">
        <v>1348</v>
      </c>
      <c r="H1528" s="4" t="n">
        <v>1972</v>
      </c>
      <c r="I1528" s="4" t="s">
        <v>488</v>
      </c>
      <c r="J1528" s="25" t="str">
        <f aca="false">IF(M1528=1,"✓","")</f>
        <v/>
      </c>
      <c r="K1528" s="4" t="str">
        <f aca="false">IF(AND(M1528=0,P1528=0),"▶ NEXT","")</f>
        <v/>
      </c>
      <c r="L1528" s="4" t="n">
        <f aca="false">INDEX('Master List'!$F$2:$F$2594,O1528)</f>
        <v>2</v>
      </c>
      <c r="M1528" s="4" t="n">
        <f aca="false">INDEX('Master List'!$G$2:$G$2594,O1528)</f>
        <v>0</v>
      </c>
      <c r="N1528" s="4" t="str">
        <f aca="false">IF(K1528="","",A1528)</f>
        <v/>
      </c>
      <c r="O1528" s="4" t="n">
        <v>2082</v>
      </c>
      <c r="P1528" s="4" t="n">
        <f aca="false">IF(A1528=A1527,P1527+1-M1527,0)</f>
        <v>6</v>
      </c>
    </row>
    <row r="1529" customFormat="false" ht="15" hidden="false" customHeight="false" outlineLevel="0" collapsed="false">
      <c r="A1529" s="29" t="s">
        <v>4123</v>
      </c>
      <c r="B1529" s="29" t="s">
        <v>52</v>
      </c>
      <c r="C1529" s="29" t="s">
        <v>96</v>
      </c>
      <c r="D1529" s="29" t="s">
        <v>4124</v>
      </c>
      <c r="E1529" s="4" t="n">
        <v>11</v>
      </c>
      <c r="F1529" s="4" t="s">
        <v>1327</v>
      </c>
      <c r="G1529" s="4" t="s">
        <v>1355</v>
      </c>
      <c r="H1529" s="4" t="n">
        <v>1976</v>
      </c>
      <c r="I1529" s="4" t="s">
        <v>488</v>
      </c>
      <c r="J1529" s="25" t="str">
        <f aca="false">IF(M1529=1,"✓","")</f>
        <v/>
      </c>
      <c r="K1529" s="4" t="str">
        <f aca="false">IF(AND(M1529=0,P1529=0),"▶ NEXT","")</f>
        <v/>
      </c>
      <c r="L1529" s="4" t="n">
        <f aca="false">INDEX('Master List'!$F$2:$F$2594,O1529)</f>
        <v>2</v>
      </c>
      <c r="M1529" s="4" t="n">
        <f aca="false">INDEX('Master List'!$G$2:$G$2594,O1529)</f>
        <v>0</v>
      </c>
      <c r="N1529" s="4" t="str">
        <f aca="false">IF(K1529="","",A1529)</f>
        <v/>
      </c>
      <c r="O1529" s="4" t="n">
        <v>1644</v>
      </c>
      <c r="P1529" s="4" t="n">
        <f aca="false">IF(A1529=A1528,P1528+1-M1528,0)</f>
        <v>7</v>
      </c>
    </row>
    <row r="1530" customFormat="false" ht="15" hidden="false" customHeight="false" outlineLevel="0" collapsed="false">
      <c r="A1530" s="29" t="s">
        <v>4125</v>
      </c>
      <c r="B1530" s="29" t="s">
        <v>52</v>
      </c>
      <c r="C1530" s="29" t="s">
        <v>96</v>
      </c>
      <c r="D1530" s="29" t="s">
        <v>4126</v>
      </c>
      <c r="E1530" s="4" t="n">
        <v>1</v>
      </c>
      <c r="F1530" s="4" t="s">
        <v>144</v>
      </c>
      <c r="G1530" s="7" t="s">
        <v>1501</v>
      </c>
      <c r="H1530" s="4" t="n">
        <v>1974</v>
      </c>
      <c r="I1530" s="4" t="s">
        <v>243</v>
      </c>
      <c r="J1530" s="25" t="str">
        <f aca="false">IF(M1530=1,"✓","")</f>
        <v/>
      </c>
      <c r="K1530" s="4" t="str">
        <f aca="false">IF(AND(M1530=0,P1530=0),"▶ NEXT","")</f>
        <v>▶ NEXT</v>
      </c>
      <c r="L1530" s="4" t="n">
        <f aca="false">INDEX('Master List'!$F$2:$F$2594,O1530)</f>
        <v>1</v>
      </c>
      <c r="M1530" s="4" t="n">
        <f aca="false">INDEX('Master List'!$G$2:$G$2594,O1530)</f>
        <v>0</v>
      </c>
      <c r="N1530" s="4" t="str">
        <f aca="false">IF(K1530="","",A1530)</f>
        <v>N126</v>
      </c>
      <c r="O1530" s="4" t="n">
        <v>1718</v>
      </c>
      <c r="P1530" s="4" t="n">
        <f aca="false">IF(A1530=A1529,P1529+1-M1529,0)</f>
        <v>0</v>
      </c>
    </row>
    <row r="1531" customFormat="false" ht="15" hidden="false" customHeight="false" outlineLevel="0" collapsed="false">
      <c r="A1531" s="29" t="s">
        <v>4125</v>
      </c>
      <c r="B1531" s="29" t="s">
        <v>52</v>
      </c>
      <c r="C1531" s="29" t="s">
        <v>96</v>
      </c>
      <c r="D1531" s="29" t="s">
        <v>4126</v>
      </c>
      <c r="E1531" s="4" t="n">
        <v>2</v>
      </c>
      <c r="F1531" s="4" t="s">
        <v>144</v>
      </c>
      <c r="G1531" s="7" t="s">
        <v>242</v>
      </c>
      <c r="H1531" s="4" t="n">
        <v>1976</v>
      </c>
      <c r="I1531" s="4" t="s">
        <v>243</v>
      </c>
      <c r="J1531" s="25" t="str">
        <f aca="false">IF(M1531=1,"✓","")</f>
        <v>✓</v>
      </c>
      <c r="K1531" s="4" t="str">
        <f aca="false">IF(AND(M1531=0,P1531=0),"▶ NEXT","")</f>
        <v/>
      </c>
      <c r="L1531" s="4" t="n">
        <f aca="false">INDEX('Master List'!$F$2:$F$2594,O1531)</f>
        <v>5</v>
      </c>
      <c r="M1531" s="4" t="n">
        <f aca="false">INDEX('Master List'!$G$2:$G$2594,O1531)</f>
        <v>1</v>
      </c>
      <c r="N1531" s="4" t="str">
        <f aca="false">IF(K1531="","",A1531)</f>
        <v/>
      </c>
      <c r="O1531" s="4" t="n">
        <v>78</v>
      </c>
      <c r="P1531" s="4" t="n">
        <f aca="false">IF(A1531=A1530,P1530+1-M1530,0)</f>
        <v>1</v>
      </c>
    </row>
    <row r="1532" customFormat="false" ht="15" hidden="false" customHeight="false" outlineLevel="0" collapsed="false">
      <c r="A1532" s="29" t="s">
        <v>4125</v>
      </c>
      <c r="B1532" s="29" t="s">
        <v>52</v>
      </c>
      <c r="C1532" s="29" t="s">
        <v>96</v>
      </c>
      <c r="D1532" s="29" t="s">
        <v>4126</v>
      </c>
      <c r="E1532" s="4" t="n">
        <v>3</v>
      </c>
      <c r="F1532" s="4" t="s">
        <v>213</v>
      </c>
      <c r="G1532" s="4" t="s">
        <v>964</v>
      </c>
      <c r="H1532" s="4" t="n">
        <v>1962</v>
      </c>
      <c r="I1532" s="4" t="s">
        <v>965</v>
      </c>
      <c r="J1532" s="25" t="str">
        <f aca="false">IF(M1532=1,"✓","")</f>
        <v/>
      </c>
      <c r="K1532" s="4" t="str">
        <f aca="false">IF(AND(M1532=0,P1532=0),"▶ NEXT","")</f>
        <v/>
      </c>
      <c r="L1532" s="4" t="n">
        <f aca="false">INDEX('Master List'!$F$2:$F$2594,O1532)</f>
        <v>2</v>
      </c>
      <c r="M1532" s="4" t="n">
        <f aca="false">INDEX('Master List'!$G$2:$G$2594,O1532)</f>
        <v>0</v>
      </c>
      <c r="N1532" s="4" t="str">
        <f aca="false">IF(K1532="","",A1532)</f>
        <v/>
      </c>
      <c r="O1532" s="4" t="n">
        <v>1437</v>
      </c>
      <c r="P1532" s="4" t="n">
        <f aca="false">IF(A1532=A1531,P1531+1-M1531,0)</f>
        <v>1</v>
      </c>
    </row>
    <row r="1533" customFormat="false" ht="15" hidden="false" customHeight="false" outlineLevel="0" collapsed="false">
      <c r="A1533" s="29" t="s">
        <v>4125</v>
      </c>
      <c r="B1533" s="29" t="s">
        <v>52</v>
      </c>
      <c r="C1533" s="29" t="s">
        <v>96</v>
      </c>
      <c r="D1533" s="29" t="s">
        <v>4126</v>
      </c>
      <c r="E1533" s="4" t="n">
        <v>4</v>
      </c>
      <c r="F1533" s="4" t="s">
        <v>213</v>
      </c>
      <c r="G1533" s="4" t="s">
        <v>2180</v>
      </c>
      <c r="H1533" s="4" t="n">
        <v>1971</v>
      </c>
      <c r="I1533" s="4" t="s">
        <v>243</v>
      </c>
      <c r="J1533" s="25" t="str">
        <f aca="false">IF(M1533=1,"✓","")</f>
        <v/>
      </c>
      <c r="K1533" s="4" t="str">
        <f aca="false">IF(AND(M1533=0,P1533=0),"▶ NEXT","")</f>
        <v/>
      </c>
      <c r="L1533" s="4" t="n">
        <f aca="false">INDEX('Master List'!$F$2:$F$2594,O1533)</f>
        <v>1</v>
      </c>
      <c r="M1533" s="4" t="n">
        <f aca="false">INDEX('Master List'!$G$2:$G$2594,O1533)</f>
        <v>0</v>
      </c>
      <c r="N1533" s="4" t="str">
        <f aca="false">IF(K1533="","",A1533)</f>
        <v/>
      </c>
      <c r="O1533" s="4" t="n">
        <v>1266</v>
      </c>
      <c r="P1533" s="4" t="n">
        <f aca="false">IF(A1533=A1532,P1532+1-M1532,0)</f>
        <v>2</v>
      </c>
    </row>
    <row r="1534" customFormat="false" ht="15" hidden="false" customHeight="false" outlineLevel="0" collapsed="false">
      <c r="A1534" s="29" t="s">
        <v>4125</v>
      </c>
      <c r="B1534" s="29" t="s">
        <v>52</v>
      </c>
      <c r="C1534" s="29" t="s">
        <v>96</v>
      </c>
      <c r="D1534" s="29" t="s">
        <v>4126</v>
      </c>
      <c r="E1534" s="4" t="n">
        <v>5</v>
      </c>
      <c r="F1534" s="4" t="s">
        <v>213</v>
      </c>
      <c r="G1534" s="4" t="s">
        <v>171</v>
      </c>
      <c r="H1534" s="4" t="n">
        <v>1974</v>
      </c>
      <c r="I1534" s="4" t="s">
        <v>172</v>
      </c>
      <c r="J1534" s="25" t="str">
        <f aca="false">IF(M1534=1,"✓","")</f>
        <v>✓</v>
      </c>
      <c r="K1534" s="4" t="str">
        <f aca="false">IF(AND(M1534=0,P1534=0),"▶ NEXT","")</f>
        <v/>
      </c>
      <c r="L1534" s="4" t="n">
        <f aca="false">INDEX('Master List'!$F$2:$F$2594,O1534)</f>
        <v>8</v>
      </c>
      <c r="M1534" s="4" t="n">
        <f aca="false">INDEX('Master List'!$G$2:$G$2594,O1534)</f>
        <v>1</v>
      </c>
      <c r="N1534" s="4" t="str">
        <f aca="false">IF(K1534="","",A1534)</f>
        <v/>
      </c>
      <c r="O1534" s="4" t="n">
        <v>520</v>
      </c>
      <c r="P1534" s="4" t="n">
        <f aca="false">IF(A1534=A1533,P1533+1-M1533,0)</f>
        <v>3</v>
      </c>
    </row>
    <row r="1535" customFormat="false" ht="15" hidden="false" customHeight="false" outlineLevel="0" collapsed="false">
      <c r="A1535" s="29" t="s">
        <v>4125</v>
      </c>
      <c r="B1535" s="29" t="s">
        <v>52</v>
      </c>
      <c r="C1535" s="29" t="s">
        <v>96</v>
      </c>
      <c r="D1535" s="29" t="s">
        <v>4126</v>
      </c>
      <c r="E1535" s="4" t="n">
        <v>6</v>
      </c>
      <c r="F1535" s="4" t="s">
        <v>213</v>
      </c>
      <c r="G1535" s="4" t="s">
        <v>1276</v>
      </c>
      <c r="H1535" s="4" t="n">
        <v>1975</v>
      </c>
      <c r="I1535" s="4" t="s">
        <v>1058</v>
      </c>
      <c r="J1535" s="25" t="str">
        <f aca="false">IF(M1535=1,"✓","")</f>
        <v/>
      </c>
      <c r="K1535" s="4" t="str">
        <f aca="false">IF(AND(M1535=0,P1535=0),"▶ NEXT","")</f>
        <v/>
      </c>
      <c r="L1535" s="4" t="n">
        <f aca="false">INDEX('Master List'!$F$2:$F$2594,O1535)</f>
        <v>2</v>
      </c>
      <c r="M1535" s="4" t="n">
        <f aca="false">INDEX('Master List'!$G$2:$G$2594,O1535)</f>
        <v>0</v>
      </c>
      <c r="N1535" s="4" t="str">
        <f aca="false">IF(K1535="","",A1535)</f>
        <v/>
      </c>
      <c r="O1535" s="4" t="n">
        <v>2293</v>
      </c>
      <c r="P1535" s="4" t="n">
        <f aca="false">IF(A1535=A1534,P1534+1-M1534,0)</f>
        <v>3</v>
      </c>
    </row>
    <row r="1536" customFormat="false" ht="15" hidden="false" customHeight="false" outlineLevel="0" collapsed="false">
      <c r="A1536" s="29" t="s">
        <v>4125</v>
      </c>
      <c r="B1536" s="29" t="s">
        <v>52</v>
      </c>
      <c r="C1536" s="29" t="s">
        <v>96</v>
      </c>
      <c r="D1536" s="29" t="s">
        <v>4126</v>
      </c>
      <c r="E1536" s="4" t="n">
        <v>7</v>
      </c>
      <c r="F1536" s="4" t="s">
        <v>213</v>
      </c>
      <c r="G1536" s="4" t="s">
        <v>2287</v>
      </c>
      <c r="H1536" s="4" t="n">
        <v>1976</v>
      </c>
      <c r="I1536" s="4" t="s">
        <v>589</v>
      </c>
      <c r="J1536" s="25" t="str">
        <f aca="false">IF(M1536=1,"✓","")</f>
        <v>✓</v>
      </c>
      <c r="K1536" s="4" t="str">
        <f aca="false">IF(AND(M1536=0,P1536=0),"▶ NEXT","")</f>
        <v/>
      </c>
      <c r="L1536" s="4" t="n">
        <f aca="false">INDEX('Master List'!$F$2:$F$2594,O1536)</f>
        <v>1</v>
      </c>
      <c r="M1536" s="4" t="n">
        <f aca="false">INDEX('Master List'!$G$2:$G$2594,O1536)</f>
        <v>1</v>
      </c>
      <c r="N1536" s="4" t="str">
        <f aca="false">IF(K1536="","",A1536)</f>
        <v/>
      </c>
      <c r="O1536" s="4" t="n">
        <v>1443</v>
      </c>
      <c r="P1536" s="4" t="n">
        <f aca="false">IF(A1536=A1535,P1535+1-M1535,0)</f>
        <v>4</v>
      </c>
    </row>
    <row r="1537" customFormat="false" ht="15" hidden="false" customHeight="false" outlineLevel="0" collapsed="false">
      <c r="A1537" s="29" t="s">
        <v>4125</v>
      </c>
      <c r="B1537" s="29" t="s">
        <v>52</v>
      </c>
      <c r="C1537" s="29" t="s">
        <v>96</v>
      </c>
      <c r="D1537" s="29" t="s">
        <v>4126</v>
      </c>
      <c r="E1537" s="4" t="n">
        <v>8</v>
      </c>
      <c r="F1537" s="4" t="s">
        <v>213</v>
      </c>
      <c r="G1537" s="4" t="s">
        <v>2296</v>
      </c>
      <c r="H1537" s="4" t="n">
        <v>1977</v>
      </c>
      <c r="I1537" s="4" t="s">
        <v>2297</v>
      </c>
      <c r="J1537" s="25" t="str">
        <f aca="false">IF(M1537=1,"✓","")</f>
        <v>✓</v>
      </c>
      <c r="K1537" s="4" t="str">
        <f aca="false">IF(AND(M1537=0,P1537=0),"▶ NEXT","")</f>
        <v/>
      </c>
      <c r="L1537" s="4" t="n">
        <f aca="false">INDEX('Master List'!$F$2:$F$2594,O1537)</f>
        <v>1</v>
      </c>
      <c r="M1537" s="4" t="n">
        <f aca="false">INDEX('Master List'!$G$2:$G$2594,O1537)</f>
        <v>1</v>
      </c>
      <c r="N1537" s="4" t="str">
        <f aca="false">IF(K1537="","",A1537)</f>
        <v/>
      </c>
      <c r="O1537" s="4" t="n">
        <v>392</v>
      </c>
      <c r="P1537" s="4" t="n">
        <f aca="false">IF(A1537=A1536,P1536+1-M1536,0)</f>
        <v>4</v>
      </c>
    </row>
    <row r="1538" customFormat="false" ht="15" hidden="false" customHeight="false" outlineLevel="0" collapsed="false">
      <c r="A1538" s="29" t="s">
        <v>4125</v>
      </c>
      <c r="B1538" s="29" t="s">
        <v>52</v>
      </c>
      <c r="C1538" s="29" t="s">
        <v>96</v>
      </c>
      <c r="D1538" s="29" t="s">
        <v>4126</v>
      </c>
      <c r="E1538" s="4" t="n">
        <v>9</v>
      </c>
      <c r="F1538" s="4" t="s">
        <v>213</v>
      </c>
      <c r="G1538" s="4" t="s">
        <v>487</v>
      </c>
      <c r="H1538" s="4" t="n">
        <v>1981</v>
      </c>
      <c r="I1538" s="4" t="s">
        <v>488</v>
      </c>
      <c r="J1538" s="25" t="str">
        <f aca="false">IF(M1538=1,"✓","")</f>
        <v>✓</v>
      </c>
      <c r="K1538" s="4" t="str">
        <f aca="false">IF(AND(M1538=0,P1538=0),"▶ NEXT","")</f>
        <v/>
      </c>
      <c r="L1538" s="4" t="n">
        <f aca="false">INDEX('Master List'!$F$2:$F$2594,O1538)</f>
        <v>3</v>
      </c>
      <c r="M1538" s="4" t="n">
        <f aca="false">INDEX('Master List'!$G$2:$G$2594,O1538)</f>
        <v>1</v>
      </c>
      <c r="N1538" s="4" t="str">
        <f aca="false">IF(K1538="","",A1538)</f>
        <v/>
      </c>
      <c r="O1538" s="4" t="n">
        <v>295</v>
      </c>
      <c r="P1538" s="4" t="n">
        <f aca="false">IF(A1538=A1537,P1537+1-M1537,0)</f>
        <v>4</v>
      </c>
    </row>
    <row r="1539" customFormat="false" ht="15" hidden="false" customHeight="false" outlineLevel="0" collapsed="false">
      <c r="A1539" s="29" t="s">
        <v>4125</v>
      </c>
      <c r="B1539" s="29" t="s">
        <v>52</v>
      </c>
      <c r="C1539" s="29" t="s">
        <v>96</v>
      </c>
      <c r="D1539" s="29" t="s">
        <v>4126</v>
      </c>
      <c r="E1539" s="4" t="n">
        <v>10</v>
      </c>
      <c r="F1539" s="4" t="s">
        <v>1327</v>
      </c>
      <c r="G1539" s="4" t="s">
        <v>3577</v>
      </c>
      <c r="H1539" s="4" t="n">
        <v>1979</v>
      </c>
      <c r="I1539" s="4" t="s">
        <v>3578</v>
      </c>
      <c r="J1539" s="25" t="str">
        <f aca="false">IF(M1539=1,"✓","")</f>
        <v/>
      </c>
      <c r="K1539" s="4" t="str">
        <f aca="false">IF(AND(M1539=0,P1539=0),"▶ NEXT","")</f>
        <v/>
      </c>
      <c r="L1539" s="4" t="n">
        <f aca="false">INDEX('Master List'!$F$2:$F$2594,O1539)</f>
        <v>1</v>
      </c>
      <c r="M1539" s="4" t="n">
        <f aca="false">INDEX('Master List'!$G$2:$G$2594,O1539)</f>
        <v>0</v>
      </c>
      <c r="N1539" s="4" t="str">
        <f aca="false">IF(K1539="","",A1539)</f>
        <v/>
      </c>
      <c r="O1539" s="4" t="n">
        <v>2528</v>
      </c>
      <c r="P1539" s="4" t="n">
        <f aca="false">IF(A1539=A1538,P1538+1-M1538,0)</f>
        <v>4</v>
      </c>
    </row>
    <row r="1540" customFormat="false" ht="15" hidden="false" customHeight="false" outlineLevel="0" collapsed="false">
      <c r="A1540" s="29" t="s">
        <v>4125</v>
      </c>
      <c r="B1540" s="29" t="s">
        <v>52</v>
      </c>
      <c r="C1540" s="29" t="s">
        <v>96</v>
      </c>
      <c r="D1540" s="29" t="s">
        <v>4126</v>
      </c>
      <c r="E1540" s="4" t="n">
        <v>11</v>
      </c>
      <c r="F1540" s="4" t="s">
        <v>1327</v>
      </c>
      <c r="G1540" s="4" t="s">
        <v>3517</v>
      </c>
      <c r="H1540" s="4" t="n">
        <v>1973</v>
      </c>
      <c r="I1540" s="4" t="s">
        <v>3416</v>
      </c>
      <c r="J1540" s="25" t="str">
        <f aca="false">IF(M1540=1,"✓","")</f>
        <v/>
      </c>
      <c r="K1540" s="4" t="str">
        <f aca="false">IF(AND(M1540=0,P1540=0),"▶ NEXT","")</f>
        <v/>
      </c>
      <c r="L1540" s="4" t="n">
        <f aca="false">INDEX('Master List'!$F$2:$F$2594,O1540)</f>
        <v>1</v>
      </c>
      <c r="M1540" s="4" t="n">
        <f aca="false">INDEX('Master List'!$G$2:$G$2594,O1540)</f>
        <v>0</v>
      </c>
      <c r="N1540" s="4" t="str">
        <f aca="false">IF(K1540="","",A1540)</f>
        <v/>
      </c>
      <c r="O1540" s="4" t="n">
        <v>758</v>
      </c>
      <c r="P1540" s="4" t="n">
        <f aca="false">IF(A1540=A1539,P1539+1-M1539,0)</f>
        <v>5</v>
      </c>
    </row>
    <row r="1541" customFormat="false" ht="15" hidden="false" customHeight="false" outlineLevel="0" collapsed="false">
      <c r="A1541" s="29" t="s">
        <v>4127</v>
      </c>
      <c r="B1541" s="29" t="s">
        <v>52</v>
      </c>
      <c r="C1541" s="29" t="s">
        <v>96</v>
      </c>
      <c r="D1541" s="29" t="s">
        <v>4128</v>
      </c>
      <c r="E1541" s="4" t="n">
        <v>1</v>
      </c>
      <c r="F1541" s="4" t="s">
        <v>144</v>
      </c>
      <c r="G1541" s="7" t="s">
        <v>549</v>
      </c>
      <c r="H1541" s="4" t="n">
        <v>1981</v>
      </c>
      <c r="I1541" s="4" t="s">
        <v>550</v>
      </c>
      <c r="J1541" s="25" t="str">
        <f aca="false">IF(M1541=1,"✓","")</f>
        <v/>
      </c>
      <c r="K1541" s="4" t="str">
        <f aca="false">IF(AND(M1541=0,P1541=0),"▶ NEXT","")</f>
        <v>▶ NEXT</v>
      </c>
      <c r="L1541" s="4" t="n">
        <f aca="false">INDEX('Master List'!$F$2:$F$2594,O1541)</f>
        <v>3</v>
      </c>
      <c r="M1541" s="4" t="n">
        <f aca="false">INDEX('Master List'!$G$2:$G$2594,O1541)</f>
        <v>0</v>
      </c>
      <c r="N1541" s="4" t="str">
        <f aca="false">IF(K1541="","",A1541)</f>
        <v>N127</v>
      </c>
      <c r="O1541" s="4" t="n">
        <v>309</v>
      </c>
      <c r="P1541" s="4" t="n">
        <f aca="false">IF(A1541=A1540,P1540+1-M1540,0)</f>
        <v>0</v>
      </c>
    </row>
    <row r="1542" customFormat="false" ht="15" hidden="false" customHeight="false" outlineLevel="0" collapsed="false">
      <c r="A1542" s="29" t="s">
        <v>4127</v>
      </c>
      <c r="B1542" s="29" t="s">
        <v>52</v>
      </c>
      <c r="C1542" s="29" t="s">
        <v>96</v>
      </c>
      <c r="D1542" s="29" t="s">
        <v>4128</v>
      </c>
      <c r="E1542" s="4" t="n">
        <v>2</v>
      </c>
      <c r="F1542" s="4" t="s">
        <v>144</v>
      </c>
      <c r="G1542" s="7" t="s">
        <v>1546</v>
      </c>
      <c r="H1542" s="4" t="n">
        <v>1992</v>
      </c>
      <c r="I1542" s="4" t="s">
        <v>699</v>
      </c>
      <c r="J1542" s="25" t="str">
        <f aca="false">IF(M1542=1,"✓","")</f>
        <v/>
      </c>
      <c r="K1542" s="4" t="str">
        <f aca="false">IF(AND(M1542=0,P1542=0),"▶ NEXT","")</f>
        <v/>
      </c>
      <c r="L1542" s="4" t="n">
        <f aca="false">INDEX('Master List'!$F$2:$F$2594,O1542)</f>
        <v>1</v>
      </c>
      <c r="M1542" s="4" t="n">
        <f aca="false">INDEX('Master List'!$G$2:$G$2594,O1542)</f>
        <v>0</v>
      </c>
      <c r="N1542" s="4" t="str">
        <f aca="false">IF(K1542="","",A1542)</f>
        <v/>
      </c>
      <c r="O1542" s="4" t="n">
        <v>192</v>
      </c>
      <c r="P1542" s="4" t="n">
        <f aca="false">IF(A1542=A1541,P1541+1-M1541,0)</f>
        <v>1</v>
      </c>
    </row>
    <row r="1543" customFormat="false" ht="15" hidden="false" customHeight="false" outlineLevel="0" collapsed="false">
      <c r="A1543" s="29" t="s">
        <v>4127</v>
      </c>
      <c r="B1543" s="29" t="s">
        <v>52</v>
      </c>
      <c r="C1543" s="29" t="s">
        <v>96</v>
      </c>
      <c r="D1543" s="29" t="s">
        <v>4128</v>
      </c>
      <c r="E1543" s="4" t="n">
        <v>3</v>
      </c>
      <c r="F1543" s="4" t="s">
        <v>213</v>
      </c>
      <c r="G1543" s="4" t="s">
        <v>2452</v>
      </c>
      <c r="H1543" s="4" t="n">
        <v>1987</v>
      </c>
      <c r="I1543" s="4" t="s">
        <v>2453</v>
      </c>
      <c r="J1543" s="25" t="str">
        <f aca="false">IF(M1543=1,"✓","")</f>
        <v/>
      </c>
      <c r="K1543" s="4" t="str">
        <f aca="false">IF(AND(M1543=0,P1543=0),"▶ NEXT","")</f>
        <v/>
      </c>
      <c r="L1543" s="4" t="n">
        <f aca="false">INDEX('Master List'!$F$2:$F$2594,O1543)</f>
        <v>1</v>
      </c>
      <c r="M1543" s="4" t="n">
        <f aca="false">INDEX('Master List'!$G$2:$G$2594,O1543)</f>
        <v>0</v>
      </c>
      <c r="N1543" s="4" t="str">
        <f aca="false">IF(K1543="","",A1543)</f>
        <v/>
      </c>
      <c r="O1543" s="4" t="n">
        <v>792</v>
      </c>
      <c r="P1543" s="4" t="n">
        <f aca="false">IF(A1543=A1542,P1542+1-M1542,0)</f>
        <v>2</v>
      </c>
    </row>
    <row r="1544" customFormat="false" ht="15" hidden="false" customHeight="false" outlineLevel="0" collapsed="false">
      <c r="A1544" s="29" t="s">
        <v>4127</v>
      </c>
      <c r="B1544" s="29" t="s">
        <v>52</v>
      </c>
      <c r="C1544" s="29" t="s">
        <v>96</v>
      </c>
      <c r="D1544" s="29" t="s">
        <v>4128</v>
      </c>
      <c r="E1544" s="4" t="n">
        <v>4</v>
      </c>
      <c r="F1544" s="4" t="s">
        <v>213</v>
      </c>
      <c r="G1544" s="4" t="s">
        <v>679</v>
      </c>
      <c r="H1544" s="4" t="n">
        <v>1980</v>
      </c>
      <c r="I1544" s="4" t="s">
        <v>488</v>
      </c>
      <c r="J1544" s="25" t="str">
        <f aca="false">IF(M1544=1,"✓","")</f>
        <v/>
      </c>
      <c r="K1544" s="4" t="str">
        <f aca="false">IF(AND(M1544=0,P1544=0),"▶ NEXT","")</f>
        <v/>
      </c>
      <c r="L1544" s="4" t="n">
        <f aca="false">INDEX('Master List'!$F$2:$F$2594,O1544)</f>
        <v>3</v>
      </c>
      <c r="M1544" s="4" t="n">
        <f aca="false">INDEX('Master List'!$G$2:$G$2594,O1544)</f>
        <v>0</v>
      </c>
      <c r="N1544" s="4" t="str">
        <f aca="false">IF(K1544="","",A1544)</f>
        <v/>
      </c>
      <c r="O1544" s="4" t="n">
        <v>677</v>
      </c>
      <c r="P1544" s="4" t="n">
        <f aca="false">IF(A1544=A1543,P1543+1-M1543,0)</f>
        <v>3</v>
      </c>
    </row>
    <row r="1545" customFormat="false" ht="15" hidden="false" customHeight="false" outlineLevel="0" collapsed="false">
      <c r="A1545" s="29" t="s">
        <v>4127</v>
      </c>
      <c r="B1545" s="29" t="s">
        <v>52</v>
      </c>
      <c r="C1545" s="29" t="s">
        <v>96</v>
      </c>
      <c r="D1545" s="29" t="s">
        <v>4128</v>
      </c>
      <c r="E1545" s="4" t="n">
        <v>5</v>
      </c>
      <c r="F1545" s="4" t="s">
        <v>213</v>
      </c>
      <c r="G1545" s="4" t="s">
        <v>2493</v>
      </c>
      <c r="H1545" s="4" t="n">
        <v>1989</v>
      </c>
      <c r="I1545" s="4" t="s">
        <v>2494</v>
      </c>
      <c r="J1545" s="25" t="str">
        <f aca="false">IF(M1545=1,"✓","")</f>
        <v/>
      </c>
      <c r="K1545" s="4" t="str">
        <f aca="false">IF(AND(M1545=0,P1545=0),"▶ NEXT","")</f>
        <v/>
      </c>
      <c r="L1545" s="4" t="n">
        <f aca="false">INDEX('Master List'!$F$2:$F$2594,O1545)</f>
        <v>1</v>
      </c>
      <c r="M1545" s="4" t="n">
        <f aca="false">INDEX('Master List'!$G$2:$G$2594,O1545)</f>
        <v>0</v>
      </c>
      <c r="N1545" s="4" t="str">
        <f aca="false">IF(K1545="","",A1545)</f>
        <v/>
      </c>
      <c r="O1545" s="4" t="n">
        <v>1997</v>
      </c>
      <c r="P1545" s="4" t="n">
        <f aca="false">IF(A1545=A1544,P1544+1-M1544,0)</f>
        <v>4</v>
      </c>
    </row>
    <row r="1546" customFormat="false" ht="15" hidden="false" customHeight="false" outlineLevel="0" collapsed="false">
      <c r="A1546" s="29" t="s">
        <v>4127</v>
      </c>
      <c r="B1546" s="29" t="s">
        <v>52</v>
      </c>
      <c r="C1546" s="29" t="s">
        <v>96</v>
      </c>
      <c r="D1546" s="29" t="s">
        <v>4128</v>
      </c>
      <c r="E1546" s="4" t="n">
        <v>6</v>
      </c>
      <c r="F1546" s="4" t="s">
        <v>213</v>
      </c>
      <c r="G1546" s="4" t="s">
        <v>2416</v>
      </c>
      <c r="H1546" s="4" t="n">
        <v>1985</v>
      </c>
      <c r="I1546" s="4" t="s">
        <v>2417</v>
      </c>
      <c r="J1546" s="25" t="str">
        <f aca="false">IF(M1546=1,"✓","")</f>
        <v/>
      </c>
      <c r="K1546" s="4" t="str">
        <f aca="false">IF(AND(M1546=0,P1546=0),"▶ NEXT","")</f>
        <v/>
      </c>
      <c r="L1546" s="4" t="n">
        <f aca="false">INDEX('Master List'!$F$2:$F$2594,O1546)</f>
        <v>1</v>
      </c>
      <c r="M1546" s="4" t="n">
        <f aca="false">INDEX('Master List'!$G$2:$G$2594,O1546)</f>
        <v>0</v>
      </c>
      <c r="N1546" s="4" t="str">
        <f aca="false">IF(K1546="","",A1546)</f>
        <v/>
      </c>
      <c r="O1546" s="4" t="n">
        <v>1192</v>
      </c>
      <c r="P1546" s="4" t="n">
        <f aca="false">IF(A1546=A1545,P1545+1-M1545,0)</f>
        <v>5</v>
      </c>
    </row>
    <row r="1547" customFormat="false" ht="15" hidden="false" customHeight="false" outlineLevel="0" collapsed="false">
      <c r="A1547" s="29" t="s">
        <v>4127</v>
      </c>
      <c r="B1547" s="29" t="s">
        <v>52</v>
      </c>
      <c r="C1547" s="29" t="s">
        <v>96</v>
      </c>
      <c r="D1547" s="29" t="s">
        <v>4128</v>
      </c>
      <c r="E1547" s="4" t="n">
        <v>7</v>
      </c>
      <c r="F1547" s="4" t="s">
        <v>213</v>
      </c>
      <c r="G1547" s="4" t="s">
        <v>2637</v>
      </c>
      <c r="H1547" s="4" t="n">
        <v>1996</v>
      </c>
      <c r="I1547" s="4" t="s">
        <v>848</v>
      </c>
      <c r="J1547" s="25" t="str">
        <f aca="false">IF(M1547=1,"✓","")</f>
        <v/>
      </c>
      <c r="K1547" s="4" t="str">
        <f aca="false">IF(AND(M1547=0,P1547=0),"▶ NEXT","")</f>
        <v/>
      </c>
      <c r="L1547" s="4" t="n">
        <f aca="false">INDEX('Master List'!$F$2:$F$2594,O1547)</f>
        <v>1</v>
      </c>
      <c r="M1547" s="4" t="n">
        <f aca="false">INDEX('Master List'!$G$2:$G$2594,O1547)</f>
        <v>0</v>
      </c>
      <c r="N1547" s="4" t="str">
        <f aca="false">IF(K1547="","",A1547)</f>
        <v/>
      </c>
      <c r="O1547" s="4" t="n">
        <v>323</v>
      </c>
      <c r="P1547" s="4" t="n">
        <f aca="false">IF(A1547=A1546,P1546+1-M1546,0)</f>
        <v>6</v>
      </c>
    </row>
    <row r="1548" customFormat="false" ht="15" hidden="false" customHeight="false" outlineLevel="0" collapsed="false">
      <c r="A1548" s="29" t="s">
        <v>4127</v>
      </c>
      <c r="B1548" s="29" t="s">
        <v>52</v>
      </c>
      <c r="C1548" s="29" t="s">
        <v>96</v>
      </c>
      <c r="D1548" s="29" t="s">
        <v>4128</v>
      </c>
      <c r="E1548" s="4" t="n">
        <v>8</v>
      </c>
      <c r="F1548" s="4" t="s">
        <v>213</v>
      </c>
      <c r="G1548" s="4" t="s">
        <v>1561</v>
      </c>
      <c r="H1548" s="4" t="n">
        <v>1994</v>
      </c>
      <c r="I1548" s="4" t="s">
        <v>1562</v>
      </c>
      <c r="J1548" s="25" t="str">
        <f aca="false">IF(M1548=1,"✓","")</f>
        <v/>
      </c>
      <c r="K1548" s="4" t="str">
        <f aca="false">IF(AND(M1548=0,P1548=0),"▶ NEXT","")</f>
        <v/>
      </c>
      <c r="L1548" s="4" t="n">
        <f aca="false">INDEX('Master List'!$F$2:$F$2594,O1548)</f>
        <v>2</v>
      </c>
      <c r="M1548" s="4" t="n">
        <f aca="false">INDEX('Master List'!$G$2:$G$2594,O1548)</f>
        <v>0</v>
      </c>
      <c r="N1548" s="4" t="str">
        <f aca="false">IF(K1548="","",A1548)</f>
        <v/>
      </c>
      <c r="O1548" s="4" t="n">
        <v>1301</v>
      </c>
      <c r="P1548" s="4" t="n">
        <f aca="false">IF(A1548=A1547,P1547+1-M1547,0)</f>
        <v>7</v>
      </c>
    </row>
    <row r="1549" customFormat="false" ht="15" hidden="false" customHeight="false" outlineLevel="0" collapsed="false">
      <c r="A1549" s="29" t="s">
        <v>4127</v>
      </c>
      <c r="B1549" s="29" t="s">
        <v>52</v>
      </c>
      <c r="C1549" s="29" t="s">
        <v>96</v>
      </c>
      <c r="D1549" s="29" t="s">
        <v>4128</v>
      </c>
      <c r="E1549" s="4" t="n">
        <v>9</v>
      </c>
      <c r="F1549" s="4" t="s">
        <v>213</v>
      </c>
      <c r="G1549" s="4" t="s">
        <v>629</v>
      </c>
      <c r="H1549" s="4" t="n">
        <v>1999</v>
      </c>
      <c r="I1549" s="4" t="s">
        <v>187</v>
      </c>
      <c r="J1549" s="25" t="str">
        <f aca="false">IF(M1549=1,"✓","")</f>
        <v>✓</v>
      </c>
      <c r="K1549" s="4" t="str">
        <f aca="false">IF(AND(M1549=0,P1549=0),"▶ NEXT","")</f>
        <v/>
      </c>
      <c r="L1549" s="4" t="n">
        <f aca="false">INDEX('Master List'!$F$2:$F$2594,O1549)</f>
        <v>3</v>
      </c>
      <c r="M1549" s="4" t="n">
        <f aca="false">INDEX('Master List'!$G$2:$G$2594,O1549)</f>
        <v>1</v>
      </c>
      <c r="N1549" s="4" t="str">
        <f aca="false">IF(K1549="","",A1549)</f>
        <v/>
      </c>
      <c r="O1549" s="4" t="n">
        <v>767</v>
      </c>
      <c r="P1549" s="4" t="n">
        <f aca="false">IF(A1549=A1548,P1548+1-M1548,0)</f>
        <v>8</v>
      </c>
    </row>
    <row r="1550" customFormat="false" ht="15" hidden="false" customHeight="false" outlineLevel="0" collapsed="false">
      <c r="A1550" s="29" t="s">
        <v>4127</v>
      </c>
      <c r="B1550" s="29" t="s">
        <v>52</v>
      </c>
      <c r="C1550" s="29" t="s">
        <v>96</v>
      </c>
      <c r="D1550" s="29" t="s">
        <v>4128</v>
      </c>
      <c r="E1550" s="4" t="n">
        <v>10</v>
      </c>
      <c r="F1550" s="4" t="s">
        <v>1327</v>
      </c>
      <c r="G1550" s="4" t="s">
        <v>3704</v>
      </c>
      <c r="H1550" s="4" t="n">
        <v>1998</v>
      </c>
      <c r="I1550" s="4" t="s">
        <v>3638</v>
      </c>
      <c r="J1550" s="25" t="str">
        <f aca="false">IF(M1550=1,"✓","")</f>
        <v/>
      </c>
      <c r="K1550" s="4" t="str">
        <f aca="false">IF(AND(M1550=0,P1550=0),"▶ NEXT","")</f>
        <v/>
      </c>
      <c r="L1550" s="4" t="n">
        <f aca="false">INDEX('Master List'!$F$2:$F$2594,O1550)</f>
        <v>1</v>
      </c>
      <c r="M1550" s="4" t="n">
        <f aca="false">INDEX('Master List'!$G$2:$G$2594,O1550)</f>
        <v>0</v>
      </c>
      <c r="N1550" s="4" t="str">
        <f aca="false">IF(K1550="","",A1550)</f>
        <v/>
      </c>
      <c r="O1550" s="4" t="n">
        <v>2518</v>
      </c>
      <c r="P1550" s="4" t="n">
        <f aca="false">IF(A1550=A1549,P1549+1-M1549,0)</f>
        <v>8</v>
      </c>
    </row>
    <row r="1551" customFormat="false" ht="15" hidden="false" customHeight="false" outlineLevel="0" collapsed="false">
      <c r="A1551" s="29" t="s">
        <v>4127</v>
      </c>
      <c r="B1551" s="29" t="s">
        <v>52</v>
      </c>
      <c r="C1551" s="29" t="s">
        <v>96</v>
      </c>
      <c r="D1551" s="29" t="s">
        <v>4128</v>
      </c>
      <c r="E1551" s="4" t="n">
        <v>11</v>
      </c>
      <c r="F1551" s="4" t="s">
        <v>1327</v>
      </c>
      <c r="G1551" s="4" t="s">
        <v>814</v>
      </c>
      <c r="H1551" s="4" t="n">
        <v>1984</v>
      </c>
      <c r="I1551" s="4" t="s">
        <v>488</v>
      </c>
      <c r="J1551" s="25" t="str">
        <f aca="false">IF(M1551=1,"✓","")</f>
        <v/>
      </c>
      <c r="K1551" s="4" t="str">
        <f aca="false">IF(AND(M1551=0,P1551=0),"▶ NEXT","")</f>
        <v/>
      </c>
      <c r="L1551" s="4" t="n">
        <f aca="false">INDEX('Master List'!$F$2:$F$2594,O1551)</f>
        <v>3</v>
      </c>
      <c r="M1551" s="4" t="n">
        <f aca="false">INDEX('Master List'!$G$2:$G$2594,O1551)</f>
        <v>0</v>
      </c>
      <c r="N1551" s="4" t="str">
        <f aca="false">IF(K1551="","",A1551)</f>
        <v/>
      </c>
      <c r="O1551" s="4" t="n">
        <v>308</v>
      </c>
      <c r="P1551" s="4" t="n">
        <f aca="false">IF(A1551=A1550,P1550+1-M1550,0)</f>
        <v>9</v>
      </c>
    </row>
    <row r="1552" customFormat="false" ht="15" hidden="false" customHeight="false" outlineLevel="0" collapsed="false">
      <c r="A1552" s="29" t="s">
        <v>4129</v>
      </c>
      <c r="B1552" s="29" t="s">
        <v>52</v>
      </c>
      <c r="C1552" s="29" t="s">
        <v>96</v>
      </c>
      <c r="D1552" s="29" t="s">
        <v>4130</v>
      </c>
      <c r="E1552" s="4" t="n">
        <v>1</v>
      </c>
      <c r="F1552" s="4" t="s">
        <v>144</v>
      </c>
      <c r="G1552" s="7" t="s">
        <v>495</v>
      </c>
      <c r="H1552" s="4" t="n">
        <v>1991</v>
      </c>
      <c r="I1552" s="4" t="s">
        <v>496</v>
      </c>
      <c r="J1552" s="25" t="str">
        <f aca="false">IF(M1552=1,"✓","")</f>
        <v>✓</v>
      </c>
      <c r="K1552" s="4" t="str">
        <f aca="false">IF(AND(M1552=0,P1552=0),"▶ NEXT","")</f>
        <v/>
      </c>
      <c r="L1552" s="4" t="n">
        <f aca="false">INDEX('Master List'!$F$2:$F$2594,O1552)</f>
        <v>3</v>
      </c>
      <c r="M1552" s="4" t="n">
        <f aca="false">INDEX('Master List'!$G$2:$G$2594,O1552)</f>
        <v>1</v>
      </c>
      <c r="N1552" s="4" t="str">
        <f aca="false">IF(K1552="","",A1552)</f>
        <v/>
      </c>
      <c r="O1552" s="4" t="n">
        <v>2069</v>
      </c>
      <c r="P1552" s="4" t="n">
        <f aca="false">IF(A1552=A1551,P1551+1-M1551,0)</f>
        <v>0</v>
      </c>
    </row>
    <row r="1553" customFormat="false" ht="15" hidden="false" customHeight="false" outlineLevel="0" collapsed="false">
      <c r="A1553" s="29" t="s">
        <v>4129</v>
      </c>
      <c r="B1553" s="29" t="s">
        <v>52</v>
      </c>
      <c r="C1553" s="29" t="s">
        <v>96</v>
      </c>
      <c r="D1553" s="29" t="s">
        <v>4130</v>
      </c>
      <c r="E1553" s="4" t="n">
        <v>2</v>
      </c>
      <c r="F1553" s="4" t="s">
        <v>144</v>
      </c>
      <c r="G1553" s="7" t="s">
        <v>324</v>
      </c>
      <c r="H1553" s="4" t="n">
        <v>2007</v>
      </c>
      <c r="I1553" s="4" t="s">
        <v>325</v>
      </c>
      <c r="J1553" s="25" t="str">
        <f aca="false">IF(M1553=1,"✓","")</f>
        <v/>
      </c>
      <c r="K1553" s="4" t="str">
        <f aca="false">IF(AND(M1553=0,P1553=0),"▶ NEXT","")</f>
        <v>▶ NEXT</v>
      </c>
      <c r="L1553" s="4" t="n">
        <f aca="false">INDEX('Master List'!$F$2:$F$2594,O1553)</f>
        <v>4</v>
      </c>
      <c r="M1553" s="4" t="n">
        <f aca="false">INDEX('Master List'!$G$2:$G$2594,O1553)</f>
        <v>0</v>
      </c>
      <c r="N1553" s="4" t="str">
        <f aca="false">IF(K1553="","",A1553)</f>
        <v>N128</v>
      </c>
      <c r="O1553" s="4" t="n">
        <v>2588</v>
      </c>
      <c r="P1553" s="4" t="n">
        <f aca="false">IF(A1553=A1552,P1552+1-M1552,0)</f>
        <v>0</v>
      </c>
    </row>
    <row r="1554" customFormat="false" ht="15" hidden="false" customHeight="false" outlineLevel="0" collapsed="false">
      <c r="A1554" s="29" t="s">
        <v>4129</v>
      </c>
      <c r="B1554" s="29" t="s">
        <v>52</v>
      </c>
      <c r="C1554" s="29" t="s">
        <v>96</v>
      </c>
      <c r="D1554" s="29" t="s">
        <v>4130</v>
      </c>
      <c r="E1554" s="4" t="n">
        <v>3</v>
      </c>
      <c r="F1554" s="4" t="s">
        <v>213</v>
      </c>
      <c r="G1554" s="4" t="s">
        <v>247</v>
      </c>
      <c r="H1554" s="4" t="n">
        <v>1931</v>
      </c>
      <c r="I1554" s="4" t="s">
        <v>248</v>
      </c>
      <c r="J1554" s="25" t="str">
        <f aca="false">IF(M1554=1,"✓","")</f>
        <v>✓</v>
      </c>
      <c r="K1554" s="4" t="str">
        <f aca="false">IF(AND(M1554=0,P1554=0),"▶ NEXT","")</f>
        <v/>
      </c>
      <c r="L1554" s="4" t="n">
        <f aca="false">INDEX('Master List'!$F$2:$F$2594,O1554)</f>
        <v>5</v>
      </c>
      <c r="M1554" s="4" t="n">
        <f aca="false">INDEX('Master List'!$G$2:$G$2594,O1554)</f>
        <v>1</v>
      </c>
      <c r="N1554" s="4" t="str">
        <f aca="false">IF(K1554="","",A1554)</f>
        <v/>
      </c>
      <c r="O1554" s="4" t="n">
        <v>1398</v>
      </c>
      <c r="P1554" s="4" t="n">
        <f aca="false">IF(A1554=A1553,P1553+1-M1553,0)</f>
        <v>1</v>
      </c>
    </row>
    <row r="1555" customFormat="false" ht="15" hidden="false" customHeight="false" outlineLevel="0" collapsed="false">
      <c r="A1555" s="29" t="s">
        <v>4129</v>
      </c>
      <c r="B1555" s="29" t="s">
        <v>52</v>
      </c>
      <c r="C1555" s="29" t="s">
        <v>96</v>
      </c>
      <c r="D1555" s="29" t="s">
        <v>4130</v>
      </c>
      <c r="E1555" s="4" t="n">
        <v>4</v>
      </c>
      <c r="F1555" s="4" t="s">
        <v>213</v>
      </c>
      <c r="G1555" s="4" t="s">
        <v>1076</v>
      </c>
      <c r="H1555" s="4" t="n">
        <v>1986</v>
      </c>
      <c r="I1555" s="4" t="s">
        <v>296</v>
      </c>
      <c r="J1555" s="25" t="str">
        <f aca="false">IF(M1555=1,"✓","")</f>
        <v/>
      </c>
      <c r="K1555" s="4" t="str">
        <f aca="false">IF(AND(M1555=0,P1555=0),"▶ NEXT","")</f>
        <v/>
      </c>
      <c r="L1555" s="4" t="n">
        <f aca="false">INDEX('Master List'!$F$2:$F$2594,O1555)</f>
        <v>2</v>
      </c>
      <c r="M1555" s="4" t="n">
        <f aca="false">INDEX('Master List'!$G$2:$G$2594,O1555)</f>
        <v>0</v>
      </c>
      <c r="N1555" s="4" t="str">
        <f aca="false">IF(K1555="","",A1555)</f>
        <v/>
      </c>
      <c r="O1555" s="4" t="n">
        <v>1439</v>
      </c>
      <c r="P1555" s="4" t="n">
        <f aca="false">IF(A1555=A1554,P1554+1-M1554,0)</f>
        <v>1</v>
      </c>
    </row>
    <row r="1556" customFormat="false" ht="15" hidden="false" customHeight="false" outlineLevel="0" collapsed="false">
      <c r="A1556" s="29" t="s">
        <v>4129</v>
      </c>
      <c r="B1556" s="29" t="s">
        <v>52</v>
      </c>
      <c r="C1556" s="29" t="s">
        <v>96</v>
      </c>
      <c r="D1556" s="29" t="s">
        <v>4130</v>
      </c>
      <c r="E1556" s="4" t="n">
        <v>5</v>
      </c>
      <c r="F1556" s="4" t="s">
        <v>213</v>
      </c>
      <c r="G1556" s="4" t="s">
        <v>839</v>
      </c>
      <c r="H1556" s="4" t="n">
        <v>1995</v>
      </c>
      <c r="I1556" s="4" t="s">
        <v>325</v>
      </c>
      <c r="J1556" s="25" t="str">
        <f aca="false">IF(M1556=1,"✓","")</f>
        <v>✓</v>
      </c>
      <c r="K1556" s="4" t="str">
        <f aca="false">IF(AND(M1556=0,P1556=0),"▶ NEXT","")</f>
        <v/>
      </c>
      <c r="L1556" s="4" t="n">
        <f aca="false">INDEX('Master List'!$F$2:$F$2594,O1556)</f>
        <v>2</v>
      </c>
      <c r="M1556" s="4" t="n">
        <f aca="false">INDEX('Master List'!$G$2:$G$2594,O1556)</f>
        <v>1</v>
      </c>
      <c r="N1556" s="4" t="str">
        <f aca="false">IF(K1556="","",A1556)</f>
        <v/>
      </c>
      <c r="O1556" s="4" t="n">
        <v>1996</v>
      </c>
      <c r="P1556" s="4" t="n">
        <f aca="false">IF(A1556=A1555,P1555+1-M1555,0)</f>
        <v>2</v>
      </c>
    </row>
    <row r="1557" customFormat="false" ht="15" hidden="false" customHeight="false" outlineLevel="0" collapsed="false">
      <c r="A1557" s="29" t="s">
        <v>4129</v>
      </c>
      <c r="B1557" s="29" t="s">
        <v>52</v>
      </c>
      <c r="C1557" s="29" t="s">
        <v>96</v>
      </c>
      <c r="D1557" s="29" t="s">
        <v>4130</v>
      </c>
      <c r="E1557" s="4" t="n">
        <v>6</v>
      </c>
      <c r="F1557" s="4" t="s">
        <v>213</v>
      </c>
      <c r="G1557" s="4" t="s">
        <v>275</v>
      </c>
      <c r="H1557" s="4" t="n">
        <v>2003</v>
      </c>
      <c r="I1557" s="4" t="s">
        <v>276</v>
      </c>
      <c r="J1557" s="25" t="str">
        <f aca="false">IF(M1557=1,"✓","")</f>
        <v/>
      </c>
      <c r="K1557" s="4" t="str">
        <f aca="false">IF(AND(M1557=0,P1557=0),"▶ NEXT","")</f>
        <v/>
      </c>
      <c r="L1557" s="4" t="n">
        <f aca="false">INDEX('Master List'!$F$2:$F$2594,O1557)</f>
        <v>5</v>
      </c>
      <c r="M1557" s="4" t="n">
        <f aca="false">INDEX('Master List'!$G$2:$G$2594,O1557)</f>
        <v>0</v>
      </c>
      <c r="N1557" s="4" t="str">
        <f aca="false">IF(K1557="","",A1557)</f>
        <v/>
      </c>
      <c r="O1557" s="4" t="n">
        <v>1478</v>
      </c>
      <c r="P1557" s="4" t="n">
        <f aca="false">IF(A1557=A1556,P1556+1-M1556,0)</f>
        <v>2</v>
      </c>
    </row>
    <row r="1558" customFormat="false" ht="15" hidden="false" customHeight="false" outlineLevel="0" collapsed="false">
      <c r="A1558" s="29" t="s">
        <v>4129</v>
      </c>
      <c r="B1558" s="29" t="s">
        <v>52</v>
      </c>
      <c r="C1558" s="29" t="s">
        <v>96</v>
      </c>
      <c r="D1558" s="29" t="s">
        <v>4130</v>
      </c>
      <c r="E1558" s="4" t="n">
        <v>7</v>
      </c>
      <c r="F1558" s="4" t="s">
        <v>213</v>
      </c>
      <c r="G1558" s="4" t="s">
        <v>860</v>
      </c>
      <c r="H1558" s="4" t="n">
        <v>2008</v>
      </c>
      <c r="I1558" s="4" t="s">
        <v>861</v>
      </c>
      <c r="J1558" s="25" t="str">
        <f aca="false">IF(M1558=1,"✓","")</f>
        <v/>
      </c>
      <c r="K1558" s="4" t="str">
        <f aca="false">IF(AND(M1558=0,P1558=0),"▶ NEXT","")</f>
        <v/>
      </c>
      <c r="L1558" s="4" t="n">
        <f aca="false">INDEX('Master List'!$F$2:$F$2594,O1558)</f>
        <v>2</v>
      </c>
      <c r="M1558" s="4" t="n">
        <f aca="false">INDEX('Master List'!$G$2:$G$2594,O1558)</f>
        <v>0</v>
      </c>
      <c r="N1558" s="4" t="str">
        <f aca="false">IF(K1558="","",A1558)</f>
        <v/>
      </c>
      <c r="O1558" s="4" t="n">
        <v>433</v>
      </c>
      <c r="P1558" s="4" t="n">
        <f aca="false">IF(A1558=A1557,P1557+1-M1557,0)</f>
        <v>3</v>
      </c>
    </row>
    <row r="1559" customFormat="false" ht="15" hidden="false" customHeight="false" outlineLevel="0" collapsed="false">
      <c r="A1559" s="29" t="s">
        <v>4129</v>
      </c>
      <c r="B1559" s="29" t="s">
        <v>52</v>
      </c>
      <c r="C1559" s="29" t="s">
        <v>96</v>
      </c>
      <c r="D1559" s="29" t="s">
        <v>4130</v>
      </c>
      <c r="E1559" s="4" t="n">
        <v>8</v>
      </c>
      <c r="F1559" s="4" t="s">
        <v>213</v>
      </c>
      <c r="G1559" s="4" t="s">
        <v>1209</v>
      </c>
      <c r="H1559" s="4" t="n">
        <v>2013</v>
      </c>
      <c r="I1559" s="4" t="s">
        <v>327</v>
      </c>
      <c r="J1559" s="25" t="str">
        <f aca="false">IF(M1559=1,"✓","")</f>
        <v>✓</v>
      </c>
      <c r="K1559" s="4" t="str">
        <f aca="false">IF(AND(M1559=0,P1559=0),"▶ NEXT","")</f>
        <v/>
      </c>
      <c r="L1559" s="4" t="n">
        <f aca="false">INDEX('Master List'!$F$2:$F$2594,O1559)</f>
        <v>2</v>
      </c>
      <c r="M1559" s="4" t="n">
        <f aca="false">INDEX('Master List'!$G$2:$G$2594,O1559)</f>
        <v>1</v>
      </c>
      <c r="N1559" s="4" t="str">
        <f aca="false">IF(K1559="","",A1559)</f>
        <v/>
      </c>
      <c r="O1559" s="4" t="n">
        <v>1819</v>
      </c>
      <c r="P1559" s="4" t="n">
        <f aca="false">IF(A1559=A1558,P1558+1-M1558,0)</f>
        <v>4</v>
      </c>
    </row>
    <row r="1560" customFormat="false" ht="15" hidden="false" customHeight="false" outlineLevel="0" collapsed="false">
      <c r="A1560" s="29" t="s">
        <v>4129</v>
      </c>
      <c r="B1560" s="29" t="s">
        <v>52</v>
      </c>
      <c r="C1560" s="29" t="s">
        <v>96</v>
      </c>
      <c r="D1560" s="29" t="s">
        <v>4130</v>
      </c>
      <c r="E1560" s="4" t="n">
        <v>9</v>
      </c>
      <c r="F1560" s="4" t="s">
        <v>1327</v>
      </c>
      <c r="G1560" s="4" t="s">
        <v>3637</v>
      </c>
      <c r="H1560" s="4" t="n">
        <v>1986</v>
      </c>
      <c r="I1560" s="4" t="s">
        <v>3638</v>
      </c>
      <c r="J1560" s="25" t="str">
        <f aca="false">IF(M1560=1,"✓","")</f>
        <v>✓</v>
      </c>
      <c r="K1560" s="4" t="str">
        <f aca="false">IF(AND(M1560=0,P1560=0),"▶ NEXT","")</f>
        <v/>
      </c>
      <c r="L1560" s="4" t="n">
        <f aca="false">INDEX('Master List'!$F$2:$F$2594,O1560)</f>
        <v>1</v>
      </c>
      <c r="M1560" s="4" t="n">
        <f aca="false">INDEX('Master List'!$G$2:$G$2594,O1560)</f>
        <v>1</v>
      </c>
      <c r="N1560" s="4" t="str">
        <f aca="false">IF(K1560="","",A1560)</f>
        <v/>
      </c>
      <c r="O1560" s="4" t="n">
        <v>1022</v>
      </c>
      <c r="P1560" s="4" t="n">
        <f aca="false">IF(A1560=A1559,P1559+1-M1559,0)</f>
        <v>4</v>
      </c>
    </row>
    <row r="1561" customFormat="false" ht="15" hidden="false" customHeight="false" outlineLevel="0" collapsed="false">
      <c r="A1561" s="29" t="s">
        <v>4129</v>
      </c>
      <c r="B1561" s="29" t="s">
        <v>52</v>
      </c>
      <c r="C1561" s="29" t="s">
        <v>96</v>
      </c>
      <c r="D1561" s="29" t="s">
        <v>4130</v>
      </c>
      <c r="E1561" s="4" t="n">
        <v>10</v>
      </c>
      <c r="F1561" s="4" t="s">
        <v>1327</v>
      </c>
      <c r="G1561" s="4" t="s">
        <v>3492</v>
      </c>
      <c r="H1561" s="4" t="n">
        <v>1971</v>
      </c>
      <c r="I1561" s="4" t="s">
        <v>2223</v>
      </c>
      <c r="J1561" s="25" t="str">
        <f aca="false">IF(M1561=1,"✓","")</f>
        <v/>
      </c>
      <c r="K1561" s="4" t="str">
        <f aca="false">IF(AND(M1561=0,P1561=0),"▶ NEXT","")</f>
        <v/>
      </c>
      <c r="L1561" s="4" t="n">
        <f aca="false">INDEX('Master List'!$F$2:$F$2594,O1561)</f>
        <v>1</v>
      </c>
      <c r="M1561" s="4" t="n">
        <f aca="false">INDEX('Master List'!$G$2:$G$2594,O1561)</f>
        <v>0</v>
      </c>
      <c r="N1561" s="4" t="str">
        <f aca="false">IF(K1561="","",A1561)</f>
        <v/>
      </c>
      <c r="O1561" s="4" t="n">
        <v>1</v>
      </c>
      <c r="P1561" s="4" t="n">
        <f aca="false">IF(A1561=A1560,P1560+1-M1560,0)</f>
        <v>4</v>
      </c>
    </row>
    <row r="1562" customFormat="false" ht="15" hidden="false" customHeight="false" outlineLevel="0" collapsed="false">
      <c r="A1562" s="29" t="s">
        <v>4129</v>
      </c>
      <c r="B1562" s="29" t="s">
        <v>52</v>
      </c>
      <c r="C1562" s="29" t="s">
        <v>96</v>
      </c>
      <c r="D1562" s="29" t="s">
        <v>4130</v>
      </c>
      <c r="E1562" s="4" t="n">
        <v>11</v>
      </c>
      <c r="F1562" s="4" t="s">
        <v>1327</v>
      </c>
      <c r="G1562" s="4" t="s">
        <v>504</v>
      </c>
      <c r="H1562" s="4" t="n">
        <v>1997</v>
      </c>
      <c r="I1562" s="4" t="s">
        <v>505</v>
      </c>
      <c r="J1562" s="25" t="str">
        <f aca="false">IF(M1562=1,"✓","")</f>
        <v/>
      </c>
      <c r="K1562" s="4" t="str">
        <f aca="false">IF(AND(M1562=0,P1562=0),"▶ NEXT","")</f>
        <v/>
      </c>
      <c r="L1562" s="4" t="n">
        <f aca="false">INDEX('Master List'!$F$2:$F$2594,O1562)</f>
        <v>4</v>
      </c>
      <c r="M1562" s="4" t="n">
        <f aca="false">INDEX('Master List'!$G$2:$G$2594,O1562)</f>
        <v>0</v>
      </c>
      <c r="N1562" s="4" t="str">
        <f aca="false">IF(K1562="","",A1562)</f>
        <v/>
      </c>
      <c r="O1562" s="4" t="n">
        <v>548</v>
      </c>
      <c r="P1562" s="4" t="n">
        <f aca="false">IF(A1562=A1561,P1561+1-M1561,0)</f>
        <v>5</v>
      </c>
    </row>
    <row r="1563" customFormat="false" ht="15" hidden="false" customHeight="false" outlineLevel="0" collapsed="false">
      <c r="A1563" s="29" t="s">
        <v>4131</v>
      </c>
      <c r="B1563" s="29" t="s">
        <v>52</v>
      </c>
      <c r="C1563" s="29" t="s">
        <v>96</v>
      </c>
      <c r="D1563" s="29" t="s">
        <v>4132</v>
      </c>
      <c r="E1563" s="4" t="n">
        <v>1</v>
      </c>
      <c r="F1563" s="4" t="s">
        <v>144</v>
      </c>
      <c r="G1563" s="7" t="s">
        <v>1610</v>
      </c>
      <c r="H1563" s="4" t="n">
        <v>2011</v>
      </c>
      <c r="I1563" s="4" t="s">
        <v>1611</v>
      </c>
      <c r="J1563" s="25" t="str">
        <f aca="false">IF(M1563=1,"✓","")</f>
        <v/>
      </c>
      <c r="K1563" s="4" t="str">
        <f aca="false">IF(AND(M1563=0,P1563=0),"▶ NEXT","")</f>
        <v>▶ NEXT</v>
      </c>
      <c r="L1563" s="4" t="n">
        <f aca="false">INDEX('Master List'!$F$2:$F$2594,O1563)</f>
        <v>1</v>
      </c>
      <c r="M1563" s="4" t="n">
        <f aca="false">INDEX('Master List'!$G$2:$G$2594,O1563)</f>
        <v>0</v>
      </c>
      <c r="N1563" s="4" t="str">
        <f aca="false">IF(K1563="","",A1563)</f>
        <v>N129</v>
      </c>
      <c r="O1563" s="4" t="n">
        <v>2309</v>
      </c>
      <c r="P1563" s="4" t="n">
        <f aca="false">IF(A1563=A1562,P1562+1-M1562,0)</f>
        <v>0</v>
      </c>
    </row>
    <row r="1564" customFormat="false" ht="15" hidden="false" customHeight="false" outlineLevel="0" collapsed="false">
      <c r="A1564" s="29" t="s">
        <v>4131</v>
      </c>
      <c r="B1564" s="29" t="s">
        <v>52</v>
      </c>
      <c r="C1564" s="29" t="s">
        <v>96</v>
      </c>
      <c r="D1564" s="29" t="s">
        <v>4132</v>
      </c>
      <c r="E1564" s="4" t="n">
        <v>2</v>
      </c>
      <c r="F1564" s="4" t="s">
        <v>144</v>
      </c>
      <c r="G1564" s="7" t="s">
        <v>1464</v>
      </c>
      <c r="H1564" s="4" t="n">
        <v>1963</v>
      </c>
      <c r="I1564" s="4" t="s">
        <v>1465</v>
      </c>
      <c r="J1564" s="25" t="str">
        <f aca="false">IF(M1564=1,"✓","")</f>
        <v/>
      </c>
      <c r="K1564" s="4" t="str">
        <f aca="false">IF(AND(M1564=0,P1564=0),"▶ NEXT","")</f>
        <v/>
      </c>
      <c r="L1564" s="4" t="n">
        <f aca="false">INDEX('Master List'!$F$2:$F$2594,O1564)</f>
        <v>1</v>
      </c>
      <c r="M1564" s="4" t="n">
        <f aca="false">INDEX('Master List'!$G$2:$G$2594,O1564)</f>
        <v>0</v>
      </c>
      <c r="N1564" s="4" t="str">
        <f aca="false">IF(K1564="","",A1564)</f>
        <v/>
      </c>
      <c r="O1564" s="4" t="n">
        <v>861</v>
      </c>
      <c r="P1564" s="4" t="n">
        <f aca="false">IF(A1564=A1563,P1563+1-M1563,0)</f>
        <v>1</v>
      </c>
    </row>
    <row r="1565" customFormat="false" ht="15" hidden="false" customHeight="false" outlineLevel="0" collapsed="false">
      <c r="A1565" s="29" t="s">
        <v>4131</v>
      </c>
      <c r="B1565" s="29" t="s">
        <v>52</v>
      </c>
      <c r="C1565" s="29" t="s">
        <v>96</v>
      </c>
      <c r="D1565" s="29" t="s">
        <v>4132</v>
      </c>
      <c r="E1565" s="4" t="n">
        <v>3</v>
      </c>
      <c r="F1565" s="4" t="s">
        <v>213</v>
      </c>
      <c r="G1565" s="4" t="s">
        <v>568</v>
      </c>
      <c r="H1565" s="4" t="n">
        <v>1935</v>
      </c>
      <c r="I1565" s="4" t="s">
        <v>162</v>
      </c>
      <c r="J1565" s="25" t="str">
        <f aca="false">IF(M1565=1,"✓","")</f>
        <v/>
      </c>
      <c r="K1565" s="4" t="str">
        <f aca="false">IF(AND(M1565=0,P1565=0),"▶ NEXT","")</f>
        <v/>
      </c>
      <c r="L1565" s="4" t="n">
        <f aca="false">INDEX('Master List'!$F$2:$F$2594,O1565)</f>
        <v>3</v>
      </c>
      <c r="M1565" s="4" t="n">
        <f aca="false">INDEX('Master List'!$G$2:$G$2594,O1565)</f>
        <v>0</v>
      </c>
      <c r="N1565" s="4" t="str">
        <f aca="false">IF(K1565="","",A1565)</f>
        <v/>
      </c>
      <c r="O1565" s="4" t="n">
        <v>22</v>
      </c>
      <c r="P1565" s="4" t="n">
        <f aca="false">IF(A1565=A1564,P1564+1-M1564,0)</f>
        <v>2</v>
      </c>
    </row>
    <row r="1566" customFormat="false" ht="15" hidden="false" customHeight="false" outlineLevel="0" collapsed="false">
      <c r="A1566" s="29" t="s">
        <v>4131</v>
      </c>
      <c r="B1566" s="29" t="s">
        <v>52</v>
      </c>
      <c r="C1566" s="29" t="s">
        <v>96</v>
      </c>
      <c r="D1566" s="29" t="s">
        <v>4132</v>
      </c>
      <c r="E1566" s="4" t="n">
        <v>4</v>
      </c>
      <c r="F1566" s="4" t="s">
        <v>213</v>
      </c>
      <c r="G1566" s="4" t="s">
        <v>925</v>
      </c>
      <c r="H1566" s="4" t="n">
        <v>1946</v>
      </c>
      <c r="I1566" s="4" t="s">
        <v>162</v>
      </c>
      <c r="J1566" s="25" t="str">
        <f aca="false">IF(M1566=1,"✓","")</f>
        <v/>
      </c>
      <c r="K1566" s="4" t="str">
        <f aca="false">IF(AND(M1566=0,P1566=0),"▶ NEXT","")</f>
        <v/>
      </c>
      <c r="L1566" s="4" t="n">
        <f aca="false">INDEX('Master List'!$F$2:$F$2594,O1566)</f>
        <v>2</v>
      </c>
      <c r="M1566" s="4" t="n">
        <f aca="false">INDEX('Master List'!$G$2:$G$2594,O1566)</f>
        <v>0</v>
      </c>
      <c r="N1566" s="4" t="str">
        <f aca="false">IF(K1566="","",A1566)</f>
        <v/>
      </c>
      <c r="O1566" s="4" t="n">
        <v>1638</v>
      </c>
      <c r="P1566" s="4" t="n">
        <f aca="false">IF(A1566=A1565,P1565+1-M1565,0)</f>
        <v>3</v>
      </c>
    </row>
    <row r="1567" customFormat="false" ht="15" hidden="false" customHeight="false" outlineLevel="0" collapsed="false">
      <c r="A1567" s="29" t="s">
        <v>4131</v>
      </c>
      <c r="B1567" s="29" t="s">
        <v>52</v>
      </c>
      <c r="C1567" s="29" t="s">
        <v>96</v>
      </c>
      <c r="D1567" s="29" t="s">
        <v>4132</v>
      </c>
      <c r="E1567" s="4" t="n">
        <v>5</v>
      </c>
      <c r="F1567" s="4" t="s">
        <v>213</v>
      </c>
      <c r="G1567" s="4" t="s">
        <v>2011</v>
      </c>
      <c r="H1567" s="4" t="n">
        <v>1962</v>
      </c>
      <c r="I1567" s="4" t="s">
        <v>1465</v>
      </c>
      <c r="J1567" s="25" t="str">
        <f aca="false">IF(M1567=1,"✓","")</f>
        <v>✓</v>
      </c>
      <c r="K1567" s="4" t="str">
        <f aca="false">IF(AND(M1567=0,P1567=0),"▶ NEXT","")</f>
        <v/>
      </c>
      <c r="L1567" s="4" t="n">
        <f aca="false">INDEX('Master List'!$F$2:$F$2594,O1567)</f>
        <v>1</v>
      </c>
      <c r="M1567" s="4" t="n">
        <f aca="false">INDEX('Master List'!$G$2:$G$2594,O1567)</f>
        <v>1</v>
      </c>
      <c r="N1567" s="4" t="str">
        <f aca="false">IF(K1567="","",A1567)</f>
        <v/>
      </c>
      <c r="O1567" s="4" t="n">
        <v>670</v>
      </c>
      <c r="P1567" s="4" t="n">
        <f aca="false">IF(A1567=A1566,P1566+1-M1566,0)</f>
        <v>4</v>
      </c>
    </row>
    <row r="1568" customFormat="false" ht="15" hidden="false" customHeight="false" outlineLevel="0" collapsed="false">
      <c r="A1568" s="29" t="s">
        <v>4131</v>
      </c>
      <c r="B1568" s="29" t="s">
        <v>52</v>
      </c>
      <c r="C1568" s="29" t="s">
        <v>96</v>
      </c>
      <c r="D1568" s="29" t="s">
        <v>4132</v>
      </c>
      <c r="E1568" s="4" t="n">
        <v>6</v>
      </c>
      <c r="F1568" s="4" t="s">
        <v>213</v>
      </c>
      <c r="G1568" s="4" t="s">
        <v>2048</v>
      </c>
      <c r="H1568" s="4" t="n">
        <v>1964</v>
      </c>
      <c r="I1568" s="4" t="s">
        <v>2049</v>
      </c>
      <c r="J1568" s="25" t="str">
        <f aca="false">IF(M1568=1,"✓","")</f>
        <v/>
      </c>
      <c r="K1568" s="4" t="str">
        <f aca="false">IF(AND(M1568=0,P1568=0),"▶ NEXT","")</f>
        <v/>
      </c>
      <c r="L1568" s="4" t="n">
        <f aca="false">INDEX('Master List'!$F$2:$F$2594,O1568)</f>
        <v>1</v>
      </c>
      <c r="M1568" s="4" t="n">
        <f aca="false">INDEX('Master List'!$G$2:$G$2594,O1568)</f>
        <v>0</v>
      </c>
      <c r="N1568" s="4" t="str">
        <f aca="false">IF(K1568="","",A1568)</f>
        <v/>
      </c>
      <c r="O1568" s="4" t="n">
        <v>919</v>
      </c>
      <c r="P1568" s="4" t="n">
        <f aca="false">IF(A1568=A1567,P1567+1-M1567,0)</f>
        <v>4</v>
      </c>
    </row>
    <row r="1569" customFormat="false" ht="15" hidden="false" customHeight="false" outlineLevel="0" collapsed="false">
      <c r="A1569" s="29" t="s">
        <v>4131</v>
      </c>
      <c r="B1569" s="29" t="s">
        <v>52</v>
      </c>
      <c r="C1569" s="29" t="s">
        <v>96</v>
      </c>
      <c r="D1569" s="29" t="s">
        <v>4132</v>
      </c>
      <c r="E1569" s="4" t="n">
        <v>7</v>
      </c>
      <c r="F1569" s="4" t="s">
        <v>213</v>
      </c>
      <c r="G1569" s="4" t="s">
        <v>2064</v>
      </c>
      <c r="H1569" s="4" t="n">
        <v>1965</v>
      </c>
      <c r="I1569" s="4" t="s">
        <v>1516</v>
      </c>
      <c r="J1569" s="25" t="str">
        <f aca="false">IF(M1569=1,"✓","")</f>
        <v/>
      </c>
      <c r="K1569" s="4" t="str">
        <f aca="false">IF(AND(M1569=0,P1569=0),"▶ NEXT","")</f>
        <v/>
      </c>
      <c r="L1569" s="4" t="n">
        <f aca="false">INDEX('Master List'!$F$2:$F$2594,O1569)</f>
        <v>1</v>
      </c>
      <c r="M1569" s="4" t="n">
        <f aca="false">INDEX('Master List'!$G$2:$G$2594,O1569)</f>
        <v>0</v>
      </c>
      <c r="N1569" s="4" t="str">
        <f aca="false">IF(K1569="","",A1569)</f>
        <v/>
      </c>
      <c r="O1569" s="4" t="n">
        <v>2141</v>
      </c>
      <c r="P1569" s="4" t="n">
        <f aca="false">IF(A1569=A1568,P1568+1-M1568,0)</f>
        <v>5</v>
      </c>
    </row>
    <row r="1570" customFormat="false" ht="15" hidden="false" customHeight="false" outlineLevel="0" collapsed="false">
      <c r="A1570" s="29" t="s">
        <v>4131</v>
      </c>
      <c r="B1570" s="29" t="s">
        <v>52</v>
      </c>
      <c r="C1570" s="29" t="s">
        <v>96</v>
      </c>
      <c r="D1570" s="29" t="s">
        <v>4132</v>
      </c>
      <c r="E1570" s="4" t="n">
        <v>8</v>
      </c>
      <c r="F1570" s="4" t="s">
        <v>213</v>
      </c>
      <c r="G1570" s="4" t="s">
        <v>2065</v>
      </c>
      <c r="H1570" s="4" t="n">
        <v>1965</v>
      </c>
      <c r="I1570" s="4" t="s">
        <v>2066</v>
      </c>
      <c r="J1570" s="25" t="str">
        <f aca="false">IF(M1570=1,"✓","")</f>
        <v/>
      </c>
      <c r="K1570" s="4" t="str">
        <f aca="false">IF(AND(M1570=0,P1570=0),"▶ NEXT","")</f>
        <v/>
      </c>
      <c r="L1570" s="4" t="n">
        <f aca="false">INDEX('Master List'!$F$2:$F$2594,O1570)</f>
        <v>1</v>
      </c>
      <c r="M1570" s="4" t="n">
        <f aca="false">INDEX('Master List'!$G$2:$G$2594,O1570)</f>
        <v>0</v>
      </c>
      <c r="N1570" s="4" t="str">
        <f aca="false">IF(K1570="","",A1570)</f>
        <v/>
      </c>
      <c r="O1570" s="4" t="n">
        <v>1163</v>
      </c>
      <c r="P1570" s="4" t="n">
        <f aca="false">IF(A1570=A1569,P1569+1-M1569,0)</f>
        <v>6</v>
      </c>
    </row>
    <row r="1571" customFormat="false" ht="15" hidden="false" customHeight="false" outlineLevel="0" collapsed="false">
      <c r="A1571" s="29" t="s">
        <v>4131</v>
      </c>
      <c r="B1571" s="29" t="s">
        <v>52</v>
      </c>
      <c r="C1571" s="29" t="s">
        <v>96</v>
      </c>
      <c r="D1571" s="29" t="s">
        <v>4132</v>
      </c>
      <c r="E1571" s="4" t="n">
        <v>9</v>
      </c>
      <c r="F1571" s="4" t="s">
        <v>213</v>
      </c>
      <c r="G1571" s="4" t="s">
        <v>1276</v>
      </c>
      <c r="H1571" s="4" t="n">
        <v>1975</v>
      </c>
      <c r="I1571" s="4" t="s">
        <v>1058</v>
      </c>
      <c r="J1571" s="25" t="str">
        <f aca="false">IF(M1571=1,"✓","")</f>
        <v/>
      </c>
      <c r="K1571" s="4" t="str">
        <f aca="false">IF(AND(M1571=0,P1571=0),"▶ NEXT","")</f>
        <v/>
      </c>
      <c r="L1571" s="4" t="n">
        <f aca="false">INDEX('Master List'!$F$2:$F$2594,O1571)</f>
        <v>2</v>
      </c>
      <c r="M1571" s="4" t="n">
        <f aca="false">INDEX('Master List'!$G$2:$G$2594,O1571)</f>
        <v>0</v>
      </c>
      <c r="N1571" s="4" t="str">
        <f aca="false">IF(K1571="","",A1571)</f>
        <v/>
      </c>
      <c r="O1571" s="4" t="n">
        <v>2293</v>
      </c>
      <c r="P1571" s="4" t="n">
        <f aca="false">IF(A1571=A1570,P1570+1-M1570,0)</f>
        <v>7</v>
      </c>
    </row>
    <row r="1572" customFormat="false" ht="15" hidden="false" customHeight="false" outlineLevel="0" collapsed="false">
      <c r="A1572" s="29" t="s">
        <v>4131</v>
      </c>
      <c r="B1572" s="29" t="s">
        <v>52</v>
      </c>
      <c r="C1572" s="29" t="s">
        <v>96</v>
      </c>
      <c r="D1572" s="29" t="s">
        <v>4132</v>
      </c>
      <c r="E1572" s="4" t="n">
        <v>10</v>
      </c>
      <c r="F1572" s="4" t="s">
        <v>213</v>
      </c>
      <c r="G1572" s="4" t="s">
        <v>2777</v>
      </c>
      <c r="H1572" s="4" t="n">
        <v>2002</v>
      </c>
      <c r="I1572" s="4" t="s">
        <v>2778</v>
      </c>
      <c r="J1572" s="25" t="str">
        <f aca="false">IF(M1572=1,"✓","")</f>
        <v>✓</v>
      </c>
      <c r="K1572" s="4" t="str">
        <f aca="false">IF(AND(M1572=0,P1572=0),"▶ NEXT","")</f>
        <v/>
      </c>
      <c r="L1572" s="4" t="n">
        <f aca="false">INDEX('Master List'!$F$2:$F$2594,O1572)</f>
        <v>1</v>
      </c>
      <c r="M1572" s="4" t="n">
        <f aca="false">INDEX('Master List'!$G$2:$G$2594,O1572)</f>
        <v>1</v>
      </c>
      <c r="N1572" s="4" t="str">
        <f aca="false">IF(K1572="","",A1572)</f>
        <v/>
      </c>
      <c r="O1572" s="4" t="n">
        <v>325</v>
      </c>
      <c r="P1572" s="4" t="n">
        <f aca="false">IF(A1572=A1571,P1571+1-M1571,0)</f>
        <v>8</v>
      </c>
    </row>
    <row r="1573" customFormat="false" ht="15" hidden="false" customHeight="false" outlineLevel="0" collapsed="false">
      <c r="A1573" s="29" t="s">
        <v>4131</v>
      </c>
      <c r="B1573" s="29" t="s">
        <v>52</v>
      </c>
      <c r="C1573" s="29" t="s">
        <v>96</v>
      </c>
      <c r="D1573" s="29" t="s">
        <v>4132</v>
      </c>
      <c r="E1573" s="4" t="n">
        <v>11</v>
      </c>
      <c r="F1573" s="4" t="s">
        <v>213</v>
      </c>
      <c r="G1573" s="4" t="s">
        <v>1170</v>
      </c>
      <c r="H1573" s="4" t="n">
        <v>2005</v>
      </c>
      <c r="I1573" s="4" t="s">
        <v>183</v>
      </c>
      <c r="J1573" s="25" t="str">
        <f aca="false">IF(M1573=1,"✓","")</f>
        <v/>
      </c>
      <c r="K1573" s="4" t="str">
        <f aca="false">IF(AND(M1573=0,P1573=0),"▶ NEXT","")</f>
        <v/>
      </c>
      <c r="L1573" s="4" t="n">
        <f aca="false">INDEX('Master List'!$F$2:$F$2594,O1573)</f>
        <v>2</v>
      </c>
      <c r="M1573" s="4" t="n">
        <f aca="false">INDEX('Master List'!$G$2:$G$2594,O1573)</f>
        <v>0</v>
      </c>
      <c r="N1573" s="4" t="str">
        <f aca="false">IF(K1573="","",A1573)</f>
        <v/>
      </c>
      <c r="O1573" s="4" t="n">
        <v>1558</v>
      </c>
      <c r="P1573" s="4" t="n">
        <f aca="false">IF(A1573=A1572,P1572+1-M1572,0)</f>
        <v>8</v>
      </c>
    </row>
    <row r="1574" customFormat="false" ht="15" hidden="false" customHeight="false" outlineLevel="0" collapsed="false">
      <c r="A1574" s="29" t="s">
        <v>4131</v>
      </c>
      <c r="B1574" s="29" t="s">
        <v>52</v>
      </c>
      <c r="C1574" s="29" t="s">
        <v>96</v>
      </c>
      <c r="D1574" s="29" t="s">
        <v>4132</v>
      </c>
      <c r="E1574" s="4" t="n">
        <v>12</v>
      </c>
      <c r="F1574" s="4" t="s">
        <v>213</v>
      </c>
      <c r="G1574" s="4" t="s">
        <v>3073</v>
      </c>
      <c r="H1574" s="4" t="n">
        <v>2015</v>
      </c>
      <c r="I1574" s="4" t="s">
        <v>183</v>
      </c>
      <c r="J1574" s="25" t="str">
        <f aca="false">IF(M1574=1,"✓","")</f>
        <v>✓</v>
      </c>
      <c r="K1574" s="4" t="str">
        <f aca="false">IF(AND(M1574=0,P1574=0),"▶ NEXT","")</f>
        <v/>
      </c>
      <c r="L1574" s="4" t="n">
        <f aca="false">INDEX('Master List'!$F$2:$F$2594,O1574)</f>
        <v>1</v>
      </c>
      <c r="M1574" s="4" t="n">
        <f aca="false">INDEX('Master List'!$G$2:$G$2594,O1574)</f>
        <v>1</v>
      </c>
      <c r="N1574" s="4" t="str">
        <f aca="false">IF(K1574="","",A1574)</f>
        <v/>
      </c>
      <c r="O1574" s="4" t="n">
        <v>347</v>
      </c>
      <c r="P1574" s="4" t="n">
        <f aca="false">IF(A1574=A1573,P1573+1-M1573,0)</f>
        <v>9</v>
      </c>
    </row>
    <row r="1575" customFormat="false" ht="15" hidden="false" customHeight="false" outlineLevel="0" collapsed="false">
      <c r="A1575" s="29" t="s">
        <v>4131</v>
      </c>
      <c r="B1575" s="29" t="s">
        <v>52</v>
      </c>
      <c r="C1575" s="29" t="s">
        <v>96</v>
      </c>
      <c r="D1575" s="29" t="s">
        <v>4132</v>
      </c>
      <c r="E1575" s="4" t="n">
        <v>13</v>
      </c>
      <c r="F1575" s="4" t="s">
        <v>1327</v>
      </c>
      <c r="G1575" s="4" t="s">
        <v>3440</v>
      </c>
      <c r="H1575" s="4" t="n">
        <v>1966</v>
      </c>
      <c r="I1575" s="4" t="s">
        <v>3441</v>
      </c>
      <c r="J1575" s="25" t="str">
        <f aca="false">IF(M1575=1,"✓","")</f>
        <v/>
      </c>
      <c r="K1575" s="4" t="str">
        <f aca="false">IF(AND(M1575=0,P1575=0),"▶ NEXT","")</f>
        <v/>
      </c>
      <c r="L1575" s="4" t="n">
        <f aca="false">INDEX('Master List'!$F$2:$F$2594,O1575)</f>
        <v>1</v>
      </c>
      <c r="M1575" s="4" t="n">
        <f aca="false">INDEX('Master List'!$G$2:$G$2594,O1575)</f>
        <v>0</v>
      </c>
      <c r="N1575" s="4" t="str">
        <f aca="false">IF(K1575="","",A1575)</f>
        <v/>
      </c>
      <c r="O1575" s="4" t="n">
        <v>1845</v>
      </c>
      <c r="P1575" s="4" t="n">
        <f aca="false">IF(A1575=A1574,P1574+1-M1574,0)</f>
        <v>9</v>
      </c>
    </row>
    <row r="1576" customFormat="false" ht="15" hidden="false" customHeight="false" outlineLevel="0" collapsed="false">
      <c r="A1576" s="29" t="s">
        <v>4131</v>
      </c>
      <c r="B1576" s="29" t="s">
        <v>52</v>
      </c>
      <c r="C1576" s="29" t="s">
        <v>96</v>
      </c>
      <c r="D1576" s="29" t="s">
        <v>4132</v>
      </c>
      <c r="E1576" s="4" t="n">
        <v>14</v>
      </c>
      <c r="F1576" s="4" t="s">
        <v>1327</v>
      </c>
      <c r="G1576" s="4" t="s">
        <v>3758</v>
      </c>
      <c r="H1576" s="4" t="n">
        <v>2006</v>
      </c>
      <c r="I1576" s="4" t="s">
        <v>3759</v>
      </c>
      <c r="J1576" s="25" t="str">
        <f aca="false">IF(M1576=1,"✓","")</f>
        <v/>
      </c>
      <c r="K1576" s="4" t="str">
        <f aca="false">IF(AND(M1576=0,P1576=0),"▶ NEXT","")</f>
        <v/>
      </c>
      <c r="L1576" s="4" t="n">
        <f aca="false">INDEX('Master List'!$F$2:$F$2594,O1576)</f>
        <v>1</v>
      </c>
      <c r="M1576" s="4" t="n">
        <f aca="false">INDEX('Master List'!$G$2:$G$2594,O1576)</f>
        <v>0</v>
      </c>
      <c r="N1576" s="4" t="str">
        <f aca="false">IF(K1576="","",A1576)</f>
        <v/>
      </c>
      <c r="O1576" s="4" t="n">
        <v>927</v>
      </c>
      <c r="P1576" s="4" t="n">
        <f aca="false">IF(A1576=A1575,P1575+1-M1575,0)</f>
        <v>10</v>
      </c>
    </row>
    <row r="1577" customFormat="false" ht="15" hidden="false" customHeight="false" outlineLevel="0" collapsed="false">
      <c r="A1577" s="29" t="s">
        <v>4133</v>
      </c>
      <c r="B1577" s="29" t="s">
        <v>52</v>
      </c>
      <c r="C1577" s="29" t="s">
        <v>96</v>
      </c>
      <c r="D1577" s="29" t="s">
        <v>4134</v>
      </c>
      <c r="E1577" s="4" t="n">
        <v>1</v>
      </c>
      <c r="F1577" s="4" t="s">
        <v>144</v>
      </c>
      <c r="G1577" s="7" t="s">
        <v>182</v>
      </c>
      <c r="H1577" s="4" t="n">
        <v>1975</v>
      </c>
      <c r="I1577" s="4" t="s">
        <v>183</v>
      </c>
      <c r="J1577" s="25" t="str">
        <f aca="false">IF(M1577=1,"✓","")</f>
        <v>✓</v>
      </c>
      <c r="K1577" s="4" t="str">
        <f aca="false">IF(AND(M1577=0,P1577=0),"▶ NEXT","")</f>
        <v/>
      </c>
      <c r="L1577" s="4" t="n">
        <f aca="false">INDEX('Master List'!$F$2:$F$2594,O1577)</f>
        <v>7</v>
      </c>
      <c r="M1577" s="4" t="n">
        <f aca="false">INDEX('Master List'!$G$2:$G$2594,O1577)</f>
        <v>1</v>
      </c>
      <c r="N1577" s="4" t="str">
        <f aca="false">IF(K1577="","",A1577)</f>
        <v/>
      </c>
      <c r="O1577" s="4" t="n">
        <v>1196</v>
      </c>
      <c r="P1577" s="4" t="n">
        <f aca="false">IF(A1577=A1576,P1576+1-M1576,0)</f>
        <v>0</v>
      </c>
    </row>
    <row r="1578" customFormat="false" ht="15" hidden="false" customHeight="false" outlineLevel="0" collapsed="false">
      <c r="A1578" s="29" t="s">
        <v>4133</v>
      </c>
      <c r="B1578" s="29" t="s">
        <v>52</v>
      </c>
      <c r="C1578" s="29" t="s">
        <v>96</v>
      </c>
      <c r="D1578" s="29" t="s">
        <v>4134</v>
      </c>
      <c r="E1578" s="4" t="n">
        <v>2</v>
      </c>
      <c r="F1578" s="4" t="s">
        <v>144</v>
      </c>
      <c r="G1578" s="7" t="s">
        <v>1492</v>
      </c>
      <c r="H1578" s="4" t="n">
        <v>1972</v>
      </c>
      <c r="I1578" s="4" t="s">
        <v>775</v>
      </c>
      <c r="J1578" s="25" t="str">
        <f aca="false">IF(M1578=1,"✓","")</f>
        <v/>
      </c>
      <c r="K1578" s="4" t="str">
        <f aca="false">IF(AND(M1578=0,P1578=0),"▶ NEXT","")</f>
        <v>▶ NEXT</v>
      </c>
      <c r="L1578" s="4" t="n">
        <f aca="false">INDEX('Master List'!$F$2:$F$2594,O1578)</f>
        <v>1</v>
      </c>
      <c r="M1578" s="4" t="n">
        <f aca="false">INDEX('Master List'!$G$2:$G$2594,O1578)</f>
        <v>0</v>
      </c>
      <c r="N1578" s="4" t="str">
        <f aca="false">IF(K1578="","",A1578)</f>
        <v>N130</v>
      </c>
      <c r="O1578" s="4" t="n">
        <v>610</v>
      </c>
      <c r="P1578" s="4" t="n">
        <f aca="false">IF(A1578=A1577,P1577+1-M1577,0)</f>
        <v>0</v>
      </c>
    </row>
    <row r="1579" customFormat="false" ht="15" hidden="false" customHeight="false" outlineLevel="0" collapsed="false">
      <c r="A1579" s="29" t="s">
        <v>4133</v>
      </c>
      <c r="B1579" s="29" t="s">
        <v>52</v>
      </c>
      <c r="C1579" s="29" t="s">
        <v>96</v>
      </c>
      <c r="D1579" s="29" t="s">
        <v>4134</v>
      </c>
      <c r="E1579" s="4" t="n">
        <v>3</v>
      </c>
      <c r="F1579" s="4" t="s">
        <v>213</v>
      </c>
      <c r="G1579" s="4" t="s">
        <v>1316</v>
      </c>
      <c r="H1579" s="4" t="n">
        <v>1953</v>
      </c>
      <c r="I1579" s="4" t="s">
        <v>1317</v>
      </c>
      <c r="J1579" s="25" t="str">
        <f aca="false">IF(M1579=1,"✓","")</f>
        <v/>
      </c>
      <c r="K1579" s="4" t="str">
        <f aca="false">IF(AND(M1579=0,P1579=0),"▶ NEXT","")</f>
        <v/>
      </c>
      <c r="L1579" s="4" t="n">
        <f aca="false">INDEX('Master List'!$F$2:$F$2594,O1579)</f>
        <v>2</v>
      </c>
      <c r="M1579" s="4" t="n">
        <f aca="false">INDEX('Master List'!$G$2:$G$2594,O1579)</f>
        <v>0</v>
      </c>
      <c r="N1579" s="4" t="str">
        <f aca="false">IF(K1579="","",A1579)</f>
        <v/>
      </c>
      <c r="O1579" s="4" t="n">
        <v>2448</v>
      </c>
      <c r="P1579" s="4" t="n">
        <f aca="false">IF(A1579=A1578,P1578+1-M1578,0)</f>
        <v>1</v>
      </c>
    </row>
    <row r="1580" customFormat="false" ht="15" hidden="false" customHeight="false" outlineLevel="0" collapsed="false">
      <c r="A1580" s="29" t="s">
        <v>4133</v>
      </c>
      <c r="B1580" s="29" t="s">
        <v>52</v>
      </c>
      <c r="C1580" s="29" t="s">
        <v>96</v>
      </c>
      <c r="D1580" s="29" t="s">
        <v>4134</v>
      </c>
      <c r="E1580" s="4" t="n">
        <v>4</v>
      </c>
      <c r="F1580" s="4" t="s">
        <v>213</v>
      </c>
      <c r="G1580" s="4" t="s">
        <v>1358</v>
      </c>
      <c r="H1580" s="4" t="n">
        <v>1977</v>
      </c>
      <c r="I1580" s="4" t="s">
        <v>479</v>
      </c>
      <c r="J1580" s="25" t="str">
        <f aca="false">IF(M1580=1,"✓","")</f>
        <v/>
      </c>
      <c r="K1580" s="4" t="str">
        <f aca="false">IF(AND(M1580=0,P1580=0),"▶ NEXT","")</f>
        <v/>
      </c>
      <c r="L1580" s="4" t="n">
        <f aca="false">INDEX('Master List'!$F$2:$F$2594,O1580)</f>
        <v>2</v>
      </c>
      <c r="M1580" s="4" t="n">
        <f aca="false">INDEX('Master List'!$G$2:$G$2594,O1580)</f>
        <v>0</v>
      </c>
      <c r="N1580" s="4" t="str">
        <f aca="false">IF(K1580="","",A1580)</f>
        <v/>
      </c>
      <c r="O1580" s="4" t="n">
        <v>2117</v>
      </c>
      <c r="P1580" s="4" t="n">
        <f aca="false">IF(A1580=A1579,P1579+1-M1579,0)</f>
        <v>2</v>
      </c>
    </row>
    <row r="1581" customFormat="false" ht="15" hidden="false" customHeight="false" outlineLevel="0" collapsed="false">
      <c r="A1581" s="29" t="s">
        <v>4133</v>
      </c>
      <c r="B1581" s="29" t="s">
        <v>52</v>
      </c>
      <c r="C1581" s="29" t="s">
        <v>96</v>
      </c>
      <c r="D1581" s="29" t="s">
        <v>4134</v>
      </c>
      <c r="E1581" s="4" t="n">
        <v>5</v>
      </c>
      <c r="F1581" s="4" t="s">
        <v>213</v>
      </c>
      <c r="G1581" s="4" t="s">
        <v>2719</v>
      </c>
      <c r="H1581" s="4" t="n">
        <v>2000</v>
      </c>
      <c r="I1581" s="4" t="s">
        <v>1070</v>
      </c>
      <c r="J1581" s="25" t="str">
        <f aca="false">IF(M1581=1,"✓","")</f>
        <v>✓</v>
      </c>
      <c r="K1581" s="4" t="str">
        <f aca="false">IF(AND(M1581=0,P1581=0),"▶ NEXT","")</f>
        <v/>
      </c>
      <c r="L1581" s="4" t="n">
        <f aca="false">INDEX('Master List'!$F$2:$F$2594,O1581)</f>
        <v>1</v>
      </c>
      <c r="M1581" s="4" t="n">
        <f aca="false">INDEX('Master List'!$G$2:$G$2594,O1581)</f>
        <v>1</v>
      </c>
      <c r="N1581" s="4" t="str">
        <f aca="false">IF(K1581="","",A1581)</f>
        <v/>
      </c>
      <c r="O1581" s="4" t="n">
        <v>406</v>
      </c>
      <c r="P1581" s="4" t="n">
        <f aca="false">IF(A1581=A1580,P1580+1-M1580,0)</f>
        <v>3</v>
      </c>
    </row>
    <row r="1582" customFormat="false" ht="15" hidden="false" customHeight="false" outlineLevel="0" collapsed="false">
      <c r="A1582" s="29" t="s">
        <v>4133</v>
      </c>
      <c r="B1582" s="29" t="s">
        <v>52</v>
      </c>
      <c r="C1582" s="29" t="s">
        <v>96</v>
      </c>
      <c r="D1582" s="29" t="s">
        <v>4134</v>
      </c>
      <c r="E1582" s="4" t="n">
        <v>6</v>
      </c>
      <c r="F1582" s="4" t="s">
        <v>213</v>
      </c>
      <c r="G1582" s="4" t="s">
        <v>853</v>
      </c>
      <c r="H1582" s="4" t="n">
        <v>2003</v>
      </c>
      <c r="I1582" s="4" t="s">
        <v>854</v>
      </c>
      <c r="J1582" s="25" t="str">
        <f aca="false">IF(M1582=1,"✓","")</f>
        <v/>
      </c>
      <c r="K1582" s="4" t="str">
        <f aca="false">IF(AND(M1582=0,P1582=0),"▶ NEXT","")</f>
        <v/>
      </c>
      <c r="L1582" s="4" t="n">
        <f aca="false">INDEX('Master List'!$F$2:$F$2594,O1582)</f>
        <v>2</v>
      </c>
      <c r="M1582" s="4" t="n">
        <f aca="false">INDEX('Master List'!$G$2:$G$2594,O1582)</f>
        <v>0</v>
      </c>
      <c r="N1582" s="4" t="str">
        <f aca="false">IF(K1582="","",A1582)</f>
        <v/>
      </c>
      <c r="O1582" s="4" t="n">
        <v>2348</v>
      </c>
      <c r="P1582" s="4" t="n">
        <f aca="false">IF(A1582=A1581,P1581+1-M1581,0)</f>
        <v>3</v>
      </c>
    </row>
    <row r="1583" customFormat="false" ht="15" hidden="false" customHeight="false" outlineLevel="0" collapsed="false">
      <c r="A1583" s="29" t="s">
        <v>4133</v>
      </c>
      <c r="B1583" s="29" t="s">
        <v>52</v>
      </c>
      <c r="C1583" s="29" t="s">
        <v>96</v>
      </c>
      <c r="D1583" s="29" t="s">
        <v>4134</v>
      </c>
      <c r="E1583" s="4" t="n">
        <v>7</v>
      </c>
      <c r="F1583" s="4" t="s">
        <v>213</v>
      </c>
      <c r="G1583" s="4" t="s">
        <v>2945</v>
      </c>
      <c r="H1583" s="4" t="n">
        <v>2010</v>
      </c>
      <c r="I1583" s="4" t="s">
        <v>1161</v>
      </c>
      <c r="J1583" s="25" t="str">
        <f aca="false">IF(M1583=1,"✓","")</f>
        <v/>
      </c>
      <c r="K1583" s="4" t="str">
        <f aca="false">IF(AND(M1583=0,P1583=0),"▶ NEXT","")</f>
        <v/>
      </c>
      <c r="L1583" s="4" t="n">
        <f aca="false">INDEX('Master List'!$F$2:$F$2594,O1583)</f>
        <v>1</v>
      </c>
      <c r="M1583" s="4" t="n">
        <f aca="false">INDEX('Master List'!$G$2:$G$2594,O1583)</f>
        <v>0</v>
      </c>
      <c r="N1583" s="4" t="str">
        <f aca="false">IF(K1583="","",A1583)</f>
        <v/>
      </c>
      <c r="O1583" s="4" t="n">
        <v>6</v>
      </c>
      <c r="P1583" s="4" t="n">
        <f aca="false">IF(A1583=A1582,P1582+1-M1582,0)</f>
        <v>4</v>
      </c>
    </row>
    <row r="1584" customFormat="false" ht="15" hidden="false" customHeight="false" outlineLevel="0" collapsed="false">
      <c r="A1584" s="29" t="s">
        <v>4133</v>
      </c>
      <c r="B1584" s="29" t="s">
        <v>52</v>
      </c>
      <c r="C1584" s="29" t="s">
        <v>96</v>
      </c>
      <c r="D1584" s="29" t="s">
        <v>4134</v>
      </c>
      <c r="E1584" s="4" t="n">
        <v>8</v>
      </c>
      <c r="F1584" s="4" t="s">
        <v>213</v>
      </c>
      <c r="G1584" s="4" t="s">
        <v>3031</v>
      </c>
      <c r="H1584" s="4" t="n">
        <v>2013</v>
      </c>
      <c r="I1584" s="4" t="s">
        <v>1615</v>
      </c>
      <c r="J1584" s="25" t="str">
        <f aca="false">IF(M1584=1,"✓","")</f>
        <v/>
      </c>
      <c r="K1584" s="4" t="str">
        <f aca="false">IF(AND(M1584=0,P1584=0),"▶ NEXT","")</f>
        <v/>
      </c>
      <c r="L1584" s="4" t="n">
        <f aca="false">INDEX('Master List'!$F$2:$F$2594,O1584)</f>
        <v>1</v>
      </c>
      <c r="M1584" s="4" t="n">
        <f aca="false">INDEX('Master List'!$G$2:$G$2594,O1584)</f>
        <v>0</v>
      </c>
      <c r="N1584" s="4" t="str">
        <f aca="false">IF(K1584="","",A1584)</f>
        <v/>
      </c>
      <c r="O1584" s="4" t="n">
        <v>71</v>
      </c>
      <c r="P1584" s="4" t="n">
        <f aca="false">IF(A1584=A1583,P1583+1-M1583,0)</f>
        <v>5</v>
      </c>
    </row>
    <row r="1585" customFormat="false" ht="15" hidden="false" customHeight="false" outlineLevel="0" collapsed="false">
      <c r="A1585" s="29" t="s">
        <v>4133</v>
      </c>
      <c r="B1585" s="29" t="s">
        <v>52</v>
      </c>
      <c r="C1585" s="29" t="s">
        <v>96</v>
      </c>
      <c r="D1585" s="29" t="s">
        <v>4134</v>
      </c>
      <c r="E1585" s="4" t="n">
        <v>9</v>
      </c>
      <c r="F1585" s="4" t="s">
        <v>213</v>
      </c>
      <c r="G1585" s="4" t="s">
        <v>3074</v>
      </c>
      <c r="H1585" s="4" t="n">
        <v>2015</v>
      </c>
      <c r="I1585" s="4" t="s">
        <v>1137</v>
      </c>
      <c r="J1585" s="25" t="str">
        <f aca="false">IF(M1585=1,"✓","")</f>
        <v>✓</v>
      </c>
      <c r="K1585" s="4" t="str">
        <f aca="false">IF(AND(M1585=0,P1585=0),"▶ NEXT","")</f>
        <v/>
      </c>
      <c r="L1585" s="4" t="n">
        <f aca="false">INDEX('Master List'!$F$2:$F$2594,O1585)</f>
        <v>1</v>
      </c>
      <c r="M1585" s="4" t="n">
        <f aca="false">INDEX('Master List'!$G$2:$G$2594,O1585)</f>
        <v>1</v>
      </c>
      <c r="N1585" s="4" t="str">
        <f aca="false">IF(K1585="","",A1585)</f>
        <v/>
      </c>
      <c r="O1585" s="4" t="n">
        <v>1896</v>
      </c>
      <c r="P1585" s="4" t="n">
        <f aca="false">IF(A1585=A1584,P1584+1-M1584,0)</f>
        <v>6</v>
      </c>
    </row>
    <row r="1586" customFormat="false" ht="15" hidden="false" customHeight="false" outlineLevel="0" collapsed="false">
      <c r="A1586" s="29" t="s">
        <v>4133</v>
      </c>
      <c r="B1586" s="29" t="s">
        <v>52</v>
      </c>
      <c r="C1586" s="29" t="s">
        <v>96</v>
      </c>
      <c r="D1586" s="29" t="s">
        <v>4134</v>
      </c>
      <c r="E1586" s="4" t="n">
        <v>10</v>
      </c>
      <c r="F1586" s="4" t="s">
        <v>1327</v>
      </c>
      <c r="G1586" s="4" t="s">
        <v>3796</v>
      </c>
      <c r="H1586" s="4" t="n">
        <v>2011</v>
      </c>
      <c r="I1586" s="4" t="s">
        <v>3797</v>
      </c>
      <c r="J1586" s="25" t="str">
        <f aca="false">IF(M1586=1,"✓","")</f>
        <v/>
      </c>
      <c r="K1586" s="4" t="str">
        <f aca="false">IF(AND(M1586=0,P1586=0),"▶ NEXT","")</f>
        <v/>
      </c>
      <c r="L1586" s="4" t="n">
        <f aca="false">INDEX('Master List'!$F$2:$F$2594,O1586)</f>
        <v>1</v>
      </c>
      <c r="M1586" s="4" t="n">
        <f aca="false">INDEX('Master List'!$G$2:$G$2594,O1586)</f>
        <v>0</v>
      </c>
      <c r="N1586" s="4" t="str">
        <f aca="false">IF(K1586="","",A1586)</f>
        <v/>
      </c>
      <c r="O1586" s="4" t="n">
        <v>964</v>
      </c>
      <c r="P1586" s="4" t="n">
        <f aca="false">IF(A1586=A1585,P1585+1-M1585,0)</f>
        <v>6</v>
      </c>
    </row>
    <row r="1587" customFormat="false" ht="15" hidden="false" customHeight="false" outlineLevel="0" collapsed="false">
      <c r="A1587" s="29" t="s">
        <v>4133</v>
      </c>
      <c r="B1587" s="29" t="s">
        <v>52</v>
      </c>
      <c r="C1587" s="29" t="s">
        <v>96</v>
      </c>
      <c r="D1587" s="29" t="s">
        <v>4134</v>
      </c>
      <c r="E1587" s="4" t="n">
        <v>11</v>
      </c>
      <c r="F1587" s="4" t="s">
        <v>1327</v>
      </c>
      <c r="G1587" s="4" t="s">
        <v>787</v>
      </c>
      <c r="H1587" s="4" t="n">
        <v>1971</v>
      </c>
      <c r="I1587" s="4" t="s">
        <v>391</v>
      </c>
      <c r="J1587" s="25" t="str">
        <f aca="false">IF(M1587=1,"✓","")</f>
        <v/>
      </c>
      <c r="K1587" s="4" t="str">
        <f aca="false">IF(AND(M1587=0,P1587=0),"▶ NEXT","")</f>
        <v/>
      </c>
      <c r="L1587" s="4" t="n">
        <f aca="false">INDEX('Master List'!$F$2:$F$2594,O1587)</f>
        <v>3</v>
      </c>
      <c r="M1587" s="4" t="n">
        <f aca="false">INDEX('Master List'!$G$2:$G$2594,O1587)</f>
        <v>0</v>
      </c>
      <c r="N1587" s="4" t="str">
        <f aca="false">IF(K1587="","",A1587)</f>
        <v/>
      </c>
      <c r="O1587" s="4" t="n">
        <v>2455</v>
      </c>
      <c r="P1587" s="4" t="n">
        <f aca="false">IF(A1587=A1586,P1586+1-M1586,0)</f>
        <v>7</v>
      </c>
    </row>
    <row r="1588" customFormat="false" ht="15" hidden="false" customHeight="false" outlineLevel="0" collapsed="false">
      <c r="A1588" s="29" t="s">
        <v>4135</v>
      </c>
      <c r="B1588" s="29" t="s">
        <v>52</v>
      </c>
      <c r="C1588" s="29" t="s">
        <v>97</v>
      </c>
      <c r="D1588" s="29" t="s">
        <v>4136</v>
      </c>
      <c r="E1588" s="4" t="n">
        <v>1</v>
      </c>
      <c r="F1588" s="4" t="s">
        <v>144</v>
      </c>
      <c r="G1588" s="7" t="s">
        <v>729</v>
      </c>
      <c r="H1588" s="4" t="n">
        <v>1930</v>
      </c>
      <c r="I1588" s="4" t="s">
        <v>730</v>
      </c>
      <c r="J1588" s="25" t="str">
        <f aca="false">IF(M1588=1,"✓","")</f>
        <v/>
      </c>
      <c r="K1588" s="4" t="str">
        <f aca="false">IF(AND(M1588=0,P1588=0),"▶ NEXT","")</f>
        <v>▶ NEXT</v>
      </c>
      <c r="L1588" s="4" t="n">
        <f aca="false">INDEX('Master List'!$F$2:$F$2594,O1588)</f>
        <v>2</v>
      </c>
      <c r="M1588" s="4" t="n">
        <f aca="false">INDEX('Master List'!$G$2:$G$2594,O1588)</f>
        <v>0</v>
      </c>
      <c r="N1588" s="4" t="str">
        <f aca="false">IF(K1588="","",A1588)</f>
        <v>N131</v>
      </c>
      <c r="O1588" s="4" t="n">
        <v>72</v>
      </c>
      <c r="P1588" s="4" t="n">
        <f aca="false">IF(A1588=A1587,P1587+1-M1587,0)</f>
        <v>0</v>
      </c>
    </row>
    <row r="1589" customFormat="false" ht="15" hidden="false" customHeight="false" outlineLevel="0" collapsed="false">
      <c r="A1589" s="29" t="s">
        <v>4135</v>
      </c>
      <c r="B1589" s="29" t="s">
        <v>52</v>
      </c>
      <c r="C1589" s="29" t="s">
        <v>97</v>
      </c>
      <c r="D1589" s="29" t="s">
        <v>4136</v>
      </c>
      <c r="E1589" s="4" t="n">
        <v>2</v>
      </c>
      <c r="F1589" s="4" t="s">
        <v>144</v>
      </c>
      <c r="G1589" s="7" t="s">
        <v>307</v>
      </c>
      <c r="H1589" s="4" t="n">
        <v>1957</v>
      </c>
      <c r="I1589" s="4" t="s">
        <v>187</v>
      </c>
      <c r="J1589" s="25" t="str">
        <f aca="false">IF(M1589=1,"✓","")</f>
        <v>✓</v>
      </c>
      <c r="K1589" s="4" t="str">
        <f aca="false">IF(AND(M1589=0,P1589=0),"▶ NEXT","")</f>
        <v/>
      </c>
      <c r="L1589" s="4" t="n">
        <f aca="false">INDEX('Master List'!$F$2:$F$2594,O1589)</f>
        <v>5</v>
      </c>
      <c r="M1589" s="4" t="n">
        <f aca="false">INDEX('Master List'!$G$2:$G$2594,O1589)</f>
        <v>1</v>
      </c>
      <c r="N1589" s="4" t="str">
        <f aca="false">IF(K1589="","",A1589)</f>
        <v/>
      </c>
      <c r="O1589" s="4" t="n">
        <v>1735</v>
      </c>
      <c r="P1589" s="4" t="n">
        <f aca="false">IF(A1589=A1588,P1588+1-M1588,0)</f>
        <v>1</v>
      </c>
    </row>
    <row r="1590" customFormat="false" ht="15" hidden="false" customHeight="false" outlineLevel="0" collapsed="false">
      <c r="A1590" s="29" t="s">
        <v>4135</v>
      </c>
      <c r="B1590" s="29" t="s">
        <v>52</v>
      </c>
      <c r="C1590" s="29" t="s">
        <v>97</v>
      </c>
      <c r="D1590" s="29" t="s">
        <v>4136</v>
      </c>
      <c r="E1590" s="4" t="n">
        <v>3</v>
      </c>
      <c r="F1590" s="4" t="s">
        <v>213</v>
      </c>
      <c r="G1590" s="4" t="s">
        <v>899</v>
      </c>
      <c r="H1590" s="4" t="n">
        <v>1925</v>
      </c>
      <c r="I1590" s="4" t="s">
        <v>535</v>
      </c>
      <c r="J1590" s="25" t="str">
        <f aca="false">IF(M1590=1,"✓","")</f>
        <v/>
      </c>
      <c r="K1590" s="4" t="str">
        <f aca="false">IF(AND(M1590=0,P1590=0),"▶ NEXT","")</f>
        <v/>
      </c>
      <c r="L1590" s="4" t="n">
        <f aca="false">INDEX('Master List'!$F$2:$F$2594,O1590)</f>
        <v>2</v>
      </c>
      <c r="M1590" s="4" t="n">
        <f aca="false">INDEX('Master List'!$G$2:$G$2594,O1590)</f>
        <v>0</v>
      </c>
      <c r="N1590" s="4" t="str">
        <f aca="false">IF(K1590="","",A1590)</f>
        <v/>
      </c>
      <c r="O1590" s="4" t="n">
        <v>246</v>
      </c>
      <c r="P1590" s="4" t="n">
        <f aca="false">IF(A1590=A1589,P1589+1-M1589,0)</f>
        <v>1</v>
      </c>
    </row>
    <row r="1591" customFormat="false" ht="15" hidden="false" customHeight="false" outlineLevel="0" collapsed="false">
      <c r="A1591" s="29" t="s">
        <v>4135</v>
      </c>
      <c r="B1591" s="29" t="s">
        <v>52</v>
      </c>
      <c r="C1591" s="29" t="s">
        <v>97</v>
      </c>
      <c r="D1591" s="29" t="s">
        <v>4136</v>
      </c>
      <c r="E1591" s="4" t="n">
        <v>4</v>
      </c>
      <c r="F1591" s="4" t="s">
        <v>213</v>
      </c>
      <c r="G1591" s="4" t="s">
        <v>451</v>
      </c>
      <c r="H1591" s="4" t="n">
        <v>1937</v>
      </c>
      <c r="I1591" s="4" t="s">
        <v>234</v>
      </c>
      <c r="J1591" s="25" t="str">
        <f aca="false">IF(M1591=1,"✓","")</f>
        <v/>
      </c>
      <c r="K1591" s="4" t="str">
        <f aca="false">IF(AND(M1591=0,P1591=0),"▶ NEXT","")</f>
        <v/>
      </c>
      <c r="L1591" s="4" t="n">
        <f aca="false">INDEX('Master List'!$F$2:$F$2594,O1591)</f>
        <v>3</v>
      </c>
      <c r="M1591" s="4" t="n">
        <f aca="false">INDEX('Master List'!$G$2:$G$2594,O1591)</f>
        <v>0</v>
      </c>
      <c r="N1591" s="4" t="str">
        <f aca="false">IF(K1591="","",A1591)</f>
        <v/>
      </c>
      <c r="O1591" s="4" t="n">
        <v>942</v>
      </c>
      <c r="P1591" s="4" t="n">
        <f aca="false">IF(A1591=A1590,P1590+1-M1590,0)</f>
        <v>2</v>
      </c>
    </row>
    <row r="1592" customFormat="false" ht="15" hidden="false" customHeight="false" outlineLevel="0" collapsed="false">
      <c r="A1592" s="29" t="s">
        <v>4135</v>
      </c>
      <c r="B1592" s="29" t="s">
        <v>52</v>
      </c>
      <c r="C1592" s="29" t="s">
        <v>97</v>
      </c>
      <c r="D1592" s="29" t="s">
        <v>4136</v>
      </c>
      <c r="E1592" s="4" t="n">
        <v>5</v>
      </c>
      <c r="F1592" s="4" t="s">
        <v>213</v>
      </c>
      <c r="G1592" s="4" t="s">
        <v>254</v>
      </c>
      <c r="H1592" s="4" t="n">
        <v>1962</v>
      </c>
      <c r="I1592" s="4" t="s">
        <v>255</v>
      </c>
      <c r="J1592" s="25" t="str">
        <f aca="false">IF(M1592=1,"✓","")</f>
        <v/>
      </c>
      <c r="K1592" s="4" t="str">
        <f aca="false">IF(AND(M1592=0,P1592=0),"▶ NEXT","")</f>
        <v/>
      </c>
      <c r="L1592" s="4" t="n">
        <f aca="false">INDEX('Master List'!$F$2:$F$2594,O1592)</f>
        <v>5</v>
      </c>
      <c r="M1592" s="4" t="n">
        <f aca="false">INDEX('Master List'!$G$2:$G$2594,O1592)</f>
        <v>0</v>
      </c>
      <c r="N1592" s="4" t="str">
        <f aca="false">IF(K1592="","",A1592)</f>
        <v/>
      </c>
      <c r="O1592" s="4" t="n">
        <v>1313</v>
      </c>
      <c r="P1592" s="4" t="n">
        <f aca="false">IF(A1592=A1591,P1591+1-M1591,0)</f>
        <v>3</v>
      </c>
    </row>
    <row r="1593" customFormat="false" ht="15" hidden="false" customHeight="false" outlineLevel="0" collapsed="false">
      <c r="A1593" s="29" t="s">
        <v>4135</v>
      </c>
      <c r="B1593" s="29" t="s">
        <v>52</v>
      </c>
      <c r="C1593" s="29" t="s">
        <v>97</v>
      </c>
      <c r="D1593" s="29" t="s">
        <v>4136</v>
      </c>
      <c r="E1593" s="4" t="n">
        <v>6</v>
      </c>
      <c r="F1593" s="4" t="s">
        <v>213</v>
      </c>
      <c r="G1593" s="4" t="s">
        <v>1055</v>
      </c>
      <c r="H1593" s="4" t="n">
        <v>1981</v>
      </c>
      <c r="I1593" s="4" t="s">
        <v>439</v>
      </c>
      <c r="J1593" s="25" t="str">
        <f aca="false">IF(M1593=1,"✓","")</f>
        <v>✓</v>
      </c>
      <c r="K1593" s="4" t="str">
        <f aca="false">IF(AND(M1593=0,P1593=0),"▶ NEXT","")</f>
        <v/>
      </c>
      <c r="L1593" s="4" t="n">
        <f aca="false">INDEX('Master List'!$F$2:$F$2594,O1593)</f>
        <v>2</v>
      </c>
      <c r="M1593" s="4" t="n">
        <f aca="false">INDEX('Master List'!$G$2:$G$2594,O1593)</f>
        <v>1</v>
      </c>
      <c r="N1593" s="4" t="str">
        <f aca="false">IF(K1593="","",A1593)</f>
        <v/>
      </c>
      <c r="O1593" s="4" t="n">
        <v>873</v>
      </c>
      <c r="P1593" s="4" t="n">
        <f aca="false">IF(A1593=A1592,P1592+1-M1592,0)</f>
        <v>4</v>
      </c>
    </row>
    <row r="1594" customFormat="false" ht="15" hidden="false" customHeight="false" outlineLevel="0" collapsed="false">
      <c r="A1594" s="29" t="s">
        <v>4135</v>
      </c>
      <c r="B1594" s="29" t="s">
        <v>52</v>
      </c>
      <c r="C1594" s="29" t="s">
        <v>97</v>
      </c>
      <c r="D1594" s="29" t="s">
        <v>4136</v>
      </c>
      <c r="E1594" s="4" t="n">
        <v>7</v>
      </c>
      <c r="F1594" s="4" t="s">
        <v>213</v>
      </c>
      <c r="G1594" s="4" t="s">
        <v>3141</v>
      </c>
      <c r="H1594" s="4" t="n">
        <v>2018</v>
      </c>
      <c r="I1594" s="4" t="s">
        <v>1560</v>
      </c>
      <c r="J1594" s="25" t="str">
        <f aca="false">IF(M1594=1,"✓","")</f>
        <v>✓</v>
      </c>
      <c r="K1594" s="4" t="str">
        <f aca="false">IF(AND(M1594=0,P1594=0),"▶ NEXT","")</f>
        <v/>
      </c>
      <c r="L1594" s="4" t="n">
        <f aca="false">INDEX('Master List'!$F$2:$F$2594,O1594)</f>
        <v>1</v>
      </c>
      <c r="M1594" s="4" t="n">
        <f aca="false">INDEX('Master List'!$G$2:$G$2594,O1594)</f>
        <v>1</v>
      </c>
      <c r="N1594" s="4" t="str">
        <f aca="false">IF(K1594="","",A1594)</f>
        <v/>
      </c>
      <c r="O1594" s="4" t="n">
        <v>2272</v>
      </c>
      <c r="P1594" s="4" t="n">
        <f aca="false">IF(A1594=A1593,P1593+1-M1593,0)</f>
        <v>4</v>
      </c>
    </row>
    <row r="1595" customFormat="false" ht="15" hidden="false" customHeight="false" outlineLevel="0" collapsed="false">
      <c r="A1595" s="29" t="s">
        <v>4135</v>
      </c>
      <c r="B1595" s="29" t="s">
        <v>52</v>
      </c>
      <c r="C1595" s="29" t="s">
        <v>97</v>
      </c>
      <c r="D1595" s="29" t="s">
        <v>4136</v>
      </c>
      <c r="E1595" s="4" t="n">
        <v>8</v>
      </c>
      <c r="F1595" s="4" t="s">
        <v>213</v>
      </c>
      <c r="G1595" s="4" t="s">
        <v>1250</v>
      </c>
      <c r="H1595" s="4" t="n">
        <v>2019</v>
      </c>
      <c r="I1595" s="4" t="s">
        <v>1251</v>
      </c>
      <c r="J1595" s="25" t="str">
        <f aca="false">IF(M1595=1,"✓","")</f>
        <v>✓</v>
      </c>
      <c r="K1595" s="4" t="str">
        <f aca="false">IF(AND(M1595=0,P1595=0),"▶ NEXT","")</f>
        <v/>
      </c>
      <c r="L1595" s="4" t="n">
        <f aca="false">INDEX('Master List'!$F$2:$F$2594,O1595)</f>
        <v>2</v>
      </c>
      <c r="M1595" s="4" t="n">
        <f aca="false">INDEX('Master List'!$G$2:$G$2594,O1595)</f>
        <v>1</v>
      </c>
      <c r="N1595" s="4" t="str">
        <f aca="false">IF(K1595="","",A1595)</f>
        <v/>
      </c>
      <c r="O1595" s="4" t="n">
        <v>9</v>
      </c>
      <c r="P1595" s="4" t="n">
        <f aca="false">IF(A1595=A1594,P1594+1-M1594,0)</f>
        <v>4</v>
      </c>
    </row>
    <row r="1596" customFormat="false" ht="15" hidden="false" customHeight="false" outlineLevel="0" collapsed="false">
      <c r="A1596" s="29" t="s">
        <v>4135</v>
      </c>
      <c r="B1596" s="29" t="s">
        <v>52</v>
      </c>
      <c r="C1596" s="29" t="s">
        <v>97</v>
      </c>
      <c r="D1596" s="29" t="s">
        <v>4136</v>
      </c>
      <c r="E1596" s="4" t="n">
        <v>9</v>
      </c>
      <c r="F1596" s="4" t="s">
        <v>213</v>
      </c>
      <c r="G1596" s="4" t="s">
        <v>729</v>
      </c>
      <c r="H1596" s="4" t="n">
        <v>2022</v>
      </c>
      <c r="I1596" s="4" t="s">
        <v>3224</v>
      </c>
      <c r="J1596" s="25" t="str">
        <f aca="false">IF(M1596=1,"✓","")</f>
        <v/>
      </c>
      <c r="K1596" s="4" t="str">
        <f aca="false">IF(AND(M1596=0,P1596=0),"▶ NEXT","")</f>
        <v/>
      </c>
      <c r="L1596" s="4" t="n">
        <f aca="false">INDEX('Master List'!$F$2:$F$2594,O1596)</f>
        <v>1</v>
      </c>
      <c r="M1596" s="4" t="n">
        <f aca="false">INDEX('Master List'!$G$2:$G$2594,O1596)</f>
        <v>0</v>
      </c>
      <c r="N1596" s="4" t="str">
        <f aca="false">IF(K1596="","",A1596)</f>
        <v/>
      </c>
      <c r="O1596" s="4" t="n">
        <v>73</v>
      </c>
      <c r="P1596" s="4" t="n">
        <f aca="false">IF(A1596=A1595,P1595+1-M1595,0)</f>
        <v>4</v>
      </c>
    </row>
    <row r="1597" customFormat="false" ht="15" hidden="false" customHeight="false" outlineLevel="0" collapsed="false">
      <c r="A1597" s="29" t="s">
        <v>4135</v>
      </c>
      <c r="B1597" s="29" t="s">
        <v>52</v>
      </c>
      <c r="C1597" s="29" t="s">
        <v>97</v>
      </c>
      <c r="D1597" s="29" t="s">
        <v>4136</v>
      </c>
      <c r="E1597" s="4" t="n">
        <v>10</v>
      </c>
      <c r="F1597" s="4" t="s">
        <v>1327</v>
      </c>
      <c r="G1597" s="4" t="s">
        <v>3274</v>
      </c>
      <c r="H1597" s="4" t="n">
        <v>1919</v>
      </c>
      <c r="I1597" s="4" t="s">
        <v>1682</v>
      </c>
      <c r="J1597" s="25" t="str">
        <f aca="false">IF(M1597=1,"✓","")</f>
        <v/>
      </c>
      <c r="K1597" s="4" t="str">
        <f aca="false">IF(AND(M1597=0,P1597=0),"▶ NEXT","")</f>
        <v/>
      </c>
      <c r="L1597" s="4" t="n">
        <f aca="false">INDEX('Master List'!$F$2:$F$2594,O1597)</f>
        <v>1</v>
      </c>
      <c r="M1597" s="4" t="n">
        <f aca="false">INDEX('Master List'!$G$2:$G$2594,O1597)</f>
        <v>0</v>
      </c>
      <c r="N1597" s="4" t="str">
        <f aca="false">IF(K1597="","",A1597)</f>
        <v/>
      </c>
      <c r="O1597" s="4" t="n">
        <v>1188</v>
      </c>
      <c r="P1597" s="4" t="n">
        <f aca="false">IF(A1597=A1596,P1596+1-M1596,0)</f>
        <v>5</v>
      </c>
    </row>
    <row r="1598" customFormat="false" ht="15" hidden="false" customHeight="false" outlineLevel="0" collapsed="false">
      <c r="A1598" s="29" t="s">
        <v>4135</v>
      </c>
      <c r="B1598" s="29" t="s">
        <v>52</v>
      </c>
      <c r="C1598" s="29" t="s">
        <v>97</v>
      </c>
      <c r="D1598" s="29" t="s">
        <v>4136</v>
      </c>
      <c r="E1598" s="4" t="n">
        <v>11</v>
      </c>
      <c r="F1598" s="4" t="s">
        <v>1327</v>
      </c>
      <c r="G1598" s="4" t="s">
        <v>3423</v>
      </c>
      <c r="H1598" s="4" t="n">
        <v>1964</v>
      </c>
      <c r="I1598" s="4" t="s">
        <v>2023</v>
      </c>
      <c r="J1598" s="25" t="str">
        <f aca="false">IF(M1598=1,"✓","")</f>
        <v/>
      </c>
      <c r="K1598" s="4" t="str">
        <f aca="false">IF(AND(M1598=0,P1598=0),"▶ NEXT","")</f>
        <v/>
      </c>
      <c r="L1598" s="4" t="n">
        <f aca="false">INDEX('Master List'!$F$2:$F$2594,O1598)</f>
        <v>1</v>
      </c>
      <c r="M1598" s="4" t="n">
        <f aca="false">INDEX('Master List'!$G$2:$G$2594,O1598)</f>
        <v>0</v>
      </c>
      <c r="N1598" s="4" t="str">
        <f aca="false">IF(K1598="","",A1598)</f>
        <v/>
      </c>
      <c r="O1598" s="4" t="n">
        <v>1256</v>
      </c>
      <c r="P1598" s="4" t="n">
        <f aca="false">IF(A1598=A1597,P1597+1-M1597,0)</f>
        <v>6</v>
      </c>
    </row>
    <row r="1599" customFormat="false" ht="15" hidden="false" customHeight="false" outlineLevel="0" collapsed="false">
      <c r="A1599" s="29" t="s">
        <v>4137</v>
      </c>
      <c r="B1599" s="29" t="s">
        <v>52</v>
      </c>
      <c r="C1599" s="29" t="s">
        <v>97</v>
      </c>
      <c r="D1599" s="29" t="s">
        <v>4138</v>
      </c>
      <c r="E1599" s="4" t="n">
        <v>1</v>
      </c>
      <c r="F1599" s="4" t="s">
        <v>144</v>
      </c>
      <c r="G1599" s="7" t="s">
        <v>846</v>
      </c>
      <c r="H1599" s="4" t="n">
        <v>1998</v>
      </c>
      <c r="I1599" s="4" t="s">
        <v>183</v>
      </c>
      <c r="J1599" s="25" t="str">
        <f aca="false">IF(M1599=1,"✓","")</f>
        <v>✓</v>
      </c>
      <c r="K1599" s="4" t="str">
        <f aca="false">IF(AND(M1599=0,P1599=0),"▶ NEXT","")</f>
        <v/>
      </c>
      <c r="L1599" s="4" t="n">
        <f aca="false">INDEX('Master List'!$F$2:$F$2594,O1599)</f>
        <v>2</v>
      </c>
      <c r="M1599" s="4" t="n">
        <f aca="false">INDEX('Master List'!$G$2:$G$2594,O1599)</f>
        <v>1</v>
      </c>
      <c r="N1599" s="4" t="str">
        <f aca="false">IF(K1599="","",A1599)</f>
        <v/>
      </c>
      <c r="O1599" s="4" t="n">
        <v>1976</v>
      </c>
      <c r="P1599" s="4" t="n">
        <f aca="false">IF(A1599=A1598,P1598+1-M1598,0)</f>
        <v>0</v>
      </c>
    </row>
    <row r="1600" customFormat="false" ht="15" hidden="false" customHeight="false" outlineLevel="0" collapsed="false">
      <c r="A1600" s="29" t="s">
        <v>4137</v>
      </c>
      <c r="B1600" s="29" t="s">
        <v>52</v>
      </c>
      <c r="C1600" s="29" t="s">
        <v>97</v>
      </c>
      <c r="D1600" s="29" t="s">
        <v>4138</v>
      </c>
      <c r="E1600" s="4" t="n">
        <v>2</v>
      </c>
      <c r="F1600" s="4" t="s">
        <v>144</v>
      </c>
      <c r="G1600" s="7" t="s">
        <v>498</v>
      </c>
      <c r="H1600" s="4" t="n">
        <v>1993</v>
      </c>
      <c r="I1600" s="4" t="s">
        <v>183</v>
      </c>
      <c r="J1600" s="25" t="str">
        <f aca="false">IF(M1600=1,"✓","")</f>
        <v/>
      </c>
      <c r="K1600" s="4" t="str">
        <f aca="false">IF(AND(M1600=0,P1600=0),"▶ NEXT","")</f>
        <v>▶ NEXT</v>
      </c>
      <c r="L1600" s="4" t="n">
        <f aca="false">INDEX('Master List'!$F$2:$F$2594,O1600)</f>
        <v>3</v>
      </c>
      <c r="M1600" s="4" t="n">
        <f aca="false">INDEX('Master List'!$G$2:$G$2594,O1600)</f>
        <v>0</v>
      </c>
      <c r="N1600" s="4" t="str">
        <f aca="false">IF(K1600="","",A1600)</f>
        <v>N132</v>
      </c>
      <c r="O1600" s="4" t="n">
        <v>1989</v>
      </c>
      <c r="P1600" s="4" t="n">
        <f aca="false">IF(A1600=A1599,P1599+1-M1599,0)</f>
        <v>0</v>
      </c>
    </row>
    <row r="1601" customFormat="false" ht="15" hidden="false" customHeight="false" outlineLevel="0" collapsed="false">
      <c r="A1601" s="29" t="s">
        <v>4137</v>
      </c>
      <c r="B1601" s="29" t="s">
        <v>52</v>
      </c>
      <c r="C1601" s="29" t="s">
        <v>97</v>
      </c>
      <c r="D1601" s="29" t="s">
        <v>4138</v>
      </c>
      <c r="E1601" s="4" t="n">
        <v>3</v>
      </c>
      <c r="F1601" s="4" t="s">
        <v>213</v>
      </c>
      <c r="G1601" s="4" t="s">
        <v>304</v>
      </c>
      <c r="H1601" s="4" t="n">
        <v>1946</v>
      </c>
      <c r="I1601" s="4" t="s">
        <v>305</v>
      </c>
      <c r="J1601" s="25" t="str">
        <f aca="false">IF(M1601=1,"✓","")</f>
        <v/>
      </c>
      <c r="K1601" s="4" t="str">
        <f aca="false">IF(AND(M1601=0,P1601=0),"▶ NEXT","")</f>
        <v/>
      </c>
      <c r="L1601" s="4" t="n">
        <f aca="false">INDEX('Master List'!$F$2:$F$2594,O1601)</f>
        <v>5</v>
      </c>
      <c r="M1601" s="4" t="n">
        <f aca="false">INDEX('Master List'!$G$2:$G$2594,O1601)</f>
        <v>0</v>
      </c>
      <c r="N1601" s="4" t="str">
        <f aca="false">IF(K1601="","",A1601)</f>
        <v/>
      </c>
      <c r="O1601" s="4" t="n">
        <v>231</v>
      </c>
      <c r="P1601" s="4" t="n">
        <f aca="false">IF(A1601=A1600,P1600+1-M1600,0)</f>
        <v>1</v>
      </c>
    </row>
    <row r="1602" customFormat="false" ht="15" hidden="false" customHeight="false" outlineLevel="0" collapsed="false">
      <c r="A1602" s="29" t="s">
        <v>4137</v>
      </c>
      <c r="B1602" s="29" t="s">
        <v>52</v>
      </c>
      <c r="C1602" s="29" t="s">
        <v>97</v>
      </c>
      <c r="D1602" s="29" t="s">
        <v>4138</v>
      </c>
      <c r="E1602" s="4" t="n">
        <v>4</v>
      </c>
      <c r="F1602" s="4" t="s">
        <v>213</v>
      </c>
      <c r="G1602" s="4" t="s">
        <v>349</v>
      </c>
      <c r="H1602" s="4" t="n">
        <v>1945</v>
      </c>
      <c r="I1602" s="4" t="s">
        <v>268</v>
      </c>
      <c r="J1602" s="25" t="str">
        <f aca="false">IF(M1602=1,"✓","")</f>
        <v/>
      </c>
      <c r="K1602" s="4" t="str">
        <f aca="false">IF(AND(M1602=0,P1602=0),"▶ NEXT","")</f>
        <v/>
      </c>
      <c r="L1602" s="4" t="n">
        <f aca="false">INDEX('Master List'!$F$2:$F$2594,O1602)</f>
        <v>4</v>
      </c>
      <c r="M1602" s="4" t="n">
        <f aca="false">INDEX('Master List'!$G$2:$G$2594,O1602)</f>
        <v>0</v>
      </c>
      <c r="N1602" s="4" t="str">
        <f aca="false">IF(K1602="","",A1602)</f>
        <v/>
      </c>
      <c r="O1602" s="4" t="n">
        <v>1928</v>
      </c>
      <c r="P1602" s="4" t="n">
        <f aca="false">IF(A1602=A1601,P1601+1-M1601,0)</f>
        <v>2</v>
      </c>
    </row>
    <row r="1603" customFormat="false" ht="15" hidden="false" customHeight="false" outlineLevel="0" collapsed="false">
      <c r="A1603" s="29" t="s">
        <v>4137</v>
      </c>
      <c r="B1603" s="29" t="s">
        <v>52</v>
      </c>
      <c r="C1603" s="29" t="s">
        <v>97</v>
      </c>
      <c r="D1603" s="29" t="s">
        <v>4138</v>
      </c>
      <c r="E1603" s="4" t="n">
        <v>5</v>
      </c>
      <c r="F1603" s="4" t="s">
        <v>213</v>
      </c>
      <c r="G1603" s="4" t="s">
        <v>659</v>
      </c>
      <c r="H1603" s="4" t="n">
        <v>1956</v>
      </c>
      <c r="I1603" s="4" t="s">
        <v>272</v>
      </c>
      <c r="J1603" s="25" t="str">
        <f aca="false">IF(M1603=1,"✓","")</f>
        <v/>
      </c>
      <c r="K1603" s="4" t="str">
        <f aca="false">IF(AND(M1603=0,P1603=0),"▶ NEXT","")</f>
        <v/>
      </c>
      <c r="L1603" s="4" t="n">
        <f aca="false">INDEX('Master List'!$F$2:$F$2594,O1603)</f>
        <v>3</v>
      </c>
      <c r="M1603" s="4" t="n">
        <f aca="false">INDEX('Master List'!$G$2:$G$2594,O1603)</f>
        <v>0</v>
      </c>
      <c r="N1603" s="4" t="str">
        <f aca="false">IF(K1603="","",A1603)</f>
        <v/>
      </c>
      <c r="O1603" s="4" t="n">
        <v>1600</v>
      </c>
      <c r="P1603" s="4" t="n">
        <f aca="false">IF(A1603=A1602,P1602+1-M1602,0)</f>
        <v>3</v>
      </c>
    </row>
    <row r="1604" customFormat="false" ht="15" hidden="false" customHeight="false" outlineLevel="0" collapsed="false">
      <c r="A1604" s="29" t="s">
        <v>4137</v>
      </c>
      <c r="B1604" s="29" t="s">
        <v>52</v>
      </c>
      <c r="C1604" s="29" t="s">
        <v>97</v>
      </c>
      <c r="D1604" s="29" t="s">
        <v>4138</v>
      </c>
      <c r="E1604" s="4" t="n">
        <v>6</v>
      </c>
      <c r="F1604" s="4" t="s">
        <v>213</v>
      </c>
      <c r="G1604" s="4" t="s">
        <v>579</v>
      </c>
      <c r="H1604" s="4" t="n">
        <v>1957</v>
      </c>
      <c r="I1604" s="4" t="s">
        <v>255</v>
      </c>
      <c r="J1604" s="25" t="str">
        <f aca="false">IF(M1604=1,"✓","")</f>
        <v/>
      </c>
      <c r="K1604" s="4" t="str">
        <f aca="false">IF(AND(M1604=0,P1604=0),"▶ NEXT","")</f>
        <v/>
      </c>
      <c r="L1604" s="4" t="n">
        <f aca="false">INDEX('Master List'!$F$2:$F$2594,O1604)</f>
        <v>3</v>
      </c>
      <c r="M1604" s="4" t="n">
        <f aca="false">INDEX('Master List'!$G$2:$G$2594,O1604)</f>
        <v>0</v>
      </c>
      <c r="N1604" s="4" t="str">
        <f aca="false">IF(K1604="","",A1604)</f>
        <v/>
      </c>
      <c r="O1604" s="4" t="n">
        <v>348</v>
      </c>
      <c r="P1604" s="4" t="n">
        <f aca="false">IF(A1604=A1603,P1603+1-M1603,0)</f>
        <v>4</v>
      </c>
    </row>
    <row r="1605" customFormat="false" ht="15" hidden="false" customHeight="false" outlineLevel="0" collapsed="false">
      <c r="A1605" s="29" t="s">
        <v>4137</v>
      </c>
      <c r="B1605" s="29" t="s">
        <v>52</v>
      </c>
      <c r="C1605" s="29" t="s">
        <v>97</v>
      </c>
      <c r="D1605" s="29" t="s">
        <v>4138</v>
      </c>
      <c r="E1605" s="4" t="n">
        <v>7</v>
      </c>
      <c r="F1605" s="4" t="s">
        <v>213</v>
      </c>
      <c r="G1605" s="4" t="s">
        <v>970</v>
      </c>
      <c r="H1605" s="4" t="n">
        <v>1963</v>
      </c>
      <c r="I1605" s="4" t="s">
        <v>971</v>
      </c>
      <c r="J1605" s="25" t="str">
        <f aca="false">IF(M1605=1,"✓","")</f>
        <v/>
      </c>
      <c r="K1605" s="4" t="str">
        <f aca="false">IF(AND(M1605=0,P1605=0),"▶ NEXT","")</f>
        <v/>
      </c>
      <c r="L1605" s="4" t="n">
        <f aca="false">INDEX('Master List'!$F$2:$F$2594,O1605)</f>
        <v>2</v>
      </c>
      <c r="M1605" s="4" t="n">
        <f aca="false">INDEX('Master List'!$G$2:$G$2594,O1605)</f>
        <v>0</v>
      </c>
      <c r="N1605" s="4" t="str">
        <f aca="false">IF(K1605="","",A1605)</f>
        <v/>
      </c>
      <c r="O1605" s="4" t="n">
        <v>952</v>
      </c>
      <c r="P1605" s="4" t="n">
        <f aca="false">IF(A1605=A1604,P1604+1-M1604,0)</f>
        <v>5</v>
      </c>
    </row>
    <row r="1606" customFormat="false" ht="15" hidden="false" customHeight="false" outlineLevel="0" collapsed="false">
      <c r="A1606" s="29" t="s">
        <v>4137</v>
      </c>
      <c r="B1606" s="29" t="s">
        <v>52</v>
      </c>
      <c r="C1606" s="29" t="s">
        <v>97</v>
      </c>
      <c r="D1606" s="29" t="s">
        <v>4138</v>
      </c>
      <c r="E1606" s="4" t="n">
        <v>8</v>
      </c>
      <c r="F1606" s="4" t="s">
        <v>213</v>
      </c>
      <c r="G1606" s="4" t="s">
        <v>590</v>
      </c>
      <c r="H1606" s="4" t="n">
        <v>1969</v>
      </c>
      <c r="I1606" s="4" t="s">
        <v>290</v>
      </c>
      <c r="J1606" s="25" t="str">
        <f aca="false">IF(M1606=1,"✓","")</f>
        <v/>
      </c>
      <c r="K1606" s="4" t="str">
        <f aca="false">IF(AND(M1606=0,P1606=0),"▶ NEXT","")</f>
        <v/>
      </c>
      <c r="L1606" s="4" t="n">
        <f aca="false">INDEX('Master List'!$F$2:$F$2594,O1606)</f>
        <v>3</v>
      </c>
      <c r="M1606" s="4" t="n">
        <f aca="false">INDEX('Master List'!$G$2:$G$2594,O1606)</f>
        <v>0</v>
      </c>
      <c r="N1606" s="4" t="str">
        <f aca="false">IF(K1606="","",A1606)</f>
        <v/>
      </c>
      <c r="O1606" s="4" t="n">
        <v>129</v>
      </c>
      <c r="P1606" s="4" t="n">
        <f aca="false">IF(A1606=A1605,P1605+1-M1605,0)</f>
        <v>6</v>
      </c>
    </row>
    <row r="1607" customFormat="false" ht="15" hidden="false" customHeight="false" outlineLevel="0" collapsed="false">
      <c r="A1607" s="29" t="s">
        <v>4137</v>
      </c>
      <c r="B1607" s="29" t="s">
        <v>52</v>
      </c>
      <c r="C1607" s="29" t="s">
        <v>97</v>
      </c>
      <c r="D1607" s="29" t="s">
        <v>4138</v>
      </c>
      <c r="E1607" s="4" t="n">
        <v>9</v>
      </c>
      <c r="F1607" s="4" t="s">
        <v>213</v>
      </c>
      <c r="G1607" s="4" t="s">
        <v>809</v>
      </c>
      <c r="H1607" s="4" t="n">
        <v>1981</v>
      </c>
      <c r="I1607" s="4" t="s">
        <v>810</v>
      </c>
      <c r="J1607" s="25" t="str">
        <f aca="false">IF(M1607=1,"✓","")</f>
        <v/>
      </c>
      <c r="K1607" s="4" t="str">
        <f aca="false">IF(AND(M1607=0,P1607=0),"▶ NEXT","")</f>
        <v/>
      </c>
      <c r="L1607" s="4" t="n">
        <f aca="false">INDEX('Master List'!$F$2:$F$2594,O1607)</f>
        <v>2</v>
      </c>
      <c r="M1607" s="4" t="n">
        <f aca="false">INDEX('Master List'!$G$2:$G$2594,O1607)</f>
        <v>0</v>
      </c>
      <c r="N1607" s="4" t="str">
        <f aca="false">IF(K1607="","",A1607)</f>
        <v/>
      </c>
      <c r="O1607" s="4" t="n">
        <v>316</v>
      </c>
      <c r="P1607" s="4" t="n">
        <f aca="false">IF(A1607=A1606,P1606+1-M1606,0)</f>
        <v>7</v>
      </c>
    </row>
    <row r="1608" customFormat="false" ht="15" hidden="false" customHeight="false" outlineLevel="0" collapsed="false">
      <c r="A1608" s="29" t="s">
        <v>4137</v>
      </c>
      <c r="B1608" s="29" t="s">
        <v>52</v>
      </c>
      <c r="C1608" s="29" t="s">
        <v>97</v>
      </c>
      <c r="D1608" s="29" t="s">
        <v>4138</v>
      </c>
      <c r="E1608" s="4" t="n">
        <v>10</v>
      </c>
      <c r="F1608" s="4" t="s">
        <v>213</v>
      </c>
      <c r="G1608" s="4" t="s">
        <v>436</v>
      </c>
      <c r="H1608" s="4" t="n">
        <v>1985</v>
      </c>
      <c r="I1608" s="4" t="s">
        <v>437</v>
      </c>
      <c r="J1608" s="25" t="str">
        <f aca="false">IF(M1608=1,"✓","")</f>
        <v/>
      </c>
      <c r="K1608" s="4" t="str">
        <f aca="false">IF(AND(M1608=0,P1608=0),"▶ NEXT","")</f>
        <v/>
      </c>
      <c r="L1608" s="4" t="n">
        <f aca="false">INDEX('Master List'!$F$2:$F$2594,O1608)</f>
        <v>3</v>
      </c>
      <c r="M1608" s="4" t="n">
        <f aca="false">INDEX('Master List'!$G$2:$G$2594,O1608)</f>
        <v>0</v>
      </c>
      <c r="N1608" s="4" t="str">
        <f aca="false">IF(K1608="","",A1608)</f>
        <v/>
      </c>
      <c r="O1608" s="4" t="n">
        <v>502</v>
      </c>
      <c r="P1608" s="4" t="n">
        <f aca="false">IF(A1608=A1607,P1607+1-M1607,0)</f>
        <v>8</v>
      </c>
    </row>
    <row r="1609" customFormat="false" ht="15" hidden="false" customHeight="false" outlineLevel="0" collapsed="false">
      <c r="A1609" s="29" t="s">
        <v>4137</v>
      </c>
      <c r="B1609" s="29" t="s">
        <v>52</v>
      </c>
      <c r="C1609" s="29" t="s">
        <v>97</v>
      </c>
      <c r="D1609" s="29" t="s">
        <v>4138</v>
      </c>
      <c r="E1609" s="4" t="n">
        <v>11</v>
      </c>
      <c r="F1609" s="4" t="s">
        <v>213</v>
      </c>
      <c r="G1609" s="4" t="s">
        <v>610</v>
      </c>
      <c r="H1609" s="4" t="n">
        <v>1988</v>
      </c>
      <c r="I1609" s="4" t="s">
        <v>611</v>
      </c>
      <c r="J1609" s="25" t="str">
        <f aca="false">IF(M1609=1,"✓","")</f>
        <v/>
      </c>
      <c r="K1609" s="4" t="str">
        <f aca="false">IF(AND(M1609=0,P1609=0),"▶ NEXT","")</f>
        <v/>
      </c>
      <c r="L1609" s="4" t="n">
        <f aca="false">INDEX('Master List'!$F$2:$F$2594,O1609)</f>
        <v>3</v>
      </c>
      <c r="M1609" s="4" t="n">
        <f aca="false">INDEX('Master List'!$G$2:$G$2594,O1609)</f>
        <v>0</v>
      </c>
      <c r="N1609" s="4" t="str">
        <f aca="false">IF(K1609="","",A1609)</f>
        <v/>
      </c>
      <c r="O1609" s="4" t="n">
        <v>947</v>
      </c>
      <c r="P1609" s="4" t="n">
        <f aca="false">IF(A1609=A1608,P1608+1-M1608,0)</f>
        <v>9</v>
      </c>
    </row>
    <row r="1610" customFormat="false" ht="15" hidden="false" customHeight="false" outlineLevel="0" collapsed="false">
      <c r="A1610" s="29" t="s">
        <v>4137</v>
      </c>
      <c r="B1610" s="29" t="s">
        <v>52</v>
      </c>
      <c r="C1610" s="29" t="s">
        <v>97</v>
      </c>
      <c r="D1610" s="29" t="s">
        <v>4138</v>
      </c>
      <c r="E1610" s="4" t="n">
        <v>12</v>
      </c>
      <c r="F1610" s="4" t="s">
        <v>213</v>
      </c>
      <c r="G1610" s="4" t="s">
        <v>625</v>
      </c>
      <c r="H1610" s="4" t="n">
        <v>1998</v>
      </c>
      <c r="I1610" s="4" t="s">
        <v>361</v>
      </c>
      <c r="J1610" s="25" t="str">
        <f aca="false">IF(M1610=1,"✓","")</f>
        <v>✓</v>
      </c>
      <c r="K1610" s="4" t="str">
        <f aca="false">IF(AND(M1610=0,P1610=0),"▶ NEXT","")</f>
        <v/>
      </c>
      <c r="L1610" s="4" t="n">
        <f aca="false">INDEX('Master List'!$F$2:$F$2594,O1610)</f>
        <v>3</v>
      </c>
      <c r="M1610" s="4" t="n">
        <f aca="false">INDEX('Master List'!$G$2:$G$2594,O1610)</f>
        <v>1</v>
      </c>
      <c r="N1610" s="4" t="str">
        <f aca="false">IF(K1610="","",A1610)</f>
        <v/>
      </c>
      <c r="O1610" s="4" t="n">
        <v>2277</v>
      </c>
      <c r="P1610" s="4" t="n">
        <f aca="false">IF(A1610=A1609,P1609+1-M1609,0)</f>
        <v>10</v>
      </c>
    </row>
    <row r="1611" customFormat="false" ht="15" hidden="false" customHeight="false" outlineLevel="0" collapsed="false">
      <c r="A1611" s="29" t="s">
        <v>4137</v>
      </c>
      <c r="B1611" s="29" t="s">
        <v>52</v>
      </c>
      <c r="C1611" s="29" t="s">
        <v>97</v>
      </c>
      <c r="D1611" s="29" t="s">
        <v>4138</v>
      </c>
      <c r="E1611" s="4" t="n">
        <v>13</v>
      </c>
      <c r="F1611" s="4" t="s">
        <v>213</v>
      </c>
      <c r="G1611" s="4" t="s">
        <v>2854</v>
      </c>
      <c r="H1611" s="4" t="n">
        <v>2006</v>
      </c>
      <c r="I1611" s="4" t="s">
        <v>829</v>
      </c>
      <c r="J1611" s="25" t="str">
        <f aca="false">IF(M1611=1,"✓","")</f>
        <v/>
      </c>
      <c r="K1611" s="4" t="str">
        <f aca="false">IF(AND(M1611=0,P1611=0),"▶ NEXT","")</f>
        <v/>
      </c>
      <c r="L1611" s="4" t="n">
        <f aca="false">INDEX('Master List'!$F$2:$F$2594,O1611)</f>
        <v>1</v>
      </c>
      <c r="M1611" s="4" t="n">
        <f aca="false">INDEX('Master List'!$G$2:$G$2594,O1611)</f>
        <v>0</v>
      </c>
      <c r="N1611" s="4" t="str">
        <f aca="false">IF(K1611="","",A1611)</f>
        <v/>
      </c>
      <c r="O1611" s="4" t="n">
        <v>1328</v>
      </c>
      <c r="P1611" s="4" t="n">
        <f aca="false">IF(A1611=A1610,P1610+1-M1610,0)</f>
        <v>10</v>
      </c>
    </row>
    <row r="1612" customFormat="false" ht="15" hidden="false" customHeight="false" outlineLevel="0" collapsed="false">
      <c r="A1612" s="29" t="s">
        <v>4137</v>
      </c>
      <c r="B1612" s="29" t="s">
        <v>52</v>
      </c>
      <c r="C1612" s="29" t="s">
        <v>97</v>
      </c>
      <c r="D1612" s="29" t="s">
        <v>4138</v>
      </c>
      <c r="E1612" s="4" t="n">
        <v>14</v>
      </c>
      <c r="F1612" s="4" t="s">
        <v>213</v>
      </c>
      <c r="G1612" s="4" t="s">
        <v>1235</v>
      </c>
      <c r="H1612" s="4" t="n">
        <v>2017</v>
      </c>
      <c r="I1612" s="4" t="s">
        <v>342</v>
      </c>
      <c r="J1612" s="25" t="str">
        <f aca="false">IF(M1612=1,"✓","")</f>
        <v/>
      </c>
      <c r="K1612" s="4" t="str">
        <f aca="false">IF(AND(M1612=0,P1612=0),"▶ NEXT","")</f>
        <v/>
      </c>
      <c r="L1612" s="4" t="n">
        <f aca="false">INDEX('Master List'!$F$2:$F$2594,O1612)</f>
        <v>2</v>
      </c>
      <c r="M1612" s="4" t="n">
        <f aca="false">INDEX('Master List'!$G$2:$G$2594,O1612)</f>
        <v>0</v>
      </c>
      <c r="N1612" s="4" t="str">
        <f aca="false">IF(K1612="","",A1612)</f>
        <v/>
      </c>
      <c r="O1612" s="4" t="n">
        <v>695</v>
      </c>
      <c r="P1612" s="4" t="n">
        <f aca="false">IF(A1612=A1611,P1611+1-M1611,0)</f>
        <v>11</v>
      </c>
    </row>
    <row r="1613" customFormat="false" ht="15" hidden="false" customHeight="false" outlineLevel="0" collapsed="false">
      <c r="A1613" s="29" t="s">
        <v>4137</v>
      </c>
      <c r="B1613" s="29" t="s">
        <v>52</v>
      </c>
      <c r="C1613" s="29" t="s">
        <v>97</v>
      </c>
      <c r="D1613" s="29" t="s">
        <v>4138</v>
      </c>
      <c r="E1613" s="4" t="n">
        <v>15</v>
      </c>
      <c r="F1613" s="4" t="s">
        <v>213</v>
      </c>
      <c r="G1613" s="4" t="s">
        <v>399</v>
      </c>
      <c r="H1613" s="4" t="n">
        <v>2023</v>
      </c>
      <c r="I1613" s="4" t="s">
        <v>400</v>
      </c>
      <c r="J1613" s="25" t="str">
        <f aca="false">IF(M1613=1,"✓","")</f>
        <v/>
      </c>
      <c r="K1613" s="4" t="str">
        <f aca="false">IF(AND(M1613=0,P1613=0),"▶ NEXT","")</f>
        <v/>
      </c>
      <c r="L1613" s="4" t="n">
        <f aca="false">INDEX('Master List'!$F$2:$F$2594,O1613)</f>
        <v>4</v>
      </c>
      <c r="M1613" s="4" t="n">
        <f aca="false">INDEX('Master List'!$G$2:$G$2594,O1613)</f>
        <v>0</v>
      </c>
      <c r="N1613" s="4" t="str">
        <f aca="false">IF(K1613="","",A1613)</f>
        <v/>
      </c>
      <c r="O1613" s="4" t="n">
        <v>2591</v>
      </c>
      <c r="P1613" s="4" t="n">
        <f aca="false">IF(A1613=A1612,P1612+1-M1612,0)</f>
        <v>12</v>
      </c>
    </row>
    <row r="1614" customFormat="false" ht="15" hidden="false" customHeight="false" outlineLevel="0" collapsed="false">
      <c r="A1614" s="29" t="s">
        <v>4137</v>
      </c>
      <c r="B1614" s="29" t="s">
        <v>52</v>
      </c>
      <c r="C1614" s="29" t="s">
        <v>97</v>
      </c>
      <c r="D1614" s="29" t="s">
        <v>4138</v>
      </c>
      <c r="E1614" s="4" t="n">
        <v>16</v>
      </c>
      <c r="F1614" s="4" t="s">
        <v>1327</v>
      </c>
      <c r="G1614" s="4" t="s">
        <v>1369</v>
      </c>
      <c r="H1614" s="4" t="n">
        <v>1985</v>
      </c>
      <c r="I1614" s="4" t="s">
        <v>1370</v>
      </c>
      <c r="J1614" s="25" t="str">
        <f aca="false">IF(M1614=1,"✓","")</f>
        <v/>
      </c>
      <c r="K1614" s="4" t="str">
        <f aca="false">IF(AND(M1614=0,P1614=0),"▶ NEXT","")</f>
        <v/>
      </c>
      <c r="L1614" s="4" t="n">
        <f aca="false">INDEX('Master List'!$F$2:$F$2594,O1614)</f>
        <v>2</v>
      </c>
      <c r="M1614" s="4" t="n">
        <f aca="false">INDEX('Master List'!$G$2:$G$2594,O1614)</f>
        <v>0</v>
      </c>
      <c r="N1614" s="4" t="str">
        <f aca="false">IF(K1614="","",A1614)</f>
        <v/>
      </c>
      <c r="O1614" s="4" t="n">
        <v>2048</v>
      </c>
      <c r="P1614" s="4" t="n">
        <f aca="false">IF(A1614=A1613,P1613+1-M1613,0)</f>
        <v>13</v>
      </c>
    </row>
    <row r="1615" customFormat="false" ht="15" hidden="false" customHeight="false" outlineLevel="0" collapsed="false">
      <c r="A1615" s="29" t="s">
        <v>4137</v>
      </c>
      <c r="B1615" s="29" t="s">
        <v>52</v>
      </c>
      <c r="C1615" s="29" t="s">
        <v>97</v>
      </c>
      <c r="D1615" s="29" t="s">
        <v>4138</v>
      </c>
      <c r="E1615" s="4" t="n">
        <v>17</v>
      </c>
      <c r="F1615" s="4" t="s">
        <v>1327</v>
      </c>
      <c r="G1615" s="4" t="s">
        <v>3538</v>
      </c>
      <c r="H1615" s="4" t="n">
        <v>1974</v>
      </c>
      <c r="I1615" s="4" t="s">
        <v>813</v>
      </c>
      <c r="J1615" s="25" t="str">
        <f aca="false">IF(M1615=1,"✓","")</f>
        <v/>
      </c>
      <c r="K1615" s="4" t="str">
        <f aca="false">IF(AND(M1615=0,P1615=0),"▶ NEXT","")</f>
        <v/>
      </c>
      <c r="L1615" s="4" t="n">
        <f aca="false">INDEX('Master List'!$F$2:$F$2594,O1615)</f>
        <v>1</v>
      </c>
      <c r="M1615" s="4" t="n">
        <f aca="false">INDEX('Master List'!$G$2:$G$2594,O1615)</f>
        <v>0</v>
      </c>
      <c r="N1615" s="4" t="str">
        <f aca="false">IF(K1615="","",A1615)</f>
        <v/>
      </c>
      <c r="O1615" s="4" t="n">
        <v>1277</v>
      </c>
      <c r="P1615" s="4" t="n">
        <f aca="false">IF(A1615=A1614,P1614+1-M1614,0)</f>
        <v>14</v>
      </c>
    </row>
    <row r="1616" customFormat="false" ht="15" hidden="false" customHeight="false" outlineLevel="0" collapsed="false">
      <c r="A1616" s="29" t="s">
        <v>4137</v>
      </c>
      <c r="B1616" s="29" t="s">
        <v>52</v>
      </c>
      <c r="C1616" s="29" t="s">
        <v>97</v>
      </c>
      <c r="D1616" s="29" t="s">
        <v>4138</v>
      </c>
      <c r="E1616" s="4" t="n">
        <v>18</v>
      </c>
      <c r="F1616" s="4" t="s">
        <v>1327</v>
      </c>
      <c r="G1616" s="4" t="s">
        <v>3398</v>
      </c>
      <c r="H1616" s="4" t="n">
        <v>1959</v>
      </c>
      <c r="I1616" s="4" t="s">
        <v>541</v>
      </c>
      <c r="J1616" s="25" t="str">
        <f aca="false">IF(M1616=1,"✓","")</f>
        <v/>
      </c>
      <c r="K1616" s="4" t="str">
        <f aca="false">IF(AND(M1616=0,P1616=0),"▶ NEXT","")</f>
        <v/>
      </c>
      <c r="L1616" s="4" t="n">
        <f aca="false">INDEX('Master List'!$F$2:$F$2594,O1616)</f>
        <v>1</v>
      </c>
      <c r="M1616" s="4" t="n">
        <f aca="false">INDEX('Master List'!$G$2:$G$2594,O1616)</f>
        <v>0</v>
      </c>
      <c r="N1616" s="4" t="str">
        <f aca="false">IF(K1616="","",A1616)</f>
        <v/>
      </c>
      <c r="O1616" s="4" t="n">
        <v>1083</v>
      </c>
      <c r="P1616" s="4" t="n">
        <f aca="false">IF(A1616=A1615,P1615+1-M1615,0)</f>
        <v>15</v>
      </c>
    </row>
    <row r="1617" customFormat="false" ht="15" hidden="false" customHeight="false" outlineLevel="0" collapsed="false">
      <c r="A1617" s="29" t="s">
        <v>4139</v>
      </c>
      <c r="B1617" s="29" t="s">
        <v>52</v>
      </c>
      <c r="C1617" s="29" t="s">
        <v>97</v>
      </c>
      <c r="D1617" s="29" t="s">
        <v>4140</v>
      </c>
      <c r="E1617" s="4" t="n">
        <v>1</v>
      </c>
      <c r="F1617" s="4" t="s">
        <v>144</v>
      </c>
      <c r="G1617" s="7" t="s">
        <v>201</v>
      </c>
      <c r="H1617" s="4" t="n">
        <v>1979</v>
      </c>
      <c r="I1617" s="4" t="s">
        <v>172</v>
      </c>
      <c r="J1617" s="25" t="str">
        <f aca="false">IF(M1617=1,"✓","")</f>
        <v>✓</v>
      </c>
      <c r="K1617" s="4" t="str">
        <f aca="false">IF(AND(M1617=0,P1617=0),"▶ NEXT","")</f>
        <v/>
      </c>
      <c r="L1617" s="4" t="n">
        <f aca="false">INDEX('Master List'!$F$2:$F$2594,O1617)</f>
        <v>7</v>
      </c>
      <c r="M1617" s="4" t="n">
        <f aca="false">INDEX('Master List'!$G$2:$G$2594,O1617)</f>
        <v>1</v>
      </c>
      <c r="N1617" s="4" t="str">
        <f aca="false">IF(K1617="","",A1617)</f>
        <v/>
      </c>
      <c r="O1617" s="4" t="n">
        <v>121</v>
      </c>
      <c r="P1617" s="4" t="n">
        <f aca="false">IF(A1617=A1616,P1616+1-M1616,0)</f>
        <v>0</v>
      </c>
    </row>
    <row r="1618" customFormat="false" ht="15" hidden="false" customHeight="false" outlineLevel="0" collapsed="false">
      <c r="A1618" s="29" t="s">
        <v>4139</v>
      </c>
      <c r="B1618" s="29" t="s">
        <v>52</v>
      </c>
      <c r="C1618" s="29" t="s">
        <v>97</v>
      </c>
      <c r="D1618" s="29" t="s">
        <v>4140</v>
      </c>
      <c r="E1618" s="4" t="n">
        <v>2</v>
      </c>
      <c r="F1618" s="4" t="s">
        <v>144</v>
      </c>
      <c r="G1618" s="7" t="s">
        <v>815</v>
      </c>
      <c r="H1618" s="4" t="n">
        <v>1986</v>
      </c>
      <c r="I1618" s="4" t="s">
        <v>816</v>
      </c>
      <c r="J1618" s="25" t="str">
        <f aca="false">IF(M1618=1,"✓","")</f>
        <v>✓</v>
      </c>
      <c r="K1618" s="4" t="str">
        <f aca="false">IF(AND(M1618=0,P1618=0),"▶ NEXT","")</f>
        <v/>
      </c>
      <c r="L1618" s="4" t="n">
        <f aca="false">INDEX('Master List'!$F$2:$F$2594,O1618)</f>
        <v>2</v>
      </c>
      <c r="M1618" s="4" t="n">
        <f aca="false">INDEX('Master List'!$G$2:$G$2594,O1618)</f>
        <v>1</v>
      </c>
      <c r="N1618" s="4" t="str">
        <f aca="false">IF(K1618="","",A1618)</f>
        <v/>
      </c>
      <c r="O1618" s="4" t="n">
        <v>1778</v>
      </c>
      <c r="P1618" s="4" t="n">
        <f aca="false">IF(A1618=A1617,P1617+1-M1617,0)</f>
        <v>0</v>
      </c>
    </row>
    <row r="1619" customFormat="false" ht="15" hidden="false" customHeight="false" outlineLevel="0" collapsed="false">
      <c r="A1619" s="29" t="s">
        <v>4139</v>
      </c>
      <c r="B1619" s="29" t="s">
        <v>52</v>
      </c>
      <c r="C1619" s="29" t="s">
        <v>97</v>
      </c>
      <c r="D1619" s="29" t="s">
        <v>4140</v>
      </c>
      <c r="E1619" s="4" t="n">
        <v>3</v>
      </c>
      <c r="F1619" s="4" t="s">
        <v>213</v>
      </c>
      <c r="G1619" s="4" t="s">
        <v>605</v>
      </c>
      <c r="H1619" s="4" t="n">
        <v>1978</v>
      </c>
      <c r="I1619" s="4" t="s">
        <v>606</v>
      </c>
      <c r="J1619" s="25" t="str">
        <f aca="false">IF(M1619=1,"✓","")</f>
        <v/>
      </c>
      <c r="K1619" s="4" t="str">
        <f aca="false">IF(AND(M1619=0,P1619=0),"▶ NEXT","")</f>
        <v>▶ NEXT</v>
      </c>
      <c r="L1619" s="4" t="n">
        <f aca="false">INDEX('Master List'!$F$2:$F$2594,O1619)</f>
        <v>3</v>
      </c>
      <c r="M1619" s="4" t="n">
        <f aca="false">INDEX('Master List'!$G$2:$G$2594,O1619)</f>
        <v>0</v>
      </c>
      <c r="N1619" s="4" t="str">
        <f aca="false">IF(K1619="","",A1619)</f>
        <v>N133</v>
      </c>
      <c r="O1619" s="4" t="n">
        <v>605</v>
      </c>
      <c r="P1619" s="4" t="n">
        <f aca="false">IF(A1619=A1618,P1618+1-M1618,0)</f>
        <v>0</v>
      </c>
    </row>
    <row r="1620" customFormat="false" ht="15" hidden="false" customHeight="false" outlineLevel="0" collapsed="false">
      <c r="A1620" s="29" t="s">
        <v>4139</v>
      </c>
      <c r="B1620" s="29" t="s">
        <v>52</v>
      </c>
      <c r="C1620" s="29" t="s">
        <v>97</v>
      </c>
      <c r="D1620" s="29" t="s">
        <v>4140</v>
      </c>
      <c r="E1620" s="4" t="n">
        <v>4</v>
      </c>
      <c r="F1620" s="4" t="s">
        <v>213</v>
      </c>
      <c r="G1620" s="4" t="s">
        <v>1040</v>
      </c>
      <c r="H1620" s="4" t="n">
        <v>1978</v>
      </c>
      <c r="I1620" s="4" t="s">
        <v>310</v>
      </c>
      <c r="J1620" s="25" t="str">
        <f aca="false">IF(M1620=1,"✓","")</f>
        <v/>
      </c>
      <c r="K1620" s="4" t="str">
        <f aca="false">IF(AND(M1620=0,P1620=0),"▶ NEXT","")</f>
        <v/>
      </c>
      <c r="L1620" s="4" t="n">
        <f aca="false">INDEX('Master List'!$F$2:$F$2594,O1620)</f>
        <v>2</v>
      </c>
      <c r="M1620" s="4" t="n">
        <f aca="false">INDEX('Master List'!$G$2:$G$2594,O1620)</f>
        <v>0</v>
      </c>
      <c r="N1620" s="4" t="str">
        <f aca="false">IF(K1620="","",A1620)</f>
        <v/>
      </c>
      <c r="O1620" s="4" t="n">
        <v>505</v>
      </c>
      <c r="P1620" s="4" t="n">
        <f aca="false">IF(A1620=A1619,P1619+1-M1619,0)</f>
        <v>1</v>
      </c>
    </row>
    <row r="1621" customFormat="false" ht="15" hidden="false" customHeight="false" outlineLevel="0" collapsed="false">
      <c r="A1621" s="29" t="s">
        <v>4139</v>
      </c>
      <c r="B1621" s="29" t="s">
        <v>52</v>
      </c>
      <c r="C1621" s="29" t="s">
        <v>97</v>
      </c>
      <c r="D1621" s="29" t="s">
        <v>4140</v>
      </c>
      <c r="E1621" s="4" t="n">
        <v>5</v>
      </c>
      <c r="F1621" s="4" t="s">
        <v>213</v>
      </c>
      <c r="G1621" s="4" t="s">
        <v>1084</v>
      </c>
      <c r="H1621" s="4" t="n">
        <v>1987</v>
      </c>
      <c r="I1621" s="4" t="s">
        <v>187</v>
      </c>
      <c r="J1621" s="25" t="str">
        <f aca="false">IF(M1621=1,"✓","")</f>
        <v>✓</v>
      </c>
      <c r="K1621" s="4" t="str">
        <f aca="false">IF(AND(M1621=0,P1621=0),"▶ NEXT","")</f>
        <v/>
      </c>
      <c r="L1621" s="4" t="n">
        <f aca="false">INDEX('Master List'!$F$2:$F$2594,O1621)</f>
        <v>2</v>
      </c>
      <c r="M1621" s="4" t="n">
        <f aca="false">INDEX('Master List'!$G$2:$G$2594,O1621)</f>
        <v>1</v>
      </c>
      <c r="N1621" s="4" t="str">
        <f aca="false">IF(K1621="","",A1621)</f>
        <v/>
      </c>
      <c r="O1621" s="4" t="n">
        <v>868</v>
      </c>
      <c r="P1621" s="4" t="n">
        <f aca="false">IF(A1621=A1620,P1620+1-M1620,0)</f>
        <v>2</v>
      </c>
    </row>
    <row r="1622" customFormat="false" ht="15" hidden="false" customHeight="false" outlineLevel="0" collapsed="false">
      <c r="A1622" s="29" t="s">
        <v>4139</v>
      </c>
      <c r="B1622" s="29" t="s">
        <v>52</v>
      </c>
      <c r="C1622" s="29" t="s">
        <v>97</v>
      </c>
      <c r="D1622" s="29" t="s">
        <v>4140</v>
      </c>
      <c r="E1622" s="4" t="n">
        <v>6</v>
      </c>
      <c r="F1622" s="4" t="s">
        <v>213</v>
      </c>
      <c r="G1622" s="4" t="s">
        <v>1095</v>
      </c>
      <c r="H1622" s="4" t="n">
        <v>1989</v>
      </c>
      <c r="I1622" s="4" t="s">
        <v>488</v>
      </c>
      <c r="J1622" s="25" t="str">
        <f aca="false">IF(M1622=1,"✓","")</f>
        <v/>
      </c>
      <c r="K1622" s="4" t="str">
        <f aca="false">IF(AND(M1622=0,P1622=0),"▶ NEXT","")</f>
        <v/>
      </c>
      <c r="L1622" s="4" t="n">
        <f aca="false">INDEX('Master List'!$F$2:$F$2594,O1622)</f>
        <v>2</v>
      </c>
      <c r="M1622" s="4" t="n">
        <f aca="false">INDEX('Master List'!$G$2:$G$2594,O1622)</f>
        <v>0</v>
      </c>
      <c r="N1622" s="4" t="str">
        <f aca="false">IF(K1622="","",A1622)</f>
        <v/>
      </c>
      <c r="O1622" s="4" t="n">
        <v>410</v>
      </c>
      <c r="P1622" s="4" t="n">
        <f aca="false">IF(A1622=A1621,P1621+1-M1621,0)</f>
        <v>2</v>
      </c>
    </row>
    <row r="1623" customFormat="false" ht="15" hidden="false" customHeight="false" outlineLevel="0" collapsed="false">
      <c r="A1623" s="29" t="s">
        <v>4139</v>
      </c>
      <c r="B1623" s="29" t="s">
        <v>52</v>
      </c>
      <c r="C1623" s="29" t="s">
        <v>97</v>
      </c>
      <c r="D1623" s="29" t="s">
        <v>4140</v>
      </c>
      <c r="E1623" s="4" t="n">
        <v>7</v>
      </c>
      <c r="F1623" s="4" t="s">
        <v>213</v>
      </c>
      <c r="G1623" s="4" t="s">
        <v>2495</v>
      </c>
      <c r="H1623" s="4" t="n">
        <v>1989</v>
      </c>
      <c r="I1623" s="4" t="s">
        <v>816</v>
      </c>
      <c r="J1623" s="25" t="str">
        <f aca="false">IF(M1623=1,"✓","")</f>
        <v/>
      </c>
      <c r="K1623" s="4" t="str">
        <f aca="false">IF(AND(M1623=0,P1623=0),"▶ NEXT","")</f>
        <v/>
      </c>
      <c r="L1623" s="4" t="n">
        <f aca="false">INDEX('Master List'!$F$2:$F$2594,O1623)</f>
        <v>1</v>
      </c>
      <c r="M1623" s="4" t="n">
        <f aca="false">INDEX('Master List'!$G$2:$G$2594,O1623)</f>
        <v>0</v>
      </c>
      <c r="N1623" s="4" t="str">
        <f aca="false">IF(K1623="","",A1623)</f>
        <v/>
      </c>
      <c r="O1623" s="4" t="n">
        <v>318</v>
      </c>
      <c r="P1623" s="4" t="n">
        <f aca="false">IF(A1623=A1622,P1622+1-M1622,0)</f>
        <v>3</v>
      </c>
    </row>
    <row r="1624" customFormat="false" ht="15" hidden="false" customHeight="false" outlineLevel="0" collapsed="false">
      <c r="A1624" s="29" t="s">
        <v>4139</v>
      </c>
      <c r="B1624" s="29" t="s">
        <v>52</v>
      </c>
      <c r="C1624" s="29" t="s">
        <v>97</v>
      </c>
      <c r="D1624" s="29" t="s">
        <v>4140</v>
      </c>
      <c r="E1624" s="4" t="n">
        <v>8</v>
      </c>
      <c r="F1624" s="4" t="s">
        <v>213</v>
      </c>
      <c r="G1624" s="4" t="s">
        <v>3193</v>
      </c>
      <c r="H1624" s="4" t="n">
        <v>2020</v>
      </c>
      <c r="I1624" s="4" t="s">
        <v>148</v>
      </c>
      <c r="J1624" s="25" t="str">
        <f aca="false">IF(M1624=1,"✓","")</f>
        <v/>
      </c>
      <c r="K1624" s="4" t="str">
        <f aca="false">IF(AND(M1624=0,P1624=0),"▶ NEXT","")</f>
        <v/>
      </c>
      <c r="L1624" s="4" t="n">
        <f aca="false">INDEX('Master List'!$F$2:$F$2594,O1624)</f>
        <v>1</v>
      </c>
      <c r="M1624" s="4" t="n">
        <f aca="false">INDEX('Master List'!$G$2:$G$2594,O1624)</f>
        <v>0</v>
      </c>
      <c r="N1624" s="4" t="str">
        <f aca="false">IF(K1624="","",A1624)</f>
        <v/>
      </c>
      <c r="O1624" s="4" t="n">
        <v>552</v>
      </c>
      <c r="P1624" s="4" t="n">
        <f aca="false">IF(A1624=A1623,P1623+1-M1623,0)</f>
        <v>4</v>
      </c>
    </row>
    <row r="1625" customFormat="false" ht="15" hidden="false" customHeight="false" outlineLevel="0" collapsed="false">
      <c r="A1625" s="29" t="s">
        <v>4139</v>
      </c>
      <c r="B1625" s="29" t="s">
        <v>52</v>
      </c>
      <c r="C1625" s="29" t="s">
        <v>97</v>
      </c>
      <c r="D1625" s="29" t="s">
        <v>4140</v>
      </c>
      <c r="E1625" s="4" t="n">
        <v>9</v>
      </c>
      <c r="F1625" s="4" t="s">
        <v>213</v>
      </c>
      <c r="G1625" s="4" t="s">
        <v>2243</v>
      </c>
      <c r="H1625" s="4" t="n">
        <v>1974</v>
      </c>
      <c r="I1625" s="4" t="s">
        <v>2244</v>
      </c>
      <c r="J1625" s="25" t="str">
        <f aca="false">IF(M1625=1,"✓","")</f>
        <v/>
      </c>
      <c r="K1625" s="4" t="str">
        <f aca="false">IF(AND(M1625=0,P1625=0),"▶ NEXT","")</f>
        <v/>
      </c>
      <c r="L1625" s="4" t="n">
        <f aca="false">INDEX('Master List'!$F$2:$F$2594,O1625)</f>
        <v>1</v>
      </c>
      <c r="M1625" s="4" t="n">
        <f aca="false">INDEX('Master List'!$G$2:$G$2594,O1625)</f>
        <v>0</v>
      </c>
      <c r="N1625" s="4" t="str">
        <f aca="false">IF(K1625="","",A1625)</f>
        <v/>
      </c>
      <c r="O1625" s="4" t="n">
        <v>1009</v>
      </c>
      <c r="P1625" s="4" t="n">
        <f aca="false">IF(A1625=A1624,P1624+1-M1624,0)</f>
        <v>5</v>
      </c>
    </row>
    <row r="1626" customFormat="false" ht="15" hidden="false" customHeight="false" outlineLevel="0" collapsed="false">
      <c r="A1626" s="29" t="s">
        <v>4139</v>
      </c>
      <c r="B1626" s="29" t="s">
        <v>52</v>
      </c>
      <c r="C1626" s="29" t="s">
        <v>97</v>
      </c>
      <c r="D1626" s="29" t="s">
        <v>4140</v>
      </c>
      <c r="E1626" s="4" t="n">
        <v>10</v>
      </c>
      <c r="F1626" s="4" t="s">
        <v>1327</v>
      </c>
      <c r="G1626" s="4" t="s">
        <v>3572</v>
      </c>
      <c r="H1626" s="4" t="n">
        <v>1978</v>
      </c>
      <c r="I1626" s="4" t="s">
        <v>3573</v>
      </c>
      <c r="J1626" s="25" t="str">
        <f aca="false">IF(M1626=1,"✓","")</f>
        <v/>
      </c>
      <c r="K1626" s="4" t="str">
        <f aca="false">IF(AND(M1626=0,P1626=0),"▶ NEXT","")</f>
        <v/>
      </c>
      <c r="L1626" s="4" t="n">
        <f aca="false">INDEX('Master List'!$F$2:$F$2594,O1626)</f>
        <v>1</v>
      </c>
      <c r="M1626" s="4" t="n">
        <f aca="false">INDEX('Master List'!$G$2:$G$2594,O1626)</f>
        <v>0</v>
      </c>
      <c r="N1626" s="4" t="str">
        <f aca="false">IF(K1626="","",A1626)</f>
        <v/>
      </c>
      <c r="O1626" s="4" t="n">
        <v>908</v>
      </c>
      <c r="P1626" s="4" t="n">
        <f aca="false">IF(A1626=A1625,P1625+1-M1625,0)</f>
        <v>6</v>
      </c>
    </row>
    <row r="1627" customFormat="false" ht="15" hidden="false" customHeight="false" outlineLevel="0" collapsed="false">
      <c r="A1627" s="29" t="s">
        <v>4139</v>
      </c>
      <c r="B1627" s="29" t="s">
        <v>52</v>
      </c>
      <c r="C1627" s="29" t="s">
        <v>97</v>
      </c>
      <c r="D1627" s="29" t="s">
        <v>4140</v>
      </c>
      <c r="E1627" s="4" t="n">
        <v>11</v>
      </c>
      <c r="F1627" s="4" t="s">
        <v>1327</v>
      </c>
      <c r="G1627" s="4" t="s">
        <v>1359</v>
      </c>
      <c r="H1627" s="4" t="n">
        <v>1977</v>
      </c>
      <c r="I1627" s="4" t="s">
        <v>1360</v>
      </c>
      <c r="J1627" s="25" t="str">
        <f aca="false">IF(M1627=1,"✓","")</f>
        <v/>
      </c>
      <c r="K1627" s="4" t="str">
        <f aca="false">IF(AND(M1627=0,P1627=0),"▶ NEXT","")</f>
        <v/>
      </c>
      <c r="L1627" s="4" t="n">
        <f aca="false">INDEX('Master List'!$F$2:$F$2594,O1627)</f>
        <v>2</v>
      </c>
      <c r="M1627" s="4" t="n">
        <f aca="false">INDEX('Master List'!$G$2:$G$2594,O1627)</f>
        <v>0</v>
      </c>
      <c r="N1627" s="4" t="str">
        <f aca="false">IF(K1627="","",A1627)</f>
        <v/>
      </c>
      <c r="O1627" s="4" t="n">
        <v>1925</v>
      </c>
      <c r="P1627" s="4" t="n">
        <f aca="false">IF(A1627=A1626,P1626+1-M1626,0)</f>
        <v>7</v>
      </c>
    </row>
    <row r="1628" customFormat="false" ht="15" hidden="false" customHeight="false" outlineLevel="0" collapsed="false">
      <c r="A1628" s="29" t="s">
        <v>4141</v>
      </c>
      <c r="B1628" s="29" t="s">
        <v>52</v>
      </c>
      <c r="C1628" s="29" t="s">
        <v>97</v>
      </c>
      <c r="D1628" s="29" t="s">
        <v>4142</v>
      </c>
      <c r="E1628" s="4" t="n">
        <v>1</v>
      </c>
      <c r="F1628" s="4" t="s">
        <v>144</v>
      </c>
      <c r="G1628" s="7" t="s">
        <v>237</v>
      </c>
      <c r="H1628" s="4" t="n">
        <v>1964</v>
      </c>
      <c r="I1628" s="4" t="s">
        <v>187</v>
      </c>
      <c r="J1628" s="25" t="str">
        <f aca="false">IF(M1628=1,"✓","")</f>
        <v>✓</v>
      </c>
      <c r="K1628" s="4" t="str">
        <f aca="false">IF(AND(M1628=0,P1628=0),"▶ NEXT","")</f>
        <v/>
      </c>
      <c r="L1628" s="4" t="n">
        <f aca="false">INDEX('Master List'!$F$2:$F$2594,O1628)</f>
        <v>5</v>
      </c>
      <c r="M1628" s="4" t="n">
        <f aca="false">INDEX('Master List'!$G$2:$G$2594,O1628)</f>
        <v>1</v>
      </c>
      <c r="N1628" s="4" t="str">
        <f aca="false">IF(K1628="","",A1628)</f>
        <v/>
      </c>
      <c r="O1628" s="4" t="n">
        <v>671</v>
      </c>
      <c r="P1628" s="4" t="n">
        <f aca="false">IF(A1628=A1627,P1627+1-M1627,0)</f>
        <v>0</v>
      </c>
    </row>
    <row r="1629" customFormat="false" ht="15" hidden="false" customHeight="false" outlineLevel="0" collapsed="false">
      <c r="A1629" s="29" t="s">
        <v>4141</v>
      </c>
      <c r="B1629" s="29" t="s">
        <v>52</v>
      </c>
      <c r="C1629" s="29" t="s">
        <v>97</v>
      </c>
      <c r="D1629" s="29" t="s">
        <v>4142</v>
      </c>
      <c r="E1629" s="4" t="n">
        <v>2</v>
      </c>
      <c r="F1629" s="4" t="s">
        <v>144</v>
      </c>
      <c r="G1629" s="7" t="s">
        <v>436</v>
      </c>
      <c r="H1629" s="4" t="n">
        <v>1985</v>
      </c>
      <c r="I1629" s="4" t="s">
        <v>437</v>
      </c>
      <c r="J1629" s="25" t="str">
        <f aca="false">IF(M1629=1,"✓","")</f>
        <v/>
      </c>
      <c r="K1629" s="4" t="str">
        <f aca="false">IF(AND(M1629=0,P1629=0),"▶ NEXT","")</f>
        <v>▶ NEXT</v>
      </c>
      <c r="L1629" s="4" t="n">
        <f aca="false">INDEX('Master List'!$F$2:$F$2594,O1629)</f>
        <v>3</v>
      </c>
      <c r="M1629" s="4" t="n">
        <f aca="false">INDEX('Master List'!$G$2:$G$2594,O1629)</f>
        <v>0</v>
      </c>
      <c r="N1629" s="4" t="str">
        <f aca="false">IF(K1629="","",A1629)</f>
        <v>N134</v>
      </c>
      <c r="O1629" s="4" t="n">
        <v>502</v>
      </c>
      <c r="P1629" s="4" t="n">
        <f aca="false">IF(A1629=A1628,P1628+1-M1628,0)</f>
        <v>0</v>
      </c>
    </row>
    <row r="1630" customFormat="false" ht="15" hidden="false" customHeight="false" outlineLevel="0" collapsed="false">
      <c r="A1630" s="29" t="s">
        <v>4141</v>
      </c>
      <c r="B1630" s="29" t="s">
        <v>52</v>
      </c>
      <c r="C1630" s="29" t="s">
        <v>97</v>
      </c>
      <c r="D1630" s="29" t="s">
        <v>4142</v>
      </c>
      <c r="E1630" s="4" t="n">
        <v>3</v>
      </c>
      <c r="F1630" s="4" t="s">
        <v>213</v>
      </c>
      <c r="G1630" s="4" t="s">
        <v>307</v>
      </c>
      <c r="H1630" s="4" t="n">
        <v>1957</v>
      </c>
      <c r="I1630" s="4" t="s">
        <v>187</v>
      </c>
      <c r="J1630" s="25" t="str">
        <f aca="false">IF(M1630=1,"✓","")</f>
        <v>✓</v>
      </c>
      <c r="K1630" s="4" t="str">
        <f aca="false">IF(AND(M1630=0,P1630=0),"▶ NEXT","")</f>
        <v/>
      </c>
      <c r="L1630" s="4" t="n">
        <f aca="false">INDEX('Master List'!$F$2:$F$2594,O1630)</f>
        <v>5</v>
      </c>
      <c r="M1630" s="4" t="n">
        <f aca="false">INDEX('Master List'!$G$2:$G$2594,O1630)</f>
        <v>1</v>
      </c>
      <c r="N1630" s="4" t="str">
        <f aca="false">IF(K1630="","",A1630)</f>
        <v/>
      </c>
      <c r="O1630" s="4" t="n">
        <v>1735</v>
      </c>
      <c r="P1630" s="4" t="n">
        <f aca="false">IF(A1630=A1629,P1629+1-M1629,0)</f>
        <v>1</v>
      </c>
    </row>
    <row r="1631" customFormat="false" ht="15" hidden="false" customHeight="false" outlineLevel="0" collapsed="false">
      <c r="A1631" s="29" t="s">
        <v>4141</v>
      </c>
      <c r="B1631" s="29" t="s">
        <v>52</v>
      </c>
      <c r="C1631" s="29" t="s">
        <v>97</v>
      </c>
      <c r="D1631" s="29" t="s">
        <v>4142</v>
      </c>
      <c r="E1631" s="4" t="n">
        <v>4</v>
      </c>
      <c r="F1631" s="4" t="s">
        <v>213</v>
      </c>
      <c r="G1631" s="4" t="s">
        <v>1785</v>
      </c>
      <c r="H1631" s="4" t="n">
        <v>1940</v>
      </c>
      <c r="I1631" s="4" t="s">
        <v>344</v>
      </c>
      <c r="J1631" s="25" t="str">
        <f aca="false">IF(M1631=1,"✓","")</f>
        <v/>
      </c>
      <c r="K1631" s="4" t="str">
        <f aca="false">IF(AND(M1631=0,P1631=0),"▶ NEXT","")</f>
        <v/>
      </c>
      <c r="L1631" s="4" t="n">
        <f aca="false">INDEX('Master List'!$F$2:$F$2594,O1631)</f>
        <v>1</v>
      </c>
      <c r="M1631" s="4" t="n">
        <f aca="false">INDEX('Master List'!$G$2:$G$2594,O1631)</f>
        <v>0</v>
      </c>
      <c r="N1631" s="4" t="str">
        <f aca="false">IF(K1631="","",A1631)</f>
        <v/>
      </c>
      <c r="O1631" s="4" t="n">
        <v>951</v>
      </c>
      <c r="P1631" s="4" t="n">
        <f aca="false">IF(A1631=A1630,P1630+1-M1630,0)</f>
        <v>1</v>
      </c>
    </row>
    <row r="1632" customFormat="false" ht="15" hidden="false" customHeight="false" outlineLevel="0" collapsed="false">
      <c r="A1632" s="29" t="s">
        <v>4141</v>
      </c>
      <c r="B1632" s="29" t="s">
        <v>52</v>
      </c>
      <c r="C1632" s="29" t="s">
        <v>97</v>
      </c>
      <c r="D1632" s="29" t="s">
        <v>4142</v>
      </c>
      <c r="E1632" s="4" t="n">
        <v>5</v>
      </c>
      <c r="F1632" s="4" t="s">
        <v>213</v>
      </c>
      <c r="G1632" s="4" t="s">
        <v>920</v>
      </c>
      <c r="H1632" s="4" t="n">
        <v>1942</v>
      </c>
      <c r="I1632" s="4" t="s">
        <v>348</v>
      </c>
      <c r="J1632" s="25" t="str">
        <f aca="false">IF(M1632=1,"✓","")</f>
        <v/>
      </c>
      <c r="K1632" s="4" t="str">
        <f aca="false">IF(AND(M1632=0,P1632=0),"▶ NEXT","")</f>
        <v/>
      </c>
      <c r="L1632" s="4" t="n">
        <f aca="false">INDEX('Master List'!$F$2:$F$2594,O1632)</f>
        <v>2</v>
      </c>
      <c r="M1632" s="4" t="n">
        <f aca="false">INDEX('Master List'!$G$2:$G$2594,O1632)</f>
        <v>0</v>
      </c>
      <c r="N1632" s="4" t="str">
        <f aca="false">IF(K1632="","",A1632)</f>
        <v/>
      </c>
      <c r="O1632" s="4" t="n">
        <v>2315</v>
      </c>
      <c r="P1632" s="4" t="n">
        <f aca="false">IF(A1632=A1631,P1631+1-M1631,0)</f>
        <v>2</v>
      </c>
    </row>
    <row r="1633" customFormat="false" ht="15" hidden="false" customHeight="false" outlineLevel="0" collapsed="false">
      <c r="A1633" s="29" t="s">
        <v>4141</v>
      </c>
      <c r="B1633" s="29" t="s">
        <v>52</v>
      </c>
      <c r="C1633" s="29" t="s">
        <v>97</v>
      </c>
      <c r="D1633" s="29" t="s">
        <v>4142</v>
      </c>
      <c r="E1633" s="4" t="n">
        <v>6</v>
      </c>
      <c r="F1633" s="4" t="s">
        <v>213</v>
      </c>
      <c r="G1633" s="4" t="s">
        <v>1009</v>
      </c>
      <c r="H1633" s="4" t="n">
        <v>1970</v>
      </c>
      <c r="I1633" s="4" t="s">
        <v>357</v>
      </c>
      <c r="J1633" s="25" t="str">
        <f aca="false">IF(M1633=1,"✓","")</f>
        <v/>
      </c>
      <c r="K1633" s="4" t="str">
        <f aca="false">IF(AND(M1633=0,P1633=0),"▶ NEXT","")</f>
        <v/>
      </c>
      <c r="L1633" s="4" t="n">
        <f aca="false">INDEX('Master List'!$F$2:$F$2594,O1633)</f>
        <v>2</v>
      </c>
      <c r="M1633" s="4" t="n">
        <f aca="false">INDEX('Master List'!$G$2:$G$2594,O1633)</f>
        <v>0</v>
      </c>
      <c r="N1633" s="4" t="str">
        <f aca="false">IF(K1633="","",A1633)</f>
        <v/>
      </c>
      <c r="O1633" s="4" t="n">
        <v>412</v>
      </c>
      <c r="P1633" s="4" t="n">
        <f aca="false">IF(A1633=A1632,P1632+1-M1632,0)</f>
        <v>3</v>
      </c>
    </row>
    <row r="1634" customFormat="false" ht="15" hidden="false" customHeight="false" outlineLevel="0" collapsed="false">
      <c r="A1634" s="29" t="s">
        <v>4141</v>
      </c>
      <c r="B1634" s="29" t="s">
        <v>52</v>
      </c>
      <c r="C1634" s="29" t="s">
        <v>97</v>
      </c>
      <c r="D1634" s="29" t="s">
        <v>4142</v>
      </c>
      <c r="E1634" s="4" t="n">
        <v>7</v>
      </c>
      <c r="F1634" s="4" t="s">
        <v>213</v>
      </c>
      <c r="G1634" s="4" t="s">
        <v>422</v>
      </c>
      <c r="H1634" s="4" t="n">
        <v>1970</v>
      </c>
      <c r="I1634" s="4" t="s">
        <v>197</v>
      </c>
      <c r="J1634" s="25" t="str">
        <f aca="false">IF(M1634=1,"✓","")</f>
        <v>✓</v>
      </c>
      <c r="K1634" s="4" t="str">
        <f aca="false">IF(AND(M1634=0,P1634=0),"▶ NEXT","")</f>
        <v/>
      </c>
      <c r="L1634" s="4" t="n">
        <f aca="false">INDEX('Master List'!$F$2:$F$2594,O1634)</f>
        <v>4</v>
      </c>
      <c r="M1634" s="4" t="n">
        <f aca="false">INDEX('Master List'!$G$2:$G$2594,O1634)</f>
        <v>1</v>
      </c>
      <c r="N1634" s="4" t="str">
        <f aca="false">IF(K1634="","",A1634)</f>
        <v/>
      </c>
      <c r="O1634" s="4" t="n">
        <v>1399</v>
      </c>
      <c r="P1634" s="4" t="n">
        <f aca="false">IF(A1634=A1633,P1633+1-M1633,0)</f>
        <v>4</v>
      </c>
    </row>
    <row r="1635" customFormat="false" ht="15" hidden="false" customHeight="false" outlineLevel="0" collapsed="false">
      <c r="A1635" s="29" t="s">
        <v>4141</v>
      </c>
      <c r="B1635" s="29" t="s">
        <v>52</v>
      </c>
      <c r="C1635" s="29" t="s">
        <v>97</v>
      </c>
      <c r="D1635" s="29" t="s">
        <v>4142</v>
      </c>
      <c r="E1635" s="4" t="n">
        <v>8</v>
      </c>
      <c r="F1635" s="4" t="s">
        <v>213</v>
      </c>
      <c r="G1635" s="4" t="s">
        <v>2181</v>
      </c>
      <c r="H1635" s="4" t="n">
        <v>1971</v>
      </c>
      <c r="I1635" s="4" t="s">
        <v>2182</v>
      </c>
      <c r="J1635" s="25" t="str">
        <f aca="false">IF(M1635=1,"✓","")</f>
        <v/>
      </c>
      <c r="K1635" s="4" t="str">
        <f aca="false">IF(AND(M1635=0,P1635=0),"▶ NEXT","")</f>
        <v/>
      </c>
      <c r="L1635" s="4" t="n">
        <f aca="false">INDEX('Master List'!$F$2:$F$2594,O1635)</f>
        <v>1</v>
      </c>
      <c r="M1635" s="4" t="n">
        <f aca="false">INDEX('Master List'!$G$2:$G$2594,O1635)</f>
        <v>0</v>
      </c>
      <c r="N1635" s="4" t="str">
        <f aca="false">IF(K1635="","",A1635)</f>
        <v/>
      </c>
      <c r="O1635" s="4" t="n">
        <v>1212</v>
      </c>
      <c r="P1635" s="4" t="n">
        <f aca="false">IF(A1635=A1634,P1634+1-M1634,0)</f>
        <v>4</v>
      </c>
    </row>
    <row r="1636" customFormat="false" ht="15" hidden="false" customHeight="false" outlineLevel="0" collapsed="false">
      <c r="A1636" s="29" t="s">
        <v>4141</v>
      </c>
      <c r="B1636" s="29" t="s">
        <v>52</v>
      </c>
      <c r="C1636" s="29" t="s">
        <v>97</v>
      </c>
      <c r="D1636" s="29" t="s">
        <v>4142</v>
      </c>
      <c r="E1636" s="4" t="n">
        <v>9</v>
      </c>
      <c r="F1636" s="4" t="s">
        <v>213</v>
      </c>
      <c r="G1636" s="4" t="s">
        <v>2703</v>
      </c>
      <c r="H1636" s="4" t="n">
        <v>1999</v>
      </c>
      <c r="I1636" s="4" t="s">
        <v>2704</v>
      </c>
      <c r="J1636" s="25" t="str">
        <f aca="false">IF(M1636=1,"✓","")</f>
        <v/>
      </c>
      <c r="K1636" s="4" t="str">
        <f aca="false">IF(AND(M1636=0,P1636=0),"▶ NEXT","")</f>
        <v/>
      </c>
      <c r="L1636" s="4" t="n">
        <f aca="false">INDEX('Master List'!$F$2:$F$2594,O1636)</f>
        <v>1</v>
      </c>
      <c r="M1636" s="4" t="n">
        <f aca="false">INDEX('Master List'!$G$2:$G$2594,O1636)</f>
        <v>0</v>
      </c>
      <c r="N1636" s="4" t="str">
        <f aca="false">IF(K1636="","",A1636)</f>
        <v/>
      </c>
      <c r="O1636" s="4" t="n">
        <v>2294</v>
      </c>
      <c r="P1636" s="4" t="n">
        <f aca="false">IF(A1636=A1635,P1635+1-M1635,0)</f>
        <v>5</v>
      </c>
    </row>
    <row r="1637" customFormat="false" ht="15" hidden="false" customHeight="false" outlineLevel="0" collapsed="false">
      <c r="A1637" s="29" t="s">
        <v>4141</v>
      </c>
      <c r="B1637" s="29" t="s">
        <v>52</v>
      </c>
      <c r="C1637" s="29" t="s">
        <v>97</v>
      </c>
      <c r="D1637" s="29" t="s">
        <v>4142</v>
      </c>
      <c r="E1637" s="4" t="n">
        <v>10</v>
      </c>
      <c r="F1637" s="4" t="s">
        <v>213</v>
      </c>
      <c r="G1637" s="4" t="s">
        <v>3177</v>
      </c>
      <c r="H1637" s="4" t="n">
        <v>2019</v>
      </c>
      <c r="I1637" s="4" t="s">
        <v>1410</v>
      </c>
      <c r="J1637" s="25" t="str">
        <f aca="false">IF(M1637=1,"✓","")</f>
        <v>✓</v>
      </c>
      <c r="K1637" s="4" t="str">
        <f aca="false">IF(AND(M1637=0,P1637=0),"▶ NEXT","")</f>
        <v/>
      </c>
      <c r="L1637" s="4" t="n">
        <f aca="false">INDEX('Master List'!$F$2:$F$2594,O1637)</f>
        <v>1</v>
      </c>
      <c r="M1637" s="4" t="n">
        <f aca="false">INDEX('Master List'!$G$2:$G$2594,O1637)</f>
        <v>1</v>
      </c>
      <c r="N1637" s="4" t="str">
        <f aca="false">IF(K1637="","",A1637)</f>
        <v/>
      </c>
      <c r="O1637" s="4" t="n">
        <v>1216</v>
      </c>
      <c r="P1637" s="4" t="n">
        <f aca="false">IF(A1637=A1636,P1636+1-M1636,0)</f>
        <v>6</v>
      </c>
    </row>
    <row r="1638" customFormat="false" ht="15" hidden="false" customHeight="false" outlineLevel="0" collapsed="false">
      <c r="A1638" s="29" t="s">
        <v>4141</v>
      </c>
      <c r="B1638" s="29" t="s">
        <v>52</v>
      </c>
      <c r="C1638" s="29" t="s">
        <v>97</v>
      </c>
      <c r="D1638" s="29" t="s">
        <v>4142</v>
      </c>
      <c r="E1638" s="4" t="n">
        <v>11</v>
      </c>
      <c r="F1638" s="4" t="s">
        <v>1327</v>
      </c>
      <c r="G1638" s="4" t="s">
        <v>1334</v>
      </c>
      <c r="H1638" s="4" t="n">
        <v>1966</v>
      </c>
      <c r="I1638" s="4" t="s">
        <v>1335</v>
      </c>
      <c r="J1638" s="25" t="str">
        <f aca="false">IF(M1638=1,"✓","")</f>
        <v/>
      </c>
      <c r="K1638" s="4" t="str">
        <f aca="false">IF(AND(M1638=0,P1638=0),"▶ NEXT","")</f>
        <v/>
      </c>
      <c r="L1638" s="4" t="n">
        <f aca="false">INDEX('Master List'!$F$2:$F$2594,O1638)</f>
        <v>2</v>
      </c>
      <c r="M1638" s="4" t="n">
        <f aca="false">INDEX('Master List'!$G$2:$G$2594,O1638)</f>
        <v>0</v>
      </c>
      <c r="N1638" s="4" t="str">
        <f aca="false">IF(K1638="","",A1638)</f>
        <v/>
      </c>
      <c r="O1638" s="4" t="n">
        <v>2462</v>
      </c>
      <c r="P1638" s="4" t="n">
        <f aca="false">IF(A1638=A1637,P1637+1-M1637,0)</f>
        <v>6</v>
      </c>
    </row>
    <row r="1639" customFormat="false" ht="15" hidden="false" customHeight="false" outlineLevel="0" collapsed="false">
      <c r="A1639" s="29" t="s">
        <v>4141</v>
      </c>
      <c r="B1639" s="29" t="s">
        <v>52</v>
      </c>
      <c r="C1639" s="29" t="s">
        <v>97</v>
      </c>
      <c r="D1639" s="29" t="s">
        <v>4142</v>
      </c>
      <c r="E1639" s="4" t="n">
        <v>12</v>
      </c>
      <c r="F1639" s="4" t="s">
        <v>1327</v>
      </c>
      <c r="G1639" s="4" t="s">
        <v>3399</v>
      </c>
      <c r="H1639" s="4" t="n">
        <v>1959</v>
      </c>
      <c r="I1639" s="4" t="s">
        <v>3400</v>
      </c>
      <c r="J1639" s="25" t="str">
        <f aca="false">IF(M1639=1,"✓","")</f>
        <v/>
      </c>
      <c r="K1639" s="4" t="str">
        <f aca="false">IF(AND(M1639=0,P1639=0),"▶ NEXT","")</f>
        <v/>
      </c>
      <c r="L1639" s="4" t="n">
        <f aca="false">INDEX('Master List'!$F$2:$F$2594,O1639)</f>
        <v>1</v>
      </c>
      <c r="M1639" s="4" t="n">
        <f aca="false">INDEX('Master List'!$G$2:$G$2594,O1639)</f>
        <v>0</v>
      </c>
      <c r="N1639" s="4" t="str">
        <f aca="false">IF(K1639="","",A1639)</f>
        <v/>
      </c>
      <c r="O1639" s="4" t="n">
        <v>807</v>
      </c>
      <c r="P1639" s="4" t="n">
        <f aca="false">IF(A1639=A1638,P1638+1-M1638,0)</f>
        <v>7</v>
      </c>
    </row>
    <row r="1640" customFormat="false" ht="15" hidden="false" customHeight="false" outlineLevel="0" collapsed="false">
      <c r="A1640" s="29" t="s">
        <v>4143</v>
      </c>
      <c r="B1640" s="29" t="s">
        <v>52</v>
      </c>
      <c r="C1640" s="29" t="s">
        <v>97</v>
      </c>
      <c r="D1640" s="29" t="s">
        <v>4144</v>
      </c>
      <c r="E1640" s="4" t="n">
        <v>1</v>
      </c>
      <c r="F1640" s="4" t="s">
        <v>144</v>
      </c>
      <c r="G1640" s="7" t="s">
        <v>864</v>
      </c>
      <c r="H1640" s="4" t="n">
        <v>2008</v>
      </c>
      <c r="I1640" s="4" t="s">
        <v>865</v>
      </c>
      <c r="J1640" s="25" t="str">
        <f aca="false">IF(M1640=1,"✓","")</f>
        <v/>
      </c>
      <c r="K1640" s="4" t="str">
        <f aca="false">IF(AND(M1640=0,P1640=0),"▶ NEXT","")</f>
        <v>▶ NEXT</v>
      </c>
      <c r="L1640" s="4" t="n">
        <f aca="false">INDEX('Master List'!$F$2:$F$2594,O1640)</f>
        <v>2</v>
      </c>
      <c r="M1640" s="4" t="n">
        <f aca="false">INDEX('Master List'!$G$2:$G$2594,O1640)</f>
        <v>0</v>
      </c>
      <c r="N1640" s="4" t="str">
        <f aca="false">IF(K1640="","",A1640)</f>
        <v>N135</v>
      </c>
      <c r="O1640" s="4" t="n">
        <v>1091</v>
      </c>
      <c r="P1640" s="4" t="n">
        <f aca="false">IF(A1640=A1639,P1639+1-M1639,0)</f>
        <v>0</v>
      </c>
    </row>
    <row r="1641" customFormat="false" ht="15" hidden="false" customHeight="false" outlineLevel="0" collapsed="false">
      <c r="A1641" s="29" t="s">
        <v>4143</v>
      </c>
      <c r="B1641" s="29" t="s">
        <v>52</v>
      </c>
      <c r="C1641" s="29" t="s">
        <v>97</v>
      </c>
      <c r="D1641" s="29" t="s">
        <v>4144</v>
      </c>
      <c r="E1641" s="4" t="n">
        <v>2</v>
      </c>
      <c r="F1641" s="4" t="s">
        <v>144</v>
      </c>
      <c r="G1641" s="7" t="s">
        <v>1616</v>
      </c>
      <c r="H1641" s="4" t="n">
        <v>2012</v>
      </c>
      <c r="I1641" s="4" t="s">
        <v>865</v>
      </c>
      <c r="J1641" s="25" t="str">
        <f aca="false">IF(M1641=1,"✓","")</f>
        <v/>
      </c>
      <c r="K1641" s="4" t="str">
        <f aca="false">IF(AND(M1641=0,P1641=0),"▶ NEXT","")</f>
        <v/>
      </c>
      <c r="L1641" s="4" t="n">
        <f aca="false">INDEX('Master List'!$F$2:$F$2594,O1641)</f>
        <v>1</v>
      </c>
      <c r="M1641" s="4" t="n">
        <f aca="false">INDEX('Master List'!$G$2:$G$2594,O1641)</f>
        <v>0</v>
      </c>
      <c r="N1641" s="4" t="str">
        <f aca="false">IF(K1641="","",A1641)</f>
        <v/>
      </c>
      <c r="O1641" s="4" t="n">
        <v>2586</v>
      </c>
      <c r="P1641" s="4" t="n">
        <f aca="false">IF(A1641=A1640,P1640+1-M1640,0)</f>
        <v>1</v>
      </c>
    </row>
    <row r="1642" customFormat="false" ht="15" hidden="false" customHeight="false" outlineLevel="0" collapsed="false">
      <c r="A1642" s="29" t="s">
        <v>4143</v>
      </c>
      <c r="B1642" s="29" t="s">
        <v>52</v>
      </c>
      <c r="C1642" s="29" t="s">
        <v>97</v>
      </c>
      <c r="D1642" s="29" t="s">
        <v>4144</v>
      </c>
      <c r="E1642" s="4" t="n">
        <v>3</v>
      </c>
      <c r="F1642" s="4" t="s">
        <v>213</v>
      </c>
      <c r="G1642" s="4" t="s">
        <v>2749</v>
      </c>
      <c r="H1642" s="4" t="n">
        <v>2001</v>
      </c>
      <c r="I1642" s="4" t="s">
        <v>174</v>
      </c>
      <c r="J1642" s="25" t="str">
        <f aca="false">IF(M1642=1,"✓","")</f>
        <v/>
      </c>
      <c r="K1642" s="4" t="str">
        <f aca="false">IF(AND(M1642=0,P1642=0),"▶ NEXT","")</f>
        <v/>
      </c>
      <c r="L1642" s="4" t="n">
        <f aca="false">INDEX('Master List'!$F$2:$F$2594,O1642)</f>
        <v>1</v>
      </c>
      <c r="M1642" s="4" t="n">
        <f aca="false">INDEX('Master List'!$G$2:$G$2594,O1642)</f>
        <v>0</v>
      </c>
      <c r="N1642" s="4" t="str">
        <f aca="false">IF(K1642="","",A1642)</f>
        <v/>
      </c>
      <c r="O1642" s="4" t="n">
        <v>268</v>
      </c>
      <c r="P1642" s="4" t="n">
        <f aca="false">IF(A1642=A1641,P1641+1-M1641,0)</f>
        <v>2</v>
      </c>
    </row>
    <row r="1643" customFormat="false" ht="15" hidden="false" customHeight="false" outlineLevel="0" collapsed="false">
      <c r="A1643" s="29" t="s">
        <v>4143</v>
      </c>
      <c r="B1643" s="29" t="s">
        <v>52</v>
      </c>
      <c r="C1643" s="29" t="s">
        <v>97</v>
      </c>
      <c r="D1643" s="29" t="s">
        <v>4144</v>
      </c>
      <c r="E1643" s="4" t="n">
        <v>4</v>
      </c>
      <c r="F1643" s="4" t="s">
        <v>213</v>
      </c>
      <c r="G1643" s="4" t="s">
        <v>2836</v>
      </c>
      <c r="H1643" s="4" t="n">
        <v>2005</v>
      </c>
      <c r="I1643" s="4" t="s">
        <v>1251</v>
      </c>
      <c r="J1643" s="25" t="str">
        <f aca="false">IF(M1643=1,"✓","")</f>
        <v/>
      </c>
      <c r="K1643" s="4" t="str">
        <f aca="false">IF(AND(M1643=0,P1643=0),"▶ NEXT","")</f>
        <v/>
      </c>
      <c r="L1643" s="4" t="n">
        <f aca="false">INDEX('Master List'!$F$2:$F$2594,O1643)</f>
        <v>1</v>
      </c>
      <c r="M1643" s="4" t="n">
        <f aca="false">INDEX('Master List'!$G$2:$G$2594,O1643)</f>
        <v>0</v>
      </c>
      <c r="N1643" s="4" t="str">
        <f aca="false">IF(K1643="","",A1643)</f>
        <v/>
      </c>
      <c r="O1643" s="4" t="n">
        <v>1193</v>
      </c>
      <c r="P1643" s="4" t="n">
        <f aca="false">IF(A1643=A1642,P1642+1-M1642,0)</f>
        <v>3</v>
      </c>
    </row>
    <row r="1644" customFormat="false" ht="15" hidden="false" customHeight="false" outlineLevel="0" collapsed="false">
      <c r="A1644" s="29" t="s">
        <v>4143</v>
      </c>
      <c r="B1644" s="29" t="s">
        <v>52</v>
      </c>
      <c r="C1644" s="29" t="s">
        <v>97</v>
      </c>
      <c r="D1644" s="29" t="s">
        <v>4144</v>
      </c>
      <c r="E1644" s="4" t="n">
        <v>5</v>
      </c>
      <c r="F1644" s="4" t="s">
        <v>213</v>
      </c>
      <c r="G1644" s="4" t="s">
        <v>2946</v>
      </c>
      <c r="H1644" s="4" t="n">
        <v>2010</v>
      </c>
      <c r="I1644" s="4" t="s">
        <v>2947</v>
      </c>
      <c r="J1644" s="25" t="str">
        <f aca="false">IF(M1644=1,"✓","")</f>
        <v/>
      </c>
      <c r="K1644" s="4" t="str">
        <f aca="false">IF(AND(M1644=0,P1644=0),"▶ NEXT","")</f>
        <v/>
      </c>
      <c r="L1644" s="4" t="n">
        <f aca="false">INDEX('Master List'!$F$2:$F$2594,O1644)</f>
        <v>1</v>
      </c>
      <c r="M1644" s="4" t="n">
        <f aca="false">INDEX('Master List'!$G$2:$G$2594,O1644)</f>
        <v>0</v>
      </c>
      <c r="N1644" s="4" t="str">
        <f aca="false">IF(K1644="","",A1644)</f>
        <v/>
      </c>
      <c r="O1644" s="4" t="n">
        <v>1894</v>
      </c>
      <c r="P1644" s="4" t="n">
        <f aca="false">IF(A1644=A1643,P1643+1-M1643,0)</f>
        <v>4</v>
      </c>
    </row>
    <row r="1645" customFormat="false" ht="15" hidden="false" customHeight="false" outlineLevel="0" collapsed="false">
      <c r="A1645" s="29" t="s">
        <v>4143</v>
      </c>
      <c r="B1645" s="29" t="s">
        <v>52</v>
      </c>
      <c r="C1645" s="29" t="s">
        <v>97</v>
      </c>
      <c r="D1645" s="29" t="s">
        <v>4144</v>
      </c>
      <c r="E1645" s="4" t="n">
        <v>6</v>
      </c>
      <c r="F1645" s="4" t="s">
        <v>213</v>
      </c>
      <c r="G1645" s="4" t="s">
        <v>3075</v>
      </c>
      <c r="H1645" s="4" t="n">
        <v>2015</v>
      </c>
      <c r="I1645" s="4" t="s">
        <v>3076</v>
      </c>
      <c r="J1645" s="25" t="str">
        <f aca="false">IF(M1645=1,"✓","")</f>
        <v/>
      </c>
      <c r="K1645" s="4" t="str">
        <f aca="false">IF(AND(M1645=0,P1645=0),"▶ NEXT","")</f>
        <v/>
      </c>
      <c r="L1645" s="4" t="n">
        <f aca="false">INDEX('Master List'!$F$2:$F$2594,O1645)</f>
        <v>1</v>
      </c>
      <c r="M1645" s="4" t="n">
        <f aca="false">INDEX('Master List'!$G$2:$G$2594,O1645)</f>
        <v>0</v>
      </c>
      <c r="N1645" s="4" t="str">
        <f aca="false">IF(K1645="","",A1645)</f>
        <v/>
      </c>
      <c r="O1645" s="4" t="n">
        <v>202</v>
      </c>
      <c r="P1645" s="4" t="n">
        <f aca="false">IF(A1645=A1644,P1644+1-M1644,0)</f>
        <v>5</v>
      </c>
    </row>
    <row r="1646" customFormat="false" ht="15" hidden="false" customHeight="false" outlineLevel="0" collapsed="false">
      <c r="A1646" s="29" t="s">
        <v>4143</v>
      </c>
      <c r="B1646" s="29" t="s">
        <v>52</v>
      </c>
      <c r="C1646" s="29" t="s">
        <v>97</v>
      </c>
      <c r="D1646" s="29" t="s">
        <v>4144</v>
      </c>
      <c r="E1646" s="4" t="n">
        <v>7</v>
      </c>
      <c r="F1646" s="4" t="s">
        <v>213</v>
      </c>
      <c r="G1646" s="4" t="s">
        <v>3259</v>
      </c>
      <c r="H1646" s="4" t="n">
        <v>2024</v>
      </c>
      <c r="I1646" s="4" t="s">
        <v>646</v>
      </c>
      <c r="J1646" s="25" t="str">
        <f aca="false">IF(M1646=1,"✓","")</f>
        <v>✓</v>
      </c>
      <c r="K1646" s="4" t="str">
        <f aca="false">IF(AND(M1646=0,P1646=0),"▶ NEXT","")</f>
        <v/>
      </c>
      <c r="L1646" s="4" t="n">
        <f aca="false">INDEX('Master List'!$F$2:$F$2594,O1646)</f>
        <v>1</v>
      </c>
      <c r="M1646" s="4" t="n">
        <f aca="false">INDEX('Master List'!$G$2:$G$2594,O1646)</f>
        <v>1</v>
      </c>
      <c r="N1646" s="4" t="str">
        <f aca="false">IF(K1646="","",A1646)</f>
        <v/>
      </c>
      <c r="O1646" s="4" t="n">
        <v>470</v>
      </c>
      <c r="P1646" s="4" t="n">
        <f aca="false">IF(A1646=A1645,P1645+1-M1645,0)</f>
        <v>6</v>
      </c>
    </row>
    <row r="1647" customFormat="false" ht="15" hidden="false" customHeight="false" outlineLevel="0" collapsed="false">
      <c r="A1647" s="29" t="s">
        <v>4143</v>
      </c>
      <c r="B1647" s="29" t="s">
        <v>52</v>
      </c>
      <c r="C1647" s="29" t="s">
        <v>97</v>
      </c>
      <c r="D1647" s="29" t="s">
        <v>4144</v>
      </c>
      <c r="E1647" s="4" t="n">
        <v>8</v>
      </c>
      <c r="F1647" s="4" t="s">
        <v>213</v>
      </c>
      <c r="G1647" s="4" t="s">
        <v>3266</v>
      </c>
      <c r="H1647" s="4" t="n">
        <v>2025</v>
      </c>
      <c r="I1647" s="4" t="s">
        <v>3267</v>
      </c>
      <c r="J1647" s="25" t="str">
        <f aca="false">IF(M1647=1,"✓","")</f>
        <v/>
      </c>
      <c r="K1647" s="4" t="str">
        <f aca="false">IF(AND(M1647=0,P1647=0),"▶ NEXT","")</f>
        <v/>
      </c>
      <c r="L1647" s="4" t="n">
        <f aca="false">INDEX('Master List'!$F$2:$F$2594,O1647)</f>
        <v>1</v>
      </c>
      <c r="M1647" s="4" t="n">
        <f aca="false">INDEX('Master List'!$G$2:$G$2594,O1647)</f>
        <v>0</v>
      </c>
      <c r="N1647" s="4" t="str">
        <f aca="false">IF(K1647="","",A1647)</f>
        <v/>
      </c>
      <c r="O1647" s="4" t="n">
        <v>2466</v>
      </c>
      <c r="P1647" s="4" t="n">
        <f aca="false">IF(A1647=A1646,P1646+1-M1646,0)</f>
        <v>6</v>
      </c>
    </row>
    <row r="1648" customFormat="false" ht="15" hidden="false" customHeight="false" outlineLevel="0" collapsed="false">
      <c r="A1648" s="29" t="s">
        <v>4143</v>
      </c>
      <c r="B1648" s="29" t="s">
        <v>52</v>
      </c>
      <c r="C1648" s="29" t="s">
        <v>97</v>
      </c>
      <c r="D1648" s="29" t="s">
        <v>4144</v>
      </c>
      <c r="E1648" s="4" t="n">
        <v>9</v>
      </c>
      <c r="F1648" s="4" t="s">
        <v>1327</v>
      </c>
      <c r="G1648" s="4" t="s">
        <v>3780</v>
      </c>
      <c r="H1648" s="4" t="n">
        <v>2009</v>
      </c>
      <c r="I1648" s="4" t="s">
        <v>3781</v>
      </c>
      <c r="J1648" s="25" t="str">
        <f aca="false">IF(M1648=1,"✓","")</f>
        <v/>
      </c>
      <c r="K1648" s="4" t="str">
        <f aca="false">IF(AND(M1648=0,P1648=0),"▶ NEXT","")</f>
        <v/>
      </c>
      <c r="L1648" s="4" t="n">
        <f aca="false">INDEX('Master List'!$F$2:$F$2594,O1648)</f>
        <v>1</v>
      </c>
      <c r="M1648" s="4" t="n">
        <f aca="false">INDEX('Master List'!$G$2:$G$2594,O1648)</f>
        <v>0</v>
      </c>
      <c r="N1648" s="4" t="str">
        <f aca="false">IF(K1648="","",A1648)</f>
        <v/>
      </c>
      <c r="O1648" s="4" t="n">
        <v>1316</v>
      </c>
      <c r="P1648" s="4" t="n">
        <f aca="false">IF(A1648=A1647,P1647+1-M1647,0)</f>
        <v>7</v>
      </c>
    </row>
    <row r="1649" customFormat="false" ht="15" hidden="false" customHeight="false" outlineLevel="0" collapsed="false">
      <c r="A1649" s="29" t="s">
        <v>4145</v>
      </c>
      <c r="B1649" s="29" t="s">
        <v>52</v>
      </c>
      <c r="C1649" s="29" t="s">
        <v>98</v>
      </c>
      <c r="D1649" s="29" t="s">
        <v>4146</v>
      </c>
      <c r="E1649" s="4" t="n">
        <v>1</v>
      </c>
      <c r="F1649" s="4" t="s">
        <v>144</v>
      </c>
      <c r="G1649" s="7" t="s">
        <v>1446</v>
      </c>
      <c r="H1649" s="4" t="n">
        <v>1955</v>
      </c>
      <c r="I1649" s="4" t="s">
        <v>1447</v>
      </c>
      <c r="J1649" s="25" t="str">
        <f aca="false">IF(M1649=1,"✓","")</f>
        <v/>
      </c>
      <c r="K1649" s="4" t="str">
        <f aca="false">IF(AND(M1649=0,P1649=0),"▶ NEXT","")</f>
        <v>▶ NEXT</v>
      </c>
      <c r="L1649" s="4" t="n">
        <f aca="false">INDEX('Master List'!$F$2:$F$2594,O1649)</f>
        <v>1</v>
      </c>
      <c r="M1649" s="4" t="n">
        <f aca="false">INDEX('Master List'!$G$2:$G$2594,O1649)</f>
        <v>0</v>
      </c>
      <c r="N1649" s="4" t="str">
        <f aca="false">IF(K1649="","",A1649)</f>
        <v>N136</v>
      </c>
      <c r="O1649" s="4" t="n">
        <v>74</v>
      </c>
      <c r="P1649" s="4" t="n">
        <f aca="false">IF(A1649=A1648,P1648+1-M1648,0)</f>
        <v>0</v>
      </c>
    </row>
    <row r="1650" customFormat="false" ht="15" hidden="false" customHeight="false" outlineLevel="0" collapsed="false">
      <c r="A1650" s="29" t="s">
        <v>4145</v>
      </c>
      <c r="B1650" s="29" t="s">
        <v>52</v>
      </c>
      <c r="C1650" s="29" t="s">
        <v>98</v>
      </c>
      <c r="D1650" s="29" t="s">
        <v>4146</v>
      </c>
      <c r="E1650" s="4" t="n">
        <v>2</v>
      </c>
      <c r="F1650" s="4" t="s">
        <v>144</v>
      </c>
      <c r="G1650" s="7" t="s">
        <v>1456</v>
      </c>
      <c r="H1650" s="4" t="n">
        <v>1959</v>
      </c>
      <c r="I1650" s="4" t="s">
        <v>1447</v>
      </c>
      <c r="J1650" s="25" t="str">
        <f aca="false">IF(M1650=1,"✓","")</f>
        <v/>
      </c>
      <c r="K1650" s="4" t="str">
        <f aca="false">IF(AND(M1650=0,P1650=0),"▶ NEXT","")</f>
        <v/>
      </c>
      <c r="L1650" s="4" t="n">
        <f aca="false">INDEX('Master List'!$F$2:$F$2594,O1650)</f>
        <v>1</v>
      </c>
      <c r="M1650" s="4" t="n">
        <f aca="false">INDEX('Master List'!$G$2:$G$2594,O1650)</f>
        <v>0</v>
      </c>
      <c r="N1650" s="4" t="str">
        <f aca="false">IF(K1650="","",A1650)</f>
        <v/>
      </c>
      <c r="O1650" s="4" t="n">
        <v>1121</v>
      </c>
      <c r="P1650" s="4" t="n">
        <f aca="false">IF(A1650=A1649,P1649+1-M1649,0)</f>
        <v>1</v>
      </c>
    </row>
    <row r="1651" customFormat="false" ht="15" hidden="false" customHeight="false" outlineLevel="0" collapsed="false">
      <c r="A1651" s="29" t="s">
        <v>4145</v>
      </c>
      <c r="B1651" s="29" t="s">
        <v>52</v>
      </c>
      <c r="C1651" s="29" t="s">
        <v>98</v>
      </c>
      <c r="D1651" s="29" t="s">
        <v>4146</v>
      </c>
      <c r="E1651" s="4" t="n">
        <v>3</v>
      </c>
      <c r="F1651" s="4" t="s">
        <v>213</v>
      </c>
      <c r="G1651" s="4" t="s">
        <v>1907</v>
      </c>
      <c r="H1651" s="4" t="n">
        <v>1954</v>
      </c>
      <c r="I1651" s="4" t="s">
        <v>1447</v>
      </c>
      <c r="J1651" s="25" t="str">
        <f aca="false">IF(M1651=1,"✓","")</f>
        <v/>
      </c>
      <c r="K1651" s="4" t="str">
        <f aca="false">IF(AND(M1651=0,P1651=0),"▶ NEXT","")</f>
        <v/>
      </c>
      <c r="L1651" s="4" t="n">
        <f aca="false">INDEX('Master List'!$F$2:$F$2594,O1651)</f>
        <v>1</v>
      </c>
      <c r="M1651" s="4" t="n">
        <f aca="false">INDEX('Master List'!$G$2:$G$2594,O1651)</f>
        <v>0</v>
      </c>
      <c r="N1651" s="4" t="str">
        <f aca="false">IF(K1651="","",A1651)</f>
        <v/>
      </c>
      <c r="O1651" s="4" t="n">
        <v>1413</v>
      </c>
      <c r="P1651" s="4" t="n">
        <f aca="false">IF(A1651=A1650,P1650+1-M1650,0)</f>
        <v>2</v>
      </c>
    </row>
    <row r="1652" customFormat="false" ht="15" hidden="false" customHeight="false" outlineLevel="0" collapsed="false">
      <c r="A1652" s="29" t="s">
        <v>4145</v>
      </c>
      <c r="B1652" s="29" t="s">
        <v>52</v>
      </c>
      <c r="C1652" s="29" t="s">
        <v>98</v>
      </c>
      <c r="D1652" s="29" t="s">
        <v>4146</v>
      </c>
      <c r="E1652" s="4" t="n">
        <v>4</v>
      </c>
      <c r="F1652" s="4" t="s">
        <v>213</v>
      </c>
      <c r="G1652" s="4" t="s">
        <v>1934</v>
      </c>
      <c r="H1652" s="4" t="n">
        <v>1956</v>
      </c>
      <c r="I1652" s="4" t="s">
        <v>1447</v>
      </c>
      <c r="J1652" s="25" t="str">
        <f aca="false">IF(M1652=1,"✓","")</f>
        <v/>
      </c>
      <c r="K1652" s="4" t="str">
        <f aca="false">IF(AND(M1652=0,P1652=0),"▶ NEXT","")</f>
        <v/>
      </c>
      <c r="L1652" s="4" t="n">
        <f aca="false">INDEX('Master List'!$F$2:$F$2594,O1652)</f>
        <v>1</v>
      </c>
      <c r="M1652" s="4" t="n">
        <f aca="false">INDEX('Master List'!$G$2:$G$2594,O1652)</f>
        <v>0</v>
      </c>
      <c r="N1652" s="4" t="str">
        <f aca="false">IF(K1652="","",A1652)</f>
        <v/>
      </c>
      <c r="O1652" s="4" t="n">
        <v>2558</v>
      </c>
      <c r="P1652" s="4" t="n">
        <f aca="false">IF(A1652=A1651,P1651+1-M1651,0)</f>
        <v>3</v>
      </c>
    </row>
    <row r="1653" customFormat="false" ht="15" hidden="false" customHeight="false" outlineLevel="0" collapsed="false">
      <c r="A1653" s="29" t="s">
        <v>4145</v>
      </c>
      <c r="B1653" s="29" t="s">
        <v>52</v>
      </c>
      <c r="C1653" s="29" t="s">
        <v>98</v>
      </c>
      <c r="D1653" s="29" t="s">
        <v>4146</v>
      </c>
      <c r="E1653" s="4" t="n">
        <v>5</v>
      </c>
      <c r="F1653" s="4" t="s">
        <v>213</v>
      </c>
      <c r="G1653" s="4" t="s">
        <v>701</v>
      </c>
      <c r="H1653" s="4" t="n">
        <v>1956</v>
      </c>
      <c r="I1653" s="4" t="s">
        <v>270</v>
      </c>
      <c r="J1653" s="25" t="str">
        <f aca="false">IF(M1653=1,"✓","")</f>
        <v/>
      </c>
      <c r="K1653" s="4" t="str">
        <f aca="false">IF(AND(M1653=0,P1653=0),"▶ NEXT","")</f>
        <v/>
      </c>
      <c r="L1653" s="4" t="n">
        <f aca="false">INDEX('Master List'!$F$2:$F$2594,O1653)</f>
        <v>3</v>
      </c>
      <c r="M1653" s="4" t="n">
        <f aca="false">INDEX('Master List'!$G$2:$G$2594,O1653)</f>
        <v>0</v>
      </c>
      <c r="N1653" s="4" t="str">
        <f aca="false">IF(K1653="","",A1653)</f>
        <v/>
      </c>
      <c r="O1653" s="4" t="n">
        <v>252</v>
      </c>
      <c r="P1653" s="4" t="n">
        <f aca="false">IF(A1653=A1652,P1652+1-M1652,0)</f>
        <v>4</v>
      </c>
    </row>
    <row r="1654" customFormat="false" ht="15" hidden="false" customHeight="false" outlineLevel="0" collapsed="false">
      <c r="A1654" s="29" t="s">
        <v>4145</v>
      </c>
      <c r="B1654" s="29" t="s">
        <v>52</v>
      </c>
      <c r="C1654" s="29" t="s">
        <v>98</v>
      </c>
      <c r="D1654" s="29" t="s">
        <v>4146</v>
      </c>
      <c r="E1654" s="4" t="n">
        <v>6</v>
      </c>
      <c r="F1654" s="4" t="s">
        <v>213</v>
      </c>
      <c r="G1654" s="4" t="s">
        <v>1956</v>
      </c>
      <c r="H1654" s="4" t="n">
        <v>1958</v>
      </c>
      <c r="I1654" s="4" t="s">
        <v>570</v>
      </c>
      <c r="J1654" s="25" t="str">
        <f aca="false">IF(M1654=1,"✓","")</f>
        <v/>
      </c>
      <c r="K1654" s="4" t="str">
        <f aca="false">IF(AND(M1654=0,P1654=0),"▶ NEXT","")</f>
        <v/>
      </c>
      <c r="L1654" s="4" t="n">
        <f aca="false">INDEX('Master List'!$F$2:$F$2594,O1654)</f>
        <v>1</v>
      </c>
      <c r="M1654" s="4" t="n">
        <f aca="false">INDEX('Master List'!$G$2:$G$2594,O1654)</f>
        <v>0</v>
      </c>
      <c r="N1654" s="4" t="str">
        <f aca="false">IF(K1654="","",A1654)</f>
        <v/>
      </c>
      <c r="O1654" s="4" t="n">
        <v>2106</v>
      </c>
      <c r="P1654" s="4" t="n">
        <f aca="false">IF(A1654=A1653,P1653+1-M1653,0)</f>
        <v>5</v>
      </c>
    </row>
    <row r="1655" customFormat="false" ht="15" hidden="false" customHeight="false" outlineLevel="0" collapsed="false">
      <c r="A1655" s="29" t="s">
        <v>4145</v>
      </c>
      <c r="B1655" s="29" t="s">
        <v>52</v>
      </c>
      <c r="C1655" s="29" t="s">
        <v>98</v>
      </c>
      <c r="D1655" s="29" t="s">
        <v>4146</v>
      </c>
      <c r="E1655" s="4" t="n">
        <v>7</v>
      </c>
      <c r="F1655" s="4" t="s">
        <v>213</v>
      </c>
      <c r="G1655" s="4" t="s">
        <v>311</v>
      </c>
      <c r="H1655" s="4" t="n">
        <v>1974</v>
      </c>
      <c r="I1655" s="4" t="s">
        <v>312</v>
      </c>
      <c r="J1655" s="25" t="str">
        <f aca="false">IF(M1655=1,"✓","")</f>
        <v/>
      </c>
      <c r="K1655" s="4" t="str">
        <f aca="false">IF(AND(M1655=0,P1655=0),"▶ NEXT","")</f>
        <v/>
      </c>
      <c r="L1655" s="4" t="n">
        <f aca="false">INDEX('Master List'!$F$2:$F$2594,O1655)</f>
        <v>4</v>
      </c>
      <c r="M1655" s="4" t="n">
        <f aca="false">INDEX('Master List'!$G$2:$G$2594,O1655)</f>
        <v>0</v>
      </c>
      <c r="N1655" s="4" t="str">
        <f aca="false">IF(K1655="","",A1655)</f>
        <v/>
      </c>
      <c r="O1655" s="4" t="n">
        <v>62</v>
      </c>
      <c r="P1655" s="4" t="n">
        <f aca="false">IF(A1655=A1654,P1654+1-M1654,0)</f>
        <v>6</v>
      </c>
    </row>
    <row r="1656" customFormat="false" ht="15" hidden="false" customHeight="false" outlineLevel="0" collapsed="false">
      <c r="A1656" s="29" t="s">
        <v>4145</v>
      </c>
      <c r="B1656" s="29" t="s">
        <v>52</v>
      </c>
      <c r="C1656" s="29" t="s">
        <v>98</v>
      </c>
      <c r="D1656" s="29" t="s">
        <v>4146</v>
      </c>
      <c r="E1656" s="4" t="n">
        <v>8</v>
      </c>
      <c r="F1656" s="4" t="s">
        <v>213</v>
      </c>
      <c r="G1656" s="4" t="s">
        <v>1162</v>
      </c>
      <c r="H1656" s="4" t="n">
        <v>2002</v>
      </c>
      <c r="I1656" s="4" t="s">
        <v>718</v>
      </c>
      <c r="J1656" s="25" t="str">
        <f aca="false">IF(M1656=1,"✓","")</f>
        <v/>
      </c>
      <c r="K1656" s="4" t="str">
        <f aca="false">IF(AND(M1656=0,P1656=0),"▶ NEXT","")</f>
        <v/>
      </c>
      <c r="L1656" s="4" t="n">
        <f aca="false">INDEX('Master List'!$F$2:$F$2594,O1656)</f>
        <v>2</v>
      </c>
      <c r="M1656" s="4" t="n">
        <f aca="false">INDEX('Master List'!$G$2:$G$2594,O1656)</f>
        <v>0</v>
      </c>
      <c r="N1656" s="4" t="str">
        <f aca="false">IF(K1656="","",A1656)</f>
        <v/>
      </c>
      <c r="O1656" s="4" t="n">
        <v>785</v>
      </c>
      <c r="P1656" s="4" t="n">
        <f aca="false">IF(A1656=A1655,P1655+1-M1655,0)</f>
        <v>7</v>
      </c>
    </row>
    <row r="1657" customFormat="false" ht="15" hidden="false" customHeight="false" outlineLevel="0" collapsed="false">
      <c r="A1657" s="29" t="s">
        <v>4145</v>
      </c>
      <c r="B1657" s="29" t="s">
        <v>52</v>
      </c>
      <c r="C1657" s="29" t="s">
        <v>98</v>
      </c>
      <c r="D1657" s="29" t="s">
        <v>4146</v>
      </c>
      <c r="E1657" s="4" t="n">
        <v>9</v>
      </c>
      <c r="F1657" s="4" t="s">
        <v>213</v>
      </c>
      <c r="G1657" s="4" t="s">
        <v>717</v>
      </c>
      <c r="H1657" s="4" t="n">
        <v>2015</v>
      </c>
      <c r="I1657" s="4" t="s">
        <v>718</v>
      </c>
      <c r="J1657" s="25" t="str">
        <f aca="false">IF(M1657=1,"✓","")</f>
        <v/>
      </c>
      <c r="K1657" s="4" t="str">
        <f aca="false">IF(AND(M1657=0,P1657=0),"▶ NEXT","")</f>
        <v/>
      </c>
      <c r="L1657" s="4" t="n">
        <f aca="false">INDEX('Master List'!$F$2:$F$2594,O1657)</f>
        <v>3</v>
      </c>
      <c r="M1657" s="4" t="n">
        <f aca="false">INDEX('Master List'!$G$2:$G$2594,O1657)</f>
        <v>0</v>
      </c>
      <c r="N1657" s="4" t="str">
        <f aca="false">IF(K1657="","",A1657)</f>
        <v/>
      </c>
      <c r="O1657" s="4" t="n">
        <v>401</v>
      </c>
      <c r="P1657" s="4" t="n">
        <f aca="false">IF(A1657=A1656,P1656+1-M1656,0)</f>
        <v>8</v>
      </c>
    </row>
    <row r="1658" customFormat="false" ht="15" hidden="false" customHeight="false" outlineLevel="0" collapsed="false">
      <c r="A1658" s="29" t="s">
        <v>4145</v>
      </c>
      <c r="B1658" s="29" t="s">
        <v>52</v>
      </c>
      <c r="C1658" s="29" t="s">
        <v>98</v>
      </c>
      <c r="D1658" s="29" t="s">
        <v>4146</v>
      </c>
      <c r="E1658" s="4" t="n">
        <v>10</v>
      </c>
      <c r="F1658" s="4" t="s">
        <v>1327</v>
      </c>
      <c r="G1658" s="4" t="s">
        <v>3384</v>
      </c>
      <c r="H1658" s="4" t="n">
        <v>1956</v>
      </c>
      <c r="I1658" s="4" t="s">
        <v>1447</v>
      </c>
      <c r="J1658" s="25" t="str">
        <f aca="false">IF(M1658=1,"✓","")</f>
        <v/>
      </c>
      <c r="K1658" s="4" t="str">
        <f aca="false">IF(AND(M1658=0,P1658=0),"▶ NEXT","")</f>
        <v/>
      </c>
      <c r="L1658" s="4" t="n">
        <f aca="false">INDEX('Master List'!$F$2:$F$2594,O1658)</f>
        <v>1</v>
      </c>
      <c r="M1658" s="4" t="n">
        <f aca="false">INDEX('Master List'!$G$2:$G$2594,O1658)</f>
        <v>0</v>
      </c>
      <c r="N1658" s="4" t="str">
        <f aca="false">IF(K1658="","",A1658)</f>
        <v/>
      </c>
      <c r="O1658" s="4" t="n">
        <v>2267</v>
      </c>
      <c r="P1658" s="4" t="n">
        <f aca="false">IF(A1658=A1657,P1657+1-M1657,0)</f>
        <v>9</v>
      </c>
    </row>
    <row r="1659" customFormat="false" ht="15" hidden="false" customHeight="false" outlineLevel="0" collapsed="false">
      <c r="A1659" s="29" t="s">
        <v>4145</v>
      </c>
      <c r="B1659" s="29" t="s">
        <v>52</v>
      </c>
      <c r="C1659" s="29" t="s">
        <v>98</v>
      </c>
      <c r="D1659" s="29" t="s">
        <v>4146</v>
      </c>
      <c r="E1659" s="4" t="n">
        <v>11</v>
      </c>
      <c r="F1659" s="4" t="s">
        <v>1327</v>
      </c>
      <c r="G1659" s="4" t="s">
        <v>3388</v>
      </c>
      <c r="H1659" s="4" t="n">
        <v>1957</v>
      </c>
      <c r="I1659" s="4" t="s">
        <v>1447</v>
      </c>
      <c r="J1659" s="25" t="str">
        <f aca="false">IF(M1659=1,"✓","")</f>
        <v/>
      </c>
      <c r="K1659" s="4" t="str">
        <f aca="false">IF(AND(M1659=0,P1659=0),"▶ NEXT","")</f>
        <v/>
      </c>
      <c r="L1659" s="4" t="n">
        <f aca="false">INDEX('Master List'!$F$2:$F$2594,O1659)</f>
        <v>1</v>
      </c>
      <c r="M1659" s="4" t="n">
        <f aca="false">INDEX('Master List'!$G$2:$G$2594,O1659)</f>
        <v>0</v>
      </c>
      <c r="N1659" s="4" t="str">
        <f aca="false">IF(K1659="","",A1659)</f>
        <v/>
      </c>
      <c r="O1659" s="4" t="n">
        <v>2244</v>
      </c>
      <c r="P1659" s="4" t="n">
        <f aca="false">IF(A1659=A1658,P1658+1-M1658,0)</f>
        <v>10</v>
      </c>
    </row>
    <row r="1660" customFormat="false" ht="15" hidden="false" customHeight="false" outlineLevel="0" collapsed="false">
      <c r="A1660" s="29" t="s">
        <v>4147</v>
      </c>
      <c r="B1660" s="29" t="s">
        <v>52</v>
      </c>
      <c r="C1660" s="29" t="s">
        <v>98</v>
      </c>
      <c r="D1660" s="29" t="s">
        <v>4148</v>
      </c>
      <c r="E1660" s="4" t="n">
        <v>1</v>
      </c>
      <c r="F1660" s="4" t="s">
        <v>144</v>
      </c>
      <c r="G1660" s="7" t="s">
        <v>1438</v>
      </c>
      <c r="H1660" s="4" t="n">
        <v>1937</v>
      </c>
      <c r="I1660" s="4" t="s">
        <v>535</v>
      </c>
      <c r="J1660" s="25" t="str">
        <f aca="false">IF(M1660=1,"✓","")</f>
        <v/>
      </c>
      <c r="K1660" s="4" t="str">
        <f aca="false">IF(AND(M1660=0,P1660=0),"▶ NEXT","")</f>
        <v>▶ NEXT</v>
      </c>
      <c r="L1660" s="4" t="n">
        <f aca="false">INDEX('Master List'!$F$2:$F$2594,O1660)</f>
        <v>1</v>
      </c>
      <c r="M1660" s="4" t="n">
        <f aca="false">INDEX('Master List'!$G$2:$G$2594,O1660)</f>
        <v>0</v>
      </c>
      <c r="N1660" s="4" t="str">
        <f aca="false">IF(K1660="","",A1660)</f>
        <v>N137</v>
      </c>
      <c r="O1660" s="4" t="n">
        <v>2155</v>
      </c>
      <c r="P1660" s="4" t="n">
        <f aca="false">IF(A1660=A1659,P1659+1-M1659,0)</f>
        <v>0</v>
      </c>
    </row>
    <row r="1661" customFormat="false" ht="15" hidden="false" customHeight="false" outlineLevel="0" collapsed="false">
      <c r="A1661" s="29" t="s">
        <v>4147</v>
      </c>
      <c r="B1661" s="29" t="s">
        <v>52</v>
      </c>
      <c r="C1661" s="29" t="s">
        <v>98</v>
      </c>
      <c r="D1661" s="29" t="s">
        <v>4148</v>
      </c>
      <c r="E1661" s="4" t="n">
        <v>2</v>
      </c>
      <c r="F1661" s="4" t="s">
        <v>144</v>
      </c>
      <c r="G1661" s="7" t="s">
        <v>1442</v>
      </c>
      <c r="H1661" s="4" t="n">
        <v>1942</v>
      </c>
      <c r="I1661" s="4" t="s">
        <v>1443</v>
      </c>
      <c r="J1661" s="25" t="str">
        <f aca="false">IF(M1661=1,"✓","")</f>
        <v/>
      </c>
      <c r="K1661" s="4" t="str">
        <f aca="false">IF(AND(M1661=0,P1661=0),"▶ NEXT","")</f>
        <v/>
      </c>
      <c r="L1661" s="4" t="n">
        <f aca="false">INDEX('Master List'!$F$2:$F$2594,O1661)</f>
        <v>1</v>
      </c>
      <c r="M1661" s="4" t="n">
        <f aca="false">INDEX('Master List'!$G$2:$G$2594,O1661)</f>
        <v>0</v>
      </c>
      <c r="N1661" s="4" t="str">
        <f aca="false">IF(K1661="","",A1661)</f>
        <v/>
      </c>
      <c r="O1661" s="4" t="n">
        <v>1641</v>
      </c>
      <c r="P1661" s="4" t="n">
        <f aca="false">IF(A1661=A1660,P1660+1-M1660,0)</f>
        <v>1</v>
      </c>
    </row>
    <row r="1662" customFormat="false" ht="15" hidden="false" customHeight="false" outlineLevel="0" collapsed="false">
      <c r="A1662" s="29" t="s">
        <v>4147</v>
      </c>
      <c r="B1662" s="29" t="s">
        <v>52</v>
      </c>
      <c r="C1662" s="29" t="s">
        <v>98</v>
      </c>
      <c r="D1662" s="29" t="s">
        <v>4148</v>
      </c>
      <c r="E1662" s="4" t="n">
        <v>3</v>
      </c>
      <c r="F1662" s="4" t="s">
        <v>213</v>
      </c>
      <c r="G1662" s="4" t="s">
        <v>1855</v>
      </c>
      <c r="H1662" s="4" t="n">
        <v>1948</v>
      </c>
      <c r="I1662" s="4" t="s">
        <v>1856</v>
      </c>
      <c r="J1662" s="25" t="str">
        <f aca="false">IF(M1662=1,"✓","")</f>
        <v/>
      </c>
      <c r="K1662" s="4" t="str">
        <f aca="false">IF(AND(M1662=0,P1662=0),"▶ NEXT","")</f>
        <v/>
      </c>
      <c r="L1662" s="4" t="n">
        <f aca="false">INDEX('Master List'!$F$2:$F$2594,O1662)</f>
        <v>1</v>
      </c>
      <c r="M1662" s="4" t="n">
        <f aca="false">INDEX('Master List'!$G$2:$G$2594,O1662)</f>
        <v>0</v>
      </c>
      <c r="N1662" s="4" t="str">
        <f aca="false">IF(K1662="","",A1662)</f>
        <v/>
      </c>
      <c r="O1662" s="4" t="n">
        <v>1326</v>
      </c>
      <c r="P1662" s="4" t="n">
        <f aca="false">IF(A1662=A1661,P1661+1-M1661,0)</f>
        <v>2</v>
      </c>
    </row>
    <row r="1663" customFormat="false" ht="15" hidden="false" customHeight="false" outlineLevel="0" collapsed="false">
      <c r="A1663" s="29" t="s">
        <v>4147</v>
      </c>
      <c r="B1663" s="29" t="s">
        <v>52</v>
      </c>
      <c r="C1663" s="29" t="s">
        <v>98</v>
      </c>
      <c r="D1663" s="29" t="s">
        <v>4148</v>
      </c>
      <c r="E1663" s="4" t="n">
        <v>4</v>
      </c>
      <c r="F1663" s="4" t="s">
        <v>213</v>
      </c>
      <c r="G1663" s="4" t="s">
        <v>1818</v>
      </c>
      <c r="H1663" s="4" t="n">
        <v>1944</v>
      </c>
      <c r="I1663" s="4" t="s">
        <v>537</v>
      </c>
      <c r="J1663" s="25" t="str">
        <f aca="false">IF(M1663=1,"✓","")</f>
        <v/>
      </c>
      <c r="K1663" s="4" t="str">
        <f aca="false">IF(AND(M1663=0,P1663=0),"▶ NEXT","")</f>
        <v/>
      </c>
      <c r="L1663" s="4" t="n">
        <f aca="false">INDEX('Master List'!$F$2:$F$2594,O1663)</f>
        <v>1</v>
      </c>
      <c r="M1663" s="4" t="n">
        <f aca="false">INDEX('Master List'!$G$2:$G$2594,O1663)</f>
        <v>0</v>
      </c>
      <c r="N1663" s="4" t="str">
        <f aca="false">IF(K1663="","",A1663)</f>
        <v/>
      </c>
      <c r="O1663" s="4" t="n">
        <v>880</v>
      </c>
      <c r="P1663" s="4" t="n">
        <f aca="false">IF(A1663=A1662,P1662+1-M1662,0)</f>
        <v>3</v>
      </c>
    </row>
    <row r="1664" customFormat="false" ht="15" hidden="false" customHeight="false" outlineLevel="0" collapsed="false">
      <c r="A1664" s="29" t="s">
        <v>4147</v>
      </c>
      <c r="B1664" s="29" t="s">
        <v>52</v>
      </c>
      <c r="C1664" s="29" t="s">
        <v>98</v>
      </c>
      <c r="D1664" s="29" t="s">
        <v>4148</v>
      </c>
      <c r="E1664" s="4" t="n">
        <v>5</v>
      </c>
      <c r="F1664" s="4" t="s">
        <v>213</v>
      </c>
      <c r="G1664" s="4" t="s">
        <v>1829</v>
      </c>
      <c r="H1664" s="4" t="n">
        <v>1945</v>
      </c>
      <c r="I1664" s="4" t="s">
        <v>335</v>
      </c>
      <c r="J1664" s="25" t="str">
        <f aca="false">IF(M1664=1,"✓","")</f>
        <v/>
      </c>
      <c r="K1664" s="4" t="str">
        <f aca="false">IF(AND(M1664=0,P1664=0),"▶ NEXT","")</f>
        <v/>
      </c>
      <c r="L1664" s="4" t="n">
        <f aca="false">INDEX('Master List'!$F$2:$F$2594,O1664)</f>
        <v>1</v>
      </c>
      <c r="M1664" s="4" t="n">
        <f aca="false">INDEX('Master List'!$G$2:$G$2594,O1664)</f>
        <v>0</v>
      </c>
      <c r="N1664" s="4" t="str">
        <f aca="false">IF(K1664="","",A1664)</f>
        <v/>
      </c>
      <c r="O1664" s="4" t="n">
        <v>1500</v>
      </c>
      <c r="P1664" s="4" t="n">
        <f aca="false">IF(A1664=A1663,P1663+1-M1663,0)</f>
        <v>4</v>
      </c>
    </row>
    <row r="1665" customFormat="false" ht="15" hidden="false" customHeight="false" outlineLevel="0" collapsed="false">
      <c r="A1665" s="29" t="s">
        <v>4147</v>
      </c>
      <c r="B1665" s="29" t="s">
        <v>52</v>
      </c>
      <c r="C1665" s="29" t="s">
        <v>98</v>
      </c>
      <c r="D1665" s="29" t="s">
        <v>4148</v>
      </c>
      <c r="E1665" s="4" t="n">
        <v>6</v>
      </c>
      <c r="F1665" s="4" t="s">
        <v>213</v>
      </c>
      <c r="G1665" s="4" t="s">
        <v>404</v>
      </c>
      <c r="H1665" s="4" t="n">
        <v>1945</v>
      </c>
      <c r="I1665" s="4" t="s">
        <v>255</v>
      </c>
      <c r="J1665" s="25" t="str">
        <f aca="false">IF(M1665=1,"✓","")</f>
        <v/>
      </c>
      <c r="K1665" s="4" t="str">
        <f aca="false">IF(AND(M1665=0,P1665=0),"▶ NEXT","")</f>
        <v/>
      </c>
      <c r="L1665" s="4" t="n">
        <f aca="false">INDEX('Master List'!$F$2:$F$2594,O1665)</f>
        <v>3</v>
      </c>
      <c r="M1665" s="4" t="n">
        <f aca="false">INDEX('Master List'!$G$2:$G$2594,O1665)</f>
        <v>0</v>
      </c>
      <c r="N1665" s="4" t="str">
        <f aca="false">IF(K1665="","",A1665)</f>
        <v/>
      </c>
      <c r="O1665" s="4" t="n">
        <v>349</v>
      </c>
      <c r="P1665" s="4" t="n">
        <f aca="false">IF(A1665=A1664,P1664+1-M1664,0)</f>
        <v>5</v>
      </c>
    </row>
    <row r="1666" customFormat="false" ht="15" hidden="false" customHeight="false" outlineLevel="0" collapsed="false">
      <c r="A1666" s="29" t="s">
        <v>4147</v>
      </c>
      <c r="B1666" s="29" t="s">
        <v>52</v>
      </c>
      <c r="C1666" s="29" t="s">
        <v>98</v>
      </c>
      <c r="D1666" s="29" t="s">
        <v>4148</v>
      </c>
      <c r="E1666" s="4" t="n">
        <v>7</v>
      </c>
      <c r="F1666" s="4" t="s">
        <v>213</v>
      </c>
      <c r="G1666" s="4" t="s">
        <v>1870</v>
      </c>
      <c r="H1666" s="4" t="n">
        <v>1949</v>
      </c>
      <c r="I1666" s="4" t="s">
        <v>305</v>
      </c>
      <c r="J1666" s="25" t="str">
        <f aca="false">IF(M1666=1,"✓","")</f>
        <v/>
      </c>
      <c r="K1666" s="4" t="str">
        <f aca="false">IF(AND(M1666=0,P1666=0),"▶ NEXT","")</f>
        <v/>
      </c>
      <c r="L1666" s="4" t="n">
        <f aca="false">INDEX('Master List'!$F$2:$F$2594,O1666)</f>
        <v>1</v>
      </c>
      <c r="M1666" s="4" t="n">
        <f aca="false">INDEX('Master List'!$G$2:$G$2594,O1666)</f>
        <v>0</v>
      </c>
      <c r="N1666" s="4" t="str">
        <f aca="false">IF(K1666="","",A1666)</f>
        <v/>
      </c>
      <c r="O1666" s="4" t="n">
        <v>1018</v>
      </c>
      <c r="P1666" s="4" t="n">
        <f aca="false">IF(A1666=A1665,P1665+1-M1665,0)</f>
        <v>6</v>
      </c>
    </row>
    <row r="1667" customFormat="false" ht="15" hidden="false" customHeight="false" outlineLevel="0" collapsed="false">
      <c r="A1667" s="29" t="s">
        <v>4147</v>
      </c>
      <c r="B1667" s="29" t="s">
        <v>52</v>
      </c>
      <c r="C1667" s="29" t="s">
        <v>98</v>
      </c>
      <c r="D1667" s="29" t="s">
        <v>4148</v>
      </c>
      <c r="E1667" s="4" t="n">
        <v>8</v>
      </c>
      <c r="F1667" s="4" t="s">
        <v>213</v>
      </c>
      <c r="G1667" s="4" t="s">
        <v>1897</v>
      </c>
      <c r="H1667" s="4" t="n">
        <v>1953</v>
      </c>
      <c r="I1667" s="4" t="s">
        <v>1856</v>
      </c>
      <c r="J1667" s="25" t="str">
        <f aca="false">IF(M1667=1,"✓","")</f>
        <v/>
      </c>
      <c r="K1667" s="4" t="str">
        <f aca="false">IF(AND(M1667=0,P1667=0),"▶ NEXT","")</f>
        <v/>
      </c>
      <c r="L1667" s="4" t="n">
        <f aca="false">INDEX('Master List'!$F$2:$F$2594,O1667)</f>
        <v>1</v>
      </c>
      <c r="M1667" s="4" t="n">
        <f aca="false">INDEX('Master List'!$G$2:$G$2594,O1667)</f>
        <v>0</v>
      </c>
      <c r="N1667" s="4" t="str">
        <f aca="false">IF(K1667="","",A1667)</f>
        <v/>
      </c>
      <c r="O1667" s="4" t="n">
        <v>700</v>
      </c>
      <c r="P1667" s="4" t="n">
        <f aca="false">IF(A1667=A1666,P1666+1-M1666,0)</f>
        <v>7</v>
      </c>
    </row>
    <row r="1668" customFormat="false" ht="15" hidden="false" customHeight="false" outlineLevel="0" collapsed="false">
      <c r="A1668" s="29" t="s">
        <v>4147</v>
      </c>
      <c r="B1668" s="29" t="s">
        <v>52</v>
      </c>
      <c r="C1668" s="29" t="s">
        <v>98</v>
      </c>
      <c r="D1668" s="29" t="s">
        <v>4148</v>
      </c>
      <c r="E1668" s="4" t="n">
        <v>9</v>
      </c>
      <c r="F1668" s="4" t="s">
        <v>1327</v>
      </c>
      <c r="G1668" s="4" t="s">
        <v>3311</v>
      </c>
      <c r="H1668" s="4" t="n">
        <v>1932</v>
      </c>
      <c r="I1668" s="4" t="s">
        <v>3312</v>
      </c>
      <c r="J1668" s="25" t="str">
        <f aca="false">IF(M1668=1,"✓","")</f>
        <v/>
      </c>
      <c r="K1668" s="4" t="str">
        <f aca="false">IF(AND(M1668=0,P1668=0),"▶ NEXT","")</f>
        <v/>
      </c>
      <c r="L1668" s="4" t="n">
        <f aca="false">INDEX('Master List'!$F$2:$F$2594,O1668)</f>
        <v>1</v>
      </c>
      <c r="M1668" s="4" t="n">
        <f aca="false">INDEX('Master List'!$G$2:$G$2594,O1668)</f>
        <v>0</v>
      </c>
      <c r="N1668" s="4" t="str">
        <f aca="false">IF(K1668="","",A1668)</f>
        <v/>
      </c>
      <c r="O1668" s="4" t="n">
        <v>163</v>
      </c>
      <c r="P1668" s="4" t="n">
        <f aca="false">IF(A1668=A1667,P1667+1-M1667,0)</f>
        <v>8</v>
      </c>
    </row>
    <row r="1669" customFormat="false" ht="15" hidden="false" customHeight="false" outlineLevel="0" collapsed="false">
      <c r="A1669" s="29" t="s">
        <v>4147</v>
      </c>
      <c r="B1669" s="29" t="s">
        <v>52</v>
      </c>
      <c r="C1669" s="29" t="s">
        <v>98</v>
      </c>
      <c r="D1669" s="29" t="s">
        <v>4148</v>
      </c>
      <c r="E1669" s="4" t="n">
        <v>10</v>
      </c>
      <c r="F1669" s="4" t="s">
        <v>1327</v>
      </c>
      <c r="G1669" s="4" t="s">
        <v>3343</v>
      </c>
      <c r="H1669" s="4" t="n">
        <v>1945</v>
      </c>
      <c r="I1669" s="4" t="s">
        <v>3312</v>
      </c>
      <c r="J1669" s="25" t="str">
        <f aca="false">IF(M1669=1,"✓","")</f>
        <v/>
      </c>
      <c r="K1669" s="4" t="str">
        <f aca="false">IF(AND(M1669=0,P1669=0),"▶ NEXT","")</f>
        <v/>
      </c>
      <c r="L1669" s="4" t="n">
        <f aca="false">INDEX('Master List'!$F$2:$F$2594,O1669)</f>
        <v>1</v>
      </c>
      <c r="M1669" s="4" t="n">
        <f aca="false">INDEX('Master List'!$G$2:$G$2594,O1669)</f>
        <v>0</v>
      </c>
      <c r="N1669" s="4" t="str">
        <f aca="false">IF(K1669="","",A1669)</f>
        <v/>
      </c>
      <c r="O1669" s="4" t="n">
        <v>1314</v>
      </c>
      <c r="P1669" s="4" t="n">
        <f aca="false">IF(A1669=A1668,P1668+1-M1668,0)</f>
        <v>9</v>
      </c>
    </row>
    <row r="1670" customFormat="false" ht="15" hidden="false" customHeight="false" outlineLevel="0" collapsed="false">
      <c r="A1670" s="29" t="s">
        <v>4149</v>
      </c>
      <c r="B1670" s="29" t="s">
        <v>52</v>
      </c>
      <c r="C1670" s="29" t="s">
        <v>98</v>
      </c>
      <c r="D1670" s="29" t="s">
        <v>4150</v>
      </c>
      <c r="E1670" s="4" t="n">
        <v>1</v>
      </c>
      <c r="F1670" s="4" t="s">
        <v>144</v>
      </c>
      <c r="G1670" s="7" t="s">
        <v>536</v>
      </c>
      <c r="H1670" s="4" t="n">
        <v>1940</v>
      </c>
      <c r="I1670" s="4" t="s">
        <v>537</v>
      </c>
      <c r="J1670" s="25" t="str">
        <f aca="false">IF(M1670=1,"✓","")</f>
        <v/>
      </c>
      <c r="K1670" s="4" t="str">
        <f aca="false">IF(AND(M1670=0,P1670=0),"▶ NEXT","")</f>
        <v>▶ NEXT</v>
      </c>
      <c r="L1670" s="4" t="n">
        <f aca="false">INDEX('Master List'!$F$2:$F$2594,O1670)</f>
        <v>3</v>
      </c>
      <c r="M1670" s="4" t="n">
        <f aca="false">INDEX('Master List'!$G$2:$G$2594,O1670)</f>
        <v>0</v>
      </c>
      <c r="N1670" s="4" t="str">
        <f aca="false">IF(K1670="","",A1670)</f>
        <v>N138</v>
      </c>
      <c r="O1670" s="4" t="n">
        <v>1757</v>
      </c>
      <c r="P1670" s="4" t="n">
        <f aca="false">IF(A1670=A1669,P1669+1-M1669,0)</f>
        <v>0</v>
      </c>
    </row>
    <row r="1671" customFormat="false" ht="15" hidden="false" customHeight="false" outlineLevel="0" collapsed="false">
      <c r="A1671" s="29" t="s">
        <v>4149</v>
      </c>
      <c r="B1671" s="29" t="s">
        <v>52</v>
      </c>
      <c r="C1671" s="29" t="s">
        <v>98</v>
      </c>
      <c r="D1671" s="29" t="s">
        <v>4150</v>
      </c>
      <c r="E1671" s="4" t="n">
        <v>2</v>
      </c>
      <c r="F1671" s="4" t="s">
        <v>144</v>
      </c>
      <c r="G1671" s="7" t="s">
        <v>175</v>
      </c>
      <c r="H1671" s="4" t="n">
        <v>1934</v>
      </c>
      <c r="I1671" s="4" t="s">
        <v>176</v>
      </c>
      <c r="J1671" s="25" t="str">
        <f aca="false">IF(M1671=1,"✓","")</f>
        <v/>
      </c>
      <c r="K1671" s="4" t="str">
        <f aca="false">IF(AND(M1671=0,P1671=0),"▶ NEXT","")</f>
        <v/>
      </c>
      <c r="L1671" s="4" t="n">
        <f aca="false">INDEX('Master List'!$F$2:$F$2594,O1671)</f>
        <v>7</v>
      </c>
      <c r="M1671" s="4" t="n">
        <f aca="false">INDEX('Master List'!$G$2:$G$2594,O1671)</f>
        <v>0</v>
      </c>
      <c r="N1671" s="4" t="str">
        <f aca="false">IF(K1671="","",A1671)</f>
        <v/>
      </c>
      <c r="O1671" s="4" t="n">
        <v>1176</v>
      </c>
      <c r="P1671" s="4" t="n">
        <f aca="false">IF(A1671=A1670,P1670+1-M1670,0)</f>
        <v>1</v>
      </c>
    </row>
    <row r="1672" customFormat="false" ht="15" hidden="false" customHeight="false" outlineLevel="0" collapsed="false">
      <c r="A1672" s="29" t="s">
        <v>4149</v>
      </c>
      <c r="B1672" s="29" t="s">
        <v>52</v>
      </c>
      <c r="C1672" s="29" t="s">
        <v>98</v>
      </c>
      <c r="D1672" s="29" t="s">
        <v>4150</v>
      </c>
      <c r="E1672" s="4" t="n">
        <v>3</v>
      </c>
      <c r="F1672" s="4" t="s">
        <v>213</v>
      </c>
      <c r="G1672" s="4" t="s">
        <v>1273</v>
      </c>
      <c r="H1672" s="4" t="n">
        <v>1937</v>
      </c>
      <c r="I1672" s="4" t="s">
        <v>450</v>
      </c>
      <c r="J1672" s="25" t="str">
        <f aca="false">IF(M1672=1,"✓","")</f>
        <v/>
      </c>
      <c r="K1672" s="4" t="str">
        <f aca="false">IF(AND(M1672=0,P1672=0),"▶ NEXT","")</f>
        <v/>
      </c>
      <c r="L1672" s="4" t="n">
        <f aca="false">INDEX('Master List'!$F$2:$F$2594,O1672)</f>
        <v>2</v>
      </c>
      <c r="M1672" s="4" t="n">
        <f aca="false">INDEX('Master List'!$G$2:$G$2594,O1672)</f>
        <v>0</v>
      </c>
      <c r="N1672" s="4" t="str">
        <f aca="false">IF(K1672="","",A1672)</f>
        <v/>
      </c>
      <c r="O1672" s="4" t="n">
        <v>155</v>
      </c>
      <c r="P1672" s="4" t="n">
        <f aca="false">IF(A1672=A1671,P1671+1-M1671,0)</f>
        <v>2</v>
      </c>
    </row>
    <row r="1673" customFormat="false" ht="15" hidden="false" customHeight="false" outlineLevel="0" collapsed="false">
      <c r="A1673" s="29" t="s">
        <v>4149</v>
      </c>
      <c r="B1673" s="29" t="s">
        <v>52</v>
      </c>
      <c r="C1673" s="29" t="s">
        <v>98</v>
      </c>
      <c r="D1673" s="29" t="s">
        <v>4150</v>
      </c>
      <c r="E1673" s="4" t="n">
        <v>4</v>
      </c>
      <c r="F1673" s="4" t="s">
        <v>213</v>
      </c>
      <c r="G1673" s="4" t="s">
        <v>403</v>
      </c>
      <c r="H1673" s="4" t="n">
        <v>1938</v>
      </c>
      <c r="I1673" s="4" t="s">
        <v>168</v>
      </c>
      <c r="J1673" s="25" t="str">
        <f aca="false">IF(M1673=1,"✓","")</f>
        <v/>
      </c>
      <c r="K1673" s="4" t="str">
        <f aca="false">IF(AND(M1673=0,P1673=0),"▶ NEXT","")</f>
        <v/>
      </c>
      <c r="L1673" s="4" t="n">
        <f aca="false">INDEX('Master List'!$F$2:$F$2594,O1673)</f>
        <v>4</v>
      </c>
      <c r="M1673" s="4" t="n">
        <f aca="false">INDEX('Master List'!$G$2:$G$2594,O1673)</f>
        <v>0</v>
      </c>
      <c r="N1673" s="4" t="str">
        <f aca="false">IF(K1673="","",A1673)</f>
        <v/>
      </c>
      <c r="O1673" s="4" t="n">
        <v>353</v>
      </c>
      <c r="P1673" s="4" t="n">
        <f aca="false">IF(A1673=A1672,P1672+1-M1672,0)</f>
        <v>3</v>
      </c>
    </row>
    <row r="1674" customFormat="false" ht="15" hidden="false" customHeight="false" outlineLevel="0" collapsed="false">
      <c r="A1674" s="29" t="s">
        <v>4149</v>
      </c>
      <c r="B1674" s="29" t="s">
        <v>52</v>
      </c>
      <c r="C1674" s="29" t="s">
        <v>98</v>
      </c>
      <c r="D1674" s="29" t="s">
        <v>4150</v>
      </c>
      <c r="E1674" s="4" t="n">
        <v>5</v>
      </c>
      <c r="F1674" s="4" t="s">
        <v>213</v>
      </c>
      <c r="G1674" s="4" t="s">
        <v>167</v>
      </c>
      <c r="H1674" s="4" t="n">
        <v>1940</v>
      </c>
      <c r="I1674" s="4" t="s">
        <v>168</v>
      </c>
      <c r="J1674" s="25" t="str">
        <f aca="false">IF(M1674=1,"✓","")</f>
        <v>✓</v>
      </c>
      <c r="K1674" s="4" t="str">
        <f aca="false">IF(AND(M1674=0,P1674=0),"▶ NEXT","")</f>
        <v/>
      </c>
      <c r="L1674" s="4" t="n">
        <f aca="false">INDEX('Master List'!$F$2:$F$2594,O1674)</f>
        <v>7</v>
      </c>
      <c r="M1674" s="4" t="n">
        <f aca="false">INDEX('Master List'!$G$2:$G$2594,O1674)</f>
        <v>1</v>
      </c>
      <c r="N1674" s="4" t="str">
        <f aca="false">IF(K1674="","",A1674)</f>
        <v/>
      </c>
      <c r="O1674" s="4" t="n">
        <v>1041</v>
      </c>
      <c r="P1674" s="4" t="n">
        <f aca="false">IF(A1674=A1673,P1673+1-M1673,0)</f>
        <v>4</v>
      </c>
    </row>
    <row r="1675" customFormat="false" ht="15" hidden="false" customHeight="false" outlineLevel="0" collapsed="false">
      <c r="A1675" s="29" t="s">
        <v>4149</v>
      </c>
      <c r="B1675" s="29" t="s">
        <v>52</v>
      </c>
      <c r="C1675" s="29" t="s">
        <v>98</v>
      </c>
      <c r="D1675" s="29" t="s">
        <v>4150</v>
      </c>
      <c r="E1675" s="4" t="n">
        <v>6</v>
      </c>
      <c r="F1675" s="4" t="s">
        <v>213</v>
      </c>
      <c r="G1675" s="4" t="s">
        <v>431</v>
      </c>
      <c r="H1675" s="4" t="n">
        <v>1941</v>
      </c>
      <c r="I1675" s="4" t="s">
        <v>250</v>
      </c>
      <c r="J1675" s="25" t="str">
        <f aca="false">IF(M1675=1,"✓","")</f>
        <v/>
      </c>
      <c r="K1675" s="4" t="str">
        <f aca="false">IF(AND(M1675=0,P1675=0),"▶ NEXT","")</f>
        <v/>
      </c>
      <c r="L1675" s="4" t="n">
        <f aca="false">INDEX('Master List'!$F$2:$F$2594,O1675)</f>
        <v>4</v>
      </c>
      <c r="M1675" s="4" t="n">
        <f aca="false">INDEX('Master List'!$G$2:$G$2594,O1675)</f>
        <v>0</v>
      </c>
      <c r="N1675" s="4" t="str">
        <f aca="false">IF(K1675="","",A1675)</f>
        <v/>
      </c>
      <c r="O1675" s="4" t="n">
        <v>1279</v>
      </c>
      <c r="P1675" s="4" t="n">
        <f aca="false">IF(A1675=A1674,P1674+1-M1674,0)</f>
        <v>4</v>
      </c>
    </row>
    <row r="1676" customFormat="false" ht="15" hidden="false" customHeight="false" outlineLevel="0" collapsed="false">
      <c r="A1676" s="29" t="s">
        <v>4149</v>
      </c>
      <c r="B1676" s="29" t="s">
        <v>52</v>
      </c>
      <c r="C1676" s="29" t="s">
        <v>98</v>
      </c>
      <c r="D1676" s="29" t="s">
        <v>4150</v>
      </c>
      <c r="E1676" s="4" t="n">
        <v>7</v>
      </c>
      <c r="F1676" s="4" t="s">
        <v>213</v>
      </c>
      <c r="G1676" s="4" t="s">
        <v>1871</v>
      </c>
      <c r="H1676" s="4" t="n">
        <v>1949</v>
      </c>
      <c r="I1676" s="4" t="s">
        <v>537</v>
      </c>
      <c r="J1676" s="25" t="str">
        <f aca="false">IF(M1676=1,"✓","")</f>
        <v/>
      </c>
      <c r="K1676" s="4" t="str">
        <f aca="false">IF(AND(M1676=0,P1676=0),"▶ NEXT","")</f>
        <v/>
      </c>
      <c r="L1676" s="4" t="n">
        <f aca="false">INDEX('Master List'!$F$2:$F$2594,O1676)</f>
        <v>1</v>
      </c>
      <c r="M1676" s="4" t="n">
        <f aca="false">INDEX('Master List'!$G$2:$G$2594,O1676)</f>
        <v>0</v>
      </c>
      <c r="N1676" s="4" t="str">
        <f aca="false">IF(K1676="","",A1676)</f>
        <v/>
      </c>
      <c r="O1676" s="4" t="n">
        <v>41</v>
      </c>
      <c r="P1676" s="4" t="n">
        <f aca="false">IF(A1676=A1675,P1675+1-M1675,0)</f>
        <v>5</v>
      </c>
    </row>
    <row r="1677" customFormat="false" ht="15" hidden="false" customHeight="false" outlineLevel="0" collapsed="false">
      <c r="A1677" s="29" t="s">
        <v>4149</v>
      </c>
      <c r="B1677" s="29" t="s">
        <v>52</v>
      </c>
      <c r="C1677" s="29" t="s">
        <v>98</v>
      </c>
      <c r="D1677" s="29" t="s">
        <v>4150</v>
      </c>
      <c r="E1677" s="4" t="n">
        <v>8</v>
      </c>
      <c r="F1677" s="4" t="s">
        <v>1327</v>
      </c>
      <c r="G1677" s="4" t="s">
        <v>1421</v>
      </c>
      <c r="H1677" s="4" t="n">
        <v>2019</v>
      </c>
      <c r="I1677" s="4" t="s">
        <v>870</v>
      </c>
      <c r="J1677" s="25" t="str">
        <f aca="false">IF(M1677=1,"✓","")</f>
        <v>✓</v>
      </c>
      <c r="K1677" s="4" t="str">
        <f aca="false">IF(AND(M1677=0,P1677=0),"▶ NEXT","")</f>
        <v/>
      </c>
      <c r="L1677" s="4" t="n">
        <f aca="false">INDEX('Master List'!$F$2:$F$2594,O1677)</f>
        <v>2</v>
      </c>
      <c r="M1677" s="4" t="n">
        <f aca="false">INDEX('Master List'!$G$2:$G$2594,O1677)</f>
        <v>1</v>
      </c>
      <c r="N1677" s="4" t="str">
        <f aca="false">IF(K1677="","",A1677)</f>
        <v/>
      </c>
      <c r="O1677" s="4" t="n">
        <v>1452</v>
      </c>
      <c r="P1677" s="4" t="n">
        <f aca="false">IF(A1677=A1676,P1676+1-M1676,0)</f>
        <v>6</v>
      </c>
    </row>
    <row r="1678" customFormat="false" ht="15" hidden="false" customHeight="false" outlineLevel="0" collapsed="false">
      <c r="A1678" s="29" t="s">
        <v>4149</v>
      </c>
      <c r="B1678" s="29" t="s">
        <v>52</v>
      </c>
      <c r="C1678" s="29" t="s">
        <v>98</v>
      </c>
      <c r="D1678" s="29" t="s">
        <v>4150</v>
      </c>
      <c r="E1678" s="4" t="n">
        <v>9</v>
      </c>
      <c r="F1678" s="4" t="s">
        <v>1327</v>
      </c>
      <c r="G1678" s="4" t="s">
        <v>446</v>
      </c>
      <c r="H1678" s="4" t="n">
        <v>2023</v>
      </c>
      <c r="I1678" s="4" t="s">
        <v>447</v>
      </c>
      <c r="J1678" s="25" t="str">
        <f aca="false">IF(M1678=1,"✓","")</f>
        <v/>
      </c>
      <c r="K1678" s="4" t="str">
        <f aca="false">IF(AND(M1678=0,P1678=0),"▶ NEXT","")</f>
        <v/>
      </c>
      <c r="L1678" s="4" t="n">
        <f aca="false">INDEX('Master List'!$F$2:$F$2594,O1678)</f>
        <v>4</v>
      </c>
      <c r="M1678" s="4" t="n">
        <f aca="false">INDEX('Master List'!$G$2:$G$2594,O1678)</f>
        <v>0</v>
      </c>
      <c r="N1678" s="4" t="str">
        <f aca="false">IF(K1678="","",A1678)</f>
        <v/>
      </c>
      <c r="O1678" s="4" t="n">
        <v>98</v>
      </c>
      <c r="P1678" s="4" t="n">
        <f aca="false">IF(A1678=A1677,P1677+1-M1677,0)</f>
        <v>6</v>
      </c>
    </row>
    <row r="1679" customFormat="false" ht="15" hidden="false" customHeight="false" outlineLevel="0" collapsed="false">
      <c r="A1679" s="29" t="s">
        <v>4151</v>
      </c>
      <c r="B1679" s="29" t="s">
        <v>52</v>
      </c>
      <c r="C1679" s="29" t="s">
        <v>98</v>
      </c>
      <c r="D1679" s="29" t="s">
        <v>4152</v>
      </c>
      <c r="E1679" s="4" t="n">
        <v>1</v>
      </c>
      <c r="F1679" s="4" t="s">
        <v>144</v>
      </c>
      <c r="G1679" s="7" t="s">
        <v>347</v>
      </c>
      <c r="H1679" s="4" t="n">
        <v>1940</v>
      </c>
      <c r="I1679" s="4" t="s">
        <v>348</v>
      </c>
      <c r="J1679" s="25" t="str">
        <f aca="false">IF(M1679=1,"✓","")</f>
        <v/>
      </c>
      <c r="K1679" s="4" t="str">
        <f aca="false">IF(AND(M1679=0,P1679=0),"▶ NEXT","")</f>
        <v>▶ NEXT</v>
      </c>
      <c r="L1679" s="4" t="n">
        <f aca="false">INDEX('Master List'!$F$2:$F$2594,O1679)</f>
        <v>4</v>
      </c>
      <c r="M1679" s="4" t="n">
        <f aca="false">INDEX('Master List'!$G$2:$G$2594,O1679)</f>
        <v>0</v>
      </c>
      <c r="N1679" s="4" t="str">
        <f aca="false">IF(K1679="","",A1679)</f>
        <v>N139</v>
      </c>
      <c r="O1679" s="4" t="n">
        <v>2055</v>
      </c>
      <c r="P1679" s="4" t="n">
        <f aca="false">IF(A1679=A1678,P1678+1-M1678,0)</f>
        <v>0</v>
      </c>
    </row>
    <row r="1680" customFormat="false" ht="15" hidden="false" customHeight="false" outlineLevel="0" collapsed="false">
      <c r="A1680" s="29" t="s">
        <v>4151</v>
      </c>
      <c r="B1680" s="29" t="s">
        <v>52</v>
      </c>
      <c r="C1680" s="29" t="s">
        <v>98</v>
      </c>
      <c r="D1680" s="29" t="s">
        <v>4152</v>
      </c>
      <c r="E1680" s="4" t="n">
        <v>2</v>
      </c>
      <c r="F1680" s="4" t="s">
        <v>144</v>
      </c>
      <c r="G1680" s="7" t="s">
        <v>821</v>
      </c>
      <c r="H1680" s="4" t="n">
        <v>1989</v>
      </c>
      <c r="I1680" s="4" t="s">
        <v>822</v>
      </c>
      <c r="J1680" s="25" t="str">
        <f aca="false">IF(M1680=1,"✓","")</f>
        <v/>
      </c>
      <c r="K1680" s="4" t="str">
        <f aca="false">IF(AND(M1680=0,P1680=0),"▶ NEXT","")</f>
        <v/>
      </c>
      <c r="L1680" s="4" t="n">
        <f aca="false">INDEX('Master List'!$F$2:$F$2594,O1680)</f>
        <v>2</v>
      </c>
      <c r="M1680" s="4" t="n">
        <f aca="false">INDEX('Master List'!$G$2:$G$2594,O1680)</f>
        <v>0</v>
      </c>
      <c r="N1680" s="4" t="str">
        <f aca="false">IF(K1680="","",A1680)</f>
        <v/>
      </c>
      <c r="O1680" s="4" t="n">
        <v>2493</v>
      </c>
      <c r="P1680" s="4" t="n">
        <f aca="false">IF(A1680=A1679,P1679+1-M1679,0)</f>
        <v>1</v>
      </c>
    </row>
    <row r="1681" customFormat="false" ht="15" hidden="false" customHeight="false" outlineLevel="0" collapsed="false">
      <c r="A1681" s="29" t="s">
        <v>4151</v>
      </c>
      <c r="B1681" s="29" t="s">
        <v>52</v>
      </c>
      <c r="C1681" s="29" t="s">
        <v>98</v>
      </c>
      <c r="D1681" s="29" t="s">
        <v>4152</v>
      </c>
      <c r="E1681" s="4" t="n">
        <v>3</v>
      </c>
      <c r="F1681" s="4" t="s">
        <v>213</v>
      </c>
      <c r="G1681" s="4" t="s">
        <v>942</v>
      </c>
      <c r="H1681" s="4" t="n">
        <v>1953</v>
      </c>
      <c r="I1681" s="4" t="s">
        <v>305</v>
      </c>
      <c r="J1681" s="25" t="str">
        <f aca="false">IF(M1681=1,"✓","")</f>
        <v/>
      </c>
      <c r="K1681" s="4" t="str">
        <f aca="false">IF(AND(M1681=0,P1681=0),"▶ NEXT","")</f>
        <v/>
      </c>
      <c r="L1681" s="4" t="n">
        <f aca="false">INDEX('Master List'!$F$2:$F$2594,O1681)</f>
        <v>2</v>
      </c>
      <c r="M1681" s="4" t="n">
        <f aca="false">INDEX('Master List'!$G$2:$G$2594,O1681)</f>
        <v>0</v>
      </c>
      <c r="N1681" s="4" t="str">
        <f aca="false">IF(K1681="","",A1681)</f>
        <v/>
      </c>
      <c r="O1681" s="4" t="n">
        <v>1927</v>
      </c>
      <c r="P1681" s="4" t="n">
        <f aca="false">IF(A1681=A1680,P1680+1-M1680,0)</f>
        <v>2</v>
      </c>
    </row>
    <row r="1682" customFormat="false" ht="15" hidden="false" customHeight="false" outlineLevel="0" collapsed="false">
      <c r="A1682" s="29" t="s">
        <v>4151</v>
      </c>
      <c r="B1682" s="29" t="s">
        <v>52</v>
      </c>
      <c r="C1682" s="29" t="s">
        <v>98</v>
      </c>
      <c r="D1682" s="29" t="s">
        <v>4152</v>
      </c>
      <c r="E1682" s="4" t="n">
        <v>4</v>
      </c>
      <c r="F1682" s="4" t="s">
        <v>213</v>
      </c>
      <c r="G1682" s="4" t="s">
        <v>1908</v>
      </c>
      <c r="H1682" s="4" t="n">
        <v>1954</v>
      </c>
      <c r="I1682" s="4" t="s">
        <v>200</v>
      </c>
      <c r="J1682" s="25" t="str">
        <f aca="false">IF(M1682=1,"✓","")</f>
        <v/>
      </c>
      <c r="K1682" s="4" t="str">
        <f aca="false">IF(AND(M1682=0,P1682=0),"▶ NEXT","")</f>
        <v/>
      </c>
      <c r="L1682" s="4" t="n">
        <f aca="false">INDEX('Master List'!$F$2:$F$2594,O1682)</f>
        <v>1</v>
      </c>
      <c r="M1682" s="4" t="n">
        <f aca="false">INDEX('Master List'!$G$2:$G$2594,O1682)</f>
        <v>0</v>
      </c>
      <c r="N1682" s="4" t="str">
        <f aca="false">IF(K1682="","",A1682)</f>
        <v/>
      </c>
      <c r="O1682" s="4" t="n">
        <v>1952</v>
      </c>
      <c r="P1682" s="4" t="n">
        <f aca="false">IF(A1682=A1681,P1681+1-M1681,0)</f>
        <v>3</v>
      </c>
    </row>
    <row r="1683" customFormat="false" ht="15" hidden="false" customHeight="false" outlineLevel="0" collapsed="false">
      <c r="A1683" s="29" t="s">
        <v>4151</v>
      </c>
      <c r="B1683" s="29" t="s">
        <v>52</v>
      </c>
      <c r="C1683" s="29" t="s">
        <v>98</v>
      </c>
      <c r="D1683" s="29" t="s">
        <v>4152</v>
      </c>
      <c r="E1683" s="4" t="n">
        <v>5</v>
      </c>
      <c r="F1683" s="4" t="s">
        <v>213</v>
      </c>
      <c r="G1683" s="4" t="s">
        <v>199</v>
      </c>
      <c r="H1683" s="4" t="n">
        <v>1960</v>
      </c>
      <c r="I1683" s="4" t="s">
        <v>200</v>
      </c>
      <c r="J1683" s="25" t="str">
        <f aca="false">IF(M1683=1,"✓","")</f>
        <v/>
      </c>
      <c r="K1683" s="4" t="str">
        <f aca="false">IF(AND(M1683=0,P1683=0),"▶ NEXT","")</f>
        <v/>
      </c>
      <c r="L1683" s="4" t="n">
        <f aca="false">INDEX('Master List'!$F$2:$F$2594,O1683)</f>
        <v>7</v>
      </c>
      <c r="M1683" s="4" t="n">
        <f aca="false">INDEX('Master List'!$G$2:$G$2594,O1683)</f>
        <v>0</v>
      </c>
      <c r="N1683" s="4" t="str">
        <f aca="false">IF(K1683="","",A1683)</f>
        <v/>
      </c>
      <c r="O1683" s="4" t="n">
        <v>120</v>
      </c>
      <c r="P1683" s="4" t="n">
        <f aca="false">IF(A1683=A1682,P1682+1-M1682,0)</f>
        <v>4</v>
      </c>
    </row>
    <row r="1684" customFormat="false" ht="15" hidden="false" customHeight="false" outlineLevel="0" collapsed="false">
      <c r="A1684" s="29" t="s">
        <v>4151</v>
      </c>
      <c r="B1684" s="29" t="s">
        <v>52</v>
      </c>
      <c r="C1684" s="29" t="s">
        <v>98</v>
      </c>
      <c r="D1684" s="29" t="s">
        <v>4152</v>
      </c>
      <c r="E1684" s="4" t="n">
        <v>6</v>
      </c>
      <c r="F1684" s="4" t="s">
        <v>213</v>
      </c>
      <c r="G1684" s="4" t="s">
        <v>603</v>
      </c>
      <c r="H1684" s="4" t="n">
        <v>1977</v>
      </c>
      <c r="I1684" s="4" t="s">
        <v>604</v>
      </c>
      <c r="J1684" s="25" t="str">
        <f aca="false">IF(M1684=1,"✓","")</f>
        <v>✓</v>
      </c>
      <c r="K1684" s="4" t="str">
        <f aca="false">IF(AND(M1684=0,P1684=0),"▶ NEXT","")</f>
        <v/>
      </c>
      <c r="L1684" s="4" t="n">
        <f aca="false">INDEX('Master List'!$F$2:$F$2594,O1684)</f>
        <v>3</v>
      </c>
      <c r="M1684" s="4" t="n">
        <f aca="false">INDEX('Master List'!$G$2:$G$2594,O1684)</f>
        <v>1</v>
      </c>
      <c r="N1684" s="4" t="str">
        <f aca="false">IF(K1684="","",A1684)</f>
        <v/>
      </c>
      <c r="O1684" s="4" t="n">
        <v>112</v>
      </c>
      <c r="P1684" s="4" t="n">
        <f aca="false">IF(A1684=A1683,P1683+1-M1683,0)</f>
        <v>5</v>
      </c>
    </row>
    <row r="1685" customFormat="false" ht="15" hidden="false" customHeight="false" outlineLevel="0" collapsed="false">
      <c r="A1685" s="29" t="s">
        <v>4151</v>
      </c>
      <c r="B1685" s="29" t="s">
        <v>52</v>
      </c>
      <c r="C1685" s="29" t="s">
        <v>98</v>
      </c>
      <c r="D1685" s="29" t="s">
        <v>4152</v>
      </c>
      <c r="E1685" s="4" t="n">
        <v>7</v>
      </c>
      <c r="F1685" s="4" t="s">
        <v>213</v>
      </c>
      <c r="G1685" s="4" t="s">
        <v>2454</v>
      </c>
      <c r="H1685" s="4" t="n">
        <v>1987</v>
      </c>
      <c r="I1685" s="4" t="s">
        <v>2116</v>
      </c>
      <c r="J1685" s="25" t="str">
        <f aca="false">IF(M1685=1,"✓","")</f>
        <v/>
      </c>
      <c r="K1685" s="4" t="str">
        <f aca="false">IF(AND(M1685=0,P1685=0),"▶ NEXT","")</f>
        <v/>
      </c>
      <c r="L1685" s="4" t="n">
        <f aca="false">INDEX('Master List'!$F$2:$F$2594,O1685)</f>
        <v>1</v>
      </c>
      <c r="M1685" s="4" t="n">
        <f aca="false">INDEX('Master List'!$G$2:$G$2594,O1685)</f>
        <v>0</v>
      </c>
      <c r="N1685" s="4" t="str">
        <f aca="false">IF(K1685="","",A1685)</f>
        <v/>
      </c>
      <c r="O1685" s="4" t="n">
        <v>1534</v>
      </c>
      <c r="P1685" s="4" t="n">
        <f aca="false">IF(A1685=A1684,P1684+1-M1684,0)</f>
        <v>5</v>
      </c>
    </row>
    <row r="1686" customFormat="false" ht="15" hidden="false" customHeight="false" outlineLevel="0" collapsed="false">
      <c r="A1686" s="29" t="s">
        <v>4151</v>
      </c>
      <c r="B1686" s="29" t="s">
        <v>52</v>
      </c>
      <c r="C1686" s="29" t="s">
        <v>98</v>
      </c>
      <c r="D1686" s="29" t="s">
        <v>4152</v>
      </c>
      <c r="E1686" s="4" t="n">
        <v>8</v>
      </c>
      <c r="F1686" s="4" t="s">
        <v>213</v>
      </c>
      <c r="G1686" s="4" t="s">
        <v>2566</v>
      </c>
      <c r="H1686" s="4" t="n">
        <v>1993</v>
      </c>
      <c r="I1686" s="4" t="s">
        <v>2567</v>
      </c>
      <c r="J1686" s="25" t="str">
        <f aca="false">IF(M1686=1,"✓","")</f>
        <v>✓</v>
      </c>
      <c r="K1686" s="4" t="str">
        <f aca="false">IF(AND(M1686=0,P1686=0),"▶ NEXT","")</f>
        <v/>
      </c>
      <c r="L1686" s="4" t="n">
        <f aca="false">INDEX('Master List'!$F$2:$F$2594,O1686)</f>
        <v>1</v>
      </c>
      <c r="M1686" s="4" t="n">
        <f aca="false">INDEX('Master List'!$G$2:$G$2594,O1686)</f>
        <v>1</v>
      </c>
      <c r="N1686" s="4" t="str">
        <f aca="false">IF(K1686="","",A1686)</f>
        <v/>
      </c>
      <c r="O1686" s="4" t="n">
        <v>2091</v>
      </c>
      <c r="P1686" s="4" t="n">
        <f aca="false">IF(A1686=A1685,P1685+1-M1685,0)</f>
        <v>6</v>
      </c>
    </row>
    <row r="1687" customFormat="false" ht="15" hidden="false" customHeight="false" outlineLevel="0" collapsed="false">
      <c r="A1687" s="29" t="s">
        <v>4151</v>
      </c>
      <c r="B1687" s="29" t="s">
        <v>52</v>
      </c>
      <c r="C1687" s="29" t="s">
        <v>98</v>
      </c>
      <c r="D1687" s="29" t="s">
        <v>4152</v>
      </c>
      <c r="E1687" s="4" t="n">
        <v>9</v>
      </c>
      <c r="F1687" s="4" t="s">
        <v>213</v>
      </c>
      <c r="G1687" s="4" t="s">
        <v>2611</v>
      </c>
      <c r="H1687" s="4" t="n">
        <v>1995</v>
      </c>
      <c r="I1687" s="4" t="s">
        <v>2612</v>
      </c>
      <c r="J1687" s="25" t="str">
        <f aca="false">IF(M1687=1,"✓","")</f>
        <v/>
      </c>
      <c r="K1687" s="4" t="str">
        <f aca="false">IF(AND(M1687=0,P1687=0),"▶ NEXT","")</f>
        <v/>
      </c>
      <c r="L1687" s="4" t="n">
        <f aca="false">INDEX('Master List'!$F$2:$F$2594,O1687)</f>
        <v>1</v>
      </c>
      <c r="M1687" s="4" t="n">
        <f aca="false">INDEX('Master List'!$G$2:$G$2594,O1687)</f>
        <v>0</v>
      </c>
      <c r="N1687" s="4" t="str">
        <f aca="false">IF(K1687="","",A1687)</f>
        <v/>
      </c>
      <c r="O1687" s="4" t="n">
        <v>488</v>
      </c>
      <c r="P1687" s="4" t="n">
        <f aca="false">IF(A1687=A1686,P1686+1-M1686,0)</f>
        <v>6</v>
      </c>
    </row>
    <row r="1688" customFormat="false" ht="15" hidden="false" customHeight="false" outlineLevel="0" collapsed="false">
      <c r="A1688" s="29" t="s">
        <v>4151</v>
      </c>
      <c r="B1688" s="29" t="s">
        <v>52</v>
      </c>
      <c r="C1688" s="29" t="s">
        <v>98</v>
      </c>
      <c r="D1688" s="29" t="s">
        <v>4152</v>
      </c>
      <c r="E1688" s="4" t="n">
        <v>10</v>
      </c>
      <c r="F1688" s="4" t="s">
        <v>213</v>
      </c>
      <c r="G1688" s="4" t="s">
        <v>2684</v>
      </c>
      <c r="H1688" s="4" t="n">
        <v>1998</v>
      </c>
      <c r="I1688" s="4" t="s">
        <v>2567</v>
      </c>
      <c r="J1688" s="25" t="str">
        <f aca="false">IF(M1688=1,"✓","")</f>
        <v>✓</v>
      </c>
      <c r="K1688" s="4" t="str">
        <f aca="false">IF(AND(M1688=0,P1688=0),"▶ NEXT","")</f>
        <v/>
      </c>
      <c r="L1688" s="4" t="n">
        <f aca="false">INDEX('Master List'!$F$2:$F$2594,O1688)</f>
        <v>1</v>
      </c>
      <c r="M1688" s="4" t="n">
        <f aca="false">INDEX('Master List'!$G$2:$G$2594,O1688)</f>
        <v>1</v>
      </c>
      <c r="N1688" s="4" t="str">
        <f aca="false">IF(K1688="","",A1688)</f>
        <v/>
      </c>
      <c r="O1688" s="4" t="n">
        <v>2573</v>
      </c>
      <c r="P1688" s="4" t="n">
        <f aca="false">IF(A1688=A1687,P1687+1-M1687,0)</f>
        <v>7</v>
      </c>
    </row>
    <row r="1689" customFormat="false" ht="15" hidden="false" customHeight="false" outlineLevel="0" collapsed="false">
      <c r="A1689" s="29" t="s">
        <v>4151</v>
      </c>
      <c r="B1689" s="29" t="s">
        <v>52</v>
      </c>
      <c r="C1689" s="29" t="s">
        <v>98</v>
      </c>
      <c r="D1689" s="29" t="s">
        <v>4152</v>
      </c>
      <c r="E1689" s="4" t="n">
        <v>11</v>
      </c>
      <c r="F1689" s="4" t="s">
        <v>213</v>
      </c>
      <c r="G1689" s="4" t="s">
        <v>3142</v>
      </c>
      <c r="H1689" s="4" t="n">
        <v>2018</v>
      </c>
      <c r="I1689" s="4" t="s">
        <v>3143</v>
      </c>
      <c r="J1689" s="25" t="str">
        <f aca="false">IF(M1689=1,"✓","")</f>
        <v/>
      </c>
      <c r="K1689" s="4" t="str">
        <f aca="false">IF(AND(M1689=0,P1689=0),"▶ NEXT","")</f>
        <v/>
      </c>
      <c r="L1689" s="4" t="n">
        <f aca="false">INDEX('Master List'!$F$2:$F$2594,O1689)</f>
        <v>1</v>
      </c>
      <c r="M1689" s="4" t="n">
        <f aca="false">INDEX('Master List'!$G$2:$G$2594,O1689)</f>
        <v>0</v>
      </c>
      <c r="N1689" s="4" t="str">
        <f aca="false">IF(K1689="","",A1689)</f>
        <v/>
      </c>
      <c r="O1689" s="4" t="n">
        <v>528</v>
      </c>
      <c r="P1689" s="4" t="n">
        <f aca="false">IF(A1689=A1688,P1688+1-M1688,0)</f>
        <v>7</v>
      </c>
    </row>
    <row r="1690" customFormat="false" ht="15" hidden="false" customHeight="false" outlineLevel="0" collapsed="false">
      <c r="A1690" s="29" t="s">
        <v>4151</v>
      </c>
      <c r="B1690" s="29" t="s">
        <v>52</v>
      </c>
      <c r="C1690" s="29" t="s">
        <v>98</v>
      </c>
      <c r="D1690" s="29" t="s">
        <v>4152</v>
      </c>
      <c r="E1690" s="4" t="n">
        <v>12</v>
      </c>
      <c r="F1690" s="4" t="s">
        <v>213</v>
      </c>
      <c r="G1690" s="4" t="s">
        <v>328</v>
      </c>
      <c r="H1690" s="4" t="n">
        <v>2023</v>
      </c>
      <c r="I1690" s="4" t="s">
        <v>329</v>
      </c>
      <c r="J1690" s="25" t="str">
        <f aca="false">IF(M1690=1,"✓","")</f>
        <v/>
      </c>
      <c r="K1690" s="4" t="str">
        <f aca="false">IF(AND(M1690=0,P1690=0),"▶ NEXT","")</f>
        <v/>
      </c>
      <c r="L1690" s="4" t="n">
        <f aca="false">INDEX('Master List'!$F$2:$F$2594,O1690)</f>
        <v>5</v>
      </c>
      <c r="M1690" s="4" t="n">
        <f aca="false">INDEX('Master List'!$G$2:$G$2594,O1690)</f>
        <v>0</v>
      </c>
      <c r="N1690" s="4" t="str">
        <f aca="false">IF(K1690="","",A1690)</f>
        <v/>
      </c>
      <c r="O1690" s="4" t="n">
        <v>1731</v>
      </c>
      <c r="P1690" s="4" t="n">
        <f aca="false">IF(A1690=A1689,P1689+1-M1689,0)</f>
        <v>8</v>
      </c>
    </row>
    <row r="1691" customFormat="false" ht="15" hidden="false" customHeight="false" outlineLevel="0" collapsed="false">
      <c r="A1691" s="29" t="s">
        <v>4151</v>
      </c>
      <c r="B1691" s="29" t="s">
        <v>52</v>
      </c>
      <c r="C1691" s="29" t="s">
        <v>98</v>
      </c>
      <c r="D1691" s="29" t="s">
        <v>4152</v>
      </c>
      <c r="E1691" s="4" t="n">
        <v>13</v>
      </c>
      <c r="F1691" s="4" t="s">
        <v>1327</v>
      </c>
      <c r="G1691" s="4" t="s">
        <v>817</v>
      </c>
      <c r="H1691" s="4" t="n">
        <v>1987</v>
      </c>
      <c r="I1691" s="4" t="s">
        <v>818</v>
      </c>
      <c r="J1691" s="25" t="str">
        <f aca="false">IF(M1691=1,"✓","")</f>
        <v/>
      </c>
      <c r="K1691" s="4" t="str">
        <f aca="false">IF(AND(M1691=0,P1691=0),"▶ NEXT","")</f>
        <v/>
      </c>
      <c r="L1691" s="4" t="n">
        <f aca="false">INDEX('Master List'!$F$2:$F$2594,O1691)</f>
        <v>3</v>
      </c>
      <c r="M1691" s="4" t="n">
        <f aca="false">INDEX('Master List'!$G$2:$G$2594,O1691)</f>
        <v>0</v>
      </c>
      <c r="N1691" s="4" t="str">
        <f aca="false">IF(K1691="","",A1691)</f>
        <v/>
      </c>
      <c r="O1691" s="4" t="n">
        <v>354</v>
      </c>
      <c r="P1691" s="4" t="n">
        <f aca="false">IF(A1691=A1690,P1690+1-M1690,0)</f>
        <v>9</v>
      </c>
    </row>
    <row r="1692" customFormat="false" ht="15" hidden="false" customHeight="false" outlineLevel="0" collapsed="false">
      <c r="A1692" s="29" t="s">
        <v>4151</v>
      </c>
      <c r="B1692" s="29" t="s">
        <v>52</v>
      </c>
      <c r="C1692" s="29" t="s">
        <v>98</v>
      </c>
      <c r="D1692" s="29" t="s">
        <v>4152</v>
      </c>
      <c r="E1692" s="4" t="n">
        <v>14</v>
      </c>
      <c r="F1692" s="4" t="s">
        <v>1327</v>
      </c>
      <c r="G1692" s="4" t="s">
        <v>1375</v>
      </c>
      <c r="H1692" s="4" t="n">
        <v>1989</v>
      </c>
      <c r="I1692" s="4" t="s">
        <v>1376</v>
      </c>
      <c r="J1692" s="25" t="str">
        <f aca="false">IF(M1692=1,"✓","")</f>
        <v/>
      </c>
      <c r="K1692" s="4" t="str">
        <f aca="false">IF(AND(M1692=0,P1692=0),"▶ NEXT","")</f>
        <v/>
      </c>
      <c r="L1692" s="4" t="n">
        <f aca="false">INDEX('Master List'!$F$2:$F$2594,O1692)</f>
        <v>2</v>
      </c>
      <c r="M1692" s="4" t="n">
        <f aca="false">INDEX('Master List'!$G$2:$G$2594,O1692)</f>
        <v>0</v>
      </c>
      <c r="N1692" s="4" t="str">
        <f aca="false">IF(K1692="","",A1692)</f>
        <v/>
      </c>
      <c r="O1692" s="4" t="n">
        <v>1978</v>
      </c>
      <c r="P1692" s="4" t="n">
        <f aca="false">IF(A1692=A1691,P1691+1-M1691,0)</f>
        <v>10</v>
      </c>
    </row>
    <row r="1693" customFormat="false" ht="15" hidden="false" customHeight="false" outlineLevel="0" collapsed="false">
      <c r="A1693" s="29" t="s">
        <v>4153</v>
      </c>
      <c r="B1693" s="29" t="s">
        <v>52</v>
      </c>
      <c r="C1693" s="29" t="s">
        <v>98</v>
      </c>
      <c r="D1693" s="29" t="s">
        <v>4154</v>
      </c>
      <c r="E1693" s="4" t="n">
        <v>1</v>
      </c>
      <c r="F1693" s="4" t="s">
        <v>144</v>
      </c>
      <c r="G1693" s="7" t="s">
        <v>523</v>
      </c>
      <c r="H1693" s="4" t="n">
        <v>2013</v>
      </c>
      <c r="I1693" s="4" t="s">
        <v>320</v>
      </c>
      <c r="J1693" s="25" t="str">
        <f aca="false">IF(M1693=1,"✓","")</f>
        <v>✓</v>
      </c>
      <c r="K1693" s="4" t="str">
        <f aca="false">IF(AND(M1693=0,P1693=0),"▶ NEXT","")</f>
        <v/>
      </c>
      <c r="L1693" s="4" t="n">
        <f aca="false">INDEX('Master List'!$F$2:$F$2594,O1693)</f>
        <v>3</v>
      </c>
      <c r="M1693" s="4" t="n">
        <f aca="false">INDEX('Master List'!$G$2:$G$2594,O1693)</f>
        <v>1</v>
      </c>
      <c r="N1693" s="4" t="str">
        <f aca="false">IF(K1693="","",A1693)</f>
        <v/>
      </c>
      <c r="O1693" s="4" t="n">
        <v>211</v>
      </c>
      <c r="P1693" s="4" t="n">
        <f aca="false">IF(A1693=A1692,P1692+1-M1692,0)</f>
        <v>0</v>
      </c>
    </row>
    <row r="1694" customFormat="false" ht="15" hidden="false" customHeight="false" outlineLevel="0" collapsed="false">
      <c r="A1694" s="29" t="s">
        <v>4153</v>
      </c>
      <c r="B1694" s="29" t="s">
        <v>52</v>
      </c>
      <c r="C1694" s="29" t="s">
        <v>98</v>
      </c>
      <c r="D1694" s="29" t="s">
        <v>4154</v>
      </c>
      <c r="E1694" s="4" t="n">
        <v>2</v>
      </c>
      <c r="F1694" s="4" t="s">
        <v>144</v>
      </c>
      <c r="G1694" s="7" t="s">
        <v>418</v>
      </c>
      <c r="H1694" s="4" t="n">
        <v>1969</v>
      </c>
      <c r="I1694" s="4" t="s">
        <v>419</v>
      </c>
      <c r="J1694" s="25" t="str">
        <f aca="false">IF(M1694=1,"✓","")</f>
        <v/>
      </c>
      <c r="K1694" s="4" t="str">
        <f aca="false">IF(AND(M1694=0,P1694=0),"▶ NEXT","")</f>
        <v>▶ NEXT</v>
      </c>
      <c r="L1694" s="4" t="n">
        <f aca="false">INDEX('Master List'!$F$2:$F$2594,O1694)</f>
        <v>3</v>
      </c>
      <c r="M1694" s="4" t="n">
        <f aca="false">INDEX('Master List'!$G$2:$G$2594,O1694)</f>
        <v>0</v>
      </c>
      <c r="N1694" s="4" t="str">
        <f aca="false">IF(K1694="","",A1694)</f>
        <v>N140</v>
      </c>
      <c r="O1694" s="4" t="n">
        <v>1575</v>
      </c>
      <c r="P1694" s="4" t="n">
        <f aca="false">IF(A1694=A1693,P1693+1-M1693,0)</f>
        <v>0</v>
      </c>
    </row>
    <row r="1695" customFormat="false" ht="15" hidden="false" customHeight="false" outlineLevel="0" collapsed="false">
      <c r="A1695" s="29" t="s">
        <v>4153</v>
      </c>
      <c r="B1695" s="29" t="s">
        <v>52</v>
      </c>
      <c r="C1695" s="29" t="s">
        <v>98</v>
      </c>
      <c r="D1695" s="29" t="s">
        <v>4154</v>
      </c>
      <c r="E1695" s="4" t="n">
        <v>3</v>
      </c>
      <c r="F1695" s="4" t="s">
        <v>213</v>
      </c>
      <c r="G1695" s="4" t="s">
        <v>373</v>
      </c>
      <c r="H1695" s="4" t="n">
        <v>1995</v>
      </c>
      <c r="I1695" s="4" t="s">
        <v>320</v>
      </c>
      <c r="J1695" s="25" t="str">
        <f aca="false">IF(M1695=1,"✓","")</f>
        <v>✓</v>
      </c>
      <c r="K1695" s="4" t="str">
        <f aca="false">IF(AND(M1695=0,P1695=0),"▶ NEXT","")</f>
        <v/>
      </c>
      <c r="L1695" s="4" t="n">
        <f aca="false">INDEX('Master List'!$F$2:$F$2594,O1695)</f>
        <v>4</v>
      </c>
      <c r="M1695" s="4" t="n">
        <f aca="false">INDEX('Master List'!$G$2:$G$2594,O1695)</f>
        <v>1</v>
      </c>
      <c r="N1695" s="4" t="str">
        <f aca="false">IF(K1695="","",A1695)</f>
        <v/>
      </c>
      <c r="O1695" s="4" t="n">
        <v>212</v>
      </c>
      <c r="P1695" s="4" t="n">
        <f aca="false">IF(A1695=A1694,P1694+1-M1694,0)</f>
        <v>1</v>
      </c>
    </row>
    <row r="1696" customFormat="false" ht="15" hidden="false" customHeight="false" outlineLevel="0" collapsed="false">
      <c r="A1696" s="29" t="s">
        <v>4153</v>
      </c>
      <c r="B1696" s="29" t="s">
        <v>52</v>
      </c>
      <c r="C1696" s="29" t="s">
        <v>98</v>
      </c>
      <c r="D1696" s="29" t="s">
        <v>4154</v>
      </c>
      <c r="E1696" s="4" t="n">
        <v>4</v>
      </c>
      <c r="F1696" s="4" t="s">
        <v>213</v>
      </c>
      <c r="G1696" s="4" t="s">
        <v>637</v>
      </c>
      <c r="H1696" s="4" t="n">
        <v>2004</v>
      </c>
      <c r="I1696" s="4" t="s">
        <v>320</v>
      </c>
      <c r="J1696" s="25" t="str">
        <f aca="false">IF(M1696=1,"✓","")</f>
        <v>✓</v>
      </c>
      <c r="K1696" s="4" t="str">
        <f aca="false">IF(AND(M1696=0,P1696=0),"▶ NEXT","")</f>
        <v/>
      </c>
      <c r="L1696" s="4" t="n">
        <f aca="false">INDEX('Master List'!$F$2:$F$2594,O1696)</f>
        <v>3</v>
      </c>
      <c r="M1696" s="4" t="n">
        <f aca="false">INDEX('Master List'!$G$2:$G$2594,O1696)</f>
        <v>1</v>
      </c>
      <c r="N1696" s="4" t="str">
        <f aca="false">IF(K1696="","",A1696)</f>
        <v/>
      </c>
      <c r="O1696" s="4" t="n">
        <v>213</v>
      </c>
      <c r="P1696" s="4" t="n">
        <f aca="false">IF(A1696=A1695,P1695+1-M1695,0)</f>
        <v>1</v>
      </c>
    </row>
    <row r="1697" customFormat="false" ht="15" hidden="false" customHeight="false" outlineLevel="0" collapsed="false">
      <c r="A1697" s="29" t="s">
        <v>4153</v>
      </c>
      <c r="B1697" s="29" t="s">
        <v>52</v>
      </c>
      <c r="C1697" s="29" t="s">
        <v>98</v>
      </c>
      <c r="D1697" s="29" t="s">
        <v>4154</v>
      </c>
      <c r="E1697" s="4" t="n">
        <v>5</v>
      </c>
      <c r="F1697" s="4" t="s">
        <v>213</v>
      </c>
      <c r="G1697" s="4" t="s">
        <v>267</v>
      </c>
      <c r="H1697" s="4" t="n">
        <v>1954</v>
      </c>
      <c r="I1697" s="4" t="s">
        <v>268</v>
      </c>
      <c r="J1697" s="25" t="str">
        <f aca="false">IF(M1697=1,"✓","")</f>
        <v/>
      </c>
      <c r="K1697" s="4" t="str">
        <f aca="false">IF(AND(M1697=0,P1697=0),"▶ NEXT","")</f>
        <v/>
      </c>
      <c r="L1697" s="4" t="n">
        <f aca="false">INDEX('Master List'!$F$2:$F$2594,O1697)</f>
        <v>6</v>
      </c>
      <c r="M1697" s="4" t="n">
        <f aca="false">INDEX('Master List'!$G$2:$G$2594,O1697)</f>
        <v>0</v>
      </c>
      <c r="N1697" s="4" t="str">
        <f aca="false">IF(K1697="","",A1697)</f>
        <v/>
      </c>
      <c r="O1697" s="4" t="n">
        <v>1219</v>
      </c>
      <c r="P1697" s="4" t="n">
        <f aca="false">IF(A1697=A1696,P1696+1-M1696,0)</f>
        <v>1</v>
      </c>
    </row>
    <row r="1698" customFormat="false" ht="15" hidden="false" customHeight="false" outlineLevel="0" collapsed="false">
      <c r="A1698" s="29" t="s">
        <v>4153</v>
      </c>
      <c r="B1698" s="29" t="s">
        <v>52</v>
      </c>
      <c r="C1698" s="29" t="s">
        <v>98</v>
      </c>
      <c r="D1698" s="29" t="s">
        <v>4154</v>
      </c>
      <c r="E1698" s="4" t="n">
        <v>6</v>
      </c>
      <c r="F1698" s="4" t="s">
        <v>213</v>
      </c>
      <c r="G1698" s="4" t="s">
        <v>1010</v>
      </c>
      <c r="H1698" s="4" t="n">
        <v>1970</v>
      </c>
      <c r="I1698" s="4" t="s">
        <v>419</v>
      </c>
      <c r="J1698" s="25" t="str">
        <f aca="false">IF(M1698=1,"✓","")</f>
        <v/>
      </c>
      <c r="K1698" s="4" t="str">
        <f aca="false">IF(AND(M1698=0,P1698=0),"▶ NEXT","")</f>
        <v/>
      </c>
      <c r="L1698" s="4" t="n">
        <f aca="false">INDEX('Master List'!$F$2:$F$2594,O1698)</f>
        <v>2</v>
      </c>
      <c r="M1698" s="4" t="n">
        <f aca="false">INDEX('Master List'!$G$2:$G$2594,O1698)</f>
        <v>0</v>
      </c>
      <c r="N1698" s="4" t="str">
        <f aca="false">IF(K1698="","",A1698)</f>
        <v/>
      </c>
      <c r="O1698" s="4" t="n">
        <v>471</v>
      </c>
      <c r="P1698" s="4" t="n">
        <f aca="false">IF(A1698=A1697,P1697+1-M1697,0)</f>
        <v>2</v>
      </c>
    </row>
    <row r="1699" customFormat="false" ht="15" hidden="false" customHeight="false" outlineLevel="0" collapsed="false">
      <c r="A1699" s="29" t="s">
        <v>4153</v>
      </c>
      <c r="B1699" s="29" t="s">
        <v>52</v>
      </c>
      <c r="C1699" s="29" t="s">
        <v>98</v>
      </c>
      <c r="D1699" s="29" t="s">
        <v>4154</v>
      </c>
      <c r="E1699" s="4" t="n">
        <v>7</v>
      </c>
      <c r="F1699" s="4" t="s">
        <v>213</v>
      </c>
      <c r="G1699" s="4" t="s">
        <v>1077</v>
      </c>
      <c r="H1699" s="4" t="n">
        <v>1986</v>
      </c>
      <c r="I1699" s="4" t="s">
        <v>419</v>
      </c>
      <c r="J1699" s="25" t="str">
        <f aca="false">IF(M1699=1,"✓","")</f>
        <v/>
      </c>
      <c r="K1699" s="4" t="str">
        <f aca="false">IF(AND(M1699=0,P1699=0),"▶ NEXT","")</f>
        <v/>
      </c>
      <c r="L1699" s="4" t="n">
        <f aca="false">INDEX('Master List'!$F$2:$F$2594,O1699)</f>
        <v>2</v>
      </c>
      <c r="M1699" s="4" t="n">
        <f aca="false">INDEX('Master List'!$G$2:$G$2594,O1699)</f>
        <v>0</v>
      </c>
      <c r="N1699" s="4" t="str">
        <f aca="false">IF(K1699="","",A1699)</f>
        <v/>
      </c>
      <c r="O1699" s="4" t="n">
        <v>960</v>
      </c>
      <c r="P1699" s="4" t="n">
        <f aca="false">IF(A1699=A1698,P1698+1-M1698,0)</f>
        <v>3</v>
      </c>
    </row>
    <row r="1700" customFormat="false" ht="15" hidden="false" customHeight="false" outlineLevel="0" collapsed="false">
      <c r="A1700" s="29" t="s">
        <v>4153</v>
      </c>
      <c r="B1700" s="29" t="s">
        <v>52</v>
      </c>
      <c r="C1700" s="29" t="s">
        <v>98</v>
      </c>
      <c r="D1700" s="29" t="s">
        <v>4154</v>
      </c>
      <c r="E1700" s="4" t="n">
        <v>8</v>
      </c>
      <c r="F1700" s="4" t="s">
        <v>213</v>
      </c>
      <c r="G1700" s="4" t="s">
        <v>639</v>
      </c>
      <c r="H1700" s="4" t="n">
        <v>2010</v>
      </c>
      <c r="I1700" s="4" t="s">
        <v>203</v>
      </c>
      <c r="J1700" s="25" t="str">
        <f aca="false">IF(M1700=1,"✓","")</f>
        <v/>
      </c>
      <c r="K1700" s="4" t="str">
        <f aca="false">IF(AND(M1700=0,P1700=0),"▶ NEXT","")</f>
        <v/>
      </c>
      <c r="L1700" s="4" t="n">
        <f aca="false">INDEX('Master List'!$F$2:$F$2594,O1700)</f>
        <v>3</v>
      </c>
      <c r="M1700" s="4" t="n">
        <f aca="false">INDEX('Master List'!$G$2:$G$2594,O1700)</f>
        <v>0</v>
      </c>
      <c r="N1700" s="4" t="str">
        <f aca="false">IF(K1700="","",A1700)</f>
        <v/>
      </c>
      <c r="O1700" s="4" t="n">
        <v>424</v>
      </c>
      <c r="P1700" s="4" t="n">
        <f aca="false">IF(A1700=A1699,P1699+1-M1699,0)</f>
        <v>4</v>
      </c>
    </row>
    <row r="1701" customFormat="false" ht="15" hidden="false" customHeight="false" outlineLevel="0" collapsed="false">
      <c r="A1701" s="29" t="s">
        <v>4153</v>
      </c>
      <c r="B1701" s="29" t="s">
        <v>52</v>
      </c>
      <c r="C1701" s="29" t="s">
        <v>98</v>
      </c>
      <c r="D1701" s="29" t="s">
        <v>4154</v>
      </c>
      <c r="E1701" s="4" t="n">
        <v>9</v>
      </c>
      <c r="F1701" s="4" t="s">
        <v>213</v>
      </c>
      <c r="G1701" s="4" t="s">
        <v>1236</v>
      </c>
      <c r="H1701" s="4" t="n">
        <v>2017</v>
      </c>
      <c r="I1701" s="4" t="s">
        <v>1237</v>
      </c>
      <c r="J1701" s="25" t="str">
        <f aca="false">IF(M1701=1,"✓","")</f>
        <v/>
      </c>
      <c r="K1701" s="4" t="str">
        <f aca="false">IF(AND(M1701=0,P1701=0),"▶ NEXT","")</f>
        <v/>
      </c>
      <c r="L1701" s="4" t="n">
        <f aca="false">INDEX('Master List'!$F$2:$F$2594,O1701)</f>
        <v>2</v>
      </c>
      <c r="M1701" s="4" t="n">
        <f aca="false">INDEX('Master List'!$G$2:$G$2594,O1701)</f>
        <v>0</v>
      </c>
      <c r="N1701" s="4" t="str">
        <f aca="false">IF(K1701="","",A1701)</f>
        <v/>
      </c>
      <c r="O1701" s="4" t="n">
        <v>500</v>
      </c>
      <c r="P1701" s="4" t="n">
        <f aca="false">IF(A1701=A1700,P1700+1-M1700,0)</f>
        <v>5</v>
      </c>
    </row>
    <row r="1702" customFormat="false" ht="15" hidden="false" customHeight="false" outlineLevel="0" collapsed="false">
      <c r="A1702" s="29" t="s">
        <v>4153</v>
      </c>
      <c r="B1702" s="29" t="s">
        <v>52</v>
      </c>
      <c r="C1702" s="29" t="s">
        <v>98</v>
      </c>
      <c r="D1702" s="29" t="s">
        <v>4154</v>
      </c>
      <c r="E1702" s="4" t="n">
        <v>10</v>
      </c>
      <c r="F1702" s="4" t="s">
        <v>213</v>
      </c>
      <c r="G1702" s="4" t="s">
        <v>328</v>
      </c>
      <c r="H1702" s="4" t="n">
        <v>2023</v>
      </c>
      <c r="I1702" s="4" t="s">
        <v>329</v>
      </c>
      <c r="J1702" s="25" t="str">
        <f aca="false">IF(M1702=1,"✓","")</f>
        <v/>
      </c>
      <c r="K1702" s="4" t="str">
        <f aca="false">IF(AND(M1702=0,P1702=0),"▶ NEXT","")</f>
        <v/>
      </c>
      <c r="L1702" s="4" t="n">
        <f aca="false">INDEX('Master List'!$F$2:$F$2594,O1702)</f>
        <v>5</v>
      </c>
      <c r="M1702" s="4" t="n">
        <f aca="false">INDEX('Master List'!$G$2:$G$2594,O1702)</f>
        <v>0</v>
      </c>
      <c r="N1702" s="4" t="str">
        <f aca="false">IF(K1702="","",A1702)</f>
        <v/>
      </c>
      <c r="O1702" s="4" t="n">
        <v>1731</v>
      </c>
      <c r="P1702" s="4" t="n">
        <f aca="false">IF(A1702=A1701,P1701+1-M1701,0)</f>
        <v>6</v>
      </c>
    </row>
    <row r="1703" customFormat="false" ht="15" hidden="false" customHeight="false" outlineLevel="0" collapsed="false">
      <c r="A1703" s="29" t="s">
        <v>4153</v>
      </c>
      <c r="B1703" s="29" t="s">
        <v>52</v>
      </c>
      <c r="C1703" s="29" t="s">
        <v>98</v>
      </c>
      <c r="D1703" s="29" t="s">
        <v>4154</v>
      </c>
      <c r="E1703" s="4" t="n">
        <v>11</v>
      </c>
      <c r="F1703" s="4" t="s">
        <v>1327</v>
      </c>
      <c r="G1703" s="4" t="s">
        <v>1405</v>
      </c>
      <c r="H1703" s="4" t="n">
        <v>2007</v>
      </c>
      <c r="I1703" s="4" t="s">
        <v>1406</v>
      </c>
      <c r="J1703" s="25" t="str">
        <f aca="false">IF(M1703=1,"✓","")</f>
        <v/>
      </c>
      <c r="K1703" s="4" t="str">
        <f aca="false">IF(AND(M1703=0,P1703=0),"▶ NEXT","")</f>
        <v/>
      </c>
      <c r="L1703" s="4" t="n">
        <f aca="false">INDEX('Master List'!$F$2:$F$2594,O1703)</f>
        <v>2</v>
      </c>
      <c r="M1703" s="4" t="n">
        <f aca="false">INDEX('Master List'!$G$2:$G$2594,O1703)</f>
        <v>0</v>
      </c>
      <c r="N1703" s="4" t="str">
        <f aca="false">IF(K1703="","",A1703)</f>
        <v/>
      </c>
      <c r="O1703" s="4" t="n">
        <v>1668</v>
      </c>
      <c r="P1703" s="4" t="n">
        <f aca="false">IF(A1703=A1702,P1702+1-M1702,0)</f>
        <v>7</v>
      </c>
    </row>
    <row r="1704" customFormat="false" ht="15" hidden="false" customHeight="false" outlineLevel="0" collapsed="false">
      <c r="A1704" s="29" t="s">
        <v>4153</v>
      </c>
      <c r="B1704" s="29" t="s">
        <v>52</v>
      </c>
      <c r="C1704" s="29" t="s">
        <v>98</v>
      </c>
      <c r="D1704" s="29" t="s">
        <v>4154</v>
      </c>
      <c r="E1704" s="4" t="n">
        <v>12</v>
      </c>
      <c r="F1704" s="4" t="s">
        <v>1327</v>
      </c>
      <c r="G1704" s="4" t="s">
        <v>2107</v>
      </c>
      <c r="H1704" s="4" t="n">
        <v>2011</v>
      </c>
      <c r="I1704" s="4" t="s">
        <v>3798</v>
      </c>
      <c r="J1704" s="25" t="str">
        <f aca="false">IF(M1704=1,"✓","")</f>
        <v/>
      </c>
      <c r="K1704" s="4" t="str">
        <f aca="false">IF(AND(M1704=0,P1704=0),"▶ NEXT","")</f>
        <v/>
      </c>
      <c r="L1704" s="4" t="n">
        <f aca="false">INDEX('Master List'!$F$2:$F$2594,O1704)</f>
        <v>1</v>
      </c>
      <c r="M1704" s="4" t="n">
        <f aca="false">INDEX('Master List'!$G$2:$G$2594,O1704)</f>
        <v>0</v>
      </c>
      <c r="N1704" s="4" t="str">
        <f aca="false">IF(K1704="","",A1704)</f>
        <v/>
      </c>
      <c r="O1704" s="4" t="n">
        <v>2478</v>
      </c>
      <c r="P1704" s="4" t="n">
        <f aca="false">IF(A1704=A1703,P1703+1-M1703,0)</f>
        <v>8</v>
      </c>
    </row>
    <row r="1705" customFormat="false" ht="15" hidden="false" customHeight="false" outlineLevel="0" collapsed="false">
      <c r="A1705" s="29" t="s">
        <v>4155</v>
      </c>
      <c r="B1705" s="29" t="s">
        <v>52</v>
      </c>
      <c r="C1705" s="29" t="s">
        <v>99</v>
      </c>
      <c r="D1705" s="29" t="s">
        <v>4156</v>
      </c>
      <c r="E1705" s="4" t="n">
        <v>1</v>
      </c>
      <c r="F1705" s="4" t="s">
        <v>144</v>
      </c>
      <c r="G1705" s="7" t="s">
        <v>737</v>
      </c>
      <c r="H1705" s="4" t="n">
        <v>1938</v>
      </c>
      <c r="I1705" s="4" t="s">
        <v>738</v>
      </c>
      <c r="J1705" s="25" t="str">
        <f aca="false">IF(M1705=1,"✓","")</f>
        <v/>
      </c>
      <c r="K1705" s="4" t="str">
        <f aca="false">IF(AND(M1705=0,P1705=0),"▶ NEXT","")</f>
        <v>▶ NEXT</v>
      </c>
      <c r="L1705" s="4" t="n">
        <f aca="false">INDEX('Master List'!$F$2:$F$2594,O1705)</f>
        <v>2</v>
      </c>
      <c r="M1705" s="4" t="n">
        <f aca="false">INDEX('Master List'!$G$2:$G$2594,O1705)</f>
        <v>0</v>
      </c>
      <c r="N1705" s="4" t="str">
        <f aca="false">IF(K1705="","",A1705)</f>
        <v>N141</v>
      </c>
      <c r="O1705" s="4" t="n">
        <v>45</v>
      </c>
      <c r="P1705" s="4" t="n">
        <f aca="false">IF(A1705=A1704,P1704+1-M1704,0)</f>
        <v>0</v>
      </c>
    </row>
    <row r="1706" customFormat="false" ht="15" hidden="false" customHeight="false" outlineLevel="0" collapsed="false">
      <c r="A1706" s="29" t="s">
        <v>4155</v>
      </c>
      <c r="B1706" s="29" t="s">
        <v>52</v>
      </c>
      <c r="C1706" s="29" t="s">
        <v>99</v>
      </c>
      <c r="D1706" s="29" t="s">
        <v>4156</v>
      </c>
      <c r="E1706" s="4" t="n">
        <v>2</v>
      </c>
      <c r="F1706" s="4" t="s">
        <v>144</v>
      </c>
      <c r="G1706" s="7" t="s">
        <v>363</v>
      </c>
      <c r="H1706" s="4" t="n">
        <v>1981</v>
      </c>
      <c r="I1706" s="4" t="s">
        <v>183</v>
      </c>
      <c r="J1706" s="25" t="str">
        <f aca="false">IF(M1706=1,"✓","")</f>
        <v>✓</v>
      </c>
      <c r="K1706" s="4" t="str">
        <f aca="false">IF(AND(M1706=0,P1706=0),"▶ NEXT","")</f>
        <v/>
      </c>
      <c r="L1706" s="4" t="n">
        <f aca="false">INDEX('Master List'!$F$2:$F$2594,O1706)</f>
        <v>4</v>
      </c>
      <c r="M1706" s="4" t="n">
        <f aca="false">INDEX('Master List'!$G$2:$G$2594,O1706)</f>
        <v>1</v>
      </c>
      <c r="N1706" s="4" t="str">
        <f aca="false">IF(K1706="","",A1706)</f>
        <v/>
      </c>
      <c r="O1706" s="4" t="n">
        <v>1853</v>
      </c>
      <c r="P1706" s="4" t="n">
        <f aca="false">IF(A1706=A1705,P1705+1-M1705,0)</f>
        <v>1</v>
      </c>
    </row>
    <row r="1707" customFormat="false" ht="15" hidden="false" customHeight="false" outlineLevel="0" collapsed="false">
      <c r="A1707" s="29" t="s">
        <v>4155</v>
      </c>
      <c r="B1707" s="29" t="s">
        <v>52</v>
      </c>
      <c r="C1707" s="29" t="s">
        <v>99</v>
      </c>
      <c r="D1707" s="29" t="s">
        <v>4156</v>
      </c>
      <c r="E1707" s="4" t="n">
        <v>3</v>
      </c>
      <c r="F1707" s="4" t="s">
        <v>213</v>
      </c>
      <c r="G1707" s="4" t="s">
        <v>1786</v>
      </c>
      <c r="H1707" s="4" t="n">
        <v>1940</v>
      </c>
      <c r="I1707" s="4" t="s">
        <v>1304</v>
      </c>
      <c r="J1707" s="25" t="str">
        <f aca="false">IF(M1707=1,"✓","")</f>
        <v/>
      </c>
      <c r="K1707" s="4" t="str">
        <f aca="false">IF(AND(M1707=0,P1707=0),"▶ NEXT","")</f>
        <v/>
      </c>
      <c r="L1707" s="4" t="n">
        <f aca="false">INDEX('Master List'!$F$2:$F$2594,O1707)</f>
        <v>1</v>
      </c>
      <c r="M1707" s="4" t="n">
        <f aca="false">INDEX('Master List'!$G$2:$G$2594,O1707)</f>
        <v>0</v>
      </c>
      <c r="N1707" s="4" t="str">
        <f aca="false">IF(K1707="","",A1707)</f>
        <v/>
      </c>
      <c r="O1707" s="4" t="n">
        <v>1447</v>
      </c>
      <c r="P1707" s="4" t="n">
        <f aca="false">IF(A1707=A1706,P1706+1-M1706,0)</f>
        <v>1</v>
      </c>
    </row>
    <row r="1708" customFormat="false" ht="15" hidden="false" customHeight="false" outlineLevel="0" collapsed="false">
      <c r="A1708" s="29" t="s">
        <v>4155</v>
      </c>
      <c r="B1708" s="29" t="s">
        <v>52</v>
      </c>
      <c r="C1708" s="29" t="s">
        <v>99</v>
      </c>
      <c r="D1708" s="29" t="s">
        <v>4156</v>
      </c>
      <c r="E1708" s="4" t="n">
        <v>4</v>
      </c>
      <c r="F1708" s="4" t="s">
        <v>213</v>
      </c>
      <c r="G1708" s="4" t="s">
        <v>1754</v>
      </c>
      <c r="H1708" s="4" t="n">
        <v>1935</v>
      </c>
      <c r="I1708" s="4" t="s">
        <v>335</v>
      </c>
      <c r="J1708" s="25" t="str">
        <f aca="false">IF(M1708=1,"✓","")</f>
        <v/>
      </c>
      <c r="K1708" s="4" t="str">
        <f aca="false">IF(AND(M1708=0,P1708=0),"▶ NEXT","")</f>
        <v/>
      </c>
      <c r="L1708" s="4" t="n">
        <f aca="false">INDEX('Master List'!$F$2:$F$2594,O1708)</f>
        <v>1</v>
      </c>
      <c r="M1708" s="4" t="n">
        <f aca="false">INDEX('Master List'!$G$2:$G$2594,O1708)</f>
        <v>0</v>
      </c>
      <c r="N1708" s="4" t="str">
        <f aca="false">IF(K1708="","",A1708)</f>
        <v/>
      </c>
      <c r="O1708" s="4" t="n">
        <v>393</v>
      </c>
      <c r="P1708" s="4" t="n">
        <f aca="false">IF(A1708=A1707,P1707+1-M1707,0)</f>
        <v>2</v>
      </c>
    </row>
    <row r="1709" customFormat="false" ht="15" hidden="false" customHeight="false" outlineLevel="0" collapsed="false">
      <c r="A1709" s="29" t="s">
        <v>4155</v>
      </c>
      <c r="B1709" s="29" t="s">
        <v>52</v>
      </c>
      <c r="C1709" s="29" t="s">
        <v>99</v>
      </c>
      <c r="D1709" s="29" t="s">
        <v>4156</v>
      </c>
      <c r="E1709" s="4" t="n">
        <v>5</v>
      </c>
      <c r="F1709" s="4" t="s">
        <v>213</v>
      </c>
      <c r="G1709" s="4" t="s">
        <v>405</v>
      </c>
      <c r="H1709" s="4" t="n">
        <v>1948</v>
      </c>
      <c r="I1709" s="4" t="s">
        <v>283</v>
      </c>
      <c r="J1709" s="25" t="str">
        <f aca="false">IF(M1709=1,"✓","")</f>
        <v/>
      </c>
      <c r="K1709" s="4" t="str">
        <f aca="false">IF(AND(M1709=0,P1709=0),"▶ NEXT","")</f>
        <v/>
      </c>
      <c r="L1709" s="4" t="n">
        <f aca="false">INDEX('Master List'!$F$2:$F$2594,O1709)</f>
        <v>4</v>
      </c>
      <c r="M1709" s="4" t="n">
        <f aca="false">INDEX('Master List'!$G$2:$G$2594,O1709)</f>
        <v>0</v>
      </c>
      <c r="N1709" s="4" t="str">
        <f aca="false">IF(K1709="","",A1709)</f>
        <v/>
      </c>
      <c r="O1709" s="4" t="n">
        <v>2362</v>
      </c>
      <c r="P1709" s="4" t="n">
        <f aca="false">IF(A1709=A1708,P1708+1-M1708,0)</f>
        <v>3</v>
      </c>
    </row>
    <row r="1710" customFormat="false" ht="15" hidden="false" customHeight="false" outlineLevel="0" collapsed="false">
      <c r="A1710" s="29" t="s">
        <v>4155</v>
      </c>
      <c r="B1710" s="29" t="s">
        <v>52</v>
      </c>
      <c r="C1710" s="29" t="s">
        <v>99</v>
      </c>
      <c r="D1710" s="29" t="s">
        <v>4156</v>
      </c>
      <c r="E1710" s="4" t="n">
        <v>6</v>
      </c>
      <c r="F1710" s="4" t="s">
        <v>213</v>
      </c>
      <c r="G1710" s="4" t="s">
        <v>938</v>
      </c>
      <c r="H1710" s="4" t="n">
        <v>1951</v>
      </c>
      <c r="I1710" s="4" t="s">
        <v>283</v>
      </c>
      <c r="J1710" s="25" t="str">
        <f aca="false">IF(M1710=1,"✓","")</f>
        <v/>
      </c>
      <c r="K1710" s="4" t="str">
        <f aca="false">IF(AND(M1710=0,P1710=0),"▶ NEXT","")</f>
        <v/>
      </c>
      <c r="L1710" s="4" t="n">
        <f aca="false">INDEX('Master List'!$F$2:$F$2594,O1710)</f>
        <v>2</v>
      </c>
      <c r="M1710" s="4" t="n">
        <f aca="false">INDEX('Master List'!$G$2:$G$2594,O1710)</f>
        <v>0</v>
      </c>
      <c r="N1710" s="4" t="str">
        <f aca="false">IF(K1710="","",A1710)</f>
        <v/>
      </c>
      <c r="O1710" s="4" t="n">
        <v>48</v>
      </c>
      <c r="P1710" s="4" t="n">
        <f aca="false">IF(A1710=A1709,P1709+1-M1709,0)</f>
        <v>4</v>
      </c>
    </row>
    <row r="1711" customFormat="false" ht="15" hidden="false" customHeight="false" outlineLevel="0" collapsed="false">
      <c r="A1711" s="29" t="s">
        <v>4155</v>
      </c>
      <c r="B1711" s="29" t="s">
        <v>52</v>
      </c>
      <c r="C1711" s="29" t="s">
        <v>99</v>
      </c>
      <c r="D1711" s="29" t="s">
        <v>4156</v>
      </c>
      <c r="E1711" s="4" t="n">
        <v>7</v>
      </c>
      <c r="F1711" s="4" t="s">
        <v>213</v>
      </c>
      <c r="G1711" s="4" t="s">
        <v>2266</v>
      </c>
      <c r="H1711" s="4" t="n">
        <v>1975</v>
      </c>
      <c r="I1711" s="4" t="s">
        <v>283</v>
      </c>
      <c r="J1711" s="25" t="str">
        <f aca="false">IF(M1711=1,"✓","")</f>
        <v/>
      </c>
      <c r="K1711" s="4" t="str">
        <f aca="false">IF(AND(M1711=0,P1711=0),"▶ NEXT","")</f>
        <v/>
      </c>
      <c r="L1711" s="4" t="n">
        <f aca="false">INDEX('Master List'!$F$2:$F$2594,O1711)</f>
        <v>1</v>
      </c>
      <c r="M1711" s="4" t="n">
        <f aca="false">INDEX('Master List'!$G$2:$G$2594,O1711)</f>
        <v>0</v>
      </c>
      <c r="N1711" s="4" t="str">
        <f aca="false">IF(K1711="","",A1711)</f>
        <v/>
      </c>
      <c r="O1711" s="4" t="n">
        <v>1433</v>
      </c>
      <c r="P1711" s="4" t="n">
        <f aca="false">IF(A1711=A1710,P1710+1-M1710,0)</f>
        <v>5</v>
      </c>
    </row>
    <row r="1712" customFormat="false" ht="15" hidden="false" customHeight="false" outlineLevel="0" collapsed="false">
      <c r="A1712" s="29" t="s">
        <v>4155</v>
      </c>
      <c r="B1712" s="29" t="s">
        <v>52</v>
      </c>
      <c r="C1712" s="29" t="s">
        <v>99</v>
      </c>
      <c r="D1712" s="29" t="s">
        <v>4156</v>
      </c>
      <c r="E1712" s="4" t="n">
        <v>8</v>
      </c>
      <c r="F1712" s="4" t="s">
        <v>213</v>
      </c>
      <c r="G1712" s="4" t="s">
        <v>1085</v>
      </c>
      <c r="H1712" s="4" t="n">
        <v>1987</v>
      </c>
      <c r="I1712" s="4" t="s">
        <v>822</v>
      </c>
      <c r="J1712" s="25" t="str">
        <f aca="false">IF(M1712=1,"✓","")</f>
        <v/>
      </c>
      <c r="K1712" s="4" t="str">
        <f aca="false">IF(AND(M1712=0,P1712=0),"▶ NEXT","")</f>
        <v/>
      </c>
      <c r="L1712" s="4" t="n">
        <f aca="false">INDEX('Master List'!$F$2:$F$2594,O1712)</f>
        <v>2</v>
      </c>
      <c r="M1712" s="4" t="n">
        <f aca="false">INDEX('Master List'!$G$2:$G$2594,O1712)</f>
        <v>0</v>
      </c>
      <c r="N1712" s="4" t="str">
        <f aca="false">IF(K1712="","",A1712)</f>
        <v/>
      </c>
      <c r="O1712" s="4" t="n">
        <v>1817</v>
      </c>
      <c r="P1712" s="4" t="n">
        <f aca="false">IF(A1712=A1711,P1711+1-M1711,0)</f>
        <v>6</v>
      </c>
    </row>
    <row r="1713" customFormat="false" ht="15" hidden="false" customHeight="false" outlineLevel="0" collapsed="false">
      <c r="A1713" s="29" t="s">
        <v>4155</v>
      </c>
      <c r="B1713" s="29" t="s">
        <v>52</v>
      </c>
      <c r="C1713" s="29" t="s">
        <v>99</v>
      </c>
      <c r="D1713" s="29" t="s">
        <v>4156</v>
      </c>
      <c r="E1713" s="4" t="n">
        <v>9</v>
      </c>
      <c r="F1713" s="4" t="s">
        <v>1327</v>
      </c>
      <c r="G1713" s="4" t="s">
        <v>3359</v>
      </c>
      <c r="H1713" s="4" t="n">
        <v>1952</v>
      </c>
      <c r="I1713" s="4" t="s">
        <v>3360</v>
      </c>
      <c r="J1713" s="25" t="str">
        <f aca="false">IF(M1713=1,"✓","")</f>
        <v/>
      </c>
      <c r="K1713" s="4" t="str">
        <f aca="false">IF(AND(M1713=0,P1713=0),"▶ NEXT","")</f>
        <v/>
      </c>
      <c r="L1713" s="4" t="n">
        <f aca="false">INDEX('Master List'!$F$2:$F$2594,O1713)</f>
        <v>1</v>
      </c>
      <c r="M1713" s="4" t="n">
        <f aca="false">INDEX('Master List'!$G$2:$G$2594,O1713)</f>
        <v>0</v>
      </c>
      <c r="N1713" s="4" t="str">
        <f aca="false">IF(K1713="","",A1713)</f>
        <v/>
      </c>
      <c r="O1713" s="4" t="n">
        <v>1982</v>
      </c>
      <c r="P1713" s="4" t="n">
        <f aca="false">IF(A1713=A1712,P1712+1-M1712,0)</f>
        <v>7</v>
      </c>
    </row>
    <row r="1714" customFormat="false" ht="15" hidden="false" customHeight="false" outlineLevel="0" collapsed="false">
      <c r="A1714" s="29" t="s">
        <v>4155</v>
      </c>
      <c r="B1714" s="29" t="s">
        <v>52</v>
      </c>
      <c r="C1714" s="29" t="s">
        <v>99</v>
      </c>
      <c r="D1714" s="29" t="s">
        <v>4156</v>
      </c>
      <c r="E1714" s="4" t="n">
        <v>10</v>
      </c>
      <c r="F1714" s="4" t="s">
        <v>1327</v>
      </c>
      <c r="G1714" s="4" t="s">
        <v>3361</v>
      </c>
      <c r="H1714" s="4" t="n">
        <v>1952</v>
      </c>
      <c r="I1714" s="4" t="s">
        <v>1837</v>
      </c>
      <c r="J1714" s="25" t="str">
        <f aca="false">IF(M1714=1,"✓","")</f>
        <v/>
      </c>
      <c r="K1714" s="4" t="str">
        <f aca="false">IF(AND(M1714=0,P1714=0),"▶ NEXT","")</f>
        <v/>
      </c>
      <c r="L1714" s="4" t="n">
        <f aca="false">INDEX('Master List'!$F$2:$F$2594,O1714)</f>
        <v>1</v>
      </c>
      <c r="M1714" s="4" t="n">
        <f aca="false">INDEX('Master List'!$G$2:$G$2594,O1714)</f>
        <v>0</v>
      </c>
      <c r="N1714" s="4" t="str">
        <f aca="false">IF(K1714="","",A1714)</f>
        <v/>
      </c>
      <c r="O1714" s="4" t="n">
        <v>539</v>
      </c>
      <c r="P1714" s="4" t="n">
        <f aca="false">IF(A1714=A1713,P1713+1-M1713,0)</f>
        <v>8</v>
      </c>
    </row>
    <row r="1715" customFormat="false" ht="15" hidden="false" customHeight="false" outlineLevel="0" collapsed="false">
      <c r="A1715" s="29" t="s">
        <v>4157</v>
      </c>
      <c r="B1715" s="29" t="s">
        <v>52</v>
      </c>
      <c r="C1715" s="29" t="s">
        <v>99</v>
      </c>
      <c r="D1715" s="29" t="s">
        <v>4158</v>
      </c>
      <c r="E1715" s="4" t="n">
        <v>1</v>
      </c>
      <c r="F1715" s="4" t="s">
        <v>144</v>
      </c>
      <c r="G1715" s="7" t="s">
        <v>368</v>
      </c>
      <c r="H1715" s="4" t="n">
        <v>1988</v>
      </c>
      <c r="I1715" s="4" t="s">
        <v>369</v>
      </c>
      <c r="J1715" s="25" t="str">
        <f aca="false">IF(M1715=1,"✓","")</f>
        <v/>
      </c>
      <c r="K1715" s="4" t="str">
        <f aca="false">IF(AND(M1715=0,P1715=0),"▶ NEXT","")</f>
        <v>▶ NEXT</v>
      </c>
      <c r="L1715" s="4" t="n">
        <f aca="false">INDEX('Master List'!$F$2:$F$2594,O1715)</f>
        <v>4</v>
      </c>
      <c r="M1715" s="4" t="n">
        <f aca="false">INDEX('Master List'!$G$2:$G$2594,O1715)</f>
        <v>0</v>
      </c>
      <c r="N1715" s="4" t="str">
        <f aca="false">IF(K1715="","",A1715)</f>
        <v>N142</v>
      </c>
      <c r="O1715" s="4" t="n">
        <v>992</v>
      </c>
      <c r="P1715" s="4" t="n">
        <f aca="false">IF(A1715=A1714,P1714+1-M1714,0)</f>
        <v>0</v>
      </c>
    </row>
    <row r="1716" customFormat="false" ht="15" hidden="false" customHeight="false" outlineLevel="0" collapsed="false">
      <c r="A1716" s="29" t="s">
        <v>4157</v>
      </c>
      <c r="B1716" s="29" t="s">
        <v>52</v>
      </c>
      <c r="C1716" s="29" t="s">
        <v>99</v>
      </c>
      <c r="D1716" s="29" t="s">
        <v>4158</v>
      </c>
      <c r="E1716" s="4" t="n">
        <v>2</v>
      </c>
      <c r="F1716" s="4" t="s">
        <v>144</v>
      </c>
      <c r="G1716" s="7" t="s">
        <v>891</v>
      </c>
      <c r="H1716" s="4" t="n">
        <v>1991</v>
      </c>
      <c r="I1716" s="4" t="s">
        <v>892</v>
      </c>
      <c r="J1716" s="25" t="str">
        <f aca="false">IF(M1716=1,"✓","")</f>
        <v/>
      </c>
      <c r="K1716" s="4" t="str">
        <f aca="false">IF(AND(M1716=0,P1716=0),"▶ NEXT","")</f>
        <v/>
      </c>
      <c r="L1716" s="4" t="n">
        <f aca="false">INDEX('Master List'!$F$2:$F$2594,O1716)</f>
        <v>2</v>
      </c>
      <c r="M1716" s="4" t="n">
        <f aca="false">INDEX('Master List'!$G$2:$G$2594,O1716)</f>
        <v>0</v>
      </c>
      <c r="N1716" s="4" t="str">
        <f aca="false">IF(K1716="","",A1716)</f>
        <v/>
      </c>
      <c r="O1716" s="4" t="n">
        <v>2255</v>
      </c>
      <c r="P1716" s="4" t="n">
        <f aca="false">IF(A1716=A1715,P1715+1-M1715,0)</f>
        <v>1</v>
      </c>
    </row>
    <row r="1717" customFormat="false" ht="15" hidden="false" customHeight="false" outlineLevel="0" collapsed="false">
      <c r="A1717" s="29" t="s">
        <v>4157</v>
      </c>
      <c r="B1717" s="29" t="s">
        <v>52</v>
      </c>
      <c r="C1717" s="29" t="s">
        <v>99</v>
      </c>
      <c r="D1717" s="29" t="s">
        <v>4158</v>
      </c>
      <c r="E1717" s="4" t="n">
        <v>3</v>
      </c>
      <c r="F1717" s="4" t="s">
        <v>213</v>
      </c>
      <c r="G1717" s="4" t="s">
        <v>2361</v>
      </c>
      <c r="H1717" s="4" t="n">
        <v>1982</v>
      </c>
      <c r="I1717" s="4" t="s">
        <v>2170</v>
      </c>
      <c r="J1717" s="25" t="str">
        <f aca="false">IF(M1717=1,"✓","")</f>
        <v/>
      </c>
      <c r="K1717" s="4" t="str">
        <f aca="false">IF(AND(M1717=0,P1717=0),"▶ NEXT","")</f>
        <v/>
      </c>
      <c r="L1717" s="4" t="n">
        <f aca="false">INDEX('Master List'!$F$2:$F$2594,O1717)</f>
        <v>1</v>
      </c>
      <c r="M1717" s="4" t="n">
        <f aca="false">INDEX('Master List'!$G$2:$G$2594,O1717)</f>
        <v>0</v>
      </c>
      <c r="N1717" s="4" t="str">
        <f aca="false">IF(K1717="","",A1717)</f>
        <v/>
      </c>
      <c r="O1717" s="4" t="n">
        <v>808</v>
      </c>
      <c r="P1717" s="4" t="n">
        <f aca="false">IF(A1717=A1716,P1716+1-M1716,0)</f>
        <v>2</v>
      </c>
    </row>
    <row r="1718" customFormat="false" ht="15" hidden="false" customHeight="false" outlineLevel="0" collapsed="false">
      <c r="A1718" s="29" t="s">
        <v>4157</v>
      </c>
      <c r="B1718" s="29" t="s">
        <v>52</v>
      </c>
      <c r="C1718" s="29" t="s">
        <v>99</v>
      </c>
      <c r="D1718" s="29" t="s">
        <v>4158</v>
      </c>
      <c r="E1718" s="4" t="n">
        <v>4</v>
      </c>
      <c r="F1718" s="4" t="s">
        <v>213</v>
      </c>
      <c r="G1718" s="4" t="s">
        <v>1278</v>
      </c>
      <c r="H1718" s="4" t="n">
        <v>1986</v>
      </c>
      <c r="I1718" s="4" t="s">
        <v>892</v>
      </c>
      <c r="J1718" s="25" t="str">
        <f aca="false">IF(M1718=1,"✓","")</f>
        <v>✓</v>
      </c>
      <c r="K1718" s="4" t="str">
        <f aca="false">IF(AND(M1718=0,P1718=0),"▶ NEXT","")</f>
        <v/>
      </c>
      <c r="L1718" s="4" t="n">
        <f aca="false">INDEX('Master List'!$F$2:$F$2594,O1718)</f>
        <v>2</v>
      </c>
      <c r="M1718" s="4" t="n">
        <f aca="false">INDEX('Master List'!$G$2:$G$2594,O1718)</f>
        <v>1</v>
      </c>
      <c r="N1718" s="4" t="str">
        <f aca="false">IF(K1718="","",A1718)</f>
        <v/>
      </c>
      <c r="O1718" s="4" t="n">
        <v>67</v>
      </c>
      <c r="P1718" s="4" t="n">
        <f aca="false">IF(A1718=A1717,P1717+1-M1717,0)</f>
        <v>3</v>
      </c>
    </row>
    <row r="1719" customFormat="false" ht="15" hidden="false" customHeight="false" outlineLevel="0" collapsed="false">
      <c r="A1719" s="29" t="s">
        <v>4157</v>
      </c>
      <c r="B1719" s="29" t="s">
        <v>52</v>
      </c>
      <c r="C1719" s="29" t="s">
        <v>99</v>
      </c>
      <c r="D1719" s="29" t="s">
        <v>4158</v>
      </c>
      <c r="E1719" s="4" t="n">
        <v>5</v>
      </c>
      <c r="F1719" s="4" t="s">
        <v>213</v>
      </c>
      <c r="G1719" s="4" t="s">
        <v>2455</v>
      </c>
      <c r="H1719" s="4" t="n">
        <v>1987</v>
      </c>
      <c r="I1719" s="4" t="s">
        <v>2286</v>
      </c>
      <c r="J1719" s="25" t="str">
        <f aca="false">IF(M1719=1,"✓","")</f>
        <v>✓</v>
      </c>
      <c r="K1719" s="4" t="str">
        <f aca="false">IF(AND(M1719=0,P1719=0),"▶ NEXT","")</f>
        <v/>
      </c>
      <c r="L1719" s="4" t="n">
        <f aca="false">INDEX('Master List'!$F$2:$F$2594,O1719)</f>
        <v>1</v>
      </c>
      <c r="M1719" s="4" t="n">
        <f aca="false">INDEX('Master List'!$G$2:$G$2594,O1719)</f>
        <v>1</v>
      </c>
      <c r="N1719" s="4" t="str">
        <f aca="false">IF(K1719="","",A1719)</f>
        <v/>
      </c>
      <c r="O1719" s="4" t="n">
        <v>1325</v>
      </c>
      <c r="P1719" s="4" t="n">
        <f aca="false">IF(A1719=A1718,P1718+1-M1718,0)</f>
        <v>3</v>
      </c>
    </row>
    <row r="1720" customFormat="false" ht="15" hidden="false" customHeight="false" outlineLevel="0" collapsed="false">
      <c r="A1720" s="29" t="s">
        <v>4157</v>
      </c>
      <c r="B1720" s="29" t="s">
        <v>52</v>
      </c>
      <c r="C1720" s="29" t="s">
        <v>99</v>
      </c>
      <c r="D1720" s="29" t="s">
        <v>4158</v>
      </c>
      <c r="E1720" s="4" t="n">
        <v>6</v>
      </c>
      <c r="F1720" s="4" t="s">
        <v>213</v>
      </c>
      <c r="G1720" s="4" t="s">
        <v>2456</v>
      </c>
      <c r="H1720" s="4" t="n">
        <v>1987</v>
      </c>
      <c r="I1720" s="4" t="s">
        <v>369</v>
      </c>
      <c r="J1720" s="25" t="str">
        <f aca="false">IF(M1720=1,"✓","")</f>
        <v/>
      </c>
      <c r="K1720" s="4" t="str">
        <f aca="false">IF(AND(M1720=0,P1720=0),"▶ NEXT","")</f>
        <v/>
      </c>
      <c r="L1720" s="4" t="n">
        <f aca="false">INDEX('Master List'!$F$2:$F$2594,O1720)</f>
        <v>1</v>
      </c>
      <c r="M1720" s="4" t="n">
        <f aca="false">INDEX('Master List'!$G$2:$G$2594,O1720)</f>
        <v>0</v>
      </c>
      <c r="N1720" s="4" t="str">
        <f aca="false">IF(K1720="","",A1720)</f>
        <v/>
      </c>
      <c r="O1720" s="4" t="n">
        <v>1807</v>
      </c>
      <c r="P1720" s="4" t="n">
        <f aca="false">IF(A1720=A1719,P1719+1-M1719,0)</f>
        <v>3</v>
      </c>
    </row>
    <row r="1721" customFormat="false" ht="15" hidden="false" customHeight="false" outlineLevel="0" collapsed="false">
      <c r="A1721" s="29" t="s">
        <v>4157</v>
      </c>
      <c r="B1721" s="29" t="s">
        <v>52</v>
      </c>
      <c r="C1721" s="29" t="s">
        <v>99</v>
      </c>
      <c r="D1721" s="29" t="s">
        <v>4158</v>
      </c>
      <c r="E1721" s="4" t="n">
        <v>7</v>
      </c>
      <c r="F1721" s="4" t="s">
        <v>213</v>
      </c>
      <c r="G1721" s="4" t="s">
        <v>698</v>
      </c>
      <c r="H1721" s="4" t="n">
        <v>1987</v>
      </c>
      <c r="I1721" s="4" t="s">
        <v>699</v>
      </c>
      <c r="J1721" s="25" t="str">
        <f aca="false">IF(M1721=1,"✓","")</f>
        <v>✓</v>
      </c>
      <c r="K1721" s="4" t="str">
        <f aca="false">IF(AND(M1721=0,P1721=0),"▶ NEXT","")</f>
        <v/>
      </c>
      <c r="L1721" s="4" t="n">
        <f aca="false">INDEX('Master List'!$F$2:$F$2594,O1721)</f>
        <v>3</v>
      </c>
      <c r="M1721" s="4" t="n">
        <f aca="false">INDEX('Master List'!$G$2:$G$2594,O1721)</f>
        <v>1</v>
      </c>
      <c r="N1721" s="4" t="str">
        <f aca="false">IF(K1721="","",A1721)</f>
        <v/>
      </c>
      <c r="O1721" s="4" t="n">
        <v>1918</v>
      </c>
      <c r="P1721" s="4" t="n">
        <f aca="false">IF(A1721=A1720,P1720+1-M1720,0)</f>
        <v>4</v>
      </c>
    </row>
    <row r="1722" customFormat="false" ht="15" hidden="false" customHeight="false" outlineLevel="0" collapsed="false">
      <c r="A1722" s="29" t="s">
        <v>4157</v>
      </c>
      <c r="B1722" s="29" t="s">
        <v>52</v>
      </c>
      <c r="C1722" s="29" t="s">
        <v>99</v>
      </c>
      <c r="D1722" s="29" t="s">
        <v>4158</v>
      </c>
      <c r="E1722" s="4" t="n">
        <v>8</v>
      </c>
      <c r="F1722" s="4" t="s">
        <v>213</v>
      </c>
      <c r="G1722" s="4" t="s">
        <v>2527</v>
      </c>
      <c r="H1722" s="4" t="n">
        <v>1991</v>
      </c>
      <c r="I1722" s="4" t="s">
        <v>865</v>
      </c>
      <c r="J1722" s="25" t="str">
        <f aca="false">IF(M1722=1,"✓","")</f>
        <v/>
      </c>
      <c r="K1722" s="4" t="str">
        <f aca="false">IF(AND(M1722=0,P1722=0),"▶ NEXT","")</f>
        <v/>
      </c>
      <c r="L1722" s="4" t="n">
        <f aca="false">INDEX('Master List'!$F$2:$F$2594,O1722)</f>
        <v>1</v>
      </c>
      <c r="M1722" s="4" t="n">
        <f aca="false">INDEX('Master List'!$G$2:$G$2594,O1722)</f>
        <v>0</v>
      </c>
      <c r="N1722" s="4" t="str">
        <f aca="false">IF(K1722="","",A1722)</f>
        <v/>
      </c>
      <c r="O1722" s="4" t="n">
        <v>1784</v>
      </c>
      <c r="P1722" s="4" t="n">
        <f aca="false">IF(A1722=A1721,P1721+1-M1721,0)</f>
        <v>4</v>
      </c>
    </row>
    <row r="1723" customFormat="false" ht="15" hidden="false" customHeight="false" outlineLevel="0" collapsed="false">
      <c r="A1723" s="29" t="s">
        <v>4157</v>
      </c>
      <c r="B1723" s="29" t="s">
        <v>52</v>
      </c>
      <c r="C1723" s="29" t="s">
        <v>99</v>
      </c>
      <c r="D1723" s="29" t="s">
        <v>4158</v>
      </c>
      <c r="E1723" s="4" t="n">
        <v>9</v>
      </c>
      <c r="F1723" s="4" t="s">
        <v>213</v>
      </c>
      <c r="G1723" s="4" t="s">
        <v>2584</v>
      </c>
      <c r="H1723" s="4" t="n">
        <v>1994</v>
      </c>
      <c r="I1723" s="4" t="s">
        <v>2585</v>
      </c>
      <c r="J1723" s="25" t="str">
        <f aca="false">IF(M1723=1,"✓","")</f>
        <v>✓</v>
      </c>
      <c r="K1723" s="4" t="str">
        <f aca="false">IF(AND(M1723=0,P1723=0),"▶ NEXT","")</f>
        <v/>
      </c>
      <c r="L1723" s="4" t="n">
        <f aca="false">INDEX('Master List'!$F$2:$F$2594,O1723)</f>
        <v>1</v>
      </c>
      <c r="M1723" s="4" t="n">
        <f aca="false">INDEX('Master List'!$G$2:$G$2594,O1723)</f>
        <v>1</v>
      </c>
      <c r="N1723" s="4" t="str">
        <f aca="false">IF(K1723="","",A1723)</f>
        <v/>
      </c>
      <c r="O1723" s="4" t="n">
        <v>2129</v>
      </c>
      <c r="P1723" s="4" t="n">
        <f aca="false">IF(A1723=A1722,P1722+1-M1722,0)</f>
        <v>5</v>
      </c>
    </row>
    <row r="1724" customFormat="false" ht="15" hidden="false" customHeight="false" outlineLevel="0" collapsed="false">
      <c r="A1724" s="29" t="s">
        <v>4157</v>
      </c>
      <c r="B1724" s="29" t="s">
        <v>52</v>
      </c>
      <c r="C1724" s="29" t="s">
        <v>99</v>
      </c>
      <c r="D1724" s="29" t="s">
        <v>4158</v>
      </c>
      <c r="E1724" s="4" t="n">
        <v>10</v>
      </c>
      <c r="F1724" s="4" t="s">
        <v>213</v>
      </c>
      <c r="G1724" s="4" t="s">
        <v>2672</v>
      </c>
      <c r="H1724" s="4" t="n">
        <v>1997</v>
      </c>
      <c r="I1724" s="4" t="s">
        <v>1387</v>
      </c>
      <c r="J1724" s="25" t="str">
        <f aca="false">IF(M1724=1,"✓","")</f>
        <v/>
      </c>
      <c r="K1724" s="4" t="str">
        <f aca="false">IF(AND(M1724=0,P1724=0),"▶ NEXT","")</f>
        <v/>
      </c>
      <c r="L1724" s="4" t="n">
        <f aca="false">INDEX('Master List'!$F$2:$F$2594,O1724)</f>
        <v>1</v>
      </c>
      <c r="M1724" s="4" t="n">
        <f aca="false">INDEX('Master List'!$G$2:$G$2594,O1724)</f>
        <v>0</v>
      </c>
      <c r="N1724" s="4" t="str">
        <f aca="false">IF(K1724="","",A1724)</f>
        <v/>
      </c>
      <c r="O1724" s="4" t="n">
        <v>772</v>
      </c>
      <c r="P1724" s="4" t="n">
        <f aca="false">IF(A1724=A1723,P1723+1-M1723,0)</f>
        <v>5</v>
      </c>
    </row>
    <row r="1725" customFormat="false" ht="15" hidden="false" customHeight="false" outlineLevel="0" collapsed="false">
      <c r="A1725" s="29" t="s">
        <v>4157</v>
      </c>
      <c r="B1725" s="29" t="s">
        <v>52</v>
      </c>
      <c r="C1725" s="29" t="s">
        <v>99</v>
      </c>
      <c r="D1725" s="29" t="s">
        <v>4158</v>
      </c>
      <c r="E1725" s="4" t="n">
        <v>11</v>
      </c>
      <c r="F1725" s="4" t="s">
        <v>1327</v>
      </c>
      <c r="G1725" s="4" t="s">
        <v>1386</v>
      </c>
      <c r="H1725" s="4" t="n">
        <v>1993</v>
      </c>
      <c r="I1725" s="4" t="s">
        <v>1387</v>
      </c>
      <c r="J1725" s="25" t="str">
        <f aca="false">IF(M1725=1,"✓","")</f>
        <v/>
      </c>
      <c r="K1725" s="4" t="str">
        <f aca="false">IF(AND(M1725=0,P1725=0),"▶ NEXT","")</f>
        <v/>
      </c>
      <c r="L1725" s="4" t="n">
        <f aca="false">INDEX('Master List'!$F$2:$F$2594,O1725)</f>
        <v>2</v>
      </c>
      <c r="M1725" s="4" t="n">
        <f aca="false">INDEX('Master List'!$G$2:$G$2594,O1725)</f>
        <v>0</v>
      </c>
      <c r="N1725" s="4" t="str">
        <f aca="false">IF(K1725="","",A1725)</f>
        <v/>
      </c>
      <c r="O1725" s="4" t="n">
        <v>996</v>
      </c>
      <c r="P1725" s="4" t="n">
        <f aca="false">IF(A1725=A1724,P1724+1-M1724,0)</f>
        <v>6</v>
      </c>
    </row>
    <row r="1726" customFormat="false" ht="15" hidden="false" customHeight="false" outlineLevel="0" collapsed="false">
      <c r="A1726" s="29" t="s">
        <v>4159</v>
      </c>
      <c r="B1726" s="29" t="s">
        <v>52</v>
      </c>
      <c r="C1726" s="29" t="s">
        <v>99</v>
      </c>
      <c r="D1726" s="29" t="s">
        <v>4160</v>
      </c>
      <c r="E1726" s="4" t="n">
        <v>1</v>
      </c>
      <c r="F1726" s="4" t="s">
        <v>144</v>
      </c>
      <c r="G1726" s="7" t="s">
        <v>871</v>
      </c>
      <c r="H1726" s="4" t="n">
        <v>2015</v>
      </c>
      <c r="I1726" s="4" t="s">
        <v>872</v>
      </c>
      <c r="J1726" s="25" t="str">
        <f aca="false">IF(M1726=1,"✓","")</f>
        <v/>
      </c>
      <c r="K1726" s="4" t="str">
        <f aca="false">IF(AND(M1726=0,P1726=0),"▶ NEXT","")</f>
        <v>▶ NEXT</v>
      </c>
      <c r="L1726" s="4" t="n">
        <f aca="false">INDEX('Master List'!$F$2:$F$2594,O1726)</f>
        <v>2</v>
      </c>
      <c r="M1726" s="4" t="n">
        <f aca="false">INDEX('Master List'!$G$2:$G$2594,O1726)</f>
        <v>0</v>
      </c>
      <c r="N1726" s="4" t="str">
        <f aca="false">IF(K1726="","",A1726)</f>
        <v>N143</v>
      </c>
      <c r="O1726" s="4" t="n">
        <v>1407</v>
      </c>
      <c r="P1726" s="4" t="n">
        <f aca="false">IF(A1726=A1725,P1725+1-M1725,0)</f>
        <v>0</v>
      </c>
    </row>
    <row r="1727" customFormat="false" ht="15" hidden="false" customHeight="false" outlineLevel="0" collapsed="false">
      <c r="A1727" s="29" t="s">
        <v>4159</v>
      </c>
      <c r="B1727" s="29" t="s">
        <v>52</v>
      </c>
      <c r="C1727" s="29" t="s">
        <v>99</v>
      </c>
      <c r="D1727" s="29" t="s">
        <v>4160</v>
      </c>
      <c r="E1727" s="4" t="n">
        <v>2</v>
      </c>
      <c r="F1727" s="4" t="s">
        <v>144</v>
      </c>
      <c r="G1727" s="7" t="s">
        <v>1612</v>
      </c>
      <c r="H1727" s="4" t="n">
        <v>2011</v>
      </c>
      <c r="I1727" s="4" t="s">
        <v>1613</v>
      </c>
      <c r="J1727" s="25" t="str">
        <f aca="false">IF(M1727=1,"✓","")</f>
        <v>✓</v>
      </c>
      <c r="K1727" s="4" t="str">
        <f aca="false">IF(AND(M1727=0,P1727=0),"▶ NEXT","")</f>
        <v/>
      </c>
      <c r="L1727" s="4" t="n">
        <f aca="false">INDEX('Master List'!$F$2:$F$2594,O1727)</f>
        <v>1</v>
      </c>
      <c r="M1727" s="4" t="n">
        <f aca="false">INDEX('Master List'!$G$2:$G$2594,O1727)</f>
        <v>1</v>
      </c>
      <c r="N1727" s="4" t="str">
        <f aca="false">IF(K1727="","",A1727)</f>
        <v/>
      </c>
      <c r="O1727" s="4" t="n">
        <v>1851</v>
      </c>
      <c r="P1727" s="4" t="n">
        <f aca="false">IF(A1727=A1726,P1726+1-M1726,0)</f>
        <v>1</v>
      </c>
    </row>
    <row r="1728" customFormat="false" ht="15" hidden="false" customHeight="false" outlineLevel="0" collapsed="false">
      <c r="A1728" s="29" t="s">
        <v>4159</v>
      </c>
      <c r="B1728" s="29" t="s">
        <v>52</v>
      </c>
      <c r="C1728" s="29" t="s">
        <v>99</v>
      </c>
      <c r="D1728" s="29" t="s">
        <v>4160</v>
      </c>
      <c r="E1728" s="4" t="n">
        <v>3</v>
      </c>
      <c r="F1728" s="4" t="s">
        <v>213</v>
      </c>
      <c r="G1728" s="4" t="s">
        <v>2880</v>
      </c>
      <c r="H1728" s="4" t="n">
        <v>2007</v>
      </c>
      <c r="I1728" s="4" t="s">
        <v>2881</v>
      </c>
      <c r="J1728" s="25" t="str">
        <f aca="false">IF(M1728=1,"✓","")</f>
        <v/>
      </c>
      <c r="K1728" s="4" t="str">
        <f aca="false">IF(AND(M1728=0,P1728=0),"▶ NEXT","")</f>
        <v/>
      </c>
      <c r="L1728" s="4" t="n">
        <f aca="false">INDEX('Master List'!$F$2:$F$2594,O1728)</f>
        <v>1</v>
      </c>
      <c r="M1728" s="4" t="n">
        <f aca="false">INDEX('Master List'!$G$2:$G$2594,O1728)</f>
        <v>0</v>
      </c>
      <c r="N1728" s="4" t="str">
        <f aca="false">IF(K1728="","",A1728)</f>
        <v/>
      </c>
      <c r="O1728" s="4" t="n">
        <v>326</v>
      </c>
      <c r="P1728" s="4" t="n">
        <f aca="false">IF(A1728=A1727,P1727+1-M1727,0)</f>
        <v>1</v>
      </c>
    </row>
    <row r="1729" customFormat="false" ht="15" hidden="false" customHeight="false" outlineLevel="0" collapsed="false">
      <c r="A1729" s="29" t="s">
        <v>4159</v>
      </c>
      <c r="B1729" s="29" t="s">
        <v>52</v>
      </c>
      <c r="C1729" s="29" t="s">
        <v>99</v>
      </c>
      <c r="D1729" s="29" t="s">
        <v>4160</v>
      </c>
      <c r="E1729" s="4" t="n">
        <v>4</v>
      </c>
      <c r="F1729" s="4" t="s">
        <v>213</v>
      </c>
      <c r="G1729" s="4" t="s">
        <v>2855</v>
      </c>
      <c r="H1729" s="4" t="n">
        <v>2006</v>
      </c>
      <c r="I1729" s="4" t="s">
        <v>2856</v>
      </c>
      <c r="J1729" s="25" t="str">
        <f aca="false">IF(M1729=1,"✓","")</f>
        <v/>
      </c>
      <c r="K1729" s="4" t="str">
        <f aca="false">IF(AND(M1729=0,P1729=0),"▶ NEXT","")</f>
        <v/>
      </c>
      <c r="L1729" s="4" t="n">
        <f aca="false">INDEX('Master List'!$F$2:$F$2594,O1729)</f>
        <v>1</v>
      </c>
      <c r="M1729" s="4" t="n">
        <f aca="false">INDEX('Master List'!$G$2:$G$2594,O1729)</f>
        <v>0</v>
      </c>
      <c r="N1729" s="4" t="str">
        <f aca="false">IF(K1729="","",A1729)</f>
        <v/>
      </c>
      <c r="O1729" s="4" t="n">
        <v>405</v>
      </c>
      <c r="P1729" s="4" t="n">
        <f aca="false">IF(A1729=A1728,P1728+1-M1728,0)</f>
        <v>2</v>
      </c>
    </row>
    <row r="1730" customFormat="false" ht="15" hidden="false" customHeight="false" outlineLevel="0" collapsed="false">
      <c r="A1730" s="29" t="s">
        <v>4159</v>
      </c>
      <c r="B1730" s="29" t="s">
        <v>52</v>
      </c>
      <c r="C1730" s="29" t="s">
        <v>99</v>
      </c>
      <c r="D1730" s="29" t="s">
        <v>4160</v>
      </c>
      <c r="E1730" s="4" t="n">
        <v>5</v>
      </c>
      <c r="F1730" s="4" t="s">
        <v>213</v>
      </c>
      <c r="G1730" s="4" t="s">
        <v>1185</v>
      </c>
      <c r="H1730" s="4" t="n">
        <v>2008</v>
      </c>
      <c r="I1730" s="4" t="s">
        <v>342</v>
      </c>
      <c r="J1730" s="25" t="str">
        <f aca="false">IF(M1730=1,"✓","")</f>
        <v/>
      </c>
      <c r="K1730" s="4" t="str">
        <f aca="false">IF(AND(M1730=0,P1730=0),"▶ NEXT","")</f>
        <v/>
      </c>
      <c r="L1730" s="4" t="n">
        <f aca="false">INDEX('Master List'!$F$2:$F$2594,O1730)</f>
        <v>2</v>
      </c>
      <c r="M1730" s="4" t="n">
        <f aca="false">INDEX('Master List'!$G$2:$G$2594,O1730)</f>
        <v>0</v>
      </c>
      <c r="N1730" s="4" t="str">
        <f aca="false">IF(K1730="","",A1730)</f>
        <v/>
      </c>
      <c r="O1730" s="4" t="n">
        <v>563</v>
      </c>
      <c r="P1730" s="4" t="n">
        <f aca="false">IF(A1730=A1729,P1729+1-M1729,0)</f>
        <v>3</v>
      </c>
    </row>
    <row r="1731" customFormat="false" ht="15" hidden="false" customHeight="false" outlineLevel="0" collapsed="false">
      <c r="A1731" s="29" t="s">
        <v>4159</v>
      </c>
      <c r="B1731" s="29" t="s">
        <v>52</v>
      </c>
      <c r="C1731" s="29" t="s">
        <v>99</v>
      </c>
      <c r="D1731" s="29" t="s">
        <v>4160</v>
      </c>
      <c r="E1731" s="4" t="n">
        <v>6</v>
      </c>
      <c r="F1731" s="4" t="s">
        <v>213</v>
      </c>
      <c r="G1731" s="4" t="s">
        <v>3056</v>
      </c>
      <c r="H1731" s="4" t="n">
        <v>2014</v>
      </c>
      <c r="I1731" s="4" t="s">
        <v>1613</v>
      </c>
      <c r="J1731" s="25" t="str">
        <f aca="false">IF(M1731=1,"✓","")</f>
        <v/>
      </c>
      <c r="K1731" s="4" t="str">
        <f aca="false">IF(AND(M1731=0,P1731=0),"▶ NEXT","")</f>
        <v/>
      </c>
      <c r="L1731" s="4" t="n">
        <f aca="false">INDEX('Master List'!$F$2:$F$2594,O1731)</f>
        <v>1</v>
      </c>
      <c r="M1731" s="4" t="n">
        <f aca="false">INDEX('Master List'!$G$2:$G$2594,O1731)</f>
        <v>0</v>
      </c>
      <c r="N1731" s="4" t="str">
        <f aca="false">IF(K1731="","",A1731)</f>
        <v/>
      </c>
      <c r="O1731" s="4" t="n">
        <v>1852</v>
      </c>
      <c r="P1731" s="4" t="n">
        <f aca="false">IF(A1731=A1730,P1730+1-M1730,0)</f>
        <v>4</v>
      </c>
    </row>
    <row r="1732" customFormat="false" ht="15" hidden="false" customHeight="false" outlineLevel="0" collapsed="false">
      <c r="A1732" s="29" t="s">
        <v>4159</v>
      </c>
      <c r="B1732" s="29" t="s">
        <v>52</v>
      </c>
      <c r="C1732" s="29" t="s">
        <v>99</v>
      </c>
      <c r="D1732" s="29" t="s">
        <v>4160</v>
      </c>
      <c r="E1732" s="4" t="n">
        <v>7</v>
      </c>
      <c r="F1732" s="4" t="s">
        <v>213</v>
      </c>
      <c r="G1732" s="4" t="s">
        <v>3057</v>
      </c>
      <c r="H1732" s="4" t="n">
        <v>2014</v>
      </c>
      <c r="I1732" s="4" t="s">
        <v>3058</v>
      </c>
      <c r="J1732" s="25" t="str">
        <f aca="false">IF(M1732=1,"✓","")</f>
        <v/>
      </c>
      <c r="K1732" s="4" t="str">
        <f aca="false">IF(AND(M1732=0,P1732=0),"▶ NEXT","")</f>
        <v/>
      </c>
      <c r="L1732" s="4" t="n">
        <f aca="false">INDEX('Master List'!$F$2:$F$2594,O1732)</f>
        <v>1</v>
      </c>
      <c r="M1732" s="4" t="n">
        <f aca="false">INDEX('Master List'!$G$2:$G$2594,O1732)</f>
        <v>0</v>
      </c>
      <c r="N1732" s="4" t="str">
        <f aca="false">IF(K1732="","",A1732)</f>
        <v/>
      </c>
      <c r="O1732" s="4" t="n">
        <v>1211</v>
      </c>
      <c r="P1732" s="4" t="n">
        <f aca="false">IF(A1732=A1731,P1731+1-M1731,0)</f>
        <v>5</v>
      </c>
    </row>
    <row r="1733" customFormat="false" ht="15" hidden="false" customHeight="false" outlineLevel="0" collapsed="false">
      <c r="A1733" s="29" t="s">
        <v>4159</v>
      </c>
      <c r="B1733" s="29" t="s">
        <v>52</v>
      </c>
      <c r="C1733" s="29" t="s">
        <v>99</v>
      </c>
      <c r="D1733" s="29" t="s">
        <v>4160</v>
      </c>
      <c r="E1733" s="4" t="n">
        <v>8</v>
      </c>
      <c r="F1733" s="4" t="s">
        <v>213</v>
      </c>
      <c r="G1733" s="4" t="s">
        <v>3144</v>
      </c>
      <c r="H1733" s="4" t="n">
        <v>2018</v>
      </c>
      <c r="I1733" s="4" t="s">
        <v>3145</v>
      </c>
      <c r="J1733" s="25" t="str">
        <f aca="false">IF(M1733=1,"✓","")</f>
        <v/>
      </c>
      <c r="K1733" s="4" t="str">
        <f aca="false">IF(AND(M1733=0,P1733=0),"▶ NEXT","")</f>
        <v/>
      </c>
      <c r="L1733" s="4" t="n">
        <f aca="false">INDEX('Master List'!$F$2:$F$2594,O1733)</f>
        <v>1</v>
      </c>
      <c r="M1733" s="4" t="n">
        <f aca="false">INDEX('Master List'!$G$2:$G$2594,O1733)</f>
        <v>0</v>
      </c>
      <c r="N1733" s="4" t="str">
        <f aca="false">IF(K1733="","",A1733)</f>
        <v/>
      </c>
      <c r="O1733" s="4" t="n">
        <v>1515</v>
      </c>
      <c r="P1733" s="4" t="n">
        <f aca="false">IF(A1733=A1732,P1732+1-M1732,0)</f>
        <v>6</v>
      </c>
    </row>
    <row r="1734" customFormat="false" ht="15" hidden="false" customHeight="false" outlineLevel="0" collapsed="false">
      <c r="A1734" s="29" t="s">
        <v>4159</v>
      </c>
      <c r="B1734" s="29" t="s">
        <v>52</v>
      </c>
      <c r="C1734" s="29" t="s">
        <v>99</v>
      </c>
      <c r="D1734" s="29" t="s">
        <v>4160</v>
      </c>
      <c r="E1734" s="4" t="n">
        <v>9</v>
      </c>
      <c r="F1734" s="4" t="s">
        <v>213</v>
      </c>
      <c r="G1734" s="4" t="s">
        <v>1264</v>
      </c>
      <c r="H1734" s="4" t="n">
        <v>2022</v>
      </c>
      <c r="I1734" s="4" t="s">
        <v>1265</v>
      </c>
      <c r="J1734" s="25" t="str">
        <f aca="false">IF(M1734=1,"✓","")</f>
        <v/>
      </c>
      <c r="K1734" s="4" t="str">
        <f aca="false">IF(AND(M1734=0,P1734=0),"▶ NEXT","")</f>
        <v/>
      </c>
      <c r="L1734" s="4" t="n">
        <f aca="false">INDEX('Master List'!$F$2:$F$2594,O1734)</f>
        <v>2</v>
      </c>
      <c r="M1734" s="4" t="n">
        <f aca="false">INDEX('Master List'!$G$2:$G$2594,O1734)</f>
        <v>0</v>
      </c>
      <c r="N1734" s="4" t="str">
        <f aca="false">IF(K1734="","",A1734)</f>
        <v/>
      </c>
      <c r="O1734" s="4" t="n">
        <v>1942</v>
      </c>
      <c r="P1734" s="4" t="n">
        <f aca="false">IF(A1734=A1733,P1733+1-M1733,0)</f>
        <v>7</v>
      </c>
    </row>
    <row r="1735" customFormat="false" ht="15" hidden="false" customHeight="false" outlineLevel="0" collapsed="false">
      <c r="A1735" s="29" t="s">
        <v>4159</v>
      </c>
      <c r="B1735" s="29" t="s">
        <v>52</v>
      </c>
      <c r="C1735" s="29" t="s">
        <v>99</v>
      </c>
      <c r="D1735" s="29" t="s">
        <v>4160</v>
      </c>
      <c r="E1735" s="4" t="n">
        <v>10</v>
      </c>
      <c r="F1735" s="4" t="s">
        <v>1327</v>
      </c>
      <c r="G1735" s="4" t="s">
        <v>3800</v>
      </c>
      <c r="H1735" s="4" t="n">
        <v>2012</v>
      </c>
      <c r="I1735" s="4" t="s">
        <v>3801</v>
      </c>
      <c r="J1735" s="25" t="str">
        <f aca="false">IF(M1735=1,"✓","")</f>
        <v/>
      </c>
      <c r="K1735" s="4" t="str">
        <f aca="false">IF(AND(M1735=0,P1735=0),"▶ NEXT","")</f>
        <v/>
      </c>
      <c r="L1735" s="4" t="n">
        <f aca="false">INDEX('Master List'!$F$2:$F$2594,O1735)</f>
        <v>1</v>
      </c>
      <c r="M1735" s="4" t="n">
        <f aca="false">INDEX('Master List'!$G$2:$G$2594,O1735)</f>
        <v>0</v>
      </c>
      <c r="N1735" s="4" t="str">
        <f aca="false">IF(K1735="","",A1735)</f>
        <v/>
      </c>
      <c r="O1735" s="4" t="n">
        <v>676</v>
      </c>
      <c r="P1735" s="4" t="n">
        <f aca="false">IF(A1735=A1734,P1734+1-M1734,0)</f>
        <v>8</v>
      </c>
    </row>
    <row r="1736" customFormat="false" ht="15" hidden="false" customHeight="false" outlineLevel="0" collapsed="false">
      <c r="A1736" s="29" t="s">
        <v>4161</v>
      </c>
      <c r="B1736" s="29" t="s">
        <v>52</v>
      </c>
      <c r="C1736" s="29" t="s">
        <v>100</v>
      </c>
      <c r="D1736" s="29" t="s">
        <v>4162</v>
      </c>
      <c r="E1736" s="4" t="n">
        <v>1</v>
      </c>
      <c r="F1736" s="4" t="s">
        <v>144</v>
      </c>
      <c r="G1736" s="7" t="s">
        <v>735</v>
      </c>
      <c r="H1736" s="4" t="n">
        <v>1937</v>
      </c>
      <c r="I1736" s="4" t="s">
        <v>736</v>
      </c>
      <c r="J1736" s="25" t="str">
        <f aca="false">IF(M1736=1,"✓","")</f>
        <v/>
      </c>
      <c r="K1736" s="4" t="str">
        <f aca="false">IF(AND(M1736=0,P1736=0),"▶ NEXT","")</f>
        <v>▶ NEXT</v>
      </c>
      <c r="L1736" s="4" t="n">
        <f aca="false">INDEX('Master List'!$F$2:$F$2594,O1736)</f>
        <v>2</v>
      </c>
      <c r="M1736" s="4" t="n">
        <f aca="false">INDEX('Master List'!$G$2:$G$2594,O1736)</f>
        <v>0</v>
      </c>
      <c r="N1736" s="4" t="str">
        <f aca="false">IF(K1736="","",A1736)</f>
        <v>N144</v>
      </c>
      <c r="O1736" s="4" t="n">
        <v>2100</v>
      </c>
      <c r="P1736" s="4" t="n">
        <f aca="false">IF(A1736=A1735,P1735+1-M1735,0)</f>
        <v>0</v>
      </c>
    </row>
    <row r="1737" customFormat="false" ht="15" hidden="false" customHeight="false" outlineLevel="0" collapsed="false">
      <c r="A1737" s="29" t="s">
        <v>4161</v>
      </c>
      <c r="B1737" s="29" t="s">
        <v>52</v>
      </c>
      <c r="C1737" s="29" t="s">
        <v>100</v>
      </c>
      <c r="D1737" s="29" t="s">
        <v>4162</v>
      </c>
      <c r="E1737" s="4" t="n">
        <v>2</v>
      </c>
      <c r="F1737" s="4" t="s">
        <v>144</v>
      </c>
      <c r="G1737" s="7" t="s">
        <v>1439</v>
      </c>
      <c r="H1737" s="4" t="n">
        <v>1940</v>
      </c>
      <c r="I1737" s="4" t="s">
        <v>1440</v>
      </c>
      <c r="J1737" s="25" t="str">
        <f aca="false">IF(M1737=1,"✓","")</f>
        <v/>
      </c>
      <c r="K1737" s="4" t="str">
        <f aca="false">IF(AND(M1737=0,P1737=0),"▶ NEXT","")</f>
        <v/>
      </c>
      <c r="L1737" s="4" t="n">
        <f aca="false">INDEX('Master List'!$F$2:$F$2594,O1737)</f>
        <v>1</v>
      </c>
      <c r="M1737" s="4" t="n">
        <f aca="false">INDEX('Master List'!$G$2:$G$2594,O1737)</f>
        <v>0</v>
      </c>
      <c r="N1737" s="4" t="str">
        <f aca="false">IF(K1737="","",A1737)</f>
        <v/>
      </c>
      <c r="O1737" s="4" t="n">
        <v>1770</v>
      </c>
      <c r="P1737" s="4" t="n">
        <f aca="false">IF(A1737=A1736,P1736+1-M1736,0)</f>
        <v>1</v>
      </c>
    </row>
    <row r="1738" customFormat="false" ht="15" hidden="false" customHeight="false" outlineLevel="0" collapsed="false">
      <c r="A1738" s="29" t="s">
        <v>4161</v>
      </c>
      <c r="B1738" s="29" t="s">
        <v>52</v>
      </c>
      <c r="C1738" s="29" t="s">
        <v>100</v>
      </c>
      <c r="D1738" s="29" t="s">
        <v>4162</v>
      </c>
      <c r="E1738" s="4" t="n">
        <v>3</v>
      </c>
      <c r="F1738" s="4" t="s">
        <v>213</v>
      </c>
      <c r="G1738" s="4" t="s">
        <v>1787</v>
      </c>
      <c r="H1738" s="4" t="n">
        <v>1940</v>
      </c>
      <c r="I1738" s="4" t="s">
        <v>1788</v>
      </c>
      <c r="J1738" s="25" t="str">
        <f aca="false">IF(M1738=1,"✓","")</f>
        <v>✓</v>
      </c>
      <c r="K1738" s="4" t="str">
        <f aca="false">IF(AND(M1738=0,P1738=0),"▶ NEXT","")</f>
        <v/>
      </c>
      <c r="L1738" s="4" t="n">
        <f aca="false">INDEX('Master List'!$F$2:$F$2594,O1738)</f>
        <v>1</v>
      </c>
      <c r="M1738" s="4" t="n">
        <f aca="false">INDEX('Master List'!$G$2:$G$2594,O1738)</f>
        <v>1</v>
      </c>
      <c r="N1738" s="4" t="str">
        <f aca="false">IF(K1738="","",A1738)</f>
        <v/>
      </c>
      <c r="O1738" s="4" t="n">
        <v>781</v>
      </c>
      <c r="P1738" s="4" t="n">
        <f aca="false">IF(A1738=A1737,P1737+1-M1737,0)</f>
        <v>2</v>
      </c>
    </row>
    <row r="1739" customFormat="false" ht="15" hidden="false" customHeight="false" outlineLevel="0" collapsed="false">
      <c r="A1739" s="29" t="s">
        <v>4161</v>
      </c>
      <c r="B1739" s="29" t="s">
        <v>52</v>
      </c>
      <c r="C1739" s="29" t="s">
        <v>100</v>
      </c>
      <c r="D1739" s="29" t="s">
        <v>4162</v>
      </c>
      <c r="E1739" s="4" t="n">
        <v>4</v>
      </c>
      <c r="F1739" s="4" t="s">
        <v>213</v>
      </c>
      <c r="G1739" s="4" t="s">
        <v>1794</v>
      </c>
      <c r="H1739" s="4" t="n">
        <v>1941</v>
      </c>
      <c r="I1739" s="4" t="s">
        <v>1795</v>
      </c>
      <c r="J1739" s="25" t="str">
        <f aca="false">IF(M1739=1,"✓","")</f>
        <v/>
      </c>
      <c r="K1739" s="4" t="str">
        <f aca="false">IF(AND(M1739=0,P1739=0),"▶ NEXT","")</f>
        <v/>
      </c>
      <c r="L1739" s="4" t="n">
        <f aca="false">INDEX('Master List'!$F$2:$F$2594,O1739)</f>
        <v>1</v>
      </c>
      <c r="M1739" s="4" t="n">
        <f aca="false">INDEX('Master List'!$G$2:$G$2594,O1739)</f>
        <v>0</v>
      </c>
      <c r="N1739" s="4" t="str">
        <f aca="false">IF(K1739="","",A1739)</f>
        <v/>
      </c>
      <c r="O1739" s="4" t="n">
        <v>691</v>
      </c>
      <c r="P1739" s="4" t="n">
        <f aca="false">IF(A1739=A1738,P1738+1-M1738,0)</f>
        <v>2</v>
      </c>
    </row>
    <row r="1740" customFormat="false" ht="15" hidden="false" customHeight="false" outlineLevel="0" collapsed="false">
      <c r="A1740" s="29" t="s">
        <v>4161</v>
      </c>
      <c r="B1740" s="29" t="s">
        <v>52</v>
      </c>
      <c r="C1740" s="29" t="s">
        <v>100</v>
      </c>
      <c r="D1740" s="29" t="s">
        <v>4162</v>
      </c>
      <c r="E1740" s="4" t="n">
        <v>5</v>
      </c>
      <c r="F1740" s="4" t="s">
        <v>213</v>
      </c>
      <c r="G1740" s="4" t="s">
        <v>1798</v>
      </c>
      <c r="H1740" s="4" t="n">
        <v>1942</v>
      </c>
      <c r="I1740" s="4" t="s">
        <v>736</v>
      </c>
      <c r="J1740" s="25" t="str">
        <f aca="false">IF(M1740=1,"✓","")</f>
        <v/>
      </c>
      <c r="K1740" s="4" t="str">
        <f aca="false">IF(AND(M1740=0,P1740=0),"▶ NEXT","")</f>
        <v/>
      </c>
      <c r="L1740" s="4" t="n">
        <f aca="false">INDEX('Master List'!$F$2:$F$2594,O1740)</f>
        <v>1</v>
      </c>
      <c r="M1740" s="4" t="n">
        <f aca="false">INDEX('Master List'!$G$2:$G$2594,O1740)</f>
        <v>0</v>
      </c>
      <c r="N1740" s="4" t="str">
        <f aca="false">IF(K1740="","",A1740)</f>
        <v/>
      </c>
      <c r="O1740" s="4" t="n">
        <v>180</v>
      </c>
      <c r="P1740" s="4" t="n">
        <f aca="false">IF(A1740=A1739,P1739+1-M1739,0)</f>
        <v>3</v>
      </c>
    </row>
    <row r="1741" customFormat="false" ht="15" hidden="false" customHeight="false" outlineLevel="0" collapsed="false">
      <c r="A1741" s="29" t="s">
        <v>4161</v>
      </c>
      <c r="B1741" s="29" t="s">
        <v>52</v>
      </c>
      <c r="C1741" s="29" t="s">
        <v>100</v>
      </c>
      <c r="D1741" s="29" t="s">
        <v>4162</v>
      </c>
      <c r="E1741" s="4" t="n">
        <v>6</v>
      </c>
      <c r="F1741" s="4" t="s">
        <v>213</v>
      </c>
      <c r="G1741" s="4" t="s">
        <v>1963</v>
      </c>
      <c r="H1741" s="4" t="n">
        <v>1959</v>
      </c>
      <c r="I1741" s="4" t="s">
        <v>1964</v>
      </c>
      <c r="J1741" s="25" t="str">
        <f aca="false">IF(M1741=1,"✓","")</f>
        <v/>
      </c>
      <c r="K1741" s="4" t="str">
        <f aca="false">IF(AND(M1741=0,P1741=0),"▶ NEXT","")</f>
        <v/>
      </c>
      <c r="L1741" s="4" t="n">
        <f aca="false">INDEX('Master List'!$F$2:$F$2594,O1741)</f>
        <v>1</v>
      </c>
      <c r="M1741" s="4" t="n">
        <f aca="false">INDEX('Master List'!$G$2:$G$2594,O1741)</f>
        <v>0</v>
      </c>
      <c r="N1741" s="4" t="str">
        <f aca="false">IF(K1741="","",A1741)</f>
        <v/>
      </c>
      <c r="O1741" s="4" t="n">
        <v>2090</v>
      </c>
      <c r="P1741" s="4" t="n">
        <f aca="false">IF(A1741=A1740,P1740+1-M1740,0)</f>
        <v>4</v>
      </c>
    </row>
    <row r="1742" customFormat="false" ht="15" hidden="false" customHeight="false" outlineLevel="0" collapsed="false">
      <c r="A1742" s="29" t="s">
        <v>4161</v>
      </c>
      <c r="B1742" s="29" t="s">
        <v>52</v>
      </c>
      <c r="C1742" s="29" t="s">
        <v>100</v>
      </c>
      <c r="D1742" s="29" t="s">
        <v>4162</v>
      </c>
      <c r="E1742" s="4" t="n">
        <v>7</v>
      </c>
      <c r="F1742" s="4" t="s">
        <v>213</v>
      </c>
      <c r="G1742" s="4" t="s">
        <v>2496</v>
      </c>
      <c r="H1742" s="4" t="n">
        <v>1989</v>
      </c>
      <c r="I1742" s="4" t="s">
        <v>2497</v>
      </c>
      <c r="J1742" s="25" t="str">
        <f aca="false">IF(M1742=1,"✓","")</f>
        <v/>
      </c>
      <c r="K1742" s="4" t="str">
        <f aca="false">IF(AND(M1742=0,P1742=0),"▶ NEXT","")</f>
        <v/>
      </c>
      <c r="L1742" s="4" t="n">
        <f aca="false">INDEX('Master List'!$F$2:$F$2594,O1742)</f>
        <v>1</v>
      </c>
      <c r="M1742" s="4" t="n">
        <f aca="false">INDEX('Master List'!$G$2:$G$2594,O1742)</f>
        <v>0</v>
      </c>
      <c r="N1742" s="4" t="str">
        <f aca="false">IF(K1742="","",A1742)</f>
        <v/>
      </c>
      <c r="O1742" s="4" t="n">
        <v>1352</v>
      </c>
      <c r="P1742" s="4" t="n">
        <f aca="false">IF(A1742=A1741,P1741+1-M1741,0)</f>
        <v>5</v>
      </c>
    </row>
    <row r="1743" customFormat="false" ht="15" hidden="false" customHeight="false" outlineLevel="0" collapsed="false">
      <c r="A1743" s="29" t="s">
        <v>4161</v>
      </c>
      <c r="B1743" s="29" t="s">
        <v>52</v>
      </c>
      <c r="C1743" s="29" t="s">
        <v>100</v>
      </c>
      <c r="D1743" s="29" t="s">
        <v>4162</v>
      </c>
      <c r="E1743" s="4" t="n">
        <v>8</v>
      </c>
      <c r="F1743" s="4" t="s">
        <v>213</v>
      </c>
      <c r="G1743" s="4" t="s">
        <v>2528</v>
      </c>
      <c r="H1743" s="4" t="n">
        <v>1991</v>
      </c>
      <c r="I1743" s="4" t="s">
        <v>2529</v>
      </c>
      <c r="J1743" s="25" t="str">
        <f aca="false">IF(M1743=1,"✓","")</f>
        <v/>
      </c>
      <c r="K1743" s="4" t="str">
        <f aca="false">IF(AND(M1743=0,P1743=0),"▶ NEXT","")</f>
        <v/>
      </c>
      <c r="L1743" s="4" t="n">
        <f aca="false">INDEX('Master List'!$F$2:$F$2594,O1743)</f>
        <v>1</v>
      </c>
      <c r="M1743" s="4" t="n">
        <f aca="false">INDEX('Master List'!$G$2:$G$2594,O1743)</f>
        <v>0</v>
      </c>
      <c r="N1743" s="4" t="str">
        <f aca="false">IF(K1743="","",A1743)</f>
        <v/>
      </c>
      <c r="O1743" s="4" t="n">
        <v>209</v>
      </c>
      <c r="P1743" s="4" t="n">
        <f aca="false">IF(A1743=A1742,P1742+1-M1742,0)</f>
        <v>6</v>
      </c>
    </row>
    <row r="1744" customFormat="false" ht="15" hidden="false" customHeight="false" outlineLevel="0" collapsed="false">
      <c r="A1744" s="29" t="s">
        <v>4161</v>
      </c>
      <c r="B1744" s="29" t="s">
        <v>52</v>
      </c>
      <c r="C1744" s="29" t="s">
        <v>100</v>
      </c>
      <c r="D1744" s="29" t="s">
        <v>4162</v>
      </c>
      <c r="E1744" s="4" t="n">
        <v>9</v>
      </c>
      <c r="F1744" s="4" t="s">
        <v>213</v>
      </c>
      <c r="G1744" s="4" t="s">
        <v>2586</v>
      </c>
      <c r="H1744" s="4" t="n">
        <v>1994</v>
      </c>
      <c r="I1744" s="4" t="s">
        <v>2587</v>
      </c>
      <c r="J1744" s="25" t="str">
        <f aca="false">IF(M1744=1,"✓","")</f>
        <v/>
      </c>
      <c r="K1744" s="4" t="str">
        <f aca="false">IF(AND(M1744=0,P1744=0),"▶ NEXT","")</f>
        <v/>
      </c>
      <c r="L1744" s="4" t="n">
        <f aca="false">INDEX('Master List'!$F$2:$F$2594,O1744)</f>
        <v>1</v>
      </c>
      <c r="M1744" s="4" t="n">
        <f aca="false">INDEX('Master List'!$G$2:$G$2594,O1744)</f>
        <v>0</v>
      </c>
      <c r="N1744" s="4" t="str">
        <f aca="false">IF(K1744="","",A1744)</f>
        <v/>
      </c>
      <c r="O1744" s="4" t="n">
        <v>1344</v>
      </c>
      <c r="P1744" s="4" t="n">
        <f aca="false">IF(A1744=A1743,P1743+1-M1743,0)</f>
        <v>7</v>
      </c>
    </row>
    <row r="1745" customFormat="false" ht="15" hidden="false" customHeight="false" outlineLevel="0" collapsed="false">
      <c r="A1745" s="29" t="s">
        <v>4161</v>
      </c>
      <c r="B1745" s="29" t="s">
        <v>52</v>
      </c>
      <c r="C1745" s="29" t="s">
        <v>100</v>
      </c>
      <c r="D1745" s="29" t="s">
        <v>4162</v>
      </c>
      <c r="E1745" s="4" t="n">
        <v>10</v>
      </c>
      <c r="F1745" s="4" t="s">
        <v>1327</v>
      </c>
      <c r="G1745" s="4" t="s">
        <v>3293</v>
      </c>
      <c r="H1745" s="4" t="n">
        <v>1926</v>
      </c>
      <c r="I1745" s="4" t="s">
        <v>3294</v>
      </c>
      <c r="J1745" s="25" t="str">
        <f aca="false">IF(M1745=1,"✓","")</f>
        <v/>
      </c>
      <c r="K1745" s="4" t="str">
        <f aca="false">IF(AND(M1745=0,P1745=0),"▶ NEXT","")</f>
        <v/>
      </c>
      <c r="L1745" s="4" t="n">
        <f aca="false">INDEX('Master List'!$F$2:$F$2594,O1745)</f>
        <v>1</v>
      </c>
      <c r="M1745" s="4" t="n">
        <f aca="false">INDEX('Master List'!$G$2:$G$2594,O1745)</f>
        <v>0</v>
      </c>
      <c r="N1745" s="4" t="str">
        <f aca="false">IF(K1745="","",A1745)</f>
        <v/>
      </c>
      <c r="O1745" s="4" t="n">
        <v>44</v>
      </c>
      <c r="P1745" s="4" t="n">
        <f aca="false">IF(A1745=A1744,P1744+1-M1744,0)</f>
        <v>8</v>
      </c>
    </row>
    <row r="1746" customFormat="false" ht="15" hidden="false" customHeight="false" outlineLevel="0" collapsed="false">
      <c r="A1746" s="29" t="s">
        <v>4161</v>
      </c>
      <c r="B1746" s="29" t="s">
        <v>52</v>
      </c>
      <c r="C1746" s="29" t="s">
        <v>100</v>
      </c>
      <c r="D1746" s="29" t="s">
        <v>4162</v>
      </c>
      <c r="E1746" s="4" t="n">
        <v>11</v>
      </c>
      <c r="F1746" s="4" t="s">
        <v>1327</v>
      </c>
      <c r="G1746" s="4" t="s">
        <v>3389</v>
      </c>
      <c r="H1746" s="4" t="n">
        <v>1957</v>
      </c>
      <c r="I1746" s="4" t="s">
        <v>3390</v>
      </c>
      <c r="J1746" s="25" t="str">
        <f aca="false">IF(M1746=1,"✓","")</f>
        <v/>
      </c>
      <c r="K1746" s="4" t="str">
        <f aca="false">IF(AND(M1746=0,P1746=0),"▶ NEXT","")</f>
        <v/>
      </c>
      <c r="L1746" s="4" t="n">
        <f aca="false">INDEX('Master List'!$F$2:$F$2594,O1746)</f>
        <v>1</v>
      </c>
      <c r="M1746" s="4" t="n">
        <f aca="false">INDEX('Master List'!$G$2:$G$2594,O1746)</f>
        <v>0</v>
      </c>
      <c r="N1746" s="4" t="str">
        <f aca="false">IF(K1746="","",A1746)</f>
        <v/>
      </c>
      <c r="O1746" s="4" t="n">
        <v>2488</v>
      </c>
      <c r="P1746" s="4" t="n">
        <f aca="false">IF(A1746=A1745,P1745+1-M1745,0)</f>
        <v>9</v>
      </c>
    </row>
    <row r="1747" customFormat="false" ht="15" hidden="false" customHeight="false" outlineLevel="0" collapsed="false">
      <c r="A1747" s="29" t="s">
        <v>4163</v>
      </c>
      <c r="B1747" s="29" t="s">
        <v>52</v>
      </c>
      <c r="C1747" s="29" t="s">
        <v>100</v>
      </c>
      <c r="D1747" s="29" t="s">
        <v>4164</v>
      </c>
      <c r="E1747" s="4" t="n">
        <v>1</v>
      </c>
      <c r="F1747" s="4" t="s">
        <v>144</v>
      </c>
      <c r="G1747" s="7" t="s">
        <v>1552</v>
      </c>
      <c r="H1747" s="4" t="n">
        <v>1993</v>
      </c>
      <c r="I1747" s="4" t="s">
        <v>1553</v>
      </c>
      <c r="J1747" s="25" t="str">
        <f aca="false">IF(M1747=1,"✓","")</f>
        <v>✓</v>
      </c>
      <c r="K1747" s="4" t="str">
        <f aca="false">IF(AND(M1747=0,P1747=0),"▶ NEXT","")</f>
        <v/>
      </c>
      <c r="L1747" s="4" t="n">
        <f aca="false">INDEX('Master List'!$F$2:$F$2594,O1747)</f>
        <v>1</v>
      </c>
      <c r="M1747" s="4" t="n">
        <f aca="false">INDEX('Master List'!$G$2:$G$2594,O1747)</f>
        <v>1</v>
      </c>
      <c r="N1747" s="4" t="str">
        <f aca="false">IF(K1747="","",A1747)</f>
        <v/>
      </c>
      <c r="O1747" s="4" t="n">
        <v>1612</v>
      </c>
      <c r="P1747" s="4" t="n">
        <f aca="false">IF(A1747=A1746,P1746+1-M1746,0)</f>
        <v>0</v>
      </c>
    </row>
    <row r="1748" customFormat="false" ht="15" hidden="false" customHeight="false" outlineLevel="0" collapsed="false">
      <c r="A1748" s="29" t="s">
        <v>4163</v>
      </c>
      <c r="B1748" s="29" t="s">
        <v>52</v>
      </c>
      <c r="C1748" s="29" t="s">
        <v>100</v>
      </c>
      <c r="D1748" s="29" t="s">
        <v>4164</v>
      </c>
      <c r="E1748" s="4" t="n">
        <v>2</v>
      </c>
      <c r="F1748" s="4" t="s">
        <v>144</v>
      </c>
      <c r="G1748" s="7" t="s">
        <v>430</v>
      </c>
      <c r="H1748" s="4" t="n">
        <v>2009</v>
      </c>
      <c r="I1748" s="4" t="s">
        <v>274</v>
      </c>
      <c r="J1748" s="25" t="str">
        <f aca="false">IF(M1748=1,"✓","")</f>
        <v>✓</v>
      </c>
      <c r="K1748" s="4" t="str">
        <f aca="false">IF(AND(M1748=0,P1748=0),"▶ NEXT","")</f>
        <v/>
      </c>
      <c r="L1748" s="4" t="n">
        <f aca="false">INDEX('Master List'!$F$2:$F$2594,O1748)</f>
        <v>3</v>
      </c>
      <c r="M1748" s="4" t="n">
        <f aca="false">INDEX('Master List'!$G$2:$G$2594,O1748)</f>
        <v>1</v>
      </c>
      <c r="N1748" s="4" t="str">
        <f aca="false">IF(K1748="","",A1748)</f>
        <v/>
      </c>
      <c r="O1748" s="4" t="n">
        <v>783</v>
      </c>
      <c r="P1748" s="4" t="n">
        <f aca="false">IF(A1748=A1747,P1747+1-M1747,0)</f>
        <v>0</v>
      </c>
    </row>
    <row r="1749" customFormat="false" ht="15" hidden="false" customHeight="false" outlineLevel="0" collapsed="false">
      <c r="A1749" s="29" t="s">
        <v>4163</v>
      </c>
      <c r="B1749" s="29" t="s">
        <v>52</v>
      </c>
      <c r="C1749" s="29" t="s">
        <v>100</v>
      </c>
      <c r="D1749" s="29" t="s">
        <v>4164</v>
      </c>
      <c r="E1749" s="4" t="n">
        <v>3</v>
      </c>
      <c r="F1749" s="4" t="s">
        <v>213</v>
      </c>
      <c r="G1749" s="4" t="s">
        <v>566</v>
      </c>
      <c r="H1749" s="4" t="n">
        <v>1933</v>
      </c>
      <c r="I1749" s="4" t="s">
        <v>567</v>
      </c>
      <c r="J1749" s="25" t="str">
        <f aca="false">IF(M1749=1,"✓","")</f>
        <v/>
      </c>
      <c r="K1749" s="4" t="str">
        <f aca="false">IF(AND(M1749=0,P1749=0),"▶ NEXT","")</f>
        <v>▶ NEXT</v>
      </c>
      <c r="L1749" s="4" t="n">
        <f aca="false">INDEX('Master List'!$F$2:$F$2594,O1749)</f>
        <v>3</v>
      </c>
      <c r="M1749" s="4" t="n">
        <f aca="false">INDEX('Master List'!$G$2:$G$2594,O1749)</f>
        <v>0</v>
      </c>
      <c r="N1749" s="4" t="str">
        <f aca="false">IF(K1749="","",A1749)</f>
        <v>N145</v>
      </c>
      <c r="O1749" s="4" t="n">
        <v>1257</v>
      </c>
      <c r="P1749" s="4" t="n">
        <f aca="false">IF(A1749=A1748,P1748+1-M1748,0)</f>
        <v>0</v>
      </c>
    </row>
    <row r="1750" customFormat="false" ht="15" hidden="false" customHeight="false" outlineLevel="0" collapsed="false">
      <c r="A1750" s="29" t="s">
        <v>4163</v>
      </c>
      <c r="B1750" s="29" t="s">
        <v>52</v>
      </c>
      <c r="C1750" s="29" t="s">
        <v>100</v>
      </c>
      <c r="D1750" s="29" t="s">
        <v>4164</v>
      </c>
      <c r="E1750" s="4" t="n">
        <v>4</v>
      </c>
      <c r="F1750" s="4" t="s">
        <v>213</v>
      </c>
      <c r="G1750" s="4" t="s">
        <v>2029</v>
      </c>
      <c r="H1750" s="4" t="n">
        <v>1963</v>
      </c>
      <c r="I1750" s="4" t="s">
        <v>2030</v>
      </c>
      <c r="J1750" s="25" t="str">
        <f aca="false">IF(M1750=1,"✓","")</f>
        <v/>
      </c>
      <c r="K1750" s="4" t="str">
        <f aca="false">IF(AND(M1750=0,P1750=0),"▶ NEXT","")</f>
        <v/>
      </c>
      <c r="L1750" s="4" t="n">
        <f aca="false">INDEX('Master List'!$F$2:$F$2594,O1750)</f>
        <v>1</v>
      </c>
      <c r="M1750" s="4" t="n">
        <f aca="false">INDEX('Master List'!$G$2:$G$2594,O1750)</f>
        <v>0</v>
      </c>
      <c r="N1750" s="4" t="str">
        <f aca="false">IF(K1750="","",A1750)</f>
        <v/>
      </c>
      <c r="O1750" s="4" t="n">
        <v>1194</v>
      </c>
      <c r="P1750" s="4" t="n">
        <f aca="false">IF(A1750=A1749,P1749+1-M1749,0)</f>
        <v>1</v>
      </c>
    </row>
    <row r="1751" customFormat="false" ht="15" hidden="false" customHeight="false" outlineLevel="0" collapsed="false">
      <c r="A1751" s="29" t="s">
        <v>4163</v>
      </c>
      <c r="B1751" s="29" t="s">
        <v>52</v>
      </c>
      <c r="C1751" s="29" t="s">
        <v>100</v>
      </c>
      <c r="D1751" s="29" t="s">
        <v>4164</v>
      </c>
      <c r="E1751" s="4" t="n">
        <v>5</v>
      </c>
      <c r="F1751" s="4" t="s">
        <v>213</v>
      </c>
      <c r="G1751" s="4" t="s">
        <v>2471</v>
      </c>
      <c r="H1751" s="4" t="n">
        <v>1988</v>
      </c>
      <c r="I1751" s="4" t="s">
        <v>2472</v>
      </c>
      <c r="J1751" s="25" t="str">
        <f aca="false">IF(M1751=1,"✓","")</f>
        <v/>
      </c>
      <c r="K1751" s="4" t="str">
        <f aca="false">IF(AND(M1751=0,P1751=0),"▶ NEXT","")</f>
        <v/>
      </c>
      <c r="L1751" s="4" t="n">
        <f aca="false">INDEX('Master List'!$F$2:$F$2594,O1751)</f>
        <v>1</v>
      </c>
      <c r="M1751" s="4" t="n">
        <f aca="false">INDEX('Master List'!$G$2:$G$2594,O1751)</f>
        <v>0</v>
      </c>
      <c r="N1751" s="4" t="str">
        <f aca="false">IF(K1751="","",A1751)</f>
        <v/>
      </c>
      <c r="O1751" s="4" t="n">
        <v>63</v>
      </c>
      <c r="P1751" s="4" t="n">
        <f aca="false">IF(A1751=A1750,P1750+1-M1750,0)</f>
        <v>2</v>
      </c>
    </row>
    <row r="1752" customFormat="false" ht="15" hidden="false" customHeight="false" outlineLevel="0" collapsed="false">
      <c r="A1752" s="29" t="s">
        <v>4163</v>
      </c>
      <c r="B1752" s="29" t="s">
        <v>52</v>
      </c>
      <c r="C1752" s="29" t="s">
        <v>100</v>
      </c>
      <c r="D1752" s="29" t="s">
        <v>4164</v>
      </c>
      <c r="E1752" s="4" t="n">
        <v>6</v>
      </c>
      <c r="F1752" s="4" t="s">
        <v>213</v>
      </c>
      <c r="G1752" s="4" t="s">
        <v>2568</v>
      </c>
      <c r="H1752" s="4" t="n">
        <v>1993</v>
      </c>
      <c r="I1752" s="4" t="s">
        <v>2569</v>
      </c>
      <c r="J1752" s="25" t="str">
        <f aca="false">IF(M1752=1,"✓","")</f>
        <v/>
      </c>
      <c r="K1752" s="4" t="str">
        <f aca="false">IF(AND(M1752=0,P1752=0),"▶ NEXT","")</f>
        <v/>
      </c>
      <c r="L1752" s="4" t="n">
        <f aca="false">INDEX('Master List'!$F$2:$F$2594,O1752)</f>
        <v>1</v>
      </c>
      <c r="M1752" s="4" t="n">
        <f aca="false">INDEX('Master List'!$G$2:$G$2594,O1752)</f>
        <v>0</v>
      </c>
      <c r="N1752" s="4" t="str">
        <f aca="false">IF(K1752="","",A1752)</f>
        <v/>
      </c>
      <c r="O1752" s="4" t="n">
        <v>2459</v>
      </c>
      <c r="P1752" s="4" t="n">
        <f aca="false">IF(A1752=A1751,P1751+1-M1751,0)</f>
        <v>3</v>
      </c>
    </row>
    <row r="1753" customFormat="false" ht="15" hidden="false" customHeight="false" outlineLevel="0" collapsed="false">
      <c r="A1753" s="29" t="s">
        <v>4163</v>
      </c>
      <c r="B1753" s="29" t="s">
        <v>52</v>
      </c>
      <c r="C1753" s="29" t="s">
        <v>100</v>
      </c>
      <c r="D1753" s="29" t="s">
        <v>4164</v>
      </c>
      <c r="E1753" s="4" t="n">
        <v>7</v>
      </c>
      <c r="F1753" s="4" t="s">
        <v>213</v>
      </c>
      <c r="G1753" s="4" t="s">
        <v>2720</v>
      </c>
      <c r="H1753" s="4" t="n">
        <v>2000</v>
      </c>
      <c r="I1753" s="4" t="s">
        <v>2721</v>
      </c>
      <c r="J1753" s="25" t="str">
        <f aca="false">IF(M1753=1,"✓","")</f>
        <v/>
      </c>
      <c r="K1753" s="4" t="str">
        <f aca="false">IF(AND(M1753=0,P1753=0),"▶ NEXT","")</f>
        <v/>
      </c>
      <c r="L1753" s="4" t="n">
        <f aca="false">INDEX('Master List'!$F$2:$F$2594,O1753)</f>
        <v>1</v>
      </c>
      <c r="M1753" s="4" t="n">
        <f aca="false">INDEX('Master List'!$G$2:$G$2594,O1753)</f>
        <v>0</v>
      </c>
      <c r="N1753" s="4" t="str">
        <f aca="false">IF(K1753="","",A1753)</f>
        <v/>
      </c>
      <c r="O1753" s="4" t="n">
        <v>440</v>
      </c>
      <c r="P1753" s="4" t="n">
        <f aca="false">IF(A1753=A1752,P1752+1-M1752,0)</f>
        <v>4</v>
      </c>
    </row>
    <row r="1754" customFormat="false" ht="15" hidden="false" customHeight="false" outlineLevel="0" collapsed="false">
      <c r="A1754" s="29" t="s">
        <v>4163</v>
      </c>
      <c r="B1754" s="29" t="s">
        <v>52</v>
      </c>
      <c r="C1754" s="29" t="s">
        <v>100</v>
      </c>
      <c r="D1754" s="29" t="s">
        <v>4164</v>
      </c>
      <c r="E1754" s="4" t="n">
        <v>8</v>
      </c>
      <c r="F1754" s="4" t="s">
        <v>213</v>
      </c>
      <c r="G1754" s="4" t="s">
        <v>2924</v>
      </c>
      <c r="H1754" s="4" t="n">
        <v>2009</v>
      </c>
      <c r="I1754" s="4" t="s">
        <v>1553</v>
      </c>
      <c r="J1754" s="25" t="str">
        <f aca="false">IF(M1754=1,"✓","")</f>
        <v>✓</v>
      </c>
      <c r="K1754" s="4" t="str">
        <f aca="false">IF(AND(M1754=0,P1754=0),"▶ NEXT","")</f>
        <v/>
      </c>
      <c r="L1754" s="4" t="n">
        <f aca="false">INDEX('Master List'!$F$2:$F$2594,O1754)</f>
        <v>1</v>
      </c>
      <c r="M1754" s="4" t="n">
        <f aca="false">INDEX('Master List'!$G$2:$G$2594,O1754)</f>
        <v>1</v>
      </c>
      <c r="N1754" s="4" t="str">
        <f aca="false">IF(K1754="","",A1754)</f>
        <v/>
      </c>
      <c r="O1754" s="4" t="n">
        <v>522</v>
      </c>
      <c r="P1754" s="4" t="n">
        <f aca="false">IF(A1754=A1753,P1753+1-M1753,0)</f>
        <v>5</v>
      </c>
    </row>
    <row r="1755" customFormat="false" ht="15" hidden="false" customHeight="false" outlineLevel="0" collapsed="false">
      <c r="A1755" s="29" t="s">
        <v>4163</v>
      </c>
      <c r="B1755" s="29" t="s">
        <v>52</v>
      </c>
      <c r="C1755" s="29" t="s">
        <v>100</v>
      </c>
      <c r="D1755" s="29" t="s">
        <v>4164</v>
      </c>
      <c r="E1755" s="4" t="n">
        <v>9</v>
      </c>
      <c r="F1755" s="4" t="s">
        <v>213</v>
      </c>
      <c r="G1755" s="4" t="s">
        <v>2925</v>
      </c>
      <c r="H1755" s="4" t="n">
        <v>2009</v>
      </c>
      <c r="I1755" s="4" t="s">
        <v>2926</v>
      </c>
      <c r="J1755" s="25" t="str">
        <f aca="false">IF(M1755=1,"✓","")</f>
        <v>✓</v>
      </c>
      <c r="K1755" s="4" t="str">
        <f aca="false">IF(AND(M1755=0,P1755=0),"▶ NEXT","")</f>
        <v/>
      </c>
      <c r="L1755" s="4" t="n">
        <f aca="false">INDEX('Master List'!$F$2:$F$2594,O1755)</f>
        <v>1</v>
      </c>
      <c r="M1755" s="4" t="n">
        <f aca="false">INDEX('Master List'!$G$2:$G$2594,O1755)</f>
        <v>1</v>
      </c>
      <c r="N1755" s="4" t="str">
        <f aca="false">IF(K1755="","",A1755)</f>
        <v/>
      </c>
      <c r="O1755" s="4" t="n">
        <v>1455</v>
      </c>
      <c r="P1755" s="4" t="n">
        <f aca="false">IF(A1755=A1754,P1754+1-M1754,0)</f>
        <v>5</v>
      </c>
    </row>
    <row r="1756" customFormat="false" ht="15" hidden="false" customHeight="false" outlineLevel="0" collapsed="false">
      <c r="A1756" s="29" t="s">
        <v>4163</v>
      </c>
      <c r="B1756" s="29" t="s">
        <v>52</v>
      </c>
      <c r="C1756" s="29" t="s">
        <v>100</v>
      </c>
      <c r="D1756" s="29" t="s">
        <v>4164</v>
      </c>
      <c r="E1756" s="4" t="n">
        <v>10</v>
      </c>
      <c r="F1756" s="4" t="s">
        <v>213</v>
      </c>
      <c r="G1756" s="4" t="s">
        <v>647</v>
      </c>
      <c r="H1756" s="4" t="n">
        <v>2015</v>
      </c>
      <c r="I1756" s="4" t="s">
        <v>648</v>
      </c>
      <c r="J1756" s="25" t="str">
        <f aca="false">IF(M1756=1,"✓","")</f>
        <v/>
      </c>
      <c r="K1756" s="4" t="str">
        <f aca="false">IF(AND(M1756=0,P1756=0),"▶ NEXT","")</f>
        <v/>
      </c>
      <c r="L1756" s="4" t="n">
        <f aca="false">INDEX('Master List'!$F$2:$F$2594,O1756)</f>
        <v>3</v>
      </c>
      <c r="M1756" s="4" t="n">
        <f aca="false">INDEX('Master List'!$G$2:$G$2594,O1756)</f>
        <v>0</v>
      </c>
      <c r="N1756" s="4" t="str">
        <f aca="false">IF(K1756="","",A1756)</f>
        <v/>
      </c>
      <c r="O1756" s="4" t="n">
        <v>114</v>
      </c>
      <c r="P1756" s="4" t="n">
        <f aca="false">IF(A1756=A1755,P1755+1-M1755,0)</f>
        <v>5</v>
      </c>
    </row>
    <row r="1757" customFormat="false" ht="15" hidden="false" customHeight="false" outlineLevel="0" collapsed="false">
      <c r="A1757" s="29" t="s">
        <v>4163</v>
      </c>
      <c r="B1757" s="29" t="s">
        <v>52</v>
      </c>
      <c r="C1757" s="29" t="s">
        <v>100</v>
      </c>
      <c r="D1757" s="29" t="s">
        <v>4164</v>
      </c>
      <c r="E1757" s="4" t="n">
        <v>11</v>
      </c>
      <c r="F1757" s="4" t="s">
        <v>213</v>
      </c>
      <c r="G1757" s="4" t="s">
        <v>3102</v>
      </c>
      <c r="H1757" s="4" t="n">
        <v>2016</v>
      </c>
      <c r="I1757" s="4" t="s">
        <v>3103</v>
      </c>
      <c r="J1757" s="25" t="str">
        <f aca="false">IF(M1757=1,"✓","")</f>
        <v/>
      </c>
      <c r="K1757" s="4" t="str">
        <f aca="false">IF(AND(M1757=0,P1757=0),"▶ NEXT","")</f>
        <v/>
      </c>
      <c r="L1757" s="4" t="n">
        <f aca="false">INDEX('Master List'!$F$2:$F$2594,O1757)</f>
        <v>1</v>
      </c>
      <c r="M1757" s="4" t="n">
        <f aca="false">INDEX('Master List'!$G$2:$G$2594,O1757)</f>
        <v>0</v>
      </c>
      <c r="N1757" s="4" t="str">
        <f aca="false">IF(K1757="","",A1757)</f>
        <v/>
      </c>
      <c r="O1757" s="4" t="n">
        <v>1272</v>
      </c>
      <c r="P1757" s="4" t="n">
        <f aca="false">IF(A1757=A1756,P1756+1-M1756,0)</f>
        <v>6</v>
      </c>
    </row>
    <row r="1758" customFormat="false" ht="15" hidden="false" customHeight="false" outlineLevel="0" collapsed="false">
      <c r="A1758" s="29" t="s">
        <v>4163</v>
      </c>
      <c r="B1758" s="29" t="s">
        <v>52</v>
      </c>
      <c r="C1758" s="29" t="s">
        <v>100</v>
      </c>
      <c r="D1758" s="29" t="s">
        <v>4164</v>
      </c>
      <c r="E1758" s="4" t="n">
        <v>12</v>
      </c>
      <c r="F1758" s="4" t="s">
        <v>213</v>
      </c>
      <c r="G1758" s="4" t="s">
        <v>3209</v>
      </c>
      <c r="H1758" s="4" t="n">
        <v>2021</v>
      </c>
      <c r="I1758" s="4" t="s">
        <v>3210</v>
      </c>
      <c r="J1758" s="25" t="str">
        <f aca="false">IF(M1758=1,"✓","")</f>
        <v>✓</v>
      </c>
      <c r="K1758" s="4" t="str">
        <f aca="false">IF(AND(M1758=0,P1758=0),"▶ NEXT","")</f>
        <v/>
      </c>
      <c r="L1758" s="4" t="n">
        <f aca="false">INDEX('Master List'!$F$2:$F$2594,O1758)</f>
        <v>1</v>
      </c>
      <c r="M1758" s="4" t="n">
        <f aca="false">INDEX('Master List'!$G$2:$G$2594,O1758)</f>
        <v>1</v>
      </c>
      <c r="N1758" s="4" t="str">
        <f aca="false">IF(K1758="","",A1758)</f>
        <v/>
      </c>
      <c r="O1758" s="4" t="n">
        <v>1444</v>
      </c>
      <c r="P1758" s="4" t="n">
        <f aca="false">IF(A1758=A1757,P1757+1-M1757,0)</f>
        <v>7</v>
      </c>
    </row>
    <row r="1759" customFormat="false" ht="15" hidden="false" customHeight="false" outlineLevel="0" collapsed="false">
      <c r="A1759" s="29" t="s">
        <v>4163</v>
      </c>
      <c r="B1759" s="29" t="s">
        <v>52</v>
      </c>
      <c r="C1759" s="29" t="s">
        <v>100</v>
      </c>
      <c r="D1759" s="29" t="s">
        <v>4164</v>
      </c>
      <c r="E1759" s="4" t="n">
        <v>13</v>
      </c>
      <c r="F1759" s="4" t="s">
        <v>213</v>
      </c>
      <c r="G1759" s="4" t="s">
        <v>3225</v>
      </c>
      <c r="H1759" s="4" t="n">
        <v>2022</v>
      </c>
      <c r="I1759" s="4" t="s">
        <v>3226</v>
      </c>
      <c r="J1759" s="25" t="str">
        <f aca="false">IF(M1759=1,"✓","")</f>
        <v/>
      </c>
      <c r="K1759" s="4" t="str">
        <f aca="false">IF(AND(M1759=0,P1759=0),"▶ NEXT","")</f>
        <v/>
      </c>
      <c r="L1759" s="4" t="n">
        <f aca="false">INDEX('Master List'!$F$2:$F$2594,O1759)</f>
        <v>1</v>
      </c>
      <c r="M1759" s="4" t="n">
        <f aca="false">INDEX('Master List'!$G$2:$G$2594,O1759)</f>
        <v>0</v>
      </c>
      <c r="N1759" s="4" t="str">
        <f aca="false">IF(K1759="","",A1759)</f>
        <v/>
      </c>
      <c r="O1759" s="4" t="n">
        <v>971</v>
      </c>
      <c r="P1759" s="4" t="n">
        <f aca="false">IF(A1759=A1758,P1758+1-M1758,0)</f>
        <v>7</v>
      </c>
    </row>
    <row r="1760" customFormat="false" ht="15" hidden="false" customHeight="false" outlineLevel="0" collapsed="false">
      <c r="A1760" s="29" t="s">
        <v>4163</v>
      </c>
      <c r="B1760" s="29" t="s">
        <v>52</v>
      </c>
      <c r="C1760" s="29" t="s">
        <v>100</v>
      </c>
      <c r="D1760" s="29" t="s">
        <v>4164</v>
      </c>
      <c r="E1760" s="4" t="n">
        <v>14</v>
      </c>
      <c r="F1760" s="4" t="s">
        <v>213</v>
      </c>
      <c r="G1760" s="4" t="s">
        <v>3260</v>
      </c>
      <c r="H1760" s="4" t="n">
        <v>2024</v>
      </c>
      <c r="I1760" s="4" t="s">
        <v>2926</v>
      </c>
      <c r="J1760" s="25" t="str">
        <f aca="false">IF(M1760=1,"✓","")</f>
        <v/>
      </c>
      <c r="K1760" s="4" t="str">
        <f aca="false">IF(AND(M1760=0,P1760=0),"▶ NEXT","")</f>
        <v/>
      </c>
      <c r="L1760" s="4" t="n">
        <f aca="false">INDEX('Master List'!$F$2:$F$2594,O1760)</f>
        <v>1</v>
      </c>
      <c r="M1760" s="4" t="n">
        <f aca="false">INDEX('Master List'!$G$2:$G$2594,O1760)</f>
        <v>0</v>
      </c>
      <c r="N1760" s="4" t="str">
        <f aca="false">IF(K1760="","",A1760)</f>
        <v/>
      </c>
      <c r="O1760" s="4" t="n">
        <v>1476</v>
      </c>
      <c r="P1760" s="4" t="n">
        <f aca="false">IF(A1760=A1759,P1759+1-M1759,0)</f>
        <v>8</v>
      </c>
    </row>
    <row r="1761" customFormat="false" ht="15" hidden="false" customHeight="false" outlineLevel="0" collapsed="false">
      <c r="A1761" s="29" t="s">
        <v>4163</v>
      </c>
      <c r="B1761" s="29" t="s">
        <v>52</v>
      </c>
      <c r="C1761" s="29" t="s">
        <v>100</v>
      </c>
      <c r="D1761" s="29" t="s">
        <v>4164</v>
      </c>
      <c r="E1761" s="4" t="n">
        <v>15</v>
      </c>
      <c r="F1761" s="4" t="s">
        <v>1327</v>
      </c>
      <c r="G1761" s="4" t="s">
        <v>3856</v>
      </c>
      <c r="H1761" s="4" t="n">
        <v>2021</v>
      </c>
      <c r="I1761" s="4" t="s">
        <v>3857</v>
      </c>
      <c r="J1761" s="25" t="str">
        <f aca="false">IF(M1761=1,"✓","")</f>
        <v/>
      </c>
      <c r="K1761" s="4" t="str">
        <f aca="false">IF(AND(M1761=0,P1761=0),"▶ NEXT","")</f>
        <v/>
      </c>
      <c r="L1761" s="4" t="n">
        <f aca="false">INDEX('Master List'!$F$2:$F$2594,O1761)</f>
        <v>1</v>
      </c>
      <c r="M1761" s="4" t="n">
        <f aca="false">INDEX('Master List'!$G$2:$G$2594,O1761)</f>
        <v>0</v>
      </c>
      <c r="N1761" s="4" t="str">
        <f aca="false">IF(K1761="","",A1761)</f>
        <v/>
      </c>
      <c r="O1761" s="4" t="n">
        <v>1404</v>
      </c>
      <c r="P1761" s="4" t="n">
        <f aca="false">IF(A1761=A1760,P1760+1-M1760,0)</f>
        <v>9</v>
      </c>
    </row>
    <row r="1762" customFormat="false" ht="15" hidden="false" customHeight="false" outlineLevel="0" collapsed="false">
      <c r="A1762" s="29" t="s">
        <v>4163</v>
      </c>
      <c r="B1762" s="29" t="s">
        <v>52</v>
      </c>
      <c r="C1762" s="29" t="s">
        <v>100</v>
      </c>
      <c r="D1762" s="29" t="s">
        <v>4164</v>
      </c>
      <c r="E1762" s="4" t="n">
        <v>16</v>
      </c>
      <c r="F1762" s="4" t="s">
        <v>1327</v>
      </c>
      <c r="G1762" s="4" t="s">
        <v>3639</v>
      </c>
      <c r="H1762" s="4" t="n">
        <v>1986</v>
      </c>
      <c r="I1762" s="4" t="s">
        <v>3640</v>
      </c>
      <c r="J1762" s="25" t="str">
        <f aca="false">IF(M1762=1,"✓","")</f>
        <v/>
      </c>
      <c r="K1762" s="4" t="str">
        <f aca="false">IF(AND(M1762=0,P1762=0),"▶ NEXT","")</f>
        <v/>
      </c>
      <c r="L1762" s="4" t="n">
        <f aca="false">INDEX('Master List'!$F$2:$F$2594,O1762)</f>
        <v>1</v>
      </c>
      <c r="M1762" s="4" t="n">
        <f aca="false">INDEX('Master List'!$G$2:$G$2594,O1762)</f>
        <v>0</v>
      </c>
      <c r="N1762" s="4" t="str">
        <f aca="false">IF(K1762="","",A1762)</f>
        <v/>
      </c>
      <c r="O1762" s="4" t="n">
        <v>2182</v>
      </c>
      <c r="P1762" s="4" t="n">
        <f aca="false">IF(A1762=A1761,P1761+1-M1761,0)</f>
        <v>10</v>
      </c>
    </row>
    <row r="1763" customFormat="false" ht="15" hidden="false" customHeight="false" outlineLevel="0" collapsed="false">
      <c r="A1763" s="29" t="s">
        <v>4165</v>
      </c>
      <c r="B1763" s="29" t="s">
        <v>52</v>
      </c>
      <c r="C1763" s="29" t="s">
        <v>100</v>
      </c>
      <c r="D1763" s="29" t="s">
        <v>4166</v>
      </c>
      <c r="E1763" s="4" t="n">
        <v>1</v>
      </c>
      <c r="F1763" s="4" t="s">
        <v>144</v>
      </c>
      <c r="G1763" s="7" t="s">
        <v>688</v>
      </c>
      <c r="H1763" s="4" t="n">
        <v>2007</v>
      </c>
      <c r="I1763" s="4" t="s">
        <v>689</v>
      </c>
      <c r="J1763" s="25" t="str">
        <f aca="false">IF(M1763=1,"✓","")</f>
        <v/>
      </c>
      <c r="K1763" s="4" t="str">
        <f aca="false">IF(AND(M1763=0,P1763=0),"▶ NEXT","")</f>
        <v>▶ NEXT</v>
      </c>
      <c r="L1763" s="4" t="n">
        <f aca="false">INDEX('Master List'!$F$2:$F$2594,O1763)</f>
        <v>2</v>
      </c>
      <c r="M1763" s="4" t="n">
        <f aca="false">INDEX('Master List'!$G$2:$G$2594,O1763)</f>
        <v>0</v>
      </c>
      <c r="N1763" s="4" t="str">
        <f aca="false">IF(K1763="","",A1763)</f>
        <v>N146</v>
      </c>
      <c r="O1763" s="4" t="n">
        <v>1748</v>
      </c>
      <c r="P1763" s="4" t="n">
        <f aca="false">IF(A1763=A1762,P1762+1-M1762,0)</f>
        <v>0</v>
      </c>
    </row>
    <row r="1764" customFormat="false" ht="15" hidden="false" customHeight="false" outlineLevel="0" collapsed="false">
      <c r="A1764" s="29" t="s">
        <v>4165</v>
      </c>
      <c r="B1764" s="29" t="s">
        <v>52</v>
      </c>
      <c r="C1764" s="29" t="s">
        <v>100</v>
      </c>
      <c r="D1764" s="29" t="s">
        <v>4166</v>
      </c>
      <c r="E1764" s="4" t="n">
        <v>2</v>
      </c>
      <c r="F1764" s="4" t="s">
        <v>144</v>
      </c>
      <c r="G1764" s="7" t="s">
        <v>862</v>
      </c>
      <c r="H1764" s="4" t="n">
        <v>2008</v>
      </c>
      <c r="I1764" s="4" t="s">
        <v>863</v>
      </c>
      <c r="J1764" s="25" t="str">
        <f aca="false">IF(M1764=1,"✓","")</f>
        <v/>
      </c>
      <c r="K1764" s="4" t="str">
        <f aca="false">IF(AND(M1764=0,P1764=0),"▶ NEXT","")</f>
        <v/>
      </c>
      <c r="L1764" s="4" t="n">
        <f aca="false">INDEX('Master List'!$F$2:$F$2594,O1764)</f>
        <v>2</v>
      </c>
      <c r="M1764" s="4" t="n">
        <f aca="false">INDEX('Master List'!$G$2:$G$2594,O1764)</f>
        <v>0</v>
      </c>
      <c r="N1764" s="4" t="str">
        <f aca="false">IF(K1764="","",A1764)</f>
        <v/>
      </c>
      <c r="O1764" s="4" t="n">
        <v>2460</v>
      </c>
      <c r="P1764" s="4" t="n">
        <f aca="false">IF(A1764=A1763,P1763+1-M1763,0)</f>
        <v>1</v>
      </c>
    </row>
    <row r="1765" customFormat="false" ht="15" hidden="false" customHeight="false" outlineLevel="0" collapsed="false">
      <c r="A1765" s="29" t="s">
        <v>4165</v>
      </c>
      <c r="B1765" s="29" t="s">
        <v>52</v>
      </c>
      <c r="C1765" s="29" t="s">
        <v>100</v>
      </c>
      <c r="D1765" s="29" t="s">
        <v>4166</v>
      </c>
      <c r="E1765" s="4" t="n">
        <v>3</v>
      </c>
      <c r="F1765" s="4" t="s">
        <v>213</v>
      </c>
      <c r="G1765" s="4" t="s">
        <v>2123</v>
      </c>
      <c r="H1765" s="4" t="n">
        <v>1968</v>
      </c>
      <c r="I1765" s="4" t="s">
        <v>2124</v>
      </c>
      <c r="J1765" s="25" t="str">
        <f aca="false">IF(M1765=1,"✓","")</f>
        <v/>
      </c>
      <c r="K1765" s="4" t="str">
        <f aca="false">IF(AND(M1765=0,P1765=0),"▶ NEXT","")</f>
        <v/>
      </c>
      <c r="L1765" s="4" t="n">
        <f aca="false">INDEX('Master List'!$F$2:$F$2594,O1765)</f>
        <v>1</v>
      </c>
      <c r="M1765" s="4" t="n">
        <f aca="false">INDEX('Master List'!$G$2:$G$2594,O1765)</f>
        <v>0</v>
      </c>
      <c r="N1765" s="4" t="str">
        <f aca="false">IF(K1765="","",A1765)</f>
        <v/>
      </c>
      <c r="O1765" s="4" t="n">
        <v>2568</v>
      </c>
      <c r="P1765" s="4" t="n">
        <f aca="false">IF(A1765=A1764,P1764+1-M1764,0)</f>
        <v>2</v>
      </c>
    </row>
    <row r="1766" customFormat="false" ht="15" hidden="false" customHeight="false" outlineLevel="0" collapsed="false">
      <c r="A1766" s="29" t="s">
        <v>4165</v>
      </c>
      <c r="B1766" s="29" t="s">
        <v>52</v>
      </c>
      <c r="C1766" s="29" t="s">
        <v>100</v>
      </c>
      <c r="D1766" s="29" t="s">
        <v>4166</v>
      </c>
      <c r="E1766" s="4" t="n">
        <v>4</v>
      </c>
      <c r="F1766" s="4" t="s">
        <v>213</v>
      </c>
      <c r="G1766" s="4" t="s">
        <v>2226</v>
      </c>
      <c r="H1766" s="4" t="n">
        <v>1973</v>
      </c>
      <c r="I1766" s="4" t="s">
        <v>2227</v>
      </c>
      <c r="J1766" s="25" t="str">
        <f aca="false">IF(M1766=1,"✓","")</f>
        <v/>
      </c>
      <c r="K1766" s="4" t="str">
        <f aca="false">IF(AND(M1766=0,P1766=0),"▶ NEXT","")</f>
        <v/>
      </c>
      <c r="L1766" s="4" t="n">
        <f aca="false">INDEX('Master List'!$F$2:$F$2594,O1766)</f>
        <v>1</v>
      </c>
      <c r="M1766" s="4" t="n">
        <f aca="false">INDEX('Master List'!$G$2:$G$2594,O1766)</f>
        <v>0</v>
      </c>
      <c r="N1766" s="4" t="str">
        <f aca="false">IF(K1766="","",A1766)</f>
        <v/>
      </c>
      <c r="O1766" s="4" t="n">
        <v>784</v>
      </c>
      <c r="P1766" s="4" t="n">
        <f aca="false">IF(A1766=A1765,P1765+1-M1765,0)</f>
        <v>3</v>
      </c>
    </row>
    <row r="1767" customFormat="false" ht="15" hidden="false" customHeight="false" outlineLevel="0" collapsed="false">
      <c r="A1767" s="29" t="s">
        <v>4165</v>
      </c>
      <c r="B1767" s="29" t="s">
        <v>52</v>
      </c>
      <c r="C1767" s="29" t="s">
        <v>100</v>
      </c>
      <c r="D1767" s="29" t="s">
        <v>4166</v>
      </c>
      <c r="E1767" s="4" t="n">
        <v>5</v>
      </c>
      <c r="F1767" s="4" t="s">
        <v>213</v>
      </c>
      <c r="G1767" s="4" t="s">
        <v>2310</v>
      </c>
      <c r="H1767" s="4" t="n">
        <v>1978</v>
      </c>
      <c r="I1767" s="4" t="s">
        <v>2311</v>
      </c>
      <c r="J1767" s="25" t="str">
        <f aca="false">IF(M1767=1,"✓","")</f>
        <v/>
      </c>
      <c r="K1767" s="4" t="str">
        <f aca="false">IF(AND(M1767=0,P1767=0),"▶ NEXT","")</f>
        <v/>
      </c>
      <c r="L1767" s="4" t="n">
        <f aca="false">INDEX('Master List'!$F$2:$F$2594,O1767)</f>
        <v>1</v>
      </c>
      <c r="M1767" s="4" t="n">
        <f aca="false">INDEX('Master List'!$G$2:$G$2594,O1767)</f>
        <v>0</v>
      </c>
      <c r="N1767" s="4" t="str">
        <f aca="false">IF(K1767="","",A1767)</f>
        <v/>
      </c>
      <c r="O1767" s="4" t="n">
        <v>2470</v>
      </c>
      <c r="P1767" s="4" t="n">
        <f aca="false">IF(A1767=A1766,P1766+1-M1766,0)</f>
        <v>4</v>
      </c>
    </row>
    <row r="1768" customFormat="false" ht="15" hidden="false" customHeight="false" outlineLevel="0" collapsed="false">
      <c r="A1768" s="29" t="s">
        <v>4165</v>
      </c>
      <c r="B1768" s="29" t="s">
        <v>52</v>
      </c>
      <c r="C1768" s="29" t="s">
        <v>100</v>
      </c>
      <c r="D1768" s="29" t="s">
        <v>4166</v>
      </c>
      <c r="E1768" s="4" t="n">
        <v>6</v>
      </c>
      <c r="F1768" s="4" t="s">
        <v>213</v>
      </c>
      <c r="G1768" s="4" t="s">
        <v>1078</v>
      </c>
      <c r="H1768" s="4" t="n">
        <v>1986</v>
      </c>
      <c r="I1768" s="4" t="s">
        <v>1079</v>
      </c>
      <c r="J1768" s="25" t="str">
        <f aca="false">IF(M1768=1,"✓","")</f>
        <v/>
      </c>
      <c r="K1768" s="4" t="str">
        <f aca="false">IF(AND(M1768=0,P1768=0),"▶ NEXT","")</f>
        <v/>
      </c>
      <c r="L1768" s="4" t="n">
        <f aca="false">INDEX('Master List'!$F$2:$F$2594,O1768)</f>
        <v>2</v>
      </c>
      <c r="M1768" s="4" t="n">
        <f aca="false">INDEX('Master List'!$G$2:$G$2594,O1768)</f>
        <v>0</v>
      </c>
      <c r="N1768" s="4" t="str">
        <f aca="false">IF(K1768="","",A1768)</f>
        <v/>
      </c>
      <c r="O1768" s="4" t="n">
        <v>2495</v>
      </c>
      <c r="P1768" s="4" t="n">
        <f aca="false">IF(A1768=A1767,P1767+1-M1767,0)</f>
        <v>5</v>
      </c>
    </row>
    <row r="1769" customFormat="false" ht="15" hidden="false" customHeight="false" outlineLevel="0" collapsed="false">
      <c r="A1769" s="29" t="s">
        <v>4165</v>
      </c>
      <c r="B1769" s="29" t="s">
        <v>52</v>
      </c>
      <c r="C1769" s="29" t="s">
        <v>100</v>
      </c>
      <c r="D1769" s="29" t="s">
        <v>4166</v>
      </c>
      <c r="E1769" s="4" t="n">
        <v>7</v>
      </c>
      <c r="F1769" s="4" t="s">
        <v>213</v>
      </c>
      <c r="G1769" s="4" t="s">
        <v>633</v>
      </c>
      <c r="H1769" s="4" t="n">
        <v>2001</v>
      </c>
      <c r="I1769" s="4" t="s">
        <v>320</v>
      </c>
      <c r="J1769" s="25" t="str">
        <f aca="false">IF(M1769=1,"✓","")</f>
        <v>✓</v>
      </c>
      <c r="K1769" s="4" t="str">
        <f aca="false">IF(AND(M1769=0,P1769=0),"▶ NEXT","")</f>
        <v/>
      </c>
      <c r="L1769" s="4" t="n">
        <f aca="false">INDEX('Master List'!$F$2:$F$2594,O1769)</f>
        <v>3</v>
      </c>
      <c r="M1769" s="4" t="n">
        <f aca="false">INDEX('Master List'!$G$2:$G$2594,O1769)</f>
        <v>1</v>
      </c>
      <c r="N1769" s="4" t="str">
        <f aca="false">IF(K1769="","",A1769)</f>
        <v/>
      </c>
      <c r="O1769" s="4" t="n">
        <v>2453</v>
      </c>
      <c r="P1769" s="4" t="n">
        <f aca="false">IF(A1769=A1768,P1768+1-M1768,0)</f>
        <v>6</v>
      </c>
    </row>
    <row r="1770" customFormat="false" ht="15" hidden="false" customHeight="false" outlineLevel="0" collapsed="false">
      <c r="A1770" s="29" t="s">
        <v>4165</v>
      </c>
      <c r="B1770" s="29" t="s">
        <v>52</v>
      </c>
      <c r="C1770" s="29" t="s">
        <v>100</v>
      </c>
      <c r="D1770" s="29" t="s">
        <v>4166</v>
      </c>
      <c r="E1770" s="4" t="n">
        <v>8</v>
      </c>
      <c r="F1770" s="4" t="s">
        <v>213</v>
      </c>
      <c r="G1770" s="4" t="s">
        <v>2803</v>
      </c>
      <c r="H1770" s="4" t="n">
        <v>2003</v>
      </c>
      <c r="I1770" s="4" t="s">
        <v>2804</v>
      </c>
      <c r="J1770" s="25" t="str">
        <f aca="false">IF(M1770=1,"✓","")</f>
        <v/>
      </c>
      <c r="K1770" s="4" t="str">
        <f aca="false">IF(AND(M1770=0,P1770=0),"▶ NEXT","")</f>
        <v/>
      </c>
      <c r="L1770" s="4" t="n">
        <f aca="false">INDEX('Master List'!$F$2:$F$2594,O1770)</f>
        <v>1</v>
      </c>
      <c r="M1770" s="4" t="n">
        <f aca="false">INDEX('Master List'!$G$2:$G$2594,O1770)</f>
        <v>0</v>
      </c>
      <c r="N1770" s="4" t="str">
        <f aca="false">IF(K1770="","",A1770)</f>
        <v/>
      </c>
      <c r="O1770" s="4" t="n">
        <v>2369</v>
      </c>
      <c r="P1770" s="4" t="n">
        <f aca="false">IF(A1770=A1769,P1769+1-M1769,0)</f>
        <v>6</v>
      </c>
    </row>
    <row r="1771" customFormat="false" ht="15" hidden="false" customHeight="false" outlineLevel="0" collapsed="false">
      <c r="A1771" s="29" t="s">
        <v>4165</v>
      </c>
      <c r="B1771" s="29" t="s">
        <v>52</v>
      </c>
      <c r="C1771" s="29" t="s">
        <v>100</v>
      </c>
      <c r="D1771" s="29" t="s">
        <v>4166</v>
      </c>
      <c r="E1771" s="4" t="n">
        <v>9</v>
      </c>
      <c r="F1771" s="4" t="s">
        <v>213</v>
      </c>
      <c r="G1771" s="4" t="s">
        <v>1174</v>
      </c>
      <c r="H1771" s="4" t="n">
        <v>2006</v>
      </c>
      <c r="I1771" s="4" t="s">
        <v>320</v>
      </c>
      <c r="J1771" s="25" t="str">
        <f aca="false">IF(M1771=1,"✓","")</f>
        <v/>
      </c>
      <c r="K1771" s="4" t="str">
        <f aca="false">IF(AND(M1771=0,P1771=0),"▶ NEXT","")</f>
        <v/>
      </c>
      <c r="L1771" s="4" t="n">
        <f aca="false">INDEX('Master List'!$F$2:$F$2594,O1771)</f>
        <v>2</v>
      </c>
      <c r="M1771" s="4" t="n">
        <f aca="false">INDEX('Master List'!$G$2:$G$2594,O1771)</f>
        <v>0</v>
      </c>
      <c r="N1771" s="4" t="str">
        <f aca="false">IF(K1771="","",A1771)</f>
        <v/>
      </c>
      <c r="O1771" s="4" t="n">
        <v>1979</v>
      </c>
      <c r="P1771" s="4" t="n">
        <f aca="false">IF(A1771=A1770,P1770+1-M1770,0)</f>
        <v>7</v>
      </c>
    </row>
    <row r="1772" customFormat="false" ht="15" hidden="false" customHeight="false" outlineLevel="0" collapsed="false">
      <c r="A1772" s="29" t="s">
        <v>4165</v>
      </c>
      <c r="B1772" s="29" t="s">
        <v>52</v>
      </c>
      <c r="C1772" s="29" t="s">
        <v>100</v>
      </c>
      <c r="D1772" s="29" t="s">
        <v>4166</v>
      </c>
      <c r="E1772" s="4" t="n">
        <v>10</v>
      </c>
      <c r="F1772" s="4" t="s">
        <v>213</v>
      </c>
      <c r="G1772" s="4" t="s">
        <v>3211</v>
      </c>
      <c r="H1772" s="4" t="n">
        <v>2021</v>
      </c>
      <c r="I1772" s="4" t="s">
        <v>3212</v>
      </c>
      <c r="J1772" s="25" t="str">
        <f aca="false">IF(M1772=1,"✓","")</f>
        <v/>
      </c>
      <c r="K1772" s="4" t="str">
        <f aca="false">IF(AND(M1772=0,P1772=0),"▶ NEXT","")</f>
        <v/>
      </c>
      <c r="L1772" s="4" t="n">
        <f aca="false">INDEX('Master List'!$F$2:$F$2594,O1772)</f>
        <v>1</v>
      </c>
      <c r="M1772" s="4" t="n">
        <f aca="false">INDEX('Master List'!$G$2:$G$2594,O1772)</f>
        <v>0</v>
      </c>
      <c r="N1772" s="4" t="str">
        <f aca="false">IF(K1772="","",A1772)</f>
        <v/>
      </c>
      <c r="O1772" s="4" t="n">
        <v>819</v>
      </c>
      <c r="P1772" s="4" t="n">
        <f aca="false">IF(A1772=A1771,P1771+1-M1771,0)</f>
        <v>8</v>
      </c>
    </row>
    <row r="1773" customFormat="false" ht="15" hidden="false" customHeight="false" outlineLevel="0" collapsed="false">
      <c r="A1773" s="29" t="s">
        <v>4165</v>
      </c>
      <c r="B1773" s="29" t="s">
        <v>52</v>
      </c>
      <c r="C1773" s="29" t="s">
        <v>100</v>
      </c>
      <c r="D1773" s="29" t="s">
        <v>4166</v>
      </c>
      <c r="E1773" s="4" t="n">
        <v>11</v>
      </c>
      <c r="F1773" s="4" t="s">
        <v>213</v>
      </c>
      <c r="G1773" s="4" t="s">
        <v>3261</v>
      </c>
      <c r="H1773" s="4" t="n">
        <v>2024</v>
      </c>
      <c r="I1773" s="4" t="s">
        <v>3262</v>
      </c>
      <c r="J1773" s="25" t="str">
        <f aca="false">IF(M1773=1,"✓","")</f>
        <v/>
      </c>
      <c r="K1773" s="4" t="str">
        <f aca="false">IF(AND(M1773=0,P1773=0),"▶ NEXT","")</f>
        <v/>
      </c>
      <c r="L1773" s="4" t="n">
        <f aca="false">INDEX('Master List'!$F$2:$F$2594,O1773)</f>
        <v>1</v>
      </c>
      <c r="M1773" s="4" t="n">
        <f aca="false">INDEX('Master List'!$G$2:$G$2594,O1773)</f>
        <v>0</v>
      </c>
      <c r="N1773" s="4" t="str">
        <f aca="false">IF(K1773="","",A1773)</f>
        <v/>
      </c>
      <c r="O1773" s="4" t="n">
        <v>824</v>
      </c>
      <c r="P1773" s="4" t="n">
        <f aca="false">IF(A1773=A1772,P1772+1-M1772,0)</f>
        <v>9</v>
      </c>
    </row>
    <row r="1774" customFormat="false" ht="15" hidden="false" customHeight="false" outlineLevel="0" collapsed="false">
      <c r="A1774" s="29" t="s">
        <v>4165</v>
      </c>
      <c r="B1774" s="29" t="s">
        <v>52</v>
      </c>
      <c r="C1774" s="29" t="s">
        <v>100</v>
      </c>
      <c r="D1774" s="29" t="s">
        <v>4166</v>
      </c>
      <c r="E1774" s="4" t="n">
        <v>12</v>
      </c>
      <c r="F1774" s="4" t="s">
        <v>1327</v>
      </c>
      <c r="G1774" s="4" t="s">
        <v>3518</v>
      </c>
      <c r="H1774" s="4" t="n">
        <v>1973</v>
      </c>
      <c r="I1774" s="4" t="s">
        <v>3519</v>
      </c>
      <c r="J1774" s="25" t="str">
        <f aca="false">IF(M1774=1,"✓","")</f>
        <v/>
      </c>
      <c r="K1774" s="4" t="str">
        <f aca="false">IF(AND(M1774=0,P1774=0),"▶ NEXT","")</f>
        <v/>
      </c>
      <c r="L1774" s="4" t="n">
        <f aca="false">INDEX('Master List'!$F$2:$F$2594,O1774)</f>
        <v>1</v>
      </c>
      <c r="M1774" s="4" t="n">
        <f aca="false">INDEX('Master List'!$G$2:$G$2594,O1774)</f>
        <v>0</v>
      </c>
      <c r="N1774" s="4" t="str">
        <f aca="false">IF(K1774="","",A1774)</f>
        <v/>
      </c>
      <c r="O1774" s="4" t="n">
        <v>1016</v>
      </c>
      <c r="P1774" s="4" t="n">
        <f aca="false">IF(A1774=A1773,P1773+1-M1773,0)</f>
        <v>10</v>
      </c>
    </row>
    <row r="1775" customFormat="false" ht="15" hidden="false" customHeight="false" outlineLevel="0" collapsed="false">
      <c r="A1775" s="29" t="s">
        <v>4165</v>
      </c>
      <c r="B1775" s="29" t="s">
        <v>52</v>
      </c>
      <c r="C1775" s="29" t="s">
        <v>100</v>
      </c>
      <c r="D1775" s="29" t="s">
        <v>4166</v>
      </c>
      <c r="E1775" s="4" t="n">
        <v>13</v>
      </c>
      <c r="F1775" s="4" t="s">
        <v>1327</v>
      </c>
      <c r="G1775" s="4" t="s">
        <v>3802</v>
      </c>
      <c r="H1775" s="4" t="n">
        <v>2012</v>
      </c>
      <c r="I1775" s="4" t="s">
        <v>3803</v>
      </c>
      <c r="J1775" s="25" t="str">
        <f aca="false">IF(M1775=1,"✓","")</f>
        <v>✓</v>
      </c>
      <c r="K1775" s="4" t="str">
        <f aca="false">IF(AND(M1775=0,P1775=0),"▶ NEXT","")</f>
        <v/>
      </c>
      <c r="L1775" s="4" t="n">
        <f aca="false">INDEX('Master List'!$F$2:$F$2594,O1775)</f>
        <v>1</v>
      </c>
      <c r="M1775" s="4" t="n">
        <f aca="false">INDEX('Master List'!$G$2:$G$2594,O1775)</f>
        <v>1</v>
      </c>
      <c r="N1775" s="4" t="str">
        <f aca="false">IF(K1775="","",A1775)</f>
        <v/>
      </c>
      <c r="O1775" s="4" t="n">
        <v>1181</v>
      </c>
      <c r="P1775" s="4" t="n">
        <f aca="false">IF(A1775=A1774,P1774+1-M1774,0)</f>
        <v>11</v>
      </c>
    </row>
    <row r="1776" customFormat="false" ht="15" hidden="false" customHeight="false" outlineLevel="0" collapsed="false">
      <c r="A1776" s="29" t="s">
        <v>4167</v>
      </c>
      <c r="B1776" s="29" t="s">
        <v>52</v>
      </c>
      <c r="C1776" s="29" t="s">
        <v>100</v>
      </c>
      <c r="D1776" s="29" t="s">
        <v>4168</v>
      </c>
      <c r="E1776" s="4" t="n">
        <v>1</v>
      </c>
      <c r="F1776" s="4" t="s">
        <v>144</v>
      </c>
      <c r="G1776" s="7" t="s">
        <v>378</v>
      </c>
      <c r="H1776" s="4" t="n">
        <v>1995</v>
      </c>
      <c r="I1776" s="4" t="s">
        <v>379</v>
      </c>
      <c r="J1776" s="25" t="str">
        <f aca="false">IF(M1776=1,"✓","")</f>
        <v>✓</v>
      </c>
      <c r="K1776" s="4" t="str">
        <f aca="false">IF(AND(M1776=0,P1776=0),"▶ NEXT","")</f>
        <v/>
      </c>
      <c r="L1776" s="4" t="n">
        <f aca="false">INDEX('Master List'!$F$2:$F$2594,O1776)</f>
        <v>4</v>
      </c>
      <c r="M1776" s="4" t="n">
        <f aca="false">INDEX('Master List'!$G$2:$G$2594,O1776)</f>
        <v>1</v>
      </c>
      <c r="N1776" s="4" t="str">
        <f aca="false">IF(K1776="","",A1776)</f>
        <v/>
      </c>
      <c r="O1776" s="4" t="n">
        <v>2353</v>
      </c>
      <c r="P1776" s="4" t="n">
        <f aca="false">IF(A1776=A1775,P1775+1-M1775,0)</f>
        <v>0</v>
      </c>
    </row>
    <row r="1777" customFormat="false" ht="15" hidden="false" customHeight="false" outlineLevel="0" collapsed="false">
      <c r="A1777" s="29" t="s">
        <v>4167</v>
      </c>
      <c r="B1777" s="29" t="s">
        <v>52</v>
      </c>
      <c r="C1777" s="29" t="s">
        <v>100</v>
      </c>
      <c r="D1777" s="29" t="s">
        <v>4168</v>
      </c>
      <c r="E1777" s="4" t="n">
        <v>2</v>
      </c>
      <c r="F1777" s="4" t="s">
        <v>144</v>
      </c>
      <c r="G1777" s="7" t="s">
        <v>1604</v>
      </c>
      <c r="H1777" s="4" t="n">
        <v>2008</v>
      </c>
      <c r="I1777" s="4" t="s">
        <v>1605</v>
      </c>
      <c r="J1777" s="25" t="str">
        <f aca="false">IF(M1777=1,"✓","")</f>
        <v>✓</v>
      </c>
      <c r="K1777" s="4" t="str">
        <f aca="false">IF(AND(M1777=0,P1777=0),"▶ NEXT","")</f>
        <v/>
      </c>
      <c r="L1777" s="4" t="n">
        <f aca="false">INDEX('Master List'!$F$2:$F$2594,O1777)</f>
        <v>1</v>
      </c>
      <c r="M1777" s="4" t="n">
        <f aca="false">INDEX('Master List'!$G$2:$G$2594,O1777)</f>
        <v>1</v>
      </c>
      <c r="N1777" s="4" t="str">
        <f aca="false">IF(K1777="","",A1777)</f>
        <v/>
      </c>
      <c r="O1777" s="4" t="n">
        <v>2457</v>
      </c>
      <c r="P1777" s="4" t="n">
        <f aca="false">IF(A1777=A1776,P1776+1-M1776,0)</f>
        <v>0</v>
      </c>
    </row>
    <row r="1778" customFormat="false" ht="15" hidden="false" customHeight="false" outlineLevel="0" collapsed="false">
      <c r="A1778" s="29" t="s">
        <v>4167</v>
      </c>
      <c r="B1778" s="29" t="s">
        <v>52</v>
      </c>
      <c r="C1778" s="29" t="s">
        <v>100</v>
      </c>
      <c r="D1778" s="29" t="s">
        <v>4168</v>
      </c>
      <c r="E1778" s="4" t="n">
        <v>3</v>
      </c>
      <c r="F1778" s="4" t="s">
        <v>213</v>
      </c>
      <c r="G1778" s="4" t="s">
        <v>2705</v>
      </c>
      <c r="H1778" s="4" t="n">
        <v>1999</v>
      </c>
      <c r="I1778" s="4" t="s">
        <v>379</v>
      </c>
      <c r="J1778" s="25" t="str">
        <f aca="false">IF(M1778=1,"✓","")</f>
        <v>✓</v>
      </c>
      <c r="K1778" s="4" t="str">
        <f aca="false">IF(AND(M1778=0,P1778=0),"▶ NEXT","")</f>
        <v/>
      </c>
      <c r="L1778" s="4" t="n">
        <f aca="false">INDEX('Master List'!$F$2:$F$2594,O1778)</f>
        <v>1</v>
      </c>
      <c r="M1778" s="4" t="n">
        <f aca="false">INDEX('Master List'!$G$2:$G$2594,O1778)</f>
        <v>1</v>
      </c>
      <c r="N1778" s="4" t="str">
        <f aca="false">IF(K1778="","",A1778)</f>
        <v/>
      </c>
      <c r="O1778" s="4" t="n">
        <v>2354</v>
      </c>
      <c r="P1778" s="4" t="n">
        <f aca="false">IF(A1778=A1777,P1777+1-M1777,0)</f>
        <v>0</v>
      </c>
    </row>
    <row r="1779" customFormat="false" ht="15" hidden="false" customHeight="false" outlineLevel="0" collapsed="false">
      <c r="A1779" s="29" t="s">
        <v>4167</v>
      </c>
      <c r="B1779" s="29" t="s">
        <v>52</v>
      </c>
      <c r="C1779" s="29" t="s">
        <v>100</v>
      </c>
      <c r="D1779" s="29" t="s">
        <v>4168</v>
      </c>
      <c r="E1779" s="4" t="n">
        <v>4</v>
      </c>
      <c r="F1779" s="4" t="s">
        <v>213</v>
      </c>
      <c r="G1779" s="4" t="s">
        <v>2750</v>
      </c>
      <c r="H1779" s="4" t="n">
        <v>2001</v>
      </c>
      <c r="I1779" s="4" t="s">
        <v>2751</v>
      </c>
      <c r="J1779" s="25" t="str">
        <f aca="false">IF(M1779=1,"✓","")</f>
        <v>✓</v>
      </c>
      <c r="K1779" s="4" t="str">
        <f aca="false">IF(AND(M1779=0,P1779=0),"▶ NEXT","")</f>
        <v/>
      </c>
      <c r="L1779" s="4" t="n">
        <f aca="false">INDEX('Master List'!$F$2:$F$2594,O1779)</f>
        <v>1</v>
      </c>
      <c r="M1779" s="4" t="n">
        <f aca="false">INDEX('Master List'!$G$2:$G$2594,O1779)</f>
        <v>1</v>
      </c>
      <c r="N1779" s="4" t="str">
        <f aca="false">IF(K1779="","",A1779)</f>
        <v/>
      </c>
      <c r="O1779" s="4" t="n">
        <v>1526</v>
      </c>
      <c r="P1779" s="4" t="n">
        <f aca="false">IF(A1779=A1778,P1778+1-M1778,0)</f>
        <v>0</v>
      </c>
    </row>
    <row r="1780" customFormat="false" ht="15" hidden="false" customHeight="false" outlineLevel="0" collapsed="false">
      <c r="A1780" s="29" t="s">
        <v>4167</v>
      </c>
      <c r="B1780" s="29" t="s">
        <v>52</v>
      </c>
      <c r="C1780" s="29" t="s">
        <v>100</v>
      </c>
      <c r="D1780" s="29" t="s">
        <v>4168</v>
      </c>
      <c r="E1780" s="4" t="n">
        <v>5</v>
      </c>
      <c r="F1780" s="4" t="s">
        <v>213</v>
      </c>
      <c r="G1780" s="4" t="s">
        <v>2805</v>
      </c>
      <c r="H1780" s="4" t="n">
        <v>2003</v>
      </c>
      <c r="I1780" s="4" t="s">
        <v>1605</v>
      </c>
      <c r="J1780" s="25" t="str">
        <f aca="false">IF(M1780=1,"✓","")</f>
        <v/>
      </c>
      <c r="K1780" s="4" t="str">
        <f aca="false">IF(AND(M1780=0,P1780=0),"▶ NEXT","")</f>
        <v>▶ NEXT</v>
      </c>
      <c r="L1780" s="4" t="n">
        <f aca="false">INDEX('Master List'!$F$2:$F$2594,O1780)</f>
        <v>1</v>
      </c>
      <c r="M1780" s="4" t="n">
        <f aca="false">INDEX('Master List'!$G$2:$G$2594,O1780)</f>
        <v>0</v>
      </c>
      <c r="N1780" s="4" t="str">
        <f aca="false">IF(K1780="","",A1780)</f>
        <v>N147</v>
      </c>
      <c r="O1780" s="4" t="n">
        <v>805</v>
      </c>
      <c r="P1780" s="4" t="n">
        <f aca="false">IF(A1780=A1779,P1779+1-M1779,0)</f>
        <v>0</v>
      </c>
    </row>
    <row r="1781" customFormat="false" ht="15" hidden="false" customHeight="false" outlineLevel="0" collapsed="false">
      <c r="A1781" s="29" t="s">
        <v>4167</v>
      </c>
      <c r="B1781" s="29" t="s">
        <v>52</v>
      </c>
      <c r="C1781" s="29" t="s">
        <v>100</v>
      </c>
      <c r="D1781" s="29" t="s">
        <v>4168</v>
      </c>
      <c r="E1781" s="4" t="n">
        <v>6</v>
      </c>
      <c r="F1781" s="4" t="s">
        <v>213</v>
      </c>
      <c r="G1781" s="4" t="s">
        <v>2821</v>
      </c>
      <c r="H1781" s="4" t="n">
        <v>2004</v>
      </c>
      <c r="I1781" s="4" t="s">
        <v>1179</v>
      </c>
      <c r="J1781" s="25" t="str">
        <f aca="false">IF(M1781=1,"✓","")</f>
        <v>✓</v>
      </c>
      <c r="K1781" s="4" t="str">
        <f aca="false">IF(AND(M1781=0,P1781=0),"▶ NEXT","")</f>
        <v/>
      </c>
      <c r="L1781" s="4" t="n">
        <f aca="false">INDEX('Master List'!$F$2:$F$2594,O1781)</f>
        <v>1</v>
      </c>
      <c r="M1781" s="4" t="n">
        <f aca="false">INDEX('Master List'!$G$2:$G$2594,O1781)</f>
        <v>1</v>
      </c>
      <c r="N1781" s="4" t="str">
        <f aca="false">IF(K1781="","",A1781)</f>
        <v/>
      </c>
      <c r="O1781" s="4" t="n">
        <v>1135</v>
      </c>
      <c r="P1781" s="4" t="n">
        <f aca="false">IF(A1781=A1780,P1780+1-M1780,0)</f>
        <v>1</v>
      </c>
    </row>
    <row r="1782" customFormat="false" ht="15" hidden="false" customHeight="false" outlineLevel="0" collapsed="false">
      <c r="A1782" s="29" t="s">
        <v>4167</v>
      </c>
      <c r="B1782" s="29" t="s">
        <v>52</v>
      </c>
      <c r="C1782" s="29" t="s">
        <v>100</v>
      </c>
      <c r="D1782" s="29" t="s">
        <v>4168</v>
      </c>
      <c r="E1782" s="4" t="n">
        <v>7</v>
      </c>
      <c r="F1782" s="4" t="s">
        <v>213</v>
      </c>
      <c r="G1782" s="4" t="s">
        <v>1178</v>
      </c>
      <c r="H1782" s="4" t="n">
        <v>2007</v>
      </c>
      <c r="I1782" s="4" t="s">
        <v>1179</v>
      </c>
      <c r="J1782" s="25" t="str">
        <f aca="false">IF(M1782=1,"✓","")</f>
        <v>✓</v>
      </c>
      <c r="K1782" s="4" t="str">
        <f aca="false">IF(AND(M1782=0,P1782=0),"▶ NEXT","")</f>
        <v/>
      </c>
      <c r="L1782" s="4" t="n">
        <f aca="false">INDEX('Master List'!$F$2:$F$2594,O1782)</f>
        <v>2</v>
      </c>
      <c r="M1782" s="4" t="n">
        <f aca="false">INDEX('Master List'!$G$2:$G$2594,O1782)</f>
        <v>1</v>
      </c>
      <c r="N1782" s="4" t="str">
        <f aca="false">IF(K1782="","",A1782)</f>
        <v/>
      </c>
      <c r="O1782" s="4" t="n">
        <v>1861</v>
      </c>
      <c r="P1782" s="4" t="n">
        <f aca="false">IF(A1782=A1781,P1781+1-M1781,0)</f>
        <v>1</v>
      </c>
    </row>
    <row r="1783" customFormat="false" ht="15" hidden="false" customHeight="false" outlineLevel="0" collapsed="false">
      <c r="A1783" s="29" t="s">
        <v>4167</v>
      </c>
      <c r="B1783" s="29" t="s">
        <v>52</v>
      </c>
      <c r="C1783" s="29" t="s">
        <v>100</v>
      </c>
      <c r="D1783" s="29" t="s">
        <v>4168</v>
      </c>
      <c r="E1783" s="4" t="n">
        <v>8</v>
      </c>
      <c r="F1783" s="4" t="s">
        <v>213</v>
      </c>
      <c r="G1783" s="4" t="s">
        <v>2927</v>
      </c>
      <c r="H1783" s="4" t="n">
        <v>2009</v>
      </c>
      <c r="I1783" s="4" t="s">
        <v>2751</v>
      </c>
      <c r="J1783" s="25" t="str">
        <f aca="false">IF(M1783=1,"✓","")</f>
        <v>✓</v>
      </c>
      <c r="K1783" s="4" t="str">
        <f aca="false">IF(AND(M1783=0,P1783=0),"▶ NEXT","")</f>
        <v/>
      </c>
      <c r="L1783" s="4" t="n">
        <f aca="false">INDEX('Master List'!$F$2:$F$2594,O1783)</f>
        <v>1</v>
      </c>
      <c r="M1783" s="4" t="n">
        <f aca="false">INDEX('Master List'!$G$2:$G$2594,O1783)</f>
        <v>1</v>
      </c>
      <c r="N1783" s="4" t="str">
        <f aca="false">IF(K1783="","",A1783)</f>
        <v/>
      </c>
      <c r="O1783" s="4" t="n">
        <v>2413</v>
      </c>
      <c r="P1783" s="4" t="n">
        <f aca="false">IF(A1783=A1782,P1782+1-M1782,0)</f>
        <v>1</v>
      </c>
    </row>
    <row r="1784" customFormat="false" ht="15" hidden="false" customHeight="false" outlineLevel="0" collapsed="false">
      <c r="A1784" s="29" t="s">
        <v>4167</v>
      </c>
      <c r="B1784" s="29" t="s">
        <v>52</v>
      </c>
      <c r="C1784" s="29" t="s">
        <v>100</v>
      </c>
      <c r="D1784" s="29" t="s">
        <v>4168</v>
      </c>
      <c r="E1784" s="4" t="n">
        <v>9</v>
      </c>
      <c r="F1784" s="4" t="s">
        <v>213</v>
      </c>
      <c r="G1784" s="4" t="s">
        <v>3077</v>
      </c>
      <c r="H1784" s="4" t="n">
        <v>2015</v>
      </c>
      <c r="I1784" s="4" t="s">
        <v>2751</v>
      </c>
      <c r="J1784" s="25" t="str">
        <f aca="false">IF(M1784=1,"✓","")</f>
        <v/>
      </c>
      <c r="K1784" s="4" t="str">
        <f aca="false">IF(AND(M1784=0,P1784=0),"▶ NEXT","")</f>
        <v/>
      </c>
      <c r="L1784" s="4" t="n">
        <f aca="false">INDEX('Master List'!$F$2:$F$2594,O1784)</f>
        <v>1</v>
      </c>
      <c r="M1784" s="4" t="n">
        <f aca="false">INDEX('Master List'!$G$2:$G$2594,O1784)</f>
        <v>0</v>
      </c>
      <c r="N1784" s="4" t="str">
        <f aca="false">IF(K1784="","",A1784)</f>
        <v/>
      </c>
      <c r="O1784" s="4" t="n">
        <v>1151</v>
      </c>
      <c r="P1784" s="4" t="n">
        <f aca="false">IF(A1784=A1783,P1783+1-M1783,0)</f>
        <v>1</v>
      </c>
    </row>
    <row r="1785" customFormat="false" ht="15" hidden="false" customHeight="false" outlineLevel="0" collapsed="false">
      <c r="A1785" s="29" t="s">
        <v>4167</v>
      </c>
      <c r="B1785" s="29" t="s">
        <v>52</v>
      </c>
      <c r="C1785" s="29" t="s">
        <v>100</v>
      </c>
      <c r="D1785" s="29" t="s">
        <v>4168</v>
      </c>
      <c r="E1785" s="4" t="n">
        <v>10</v>
      </c>
      <c r="F1785" s="4" t="s">
        <v>213</v>
      </c>
      <c r="G1785" s="4" t="s">
        <v>3146</v>
      </c>
      <c r="H1785" s="4" t="n">
        <v>2018</v>
      </c>
      <c r="I1785" s="4" t="s">
        <v>3147</v>
      </c>
      <c r="J1785" s="25" t="str">
        <f aca="false">IF(M1785=1,"✓","")</f>
        <v/>
      </c>
      <c r="K1785" s="4" t="str">
        <f aca="false">IF(AND(M1785=0,P1785=0),"▶ NEXT","")</f>
        <v/>
      </c>
      <c r="L1785" s="4" t="n">
        <f aca="false">INDEX('Master List'!$F$2:$F$2594,O1785)</f>
        <v>1</v>
      </c>
      <c r="M1785" s="4" t="n">
        <f aca="false">INDEX('Master List'!$G$2:$G$2594,O1785)</f>
        <v>0</v>
      </c>
      <c r="N1785" s="4" t="str">
        <f aca="false">IF(K1785="","",A1785)</f>
        <v/>
      </c>
      <c r="O1785" s="4" t="n">
        <v>2132</v>
      </c>
      <c r="P1785" s="4" t="n">
        <f aca="false">IF(A1785=A1784,P1784+1-M1784,0)</f>
        <v>2</v>
      </c>
    </row>
    <row r="1786" customFormat="false" ht="15" hidden="false" customHeight="false" outlineLevel="0" collapsed="false">
      <c r="A1786" s="29" t="s">
        <v>4167</v>
      </c>
      <c r="B1786" s="29" t="s">
        <v>52</v>
      </c>
      <c r="C1786" s="29" t="s">
        <v>100</v>
      </c>
      <c r="D1786" s="29" t="s">
        <v>4168</v>
      </c>
      <c r="E1786" s="4" t="n">
        <v>11</v>
      </c>
      <c r="F1786" s="4" t="s">
        <v>1327</v>
      </c>
      <c r="G1786" s="4" t="s">
        <v>3708</v>
      </c>
      <c r="H1786" s="4" t="n">
        <v>1999</v>
      </c>
      <c r="I1786" s="4" t="s">
        <v>1179</v>
      </c>
      <c r="J1786" s="25" t="str">
        <f aca="false">IF(M1786=1,"✓","")</f>
        <v>✓</v>
      </c>
      <c r="K1786" s="4" t="str">
        <f aca="false">IF(AND(M1786=0,P1786=0),"▶ NEXT","")</f>
        <v/>
      </c>
      <c r="L1786" s="4" t="n">
        <f aca="false">INDEX('Master List'!$F$2:$F$2594,O1786)</f>
        <v>1</v>
      </c>
      <c r="M1786" s="4" t="n">
        <f aca="false">INDEX('Master List'!$G$2:$G$2594,O1786)</f>
        <v>1</v>
      </c>
      <c r="N1786" s="4" t="str">
        <f aca="false">IF(K1786="","",A1786)</f>
        <v/>
      </c>
      <c r="O1786" s="4" t="n">
        <v>1166</v>
      </c>
      <c r="P1786" s="4" t="n">
        <f aca="false">IF(A1786=A1785,P1785+1-M1785,0)</f>
        <v>3</v>
      </c>
    </row>
    <row r="1787" customFormat="false" ht="15" hidden="false" customHeight="false" outlineLevel="0" collapsed="false">
      <c r="A1787" s="29" t="s">
        <v>4169</v>
      </c>
      <c r="B1787" s="29" t="s">
        <v>52</v>
      </c>
      <c r="C1787" s="29" t="s">
        <v>101</v>
      </c>
      <c r="D1787" s="29" t="s">
        <v>4170</v>
      </c>
      <c r="E1787" s="4" t="n">
        <v>1</v>
      </c>
      <c r="F1787" s="4" t="s">
        <v>144</v>
      </c>
      <c r="G1787" s="7" t="s">
        <v>723</v>
      </c>
      <c r="H1787" s="4" t="n">
        <v>1922</v>
      </c>
      <c r="I1787" s="4" t="s">
        <v>724</v>
      </c>
      <c r="J1787" s="25" t="str">
        <f aca="false">IF(M1787=1,"✓","")</f>
        <v/>
      </c>
      <c r="K1787" s="4" t="str">
        <f aca="false">IF(AND(M1787=0,P1787=0),"▶ NEXT","")</f>
        <v>▶ NEXT</v>
      </c>
      <c r="L1787" s="4" t="n">
        <f aca="false">INDEX('Master List'!$F$2:$F$2594,O1787)</f>
        <v>2</v>
      </c>
      <c r="M1787" s="4" t="n">
        <f aca="false">INDEX('Master List'!$G$2:$G$2594,O1787)</f>
        <v>0</v>
      </c>
      <c r="N1787" s="4" t="str">
        <f aca="false">IF(K1787="","",A1787)</f>
        <v>N148</v>
      </c>
      <c r="O1787" s="4" t="n">
        <v>1584</v>
      </c>
      <c r="P1787" s="4" t="n">
        <f aca="false">IF(A1787=A1786,P1786+1-M1786,0)</f>
        <v>0</v>
      </c>
    </row>
    <row r="1788" customFormat="false" ht="15" hidden="false" customHeight="false" outlineLevel="0" collapsed="false">
      <c r="A1788" s="29" t="s">
        <v>4169</v>
      </c>
      <c r="B1788" s="29" t="s">
        <v>52</v>
      </c>
      <c r="C1788" s="29" t="s">
        <v>101</v>
      </c>
      <c r="D1788" s="29" t="s">
        <v>4170</v>
      </c>
      <c r="E1788" s="4" t="n">
        <v>2</v>
      </c>
      <c r="F1788" s="4" t="s">
        <v>144</v>
      </c>
      <c r="G1788" s="7" t="s">
        <v>180</v>
      </c>
      <c r="H1788" s="4" t="n">
        <v>1929</v>
      </c>
      <c r="I1788" s="4" t="s">
        <v>181</v>
      </c>
      <c r="J1788" s="25" t="str">
        <f aca="false">IF(M1788=1,"✓","")</f>
        <v/>
      </c>
      <c r="K1788" s="4" t="str">
        <f aca="false">IF(AND(M1788=0,P1788=0),"▶ NEXT","")</f>
        <v/>
      </c>
      <c r="L1788" s="4" t="n">
        <f aca="false">INDEX('Master List'!$F$2:$F$2594,O1788)</f>
        <v>7</v>
      </c>
      <c r="M1788" s="4" t="n">
        <f aca="false">INDEX('Master List'!$G$2:$G$2594,O1788)</f>
        <v>0</v>
      </c>
      <c r="N1788" s="4" t="str">
        <f aca="false">IF(K1788="","",A1788)</f>
        <v/>
      </c>
      <c r="O1788" s="4" t="n">
        <v>1434</v>
      </c>
      <c r="P1788" s="4" t="n">
        <f aca="false">IF(A1788=A1787,P1787+1-M1787,0)</f>
        <v>1</v>
      </c>
    </row>
    <row r="1789" customFormat="false" ht="15" hidden="false" customHeight="false" outlineLevel="0" collapsed="false">
      <c r="A1789" s="29" t="s">
        <v>4169</v>
      </c>
      <c r="B1789" s="29" t="s">
        <v>52</v>
      </c>
      <c r="C1789" s="29" t="s">
        <v>101</v>
      </c>
      <c r="D1789" s="29" t="s">
        <v>4170</v>
      </c>
      <c r="E1789" s="4" t="n">
        <v>3</v>
      </c>
      <c r="F1789" s="4" t="s">
        <v>213</v>
      </c>
      <c r="G1789" s="4" t="s">
        <v>1691</v>
      </c>
      <c r="H1789" s="4" t="n">
        <v>1927</v>
      </c>
      <c r="I1789" s="4" t="s">
        <v>1692</v>
      </c>
      <c r="J1789" s="25" t="str">
        <f aca="false">IF(M1789=1,"✓","")</f>
        <v/>
      </c>
      <c r="K1789" s="4" t="str">
        <f aca="false">IF(AND(M1789=0,P1789=0),"▶ NEXT","")</f>
        <v/>
      </c>
      <c r="L1789" s="4" t="n">
        <f aca="false">INDEX('Master List'!$F$2:$F$2594,O1789)</f>
        <v>1</v>
      </c>
      <c r="M1789" s="4" t="n">
        <f aca="false">INDEX('Master List'!$G$2:$G$2594,O1789)</f>
        <v>0</v>
      </c>
      <c r="N1789" s="4" t="str">
        <f aca="false">IF(K1789="","",A1789)</f>
        <v/>
      </c>
      <c r="O1789" s="4" t="n">
        <v>227</v>
      </c>
      <c r="P1789" s="4" t="n">
        <f aca="false">IF(A1789=A1788,P1788+1-M1788,0)</f>
        <v>2</v>
      </c>
    </row>
    <row r="1790" customFormat="false" ht="15" hidden="false" customHeight="false" outlineLevel="0" collapsed="false">
      <c r="A1790" s="29" t="s">
        <v>4169</v>
      </c>
      <c r="B1790" s="29" t="s">
        <v>52</v>
      </c>
      <c r="C1790" s="29" t="s">
        <v>101</v>
      </c>
      <c r="D1790" s="29" t="s">
        <v>4170</v>
      </c>
      <c r="E1790" s="4" t="n">
        <v>4</v>
      </c>
      <c r="F1790" s="4" t="s">
        <v>213</v>
      </c>
      <c r="G1790" s="4" t="s">
        <v>1760</v>
      </c>
      <c r="H1790" s="4" t="n">
        <v>1936</v>
      </c>
      <c r="I1790" s="4" t="s">
        <v>1761</v>
      </c>
      <c r="J1790" s="25" t="str">
        <f aca="false">IF(M1790=1,"✓","")</f>
        <v/>
      </c>
      <c r="K1790" s="4" t="str">
        <f aca="false">IF(AND(M1790=0,P1790=0),"▶ NEXT","")</f>
        <v/>
      </c>
      <c r="L1790" s="4" t="n">
        <f aca="false">INDEX('Master List'!$F$2:$F$2594,O1790)</f>
        <v>1</v>
      </c>
      <c r="M1790" s="4" t="n">
        <f aca="false">INDEX('Master List'!$G$2:$G$2594,O1790)</f>
        <v>0</v>
      </c>
      <c r="N1790" s="4" t="str">
        <f aca="false">IF(K1790="","",A1790)</f>
        <v/>
      </c>
      <c r="O1790" s="4" t="n">
        <v>1603</v>
      </c>
      <c r="P1790" s="4" t="n">
        <f aca="false">IF(A1790=A1789,P1789+1-M1789,0)</f>
        <v>3</v>
      </c>
    </row>
    <row r="1791" customFormat="false" ht="15" hidden="false" customHeight="false" outlineLevel="0" collapsed="false">
      <c r="A1791" s="29" t="s">
        <v>4169</v>
      </c>
      <c r="B1791" s="29" t="s">
        <v>52</v>
      </c>
      <c r="C1791" s="29" t="s">
        <v>101</v>
      </c>
      <c r="D1791" s="29" t="s">
        <v>4170</v>
      </c>
      <c r="E1791" s="4" t="n">
        <v>5</v>
      </c>
      <c r="F1791" s="4" t="s">
        <v>213</v>
      </c>
      <c r="G1791" s="4" t="s">
        <v>1750</v>
      </c>
      <c r="H1791" s="4" t="n">
        <v>1933</v>
      </c>
      <c r="I1791" s="4" t="s">
        <v>402</v>
      </c>
      <c r="J1791" s="25" t="str">
        <f aca="false">IF(M1791=1,"✓","")</f>
        <v/>
      </c>
      <c r="K1791" s="4" t="str">
        <f aca="false">IF(AND(M1791=0,P1791=0),"▶ NEXT","")</f>
        <v/>
      </c>
      <c r="L1791" s="4" t="n">
        <f aca="false">INDEX('Master List'!$F$2:$F$2594,O1791)</f>
        <v>1</v>
      </c>
      <c r="M1791" s="4" t="n">
        <f aca="false">INDEX('Master List'!$G$2:$G$2594,O1791)</f>
        <v>0</v>
      </c>
      <c r="N1791" s="4" t="str">
        <f aca="false">IF(K1791="","",A1791)</f>
        <v/>
      </c>
      <c r="O1791" s="4" t="n">
        <v>1290</v>
      </c>
      <c r="P1791" s="4" t="n">
        <f aca="false">IF(A1791=A1790,P1790+1-M1790,0)</f>
        <v>4</v>
      </c>
    </row>
    <row r="1792" customFormat="false" ht="15" hidden="false" customHeight="false" outlineLevel="0" collapsed="false">
      <c r="A1792" s="29" t="s">
        <v>4169</v>
      </c>
      <c r="B1792" s="29" t="s">
        <v>52</v>
      </c>
      <c r="C1792" s="29" t="s">
        <v>101</v>
      </c>
      <c r="D1792" s="29" t="s">
        <v>4170</v>
      </c>
      <c r="E1792" s="4" t="n">
        <v>6</v>
      </c>
      <c r="F1792" s="4" t="s">
        <v>213</v>
      </c>
      <c r="G1792" s="4" t="s">
        <v>1755</v>
      </c>
      <c r="H1792" s="4" t="n">
        <v>1935</v>
      </c>
      <c r="I1792" s="4" t="s">
        <v>1739</v>
      </c>
      <c r="J1792" s="25" t="str">
        <f aca="false">IF(M1792=1,"✓","")</f>
        <v/>
      </c>
      <c r="K1792" s="4" t="str">
        <f aca="false">IF(AND(M1792=0,P1792=0),"▶ NEXT","")</f>
        <v/>
      </c>
      <c r="L1792" s="4" t="n">
        <f aca="false">INDEX('Master List'!$F$2:$F$2594,O1792)</f>
        <v>1</v>
      </c>
      <c r="M1792" s="4" t="n">
        <f aca="false">INDEX('Master List'!$G$2:$G$2594,O1792)</f>
        <v>0</v>
      </c>
      <c r="N1792" s="4" t="str">
        <f aca="false">IF(K1792="","",A1792)</f>
        <v/>
      </c>
      <c r="O1792" s="4" t="n">
        <v>2371</v>
      </c>
      <c r="P1792" s="4" t="n">
        <f aca="false">IF(A1792=A1791,P1791+1-M1791,0)</f>
        <v>5</v>
      </c>
    </row>
    <row r="1793" customFormat="false" ht="15" hidden="false" customHeight="false" outlineLevel="0" collapsed="false">
      <c r="A1793" s="29" t="s">
        <v>4169</v>
      </c>
      <c r="B1793" s="29" t="s">
        <v>52</v>
      </c>
      <c r="C1793" s="29" t="s">
        <v>101</v>
      </c>
      <c r="D1793" s="29" t="s">
        <v>4170</v>
      </c>
      <c r="E1793" s="4" t="n">
        <v>7</v>
      </c>
      <c r="F1793" s="4" t="s">
        <v>213</v>
      </c>
      <c r="G1793" s="4" t="s">
        <v>1799</v>
      </c>
      <c r="H1793" s="4" t="n">
        <v>1942</v>
      </c>
      <c r="I1793" s="4" t="s">
        <v>1800</v>
      </c>
      <c r="J1793" s="25" t="str">
        <f aca="false">IF(M1793=1,"✓","")</f>
        <v/>
      </c>
      <c r="K1793" s="4" t="str">
        <f aca="false">IF(AND(M1793=0,P1793=0),"▶ NEXT","")</f>
        <v/>
      </c>
      <c r="L1793" s="4" t="n">
        <f aca="false">INDEX('Master List'!$F$2:$F$2594,O1793)</f>
        <v>1</v>
      </c>
      <c r="M1793" s="4" t="n">
        <f aca="false">INDEX('Master List'!$G$2:$G$2594,O1793)</f>
        <v>0</v>
      </c>
      <c r="N1793" s="4" t="str">
        <f aca="false">IF(K1793="","",A1793)</f>
        <v/>
      </c>
      <c r="O1793" s="4" t="n">
        <v>1347</v>
      </c>
      <c r="P1793" s="4" t="n">
        <f aca="false">IF(A1793=A1792,P1792+1-M1792,0)</f>
        <v>6</v>
      </c>
    </row>
    <row r="1794" customFormat="false" ht="15" hidden="false" customHeight="false" outlineLevel="0" collapsed="false">
      <c r="A1794" s="29" t="s">
        <v>4169</v>
      </c>
      <c r="B1794" s="29" t="s">
        <v>52</v>
      </c>
      <c r="C1794" s="29" t="s">
        <v>101</v>
      </c>
      <c r="D1794" s="29" t="s">
        <v>4170</v>
      </c>
      <c r="E1794" s="4" t="n">
        <v>8</v>
      </c>
      <c r="F1794" s="4" t="s">
        <v>213</v>
      </c>
      <c r="G1794" s="4" t="s">
        <v>659</v>
      </c>
      <c r="H1794" s="4" t="n">
        <v>1956</v>
      </c>
      <c r="I1794" s="4" t="s">
        <v>272</v>
      </c>
      <c r="J1794" s="25" t="str">
        <f aca="false">IF(M1794=1,"✓","")</f>
        <v/>
      </c>
      <c r="K1794" s="4" t="str">
        <f aca="false">IF(AND(M1794=0,P1794=0),"▶ NEXT","")</f>
        <v/>
      </c>
      <c r="L1794" s="4" t="n">
        <f aca="false">INDEX('Master List'!$F$2:$F$2594,O1794)</f>
        <v>3</v>
      </c>
      <c r="M1794" s="4" t="n">
        <f aca="false">INDEX('Master List'!$G$2:$G$2594,O1794)</f>
        <v>0</v>
      </c>
      <c r="N1794" s="4" t="str">
        <f aca="false">IF(K1794="","",A1794)</f>
        <v/>
      </c>
      <c r="O1794" s="4" t="n">
        <v>1600</v>
      </c>
      <c r="P1794" s="4" t="n">
        <f aca="false">IF(A1794=A1793,P1793+1-M1793,0)</f>
        <v>7</v>
      </c>
    </row>
    <row r="1795" customFormat="false" ht="15" hidden="false" customHeight="false" outlineLevel="0" collapsed="false">
      <c r="A1795" s="29" t="s">
        <v>4169</v>
      </c>
      <c r="B1795" s="29" t="s">
        <v>52</v>
      </c>
      <c r="C1795" s="29" t="s">
        <v>101</v>
      </c>
      <c r="D1795" s="29" t="s">
        <v>4170</v>
      </c>
      <c r="E1795" s="4" t="n">
        <v>9</v>
      </c>
      <c r="F1795" s="4" t="s">
        <v>213</v>
      </c>
      <c r="G1795" s="4" t="s">
        <v>2362</v>
      </c>
      <c r="H1795" s="4" t="n">
        <v>1982</v>
      </c>
      <c r="I1795" s="4" t="s">
        <v>2363</v>
      </c>
      <c r="J1795" s="25" t="str">
        <f aca="false">IF(M1795=1,"✓","")</f>
        <v>✓</v>
      </c>
      <c r="K1795" s="4" t="str">
        <f aca="false">IF(AND(M1795=0,P1795=0),"▶ NEXT","")</f>
        <v/>
      </c>
      <c r="L1795" s="4" t="n">
        <f aca="false">INDEX('Master List'!$F$2:$F$2594,O1795)</f>
        <v>1</v>
      </c>
      <c r="M1795" s="4" t="n">
        <f aca="false">INDEX('Master List'!$G$2:$G$2594,O1795)</f>
        <v>1</v>
      </c>
      <c r="N1795" s="4" t="str">
        <f aca="false">IF(K1795="","",A1795)</f>
        <v/>
      </c>
      <c r="O1795" s="4" t="n">
        <v>1270</v>
      </c>
      <c r="P1795" s="4" t="n">
        <f aca="false">IF(A1795=A1794,P1794+1-M1794,0)</f>
        <v>8</v>
      </c>
    </row>
    <row r="1796" customFormat="false" ht="15" hidden="false" customHeight="false" outlineLevel="0" collapsed="false">
      <c r="A1796" s="29" t="s">
        <v>4169</v>
      </c>
      <c r="B1796" s="29" t="s">
        <v>52</v>
      </c>
      <c r="C1796" s="29" t="s">
        <v>101</v>
      </c>
      <c r="D1796" s="29" t="s">
        <v>4170</v>
      </c>
      <c r="E1796" s="4" t="n">
        <v>10</v>
      </c>
      <c r="F1796" s="4" t="s">
        <v>1327</v>
      </c>
      <c r="G1796" s="4" t="s">
        <v>3304</v>
      </c>
      <c r="H1796" s="4" t="n">
        <v>1929</v>
      </c>
      <c r="I1796" s="4" t="s">
        <v>3305</v>
      </c>
      <c r="J1796" s="25" t="str">
        <f aca="false">IF(M1796=1,"✓","")</f>
        <v/>
      </c>
      <c r="K1796" s="4" t="str">
        <f aca="false">IF(AND(M1796=0,P1796=0),"▶ NEXT","")</f>
        <v/>
      </c>
      <c r="L1796" s="4" t="n">
        <f aca="false">INDEX('Master List'!$F$2:$F$2594,O1796)</f>
        <v>1</v>
      </c>
      <c r="M1796" s="4" t="n">
        <f aca="false">INDEX('Master List'!$G$2:$G$2594,O1796)</f>
        <v>0</v>
      </c>
      <c r="N1796" s="4" t="str">
        <f aca="false">IF(K1796="","",A1796)</f>
        <v/>
      </c>
      <c r="O1796" s="4" t="n">
        <v>1854</v>
      </c>
      <c r="P1796" s="4" t="n">
        <f aca="false">IF(A1796=A1795,P1795+1-M1795,0)</f>
        <v>8</v>
      </c>
    </row>
    <row r="1797" customFormat="false" ht="15" hidden="false" customHeight="false" outlineLevel="0" collapsed="false">
      <c r="A1797" s="29" t="s">
        <v>4169</v>
      </c>
      <c r="B1797" s="29" t="s">
        <v>52</v>
      </c>
      <c r="C1797" s="29" t="s">
        <v>101</v>
      </c>
      <c r="D1797" s="29" t="s">
        <v>4170</v>
      </c>
      <c r="E1797" s="4" t="n">
        <v>11</v>
      </c>
      <c r="F1797" s="4" t="s">
        <v>1327</v>
      </c>
      <c r="G1797" s="4" t="s">
        <v>3308</v>
      </c>
      <c r="H1797" s="4" t="n">
        <v>1930</v>
      </c>
      <c r="I1797" s="4" t="s">
        <v>732</v>
      </c>
      <c r="J1797" s="25" t="str">
        <f aca="false">IF(M1797=1,"✓","")</f>
        <v/>
      </c>
      <c r="K1797" s="4" t="str">
        <f aca="false">IF(AND(M1797=0,P1797=0),"▶ NEXT","")</f>
        <v/>
      </c>
      <c r="L1797" s="4" t="n">
        <f aca="false">INDEX('Master List'!$F$2:$F$2594,O1797)</f>
        <v>1</v>
      </c>
      <c r="M1797" s="4" t="n">
        <f aca="false">INDEX('Master List'!$G$2:$G$2594,O1797)</f>
        <v>0</v>
      </c>
      <c r="N1797" s="4" t="str">
        <f aca="false">IF(K1797="","",A1797)</f>
        <v/>
      </c>
      <c r="O1797" s="4" t="n">
        <v>1824</v>
      </c>
      <c r="P1797" s="4" t="n">
        <f aca="false">IF(A1797=A1796,P1796+1-M1796,0)</f>
        <v>9</v>
      </c>
    </row>
    <row r="1798" customFormat="false" ht="15" hidden="false" customHeight="false" outlineLevel="0" collapsed="false">
      <c r="A1798" s="29" t="s">
        <v>4171</v>
      </c>
      <c r="B1798" s="29" t="s">
        <v>52</v>
      </c>
      <c r="C1798" s="29" t="s">
        <v>101</v>
      </c>
      <c r="D1798" s="29" t="s">
        <v>4172</v>
      </c>
      <c r="E1798" s="4" t="n">
        <v>1</v>
      </c>
      <c r="F1798" s="4" t="s">
        <v>144</v>
      </c>
      <c r="G1798" s="7" t="s">
        <v>1478</v>
      </c>
      <c r="H1798" s="4" t="n">
        <v>1969</v>
      </c>
      <c r="I1798" s="4" t="s">
        <v>1479</v>
      </c>
      <c r="J1798" s="25" t="str">
        <f aca="false">IF(M1798=1,"✓","")</f>
        <v/>
      </c>
      <c r="K1798" s="4" t="str">
        <f aca="false">IF(AND(M1798=0,P1798=0),"▶ NEXT","")</f>
        <v>▶ NEXT</v>
      </c>
      <c r="L1798" s="4" t="n">
        <f aca="false">INDEX('Master List'!$F$2:$F$2594,O1798)</f>
        <v>1</v>
      </c>
      <c r="M1798" s="4" t="n">
        <f aca="false">INDEX('Master List'!$G$2:$G$2594,O1798)</f>
        <v>0</v>
      </c>
      <c r="N1798" s="4" t="str">
        <f aca="false">IF(K1798="","",A1798)</f>
        <v>N149</v>
      </c>
      <c r="O1798" s="4" t="n">
        <v>1959</v>
      </c>
      <c r="P1798" s="4" t="n">
        <f aca="false">IF(A1798=A1797,P1797+1-M1797,0)</f>
        <v>0</v>
      </c>
    </row>
    <row r="1799" customFormat="false" ht="15" hidden="false" customHeight="false" outlineLevel="0" collapsed="false">
      <c r="A1799" s="29" t="s">
        <v>4171</v>
      </c>
      <c r="B1799" s="29" t="s">
        <v>52</v>
      </c>
      <c r="C1799" s="29" t="s">
        <v>101</v>
      </c>
      <c r="D1799" s="29" t="s">
        <v>4172</v>
      </c>
      <c r="E1799" s="4" t="n">
        <v>2</v>
      </c>
      <c r="F1799" s="4" t="s">
        <v>144</v>
      </c>
      <c r="G1799" s="7" t="s">
        <v>1507</v>
      </c>
      <c r="H1799" s="4" t="n">
        <v>1975</v>
      </c>
      <c r="I1799" s="4" t="s">
        <v>1508</v>
      </c>
      <c r="J1799" s="25" t="str">
        <f aca="false">IF(M1799=1,"✓","")</f>
        <v/>
      </c>
      <c r="K1799" s="4" t="str">
        <f aca="false">IF(AND(M1799=0,P1799=0),"▶ NEXT","")</f>
        <v/>
      </c>
      <c r="L1799" s="4" t="n">
        <f aca="false">INDEX('Master List'!$F$2:$F$2594,O1799)</f>
        <v>1</v>
      </c>
      <c r="M1799" s="4" t="n">
        <f aca="false">INDEX('Master List'!$G$2:$G$2594,O1799)</f>
        <v>0</v>
      </c>
      <c r="N1799" s="4" t="str">
        <f aca="false">IF(K1799="","",A1799)</f>
        <v/>
      </c>
      <c r="O1799" s="4" t="n">
        <v>965</v>
      </c>
      <c r="P1799" s="4" t="n">
        <f aca="false">IF(A1799=A1798,P1798+1-M1798,0)</f>
        <v>1</v>
      </c>
    </row>
    <row r="1800" customFormat="false" ht="15" hidden="false" customHeight="false" outlineLevel="0" collapsed="false">
      <c r="A1800" s="29" t="s">
        <v>4171</v>
      </c>
      <c r="B1800" s="29" t="s">
        <v>52</v>
      </c>
      <c r="C1800" s="29" t="s">
        <v>101</v>
      </c>
      <c r="D1800" s="29" t="s">
        <v>4172</v>
      </c>
      <c r="E1800" s="4" t="n">
        <v>3</v>
      </c>
      <c r="F1800" s="4" t="s">
        <v>213</v>
      </c>
      <c r="G1800" s="4" t="s">
        <v>1979</v>
      </c>
      <c r="H1800" s="4" t="n">
        <v>1960</v>
      </c>
      <c r="I1800" s="4" t="s">
        <v>1980</v>
      </c>
      <c r="J1800" s="25" t="str">
        <f aca="false">IF(M1800=1,"✓","")</f>
        <v/>
      </c>
      <c r="K1800" s="4" t="str">
        <f aca="false">IF(AND(M1800=0,P1800=0),"▶ NEXT","")</f>
        <v/>
      </c>
      <c r="L1800" s="4" t="n">
        <f aca="false">INDEX('Master List'!$F$2:$F$2594,O1800)</f>
        <v>1</v>
      </c>
      <c r="M1800" s="4" t="n">
        <f aca="false">INDEX('Master List'!$G$2:$G$2594,O1800)</f>
        <v>0</v>
      </c>
      <c r="N1800" s="4" t="str">
        <f aca="false">IF(K1800="","",A1800)</f>
        <v/>
      </c>
      <c r="O1800" s="4" t="n">
        <v>1811</v>
      </c>
      <c r="P1800" s="4" t="n">
        <f aca="false">IF(A1800=A1799,P1799+1-M1799,0)</f>
        <v>2</v>
      </c>
    </row>
    <row r="1801" customFormat="false" ht="15" hidden="false" customHeight="false" outlineLevel="0" collapsed="false">
      <c r="A1801" s="29" t="s">
        <v>4171</v>
      </c>
      <c r="B1801" s="29" t="s">
        <v>52</v>
      </c>
      <c r="C1801" s="29" t="s">
        <v>101</v>
      </c>
      <c r="D1801" s="29" t="s">
        <v>4172</v>
      </c>
      <c r="E1801" s="4" t="n">
        <v>4</v>
      </c>
      <c r="F1801" s="4" t="s">
        <v>213</v>
      </c>
      <c r="G1801" s="4" t="s">
        <v>1995</v>
      </c>
      <c r="H1801" s="4" t="n">
        <v>1961</v>
      </c>
      <c r="I1801" s="4" t="s">
        <v>1996</v>
      </c>
      <c r="J1801" s="25" t="str">
        <f aca="false">IF(M1801=1,"✓","")</f>
        <v/>
      </c>
      <c r="K1801" s="4" t="str">
        <f aca="false">IF(AND(M1801=0,P1801=0),"▶ NEXT","")</f>
        <v/>
      </c>
      <c r="L1801" s="4" t="n">
        <f aca="false">INDEX('Master List'!$F$2:$F$2594,O1801)</f>
        <v>1</v>
      </c>
      <c r="M1801" s="4" t="n">
        <f aca="false">INDEX('Master List'!$G$2:$G$2594,O1801)</f>
        <v>0</v>
      </c>
      <c r="N1801" s="4" t="str">
        <f aca="false">IF(K1801="","",A1801)</f>
        <v/>
      </c>
      <c r="O1801" s="4" t="n">
        <v>457</v>
      </c>
      <c r="P1801" s="4" t="n">
        <f aca="false">IF(A1801=A1800,P1800+1-M1800,0)</f>
        <v>3</v>
      </c>
    </row>
    <row r="1802" customFormat="false" ht="15" hidden="false" customHeight="false" outlineLevel="0" collapsed="false">
      <c r="A1802" s="29" t="s">
        <v>4171</v>
      </c>
      <c r="B1802" s="29" t="s">
        <v>52</v>
      </c>
      <c r="C1802" s="29" t="s">
        <v>101</v>
      </c>
      <c r="D1802" s="29" t="s">
        <v>4172</v>
      </c>
      <c r="E1802" s="4" t="n">
        <v>5</v>
      </c>
      <c r="F1802" s="4" t="s">
        <v>213</v>
      </c>
      <c r="G1802" s="4" t="s">
        <v>2104</v>
      </c>
      <c r="H1802" s="4" t="n">
        <v>1967</v>
      </c>
      <c r="I1802" s="4" t="s">
        <v>2105</v>
      </c>
      <c r="J1802" s="25" t="str">
        <f aca="false">IF(M1802=1,"✓","")</f>
        <v/>
      </c>
      <c r="K1802" s="4" t="str">
        <f aca="false">IF(AND(M1802=0,P1802=0),"▶ NEXT","")</f>
        <v/>
      </c>
      <c r="L1802" s="4" t="n">
        <f aca="false">INDEX('Master List'!$F$2:$F$2594,O1802)</f>
        <v>1</v>
      </c>
      <c r="M1802" s="4" t="n">
        <f aca="false">INDEX('Master List'!$G$2:$G$2594,O1802)</f>
        <v>0</v>
      </c>
      <c r="N1802" s="4" t="str">
        <f aca="false">IF(K1802="","",A1802)</f>
        <v/>
      </c>
      <c r="O1802" s="4" t="n">
        <v>658</v>
      </c>
      <c r="P1802" s="4" t="n">
        <f aca="false">IF(A1802=A1801,P1801+1-M1801,0)</f>
        <v>4</v>
      </c>
    </row>
    <row r="1803" customFormat="false" ht="15" hidden="false" customHeight="false" outlineLevel="0" collapsed="false">
      <c r="A1803" s="29" t="s">
        <v>4171</v>
      </c>
      <c r="B1803" s="29" t="s">
        <v>52</v>
      </c>
      <c r="C1803" s="29" t="s">
        <v>101</v>
      </c>
      <c r="D1803" s="29" t="s">
        <v>4172</v>
      </c>
      <c r="E1803" s="4" t="n">
        <v>6</v>
      </c>
      <c r="F1803" s="4" t="s">
        <v>213</v>
      </c>
      <c r="G1803" s="4" t="s">
        <v>991</v>
      </c>
      <c r="H1803" s="4" t="n">
        <v>1967</v>
      </c>
      <c r="I1803" s="4" t="s">
        <v>992</v>
      </c>
      <c r="J1803" s="25" t="str">
        <f aca="false">IF(M1803=1,"✓","")</f>
        <v/>
      </c>
      <c r="K1803" s="4" t="str">
        <f aca="false">IF(AND(M1803=0,P1803=0),"▶ NEXT","")</f>
        <v/>
      </c>
      <c r="L1803" s="4" t="n">
        <f aca="false">INDEX('Master List'!$F$2:$F$2594,O1803)</f>
        <v>2</v>
      </c>
      <c r="M1803" s="4" t="n">
        <f aca="false">INDEX('Master List'!$G$2:$G$2594,O1803)</f>
        <v>0</v>
      </c>
      <c r="N1803" s="4" t="str">
        <f aca="false">IF(K1803="","",A1803)</f>
        <v/>
      </c>
      <c r="O1803" s="4" t="n">
        <v>2314</v>
      </c>
      <c r="P1803" s="4" t="n">
        <f aca="false">IF(A1803=A1802,P1802+1-M1802,0)</f>
        <v>5</v>
      </c>
    </row>
    <row r="1804" customFormat="false" ht="15" hidden="false" customHeight="false" outlineLevel="0" collapsed="false">
      <c r="A1804" s="29" t="s">
        <v>4171</v>
      </c>
      <c r="B1804" s="29" t="s">
        <v>52</v>
      </c>
      <c r="C1804" s="29" t="s">
        <v>101</v>
      </c>
      <c r="D1804" s="29" t="s">
        <v>4172</v>
      </c>
      <c r="E1804" s="4" t="n">
        <v>7</v>
      </c>
      <c r="F1804" s="4" t="s">
        <v>213</v>
      </c>
      <c r="G1804" s="4" t="s">
        <v>2125</v>
      </c>
      <c r="H1804" s="4" t="n">
        <v>1968</v>
      </c>
      <c r="I1804" s="4" t="s">
        <v>992</v>
      </c>
      <c r="J1804" s="25" t="str">
        <f aca="false">IF(M1804=1,"✓","")</f>
        <v/>
      </c>
      <c r="K1804" s="4" t="str">
        <f aca="false">IF(AND(M1804=0,P1804=0),"▶ NEXT","")</f>
        <v/>
      </c>
      <c r="L1804" s="4" t="n">
        <f aca="false">INDEX('Master List'!$F$2:$F$2594,O1804)</f>
        <v>1</v>
      </c>
      <c r="M1804" s="4" t="n">
        <f aca="false">INDEX('Master List'!$G$2:$G$2594,O1804)</f>
        <v>0</v>
      </c>
      <c r="N1804" s="4" t="str">
        <f aca="false">IF(K1804="","",A1804)</f>
        <v/>
      </c>
      <c r="O1804" s="4" t="n">
        <v>1036</v>
      </c>
      <c r="P1804" s="4" t="n">
        <f aca="false">IF(A1804=A1803,P1803+1-M1803,0)</f>
        <v>6</v>
      </c>
    </row>
    <row r="1805" customFormat="false" ht="15" hidden="false" customHeight="false" outlineLevel="0" collapsed="false">
      <c r="A1805" s="29" t="s">
        <v>4171</v>
      </c>
      <c r="B1805" s="29" t="s">
        <v>52</v>
      </c>
      <c r="C1805" s="29" t="s">
        <v>101</v>
      </c>
      <c r="D1805" s="29" t="s">
        <v>4172</v>
      </c>
      <c r="E1805" s="4" t="n">
        <v>8</v>
      </c>
      <c r="F1805" s="4" t="s">
        <v>213</v>
      </c>
      <c r="G1805" s="4" t="s">
        <v>2156</v>
      </c>
      <c r="H1805" s="4" t="n">
        <v>1970</v>
      </c>
      <c r="I1805" s="4" t="s">
        <v>1479</v>
      </c>
      <c r="J1805" s="25" t="str">
        <f aca="false">IF(M1805=1,"✓","")</f>
        <v/>
      </c>
      <c r="K1805" s="4" t="str">
        <f aca="false">IF(AND(M1805=0,P1805=0),"▶ NEXT","")</f>
        <v/>
      </c>
      <c r="L1805" s="4" t="n">
        <f aca="false">INDEX('Master List'!$F$2:$F$2594,O1805)</f>
        <v>1</v>
      </c>
      <c r="M1805" s="4" t="n">
        <f aca="false">INDEX('Master List'!$G$2:$G$2594,O1805)</f>
        <v>0</v>
      </c>
      <c r="N1805" s="4" t="str">
        <f aca="false">IF(K1805="","",A1805)</f>
        <v/>
      </c>
      <c r="O1805" s="4" t="n">
        <v>897</v>
      </c>
      <c r="P1805" s="4" t="n">
        <f aca="false">IF(A1805=A1804,P1804+1-M1804,0)</f>
        <v>7</v>
      </c>
    </row>
    <row r="1806" customFormat="false" ht="15" hidden="false" customHeight="false" outlineLevel="0" collapsed="false">
      <c r="A1806" s="29" t="s">
        <v>4171</v>
      </c>
      <c r="B1806" s="29" t="s">
        <v>52</v>
      </c>
      <c r="C1806" s="29" t="s">
        <v>101</v>
      </c>
      <c r="D1806" s="29" t="s">
        <v>4172</v>
      </c>
      <c r="E1806" s="4" t="n">
        <v>9</v>
      </c>
      <c r="F1806" s="4" t="s">
        <v>213</v>
      </c>
      <c r="G1806" s="4" t="s">
        <v>804</v>
      </c>
      <c r="H1806" s="4" t="n">
        <v>1976</v>
      </c>
      <c r="I1806" s="4" t="s">
        <v>805</v>
      </c>
      <c r="J1806" s="25" t="str">
        <f aca="false">IF(M1806=1,"✓","")</f>
        <v/>
      </c>
      <c r="K1806" s="4" t="str">
        <f aca="false">IF(AND(M1806=0,P1806=0),"▶ NEXT","")</f>
        <v/>
      </c>
      <c r="L1806" s="4" t="n">
        <f aca="false">INDEX('Master List'!$F$2:$F$2594,O1806)</f>
        <v>2</v>
      </c>
      <c r="M1806" s="4" t="n">
        <f aca="false">INDEX('Master List'!$G$2:$G$2594,O1806)</f>
        <v>0</v>
      </c>
      <c r="N1806" s="4" t="str">
        <f aca="false">IF(K1806="","",A1806)</f>
        <v/>
      </c>
      <c r="O1806" s="4" t="n">
        <v>998</v>
      </c>
      <c r="P1806" s="4" t="n">
        <f aca="false">IF(A1806=A1805,P1805+1-M1805,0)</f>
        <v>8</v>
      </c>
    </row>
    <row r="1807" customFormat="false" ht="15" hidden="false" customHeight="false" outlineLevel="0" collapsed="false">
      <c r="A1807" s="29" t="s">
        <v>4171</v>
      </c>
      <c r="B1807" s="29" t="s">
        <v>52</v>
      </c>
      <c r="C1807" s="29" t="s">
        <v>101</v>
      </c>
      <c r="D1807" s="29" t="s">
        <v>4172</v>
      </c>
      <c r="E1807" s="4" t="n">
        <v>10</v>
      </c>
      <c r="F1807" s="4" t="s">
        <v>213</v>
      </c>
      <c r="G1807" s="4" t="s">
        <v>501</v>
      </c>
      <c r="H1807" s="4" t="n">
        <v>1994</v>
      </c>
      <c r="I1807" s="4" t="s">
        <v>502</v>
      </c>
      <c r="J1807" s="25" t="str">
        <f aca="false">IF(M1807=1,"✓","")</f>
        <v/>
      </c>
      <c r="K1807" s="4" t="str">
        <f aca="false">IF(AND(M1807=0,P1807=0),"▶ NEXT","")</f>
        <v/>
      </c>
      <c r="L1807" s="4" t="n">
        <f aca="false">INDEX('Master List'!$F$2:$F$2594,O1807)</f>
        <v>3</v>
      </c>
      <c r="M1807" s="4" t="n">
        <f aca="false">INDEX('Master List'!$G$2:$G$2594,O1807)</f>
        <v>0</v>
      </c>
      <c r="N1807" s="4" t="str">
        <f aca="false">IF(K1807="","",A1807)</f>
        <v/>
      </c>
      <c r="O1807" s="4" t="n">
        <v>1059</v>
      </c>
      <c r="P1807" s="4" t="n">
        <f aca="false">IF(A1807=A1806,P1806+1-M1806,0)</f>
        <v>9</v>
      </c>
    </row>
    <row r="1808" customFormat="false" ht="15" hidden="false" customHeight="false" outlineLevel="0" collapsed="false">
      <c r="A1808" s="29" t="s">
        <v>4171</v>
      </c>
      <c r="B1808" s="29" t="s">
        <v>52</v>
      </c>
      <c r="C1808" s="29" t="s">
        <v>101</v>
      </c>
      <c r="D1808" s="29" t="s">
        <v>4172</v>
      </c>
      <c r="E1808" s="4" t="n">
        <v>11</v>
      </c>
      <c r="F1808" s="4" t="s">
        <v>1327</v>
      </c>
      <c r="G1808" s="4" t="s">
        <v>3464</v>
      </c>
      <c r="H1808" s="4" t="n">
        <v>1969</v>
      </c>
      <c r="I1808" s="4" t="s">
        <v>992</v>
      </c>
      <c r="J1808" s="25" t="str">
        <f aca="false">IF(M1808=1,"✓","")</f>
        <v/>
      </c>
      <c r="K1808" s="4" t="str">
        <f aca="false">IF(AND(M1808=0,P1808=0),"▶ NEXT","")</f>
        <v/>
      </c>
      <c r="L1808" s="4" t="n">
        <f aca="false">INDEX('Master List'!$F$2:$F$2594,O1808)</f>
        <v>1</v>
      </c>
      <c r="M1808" s="4" t="n">
        <f aca="false">INDEX('Master List'!$G$2:$G$2594,O1808)</f>
        <v>0</v>
      </c>
      <c r="N1808" s="4" t="str">
        <f aca="false">IF(K1808="","",A1808)</f>
        <v/>
      </c>
      <c r="O1808" s="4" t="n">
        <v>1311</v>
      </c>
      <c r="P1808" s="4" t="n">
        <f aca="false">IF(A1808=A1807,P1807+1-M1807,0)</f>
        <v>10</v>
      </c>
    </row>
    <row r="1809" customFormat="false" ht="15" hidden="false" customHeight="false" outlineLevel="0" collapsed="false">
      <c r="A1809" s="29" t="s">
        <v>4171</v>
      </c>
      <c r="B1809" s="29" t="s">
        <v>52</v>
      </c>
      <c r="C1809" s="29" t="s">
        <v>101</v>
      </c>
      <c r="D1809" s="29" t="s">
        <v>4172</v>
      </c>
      <c r="E1809" s="4" t="n">
        <v>12</v>
      </c>
      <c r="F1809" s="4" t="s">
        <v>1327</v>
      </c>
      <c r="G1809" s="4" t="s">
        <v>3543</v>
      </c>
      <c r="H1809" s="4" t="n">
        <v>1975</v>
      </c>
      <c r="I1809" s="4" t="s">
        <v>992</v>
      </c>
      <c r="J1809" s="25" t="str">
        <f aca="false">IF(M1809=1,"✓","")</f>
        <v/>
      </c>
      <c r="K1809" s="4" t="str">
        <f aca="false">IF(AND(M1809=0,P1809=0),"▶ NEXT","")</f>
        <v/>
      </c>
      <c r="L1809" s="4" t="n">
        <f aca="false">INDEX('Master List'!$F$2:$F$2594,O1809)</f>
        <v>1</v>
      </c>
      <c r="M1809" s="4" t="n">
        <f aca="false">INDEX('Master List'!$G$2:$G$2594,O1809)</f>
        <v>0</v>
      </c>
      <c r="N1809" s="4" t="str">
        <f aca="false">IF(K1809="","",A1809)</f>
        <v/>
      </c>
      <c r="O1809" s="4" t="n">
        <v>2481</v>
      </c>
      <c r="P1809" s="4" t="n">
        <f aca="false">IF(A1809=A1808,P1808+1-M1808,0)</f>
        <v>11</v>
      </c>
    </row>
    <row r="1810" customFormat="false" ht="15" hidden="false" customHeight="false" outlineLevel="0" collapsed="false">
      <c r="A1810" s="29" t="s">
        <v>4173</v>
      </c>
      <c r="B1810" s="29" t="s">
        <v>52</v>
      </c>
      <c r="C1810" s="29" t="s">
        <v>101</v>
      </c>
      <c r="D1810" s="29" t="s">
        <v>4174</v>
      </c>
      <c r="E1810" s="4" t="n">
        <v>1</v>
      </c>
      <c r="F1810" s="4" t="s">
        <v>144</v>
      </c>
      <c r="G1810" s="7" t="s">
        <v>1089</v>
      </c>
      <c r="H1810" s="4" t="n">
        <v>1988</v>
      </c>
      <c r="I1810" s="4" t="s">
        <v>1090</v>
      </c>
      <c r="J1810" s="25" t="str">
        <f aca="false">IF(M1810=1,"✓","")</f>
        <v/>
      </c>
      <c r="K1810" s="4" t="str">
        <f aca="false">IF(AND(M1810=0,P1810=0),"▶ NEXT","")</f>
        <v>▶ NEXT</v>
      </c>
      <c r="L1810" s="4" t="n">
        <f aca="false">INDEX('Master List'!$F$2:$F$2594,O1810)</f>
        <v>2</v>
      </c>
      <c r="M1810" s="4" t="n">
        <f aca="false">INDEX('Master List'!$G$2:$G$2594,O1810)</f>
        <v>0</v>
      </c>
      <c r="N1810" s="4" t="str">
        <f aca="false">IF(K1810="","",A1810)</f>
        <v>N150</v>
      </c>
      <c r="O1810" s="4" t="n">
        <v>2276</v>
      </c>
      <c r="P1810" s="4" t="n">
        <f aca="false">IF(A1810=A1809,P1809+1-M1809,0)</f>
        <v>0</v>
      </c>
    </row>
    <row r="1811" customFormat="false" ht="15" hidden="false" customHeight="false" outlineLevel="0" collapsed="false">
      <c r="A1811" s="29" t="s">
        <v>4173</v>
      </c>
      <c r="B1811" s="29" t="s">
        <v>52</v>
      </c>
      <c r="C1811" s="29" t="s">
        <v>101</v>
      </c>
      <c r="D1811" s="29" t="s">
        <v>4174</v>
      </c>
      <c r="E1811" s="4" t="n">
        <v>2</v>
      </c>
      <c r="F1811" s="4" t="s">
        <v>144</v>
      </c>
      <c r="G1811" s="7" t="s">
        <v>1617</v>
      </c>
      <c r="H1811" s="4" t="n">
        <v>2012</v>
      </c>
      <c r="I1811" s="4" t="s">
        <v>1618</v>
      </c>
      <c r="J1811" s="25" t="str">
        <f aca="false">IF(M1811=1,"✓","")</f>
        <v/>
      </c>
      <c r="K1811" s="4" t="str">
        <f aca="false">IF(AND(M1811=0,P1811=0),"▶ NEXT","")</f>
        <v/>
      </c>
      <c r="L1811" s="4" t="n">
        <f aca="false">INDEX('Master List'!$F$2:$F$2594,O1811)</f>
        <v>1</v>
      </c>
      <c r="M1811" s="4" t="n">
        <f aca="false">INDEX('Master List'!$G$2:$G$2594,O1811)</f>
        <v>0</v>
      </c>
      <c r="N1811" s="4" t="str">
        <f aca="false">IF(K1811="","",A1811)</f>
        <v/>
      </c>
      <c r="O1811" s="4" t="n">
        <v>2163</v>
      </c>
      <c r="P1811" s="4" t="n">
        <f aca="false">IF(A1811=A1810,P1810+1-M1810,0)</f>
        <v>1</v>
      </c>
    </row>
    <row r="1812" customFormat="false" ht="15" hidden="false" customHeight="false" outlineLevel="0" collapsed="false">
      <c r="A1812" s="29" t="s">
        <v>4173</v>
      </c>
      <c r="B1812" s="29" t="s">
        <v>52</v>
      </c>
      <c r="C1812" s="29" t="s">
        <v>101</v>
      </c>
      <c r="D1812" s="29" t="s">
        <v>4174</v>
      </c>
      <c r="E1812" s="4" t="n">
        <v>3</v>
      </c>
      <c r="F1812" s="4" t="s">
        <v>213</v>
      </c>
      <c r="G1812" s="4" t="s">
        <v>551</v>
      </c>
      <c r="H1812" s="4" t="n">
        <v>1983</v>
      </c>
      <c r="I1812" s="4" t="s">
        <v>416</v>
      </c>
      <c r="J1812" s="25" t="str">
        <f aca="false">IF(M1812=1,"✓","")</f>
        <v/>
      </c>
      <c r="K1812" s="4" t="str">
        <f aca="false">IF(AND(M1812=0,P1812=0),"▶ NEXT","")</f>
        <v/>
      </c>
      <c r="L1812" s="4" t="n">
        <f aca="false">INDEX('Master List'!$F$2:$F$2594,O1812)</f>
        <v>3</v>
      </c>
      <c r="M1812" s="4" t="n">
        <f aca="false">INDEX('Master List'!$G$2:$G$2594,O1812)</f>
        <v>0</v>
      </c>
      <c r="N1812" s="4" t="str">
        <f aca="false">IF(K1812="","",A1812)</f>
        <v/>
      </c>
      <c r="O1812" s="4" t="n">
        <v>1969</v>
      </c>
      <c r="P1812" s="4" t="n">
        <f aca="false">IF(A1812=A1811,P1811+1-M1811,0)</f>
        <v>2</v>
      </c>
    </row>
    <row r="1813" customFormat="false" ht="15" hidden="false" customHeight="false" outlineLevel="0" collapsed="false">
      <c r="A1813" s="29" t="s">
        <v>4173</v>
      </c>
      <c r="B1813" s="29" t="s">
        <v>52</v>
      </c>
      <c r="C1813" s="29" t="s">
        <v>101</v>
      </c>
      <c r="D1813" s="29" t="s">
        <v>4174</v>
      </c>
      <c r="E1813" s="4" t="n">
        <v>4</v>
      </c>
      <c r="F1813" s="4" t="s">
        <v>213</v>
      </c>
      <c r="G1813" s="4" t="s">
        <v>2418</v>
      </c>
      <c r="H1813" s="4" t="n">
        <v>1985</v>
      </c>
      <c r="I1813" s="4" t="s">
        <v>2419</v>
      </c>
      <c r="J1813" s="25" t="str">
        <f aca="false">IF(M1813=1,"✓","")</f>
        <v/>
      </c>
      <c r="K1813" s="4" t="str">
        <f aca="false">IF(AND(M1813=0,P1813=0),"▶ NEXT","")</f>
        <v/>
      </c>
      <c r="L1813" s="4" t="n">
        <f aca="false">INDEX('Master List'!$F$2:$F$2594,O1813)</f>
        <v>1</v>
      </c>
      <c r="M1813" s="4" t="n">
        <f aca="false">INDEX('Master List'!$G$2:$G$2594,O1813)</f>
        <v>0</v>
      </c>
      <c r="N1813" s="4" t="str">
        <f aca="false">IF(K1813="","",A1813)</f>
        <v/>
      </c>
      <c r="O1813" s="4" t="n">
        <v>2044</v>
      </c>
      <c r="P1813" s="4" t="n">
        <f aca="false">IF(A1813=A1812,P1812+1-M1812,0)</f>
        <v>3</v>
      </c>
    </row>
    <row r="1814" customFormat="false" ht="15" hidden="false" customHeight="false" outlineLevel="0" collapsed="false">
      <c r="A1814" s="29" t="s">
        <v>4173</v>
      </c>
      <c r="B1814" s="29" t="s">
        <v>52</v>
      </c>
      <c r="C1814" s="29" t="s">
        <v>101</v>
      </c>
      <c r="D1814" s="29" t="s">
        <v>4174</v>
      </c>
      <c r="E1814" s="4" t="n">
        <v>5</v>
      </c>
      <c r="F1814" s="4" t="s">
        <v>213</v>
      </c>
      <c r="G1814" s="4" t="s">
        <v>1096</v>
      </c>
      <c r="H1814" s="4" t="n">
        <v>1989</v>
      </c>
      <c r="I1814" s="4" t="s">
        <v>1097</v>
      </c>
      <c r="J1814" s="25" t="str">
        <f aca="false">IF(M1814=1,"✓","")</f>
        <v/>
      </c>
      <c r="K1814" s="4" t="str">
        <f aca="false">IF(AND(M1814=0,P1814=0),"▶ NEXT","")</f>
        <v/>
      </c>
      <c r="L1814" s="4" t="n">
        <f aca="false">INDEX('Master List'!$F$2:$F$2594,O1814)</f>
        <v>2</v>
      </c>
      <c r="M1814" s="4" t="n">
        <f aca="false">INDEX('Master List'!$G$2:$G$2594,O1814)</f>
        <v>0</v>
      </c>
      <c r="N1814" s="4" t="str">
        <f aca="false">IF(K1814="","",A1814)</f>
        <v/>
      </c>
      <c r="O1814" s="4" t="n">
        <v>1924</v>
      </c>
      <c r="P1814" s="4" t="n">
        <f aca="false">IF(A1814=A1813,P1813+1-M1813,0)</f>
        <v>4</v>
      </c>
    </row>
    <row r="1815" customFormat="false" ht="15" hidden="false" customHeight="false" outlineLevel="0" collapsed="false">
      <c r="A1815" s="29" t="s">
        <v>4173</v>
      </c>
      <c r="B1815" s="29" t="s">
        <v>52</v>
      </c>
      <c r="C1815" s="29" t="s">
        <v>101</v>
      </c>
      <c r="D1815" s="29" t="s">
        <v>4174</v>
      </c>
      <c r="E1815" s="4" t="n">
        <v>6</v>
      </c>
      <c r="F1815" s="4" t="s">
        <v>213</v>
      </c>
      <c r="G1815" s="4" t="s">
        <v>202</v>
      </c>
      <c r="H1815" s="4" t="n">
        <v>1990</v>
      </c>
      <c r="I1815" s="4" t="s">
        <v>203</v>
      </c>
      <c r="J1815" s="25" t="str">
        <f aca="false">IF(M1815=1,"✓","")</f>
        <v/>
      </c>
      <c r="K1815" s="4" t="str">
        <f aca="false">IF(AND(M1815=0,P1815=0),"▶ NEXT","")</f>
        <v/>
      </c>
      <c r="L1815" s="4" t="n">
        <f aca="false">INDEX('Master List'!$F$2:$F$2594,O1815)</f>
        <v>7</v>
      </c>
      <c r="M1815" s="4" t="n">
        <f aca="false">INDEX('Master List'!$G$2:$G$2594,O1815)</f>
        <v>0</v>
      </c>
      <c r="N1815" s="4" t="str">
        <f aca="false">IF(K1815="","",A1815)</f>
        <v/>
      </c>
      <c r="O1815" s="4" t="n">
        <v>480</v>
      </c>
      <c r="P1815" s="4" t="n">
        <f aca="false">IF(A1815=A1814,P1814+1-M1814,0)</f>
        <v>5</v>
      </c>
    </row>
    <row r="1816" customFormat="false" ht="15" hidden="false" customHeight="false" outlineLevel="0" collapsed="false">
      <c r="A1816" s="29" t="s">
        <v>4173</v>
      </c>
      <c r="B1816" s="29" t="s">
        <v>52</v>
      </c>
      <c r="C1816" s="29" t="s">
        <v>101</v>
      </c>
      <c r="D1816" s="29" t="s">
        <v>4174</v>
      </c>
      <c r="E1816" s="4" t="n">
        <v>7</v>
      </c>
      <c r="F1816" s="4" t="s">
        <v>213</v>
      </c>
      <c r="G1816" s="4" t="s">
        <v>380</v>
      </c>
      <c r="H1816" s="4" t="n">
        <v>2000</v>
      </c>
      <c r="I1816" s="4" t="s">
        <v>158</v>
      </c>
      <c r="J1816" s="25" t="str">
        <f aca="false">IF(M1816=1,"✓","")</f>
        <v/>
      </c>
      <c r="K1816" s="4" t="str">
        <f aca="false">IF(AND(M1816=0,P1816=0),"▶ NEXT","")</f>
        <v/>
      </c>
      <c r="L1816" s="4" t="n">
        <f aca="false">INDEX('Master List'!$F$2:$F$2594,O1816)</f>
        <v>4</v>
      </c>
      <c r="M1816" s="4" t="n">
        <f aca="false">INDEX('Master List'!$G$2:$G$2594,O1816)</f>
        <v>0</v>
      </c>
      <c r="N1816" s="4" t="str">
        <f aca="false">IF(K1816="","",A1816)</f>
        <v/>
      </c>
      <c r="O1816" s="4" t="n">
        <v>903</v>
      </c>
      <c r="P1816" s="4" t="n">
        <f aca="false">IF(A1816=A1815,P1815+1-M1815,0)</f>
        <v>6</v>
      </c>
    </row>
    <row r="1817" customFormat="false" ht="15" hidden="false" customHeight="false" outlineLevel="0" collapsed="false">
      <c r="A1817" s="29" t="s">
        <v>4173</v>
      </c>
      <c r="B1817" s="29" t="s">
        <v>52</v>
      </c>
      <c r="C1817" s="29" t="s">
        <v>101</v>
      </c>
      <c r="D1817" s="29" t="s">
        <v>4174</v>
      </c>
      <c r="E1817" s="4" t="n">
        <v>8</v>
      </c>
      <c r="F1817" s="4" t="s">
        <v>213</v>
      </c>
      <c r="G1817" s="4" t="s">
        <v>2806</v>
      </c>
      <c r="H1817" s="4" t="n">
        <v>2003</v>
      </c>
      <c r="I1817" s="4" t="s">
        <v>2807</v>
      </c>
      <c r="J1817" s="25" t="str">
        <f aca="false">IF(M1817=1,"✓","")</f>
        <v/>
      </c>
      <c r="K1817" s="4" t="str">
        <f aca="false">IF(AND(M1817=0,P1817=0),"▶ NEXT","")</f>
        <v/>
      </c>
      <c r="L1817" s="4" t="n">
        <f aca="false">INDEX('Master List'!$F$2:$F$2594,O1817)</f>
        <v>1</v>
      </c>
      <c r="M1817" s="4" t="n">
        <f aca="false">INDEX('Master List'!$G$2:$G$2594,O1817)</f>
        <v>0</v>
      </c>
      <c r="N1817" s="4" t="str">
        <f aca="false">IF(K1817="","",A1817)</f>
        <v/>
      </c>
      <c r="O1817" s="4" t="n">
        <v>2243</v>
      </c>
      <c r="P1817" s="4" t="n">
        <f aca="false">IF(A1817=A1816,P1816+1-M1816,0)</f>
        <v>7</v>
      </c>
    </row>
    <row r="1818" customFormat="false" ht="15" hidden="false" customHeight="false" outlineLevel="0" collapsed="false">
      <c r="A1818" s="29" t="s">
        <v>4173</v>
      </c>
      <c r="B1818" s="29" t="s">
        <v>52</v>
      </c>
      <c r="C1818" s="29" t="s">
        <v>101</v>
      </c>
      <c r="D1818" s="29" t="s">
        <v>4174</v>
      </c>
      <c r="E1818" s="4" t="n">
        <v>9</v>
      </c>
      <c r="F1818" s="4" t="s">
        <v>213</v>
      </c>
      <c r="G1818" s="4" t="s">
        <v>2948</v>
      </c>
      <c r="H1818" s="4" t="n">
        <v>2010</v>
      </c>
      <c r="I1818" s="4" t="s">
        <v>2949</v>
      </c>
      <c r="J1818" s="25" t="str">
        <f aca="false">IF(M1818=1,"✓","")</f>
        <v/>
      </c>
      <c r="K1818" s="4" t="str">
        <f aca="false">IF(AND(M1818=0,P1818=0),"▶ NEXT","")</f>
        <v/>
      </c>
      <c r="L1818" s="4" t="n">
        <f aca="false">INDEX('Master List'!$F$2:$F$2594,O1818)</f>
        <v>1</v>
      </c>
      <c r="M1818" s="4" t="n">
        <f aca="false">INDEX('Master List'!$G$2:$G$2594,O1818)</f>
        <v>0</v>
      </c>
      <c r="N1818" s="4" t="str">
        <f aca="false">IF(K1818="","",A1818)</f>
        <v/>
      </c>
      <c r="O1818" s="4" t="n">
        <v>762</v>
      </c>
      <c r="P1818" s="4" t="n">
        <f aca="false">IF(A1818=A1817,P1817+1-M1817,0)</f>
        <v>8</v>
      </c>
    </row>
    <row r="1819" customFormat="false" ht="15" hidden="false" customHeight="false" outlineLevel="0" collapsed="false">
      <c r="A1819" s="29" t="s">
        <v>4173</v>
      </c>
      <c r="B1819" s="29" t="s">
        <v>52</v>
      </c>
      <c r="C1819" s="29" t="s">
        <v>101</v>
      </c>
      <c r="D1819" s="29" t="s">
        <v>4174</v>
      </c>
      <c r="E1819" s="4" t="n">
        <v>10</v>
      </c>
      <c r="F1819" s="4" t="s">
        <v>213</v>
      </c>
      <c r="G1819" s="4" t="s">
        <v>715</v>
      </c>
      <c r="H1819" s="4" t="n">
        <v>2012</v>
      </c>
      <c r="I1819" s="4" t="s">
        <v>716</v>
      </c>
      <c r="J1819" s="25" t="str">
        <f aca="false">IF(M1819=1,"✓","")</f>
        <v/>
      </c>
      <c r="K1819" s="4" t="str">
        <f aca="false">IF(AND(M1819=0,P1819=0),"▶ NEXT","")</f>
        <v/>
      </c>
      <c r="L1819" s="4" t="n">
        <f aca="false">INDEX('Master List'!$F$2:$F$2594,O1819)</f>
        <v>3</v>
      </c>
      <c r="M1819" s="4" t="n">
        <f aca="false">INDEX('Master List'!$G$2:$G$2594,O1819)</f>
        <v>0</v>
      </c>
      <c r="N1819" s="4" t="str">
        <f aca="false">IF(K1819="","",A1819)</f>
        <v/>
      </c>
      <c r="O1819" s="4" t="n">
        <v>40</v>
      </c>
      <c r="P1819" s="4" t="n">
        <f aca="false">IF(A1819=A1818,P1818+1-M1818,0)</f>
        <v>9</v>
      </c>
    </row>
    <row r="1820" customFormat="false" ht="15" hidden="false" customHeight="false" outlineLevel="0" collapsed="false">
      <c r="A1820" s="29" t="s">
        <v>4173</v>
      </c>
      <c r="B1820" s="29" t="s">
        <v>52</v>
      </c>
      <c r="C1820" s="29" t="s">
        <v>101</v>
      </c>
      <c r="D1820" s="29" t="s">
        <v>4174</v>
      </c>
      <c r="E1820" s="4" t="n">
        <v>11</v>
      </c>
      <c r="F1820" s="4" t="s">
        <v>213</v>
      </c>
      <c r="G1820" s="4" t="s">
        <v>3104</v>
      </c>
      <c r="H1820" s="4" t="n">
        <v>2016</v>
      </c>
      <c r="I1820" s="4" t="s">
        <v>3105</v>
      </c>
      <c r="J1820" s="25" t="str">
        <f aca="false">IF(M1820=1,"✓","")</f>
        <v/>
      </c>
      <c r="K1820" s="4" t="str">
        <f aca="false">IF(AND(M1820=0,P1820=0),"▶ NEXT","")</f>
        <v/>
      </c>
      <c r="L1820" s="4" t="n">
        <f aca="false">INDEX('Master List'!$F$2:$F$2594,O1820)</f>
        <v>1</v>
      </c>
      <c r="M1820" s="4" t="n">
        <f aca="false">INDEX('Master List'!$G$2:$G$2594,O1820)</f>
        <v>0</v>
      </c>
      <c r="N1820" s="4" t="str">
        <f aca="false">IF(K1820="","",A1820)</f>
        <v/>
      </c>
      <c r="O1820" s="4" t="n">
        <v>385</v>
      </c>
      <c r="P1820" s="4" t="n">
        <f aca="false">IF(A1820=A1819,P1819+1-M1819,0)</f>
        <v>10</v>
      </c>
    </row>
    <row r="1821" customFormat="false" ht="15" hidden="false" customHeight="false" outlineLevel="0" collapsed="false">
      <c r="A1821" s="29" t="s">
        <v>4173</v>
      </c>
      <c r="B1821" s="29" t="s">
        <v>52</v>
      </c>
      <c r="C1821" s="29" t="s">
        <v>101</v>
      </c>
      <c r="D1821" s="29" t="s">
        <v>4174</v>
      </c>
      <c r="E1821" s="4" t="n">
        <v>12</v>
      </c>
      <c r="F1821" s="4" t="s">
        <v>1327</v>
      </c>
      <c r="G1821" s="4" t="s">
        <v>674</v>
      </c>
      <c r="H1821" s="4" t="n">
        <v>1973</v>
      </c>
      <c r="I1821" s="4" t="s">
        <v>143</v>
      </c>
      <c r="J1821" s="25" t="str">
        <f aca="false">IF(M1821=1,"✓","")</f>
        <v>✓</v>
      </c>
      <c r="K1821" s="4" t="str">
        <f aca="false">IF(AND(M1821=0,P1821=0),"▶ NEXT","")</f>
        <v/>
      </c>
      <c r="L1821" s="4" t="n">
        <f aca="false">INDEX('Master List'!$F$2:$F$2594,O1821)</f>
        <v>3</v>
      </c>
      <c r="M1821" s="4" t="n">
        <f aca="false">INDEX('Master List'!$G$2:$G$2594,O1821)</f>
        <v>1</v>
      </c>
      <c r="N1821" s="4" t="str">
        <f aca="false">IF(K1821="","",A1821)</f>
        <v/>
      </c>
      <c r="O1821" s="4" t="n">
        <v>768</v>
      </c>
      <c r="P1821" s="4" t="n">
        <f aca="false">IF(A1821=A1820,P1820+1-M1820,0)</f>
        <v>11</v>
      </c>
    </row>
    <row r="1822" customFormat="false" ht="15" hidden="false" customHeight="false" outlineLevel="0" collapsed="false">
      <c r="A1822" s="29" t="s">
        <v>4173</v>
      </c>
      <c r="B1822" s="29" t="s">
        <v>52</v>
      </c>
      <c r="C1822" s="29" t="s">
        <v>101</v>
      </c>
      <c r="D1822" s="29" t="s">
        <v>4174</v>
      </c>
      <c r="E1822" s="4" t="n">
        <v>13</v>
      </c>
      <c r="F1822" s="4" t="s">
        <v>1327</v>
      </c>
      <c r="G1822" s="4" t="s">
        <v>686</v>
      </c>
      <c r="H1822" s="4" t="n">
        <v>2003</v>
      </c>
      <c r="I1822" s="4" t="s">
        <v>687</v>
      </c>
      <c r="J1822" s="25" t="str">
        <f aca="false">IF(M1822=1,"✓","")</f>
        <v/>
      </c>
      <c r="K1822" s="4" t="str">
        <f aca="false">IF(AND(M1822=0,P1822=0),"▶ NEXT","")</f>
        <v/>
      </c>
      <c r="L1822" s="4" t="n">
        <f aca="false">INDEX('Master List'!$F$2:$F$2594,O1822)</f>
        <v>3</v>
      </c>
      <c r="M1822" s="4" t="n">
        <f aca="false">INDEX('Master List'!$G$2:$G$2594,O1822)</f>
        <v>0</v>
      </c>
      <c r="N1822" s="4" t="str">
        <f aca="false">IF(K1822="","",A1822)</f>
        <v/>
      </c>
      <c r="O1822" s="4" t="n">
        <v>1382</v>
      </c>
      <c r="P1822" s="4" t="n">
        <f aca="false">IF(A1822=A1821,P1821+1-M1821,0)</f>
        <v>11</v>
      </c>
    </row>
    <row r="1823" customFormat="false" ht="15" hidden="false" customHeight="false" outlineLevel="0" collapsed="false">
      <c r="A1823" s="29" t="s">
        <v>4175</v>
      </c>
      <c r="B1823" s="29" t="s">
        <v>52</v>
      </c>
      <c r="C1823" s="29" t="s">
        <v>101</v>
      </c>
      <c r="D1823" s="29" t="s">
        <v>4176</v>
      </c>
      <c r="E1823" s="4" t="n">
        <v>1</v>
      </c>
      <c r="F1823" s="4" t="s">
        <v>144</v>
      </c>
      <c r="G1823" s="7" t="s">
        <v>1563</v>
      </c>
      <c r="H1823" s="4" t="n">
        <v>1994</v>
      </c>
      <c r="I1823" s="4" t="s">
        <v>1564</v>
      </c>
      <c r="J1823" s="25" t="str">
        <f aca="false">IF(M1823=1,"✓","")</f>
        <v/>
      </c>
      <c r="K1823" s="4" t="str">
        <f aca="false">IF(AND(M1823=0,P1823=0),"▶ NEXT","")</f>
        <v>▶ NEXT</v>
      </c>
      <c r="L1823" s="4" t="n">
        <f aca="false">INDEX('Master List'!$F$2:$F$2594,O1823)</f>
        <v>1</v>
      </c>
      <c r="M1823" s="4" t="n">
        <f aca="false">INDEX('Master List'!$G$2:$G$2594,O1823)</f>
        <v>0</v>
      </c>
      <c r="N1823" s="4" t="str">
        <f aca="false">IF(K1823="","",A1823)</f>
        <v>N151</v>
      </c>
      <c r="O1823" s="4" t="n">
        <v>546</v>
      </c>
      <c r="P1823" s="4" t="n">
        <f aca="false">IF(A1823=A1822,P1822+1-M1822,0)</f>
        <v>0</v>
      </c>
    </row>
    <row r="1824" customFormat="false" ht="15" hidden="false" customHeight="false" outlineLevel="0" collapsed="false">
      <c r="A1824" s="29" t="s">
        <v>4175</v>
      </c>
      <c r="B1824" s="29" t="s">
        <v>52</v>
      </c>
      <c r="C1824" s="29" t="s">
        <v>101</v>
      </c>
      <c r="D1824" s="29" t="s">
        <v>4176</v>
      </c>
      <c r="E1824" s="4" t="n">
        <v>2</v>
      </c>
      <c r="F1824" s="4" t="s">
        <v>144</v>
      </c>
      <c r="G1824" s="7" t="s">
        <v>1587</v>
      </c>
      <c r="H1824" s="4" t="n">
        <v>2003</v>
      </c>
      <c r="I1824" s="4" t="s">
        <v>1588</v>
      </c>
      <c r="J1824" s="25" t="str">
        <f aca="false">IF(M1824=1,"✓","")</f>
        <v/>
      </c>
      <c r="K1824" s="4" t="str">
        <f aca="false">IF(AND(M1824=0,P1824=0),"▶ NEXT","")</f>
        <v/>
      </c>
      <c r="L1824" s="4" t="n">
        <f aca="false">INDEX('Master List'!$F$2:$F$2594,O1824)</f>
        <v>1</v>
      </c>
      <c r="M1824" s="4" t="n">
        <f aca="false">INDEX('Master List'!$G$2:$G$2594,O1824)</f>
        <v>0</v>
      </c>
      <c r="N1824" s="4" t="str">
        <f aca="false">IF(K1824="","",A1824)</f>
        <v/>
      </c>
      <c r="O1824" s="4" t="n">
        <v>395</v>
      </c>
      <c r="P1824" s="4" t="n">
        <f aca="false">IF(A1824=A1823,P1823+1-M1823,0)</f>
        <v>1</v>
      </c>
    </row>
    <row r="1825" customFormat="false" ht="15" hidden="false" customHeight="false" outlineLevel="0" collapsed="false">
      <c r="A1825" s="29" t="s">
        <v>4175</v>
      </c>
      <c r="B1825" s="29" t="s">
        <v>52</v>
      </c>
      <c r="C1825" s="29" t="s">
        <v>101</v>
      </c>
      <c r="D1825" s="29" t="s">
        <v>4176</v>
      </c>
      <c r="E1825" s="4" t="n">
        <v>3</v>
      </c>
      <c r="F1825" s="4" t="s">
        <v>213</v>
      </c>
      <c r="G1825" s="4" t="s">
        <v>857</v>
      </c>
      <c r="H1825" s="4" t="n">
        <v>2005</v>
      </c>
      <c r="I1825" s="4" t="s">
        <v>292</v>
      </c>
      <c r="J1825" s="25" t="str">
        <f aca="false">IF(M1825=1,"✓","")</f>
        <v/>
      </c>
      <c r="K1825" s="4" t="str">
        <f aca="false">IF(AND(M1825=0,P1825=0),"▶ NEXT","")</f>
        <v/>
      </c>
      <c r="L1825" s="4" t="n">
        <f aca="false">INDEX('Master List'!$F$2:$F$2594,O1825)</f>
        <v>2</v>
      </c>
      <c r="M1825" s="4" t="n">
        <f aca="false">INDEX('Master List'!$G$2:$G$2594,O1825)</f>
        <v>0</v>
      </c>
      <c r="N1825" s="4" t="str">
        <f aca="false">IF(K1825="","",A1825)</f>
        <v/>
      </c>
      <c r="O1825" s="4" t="n">
        <v>969</v>
      </c>
      <c r="P1825" s="4" t="n">
        <f aca="false">IF(A1825=A1824,P1824+1-M1824,0)</f>
        <v>2</v>
      </c>
    </row>
    <row r="1826" customFormat="false" ht="15" hidden="false" customHeight="false" outlineLevel="0" collapsed="false">
      <c r="A1826" s="29" t="s">
        <v>4175</v>
      </c>
      <c r="B1826" s="29" t="s">
        <v>52</v>
      </c>
      <c r="C1826" s="29" t="s">
        <v>101</v>
      </c>
      <c r="D1826" s="29" t="s">
        <v>4176</v>
      </c>
      <c r="E1826" s="4" t="n">
        <v>4</v>
      </c>
      <c r="F1826" s="4" t="s">
        <v>213</v>
      </c>
      <c r="G1826" s="4" t="s">
        <v>2905</v>
      </c>
      <c r="H1826" s="4" t="n">
        <v>2008</v>
      </c>
      <c r="I1826" s="4" t="s">
        <v>2906</v>
      </c>
      <c r="J1826" s="25" t="str">
        <f aca="false">IF(M1826=1,"✓","")</f>
        <v/>
      </c>
      <c r="K1826" s="4" t="str">
        <f aca="false">IF(AND(M1826=0,P1826=0),"▶ NEXT","")</f>
        <v/>
      </c>
      <c r="L1826" s="4" t="n">
        <f aca="false">INDEX('Master List'!$F$2:$F$2594,O1826)</f>
        <v>1</v>
      </c>
      <c r="M1826" s="4" t="n">
        <f aca="false">INDEX('Master List'!$G$2:$G$2594,O1826)</f>
        <v>0</v>
      </c>
      <c r="N1826" s="4" t="str">
        <f aca="false">IF(K1826="","",A1826)</f>
        <v/>
      </c>
      <c r="O1826" s="4" t="n">
        <v>1430</v>
      </c>
      <c r="P1826" s="4" t="n">
        <f aca="false">IF(A1826=A1825,P1825+1-M1825,0)</f>
        <v>3</v>
      </c>
    </row>
    <row r="1827" customFormat="false" ht="15" hidden="false" customHeight="false" outlineLevel="0" collapsed="false">
      <c r="A1827" s="29" t="s">
        <v>4175</v>
      </c>
      <c r="B1827" s="29" t="s">
        <v>52</v>
      </c>
      <c r="C1827" s="29" t="s">
        <v>101</v>
      </c>
      <c r="D1827" s="29" t="s">
        <v>4176</v>
      </c>
      <c r="E1827" s="4" t="n">
        <v>5</v>
      </c>
      <c r="F1827" s="4" t="s">
        <v>213</v>
      </c>
      <c r="G1827" s="4" t="s">
        <v>3002</v>
      </c>
      <c r="H1827" s="4" t="n">
        <v>2012</v>
      </c>
      <c r="I1827" s="4" t="s">
        <v>3003</v>
      </c>
      <c r="J1827" s="25" t="str">
        <f aca="false">IF(M1827=1,"✓","")</f>
        <v/>
      </c>
      <c r="K1827" s="4" t="str">
        <f aca="false">IF(AND(M1827=0,P1827=0),"▶ NEXT","")</f>
        <v/>
      </c>
      <c r="L1827" s="4" t="n">
        <f aca="false">INDEX('Master List'!$F$2:$F$2594,O1827)</f>
        <v>1</v>
      </c>
      <c r="M1827" s="4" t="n">
        <f aca="false">INDEX('Master List'!$G$2:$G$2594,O1827)</f>
        <v>0</v>
      </c>
      <c r="N1827" s="4" t="str">
        <f aca="false">IF(K1827="","",A1827)</f>
        <v/>
      </c>
      <c r="O1827" s="4" t="n">
        <v>1999</v>
      </c>
      <c r="P1827" s="4" t="n">
        <f aca="false">IF(A1827=A1826,P1826+1-M1826,0)</f>
        <v>4</v>
      </c>
    </row>
    <row r="1828" customFormat="false" ht="15" hidden="false" customHeight="false" outlineLevel="0" collapsed="false">
      <c r="A1828" s="29" t="s">
        <v>4175</v>
      </c>
      <c r="B1828" s="29" t="s">
        <v>52</v>
      </c>
      <c r="C1828" s="29" t="s">
        <v>101</v>
      </c>
      <c r="D1828" s="29" t="s">
        <v>4176</v>
      </c>
      <c r="E1828" s="4" t="n">
        <v>6</v>
      </c>
      <c r="F1828" s="4" t="s">
        <v>213</v>
      </c>
      <c r="G1828" s="4" t="s">
        <v>3078</v>
      </c>
      <c r="H1828" s="4" t="n">
        <v>2015</v>
      </c>
      <c r="I1828" s="4" t="s">
        <v>3079</v>
      </c>
      <c r="J1828" s="25" t="str">
        <f aca="false">IF(M1828=1,"✓","")</f>
        <v/>
      </c>
      <c r="K1828" s="4" t="str">
        <f aca="false">IF(AND(M1828=0,P1828=0),"▶ NEXT","")</f>
        <v/>
      </c>
      <c r="L1828" s="4" t="n">
        <f aca="false">INDEX('Master List'!$F$2:$F$2594,O1828)</f>
        <v>1</v>
      </c>
      <c r="M1828" s="4" t="n">
        <f aca="false">INDEX('Master List'!$G$2:$G$2594,O1828)</f>
        <v>0</v>
      </c>
      <c r="N1828" s="4" t="str">
        <f aca="false">IF(K1828="","",A1828)</f>
        <v/>
      </c>
      <c r="O1828" s="4" t="n">
        <v>97</v>
      </c>
      <c r="P1828" s="4" t="n">
        <f aca="false">IF(A1828=A1827,P1827+1-M1827,0)</f>
        <v>5</v>
      </c>
    </row>
    <row r="1829" customFormat="false" ht="15" hidden="false" customHeight="false" outlineLevel="0" collapsed="false">
      <c r="A1829" s="29" t="s">
        <v>4175</v>
      </c>
      <c r="B1829" s="29" t="s">
        <v>52</v>
      </c>
      <c r="C1829" s="29" t="s">
        <v>101</v>
      </c>
      <c r="D1829" s="29" t="s">
        <v>4176</v>
      </c>
      <c r="E1829" s="4" t="n">
        <v>7</v>
      </c>
      <c r="F1829" s="4" t="s">
        <v>213</v>
      </c>
      <c r="G1829" s="4" t="s">
        <v>3148</v>
      </c>
      <c r="H1829" s="4" t="n">
        <v>2018</v>
      </c>
      <c r="I1829" s="4" t="s">
        <v>3149</v>
      </c>
      <c r="J1829" s="25" t="str">
        <f aca="false">IF(M1829=1,"✓","")</f>
        <v/>
      </c>
      <c r="K1829" s="4" t="str">
        <f aca="false">IF(AND(M1829=0,P1829=0),"▶ NEXT","")</f>
        <v/>
      </c>
      <c r="L1829" s="4" t="n">
        <f aca="false">INDEX('Master List'!$F$2:$F$2594,O1829)</f>
        <v>1</v>
      </c>
      <c r="M1829" s="4" t="n">
        <f aca="false">INDEX('Master List'!$G$2:$G$2594,O1829)</f>
        <v>0</v>
      </c>
      <c r="N1829" s="4" t="str">
        <f aca="false">IF(K1829="","",A1829)</f>
        <v/>
      </c>
      <c r="O1829" s="4" t="n">
        <v>2549</v>
      </c>
      <c r="P1829" s="4" t="n">
        <f aca="false">IF(A1829=A1828,P1828+1-M1828,0)</f>
        <v>6</v>
      </c>
    </row>
    <row r="1830" customFormat="false" ht="15" hidden="false" customHeight="false" outlineLevel="0" collapsed="false">
      <c r="A1830" s="29" t="s">
        <v>4175</v>
      </c>
      <c r="B1830" s="29" t="s">
        <v>52</v>
      </c>
      <c r="C1830" s="29" t="s">
        <v>101</v>
      </c>
      <c r="D1830" s="29" t="s">
        <v>4176</v>
      </c>
      <c r="E1830" s="4" t="n">
        <v>8</v>
      </c>
      <c r="F1830" s="4" t="s">
        <v>213</v>
      </c>
      <c r="G1830" s="4" t="s">
        <v>824</v>
      </c>
      <c r="H1830" s="4" t="n">
        <v>1990</v>
      </c>
      <c r="I1830" s="4" t="s">
        <v>825</v>
      </c>
      <c r="J1830" s="25" t="str">
        <f aca="false">IF(M1830=1,"✓","")</f>
        <v/>
      </c>
      <c r="K1830" s="4" t="str">
        <f aca="false">IF(AND(M1830=0,P1830=0),"▶ NEXT","")</f>
        <v/>
      </c>
      <c r="L1830" s="4" t="n">
        <f aca="false">INDEX('Master List'!$F$2:$F$2594,O1830)</f>
        <v>2</v>
      </c>
      <c r="M1830" s="4" t="n">
        <f aca="false">INDEX('Master List'!$G$2:$G$2594,O1830)</f>
        <v>0</v>
      </c>
      <c r="N1830" s="4" t="str">
        <f aca="false">IF(K1830="","",A1830)</f>
        <v/>
      </c>
      <c r="O1830" s="4" t="n">
        <v>1722</v>
      </c>
      <c r="P1830" s="4" t="n">
        <f aca="false">IF(A1830=A1829,P1829+1-M1829,0)</f>
        <v>7</v>
      </c>
    </row>
    <row r="1831" customFormat="false" ht="15" hidden="false" customHeight="false" outlineLevel="0" collapsed="false">
      <c r="A1831" s="29" t="s">
        <v>4175</v>
      </c>
      <c r="B1831" s="29" t="s">
        <v>52</v>
      </c>
      <c r="C1831" s="29" t="s">
        <v>101</v>
      </c>
      <c r="D1831" s="29" t="s">
        <v>4176</v>
      </c>
      <c r="E1831" s="4" t="n">
        <v>9</v>
      </c>
      <c r="F1831" s="4" t="s">
        <v>213</v>
      </c>
      <c r="G1831" s="4" t="s">
        <v>3080</v>
      </c>
      <c r="H1831" s="4" t="n">
        <v>2015</v>
      </c>
      <c r="I1831" s="4" t="s">
        <v>1588</v>
      </c>
      <c r="J1831" s="25" t="str">
        <f aca="false">IF(M1831=1,"✓","")</f>
        <v/>
      </c>
      <c r="K1831" s="4" t="str">
        <f aca="false">IF(AND(M1831=0,P1831=0),"▶ NEXT","")</f>
        <v/>
      </c>
      <c r="L1831" s="4" t="n">
        <f aca="false">INDEX('Master List'!$F$2:$F$2594,O1831)</f>
        <v>1</v>
      </c>
      <c r="M1831" s="4" t="n">
        <f aca="false">INDEX('Master List'!$G$2:$G$2594,O1831)</f>
        <v>0</v>
      </c>
      <c r="N1831" s="4" t="str">
        <f aca="false">IF(K1831="","",A1831)</f>
        <v/>
      </c>
      <c r="O1831" s="4" t="n">
        <v>1208</v>
      </c>
      <c r="P1831" s="4" t="n">
        <f aca="false">IF(A1831=A1830,P1830+1-M1830,0)</f>
        <v>8</v>
      </c>
    </row>
    <row r="1832" customFormat="false" ht="15" hidden="false" customHeight="false" outlineLevel="0" collapsed="false">
      <c r="A1832" s="29" t="s">
        <v>4175</v>
      </c>
      <c r="B1832" s="29" t="s">
        <v>52</v>
      </c>
      <c r="C1832" s="29" t="s">
        <v>101</v>
      </c>
      <c r="D1832" s="29" t="s">
        <v>4176</v>
      </c>
      <c r="E1832" s="4" t="n">
        <v>10</v>
      </c>
      <c r="F1832" s="4" t="s">
        <v>1327</v>
      </c>
      <c r="G1832" s="4" t="s">
        <v>3709</v>
      </c>
      <c r="H1832" s="4" t="n">
        <v>1999</v>
      </c>
      <c r="I1832" s="4" t="s">
        <v>3710</v>
      </c>
      <c r="J1832" s="25" t="str">
        <f aca="false">IF(M1832=1,"✓","")</f>
        <v/>
      </c>
      <c r="K1832" s="4" t="str">
        <f aca="false">IF(AND(M1832=0,P1832=0),"▶ NEXT","")</f>
        <v/>
      </c>
      <c r="L1832" s="4" t="n">
        <f aca="false">INDEX('Master List'!$F$2:$F$2594,O1832)</f>
        <v>1</v>
      </c>
      <c r="M1832" s="4" t="n">
        <f aca="false">INDEX('Master List'!$G$2:$G$2594,O1832)</f>
        <v>0</v>
      </c>
      <c r="N1832" s="4" t="str">
        <f aca="false">IF(K1832="","",A1832)</f>
        <v/>
      </c>
      <c r="O1832" s="4" t="n">
        <v>93</v>
      </c>
      <c r="P1832" s="4" t="n">
        <f aca="false">IF(A1832=A1831,P1831+1-M1831,0)</f>
        <v>9</v>
      </c>
    </row>
    <row r="1833" customFormat="false" ht="15" hidden="false" customHeight="false" outlineLevel="0" collapsed="false">
      <c r="A1833" s="29" t="s">
        <v>4175</v>
      </c>
      <c r="B1833" s="29" t="s">
        <v>52</v>
      </c>
      <c r="C1833" s="29" t="s">
        <v>101</v>
      </c>
      <c r="D1833" s="29" t="s">
        <v>4176</v>
      </c>
      <c r="E1833" s="4" t="n">
        <v>11</v>
      </c>
      <c r="F1833" s="4" t="s">
        <v>1327</v>
      </c>
      <c r="G1833" s="4" t="s">
        <v>3778</v>
      </c>
      <c r="H1833" s="4" t="n">
        <v>2008</v>
      </c>
      <c r="I1833" s="4" t="s">
        <v>3779</v>
      </c>
      <c r="J1833" s="25" t="str">
        <f aca="false">IF(M1833=1,"✓","")</f>
        <v/>
      </c>
      <c r="K1833" s="4" t="str">
        <f aca="false">IF(AND(M1833=0,P1833=0),"▶ NEXT","")</f>
        <v/>
      </c>
      <c r="L1833" s="4" t="n">
        <f aca="false">INDEX('Master List'!$F$2:$F$2594,O1833)</f>
        <v>1</v>
      </c>
      <c r="M1833" s="4" t="n">
        <f aca="false">INDEX('Master List'!$G$2:$G$2594,O1833)</f>
        <v>0</v>
      </c>
      <c r="N1833" s="4" t="str">
        <f aca="false">IF(K1833="","",A1833)</f>
        <v/>
      </c>
      <c r="O1833" s="4" t="n">
        <v>589</v>
      </c>
      <c r="P1833" s="4" t="n">
        <f aca="false">IF(A1833=A1832,P1832+1-M1832,0)</f>
        <v>10</v>
      </c>
    </row>
    <row r="1834" customFormat="false" ht="15" hidden="false" customHeight="false" outlineLevel="0" collapsed="false">
      <c r="A1834" s="29" t="s">
        <v>4177</v>
      </c>
      <c r="B1834" s="29" t="s">
        <v>52</v>
      </c>
      <c r="C1834" s="29" t="s">
        <v>101</v>
      </c>
      <c r="D1834" s="29" t="s">
        <v>4178</v>
      </c>
      <c r="E1834" s="4" t="n">
        <v>1</v>
      </c>
      <c r="F1834" s="4" t="s">
        <v>144</v>
      </c>
      <c r="G1834" s="7" t="s">
        <v>1529</v>
      </c>
      <c r="H1834" s="4" t="n">
        <v>1984</v>
      </c>
      <c r="I1834" s="4" t="s">
        <v>496</v>
      </c>
      <c r="J1834" s="25" t="str">
        <f aca="false">IF(M1834=1,"✓","")</f>
        <v/>
      </c>
      <c r="K1834" s="4" t="str">
        <f aca="false">IF(AND(M1834=0,P1834=0),"▶ NEXT","")</f>
        <v>▶ NEXT</v>
      </c>
      <c r="L1834" s="4" t="n">
        <f aca="false">INDEX('Master List'!$F$2:$F$2594,O1834)</f>
        <v>1</v>
      </c>
      <c r="M1834" s="4" t="n">
        <f aca="false">INDEX('Master List'!$G$2:$G$2594,O1834)</f>
        <v>0</v>
      </c>
      <c r="N1834" s="4" t="str">
        <f aca="false">IF(K1834="","",A1834)</f>
        <v>N152</v>
      </c>
      <c r="O1834" s="4" t="n">
        <v>2162</v>
      </c>
      <c r="P1834" s="4" t="n">
        <f aca="false">IF(A1834=A1833,P1833+1-M1833,0)</f>
        <v>0</v>
      </c>
    </row>
    <row r="1835" customFormat="false" ht="15" hidden="false" customHeight="false" outlineLevel="0" collapsed="false">
      <c r="A1835" s="29" t="s">
        <v>4177</v>
      </c>
      <c r="B1835" s="29" t="s">
        <v>52</v>
      </c>
      <c r="C1835" s="29" t="s">
        <v>101</v>
      </c>
      <c r="D1835" s="29" t="s">
        <v>4178</v>
      </c>
      <c r="E1835" s="4" t="n">
        <v>2</v>
      </c>
      <c r="F1835" s="4" t="s">
        <v>144</v>
      </c>
      <c r="G1835" s="7" t="s">
        <v>1511</v>
      </c>
      <c r="H1835" s="4" t="n">
        <v>1978</v>
      </c>
      <c r="I1835" s="4" t="s">
        <v>164</v>
      </c>
      <c r="J1835" s="25" t="str">
        <f aca="false">IF(M1835=1,"✓","")</f>
        <v/>
      </c>
      <c r="K1835" s="4" t="str">
        <f aca="false">IF(AND(M1835=0,P1835=0),"▶ NEXT","")</f>
        <v/>
      </c>
      <c r="L1835" s="4" t="n">
        <f aca="false">INDEX('Master List'!$F$2:$F$2594,O1835)</f>
        <v>1</v>
      </c>
      <c r="M1835" s="4" t="n">
        <f aca="false">INDEX('Master List'!$G$2:$G$2594,O1835)</f>
        <v>0</v>
      </c>
      <c r="N1835" s="4" t="str">
        <f aca="false">IF(K1835="","",A1835)</f>
        <v/>
      </c>
      <c r="O1835" s="4" t="n">
        <v>1303</v>
      </c>
      <c r="P1835" s="4" t="n">
        <f aca="false">IF(A1835=A1834,P1834+1-M1834,0)</f>
        <v>1</v>
      </c>
    </row>
    <row r="1836" customFormat="false" ht="15" hidden="false" customHeight="false" outlineLevel="0" collapsed="false">
      <c r="A1836" s="29" t="s">
        <v>4177</v>
      </c>
      <c r="B1836" s="29" t="s">
        <v>52</v>
      </c>
      <c r="C1836" s="29" t="s">
        <v>101</v>
      </c>
      <c r="D1836" s="29" t="s">
        <v>4178</v>
      </c>
      <c r="E1836" s="4" t="n">
        <v>3</v>
      </c>
      <c r="F1836" s="4" t="s">
        <v>213</v>
      </c>
      <c r="G1836" s="4" t="s">
        <v>2126</v>
      </c>
      <c r="H1836" s="4" t="n">
        <v>1968</v>
      </c>
      <c r="I1836" s="4" t="s">
        <v>2105</v>
      </c>
      <c r="J1836" s="25" t="str">
        <f aca="false">IF(M1836=1,"✓","")</f>
        <v/>
      </c>
      <c r="K1836" s="4" t="str">
        <f aca="false">IF(AND(M1836=0,P1836=0),"▶ NEXT","")</f>
        <v/>
      </c>
      <c r="L1836" s="4" t="n">
        <f aca="false">INDEX('Master List'!$F$2:$F$2594,O1836)</f>
        <v>1</v>
      </c>
      <c r="M1836" s="4" t="n">
        <f aca="false">INDEX('Master List'!$G$2:$G$2594,O1836)</f>
        <v>0</v>
      </c>
      <c r="N1836" s="4" t="str">
        <f aca="false">IF(K1836="","",A1836)</f>
        <v/>
      </c>
      <c r="O1836" s="4" t="n">
        <v>1527</v>
      </c>
      <c r="P1836" s="4" t="n">
        <f aca="false">IF(A1836=A1835,P1835+1-M1835,0)</f>
        <v>2</v>
      </c>
    </row>
    <row r="1837" customFormat="false" ht="15" hidden="false" customHeight="false" outlineLevel="0" collapsed="false">
      <c r="A1837" s="29" t="s">
        <v>4177</v>
      </c>
      <c r="B1837" s="29" t="s">
        <v>52</v>
      </c>
      <c r="C1837" s="29" t="s">
        <v>101</v>
      </c>
      <c r="D1837" s="29" t="s">
        <v>4178</v>
      </c>
      <c r="E1837" s="4" t="n">
        <v>4</v>
      </c>
      <c r="F1837" s="4" t="s">
        <v>213</v>
      </c>
      <c r="G1837" s="4" t="s">
        <v>2157</v>
      </c>
      <c r="H1837" s="4" t="n">
        <v>1970</v>
      </c>
      <c r="I1837" s="4" t="s">
        <v>2158</v>
      </c>
      <c r="J1837" s="25" t="str">
        <f aca="false">IF(M1837=1,"✓","")</f>
        <v/>
      </c>
      <c r="K1837" s="4" t="str">
        <f aca="false">IF(AND(M1837=0,P1837=0),"▶ NEXT","")</f>
        <v/>
      </c>
      <c r="L1837" s="4" t="n">
        <f aca="false">INDEX('Master List'!$F$2:$F$2594,O1837)</f>
        <v>1</v>
      </c>
      <c r="M1837" s="4" t="n">
        <f aca="false">INDEX('Master List'!$G$2:$G$2594,O1837)</f>
        <v>0</v>
      </c>
      <c r="N1837" s="4" t="str">
        <f aca="false">IF(K1837="","",A1837)</f>
        <v/>
      </c>
      <c r="O1837" s="4" t="n">
        <v>2550</v>
      </c>
      <c r="P1837" s="4" t="n">
        <f aca="false">IF(A1837=A1836,P1836+1-M1836,0)</f>
        <v>3</v>
      </c>
    </row>
    <row r="1838" customFormat="false" ht="15" hidden="false" customHeight="false" outlineLevel="0" collapsed="false">
      <c r="A1838" s="29" t="s">
        <v>4177</v>
      </c>
      <c r="B1838" s="29" t="s">
        <v>52</v>
      </c>
      <c r="C1838" s="29" t="s">
        <v>101</v>
      </c>
      <c r="D1838" s="29" t="s">
        <v>4178</v>
      </c>
      <c r="E1838" s="4" t="n">
        <v>5</v>
      </c>
      <c r="F1838" s="4" t="s">
        <v>213</v>
      </c>
      <c r="G1838" s="4" t="s">
        <v>2228</v>
      </c>
      <c r="H1838" s="4" t="n">
        <v>1973</v>
      </c>
      <c r="I1838" s="4" t="s">
        <v>2229</v>
      </c>
      <c r="J1838" s="25" t="str">
        <f aca="false">IF(M1838=1,"✓","")</f>
        <v/>
      </c>
      <c r="K1838" s="4" t="str">
        <f aca="false">IF(AND(M1838=0,P1838=0),"▶ NEXT","")</f>
        <v/>
      </c>
      <c r="L1838" s="4" t="n">
        <f aca="false">INDEX('Master List'!$F$2:$F$2594,O1838)</f>
        <v>1</v>
      </c>
      <c r="M1838" s="4" t="n">
        <f aca="false">INDEX('Master List'!$G$2:$G$2594,O1838)</f>
        <v>0</v>
      </c>
      <c r="N1838" s="4" t="str">
        <f aca="false">IF(K1838="","",A1838)</f>
        <v/>
      </c>
      <c r="O1838" s="4" t="n">
        <v>2471</v>
      </c>
      <c r="P1838" s="4" t="n">
        <f aca="false">IF(A1838=A1837,P1837+1-M1837,0)</f>
        <v>4</v>
      </c>
    </row>
    <row r="1839" customFormat="false" ht="15" hidden="false" customHeight="false" outlineLevel="0" collapsed="false">
      <c r="A1839" s="29" t="s">
        <v>4177</v>
      </c>
      <c r="B1839" s="29" t="s">
        <v>52</v>
      </c>
      <c r="C1839" s="29" t="s">
        <v>101</v>
      </c>
      <c r="D1839" s="29" t="s">
        <v>4178</v>
      </c>
      <c r="E1839" s="4" t="n">
        <v>6</v>
      </c>
      <c r="F1839" s="4" t="s">
        <v>213</v>
      </c>
      <c r="G1839" s="4" t="s">
        <v>3213</v>
      </c>
      <c r="H1839" s="4" t="n">
        <v>2021</v>
      </c>
      <c r="I1839" s="4" t="s">
        <v>3214</v>
      </c>
      <c r="J1839" s="25" t="str">
        <f aca="false">IF(M1839=1,"✓","")</f>
        <v/>
      </c>
      <c r="K1839" s="4" t="str">
        <f aca="false">IF(AND(M1839=0,P1839=0),"▶ NEXT","")</f>
        <v/>
      </c>
      <c r="L1839" s="4" t="n">
        <f aca="false">INDEX('Master List'!$F$2:$F$2594,O1839)</f>
        <v>1</v>
      </c>
      <c r="M1839" s="4" t="n">
        <f aca="false">INDEX('Master List'!$G$2:$G$2594,O1839)</f>
        <v>0</v>
      </c>
      <c r="N1839" s="4" t="str">
        <f aca="false">IF(K1839="","",A1839)</f>
        <v/>
      </c>
      <c r="O1839" s="4" t="n">
        <v>2197</v>
      </c>
      <c r="P1839" s="4" t="n">
        <f aca="false">IF(A1839=A1838,P1838+1-M1838,0)</f>
        <v>5</v>
      </c>
    </row>
    <row r="1840" customFormat="false" ht="15" hidden="false" customHeight="false" outlineLevel="0" collapsed="false">
      <c r="A1840" s="29" t="s">
        <v>4177</v>
      </c>
      <c r="B1840" s="29" t="s">
        <v>52</v>
      </c>
      <c r="C1840" s="29" t="s">
        <v>101</v>
      </c>
      <c r="D1840" s="29" t="s">
        <v>4178</v>
      </c>
      <c r="E1840" s="4" t="n">
        <v>7</v>
      </c>
      <c r="F1840" s="4" t="s">
        <v>213</v>
      </c>
      <c r="G1840" s="4" t="s">
        <v>3150</v>
      </c>
      <c r="H1840" s="4" t="n">
        <v>2018</v>
      </c>
      <c r="I1840" s="4" t="s">
        <v>3151</v>
      </c>
      <c r="J1840" s="25" t="str">
        <f aca="false">IF(M1840=1,"✓","")</f>
        <v/>
      </c>
      <c r="K1840" s="4" t="str">
        <f aca="false">IF(AND(M1840=0,P1840=0),"▶ NEXT","")</f>
        <v/>
      </c>
      <c r="L1840" s="4" t="n">
        <f aca="false">INDEX('Master List'!$F$2:$F$2594,O1840)</f>
        <v>1</v>
      </c>
      <c r="M1840" s="4" t="n">
        <f aca="false">INDEX('Master List'!$G$2:$G$2594,O1840)</f>
        <v>0</v>
      </c>
      <c r="N1840" s="4" t="str">
        <f aca="false">IF(K1840="","",A1840)</f>
        <v/>
      </c>
      <c r="O1840" s="4" t="n">
        <v>85</v>
      </c>
      <c r="P1840" s="4" t="n">
        <f aca="false">IF(A1840=A1839,P1839+1-M1839,0)</f>
        <v>6</v>
      </c>
    </row>
    <row r="1841" customFormat="false" ht="15" hidden="false" customHeight="false" outlineLevel="0" collapsed="false">
      <c r="A1841" s="29" t="s">
        <v>4177</v>
      </c>
      <c r="B1841" s="29" t="s">
        <v>52</v>
      </c>
      <c r="C1841" s="29" t="s">
        <v>101</v>
      </c>
      <c r="D1841" s="29" t="s">
        <v>4178</v>
      </c>
      <c r="E1841" s="4" t="n">
        <v>8</v>
      </c>
      <c r="F1841" s="4" t="s">
        <v>213</v>
      </c>
      <c r="G1841" s="4" t="s">
        <v>2706</v>
      </c>
      <c r="H1841" s="4" t="n">
        <v>1999</v>
      </c>
      <c r="I1841" s="4" t="s">
        <v>365</v>
      </c>
      <c r="J1841" s="25" t="str">
        <f aca="false">IF(M1841=1,"✓","")</f>
        <v/>
      </c>
      <c r="K1841" s="4" t="str">
        <f aca="false">IF(AND(M1841=0,P1841=0),"▶ NEXT","")</f>
        <v/>
      </c>
      <c r="L1841" s="4" t="n">
        <f aca="false">INDEX('Master List'!$F$2:$F$2594,O1841)</f>
        <v>1</v>
      </c>
      <c r="M1841" s="4" t="n">
        <f aca="false">INDEX('Master List'!$G$2:$G$2594,O1841)</f>
        <v>0</v>
      </c>
      <c r="N1841" s="4" t="str">
        <f aca="false">IF(K1841="","",A1841)</f>
        <v/>
      </c>
      <c r="O1841" s="4" t="n">
        <v>364</v>
      </c>
      <c r="P1841" s="4" t="n">
        <f aca="false">IF(A1841=A1840,P1840+1-M1840,0)</f>
        <v>7</v>
      </c>
    </row>
    <row r="1842" customFormat="false" ht="15" hidden="false" customHeight="false" outlineLevel="0" collapsed="false">
      <c r="A1842" s="29" t="s">
        <v>4177</v>
      </c>
      <c r="B1842" s="29" t="s">
        <v>52</v>
      </c>
      <c r="C1842" s="29" t="s">
        <v>101</v>
      </c>
      <c r="D1842" s="29" t="s">
        <v>4178</v>
      </c>
      <c r="E1842" s="4" t="n">
        <v>9</v>
      </c>
      <c r="F1842" s="4" t="s">
        <v>1327</v>
      </c>
      <c r="G1842" s="4" t="s">
        <v>3401</v>
      </c>
      <c r="H1842" s="4" t="n">
        <v>1959</v>
      </c>
      <c r="I1842" s="4" t="s">
        <v>3402</v>
      </c>
      <c r="J1842" s="25" t="str">
        <f aca="false">IF(M1842=1,"✓","")</f>
        <v/>
      </c>
      <c r="K1842" s="4" t="str">
        <f aca="false">IF(AND(M1842=0,P1842=0),"▶ NEXT","")</f>
        <v/>
      </c>
      <c r="L1842" s="4" t="n">
        <f aca="false">INDEX('Master List'!$F$2:$F$2594,O1842)</f>
        <v>1</v>
      </c>
      <c r="M1842" s="4" t="n">
        <f aca="false">INDEX('Master List'!$G$2:$G$2594,O1842)</f>
        <v>0</v>
      </c>
      <c r="N1842" s="4" t="str">
        <f aca="false">IF(K1842="","",A1842)</f>
        <v/>
      </c>
      <c r="O1842" s="4" t="n">
        <v>1197</v>
      </c>
      <c r="P1842" s="4" t="n">
        <f aca="false">IF(A1842=A1841,P1841+1-M1841,0)</f>
        <v>8</v>
      </c>
    </row>
    <row r="1843" customFormat="false" ht="15" hidden="false" customHeight="false" outlineLevel="0" collapsed="false">
      <c r="A1843" s="29" t="s">
        <v>4179</v>
      </c>
      <c r="B1843" s="29" t="s">
        <v>52</v>
      </c>
      <c r="C1843" s="29" t="s">
        <v>102</v>
      </c>
      <c r="D1843" s="29" t="s">
        <v>4180</v>
      </c>
      <c r="E1843" s="4" t="n">
        <v>1</v>
      </c>
      <c r="F1843" s="4" t="s">
        <v>144</v>
      </c>
      <c r="G1843" s="7" t="s">
        <v>401</v>
      </c>
      <c r="H1843" s="4" t="n">
        <v>1929</v>
      </c>
      <c r="I1843" s="4" t="s">
        <v>402</v>
      </c>
      <c r="J1843" s="25" t="str">
        <f aca="false">IF(M1843=1,"✓","")</f>
        <v/>
      </c>
      <c r="K1843" s="4" t="str">
        <f aca="false">IF(AND(M1843=0,P1843=0),"▶ NEXT","")</f>
        <v>▶ NEXT</v>
      </c>
      <c r="L1843" s="4" t="n">
        <f aca="false">INDEX('Master List'!$F$2:$F$2594,O1843)</f>
        <v>3</v>
      </c>
      <c r="M1843" s="4" t="n">
        <f aca="false">INDEX('Master List'!$G$2:$G$2594,O1843)</f>
        <v>0</v>
      </c>
      <c r="N1843" s="4" t="str">
        <f aca="false">IF(K1843="","",A1843)</f>
        <v>N153</v>
      </c>
      <c r="O1843" s="4" t="n">
        <v>2397</v>
      </c>
      <c r="P1843" s="4" t="n">
        <f aca="false">IF(A1843=A1842,P1842+1-M1842,0)</f>
        <v>0</v>
      </c>
    </row>
    <row r="1844" customFormat="false" ht="15" hidden="false" customHeight="false" outlineLevel="0" collapsed="false">
      <c r="A1844" s="29" t="s">
        <v>4179</v>
      </c>
      <c r="B1844" s="29" t="s">
        <v>52</v>
      </c>
      <c r="C1844" s="29" t="s">
        <v>102</v>
      </c>
      <c r="D1844" s="29" t="s">
        <v>4180</v>
      </c>
      <c r="E1844" s="4" t="n">
        <v>2</v>
      </c>
      <c r="F1844" s="4" t="s">
        <v>144</v>
      </c>
      <c r="G1844" s="7" t="s">
        <v>263</v>
      </c>
      <c r="H1844" s="4" t="n">
        <v>1943</v>
      </c>
      <c r="I1844" s="4" t="s">
        <v>264</v>
      </c>
      <c r="J1844" s="25" t="str">
        <f aca="false">IF(M1844=1,"✓","")</f>
        <v/>
      </c>
      <c r="K1844" s="4" t="str">
        <f aca="false">IF(AND(M1844=0,P1844=0),"▶ NEXT","")</f>
        <v/>
      </c>
      <c r="L1844" s="4" t="n">
        <f aca="false">INDEX('Master List'!$F$2:$F$2594,O1844)</f>
        <v>5</v>
      </c>
      <c r="M1844" s="4" t="n">
        <f aca="false">INDEX('Master List'!$G$2:$G$2594,O1844)</f>
        <v>0</v>
      </c>
      <c r="N1844" s="4" t="str">
        <f aca="false">IF(K1844="","",A1844)</f>
        <v/>
      </c>
      <c r="O1844" s="4" t="n">
        <v>1486</v>
      </c>
      <c r="P1844" s="4" t="n">
        <f aca="false">IF(A1844=A1843,P1843+1-M1843,0)</f>
        <v>1</v>
      </c>
    </row>
    <row r="1845" customFormat="false" ht="15" hidden="false" customHeight="false" outlineLevel="0" collapsed="false">
      <c r="A1845" s="29" t="s">
        <v>4179</v>
      </c>
      <c r="B1845" s="29" t="s">
        <v>52</v>
      </c>
      <c r="C1845" s="29" t="s">
        <v>102</v>
      </c>
      <c r="D1845" s="29" t="s">
        <v>4180</v>
      </c>
      <c r="E1845" s="4" t="n">
        <v>3</v>
      </c>
      <c r="F1845" s="4" t="s">
        <v>213</v>
      </c>
      <c r="G1845" s="4" t="s">
        <v>905</v>
      </c>
      <c r="H1845" s="4" t="n">
        <v>1930</v>
      </c>
      <c r="I1845" s="4" t="s">
        <v>402</v>
      </c>
      <c r="J1845" s="25" t="str">
        <f aca="false">IF(M1845=1,"✓","")</f>
        <v/>
      </c>
      <c r="K1845" s="4" t="str">
        <f aca="false">IF(AND(M1845=0,P1845=0),"▶ NEXT","")</f>
        <v/>
      </c>
      <c r="L1845" s="4" t="n">
        <f aca="false">INDEX('Master List'!$F$2:$F$2594,O1845)</f>
        <v>2</v>
      </c>
      <c r="M1845" s="4" t="n">
        <f aca="false">INDEX('Master List'!$G$2:$G$2594,O1845)</f>
        <v>0</v>
      </c>
      <c r="N1845" s="4" t="str">
        <f aca="false">IF(K1845="","",A1845)</f>
        <v/>
      </c>
      <c r="O1845" s="4" t="n">
        <v>54</v>
      </c>
      <c r="P1845" s="4" t="n">
        <f aca="false">IF(A1845=A1844,P1844+1-M1844,0)</f>
        <v>2</v>
      </c>
    </row>
    <row r="1846" customFormat="false" ht="15" hidden="false" customHeight="false" outlineLevel="0" collapsed="false">
      <c r="A1846" s="29" t="s">
        <v>4179</v>
      </c>
      <c r="B1846" s="29" t="s">
        <v>52</v>
      </c>
      <c r="C1846" s="29" t="s">
        <v>102</v>
      </c>
      <c r="D1846" s="29" t="s">
        <v>4180</v>
      </c>
      <c r="E1846" s="4" t="n">
        <v>4</v>
      </c>
      <c r="F1846" s="4" t="s">
        <v>213</v>
      </c>
      <c r="G1846" s="4" t="s">
        <v>1698</v>
      </c>
      <c r="H1846" s="4" t="n">
        <v>1928</v>
      </c>
      <c r="I1846" s="4" t="s">
        <v>1699</v>
      </c>
      <c r="J1846" s="25" t="str">
        <f aca="false">IF(M1846=1,"✓","")</f>
        <v/>
      </c>
      <c r="K1846" s="4" t="str">
        <f aca="false">IF(AND(M1846=0,P1846=0),"▶ NEXT","")</f>
        <v/>
      </c>
      <c r="L1846" s="4" t="n">
        <f aca="false">INDEX('Master List'!$F$2:$F$2594,O1846)</f>
        <v>1</v>
      </c>
      <c r="M1846" s="4" t="n">
        <f aca="false">INDEX('Master List'!$G$2:$G$2594,O1846)</f>
        <v>0</v>
      </c>
      <c r="N1846" s="4" t="str">
        <f aca="false">IF(K1846="","",A1846)</f>
        <v/>
      </c>
      <c r="O1846" s="4" t="n">
        <v>2000</v>
      </c>
      <c r="P1846" s="4" t="n">
        <f aca="false">IF(A1846=A1845,P1845+1-M1845,0)</f>
        <v>3</v>
      </c>
    </row>
    <row r="1847" customFormat="false" ht="15" hidden="false" customHeight="false" outlineLevel="0" collapsed="false">
      <c r="A1847" s="29" t="s">
        <v>4179</v>
      </c>
      <c r="B1847" s="29" t="s">
        <v>52</v>
      </c>
      <c r="C1847" s="29" t="s">
        <v>102</v>
      </c>
      <c r="D1847" s="29" t="s">
        <v>4180</v>
      </c>
      <c r="E1847" s="4" t="n">
        <v>5</v>
      </c>
      <c r="F1847" s="4" t="s">
        <v>213</v>
      </c>
      <c r="G1847" s="4" t="s">
        <v>1736</v>
      </c>
      <c r="H1847" s="4" t="n">
        <v>1932</v>
      </c>
      <c r="I1847" s="4" t="s">
        <v>1737</v>
      </c>
      <c r="J1847" s="25" t="str">
        <f aca="false">IF(M1847=1,"✓","")</f>
        <v/>
      </c>
      <c r="K1847" s="4" t="str">
        <f aca="false">IF(AND(M1847=0,P1847=0),"▶ NEXT","")</f>
        <v/>
      </c>
      <c r="L1847" s="4" t="n">
        <f aca="false">INDEX('Master List'!$F$2:$F$2594,O1847)</f>
        <v>1</v>
      </c>
      <c r="M1847" s="4" t="n">
        <f aca="false">INDEX('Master List'!$G$2:$G$2594,O1847)</f>
        <v>0</v>
      </c>
      <c r="N1847" s="4" t="str">
        <f aca="false">IF(K1847="","",A1847)</f>
        <v/>
      </c>
      <c r="O1847" s="4" t="n">
        <v>291</v>
      </c>
      <c r="P1847" s="4" t="n">
        <f aca="false">IF(A1847=A1846,P1846+1-M1846,0)</f>
        <v>4</v>
      </c>
    </row>
    <row r="1848" customFormat="false" ht="15" hidden="false" customHeight="false" outlineLevel="0" collapsed="false">
      <c r="A1848" s="29" t="s">
        <v>4179</v>
      </c>
      <c r="B1848" s="29" t="s">
        <v>52</v>
      </c>
      <c r="C1848" s="29" t="s">
        <v>102</v>
      </c>
      <c r="D1848" s="29" t="s">
        <v>4180</v>
      </c>
      <c r="E1848" s="4" t="n">
        <v>6</v>
      </c>
      <c r="F1848" s="4" t="s">
        <v>213</v>
      </c>
      <c r="G1848" s="4" t="s">
        <v>1879</v>
      </c>
      <c r="H1848" s="4" t="n">
        <v>1950</v>
      </c>
      <c r="I1848" s="4" t="s">
        <v>1737</v>
      </c>
      <c r="J1848" s="25" t="str">
        <f aca="false">IF(M1848=1,"✓","")</f>
        <v/>
      </c>
      <c r="K1848" s="4" t="str">
        <f aca="false">IF(AND(M1848=0,P1848=0),"▶ NEXT","")</f>
        <v/>
      </c>
      <c r="L1848" s="4" t="n">
        <f aca="false">INDEX('Master List'!$F$2:$F$2594,O1848)</f>
        <v>1</v>
      </c>
      <c r="M1848" s="4" t="n">
        <f aca="false">INDEX('Master List'!$G$2:$G$2594,O1848)</f>
        <v>0</v>
      </c>
      <c r="N1848" s="4" t="str">
        <f aca="false">IF(K1848="","",A1848)</f>
        <v/>
      </c>
      <c r="O1848" s="4" t="n">
        <v>1693</v>
      </c>
      <c r="P1848" s="4" t="n">
        <f aca="false">IF(A1848=A1847,P1847+1-M1847,0)</f>
        <v>5</v>
      </c>
    </row>
    <row r="1849" customFormat="false" ht="15" hidden="false" customHeight="false" outlineLevel="0" collapsed="false">
      <c r="A1849" s="29" t="s">
        <v>4179</v>
      </c>
      <c r="B1849" s="29" t="s">
        <v>52</v>
      </c>
      <c r="C1849" s="29" t="s">
        <v>102</v>
      </c>
      <c r="D1849" s="29" t="s">
        <v>4180</v>
      </c>
      <c r="E1849" s="4" t="n">
        <v>7</v>
      </c>
      <c r="F1849" s="4" t="s">
        <v>213</v>
      </c>
      <c r="G1849" s="4" t="s">
        <v>669</v>
      </c>
      <c r="H1849" s="4" t="n">
        <v>1972</v>
      </c>
      <c r="I1849" s="4" t="s">
        <v>402</v>
      </c>
      <c r="J1849" s="25" t="str">
        <f aca="false">IF(M1849=1,"✓","")</f>
        <v/>
      </c>
      <c r="K1849" s="4" t="str">
        <f aca="false">IF(AND(M1849=0,P1849=0),"▶ NEXT","")</f>
        <v/>
      </c>
      <c r="L1849" s="4" t="n">
        <f aca="false">INDEX('Master List'!$F$2:$F$2594,O1849)</f>
        <v>3</v>
      </c>
      <c r="M1849" s="4" t="n">
        <f aca="false">INDEX('Master List'!$G$2:$G$2594,O1849)</f>
        <v>0</v>
      </c>
      <c r="N1849" s="4" t="str">
        <f aca="false">IF(K1849="","",A1849)</f>
        <v/>
      </c>
      <c r="O1849" s="4" t="n">
        <v>636</v>
      </c>
      <c r="P1849" s="4" t="n">
        <f aca="false">IF(A1849=A1848,P1848+1-M1848,0)</f>
        <v>6</v>
      </c>
    </row>
    <row r="1850" customFormat="false" ht="15" hidden="false" customHeight="false" outlineLevel="0" collapsed="false">
      <c r="A1850" s="29" t="s">
        <v>4179</v>
      </c>
      <c r="B1850" s="29" t="s">
        <v>52</v>
      </c>
      <c r="C1850" s="29" t="s">
        <v>102</v>
      </c>
      <c r="D1850" s="29" t="s">
        <v>4180</v>
      </c>
      <c r="E1850" s="4" t="n">
        <v>8</v>
      </c>
      <c r="F1850" s="4" t="s">
        <v>213</v>
      </c>
      <c r="G1850" s="4" t="s">
        <v>2245</v>
      </c>
      <c r="H1850" s="4" t="n">
        <v>1974</v>
      </c>
      <c r="I1850" s="4" t="s">
        <v>402</v>
      </c>
      <c r="J1850" s="25" t="str">
        <f aca="false">IF(M1850=1,"✓","")</f>
        <v/>
      </c>
      <c r="K1850" s="4" t="str">
        <f aca="false">IF(AND(M1850=0,P1850=0),"▶ NEXT","")</f>
        <v/>
      </c>
      <c r="L1850" s="4" t="n">
        <f aca="false">INDEX('Master List'!$F$2:$F$2594,O1850)</f>
        <v>1</v>
      </c>
      <c r="M1850" s="4" t="n">
        <f aca="false">INDEX('Master List'!$G$2:$G$2594,O1850)</f>
        <v>0</v>
      </c>
      <c r="N1850" s="4" t="str">
        <f aca="false">IF(K1850="","",A1850)</f>
        <v/>
      </c>
      <c r="O1850" s="4" t="n">
        <v>1752</v>
      </c>
      <c r="P1850" s="4" t="n">
        <f aca="false">IF(A1850=A1849,P1849+1-M1849,0)</f>
        <v>7</v>
      </c>
    </row>
    <row r="1851" customFormat="false" ht="15" hidden="false" customHeight="false" outlineLevel="0" collapsed="false">
      <c r="A1851" s="29" t="s">
        <v>4179</v>
      </c>
      <c r="B1851" s="29" t="s">
        <v>52</v>
      </c>
      <c r="C1851" s="29" t="s">
        <v>102</v>
      </c>
      <c r="D1851" s="29" t="s">
        <v>4180</v>
      </c>
      <c r="E1851" s="4" t="n">
        <v>9</v>
      </c>
      <c r="F1851" s="4" t="s">
        <v>1327</v>
      </c>
      <c r="G1851" s="4" t="s">
        <v>3295</v>
      </c>
      <c r="H1851" s="4" t="n">
        <v>1926</v>
      </c>
      <c r="I1851" s="4" t="s">
        <v>3296</v>
      </c>
      <c r="J1851" s="25" t="str">
        <f aca="false">IF(M1851=1,"✓","")</f>
        <v/>
      </c>
      <c r="K1851" s="4" t="str">
        <f aca="false">IF(AND(M1851=0,P1851=0),"▶ NEXT","")</f>
        <v/>
      </c>
      <c r="L1851" s="4" t="n">
        <f aca="false">INDEX('Master List'!$F$2:$F$2594,O1851)</f>
        <v>1</v>
      </c>
      <c r="M1851" s="4" t="n">
        <f aca="false">INDEX('Master List'!$G$2:$G$2594,O1851)</f>
        <v>0</v>
      </c>
      <c r="N1851" s="4" t="str">
        <f aca="false">IF(K1851="","",A1851)</f>
        <v/>
      </c>
      <c r="O1851" s="4" t="n">
        <v>104</v>
      </c>
      <c r="P1851" s="4" t="n">
        <f aca="false">IF(A1851=A1850,P1850+1-M1850,0)</f>
        <v>8</v>
      </c>
    </row>
    <row r="1852" customFormat="false" ht="15" hidden="false" customHeight="false" outlineLevel="0" collapsed="false">
      <c r="A1852" s="29" t="s">
        <v>4181</v>
      </c>
      <c r="B1852" s="29" t="s">
        <v>52</v>
      </c>
      <c r="C1852" s="29" t="s">
        <v>102</v>
      </c>
      <c r="D1852" s="29" t="s">
        <v>4182</v>
      </c>
      <c r="E1852" s="4" t="n">
        <v>1</v>
      </c>
      <c r="F1852" s="4" t="s">
        <v>144</v>
      </c>
      <c r="G1852" s="7" t="s">
        <v>263</v>
      </c>
      <c r="H1852" s="4" t="n">
        <v>1943</v>
      </c>
      <c r="I1852" s="4" t="s">
        <v>264</v>
      </c>
      <c r="J1852" s="25" t="str">
        <f aca="false">IF(M1852=1,"✓","")</f>
        <v/>
      </c>
      <c r="K1852" s="4" t="str">
        <f aca="false">IF(AND(M1852=0,P1852=0),"▶ NEXT","")</f>
        <v>▶ NEXT</v>
      </c>
      <c r="L1852" s="4" t="n">
        <f aca="false">INDEX('Master List'!$F$2:$F$2594,O1852)</f>
        <v>5</v>
      </c>
      <c r="M1852" s="4" t="n">
        <f aca="false">INDEX('Master List'!$G$2:$G$2594,O1852)</f>
        <v>0</v>
      </c>
      <c r="N1852" s="4" t="str">
        <f aca="false">IF(K1852="","",A1852)</f>
        <v>N154</v>
      </c>
      <c r="O1852" s="4" t="n">
        <v>1486</v>
      </c>
      <c r="P1852" s="4" t="n">
        <f aca="false">IF(A1852=A1851,P1851+1-M1851,0)</f>
        <v>0</v>
      </c>
    </row>
    <row r="1853" customFormat="false" ht="15" hidden="false" customHeight="false" outlineLevel="0" collapsed="false">
      <c r="A1853" s="29" t="s">
        <v>4181</v>
      </c>
      <c r="B1853" s="29" t="s">
        <v>52</v>
      </c>
      <c r="C1853" s="29" t="s">
        <v>102</v>
      </c>
      <c r="D1853" s="29" t="s">
        <v>4182</v>
      </c>
      <c r="E1853" s="4" t="n">
        <v>2</v>
      </c>
      <c r="F1853" s="4" t="s">
        <v>144</v>
      </c>
      <c r="G1853" s="7" t="s">
        <v>1473</v>
      </c>
      <c r="H1853" s="4" t="n">
        <v>1967</v>
      </c>
      <c r="I1853" s="4" t="s">
        <v>1474</v>
      </c>
      <c r="J1853" s="25" t="str">
        <f aca="false">IF(M1853=1,"✓","")</f>
        <v/>
      </c>
      <c r="K1853" s="4" t="str">
        <f aca="false">IF(AND(M1853=0,P1853=0),"▶ NEXT","")</f>
        <v/>
      </c>
      <c r="L1853" s="4" t="n">
        <f aca="false">INDEX('Master List'!$F$2:$F$2594,O1853)</f>
        <v>1</v>
      </c>
      <c r="M1853" s="4" t="n">
        <f aca="false">INDEX('Master List'!$G$2:$G$2594,O1853)</f>
        <v>0</v>
      </c>
      <c r="N1853" s="4" t="str">
        <f aca="false">IF(K1853="","",A1853)</f>
        <v/>
      </c>
      <c r="O1853" s="4" t="n">
        <v>2472</v>
      </c>
      <c r="P1853" s="4" t="n">
        <f aca="false">IF(A1853=A1852,P1852+1-M1852,0)</f>
        <v>1</v>
      </c>
    </row>
    <row r="1854" customFormat="false" ht="15" hidden="false" customHeight="false" outlineLevel="0" collapsed="false">
      <c r="A1854" s="29" t="s">
        <v>4181</v>
      </c>
      <c r="B1854" s="29" t="s">
        <v>52</v>
      </c>
      <c r="C1854" s="29" t="s">
        <v>102</v>
      </c>
      <c r="D1854" s="29" t="s">
        <v>4182</v>
      </c>
      <c r="E1854" s="4" t="n">
        <v>3</v>
      </c>
      <c r="F1854" s="4" t="s">
        <v>213</v>
      </c>
      <c r="G1854" s="4" t="s">
        <v>1965</v>
      </c>
      <c r="H1854" s="4" t="n">
        <v>1959</v>
      </c>
      <c r="I1854" s="4" t="s">
        <v>1966</v>
      </c>
      <c r="J1854" s="25" t="str">
        <f aca="false">IF(M1854=1,"✓","")</f>
        <v/>
      </c>
      <c r="K1854" s="4" t="str">
        <f aca="false">IF(AND(M1854=0,P1854=0),"▶ NEXT","")</f>
        <v/>
      </c>
      <c r="L1854" s="4" t="n">
        <f aca="false">INDEX('Master List'!$F$2:$F$2594,O1854)</f>
        <v>1</v>
      </c>
      <c r="M1854" s="4" t="n">
        <f aca="false">INDEX('Master List'!$G$2:$G$2594,O1854)</f>
        <v>0</v>
      </c>
      <c r="N1854" s="4" t="str">
        <f aca="false">IF(K1854="","",A1854)</f>
        <v/>
      </c>
      <c r="O1854" s="4" t="n">
        <v>2524</v>
      </c>
      <c r="P1854" s="4" t="n">
        <f aca="false">IF(A1854=A1853,P1853+1-M1853,0)</f>
        <v>2</v>
      </c>
    </row>
    <row r="1855" customFormat="false" ht="15" hidden="false" customHeight="false" outlineLevel="0" collapsed="false">
      <c r="A1855" s="29" t="s">
        <v>4181</v>
      </c>
      <c r="B1855" s="29" t="s">
        <v>52</v>
      </c>
      <c r="C1855" s="29" t="s">
        <v>102</v>
      </c>
      <c r="D1855" s="29" t="s">
        <v>4182</v>
      </c>
      <c r="E1855" s="4" t="n">
        <v>4</v>
      </c>
      <c r="F1855" s="4" t="s">
        <v>213</v>
      </c>
      <c r="G1855" s="4" t="s">
        <v>2067</v>
      </c>
      <c r="H1855" s="4" t="n">
        <v>1965</v>
      </c>
      <c r="I1855" s="4" t="s">
        <v>1966</v>
      </c>
      <c r="J1855" s="25" t="str">
        <f aca="false">IF(M1855=1,"✓","")</f>
        <v/>
      </c>
      <c r="K1855" s="4" t="str">
        <f aca="false">IF(AND(M1855=0,P1855=0),"▶ NEXT","")</f>
        <v/>
      </c>
      <c r="L1855" s="4" t="n">
        <f aca="false">INDEX('Master List'!$F$2:$F$2594,O1855)</f>
        <v>1</v>
      </c>
      <c r="M1855" s="4" t="n">
        <f aca="false">INDEX('Master List'!$G$2:$G$2594,O1855)</f>
        <v>0</v>
      </c>
      <c r="N1855" s="4" t="str">
        <f aca="false">IF(K1855="","",A1855)</f>
        <v/>
      </c>
      <c r="O1855" s="4" t="n">
        <v>651</v>
      </c>
      <c r="P1855" s="4" t="n">
        <f aca="false">IF(A1855=A1854,P1854+1-M1854,0)</f>
        <v>3</v>
      </c>
    </row>
    <row r="1856" customFormat="false" ht="15" hidden="false" customHeight="false" outlineLevel="0" collapsed="false">
      <c r="A1856" s="29" t="s">
        <v>4181</v>
      </c>
      <c r="B1856" s="29" t="s">
        <v>52</v>
      </c>
      <c r="C1856" s="29" t="s">
        <v>102</v>
      </c>
      <c r="D1856" s="29" t="s">
        <v>4182</v>
      </c>
      <c r="E1856" s="4" t="n">
        <v>5</v>
      </c>
      <c r="F1856" s="4" t="s">
        <v>213</v>
      </c>
      <c r="G1856" s="4" t="s">
        <v>2031</v>
      </c>
      <c r="H1856" s="4" t="n">
        <v>1963</v>
      </c>
      <c r="I1856" s="4" t="s">
        <v>2032</v>
      </c>
      <c r="J1856" s="25" t="str">
        <f aca="false">IF(M1856=1,"✓","")</f>
        <v/>
      </c>
      <c r="K1856" s="4" t="str">
        <f aca="false">IF(AND(M1856=0,P1856=0),"▶ NEXT","")</f>
        <v/>
      </c>
      <c r="L1856" s="4" t="n">
        <f aca="false">INDEX('Master List'!$F$2:$F$2594,O1856)</f>
        <v>1</v>
      </c>
      <c r="M1856" s="4" t="n">
        <f aca="false">INDEX('Master List'!$G$2:$G$2594,O1856)</f>
        <v>0</v>
      </c>
      <c r="N1856" s="4" t="str">
        <f aca="false">IF(K1856="","",A1856)</f>
        <v/>
      </c>
      <c r="O1856" s="4" t="n">
        <v>1992</v>
      </c>
      <c r="P1856" s="4" t="n">
        <f aca="false">IF(A1856=A1855,P1855+1-M1855,0)</f>
        <v>4</v>
      </c>
    </row>
    <row r="1857" customFormat="false" ht="15" hidden="false" customHeight="false" outlineLevel="0" collapsed="false">
      <c r="A1857" s="29" t="s">
        <v>4181</v>
      </c>
      <c r="B1857" s="29" t="s">
        <v>52</v>
      </c>
      <c r="C1857" s="29" t="s">
        <v>102</v>
      </c>
      <c r="D1857" s="29" t="s">
        <v>4182</v>
      </c>
      <c r="E1857" s="4" t="n">
        <v>6</v>
      </c>
      <c r="F1857" s="4" t="s">
        <v>213</v>
      </c>
      <c r="G1857" s="4" t="s">
        <v>2033</v>
      </c>
      <c r="H1857" s="4" t="n">
        <v>1963</v>
      </c>
      <c r="I1857" s="4" t="s">
        <v>2034</v>
      </c>
      <c r="J1857" s="25" t="str">
        <f aca="false">IF(M1857=1,"✓","")</f>
        <v/>
      </c>
      <c r="K1857" s="4" t="str">
        <f aca="false">IF(AND(M1857=0,P1857=0),"▶ NEXT","")</f>
        <v/>
      </c>
      <c r="L1857" s="4" t="n">
        <f aca="false">INDEX('Master List'!$F$2:$F$2594,O1857)</f>
        <v>1</v>
      </c>
      <c r="M1857" s="4" t="n">
        <f aca="false">INDEX('Master List'!$G$2:$G$2594,O1857)</f>
        <v>0</v>
      </c>
      <c r="N1857" s="4" t="str">
        <f aca="false">IF(K1857="","",A1857)</f>
        <v/>
      </c>
      <c r="O1857" s="4" t="n">
        <v>817</v>
      </c>
      <c r="P1857" s="4" t="n">
        <f aca="false">IF(A1857=A1856,P1856+1-M1856,0)</f>
        <v>5</v>
      </c>
    </row>
    <row r="1858" customFormat="false" ht="15" hidden="false" customHeight="false" outlineLevel="0" collapsed="false">
      <c r="A1858" s="29" t="s">
        <v>4181</v>
      </c>
      <c r="B1858" s="29" t="s">
        <v>52</v>
      </c>
      <c r="C1858" s="29" t="s">
        <v>102</v>
      </c>
      <c r="D1858" s="29" t="s">
        <v>4182</v>
      </c>
      <c r="E1858" s="4" t="n">
        <v>7</v>
      </c>
      <c r="F1858" s="4" t="s">
        <v>213</v>
      </c>
      <c r="G1858" s="4" t="s">
        <v>2050</v>
      </c>
      <c r="H1858" s="4" t="n">
        <v>1964</v>
      </c>
      <c r="I1858" s="4" t="s">
        <v>2051</v>
      </c>
      <c r="J1858" s="25" t="str">
        <f aca="false">IF(M1858=1,"✓","")</f>
        <v/>
      </c>
      <c r="K1858" s="4" t="str">
        <f aca="false">IF(AND(M1858=0,P1858=0),"▶ NEXT","")</f>
        <v/>
      </c>
      <c r="L1858" s="4" t="n">
        <f aca="false">INDEX('Master List'!$F$2:$F$2594,O1858)</f>
        <v>1</v>
      </c>
      <c r="M1858" s="4" t="n">
        <f aca="false">INDEX('Master List'!$G$2:$G$2594,O1858)</f>
        <v>0</v>
      </c>
      <c r="N1858" s="4" t="str">
        <f aca="false">IF(K1858="","",A1858)</f>
        <v/>
      </c>
      <c r="O1858" s="4" t="n">
        <v>724</v>
      </c>
      <c r="P1858" s="4" t="n">
        <f aca="false">IF(A1858=A1857,P1857+1-M1857,0)</f>
        <v>6</v>
      </c>
    </row>
    <row r="1859" customFormat="false" ht="15" hidden="false" customHeight="false" outlineLevel="0" collapsed="false">
      <c r="A1859" s="29" t="s">
        <v>4181</v>
      </c>
      <c r="B1859" s="29" t="s">
        <v>52</v>
      </c>
      <c r="C1859" s="29" t="s">
        <v>102</v>
      </c>
      <c r="D1859" s="29" t="s">
        <v>4182</v>
      </c>
      <c r="E1859" s="4" t="n">
        <v>8</v>
      </c>
      <c r="F1859" s="4" t="s">
        <v>213</v>
      </c>
      <c r="G1859" s="4" t="s">
        <v>2082</v>
      </c>
      <c r="H1859" s="4" t="n">
        <v>1966</v>
      </c>
      <c r="I1859" s="4" t="s">
        <v>2083</v>
      </c>
      <c r="J1859" s="25" t="str">
        <f aca="false">IF(M1859=1,"✓","")</f>
        <v/>
      </c>
      <c r="K1859" s="4" t="str">
        <f aca="false">IF(AND(M1859=0,P1859=0),"▶ NEXT","")</f>
        <v/>
      </c>
      <c r="L1859" s="4" t="n">
        <f aca="false">INDEX('Master List'!$F$2:$F$2594,O1859)</f>
        <v>1</v>
      </c>
      <c r="M1859" s="4" t="n">
        <f aca="false">INDEX('Master List'!$G$2:$G$2594,O1859)</f>
        <v>0</v>
      </c>
      <c r="N1859" s="4" t="str">
        <f aca="false">IF(K1859="","",A1859)</f>
        <v/>
      </c>
      <c r="O1859" s="4" t="n">
        <v>436</v>
      </c>
      <c r="P1859" s="4" t="n">
        <f aca="false">IF(A1859=A1858,P1858+1-M1858,0)</f>
        <v>7</v>
      </c>
    </row>
    <row r="1860" customFormat="false" ht="15" hidden="false" customHeight="false" outlineLevel="0" collapsed="false">
      <c r="A1860" s="29" t="s">
        <v>4181</v>
      </c>
      <c r="B1860" s="29" t="s">
        <v>52</v>
      </c>
      <c r="C1860" s="29" t="s">
        <v>102</v>
      </c>
      <c r="D1860" s="29" t="s">
        <v>4182</v>
      </c>
      <c r="E1860" s="4" t="n">
        <v>9</v>
      </c>
      <c r="F1860" s="4" t="s">
        <v>213</v>
      </c>
      <c r="G1860" s="4" t="s">
        <v>2084</v>
      </c>
      <c r="H1860" s="4" t="n">
        <v>1966</v>
      </c>
      <c r="I1860" s="4" t="s">
        <v>2085</v>
      </c>
      <c r="J1860" s="25" t="str">
        <f aca="false">IF(M1860=1,"✓","")</f>
        <v/>
      </c>
      <c r="K1860" s="4" t="str">
        <f aca="false">IF(AND(M1860=0,P1860=0),"▶ NEXT","")</f>
        <v/>
      </c>
      <c r="L1860" s="4" t="n">
        <f aca="false">INDEX('Master List'!$F$2:$F$2594,O1860)</f>
        <v>1</v>
      </c>
      <c r="M1860" s="4" t="n">
        <f aca="false">INDEX('Master List'!$G$2:$G$2594,O1860)</f>
        <v>0</v>
      </c>
      <c r="N1860" s="4" t="str">
        <f aca="false">IF(K1860="","",A1860)</f>
        <v/>
      </c>
      <c r="O1860" s="4" t="n">
        <v>820</v>
      </c>
      <c r="P1860" s="4" t="n">
        <f aca="false">IF(A1860=A1859,P1859+1-M1859,0)</f>
        <v>8</v>
      </c>
    </row>
    <row r="1861" customFormat="false" ht="15" hidden="false" customHeight="false" outlineLevel="0" collapsed="false">
      <c r="A1861" s="29" t="s">
        <v>4181</v>
      </c>
      <c r="B1861" s="29" t="s">
        <v>52</v>
      </c>
      <c r="C1861" s="29" t="s">
        <v>102</v>
      </c>
      <c r="D1861" s="29" t="s">
        <v>4182</v>
      </c>
      <c r="E1861" s="4" t="n">
        <v>10</v>
      </c>
      <c r="F1861" s="4" t="s">
        <v>213</v>
      </c>
      <c r="G1861" s="4" t="s">
        <v>2159</v>
      </c>
      <c r="H1861" s="4" t="n">
        <v>1970</v>
      </c>
      <c r="I1861" s="4" t="s">
        <v>2160</v>
      </c>
      <c r="J1861" s="25" t="str">
        <f aca="false">IF(M1861=1,"✓","")</f>
        <v/>
      </c>
      <c r="K1861" s="4" t="str">
        <f aca="false">IF(AND(M1861=0,P1861=0),"▶ NEXT","")</f>
        <v/>
      </c>
      <c r="L1861" s="4" t="n">
        <f aca="false">INDEX('Master List'!$F$2:$F$2594,O1861)</f>
        <v>1</v>
      </c>
      <c r="M1861" s="4" t="n">
        <f aca="false">INDEX('Master List'!$G$2:$G$2594,O1861)</f>
        <v>0</v>
      </c>
      <c r="N1861" s="4" t="str">
        <f aca="false">IF(K1861="","",A1861)</f>
        <v/>
      </c>
      <c r="O1861" s="4" t="n">
        <v>2593</v>
      </c>
      <c r="P1861" s="4" t="n">
        <f aca="false">IF(A1861=A1860,P1860+1-M1860,0)</f>
        <v>9</v>
      </c>
    </row>
    <row r="1862" customFormat="false" ht="15" hidden="false" customHeight="false" outlineLevel="0" collapsed="false">
      <c r="A1862" s="29" t="s">
        <v>4181</v>
      </c>
      <c r="B1862" s="29" t="s">
        <v>52</v>
      </c>
      <c r="C1862" s="29" t="s">
        <v>102</v>
      </c>
      <c r="D1862" s="29" t="s">
        <v>4182</v>
      </c>
      <c r="E1862" s="4" t="n">
        <v>11</v>
      </c>
      <c r="F1862" s="4" t="s">
        <v>1327</v>
      </c>
      <c r="G1862" s="4" t="s">
        <v>3421</v>
      </c>
      <c r="H1862" s="4" t="n">
        <v>1963</v>
      </c>
      <c r="I1862" s="4" t="s">
        <v>1966</v>
      </c>
      <c r="J1862" s="25" t="str">
        <f aca="false">IF(M1862=1,"✓","")</f>
        <v/>
      </c>
      <c r="K1862" s="4" t="str">
        <f aca="false">IF(AND(M1862=0,P1862=0),"▶ NEXT","")</f>
        <v/>
      </c>
      <c r="L1862" s="4" t="n">
        <f aca="false">INDEX('Master List'!$F$2:$F$2594,O1862)</f>
        <v>1</v>
      </c>
      <c r="M1862" s="4" t="n">
        <f aca="false">INDEX('Master List'!$G$2:$G$2594,O1862)</f>
        <v>0</v>
      </c>
      <c r="N1862" s="4" t="str">
        <f aca="false">IF(K1862="","",A1862)</f>
        <v/>
      </c>
      <c r="O1862" s="4" t="n">
        <v>1541</v>
      </c>
      <c r="P1862" s="4" t="n">
        <f aca="false">IF(A1862=A1861,P1861+1-M1861,0)</f>
        <v>10</v>
      </c>
    </row>
    <row r="1863" customFormat="false" ht="15" hidden="false" customHeight="false" outlineLevel="0" collapsed="false">
      <c r="A1863" s="29" t="s">
        <v>4181</v>
      </c>
      <c r="B1863" s="29" t="s">
        <v>52</v>
      </c>
      <c r="C1863" s="29" t="s">
        <v>102</v>
      </c>
      <c r="D1863" s="29" t="s">
        <v>4182</v>
      </c>
      <c r="E1863" s="4" t="n">
        <v>12</v>
      </c>
      <c r="F1863" s="4" t="s">
        <v>1327</v>
      </c>
      <c r="G1863" s="4" t="s">
        <v>3392</v>
      </c>
      <c r="H1863" s="4" t="n">
        <v>1958</v>
      </c>
      <c r="I1863" s="4" t="s">
        <v>3393</v>
      </c>
      <c r="J1863" s="25" t="str">
        <f aca="false">IF(M1863=1,"✓","")</f>
        <v/>
      </c>
      <c r="K1863" s="4" t="str">
        <f aca="false">IF(AND(M1863=0,P1863=0),"▶ NEXT","")</f>
        <v/>
      </c>
      <c r="L1863" s="4" t="n">
        <f aca="false">INDEX('Master List'!$F$2:$F$2594,O1863)</f>
        <v>1</v>
      </c>
      <c r="M1863" s="4" t="n">
        <f aca="false">INDEX('Master List'!$G$2:$G$2594,O1863)</f>
        <v>0</v>
      </c>
      <c r="N1863" s="4" t="str">
        <f aca="false">IF(K1863="","",A1863)</f>
        <v/>
      </c>
      <c r="O1863" s="4" t="n">
        <v>1546</v>
      </c>
      <c r="P1863" s="4" t="n">
        <f aca="false">IF(A1863=A1862,P1862+1-M1862,0)</f>
        <v>11</v>
      </c>
    </row>
    <row r="1864" customFormat="false" ht="15" hidden="false" customHeight="false" outlineLevel="0" collapsed="false">
      <c r="A1864" s="29" t="s">
        <v>4181</v>
      </c>
      <c r="B1864" s="29" t="s">
        <v>52</v>
      </c>
      <c r="C1864" s="29" t="s">
        <v>102</v>
      </c>
      <c r="D1864" s="29" t="s">
        <v>4182</v>
      </c>
      <c r="E1864" s="4" t="n">
        <v>13</v>
      </c>
      <c r="F1864" s="4" t="s">
        <v>1327</v>
      </c>
      <c r="G1864" s="4" t="s">
        <v>3553</v>
      </c>
      <c r="H1864" s="4" t="n">
        <v>1976</v>
      </c>
      <c r="I1864" s="4" t="s">
        <v>3554</v>
      </c>
      <c r="J1864" s="25" t="str">
        <f aca="false">IF(M1864=1,"✓","")</f>
        <v/>
      </c>
      <c r="K1864" s="4" t="str">
        <f aca="false">IF(AND(M1864=0,P1864=0),"▶ NEXT","")</f>
        <v/>
      </c>
      <c r="L1864" s="4" t="n">
        <f aca="false">INDEX('Master List'!$F$2:$F$2594,O1864)</f>
        <v>1</v>
      </c>
      <c r="M1864" s="4" t="n">
        <f aca="false">INDEX('Master List'!$G$2:$G$2594,O1864)</f>
        <v>0</v>
      </c>
      <c r="N1864" s="4" t="str">
        <f aca="false">IF(K1864="","",A1864)</f>
        <v/>
      </c>
      <c r="O1864" s="4" t="n">
        <v>1386</v>
      </c>
      <c r="P1864" s="4" t="n">
        <f aca="false">IF(A1864=A1863,P1863+1-M1863,0)</f>
        <v>12</v>
      </c>
    </row>
    <row r="1865" customFormat="false" ht="15" hidden="false" customHeight="false" outlineLevel="0" collapsed="false">
      <c r="A1865" s="29" t="s">
        <v>4183</v>
      </c>
      <c r="B1865" s="29" t="s">
        <v>52</v>
      </c>
      <c r="C1865" s="29" t="s">
        <v>102</v>
      </c>
      <c r="D1865" s="29" t="s">
        <v>4184</v>
      </c>
      <c r="E1865" s="4" t="n">
        <v>1</v>
      </c>
      <c r="F1865" s="4" t="s">
        <v>144</v>
      </c>
      <c r="G1865" s="7" t="s">
        <v>551</v>
      </c>
      <c r="H1865" s="4" t="n">
        <v>1983</v>
      </c>
      <c r="I1865" s="4" t="s">
        <v>416</v>
      </c>
      <c r="J1865" s="25" t="str">
        <f aca="false">IF(M1865=1,"✓","")</f>
        <v/>
      </c>
      <c r="K1865" s="4" t="str">
        <f aca="false">IF(AND(M1865=0,P1865=0),"▶ NEXT","")</f>
        <v>▶ NEXT</v>
      </c>
      <c r="L1865" s="4" t="n">
        <f aca="false">INDEX('Master List'!$F$2:$F$2594,O1865)</f>
        <v>3</v>
      </c>
      <c r="M1865" s="4" t="n">
        <f aca="false">INDEX('Master List'!$G$2:$G$2594,O1865)</f>
        <v>0</v>
      </c>
      <c r="N1865" s="4" t="str">
        <f aca="false">IF(K1865="","",A1865)</f>
        <v>N155</v>
      </c>
      <c r="O1865" s="4" t="n">
        <v>1969</v>
      </c>
      <c r="P1865" s="4" t="n">
        <f aca="false">IF(A1865=A1864,P1864+1-M1864,0)</f>
        <v>0</v>
      </c>
    </row>
    <row r="1866" customFormat="false" ht="15" hidden="false" customHeight="false" outlineLevel="0" collapsed="false">
      <c r="A1866" s="29" t="s">
        <v>4183</v>
      </c>
      <c r="B1866" s="29" t="s">
        <v>52</v>
      </c>
      <c r="C1866" s="29" t="s">
        <v>102</v>
      </c>
      <c r="D1866" s="29" t="s">
        <v>4184</v>
      </c>
      <c r="E1866" s="4" t="n">
        <v>2</v>
      </c>
      <c r="F1866" s="4" t="s">
        <v>144</v>
      </c>
      <c r="G1866" s="7" t="s">
        <v>674</v>
      </c>
      <c r="H1866" s="4" t="n">
        <v>1973</v>
      </c>
      <c r="I1866" s="4" t="s">
        <v>143</v>
      </c>
      <c r="J1866" s="25" t="str">
        <f aca="false">IF(M1866=1,"✓","")</f>
        <v>✓</v>
      </c>
      <c r="K1866" s="4" t="str">
        <f aca="false">IF(AND(M1866=0,P1866=0),"▶ NEXT","")</f>
        <v/>
      </c>
      <c r="L1866" s="4" t="n">
        <f aca="false">INDEX('Master List'!$F$2:$F$2594,O1866)</f>
        <v>3</v>
      </c>
      <c r="M1866" s="4" t="n">
        <f aca="false">INDEX('Master List'!$G$2:$G$2594,O1866)</f>
        <v>1</v>
      </c>
      <c r="N1866" s="4" t="str">
        <f aca="false">IF(K1866="","",A1866)</f>
        <v/>
      </c>
      <c r="O1866" s="4" t="n">
        <v>768</v>
      </c>
      <c r="P1866" s="4" t="n">
        <f aca="false">IF(A1866=A1865,P1865+1-M1865,0)</f>
        <v>1</v>
      </c>
    </row>
    <row r="1867" customFormat="false" ht="15" hidden="false" customHeight="false" outlineLevel="0" collapsed="false">
      <c r="A1867" s="29" t="s">
        <v>4183</v>
      </c>
      <c r="B1867" s="29" t="s">
        <v>52</v>
      </c>
      <c r="C1867" s="29" t="s">
        <v>102</v>
      </c>
      <c r="D1867" s="29" t="s">
        <v>4184</v>
      </c>
      <c r="E1867" s="4" t="n">
        <v>3</v>
      </c>
      <c r="F1867" s="4" t="s">
        <v>213</v>
      </c>
      <c r="G1867" s="4" t="s">
        <v>1947</v>
      </c>
      <c r="H1867" s="4" t="n">
        <v>1957</v>
      </c>
      <c r="I1867" s="4" t="s">
        <v>416</v>
      </c>
      <c r="J1867" s="25" t="str">
        <f aca="false">IF(M1867=1,"✓","")</f>
        <v/>
      </c>
      <c r="K1867" s="4" t="str">
        <f aca="false">IF(AND(M1867=0,P1867=0),"▶ NEXT","")</f>
        <v/>
      </c>
      <c r="L1867" s="4" t="n">
        <f aca="false">INDEX('Master List'!$F$2:$F$2594,O1867)</f>
        <v>1</v>
      </c>
      <c r="M1867" s="4" t="n">
        <f aca="false">INDEX('Master List'!$G$2:$G$2594,O1867)</f>
        <v>0</v>
      </c>
      <c r="N1867" s="4" t="str">
        <f aca="false">IF(K1867="","",A1867)</f>
        <v/>
      </c>
      <c r="O1867" s="4" t="n">
        <v>1327</v>
      </c>
      <c r="P1867" s="4" t="n">
        <f aca="false">IF(A1867=A1866,P1866+1-M1866,0)</f>
        <v>1</v>
      </c>
    </row>
    <row r="1868" customFormat="false" ht="15" hidden="false" customHeight="false" outlineLevel="0" collapsed="false">
      <c r="A1868" s="29" t="s">
        <v>4183</v>
      </c>
      <c r="B1868" s="29" t="s">
        <v>52</v>
      </c>
      <c r="C1868" s="29" t="s">
        <v>102</v>
      </c>
      <c r="D1868" s="29" t="s">
        <v>4184</v>
      </c>
      <c r="E1868" s="4" t="n">
        <v>4</v>
      </c>
      <c r="F1868" s="4" t="s">
        <v>213</v>
      </c>
      <c r="G1868" s="4" t="s">
        <v>896</v>
      </c>
      <c r="H1868" s="4" t="n">
        <v>1998</v>
      </c>
      <c r="I1868" s="4" t="s">
        <v>152</v>
      </c>
      <c r="J1868" s="25" t="str">
        <f aca="false">IF(M1868=1,"✓","")</f>
        <v/>
      </c>
      <c r="K1868" s="4" t="str">
        <f aca="false">IF(AND(M1868=0,P1868=0),"▶ NEXT","")</f>
        <v/>
      </c>
      <c r="L1868" s="4" t="n">
        <f aca="false">INDEX('Master List'!$F$2:$F$2594,O1868)</f>
        <v>3</v>
      </c>
      <c r="M1868" s="4" t="n">
        <f aca="false">INDEX('Master List'!$G$2:$G$2594,O1868)</f>
        <v>0</v>
      </c>
      <c r="N1868" s="4" t="str">
        <f aca="false">IF(K1868="","",A1868)</f>
        <v/>
      </c>
      <c r="O1868" s="4" t="n">
        <v>1043</v>
      </c>
      <c r="P1868" s="4" t="n">
        <f aca="false">IF(A1868=A1867,P1867+1-M1867,0)</f>
        <v>2</v>
      </c>
    </row>
    <row r="1869" customFormat="false" ht="15" hidden="false" customHeight="false" outlineLevel="0" collapsed="false">
      <c r="A1869" s="29" t="s">
        <v>4183</v>
      </c>
      <c r="B1869" s="29" t="s">
        <v>52</v>
      </c>
      <c r="C1869" s="29" t="s">
        <v>102</v>
      </c>
      <c r="D1869" s="29" t="s">
        <v>4184</v>
      </c>
      <c r="E1869" s="4" t="n">
        <v>5</v>
      </c>
      <c r="F1869" s="4" t="s">
        <v>213</v>
      </c>
      <c r="G1869" s="4" t="s">
        <v>686</v>
      </c>
      <c r="H1869" s="4" t="n">
        <v>2003</v>
      </c>
      <c r="I1869" s="4" t="s">
        <v>687</v>
      </c>
      <c r="J1869" s="25" t="str">
        <f aca="false">IF(M1869=1,"✓","")</f>
        <v/>
      </c>
      <c r="K1869" s="4" t="str">
        <f aca="false">IF(AND(M1869=0,P1869=0),"▶ NEXT","")</f>
        <v/>
      </c>
      <c r="L1869" s="4" t="n">
        <f aca="false">INDEX('Master List'!$F$2:$F$2594,O1869)</f>
        <v>3</v>
      </c>
      <c r="M1869" s="4" t="n">
        <f aca="false">INDEX('Master List'!$G$2:$G$2594,O1869)</f>
        <v>0</v>
      </c>
      <c r="N1869" s="4" t="str">
        <f aca="false">IF(K1869="","",A1869)</f>
        <v/>
      </c>
      <c r="O1869" s="4" t="n">
        <v>1382</v>
      </c>
      <c r="P1869" s="4" t="n">
        <f aca="false">IF(A1869=A1868,P1868+1-M1868,0)</f>
        <v>3</v>
      </c>
    </row>
    <row r="1870" customFormat="false" ht="15" hidden="false" customHeight="false" outlineLevel="0" collapsed="false">
      <c r="A1870" s="29" t="s">
        <v>4183</v>
      </c>
      <c r="B1870" s="29" t="s">
        <v>52</v>
      </c>
      <c r="C1870" s="29" t="s">
        <v>102</v>
      </c>
      <c r="D1870" s="29" t="s">
        <v>4184</v>
      </c>
      <c r="E1870" s="4" t="n">
        <v>6</v>
      </c>
      <c r="F1870" s="4" t="s">
        <v>213</v>
      </c>
      <c r="G1870" s="4" t="s">
        <v>380</v>
      </c>
      <c r="H1870" s="4" t="n">
        <v>2000</v>
      </c>
      <c r="I1870" s="4" t="s">
        <v>158</v>
      </c>
      <c r="J1870" s="25" t="str">
        <f aca="false">IF(M1870=1,"✓","")</f>
        <v/>
      </c>
      <c r="K1870" s="4" t="str">
        <f aca="false">IF(AND(M1870=0,P1870=0),"▶ NEXT","")</f>
        <v/>
      </c>
      <c r="L1870" s="4" t="n">
        <f aca="false">INDEX('Master List'!$F$2:$F$2594,O1870)</f>
        <v>4</v>
      </c>
      <c r="M1870" s="4" t="n">
        <f aca="false">INDEX('Master List'!$G$2:$G$2594,O1870)</f>
        <v>0</v>
      </c>
      <c r="N1870" s="4" t="str">
        <f aca="false">IF(K1870="","",A1870)</f>
        <v/>
      </c>
      <c r="O1870" s="4" t="n">
        <v>903</v>
      </c>
      <c r="P1870" s="4" t="n">
        <f aca="false">IF(A1870=A1869,P1869+1-M1869,0)</f>
        <v>4</v>
      </c>
    </row>
    <row r="1871" customFormat="false" ht="15" hidden="false" customHeight="false" outlineLevel="0" collapsed="false">
      <c r="A1871" s="29" t="s">
        <v>4183</v>
      </c>
      <c r="B1871" s="29" t="s">
        <v>52</v>
      </c>
      <c r="C1871" s="29" t="s">
        <v>102</v>
      </c>
      <c r="D1871" s="29" t="s">
        <v>4184</v>
      </c>
      <c r="E1871" s="4" t="n">
        <v>7</v>
      </c>
      <c r="F1871" s="4" t="s">
        <v>213</v>
      </c>
      <c r="G1871" s="4" t="s">
        <v>2950</v>
      </c>
      <c r="H1871" s="4" t="n">
        <v>2010</v>
      </c>
      <c r="I1871" s="4" t="s">
        <v>2259</v>
      </c>
      <c r="J1871" s="25" t="str">
        <f aca="false">IF(M1871=1,"✓","")</f>
        <v/>
      </c>
      <c r="K1871" s="4" t="str">
        <f aca="false">IF(AND(M1871=0,P1871=0),"▶ NEXT","")</f>
        <v/>
      </c>
      <c r="L1871" s="4" t="n">
        <f aca="false">INDEX('Master List'!$F$2:$F$2594,O1871)</f>
        <v>1</v>
      </c>
      <c r="M1871" s="4" t="n">
        <f aca="false">INDEX('Master List'!$G$2:$G$2594,O1871)</f>
        <v>0</v>
      </c>
      <c r="N1871" s="4" t="str">
        <f aca="false">IF(K1871="","",A1871)</f>
        <v/>
      </c>
      <c r="O1871" s="4" t="n">
        <v>1635</v>
      </c>
      <c r="P1871" s="4" t="n">
        <f aca="false">IF(A1871=A1870,P1870+1-M1870,0)</f>
        <v>5</v>
      </c>
    </row>
    <row r="1872" customFormat="false" ht="15" hidden="false" customHeight="false" outlineLevel="0" collapsed="false">
      <c r="A1872" s="29" t="s">
        <v>4183</v>
      </c>
      <c r="B1872" s="29" t="s">
        <v>52</v>
      </c>
      <c r="C1872" s="29" t="s">
        <v>102</v>
      </c>
      <c r="D1872" s="29" t="s">
        <v>4184</v>
      </c>
      <c r="E1872" s="4" t="n">
        <v>8</v>
      </c>
      <c r="F1872" s="4" t="s">
        <v>213</v>
      </c>
      <c r="G1872" s="4" t="s">
        <v>3106</v>
      </c>
      <c r="H1872" s="4" t="n">
        <v>2016</v>
      </c>
      <c r="I1872" s="4" t="s">
        <v>3107</v>
      </c>
      <c r="J1872" s="25" t="str">
        <f aca="false">IF(M1872=1,"✓","")</f>
        <v/>
      </c>
      <c r="K1872" s="4" t="str">
        <f aca="false">IF(AND(M1872=0,P1872=0),"▶ NEXT","")</f>
        <v/>
      </c>
      <c r="L1872" s="4" t="n">
        <f aca="false">INDEX('Master List'!$F$2:$F$2594,O1872)</f>
        <v>1</v>
      </c>
      <c r="M1872" s="4" t="n">
        <f aca="false">INDEX('Master List'!$G$2:$G$2594,O1872)</f>
        <v>0</v>
      </c>
      <c r="N1872" s="4" t="str">
        <f aca="false">IF(K1872="","",A1872)</f>
        <v/>
      </c>
      <c r="O1872" s="4" t="n">
        <v>1099</v>
      </c>
      <c r="P1872" s="4" t="n">
        <f aca="false">IF(A1872=A1871,P1871+1-M1871,0)</f>
        <v>6</v>
      </c>
    </row>
    <row r="1873" customFormat="false" ht="15" hidden="false" customHeight="false" outlineLevel="0" collapsed="false">
      <c r="A1873" s="29" t="s">
        <v>4183</v>
      </c>
      <c r="B1873" s="29" t="s">
        <v>52</v>
      </c>
      <c r="C1873" s="29" t="s">
        <v>102</v>
      </c>
      <c r="D1873" s="29" t="s">
        <v>4184</v>
      </c>
      <c r="E1873" s="4" t="n">
        <v>9</v>
      </c>
      <c r="F1873" s="4" t="s">
        <v>1327</v>
      </c>
      <c r="G1873" s="4" t="s">
        <v>3680</v>
      </c>
      <c r="H1873" s="4" t="n">
        <v>1994</v>
      </c>
      <c r="I1873" s="4" t="s">
        <v>3681</v>
      </c>
      <c r="J1873" s="25" t="str">
        <f aca="false">IF(M1873=1,"✓","")</f>
        <v/>
      </c>
      <c r="K1873" s="4" t="str">
        <f aca="false">IF(AND(M1873=0,P1873=0),"▶ NEXT","")</f>
        <v/>
      </c>
      <c r="L1873" s="4" t="n">
        <f aca="false">INDEX('Master List'!$F$2:$F$2594,O1873)</f>
        <v>1</v>
      </c>
      <c r="M1873" s="4" t="n">
        <f aca="false">INDEX('Master List'!$G$2:$G$2594,O1873)</f>
        <v>0</v>
      </c>
      <c r="N1873" s="4" t="str">
        <f aca="false">IF(K1873="","",A1873)</f>
        <v/>
      </c>
      <c r="O1873" s="4" t="n">
        <v>1370</v>
      </c>
      <c r="P1873" s="4" t="n">
        <f aca="false">IF(A1873=A1872,P1872+1-M1872,0)</f>
        <v>7</v>
      </c>
    </row>
    <row r="1874" customFormat="false" ht="15" hidden="false" customHeight="false" outlineLevel="0" collapsed="false">
      <c r="A1874" s="29" t="s">
        <v>4183</v>
      </c>
      <c r="B1874" s="29" t="s">
        <v>52</v>
      </c>
      <c r="C1874" s="29" t="s">
        <v>102</v>
      </c>
      <c r="D1874" s="29" t="s">
        <v>4184</v>
      </c>
      <c r="E1874" s="4" t="n">
        <v>10</v>
      </c>
      <c r="F1874" s="4" t="s">
        <v>1327</v>
      </c>
      <c r="G1874" s="4" t="s">
        <v>1031</v>
      </c>
      <c r="H1874" s="4" t="n">
        <v>1976</v>
      </c>
      <c r="I1874" s="4" t="s">
        <v>185</v>
      </c>
      <c r="J1874" s="25" t="str">
        <f aca="false">IF(M1874=1,"✓","")</f>
        <v/>
      </c>
      <c r="K1874" s="4" t="str">
        <f aca="false">IF(AND(M1874=0,P1874=0),"▶ NEXT","")</f>
        <v/>
      </c>
      <c r="L1874" s="4" t="n">
        <f aca="false">INDEX('Master List'!$F$2:$F$2594,O1874)</f>
        <v>2</v>
      </c>
      <c r="M1874" s="4" t="n">
        <f aca="false">INDEX('Master List'!$G$2:$G$2594,O1874)</f>
        <v>0</v>
      </c>
      <c r="N1874" s="4" t="str">
        <f aca="false">IF(K1874="","",A1874)</f>
        <v/>
      </c>
      <c r="O1874" s="4" t="n">
        <v>1598</v>
      </c>
      <c r="P1874" s="4" t="n">
        <f aca="false">IF(A1874=A1873,P1873+1-M1873,0)</f>
        <v>8</v>
      </c>
    </row>
    <row r="1875" customFormat="false" ht="15" hidden="false" customHeight="false" outlineLevel="0" collapsed="false">
      <c r="A1875" s="30" t="s">
        <v>4185</v>
      </c>
      <c r="B1875" s="30" t="s">
        <v>53</v>
      </c>
      <c r="C1875" s="30" t="s">
        <v>103</v>
      </c>
      <c r="D1875" s="30" t="s">
        <v>162</v>
      </c>
      <c r="E1875" s="4" t="n">
        <v>1</v>
      </c>
      <c r="F1875" s="4" t="s">
        <v>144</v>
      </c>
      <c r="G1875" s="7" t="s">
        <v>190</v>
      </c>
      <c r="H1875" s="4" t="n">
        <v>1954</v>
      </c>
      <c r="I1875" s="4" t="s">
        <v>162</v>
      </c>
      <c r="J1875" s="25" t="str">
        <f aca="false">IF(M1875=1,"✓","")</f>
        <v>✓</v>
      </c>
      <c r="K1875" s="4" t="str">
        <f aca="false">IF(AND(M1875=0,P1875=0),"▶ NEXT","")</f>
        <v/>
      </c>
      <c r="L1875" s="4" t="n">
        <f aca="false">INDEX('Master List'!$F$2:$F$2594,O1875)</f>
        <v>6</v>
      </c>
      <c r="M1875" s="4" t="n">
        <f aca="false">INDEX('Master List'!$G$2:$G$2594,O1875)</f>
        <v>1</v>
      </c>
      <c r="N1875" s="4" t="str">
        <f aca="false">IF(K1875="","",A1875)</f>
        <v/>
      </c>
      <c r="O1875" s="4" t="n">
        <v>1866</v>
      </c>
      <c r="P1875" s="4" t="n">
        <f aca="false">IF(A1875=A1874,P1874+1-M1874,0)</f>
        <v>0</v>
      </c>
    </row>
    <row r="1876" customFormat="false" ht="15" hidden="false" customHeight="false" outlineLevel="0" collapsed="false">
      <c r="A1876" s="30" t="s">
        <v>4185</v>
      </c>
      <c r="B1876" s="30" t="s">
        <v>53</v>
      </c>
      <c r="C1876" s="30" t="s">
        <v>103</v>
      </c>
      <c r="D1876" s="30" t="s">
        <v>162</v>
      </c>
      <c r="E1876" s="4" t="n">
        <v>2</v>
      </c>
      <c r="F1876" s="4" t="s">
        <v>144</v>
      </c>
      <c r="G1876" s="7" t="s">
        <v>161</v>
      </c>
      <c r="H1876" s="4" t="n">
        <v>1958</v>
      </c>
      <c r="I1876" s="4" t="s">
        <v>162</v>
      </c>
      <c r="J1876" s="25" t="str">
        <f aca="false">IF(M1876=1,"✓","")</f>
        <v/>
      </c>
      <c r="K1876" s="4" t="str">
        <f aca="false">IF(AND(M1876=0,P1876=0),"▶ NEXT","")</f>
        <v>▶ NEXT</v>
      </c>
      <c r="L1876" s="4" t="n">
        <f aca="false">INDEX('Master List'!$F$2:$F$2594,O1876)</f>
        <v>7</v>
      </c>
      <c r="M1876" s="4" t="n">
        <f aca="false">INDEX('Master List'!$G$2:$G$2594,O1876)</f>
        <v>0</v>
      </c>
      <c r="N1876" s="4" t="str">
        <f aca="false">IF(K1876="","",A1876)</f>
        <v>N156</v>
      </c>
      <c r="O1876" s="4" t="n">
        <v>2429</v>
      </c>
      <c r="P1876" s="4" t="n">
        <f aca="false">IF(A1876=A1875,P1875+1-M1875,0)</f>
        <v>0</v>
      </c>
    </row>
    <row r="1877" customFormat="false" ht="15" hidden="false" customHeight="false" outlineLevel="0" collapsed="false">
      <c r="A1877" s="30" t="s">
        <v>4185</v>
      </c>
      <c r="B1877" s="30" t="s">
        <v>53</v>
      </c>
      <c r="C1877" s="30" t="s">
        <v>103</v>
      </c>
      <c r="D1877" s="30" t="s">
        <v>162</v>
      </c>
      <c r="E1877" s="4" t="n">
        <v>3</v>
      </c>
      <c r="F1877" s="4" t="s">
        <v>144</v>
      </c>
      <c r="G1877" s="7" t="s">
        <v>412</v>
      </c>
      <c r="H1877" s="4" t="n">
        <v>1959</v>
      </c>
      <c r="I1877" s="4" t="s">
        <v>162</v>
      </c>
      <c r="J1877" s="25" t="str">
        <f aca="false">IF(M1877=1,"✓","")</f>
        <v/>
      </c>
      <c r="K1877" s="4" t="str">
        <f aca="false">IF(AND(M1877=0,P1877=0),"▶ NEXT","")</f>
        <v/>
      </c>
      <c r="L1877" s="4" t="n">
        <f aca="false">INDEX('Master List'!$F$2:$F$2594,O1877)</f>
        <v>3</v>
      </c>
      <c r="M1877" s="4" t="n">
        <f aca="false">INDEX('Master List'!$G$2:$G$2594,O1877)</f>
        <v>0</v>
      </c>
      <c r="N1877" s="4" t="str">
        <f aca="false">IF(K1877="","",A1877)</f>
        <v/>
      </c>
      <c r="O1877" s="4" t="n">
        <v>1630</v>
      </c>
      <c r="P1877" s="4" t="n">
        <f aca="false">IF(A1877=A1876,P1876+1-M1876,0)</f>
        <v>1</v>
      </c>
    </row>
    <row r="1878" customFormat="false" ht="15" hidden="false" customHeight="false" outlineLevel="0" collapsed="false">
      <c r="A1878" s="30" t="s">
        <v>4185</v>
      </c>
      <c r="B1878" s="30" t="s">
        <v>53</v>
      </c>
      <c r="C1878" s="30" t="s">
        <v>103</v>
      </c>
      <c r="D1878" s="30" t="s">
        <v>162</v>
      </c>
      <c r="E1878" s="4" t="n">
        <v>4</v>
      </c>
      <c r="F1878" s="4" t="s">
        <v>144</v>
      </c>
      <c r="G1878" s="7" t="s">
        <v>177</v>
      </c>
      <c r="H1878" s="4" t="n">
        <v>1960</v>
      </c>
      <c r="I1878" s="4" t="s">
        <v>162</v>
      </c>
      <c r="J1878" s="25" t="str">
        <f aca="false">IF(M1878=1,"✓","")</f>
        <v>✓</v>
      </c>
      <c r="K1878" s="4" t="str">
        <f aca="false">IF(AND(M1878=0,P1878=0),"▶ NEXT","")</f>
        <v/>
      </c>
      <c r="L1878" s="4" t="n">
        <f aca="false">INDEX('Master List'!$F$2:$F$2594,O1878)</f>
        <v>8</v>
      </c>
      <c r="M1878" s="4" t="n">
        <f aca="false">INDEX('Master List'!$G$2:$G$2594,O1878)</f>
        <v>1</v>
      </c>
      <c r="N1878" s="4" t="str">
        <f aca="false">IF(K1878="","",A1878)</f>
        <v/>
      </c>
      <c r="O1878" s="4" t="n">
        <v>1826</v>
      </c>
      <c r="P1878" s="4" t="n">
        <f aca="false">IF(A1878=A1877,P1877+1-M1877,0)</f>
        <v>2</v>
      </c>
    </row>
    <row r="1879" customFormat="false" ht="15" hidden="false" customHeight="false" outlineLevel="0" collapsed="false">
      <c r="A1879" s="30" t="s">
        <v>4185</v>
      </c>
      <c r="B1879" s="30" t="s">
        <v>53</v>
      </c>
      <c r="C1879" s="30" t="s">
        <v>103</v>
      </c>
      <c r="D1879" s="30" t="s">
        <v>162</v>
      </c>
      <c r="E1879" s="4" t="n">
        <v>5</v>
      </c>
      <c r="F1879" s="4" t="s">
        <v>213</v>
      </c>
      <c r="G1879" s="4" t="s">
        <v>1693</v>
      </c>
      <c r="H1879" s="4" t="n">
        <v>1927</v>
      </c>
      <c r="I1879" s="4" t="s">
        <v>162</v>
      </c>
      <c r="J1879" s="25" t="str">
        <f aca="false">IF(M1879=1,"✓","")</f>
        <v/>
      </c>
      <c r="K1879" s="4" t="str">
        <f aca="false">IF(AND(M1879=0,P1879=0),"▶ NEXT","")</f>
        <v/>
      </c>
      <c r="L1879" s="4" t="n">
        <f aca="false">INDEX('Master List'!$F$2:$F$2594,O1879)</f>
        <v>1</v>
      </c>
      <c r="M1879" s="4" t="n">
        <f aca="false">INDEX('Master List'!$G$2:$G$2594,O1879)</f>
        <v>0</v>
      </c>
      <c r="N1879" s="4" t="str">
        <f aca="false">IF(K1879="","",A1879)</f>
        <v/>
      </c>
      <c r="O1879" s="4" t="n">
        <v>1365</v>
      </c>
      <c r="P1879" s="4" t="n">
        <f aca="false">IF(A1879=A1878,P1878+1-M1878,0)</f>
        <v>2</v>
      </c>
    </row>
    <row r="1880" customFormat="false" ht="15" hidden="false" customHeight="false" outlineLevel="0" collapsed="false">
      <c r="A1880" s="30" t="s">
        <v>4185</v>
      </c>
      <c r="B1880" s="30" t="s">
        <v>53</v>
      </c>
      <c r="C1880" s="30" t="s">
        <v>103</v>
      </c>
      <c r="D1880" s="30" t="s">
        <v>162</v>
      </c>
      <c r="E1880" s="4" t="n">
        <v>6</v>
      </c>
      <c r="F1880" s="4" t="s">
        <v>213</v>
      </c>
      <c r="G1880" s="4" t="s">
        <v>568</v>
      </c>
      <c r="H1880" s="4" t="n">
        <v>1935</v>
      </c>
      <c r="I1880" s="4" t="s">
        <v>162</v>
      </c>
      <c r="J1880" s="25" t="str">
        <f aca="false">IF(M1880=1,"✓","")</f>
        <v/>
      </c>
      <c r="K1880" s="4" t="str">
        <f aca="false">IF(AND(M1880=0,P1880=0),"▶ NEXT","")</f>
        <v/>
      </c>
      <c r="L1880" s="4" t="n">
        <f aca="false">INDEX('Master List'!$F$2:$F$2594,O1880)</f>
        <v>3</v>
      </c>
      <c r="M1880" s="4" t="n">
        <f aca="false">INDEX('Master List'!$G$2:$G$2594,O1880)</f>
        <v>0</v>
      </c>
      <c r="N1880" s="4" t="str">
        <f aca="false">IF(K1880="","",A1880)</f>
        <v/>
      </c>
      <c r="O1880" s="4" t="n">
        <v>22</v>
      </c>
      <c r="P1880" s="4" t="n">
        <f aca="false">IF(A1880=A1879,P1879+1-M1879,0)</f>
        <v>3</v>
      </c>
    </row>
    <row r="1881" customFormat="false" ht="15" hidden="false" customHeight="false" outlineLevel="0" collapsed="false">
      <c r="A1881" s="30" t="s">
        <v>4185</v>
      </c>
      <c r="B1881" s="30" t="s">
        <v>53</v>
      </c>
      <c r="C1881" s="30" t="s">
        <v>103</v>
      </c>
      <c r="D1881" s="30" t="s">
        <v>162</v>
      </c>
      <c r="E1881" s="4" t="n">
        <v>7</v>
      </c>
      <c r="F1881" s="4" t="s">
        <v>213</v>
      </c>
      <c r="G1881" s="4" t="s">
        <v>1778</v>
      </c>
      <c r="H1881" s="4" t="n">
        <v>1938</v>
      </c>
      <c r="I1881" s="4" t="s">
        <v>162</v>
      </c>
      <c r="J1881" s="25" t="str">
        <f aca="false">IF(M1881=1,"✓","")</f>
        <v/>
      </c>
      <c r="K1881" s="4" t="str">
        <f aca="false">IF(AND(M1881=0,P1881=0),"▶ NEXT","")</f>
        <v/>
      </c>
      <c r="L1881" s="4" t="n">
        <f aca="false">INDEX('Master List'!$F$2:$F$2594,O1881)</f>
        <v>1</v>
      </c>
      <c r="M1881" s="4" t="n">
        <f aca="false">INDEX('Master List'!$G$2:$G$2594,O1881)</f>
        <v>0</v>
      </c>
      <c r="N1881" s="4" t="str">
        <f aca="false">IF(K1881="","",A1881)</f>
        <v/>
      </c>
      <c r="O1881" s="4" t="n">
        <v>1282</v>
      </c>
      <c r="P1881" s="4" t="n">
        <f aca="false">IF(A1881=A1880,P1880+1-M1880,0)</f>
        <v>4</v>
      </c>
    </row>
    <row r="1882" customFormat="false" ht="15" hidden="false" customHeight="false" outlineLevel="0" collapsed="false">
      <c r="A1882" s="30" t="s">
        <v>4185</v>
      </c>
      <c r="B1882" s="30" t="s">
        <v>53</v>
      </c>
      <c r="C1882" s="30" t="s">
        <v>103</v>
      </c>
      <c r="D1882" s="30" t="s">
        <v>162</v>
      </c>
      <c r="E1882" s="4" t="n">
        <v>8</v>
      </c>
      <c r="F1882" s="4" t="s">
        <v>213</v>
      </c>
      <c r="G1882" s="4" t="s">
        <v>739</v>
      </c>
      <c r="H1882" s="4" t="n">
        <v>1940</v>
      </c>
      <c r="I1882" s="4" t="s">
        <v>162</v>
      </c>
      <c r="J1882" s="25" t="str">
        <f aca="false">IF(M1882=1,"✓","")</f>
        <v/>
      </c>
      <c r="K1882" s="4" t="str">
        <f aca="false">IF(AND(M1882=0,P1882=0),"▶ NEXT","")</f>
        <v/>
      </c>
      <c r="L1882" s="4" t="n">
        <f aca="false">INDEX('Master List'!$F$2:$F$2594,O1882)</f>
        <v>2</v>
      </c>
      <c r="M1882" s="4" t="n">
        <f aca="false">INDEX('Master List'!$G$2:$G$2594,O1882)</f>
        <v>0</v>
      </c>
      <c r="N1882" s="4" t="str">
        <f aca="false">IF(K1882="","",A1882)</f>
        <v/>
      </c>
      <c r="O1882" s="4" t="n">
        <v>1867</v>
      </c>
      <c r="P1882" s="4" t="n">
        <f aca="false">IF(A1882=A1881,P1881+1-M1881,0)</f>
        <v>5</v>
      </c>
    </row>
    <row r="1883" customFormat="false" ht="15" hidden="false" customHeight="false" outlineLevel="0" collapsed="false">
      <c r="A1883" s="30" t="s">
        <v>4185</v>
      </c>
      <c r="B1883" s="30" t="s">
        <v>53</v>
      </c>
      <c r="C1883" s="30" t="s">
        <v>103</v>
      </c>
      <c r="D1883" s="30" t="s">
        <v>162</v>
      </c>
      <c r="E1883" s="4" t="n">
        <v>9</v>
      </c>
      <c r="F1883" s="4" t="s">
        <v>213</v>
      </c>
      <c r="G1883" s="4" t="s">
        <v>1808</v>
      </c>
      <c r="H1883" s="4" t="n">
        <v>1943</v>
      </c>
      <c r="I1883" s="4" t="s">
        <v>162</v>
      </c>
      <c r="J1883" s="25" t="str">
        <f aca="false">IF(M1883=1,"✓","")</f>
        <v/>
      </c>
      <c r="K1883" s="4" t="str">
        <f aca="false">IF(AND(M1883=0,P1883=0),"▶ NEXT","")</f>
        <v/>
      </c>
      <c r="L1883" s="4" t="n">
        <f aca="false">INDEX('Master List'!$F$2:$F$2594,O1883)</f>
        <v>1</v>
      </c>
      <c r="M1883" s="4" t="n">
        <f aca="false">INDEX('Master List'!$G$2:$G$2594,O1883)</f>
        <v>0</v>
      </c>
      <c r="N1883" s="4" t="str">
        <f aca="false">IF(K1883="","",A1883)</f>
        <v/>
      </c>
      <c r="O1883" s="4" t="n">
        <v>2028</v>
      </c>
      <c r="P1883" s="4" t="n">
        <f aca="false">IF(A1883=A1882,P1882+1-M1882,0)</f>
        <v>6</v>
      </c>
    </row>
    <row r="1884" customFormat="false" ht="15" hidden="false" customHeight="false" outlineLevel="0" collapsed="false">
      <c r="A1884" s="30" t="s">
        <v>4185</v>
      </c>
      <c r="B1884" s="30" t="s">
        <v>53</v>
      </c>
      <c r="C1884" s="30" t="s">
        <v>103</v>
      </c>
      <c r="D1884" s="30" t="s">
        <v>162</v>
      </c>
      <c r="E1884" s="4" t="n">
        <v>10</v>
      </c>
      <c r="F1884" s="4" t="s">
        <v>213</v>
      </c>
      <c r="G1884" s="4" t="s">
        <v>925</v>
      </c>
      <c r="H1884" s="4" t="n">
        <v>1946</v>
      </c>
      <c r="I1884" s="4" t="s">
        <v>162</v>
      </c>
      <c r="J1884" s="25" t="str">
        <f aca="false">IF(M1884=1,"✓","")</f>
        <v/>
      </c>
      <c r="K1884" s="4" t="str">
        <f aca="false">IF(AND(M1884=0,P1884=0),"▶ NEXT","")</f>
        <v/>
      </c>
      <c r="L1884" s="4" t="n">
        <f aca="false">INDEX('Master List'!$F$2:$F$2594,O1884)</f>
        <v>2</v>
      </c>
      <c r="M1884" s="4" t="n">
        <f aca="false">INDEX('Master List'!$G$2:$G$2594,O1884)</f>
        <v>0</v>
      </c>
      <c r="N1884" s="4" t="str">
        <f aca="false">IF(K1884="","",A1884)</f>
        <v/>
      </c>
      <c r="O1884" s="4" t="n">
        <v>1638</v>
      </c>
      <c r="P1884" s="4" t="n">
        <f aca="false">IF(A1884=A1883,P1883+1-M1883,0)</f>
        <v>7</v>
      </c>
    </row>
    <row r="1885" customFormat="false" ht="15" hidden="false" customHeight="false" outlineLevel="0" collapsed="false">
      <c r="A1885" s="30" t="s">
        <v>4185</v>
      </c>
      <c r="B1885" s="30" t="s">
        <v>53</v>
      </c>
      <c r="C1885" s="30" t="s">
        <v>103</v>
      </c>
      <c r="D1885" s="30" t="s">
        <v>162</v>
      </c>
      <c r="E1885" s="4" t="n">
        <v>11</v>
      </c>
      <c r="F1885" s="4" t="s">
        <v>213</v>
      </c>
      <c r="G1885" s="4" t="s">
        <v>251</v>
      </c>
      <c r="H1885" s="4" t="n">
        <v>1948</v>
      </c>
      <c r="I1885" s="4" t="s">
        <v>162</v>
      </c>
      <c r="J1885" s="25" t="str">
        <f aca="false">IF(M1885=1,"✓","")</f>
        <v/>
      </c>
      <c r="K1885" s="4" t="str">
        <f aca="false">IF(AND(M1885=0,P1885=0),"▶ NEXT","")</f>
        <v/>
      </c>
      <c r="L1885" s="4" t="n">
        <f aca="false">INDEX('Master List'!$F$2:$F$2594,O1885)</f>
        <v>5</v>
      </c>
      <c r="M1885" s="4" t="n">
        <f aca="false">INDEX('Master List'!$G$2:$G$2594,O1885)</f>
        <v>0</v>
      </c>
      <c r="N1885" s="4" t="str">
        <f aca="false">IF(K1885="","",A1885)</f>
        <v/>
      </c>
      <c r="O1885" s="4" t="n">
        <v>1933</v>
      </c>
      <c r="P1885" s="4" t="n">
        <f aca="false">IF(A1885=A1884,P1884+1-M1884,0)</f>
        <v>8</v>
      </c>
    </row>
    <row r="1886" customFormat="false" ht="15" hidden="false" customHeight="false" outlineLevel="0" collapsed="false">
      <c r="A1886" s="30" t="s">
        <v>4185</v>
      </c>
      <c r="B1886" s="30" t="s">
        <v>53</v>
      </c>
      <c r="C1886" s="30" t="s">
        <v>103</v>
      </c>
      <c r="D1886" s="30" t="s">
        <v>162</v>
      </c>
      <c r="E1886" s="4" t="n">
        <v>12</v>
      </c>
      <c r="F1886" s="4" t="s">
        <v>213</v>
      </c>
      <c r="G1886" s="4" t="s">
        <v>1883</v>
      </c>
      <c r="H1886" s="4" t="n">
        <v>1951</v>
      </c>
      <c r="I1886" s="4" t="s">
        <v>162</v>
      </c>
      <c r="J1886" s="25" t="str">
        <f aca="false">IF(M1886=1,"✓","")</f>
        <v/>
      </c>
      <c r="K1886" s="4" t="str">
        <f aca="false">IF(AND(M1886=0,P1886=0),"▶ NEXT","")</f>
        <v/>
      </c>
      <c r="L1886" s="4" t="n">
        <f aca="false">INDEX('Master List'!$F$2:$F$2594,O1886)</f>
        <v>1</v>
      </c>
      <c r="M1886" s="4" t="n">
        <f aca="false">INDEX('Master List'!$G$2:$G$2594,O1886)</f>
        <v>0</v>
      </c>
      <c r="N1886" s="4" t="str">
        <f aca="false">IF(K1886="","",A1886)</f>
        <v/>
      </c>
      <c r="O1886" s="4" t="n">
        <v>2177</v>
      </c>
      <c r="P1886" s="4" t="n">
        <f aca="false">IF(A1886=A1885,P1885+1-M1885,0)</f>
        <v>9</v>
      </c>
    </row>
    <row r="1887" customFormat="false" ht="15" hidden="false" customHeight="false" outlineLevel="0" collapsed="false">
      <c r="A1887" s="30" t="s">
        <v>4185</v>
      </c>
      <c r="B1887" s="30" t="s">
        <v>53</v>
      </c>
      <c r="C1887" s="30" t="s">
        <v>103</v>
      </c>
      <c r="D1887" s="30" t="s">
        <v>162</v>
      </c>
      <c r="E1887" s="4" t="n">
        <v>13</v>
      </c>
      <c r="F1887" s="4" t="s">
        <v>213</v>
      </c>
      <c r="G1887" s="4" t="s">
        <v>1909</v>
      </c>
      <c r="H1887" s="4" t="n">
        <v>1954</v>
      </c>
      <c r="I1887" s="4" t="s">
        <v>162</v>
      </c>
      <c r="J1887" s="25" t="str">
        <f aca="false">IF(M1887=1,"✓","")</f>
        <v>✓</v>
      </c>
      <c r="K1887" s="4" t="str">
        <f aca="false">IF(AND(M1887=0,P1887=0),"▶ NEXT","")</f>
        <v/>
      </c>
      <c r="L1887" s="4" t="n">
        <f aca="false">INDEX('Master List'!$F$2:$F$2594,O1887)</f>
        <v>1</v>
      </c>
      <c r="M1887" s="4" t="n">
        <f aca="false">INDEX('Master List'!$G$2:$G$2594,O1887)</f>
        <v>1</v>
      </c>
      <c r="N1887" s="4" t="str">
        <f aca="false">IF(K1887="","",A1887)</f>
        <v/>
      </c>
      <c r="O1887" s="4" t="n">
        <v>625</v>
      </c>
      <c r="P1887" s="4" t="n">
        <f aca="false">IF(A1887=A1886,P1886+1-M1886,0)</f>
        <v>10</v>
      </c>
    </row>
    <row r="1888" customFormat="false" ht="15" hidden="false" customHeight="false" outlineLevel="0" collapsed="false">
      <c r="A1888" s="30" t="s">
        <v>4185</v>
      </c>
      <c r="B1888" s="30" t="s">
        <v>53</v>
      </c>
      <c r="C1888" s="30" t="s">
        <v>103</v>
      </c>
      <c r="D1888" s="30" t="s">
        <v>162</v>
      </c>
      <c r="E1888" s="4" t="n">
        <v>14</v>
      </c>
      <c r="F1888" s="4" t="s">
        <v>213</v>
      </c>
      <c r="G1888" s="4" t="s">
        <v>2035</v>
      </c>
      <c r="H1888" s="4" t="n">
        <v>1963</v>
      </c>
      <c r="I1888" s="4" t="s">
        <v>162</v>
      </c>
      <c r="J1888" s="25" t="str">
        <f aca="false">IF(M1888=1,"✓","")</f>
        <v/>
      </c>
      <c r="K1888" s="4" t="str">
        <f aca="false">IF(AND(M1888=0,P1888=0),"▶ NEXT","")</f>
        <v/>
      </c>
      <c r="L1888" s="4" t="n">
        <f aca="false">INDEX('Master List'!$F$2:$F$2594,O1888)</f>
        <v>1</v>
      </c>
      <c r="M1888" s="4" t="n">
        <f aca="false">INDEX('Master List'!$G$2:$G$2594,O1888)</f>
        <v>0</v>
      </c>
      <c r="N1888" s="4" t="str">
        <f aca="false">IF(K1888="","",A1888)</f>
        <v/>
      </c>
      <c r="O1888" s="4" t="n">
        <v>258</v>
      </c>
      <c r="P1888" s="4" t="n">
        <f aca="false">IF(A1888=A1887,P1887+1-M1887,0)</f>
        <v>10</v>
      </c>
    </row>
    <row r="1889" customFormat="false" ht="15" hidden="false" customHeight="false" outlineLevel="0" collapsed="false">
      <c r="A1889" s="30" t="s">
        <v>4185</v>
      </c>
      <c r="B1889" s="30" t="s">
        <v>53</v>
      </c>
      <c r="C1889" s="30" t="s">
        <v>103</v>
      </c>
      <c r="D1889" s="30" t="s">
        <v>162</v>
      </c>
      <c r="E1889" s="4" t="n">
        <v>15</v>
      </c>
      <c r="F1889" s="4" t="s">
        <v>1327</v>
      </c>
      <c r="G1889" s="4" t="s">
        <v>1313</v>
      </c>
      <c r="H1889" s="4" t="n">
        <v>1944</v>
      </c>
      <c r="I1889" s="4" t="s">
        <v>162</v>
      </c>
      <c r="J1889" s="25" t="str">
        <f aca="false">IF(M1889=1,"✓","")</f>
        <v/>
      </c>
      <c r="K1889" s="4" t="str">
        <f aca="false">IF(AND(M1889=0,P1889=0),"▶ NEXT","")</f>
        <v/>
      </c>
      <c r="L1889" s="4" t="n">
        <f aca="false">INDEX('Master List'!$F$2:$F$2594,O1889)</f>
        <v>2</v>
      </c>
      <c r="M1889" s="4" t="n">
        <f aca="false">INDEX('Master List'!$G$2:$G$2594,O1889)</f>
        <v>0</v>
      </c>
      <c r="N1889" s="4" t="str">
        <f aca="false">IF(K1889="","",A1889)</f>
        <v/>
      </c>
      <c r="O1889" s="4" t="n">
        <v>1335</v>
      </c>
      <c r="P1889" s="4" t="n">
        <f aca="false">IF(A1889=A1888,P1888+1-M1888,0)</f>
        <v>11</v>
      </c>
    </row>
    <row r="1890" customFormat="false" ht="15" hidden="false" customHeight="false" outlineLevel="0" collapsed="false">
      <c r="A1890" s="30" t="s">
        <v>4185</v>
      </c>
      <c r="B1890" s="30" t="s">
        <v>53</v>
      </c>
      <c r="C1890" s="30" t="s">
        <v>103</v>
      </c>
      <c r="D1890" s="30" t="s">
        <v>162</v>
      </c>
      <c r="E1890" s="4" t="n">
        <v>16</v>
      </c>
      <c r="F1890" s="4" t="s">
        <v>1327</v>
      </c>
      <c r="G1890" s="4" t="s">
        <v>3385</v>
      </c>
      <c r="H1890" s="4" t="n">
        <v>1956</v>
      </c>
      <c r="I1890" s="4" t="s">
        <v>162</v>
      </c>
      <c r="J1890" s="25" t="str">
        <f aca="false">IF(M1890=1,"✓","")</f>
        <v/>
      </c>
      <c r="K1890" s="4" t="str">
        <f aca="false">IF(AND(M1890=0,P1890=0),"▶ NEXT","")</f>
        <v/>
      </c>
      <c r="L1890" s="4" t="n">
        <f aca="false">INDEX('Master List'!$F$2:$F$2594,O1890)</f>
        <v>1</v>
      </c>
      <c r="M1890" s="4" t="n">
        <f aca="false">INDEX('Master List'!$G$2:$G$2594,O1890)</f>
        <v>0</v>
      </c>
      <c r="N1890" s="4" t="str">
        <f aca="false">IF(K1890="","",A1890)</f>
        <v/>
      </c>
      <c r="O1890" s="4" t="n">
        <v>2559</v>
      </c>
      <c r="P1890" s="4" t="n">
        <f aca="false">IF(A1890=A1889,P1889+1-M1889,0)</f>
        <v>12</v>
      </c>
    </row>
    <row r="1891" customFormat="false" ht="15" hidden="false" customHeight="false" outlineLevel="0" collapsed="false">
      <c r="A1891" s="30" t="s">
        <v>4185</v>
      </c>
      <c r="B1891" s="30" t="s">
        <v>53</v>
      </c>
      <c r="C1891" s="30" t="s">
        <v>103</v>
      </c>
      <c r="D1891" s="30" t="s">
        <v>162</v>
      </c>
      <c r="E1891" s="4" t="n">
        <v>17</v>
      </c>
      <c r="F1891" s="4" t="s">
        <v>1327</v>
      </c>
      <c r="G1891" s="4" t="s">
        <v>1330</v>
      </c>
      <c r="H1891" s="4" t="n">
        <v>1964</v>
      </c>
      <c r="I1891" s="4" t="s">
        <v>162</v>
      </c>
      <c r="J1891" s="25" t="str">
        <f aca="false">IF(M1891=1,"✓","")</f>
        <v/>
      </c>
      <c r="K1891" s="4" t="str">
        <f aca="false">IF(AND(M1891=0,P1891=0),"▶ NEXT","")</f>
        <v/>
      </c>
      <c r="L1891" s="4" t="n">
        <f aca="false">INDEX('Master List'!$F$2:$F$2594,O1891)</f>
        <v>2</v>
      </c>
      <c r="M1891" s="4" t="n">
        <f aca="false">INDEX('Master List'!$G$2:$G$2594,O1891)</f>
        <v>0</v>
      </c>
      <c r="N1891" s="4" t="str">
        <f aca="false">IF(K1891="","",A1891)</f>
        <v/>
      </c>
      <c r="O1891" s="4" t="n">
        <v>1449</v>
      </c>
      <c r="P1891" s="4" t="n">
        <f aca="false">IF(A1891=A1890,P1890+1-M1890,0)</f>
        <v>13</v>
      </c>
    </row>
    <row r="1892" customFormat="false" ht="15" hidden="false" customHeight="false" outlineLevel="0" collapsed="false">
      <c r="A1892" s="30" t="s">
        <v>4185</v>
      </c>
      <c r="B1892" s="30" t="s">
        <v>53</v>
      </c>
      <c r="C1892" s="30" t="s">
        <v>103</v>
      </c>
      <c r="D1892" s="30" t="s">
        <v>162</v>
      </c>
      <c r="E1892" s="4" t="n">
        <v>18</v>
      </c>
      <c r="F1892" s="4" t="s">
        <v>1327</v>
      </c>
      <c r="G1892" s="4" t="s">
        <v>3502</v>
      </c>
      <c r="H1892" s="4" t="n">
        <v>1972</v>
      </c>
      <c r="I1892" s="4" t="s">
        <v>162</v>
      </c>
      <c r="J1892" s="25" t="str">
        <f aca="false">IF(M1892=1,"✓","")</f>
        <v/>
      </c>
      <c r="K1892" s="4" t="str">
        <f aca="false">IF(AND(M1892=0,P1892=0),"▶ NEXT","")</f>
        <v/>
      </c>
      <c r="L1892" s="4" t="n">
        <f aca="false">INDEX('Master List'!$F$2:$F$2594,O1892)</f>
        <v>1</v>
      </c>
      <c r="M1892" s="4" t="n">
        <f aca="false">INDEX('Master List'!$G$2:$G$2594,O1892)</f>
        <v>0</v>
      </c>
      <c r="N1892" s="4" t="str">
        <f aca="false">IF(K1892="","",A1892)</f>
        <v/>
      </c>
      <c r="O1892" s="4" t="n">
        <v>853</v>
      </c>
      <c r="P1892" s="4" t="n">
        <f aca="false">IF(A1892=A1891,P1891+1-M1891,0)</f>
        <v>14</v>
      </c>
    </row>
    <row r="1893" customFormat="false" ht="15" hidden="false" customHeight="false" outlineLevel="0" collapsed="false">
      <c r="A1893" s="30" t="s">
        <v>4186</v>
      </c>
      <c r="B1893" s="30" t="s">
        <v>53</v>
      </c>
      <c r="C1893" s="30" t="s">
        <v>103</v>
      </c>
      <c r="D1893" s="30" t="s">
        <v>200</v>
      </c>
      <c r="E1893" s="4" t="n">
        <v>1</v>
      </c>
      <c r="F1893" s="4" t="s">
        <v>144</v>
      </c>
      <c r="G1893" s="7" t="s">
        <v>199</v>
      </c>
      <c r="H1893" s="4" t="n">
        <v>1960</v>
      </c>
      <c r="I1893" s="4" t="s">
        <v>200</v>
      </c>
      <c r="J1893" s="25" t="str">
        <f aca="false">IF(M1893=1,"✓","")</f>
        <v/>
      </c>
      <c r="K1893" s="4" t="str">
        <f aca="false">IF(AND(M1893=0,P1893=0),"▶ NEXT","")</f>
        <v>▶ NEXT</v>
      </c>
      <c r="L1893" s="4" t="n">
        <f aca="false">INDEX('Master List'!$F$2:$F$2594,O1893)</f>
        <v>7</v>
      </c>
      <c r="M1893" s="4" t="n">
        <f aca="false">INDEX('Master List'!$G$2:$G$2594,O1893)</f>
        <v>0</v>
      </c>
      <c r="N1893" s="4" t="str">
        <f aca="false">IF(K1893="","",A1893)</f>
        <v>N157</v>
      </c>
      <c r="O1893" s="4" t="n">
        <v>120</v>
      </c>
      <c r="P1893" s="4" t="n">
        <f aca="false">IF(A1893=A1892,P1892+1-M1892,0)</f>
        <v>0</v>
      </c>
    </row>
    <row r="1894" customFormat="false" ht="15" hidden="false" customHeight="false" outlineLevel="0" collapsed="false">
      <c r="A1894" s="30" t="s">
        <v>4186</v>
      </c>
      <c r="B1894" s="30" t="s">
        <v>53</v>
      </c>
      <c r="C1894" s="30" t="s">
        <v>103</v>
      </c>
      <c r="D1894" s="30" t="s">
        <v>200</v>
      </c>
      <c r="E1894" s="4" t="n">
        <v>2</v>
      </c>
      <c r="F1894" s="4" t="s">
        <v>144</v>
      </c>
      <c r="G1894" s="7" t="s">
        <v>219</v>
      </c>
      <c r="H1894" s="4" t="n">
        <v>1944</v>
      </c>
      <c r="I1894" s="4" t="s">
        <v>200</v>
      </c>
      <c r="J1894" s="25" t="str">
        <f aca="false">IF(M1894=1,"✓","")</f>
        <v>✓</v>
      </c>
      <c r="K1894" s="4" t="str">
        <f aca="false">IF(AND(M1894=0,P1894=0),"▶ NEXT","")</f>
        <v/>
      </c>
      <c r="L1894" s="4" t="n">
        <f aca="false">INDEX('Master List'!$F$2:$F$2594,O1894)</f>
        <v>6</v>
      </c>
      <c r="M1894" s="4" t="n">
        <f aca="false">INDEX('Master List'!$G$2:$G$2594,O1894)</f>
        <v>1</v>
      </c>
      <c r="N1894" s="4" t="str">
        <f aca="false">IF(K1894="","",A1894)</f>
        <v/>
      </c>
      <c r="O1894" s="4" t="n">
        <v>663</v>
      </c>
      <c r="P1894" s="4" t="n">
        <f aca="false">IF(A1894=A1893,P1893+1-M1893,0)</f>
        <v>1</v>
      </c>
    </row>
    <row r="1895" customFormat="false" ht="15" hidden="false" customHeight="false" outlineLevel="0" collapsed="false">
      <c r="A1895" s="30" t="s">
        <v>4186</v>
      </c>
      <c r="B1895" s="30" t="s">
        <v>53</v>
      </c>
      <c r="C1895" s="30" t="s">
        <v>103</v>
      </c>
      <c r="D1895" s="30" t="s">
        <v>200</v>
      </c>
      <c r="E1895" s="4" t="n">
        <v>3</v>
      </c>
      <c r="F1895" s="4" t="s">
        <v>213</v>
      </c>
      <c r="G1895" s="4" t="s">
        <v>413</v>
      </c>
      <c r="H1895" s="4" t="n">
        <v>1959</v>
      </c>
      <c r="I1895" s="4" t="s">
        <v>200</v>
      </c>
      <c r="J1895" s="25" t="str">
        <f aca="false">IF(M1895=1,"✓","")</f>
        <v/>
      </c>
      <c r="K1895" s="4" t="str">
        <f aca="false">IF(AND(M1895=0,P1895=0),"▶ NEXT","")</f>
        <v/>
      </c>
      <c r="L1895" s="4" t="n">
        <f aca="false">INDEX('Master List'!$F$2:$F$2594,O1895)</f>
        <v>4</v>
      </c>
      <c r="M1895" s="4" t="n">
        <f aca="false">INDEX('Master List'!$G$2:$G$2594,O1895)</f>
        <v>0</v>
      </c>
      <c r="N1895" s="4" t="str">
        <f aca="false">IF(K1895="","",A1895)</f>
        <v/>
      </c>
      <c r="O1895" s="4" t="n">
        <v>2107</v>
      </c>
      <c r="P1895" s="4" t="n">
        <f aca="false">IF(A1895=A1894,P1894+1-M1894,0)</f>
        <v>1</v>
      </c>
    </row>
    <row r="1896" customFormat="false" ht="15" hidden="false" customHeight="false" outlineLevel="0" collapsed="false">
      <c r="A1896" s="30" t="s">
        <v>4186</v>
      </c>
      <c r="B1896" s="30" t="s">
        <v>53</v>
      </c>
      <c r="C1896" s="30" t="s">
        <v>103</v>
      </c>
      <c r="D1896" s="30" t="s">
        <v>200</v>
      </c>
      <c r="E1896" s="4" t="n">
        <v>4</v>
      </c>
      <c r="F1896" s="4" t="s">
        <v>213</v>
      </c>
      <c r="G1896" s="4" t="s">
        <v>284</v>
      </c>
      <c r="H1896" s="4" t="n">
        <v>1950</v>
      </c>
      <c r="I1896" s="4" t="s">
        <v>200</v>
      </c>
      <c r="J1896" s="25" t="str">
        <f aca="false">IF(M1896=1,"✓","")</f>
        <v>✓</v>
      </c>
      <c r="K1896" s="4" t="str">
        <f aca="false">IF(AND(M1896=0,P1896=0),"▶ NEXT","")</f>
        <v/>
      </c>
      <c r="L1896" s="4" t="n">
        <f aca="false">INDEX('Master List'!$F$2:$F$2594,O1896)</f>
        <v>5</v>
      </c>
      <c r="M1896" s="4" t="n">
        <f aca="false">INDEX('Master List'!$G$2:$G$2594,O1896)</f>
        <v>1</v>
      </c>
      <c r="N1896" s="4" t="str">
        <f aca="false">IF(K1896="","",A1896)</f>
        <v/>
      </c>
      <c r="O1896" s="4" t="n">
        <v>2203</v>
      </c>
      <c r="P1896" s="4" t="n">
        <f aca="false">IF(A1896=A1895,P1895+1-M1895,0)</f>
        <v>2</v>
      </c>
    </row>
    <row r="1897" customFormat="false" ht="15" hidden="false" customHeight="false" outlineLevel="0" collapsed="false">
      <c r="A1897" s="30" t="s">
        <v>4186</v>
      </c>
      <c r="B1897" s="30" t="s">
        <v>53</v>
      </c>
      <c r="C1897" s="30" t="s">
        <v>103</v>
      </c>
      <c r="D1897" s="30" t="s">
        <v>200</v>
      </c>
      <c r="E1897" s="4" t="n">
        <v>5</v>
      </c>
      <c r="F1897" s="4" t="s">
        <v>213</v>
      </c>
      <c r="G1897" s="4" t="s">
        <v>1830</v>
      </c>
      <c r="H1897" s="4" t="n">
        <v>1945</v>
      </c>
      <c r="I1897" s="4" t="s">
        <v>200</v>
      </c>
      <c r="J1897" s="25" t="str">
        <f aca="false">IF(M1897=1,"✓","")</f>
        <v/>
      </c>
      <c r="K1897" s="4" t="str">
        <f aca="false">IF(AND(M1897=0,P1897=0),"▶ NEXT","")</f>
        <v/>
      </c>
      <c r="L1897" s="4" t="n">
        <f aca="false">INDEX('Master List'!$F$2:$F$2594,O1897)</f>
        <v>1</v>
      </c>
      <c r="M1897" s="4" t="n">
        <f aca="false">INDEX('Master List'!$G$2:$G$2594,O1897)</f>
        <v>0</v>
      </c>
      <c r="N1897" s="4" t="str">
        <f aca="false">IF(K1897="","",A1897)</f>
        <v/>
      </c>
      <c r="O1897" s="4" t="n">
        <v>1387</v>
      </c>
      <c r="P1897" s="4" t="n">
        <f aca="false">IF(A1897=A1896,P1896+1-M1896,0)</f>
        <v>2</v>
      </c>
    </row>
    <row r="1898" customFormat="false" ht="15" hidden="false" customHeight="false" outlineLevel="0" collapsed="false">
      <c r="A1898" s="30" t="s">
        <v>4186</v>
      </c>
      <c r="B1898" s="30" t="s">
        <v>53</v>
      </c>
      <c r="C1898" s="30" t="s">
        <v>103</v>
      </c>
      <c r="D1898" s="30" t="s">
        <v>200</v>
      </c>
      <c r="E1898" s="4" t="n">
        <v>6</v>
      </c>
      <c r="F1898" s="4" t="s">
        <v>213</v>
      </c>
      <c r="G1898" s="4" t="s">
        <v>574</v>
      </c>
      <c r="H1898" s="4" t="n">
        <v>1951</v>
      </c>
      <c r="I1898" s="4" t="s">
        <v>200</v>
      </c>
      <c r="J1898" s="25" t="str">
        <f aca="false">IF(M1898=1,"✓","")</f>
        <v/>
      </c>
      <c r="K1898" s="4" t="str">
        <f aca="false">IF(AND(M1898=0,P1898=0),"▶ NEXT","")</f>
        <v/>
      </c>
      <c r="L1898" s="4" t="n">
        <f aca="false">INDEX('Master List'!$F$2:$F$2594,O1898)</f>
        <v>3</v>
      </c>
      <c r="M1898" s="4" t="n">
        <f aca="false">INDEX('Master List'!$G$2:$G$2594,O1898)</f>
        <v>0</v>
      </c>
      <c r="N1898" s="4" t="str">
        <f aca="false">IF(K1898="","",A1898)</f>
        <v/>
      </c>
      <c r="O1898" s="4" t="n">
        <v>38</v>
      </c>
      <c r="P1898" s="4" t="n">
        <f aca="false">IF(A1898=A1897,P1897+1-M1897,0)</f>
        <v>3</v>
      </c>
    </row>
    <row r="1899" customFormat="false" ht="15" hidden="false" customHeight="false" outlineLevel="0" collapsed="false">
      <c r="A1899" s="30" t="s">
        <v>4186</v>
      </c>
      <c r="B1899" s="30" t="s">
        <v>53</v>
      </c>
      <c r="C1899" s="30" t="s">
        <v>103</v>
      </c>
      <c r="D1899" s="30" t="s">
        <v>200</v>
      </c>
      <c r="E1899" s="4" t="n">
        <v>7</v>
      </c>
      <c r="F1899" s="4" t="s">
        <v>213</v>
      </c>
      <c r="G1899" s="4" t="s">
        <v>1898</v>
      </c>
      <c r="H1899" s="4" t="n">
        <v>1953</v>
      </c>
      <c r="I1899" s="4" t="s">
        <v>200</v>
      </c>
      <c r="J1899" s="25" t="str">
        <f aca="false">IF(M1899=1,"✓","")</f>
        <v/>
      </c>
      <c r="K1899" s="4" t="str">
        <f aca="false">IF(AND(M1899=0,P1899=0),"▶ NEXT","")</f>
        <v/>
      </c>
      <c r="L1899" s="4" t="n">
        <f aca="false">INDEX('Master List'!$F$2:$F$2594,O1899)</f>
        <v>1</v>
      </c>
      <c r="M1899" s="4" t="n">
        <f aca="false">INDEX('Master List'!$G$2:$G$2594,O1899)</f>
        <v>0</v>
      </c>
      <c r="N1899" s="4" t="str">
        <f aca="false">IF(K1899="","",A1899)</f>
        <v/>
      </c>
      <c r="O1899" s="4" t="n">
        <v>2144</v>
      </c>
      <c r="P1899" s="4" t="n">
        <f aca="false">IF(A1899=A1898,P1898+1-M1898,0)</f>
        <v>4</v>
      </c>
    </row>
    <row r="1900" customFormat="false" ht="15" hidden="false" customHeight="false" outlineLevel="0" collapsed="false">
      <c r="A1900" s="30" t="s">
        <v>4186</v>
      </c>
      <c r="B1900" s="30" t="s">
        <v>53</v>
      </c>
      <c r="C1900" s="30" t="s">
        <v>103</v>
      </c>
      <c r="D1900" s="30" t="s">
        <v>200</v>
      </c>
      <c r="E1900" s="4" t="n">
        <v>8</v>
      </c>
      <c r="F1900" s="4" t="s">
        <v>213</v>
      </c>
      <c r="G1900" s="4" t="s">
        <v>947</v>
      </c>
      <c r="H1900" s="4" t="n">
        <v>1957</v>
      </c>
      <c r="I1900" s="4" t="s">
        <v>200</v>
      </c>
      <c r="J1900" s="25" t="str">
        <f aca="false">IF(M1900=1,"✓","")</f>
        <v/>
      </c>
      <c r="K1900" s="4" t="str">
        <f aca="false">IF(AND(M1900=0,P1900=0),"▶ NEXT","")</f>
        <v/>
      </c>
      <c r="L1900" s="4" t="n">
        <f aca="false">INDEX('Master List'!$F$2:$F$2594,O1900)</f>
        <v>2</v>
      </c>
      <c r="M1900" s="4" t="n">
        <f aca="false">INDEX('Master List'!$G$2:$G$2594,O1900)</f>
        <v>0</v>
      </c>
      <c r="N1900" s="4" t="str">
        <f aca="false">IF(K1900="","",A1900)</f>
        <v/>
      </c>
      <c r="O1900" s="4" t="n">
        <v>2538</v>
      </c>
      <c r="P1900" s="4" t="n">
        <f aca="false">IF(A1900=A1899,P1899+1-M1899,0)</f>
        <v>5</v>
      </c>
    </row>
    <row r="1901" customFormat="false" ht="15" hidden="false" customHeight="false" outlineLevel="0" collapsed="false">
      <c r="A1901" s="30" t="s">
        <v>4186</v>
      </c>
      <c r="B1901" s="30" t="s">
        <v>53</v>
      </c>
      <c r="C1901" s="30" t="s">
        <v>103</v>
      </c>
      <c r="D1901" s="30" t="s">
        <v>200</v>
      </c>
      <c r="E1901" s="4" t="n">
        <v>9</v>
      </c>
      <c r="F1901" s="4" t="s">
        <v>213</v>
      </c>
      <c r="G1901" s="4" t="s">
        <v>1997</v>
      </c>
      <c r="H1901" s="4" t="n">
        <v>1961</v>
      </c>
      <c r="I1901" s="4" t="s">
        <v>200</v>
      </c>
      <c r="J1901" s="25" t="str">
        <f aca="false">IF(M1901=1,"✓","")</f>
        <v/>
      </c>
      <c r="K1901" s="4" t="str">
        <f aca="false">IF(AND(M1901=0,P1901=0),"▶ NEXT","")</f>
        <v/>
      </c>
      <c r="L1901" s="4" t="n">
        <f aca="false">INDEX('Master List'!$F$2:$F$2594,O1901)</f>
        <v>1</v>
      </c>
      <c r="M1901" s="4" t="n">
        <f aca="false">INDEX('Master List'!$G$2:$G$2594,O1901)</f>
        <v>0</v>
      </c>
      <c r="N1901" s="4" t="str">
        <f aca="false">IF(K1901="","",A1901)</f>
        <v/>
      </c>
      <c r="O1901" s="4" t="n">
        <v>1681</v>
      </c>
      <c r="P1901" s="4" t="n">
        <f aca="false">IF(A1901=A1900,P1900+1-M1900,0)</f>
        <v>6</v>
      </c>
    </row>
    <row r="1902" customFormat="false" ht="15" hidden="false" customHeight="false" outlineLevel="0" collapsed="false">
      <c r="A1902" s="30" t="s">
        <v>4186</v>
      </c>
      <c r="B1902" s="30" t="s">
        <v>53</v>
      </c>
      <c r="C1902" s="30" t="s">
        <v>103</v>
      </c>
      <c r="D1902" s="30" t="s">
        <v>200</v>
      </c>
      <c r="E1902" s="4" t="n">
        <v>10</v>
      </c>
      <c r="F1902" s="4" t="s">
        <v>1327</v>
      </c>
      <c r="G1902" s="4" t="s">
        <v>3442</v>
      </c>
      <c r="H1902" s="4" t="n">
        <v>1966</v>
      </c>
      <c r="I1902" s="4" t="s">
        <v>200</v>
      </c>
      <c r="J1902" s="25" t="str">
        <f aca="false">IF(M1902=1,"✓","")</f>
        <v/>
      </c>
      <c r="K1902" s="4" t="str">
        <f aca="false">IF(AND(M1902=0,P1902=0),"▶ NEXT","")</f>
        <v/>
      </c>
      <c r="L1902" s="4" t="n">
        <f aca="false">INDEX('Master List'!$F$2:$F$2594,O1902)</f>
        <v>1</v>
      </c>
      <c r="M1902" s="4" t="n">
        <f aca="false">INDEX('Master List'!$G$2:$G$2594,O1902)</f>
        <v>0</v>
      </c>
      <c r="N1902" s="4" t="str">
        <f aca="false">IF(K1902="","",A1902)</f>
        <v/>
      </c>
      <c r="O1902" s="4" t="n">
        <v>839</v>
      </c>
      <c r="P1902" s="4" t="n">
        <f aca="false">IF(A1902=A1901,P1901+1-M1901,0)</f>
        <v>7</v>
      </c>
    </row>
    <row r="1903" customFormat="false" ht="15" hidden="false" customHeight="false" outlineLevel="0" collapsed="false">
      <c r="A1903" s="30" t="s">
        <v>4186</v>
      </c>
      <c r="B1903" s="30" t="s">
        <v>53</v>
      </c>
      <c r="C1903" s="30" t="s">
        <v>103</v>
      </c>
      <c r="D1903" s="30" t="s">
        <v>200</v>
      </c>
      <c r="E1903" s="4" t="n">
        <v>11</v>
      </c>
      <c r="F1903" s="4" t="s">
        <v>1327</v>
      </c>
      <c r="G1903" s="4" t="s">
        <v>3473</v>
      </c>
      <c r="H1903" s="4" t="n">
        <v>1970</v>
      </c>
      <c r="I1903" s="4" t="s">
        <v>200</v>
      </c>
      <c r="J1903" s="25" t="str">
        <f aca="false">IF(M1903=1,"✓","")</f>
        <v/>
      </c>
      <c r="K1903" s="4" t="str">
        <f aca="false">IF(AND(M1903=0,P1903=0),"▶ NEXT","")</f>
        <v/>
      </c>
      <c r="L1903" s="4" t="n">
        <f aca="false">INDEX('Master List'!$F$2:$F$2594,O1903)</f>
        <v>1</v>
      </c>
      <c r="M1903" s="4" t="n">
        <f aca="false">INDEX('Master List'!$G$2:$G$2594,O1903)</f>
        <v>0</v>
      </c>
      <c r="N1903" s="4" t="str">
        <f aca="false">IF(K1903="","",A1903)</f>
        <v/>
      </c>
      <c r="O1903" s="4" t="n">
        <v>1820</v>
      </c>
      <c r="P1903" s="4" t="n">
        <f aca="false">IF(A1903=A1902,P1902+1-M1902,0)</f>
        <v>8</v>
      </c>
    </row>
    <row r="1904" customFormat="false" ht="15" hidden="false" customHeight="false" outlineLevel="0" collapsed="false">
      <c r="A1904" s="30" t="s">
        <v>4186</v>
      </c>
      <c r="B1904" s="30" t="s">
        <v>53</v>
      </c>
      <c r="C1904" s="30" t="s">
        <v>103</v>
      </c>
      <c r="D1904" s="30" t="s">
        <v>200</v>
      </c>
      <c r="E1904" s="4" t="n">
        <v>12</v>
      </c>
      <c r="F1904" s="4" t="s">
        <v>1327</v>
      </c>
      <c r="G1904" s="4" t="s">
        <v>3424</v>
      </c>
      <c r="H1904" s="4" t="n">
        <v>1964</v>
      </c>
      <c r="I1904" s="4" t="s">
        <v>200</v>
      </c>
      <c r="J1904" s="25" t="str">
        <f aca="false">IF(M1904=1,"✓","")</f>
        <v/>
      </c>
      <c r="K1904" s="4" t="str">
        <f aca="false">IF(AND(M1904=0,P1904=0),"▶ NEXT","")</f>
        <v/>
      </c>
      <c r="L1904" s="4" t="n">
        <f aca="false">INDEX('Master List'!$F$2:$F$2594,O1904)</f>
        <v>1</v>
      </c>
      <c r="M1904" s="4" t="n">
        <f aca="false">INDEX('Master List'!$G$2:$G$2594,O1904)</f>
        <v>0</v>
      </c>
      <c r="N1904" s="4" t="str">
        <f aca="false">IF(K1904="","",A1904)</f>
        <v/>
      </c>
      <c r="O1904" s="4" t="n">
        <v>1264</v>
      </c>
      <c r="P1904" s="4" t="n">
        <f aca="false">IF(A1904=A1903,P1903+1-M1903,0)</f>
        <v>9</v>
      </c>
    </row>
    <row r="1905" customFormat="false" ht="15" hidden="false" customHeight="false" outlineLevel="0" collapsed="false">
      <c r="A1905" s="30" t="s">
        <v>4187</v>
      </c>
      <c r="B1905" s="30" t="s">
        <v>53</v>
      </c>
      <c r="C1905" s="30" t="s">
        <v>103</v>
      </c>
      <c r="D1905" s="30" t="s">
        <v>205</v>
      </c>
      <c r="E1905" s="4" t="n">
        <v>1</v>
      </c>
      <c r="F1905" s="4" t="s">
        <v>144</v>
      </c>
      <c r="G1905" s="7" t="s">
        <v>302</v>
      </c>
      <c r="H1905" s="4" t="n">
        <v>1939</v>
      </c>
      <c r="I1905" s="4" t="s">
        <v>205</v>
      </c>
      <c r="J1905" s="25" t="str">
        <f aca="false">IF(M1905=1,"✓","")</f>
        <v/>
      </c>
      <c r="K1905" s="4" t="str">
        <f aca="false">IF(AND(M1905=0,P1905=0),"▶ NEXT","")</f>
        <v>▶ NEXT</v>
      </c>
      <c r="L1905" s="4" t="n">
        <f aca="false">INDEX('Master List'!$F$2:$F$2594,O1905)</f>
        <v>4</v>
      </c>
      <c r="M1905" s="4" t="n">
        <f aca="false">INDEX('Master List'!$G$2:$G$2594,O1905)</f>
        <v>0</v>
      </c>
      <c r="N1905" s="4" t="str">
        <f aca="false">IF(K1905="","",A1905)</f>
        <v>N158</v>
      </c>
      <c r="O1905" s="4" t="n">
        <v>2143</v>
      </c>
      <c r="P1905" s="4" t="n">
        <f aca="false">IF(A1905=A1904,P1904+1-M1904,0)</f>
        <v>0</v>
      </c>
    </row>
    <row r="1906" customFormat="false" ht="15" hidden="false" customHeight="false" outlineLevel="0" collapsed="false">
      <c r="A1906" s="30" t="s">
        <v>4187</v>
      </c>
      <c r="B1906" s="30" t="s">
        <v>53</v>
      </c>
      <c r="C1906" s="30" t="s">
        <v>103</v>
      </c>
      <c r="D1906" s="30" t="s">
        <v>205</v>
      </c>
      <c r="E1906" s="4" t="n">
        <v>2</v>
      </c>
      <c r="F1906" s="4" t="s">
        <v>144</v>
      </c>
      <c r="G1906" s="7" t="s">
        <v>221</v>
      </c>
      <c r="H1906" s="4" t="n">
        <v>1956</v>
      </c>
      <c r="I1906" s="4" t="s">
        <v>205</v>
      </c>
      <c r="J1906" s="25" t="str">
        <f aca="false">IF(M1906=1,"✓","")</f>
        <v>✓</v>
      </c>
      <c r="K1906" s="4" t="str">
        <f aca="false">IF(AND(M1906=0,P1906=0),"▶ NEXT","")</f>
        <v/>
      </c>
      <c r="L1906" s="4" t="n">
        <f aca="false">INDEX('Master List'!$F$2:$F$2594,O1906)</f>
        <v>6</v>
      </c>
      <c r="M1906" s="4" t="n">
        <f aca="false">INDEX('Master List'!$G$2:$G$2594,O1906)</f>
        <v>1</v>
      </c>
      <c r="N1906" s="4" t="str">
        <f aca="false">IF(K1906="","",A1906)</f>
        <v/>
      </c>
      <c r="O1906" s="4" t="n">
        <v>1998</v>
      </c>
      <c r="P1906" s="4" t="n">
        <f aca="false">IF(A1906=A1905,P1905+1-M1905,0)</f>
        <v>1</v>
      </c>
    </row>
    <row r="1907" customFormat="false" ht="15" hidden="false" customHeight="false" outlineLevel="0" collapsed="false">
      <c r="A1907" s="30" t="s">
        <v>4187</v>
      </c>
      <c r="B1907" s="30" t="s">
        <v>53</v>
      </c>
      <c r="C1907" s="30" t="s">
        <v>103</v>
      </c>
      <c r="D1907" s="30" t="s">
        <v>205</v>
      </c>
      <c r="E1907" s="4" t="n">
        <v>3</v>
      </c>
      <c r="F1907" s="4" t="s">
        <v>213</v>
      </c>
      <c r="G1907" s="4" t="s">
        <v>1782</v>
      </c>
      <c r="H1907" s="4" t="n">
        <v>1939</v>
      </c>
      <c r="I1907" s="4" t="s">
        <v>205</v>
      </c>
      <c r="J1907" s="25" t="str">
        <f aca="false">IF(M1907=1,"✓","")</f>
        <v/>
      </c>
      <c r="K1907" s="4" t="str">
        <f aca="false">IF(AND(M1907=0,P1907=0),"▶ NEXT","")</f>
        <v/>
      </c>
      <c r="L1907" s="4" t="n">
        <f aca="false">INDEX('Master List'!$F$2:$F$2594,O1907)</f>
        <v>1</v>
      </c>
      <c r="M1907" s="4" t="n">
        <f aca="false">INDEX('Master List'!$G$2:$G$2594,O1907)</f>
        <v>0</v>
      </c>
      <c r="N1907" s="4" t="str">
        <f aca="false">IF(K1907="","",A1907)</f>
        <v/>
      </c>
      <c r="O1907" s="4" t="n">
        <v>2576</v>
      </c>
      <c r="P1907" s="4" t="n">
        <f aca="false">IF(A1907=A1906,P1906+1-M1906,0)</f>
        <v>1</v>
      </c>
    </row>
    <row r="1908" customFormat="false" ht="15" hidden="false" customHeight="false" outlineLevel="0" collapsed="false">
      <c r="A1908" s="30" t="s">
        <v>4187</v>
      </c>
      <c r="B1908" s="30" t="s">
        <v>53</v>
      </c>
      <c r="C1908" s="30" t="s">
        <v>103</v>
      </c>
      <c r="D1908" s="30" t="s">
        <v>205</v>
      </c>
      <c r="E1908" s="4" t="n">
        <v>4</v>
      </c>
      <c r="F1908" s="4" t="s">
        <v>213</v>
      </c>
      <c r="G1908" s="4" t="s">
        <v>204</v>
      </c>
      <c r="H1908" s="4" t="n">
        <v>1940</v>
      </c>
      <c r="I1908" s="4" t="s">
        <v>205</v>
      </c>
      <c r="J1908" s="25" t="str">
        <f aca="false">IF(M1908=1,"✓","")</f>
        <v/>
      </c>
      <c r="K1908" s="4" t="str">
        <f aca="false">IF(AND(M1908=0,P1908=0),"▶ NEXT","")</f>
        <v/>
      </c>
      <c r="L1908" s="4" t="n">
        <f aca="false">INDEX('Master List'!$F$2:$F$2594,O1908)</f>
        <v>7</v>
      </c>
      <c r="M1908" s="4" t="n">
        <f aca="false">INDEX('Master List'!$G$2:$G$2594,O1908)</f>
        <v>0</v>
      </c>
      <c r="N1908" s="4" t="str">
        <f aca="false">IF(K1908="","",A1908)</f>
        <v/>
      </c>
      <c r="O1908" s="4" t="n">
        <v>946</v>
      </c>
      <c r="P1908" s="4" t="n">
        <f aca="false">IF(A1908=A1907,P1907+1-M1907,0)</f>
        <v>2</v>
      </c>
    </row>
    <row r="1909" customFormat="false" ht="15" hidden="false" customHeight="false" outlineLevel="0" collapsed="false">
      <c r="A1909" s="30" t="s">
        <v>4187</v>
      </c>
      <c r="B1909" s="30" t="s">
        <v>53</v>
      </c>
      <c r="C1909" s="30" t="s">
        <v>103</v>
      </c>
      <c r="D1909" s="30" t="s">
        <v>205</v>
      </c>
      <c r="E1909" s="4" t="n">
        <v>5</v>
      </c>
      <c r="F1909" s="4" t="s">
        <v>213</v>
      </c>
      <c r="G1909" s="4" t="s">
        <v>1796</v>
      </c>
      <c r="H1909" s="4" t="n">
        <v>1941</v>
      </c>
      <c r="I1909" s="4" t="s">
        <v>205</v>
      </c>
      <c r="J1909" s="25" t="str">
        <f aca="false">IF(M1909=1,"✓","")</f>
        <v/>
      </c>
      <c r="K1909" s="4" t="str">
        <f aca="false">IF(AND(M1909=0,P1909=0),"▶ NEXT","")</f>
        <v/>
      </c>
      <c r="L1909" s="4" t="n">
        <f aca="false">INDEX('Master List'!$F$2:$F$2594,O1909)</f>
        <v>1</v>
      </c>
      <c r="M1909" s="4" t="n">
        <f aca="false">INDEX('Master List'!$G$2:$G$2594,O1909)</f>
        <v>0</v>
      </c>
      <c r="N1909" s="4" t="str">
        <f aca="false">IF(K1909="","",A1909)</f>
        <v/>
      </c>
      <c r="O1909" s="4" t="n">
        <v>1078</v>
      </c>
      <c r="P1909" s="4" t="n">
        <f aca="false">IF(A1909=A1908,P1908+1-M1908,0)</f>
        <v>3</v>
      </c>
    </row>
    <row r="1910" customFormat="false" ht="15" hidden="false" customHeight="false" outlineLevel="0" collapsed="false">
      <c r="A1910" s="30" t="s">
        <v>4187</v>
      </c>
      <c r="B1910" s="30" t="s">
        <v>53</v>
      </c>
      <c r="C1910" s="30" t="s">
        <v>103</v>
      </c>
      <c r="D1910" s="30" t="s">
        <v>205</v>
      </c>
      <c r="E1910" s="4" t="n">
        <v>6</v>
      </c>
      <c r="F1910" s="4" t="s">
        <v>213</v>
      </c>
      <c r="G1910" s="4" t="s">
        <v>924</v>
      </c>
      <c r="H1910" s="4" t="n">
        <v>1946</v>
      </c>
      <c r="I1910" s="4" t="s">
        <v>205</v>
      </c>
      <c r="J1910" s="25" t="str">
        <f aca="false">IF(M1910=1,"✓","")</f>
        <v/>
      </c>
      <c r="K1910" s="4" t="str">
        <f aca="false">IF(AND(M1910=0,P1910=0),"▶ NEXT","")</f>
        <v/>
      </c>
      <c r="L1910" s="4" t="n">
        <f aca="false">INDEX('Master List'!$F$2:$F$2594,O1910)</f>
        <v>2</v>
      </c>
      <c r="M1910" s="4" t="n">
        <f aca="false">INDEX('Master List'!$G$2:$G$2594,O1910)</f>
        <v>0</v>
      </c>
      <c r="N1910" s="4" t="str">
        <f aca="false">IF(K1910="","",A1910)</f>
        <v/>
      </c>
      <c r="O1910" s="4" t="n">
        <v>1570</v>
      </c>
      <c r="P1910" s="4" t="n">
        <f aca="false">IF(A1910=A1909,P1909+1-M1909,0)</f>
        <v>4</v>
      </c>
    </row>
    <row r="1911" customFormat="false" ht="15" hidden="false" customHeight="false" outlineLevel="0" collapsed="false">
      <c r="A1911" s="30" t="s">
        <v>4187</v>
      </c>
      <c r="B1911" s="30" t="s">
        <v>53</v>
      </c>
      <c r="C1911" s="30" t="s">
        <v>103</v>
      </c>
      <c r="D1911" s="30" t="s">
        <v>205</v>
      </c>
      <c r="E1911" s="4" t="n">
        <v>7</v>
      </c>
      <c r="F1911" s="4" t="s">
        <v>213</v>
      </c>
      <c r="G1911" s="4" t="s">
        <v>930</v>
      </c>
      <c r="H1911" s="4" t="n">
        <v>1948</v>
      </c>
      <c r="I1911" s="4" t="s">
        <v>205</v>
      </c>
      <c r="J1911" s="25" t="str">
        <f aca="false">IF(M1911=1,"✓","")</f>
        <v/>
      </c>
      <c r="K1911" s="4" t="str">
        <f aca="false">IF(AND(M1911=0,P1911=0),"▶ NEXT","")</f>
        <v/>
      </c>
      <c r="L1911" s="4" t="n">
        <f aca="false">INDEX('Master List'!$F$2:$F$2594,O1911)</f>
        <v>2</v>
      </c>
      <c r="M1911" s="4" t="n">
        <f aca="false">INDEX('Master List'!$G$2:$G$2594,O1911)</f>
        <v>0</v>
      </c>
      <c r="N1911" s="4" t="str">
        <f aca="false">IF(K1911="","",A1911)</f>
        <v/>
      </c>
      <c r="O1911" s="4" t="n">
        <v>838</v>
      </c>
      <c r="P1911" s="4" t="n">
        <f aca="false">IF(A1911=A1910,P1910+1-M1910,0)</f>
        <v>5</v>
      </c>
    </row>
    <row r="1912" customFormat="false" ht="15" hidden="false" customHeight="false" outlineLevel="0" collapsed="false">
      <c r="A1912" s="30" t="s">
        <v>4187</v>
      </c>
      <c r="B1912" s="30" t="s">
        <v>53</v>
      </c>
      <c r="C1912" s="30" t="s">
        <v>103</v>
      </c>
      <c r="D1912" s="30" t="s">
        <v>205</v>
      </c>
      <c r="E1912" s="4" t="n">
        <v>8</v>
      </c>
      <c r="F1912" s="4" t="s">
        <v>213</v>
      </c>
      <c r="G1912" s="4" t="s">
        <v>1888</v>
      </c>
      <c r="H1912" s="4" t="n">
        <v>1952</v>
      </c>
      <c r="I1912" s="4" t="s">
        <v>205</v>
      </c>
      <c r="J1912" s="25" t="str">
        <f aca="false">IF(M1912=1,"✓","")</f>
        <v/>
      </c>
      <c r="K1912" s="4" t="str">
        <f aca="false">IF(AND(M1912=0,P1912=0),"▶ NEXT","")</f>
        <v/>
      </c>
      <c r="L1912" s="4" t="n">
        <f aca="false">INDEX('Master List'!$F$2:$F$2594,O1912)</f>
        <v>1</v>
      </c>
      <c r="M1912" s="4" t="n">
        <f aca="false">INDEX('Master List'!$G$2:$G$2594,O1912)</f>
        <v>0</v>
      </c>
      <c r="N1912" s="4" t="str">
        <f aca="false">IF(K1912="","",A1912)</f>
        <v/>
      </c>
      <c r="O1912" s="4" t="n">
        <v>1844</v>
      </c>
      <c r="P1912" s="4" t="n">
        <f aca="false">IF(A1912=A1911,P1911+1-M1911,0)</f>
        <v>6</v>
      </c>
    </row>
    <row r="1913" customFormat="false" ht="15" hidden="false" customHeight="false" outlineLevel="0" collapsed="false">
      <c r="A1913" s="30" t="s">
        <v>4187</v>
      </c>
      <c r="B1913" s="30" t="s">
        <v>53</v>
      </c>
      <c r="C1913" s="30" t="s">
        <v>103</v>
      </c>
      <c r="D1913" s="30" t="s">
        <v>205</v>
      </c>
      <c r="E1913" s="4" t="n">
        <v>9</v>
      </c>
      <c r="F1913" s="4" t="s">
        <v>213</v>
      </c>
      <c r="G1913" s="4" t="s">
        <v>963</v>
      </c>
      <c r="H1913" s="4" t="n">
        <v>1962</v>
      </c>
      <c r="I1913" s="4" t="s">
        <v>205</v>
      </c>
      <c r="J1913" s="25" t="str">
        <f aca="false">IF(M1913=1,"✓","")</f>
        <v/>
      </c>
      <c r="K1913" s="4" t="str">
        <f aca="false">IF(AND(M1913=0,P1913=0),"▶ NEXT","")</f>
        <v/>
      </c>
      <c r="L1913" s="4" t="n">
        <f aca="false">INDEX('Master List'!$F$2:$F$2594,O1913)</f>
        <v>2</v>
      </c>
      <c r="M1913" s="4" t="n">
        <f aca="false">INDEX('Master List'!$G$2:$G$2594,O1913)</f>
        <v>0</v>
      </c>
      <c r="N1913" s="4" t="str">
        <f aca="false">IF(K1913="","",A1913)</f>
        <v/>
      </c>
      <c r="O1913" s="4" t="n">
        <v>1431</v>
      </c>
      <c r="P1913" s="4" t="n">
        <f aca="false">IF(A1913=A1912,P1912+1-M1912,0)</f>
        <v>7</v>
      </c>
    </row>
    <row r="1914" customFormat="false" ht="15" hidden="false" customHeight="false" outlineLevel="0" collapsed="false">
      <c r="A1914" s="30" t="s">
        <v>4187</v>
      </c>
      <c r="B1914" s="30" t="s">
        <v>53</v>
      </c>
      <c r="C1914" s="30" t="s">
        <v>103</v>
      </c>
      <c r="D1914" s="30" t="s">
        <v>205</v>
      </c>
      <c r="E1914" s="4" t="n">
        <v>10</v>
      </c>
      <c r="F1914" s="4" t="s">
        <v>1327</v>
      </c>
      <c r="G1914" s="4" t="s">
        <v>3344</v>
      </c>
      <c r="H1914" s="4" t="n">
        <v>1945</v>
      </c>
      <c r="I1914" s="4" t="s">
        <v>205</v>
      </c>
      <c r="J1914" s="25" t="str">
        <f aca="false">IF(M1914=1,"✓","")</f>
        <v/>
      </c>
      <c r="K1914" s="4" t="str">
        <f aca="false">IF(AND(M1914=0,P1914=0),"▶ NEXT","")</f>
        <v/>
      </c>
      <c r="L1914" s="4" t="n">
        <f aca="false">INDEX('Master List'!$F$2:$F$2594,O1914)</f>
        <v>1</v>
      </c>
      <c r="M1914" s="4" t="n">
        <f aca="false">INDEX('Master List'!$G$2:$G$2594,O1914)</f>
        <v>0</v>
      </c>
      <c r="N1914" s="4" t="str">
        <f aca="false">IF(K1914="","",A1914)</f>
        <v/>
      </c>
      <c r="O1914" s="4" t="n">
        <v>2273</v>
      </c>
      <c r="P1914" s="4" t="n">
        <f aca="false">IF(A1914=A1913,P1913+1-M1913,0)</f>
        <v>8</v>
      </c>
    </row>
    <row r="1915" customFormat="false" ht="15" hidden="false" customHeight="false" outlineLevel="0" collapsed="false">
      <c r="A1915" s="30" t="s">
        <v>4187</v>
      </c>
      <c r="B1915" s="30" t="s">
        <v>53</v>
      </c>
      <c r="C1915" s="30" t="s">
        <v>103</v>
      </c>
      <c r="D1915" s="30" t="s">
        <v>205</v>
      </c>
      <c r="E1915" s="4" t="n">
        <v>11</v>
      </c>
      <c r="F1915" s="4" t="s">
        <v>1327</v>
      </c>
      <c r="G1915" s="4" t="s">
        <v>3356</v>
      </c>
      <c r="H1915" s="4" t="n">
        <v>1950</v>
      </c>
      <c r="I1915" s="4" t="s">
        <v>205</v>
      </c>
      <c r="J1915" s="25" t="str">
        <f aca="false">IF(M1915=1,"✓","")</f>
        <v/>
      </c>
      <c r="K1915" s="4" t="str">
        <f aca="false">IF(AND(M1915=0,P1915=0),"▶ NEXT","")</f>
        <v/>
      </c>
      <c r="L1915" s="4" t="n">
        <f aca="false">INDEX('Master List'!$F$2:$F$2594,O1915)</f>
        <v>1</v>
      </c>
      <c r="M1915" s="4" t="n">
        <f aca="false">INDEX('Master List'!$G$2:$G$2594,O1915)</f>
        <v>0</v>
      </c>
      <c r="N1915" s="4" t="str">
        <f aca="false">IF(K1915="","",A1915)</f>
        <v/>
      </c>
      <c r="O1915" s="4" t="n">
        <v>2449</v>
      </c>
      <c r="P1915" s="4" t="n">
        <f aca="false">IF(A1915=A1914,P1914+1-M1914,0)</f>
        <v>9</v>
      </c>
    </row>
    <row r="1916" customFormat="false" ht="15" hidden="false" customHeight="false" outlineLevel="0" collapsed="false">
      <c r="A1916" s="30" t="s">
        <v>4187</v>
      </c>
      <c r="B1916" s="30" t="s">
        <v>53</v>
      </c>
      <c r="C1916" s="30" t="s">
        <v>103</v>
      </c>
      <c r="D1916" s="30" t="s">
        <v>205</v>
      </c>
      <c r="E1916" s="4" t="n">
        <v>12</v>
      </c>
      <c r="F1916" s="4" t="s">
        <v>1327</v>
      </c>
      <c r="G1916" s="4" t="s">
        <v>3369</v>
      </c>
      <c r="H1916" s="4" t="n">
        <v>1953</v>
      </c>
      <c r="I1916" s="4" t="s">
        <v>205</v>
      </c>
      <c r="J1916" s="25" t="str">
        <f aca="false">IF(M1916=1,"✓","")</f>
        <v/>
      </c>
      <c r="K1916" s="4" t="str">
        <f aca="false">IF(AND(M1916=0,P1916=0),"▶ NEXT","")</f>
        <v/>
      </c>
      <c r="L1916" s="4" t="n">
        <f aca="false">INDEX('Master List'!$F$2:$F$2594,O1916)</f>
        <v>1</v>
      </c>
      <c r="M1916" s="4" t="n">
        <f aca="false">INDEX('Master List'!$G$2:$G$2594,O1916)</f>
        <v>0</v>
      </c>
      <c r="N1916" s="4" t="str">
        <f aca="false">IF(K1916="","",A1916)</f>
        <v/>
      </c>
      <c r="O1916" s="4" t="n">
        <v>2201</v>
      </c>
      <c r="P1916" s="4" t="n">
        <f aca="false">IF(A1916=A1915,P1915+1-M1915,0)</f>
        <v>10</v>
      </c>
    </row>
    <row r="1917" customFormat="false" ht="15" hidden="false" customHeight="false" outlineLevel="0" collapsed="false">
      <c r="A1917" s="30" t="s">
        <v>4188</v>
      </c>
      <c r="B1917" s="30" t="s">
        <v>53</v>
      </c>
      <c r="C1917" s="30" t="s">
        <v>103</v>
      </c>
      <c r="D1917" s="30" t="s">
        <v>168</v>
      </c>
      <c r="E1917" s="4" t="n">
        <v>1</v>
      </c>
      <c r="F1917" s="4" t="s">
        <v>144</v>
      </c>
      <c r="G1917" s="7" t="s">
        <v>167</v>
      </c>
      <c r="H1917" s="4" t="n">
        <v>1940</v>
      </c>
      <c r="I1917" s="4" t="s">
        <v>168</v>
      </c>
      <c r="J1917" s="25" t="str">
        <f aca="false">IF(M1917=1,"✓","")</f>
        <v>✓</v>
      </c>
      <c r="K1917" s="4" t="str">
        <f aca="false">IF(AND(M1917=0,P1917=0),"▶ NEXT","")</f>
        <v/>
      </c>
      <c r="L1917" s="4" t="n">
        <f aca="false">INDEX('Master List'!$F$2:$F$2594,O1917)</f>
        <v>7</v>
      </c>
      <c r="M1917" s="4" t="n">
        <f aca="false">INDEX('Master List'!$G$2:$G$2594,O1917)</f>
        <v>1</v>
      </c>
      <c r="N1917" s="4" t="str">
        <f aca="false">IF(K1917="","",A1917)</f>
        <v/>
      </c>
      <c r="O1917" s="4" t="n">
        <v>1041</v>
      </c>
      <c r="P1917" s="4" t="n">
        <f aca="false">IF(A1917=A1916,P1916+1-M1916,0)</f>
        <v>0</v>
      </c>
    </row>
    <row r="1918" customFormat="false" ht="15" hidden="false" customHeight="false" outlineLevel="0" collapsed="false">
      <c r="A1918" s="30" t="s">
        <v>4188</v>
      </c>
      <c r="B1918" s="30" t="s">
        <v>53</v>
      </c>
      <c r="C1918" s="30" t="s">
        <v>103</v>
      </c>
      <c r="D1918" s="30" t="s">
        <v>168</v>
      </c>
      <c r="E1918" s="4" t="n">
        <v>2</v>
      </c>
      <c r="F1918" s="4" t="s">
        <v>144</v>
      </c>
      <c r="G1918" s="7" t="s">
        <v>414</v>
      </c>
      <c r="H1918" s="4" t="n">
        <v>1959</v>
      </c>
      <c r="I1918" s="4" t="s">
        <v>168</v>
      </c>
      <c r="J1918" s="25" t="str">
        <f aca="false">IF(M1918=1,"✓","")</f>
        <v/>
      </c>
      <c r="K1918" s="4" t="str">
        <f aca="false">IF(AND(M1918=0,P1918=0),"▶ NEXT","")</f>
        <v>▶ NEXT</v>
      </c>
      <c r="L1918" s="4" t="n">
        <f aca="false">INDEX('Master List'!$F$2:$F$2594,O1918)</f>
        <v>3</v>
      </c>
      <c r="M1918" s="4" t="n">
        <f aca="false">INDEX('Master List'!$G$2:$G$2594,O1918)</f>
        <v>0</v>
      </c>
      <c r="N1918" s="4" t="str">
        <f aca="false">IF(K1918="","",A1918)</f>
        <v>N159</v>
      </c>
      <c r="O1918" s="4" t="n">
        <v>1909</v>
      </c>
      <c r="P1918" s="4" t="n">
        <f aca="false">IF(A1918=A1917,P1917+1-M1917,0)</f>
        <v>0</v>
      </c>
    </row>
    <row r="1919" customFormat="false" ht="15" hidden="false" customHeight="false" outlineLevel="0" collapsed="false">
      <c r="A1919" s="30" t="s">
        <v>4188</v>
      </c>
      <c r="B1919" s="30" t="s">
        <v>53</v>
      </c>
      <c r="C1919" s="30" t="s">
        <v>103</v>
      </c>
      <c r="D1919" s="30" t="s">
        <v>168</v>
      </c>
      <c r="E1919" s="4" t="n">
        <v>3</v>
      </c>
      <c r="F1919" s="4" t="s">
        <v>213</v>
      </c>
      <c r="G1919" s="4" t="s">
        <v>565</v>
      </c>
      <c r="H1919" s="4" t="n">
        <v>1932</v>
      </c>
      <c r="I1919" s="4" t="s">
        <v>168</v>
      </c>
      <c r="J1919" s="25" t="str">
        <f aca="false">IF(M1919=1,"✓","")</f>
        <v/>
      </c>
      <c r="K1919" s="4" t="str">
        <f aca="false">IF(AND(M1919=0,P1919=0),"▶ NEXT","")</f>
        <v/>
      </c>
      <c r="L1919" s="4" t="n">
        <f aca="false">INDEX('Master List'!$F$2:$F$2594,O1919)</f>
        <v>3</v>
      </c>
      <c r="M1919" s="4" t="n">
        <f aca="false">INDEX('Master List'!$G$2:$G$2594,O1919)</f>
        <v>0</v>
      </c>
      <c r="N1919" s="4" t="str">
        <f aca="false">IF(K1919="","",A1919)</f>
        <v/>
      </c>
      <c r="O1919" s="4" t="n">
        <v>1983</v>
      </c>
      <c r="P1919" s="4" t="n">
        <f aca="false">IF(A1919=A1918,P1918+1-M1918,0)</f>
        <v>1</v>
      </c>
    </row>
    <row r="1920" customFormat="false" ht="15" hidden="false" customHeight="false" outlineLevel="0" collapsed="false">
      <c r="A1920" s="30" t="s">
        <v>4188</v>
      </c>
      <c r="B1920" s="30" t="s">
        <v>53</v>
      </c>
      <c r="C1920" s="30" t="s">
        <v>103</v>
      </c>
      <c r="D1920" s="30" t="s">
        <v>168</v>
      </c>
      <c r="E1920" s="4" t="n">
        <v>4</v>
      </c>
      <c r="F1920" s="4" t="s">
        <v>213</v>
      </c>
      <c r="G1920" s="4" t="s">
        <v>910</v>
      </c>
      <c r="H1920" s="4" t="n">
        <v>1934</v>
      </c>
      <c r="I1920" s="4" t="s">
        <v>168</v>
      </c>
      <c r="J1920" s="25" t="str">
        <f aca="false">IF(M1920=1,"✓","")</f>
        <v/>
      </c>
      <c r="K1920" s="4" t="str">
        <f aca="false">IF(AND(M1920=0,P1920=0),"▶ NEXT","")</f>
        <v/>
      </c>
      <c r="L1920" s="4" t="n">
        <f aca="false">INDEX('Master List'!$F$2:$F$2594,O1920)</f>
        <v>2</v>
      </c>
      <c r="M1920" s="4" t="n">
        <f aca="false">INDEX('Master List'!$G$2:$G$2594,O1920)</f>
        <v>0</v>
      </c>
      <c r="N1920" s="4" t="str">
        <f aca="false">IF(K1920="","",A1920)</f>
        <v/>
      </c>
      <c r="O1920" s="4" t="n">
        <v>2383</v>
      </c>
      <c r="P1920" s="4" t="n">
        <f aca="false">IF(A1920=A1919,P1919+1-M1919,0)</f>
        <v>2</v>
      </c>
    </row>
    <row r="1921" customFormat="false" ht="15" hidden="false" customHeight="false" outlineLevel="0" collapsed="false">
      <c r="A1921" s="30" t="s">
        <v>4188</v>
      </c>
      <c r="B1921" s="30" t="s">
        <v>53</v>
      </c>
      <c r="C1921" s="30" t="s">
        <v>103</v>
      </c>
      <c r="D1921" s="30" t="s">
        <v>168</v>
      </c>
      <c r="E1921" s="4" t="n">
        <v>5</v>
      </c>
      <c r="F1921" s="4" t="s">
        <v>213</v>
      </c>
      <c r="G1921" s="4" t="s">
        <v>403</v>
      </c>
      <c r="H1921" s="4" t="n">
        <v>1938</v>
      </c>
      <c r="I1921" s="4" t="s">
        <v>168</v>
      </c>
      <c r="J1921" s="25" t="str">
        <f aca="false">IF(M1921=1,"✓","")</f>
        <v/>
      </c>
      <c r="K1921" s="4" t="str">
        <f aca="false">IF(AND(M1921=0,P1921=0),"▶ NEXT","")</f>
        <v/>
      </c>
      <c r="L1921" s="4" t="n">
        <f aca="false">INDEX('Master List'!$F$2:$F$2594,O1921)</f>
        <v>4</v>
      </c>
      <c r="M1921" s="4" t="n">
        <f aca="false">INDEX('Master List'!$G$2:$G$2594,O1921)</f>
        <v>0</v>
      </c>
      <c r="N1921" s="4" t="str">
        <f aca="false">IF(K1921="","",A1921)</f>
        <v/>
      </c>
      <c r="O1921" s="4" t="n">
        <v>353</v>
      </c>
      <c r="P1921" s="4" t="n">
        <f aca="false">IF(A1921=A1920,P1920+1-M1920,0)</f>
        <v>3</v>
      </c>
    </row>
    <row r="1922" customFormat="false" ht="15" hidden="false" customHeight="false" outlineLevel="0" collapsed="false">
      <c r="A1922" s="30" t="s">
        <v>4188</v>
      </c>
      <c r="B1922" s="30" t="s">
        <v>53</v>
      </c>
      <c r="C1922" s="30" t="s">
        <v>103</v>
      </c>
      <c r="D1922" s="30" t="s">
        <v>168</v>
      </c>
      <c r="E1922" s="4" t="n">
        <v>6</v>
      </c>
      <c r="F1922" s="4" t="s">
        <v>213</v>
      </c>
      <c r="G1922" s="4" t="s">
        <v>1309</v>
      </c>
      <c r="H1922" s="4" t="n">
        <v>1939</v>
      </c>
      <c r="I1922" s="4" t="s">
        <v>168</v>
      </c>
      <c r="J1922" s="25" t="str">
        <f aca="false">IF(M1922=1,"✓","")</f>
        <v>✓</v>
      </c>
      <c r="K1922" s="4" t="str">
        <f aca="false">IF(AND(M1922=0,P1922=0),"▶ NEXT","")</f>
        <v/>
      </c>
      <c r="L1922" s="4" t="n">
        <f aca="false">INDEX('Master List'!$F$2:$F$2594,O1922)</f>
        <v>2</v>
      </c>
      <c r="M1922" s="4" t="n">
        <f aca="false">INDEX('Master List'!$G$2:$G$2594,O1922)</f>
        <v>1</v>
      </c>
      <c r="N1922" s="4" t="str">
        <f aca="false">IF(K1922="","",A1922)</f>
        <v/>
      </c>
      <c r="O1922" s="4" t="n">
        <v>1684</v>
      </c>
      <c r="P1922" s="4" t="n">
        <f aca="false">IF(A1922=A1921,P1921+1-M1921,0)</f>
        <v>4</v>
      </c>
    </row>
    <row r="1923" customFormat="false" ht="15" hidden="false" customHeight="false" outlineLevel="0" collapsed="false">
      <c r="A1923" s="30" t="s">
        <v>4188</v>
      </c>
      <c r="B1923" s="30" t="s">
        <v>53</v>
      </c>
      <c r="C1923" s="30" t="s">
        <v>103</v>
      </c>
      <c r="D1923" s="30" t="s">
        <v>168</v>
      </c>
      <c r="E1923" s="4" t="n">
        <v>7</v>
      </c>
      <c r="F1923" s="4" t="s">
        <v>213</v>
      </c>
      <c r="G1923" s="4" t="s">
        <v>1819</v>
      </c>
      <c r="H1923" s="4" t="n">
        <v>1944</v>
      </c>
      <c r="I1923" s="4" t="s">
        <v>168</v>
      </c>
      <c r="J1923" s="25" t="str">
        <f aca="false">IF(M1923=1,"✓","")</f>
        <v/>
      </c>
      <c r="K1923" s="4" t="str">
        <f aca="false">IF(AND(M1923=0,P1923=0),"▶ NEXT","")</f>
        <v/>
      </c>
      <c r="L1923" s="4" t="n">
        <f aca="false">INDEX('Master List'!$F$2:$F$2594,O1923)</f>
        <v>1</v>
      </c>
      <c r="M1923" s="4" t="n">
        <f aca="false">INDEX('Master List'!$G$2:$G$2594,O1923)</f>
        <v>0</v>
      </c>
      <c r="N1923" s="4" t="str">
        <f aca="false">IF(K1923="","",A1923)</f>
        <v/>
      </c>
      <c r="O1923" s="4" t="n">
        <v>2317</v>
      </c>
      <c r="P1923" s="4" t="n">
        <f aca="false">IF(A1923=A1922,P1922+1-M1922,0)</f>
        <v>4</v>
      </c>
    </row>
    <row r="1924" customFormat="false" ht="15" hidden="false" customHeight="false" outlineLevel="0" collapsed="false">
      <c r="A1924" s="30" t="s">
        <v>4188</v>
      </c>
      <c r="B1924" s="30" t="s">
        <v>53</v>
      </c>
      <c r="C1924" s="30" t="s">
        <v>103</v>
      </c>
      <c r="D1924" s="30" t="s">
        <v>168</v>
      </c>
      <c r="E1924" s="4" t="n">
        <v>8</v>
      </c>
      <c r="F1924" s="4" t="s">
        <v>213</v>
      </c>
      <c r="G1924" s="4" t="s">
        <v>571</v>
      </c>
      <c r="H1924" s="4" t="n">
        <v>1946</v>
      </c>
      <c r="I1924" s="4" t="s">
        <v>168</v>
      </c>
      <c r="J1924" s="25" t="str">
        <f aca="false">IF(M1924=1,"✓","")</f>
        <v/>
      </c>
      <c r="K1924" s="4" t="str">
        <f aca="false">IF(AND(M1924=0,P1924=0),"▶ NEXT","")</f>
        <v/>
      </c>
      <c r="L1924" s="4" t="n">
        <f aca="false">INDEX('Master List'!$F$2:$F$2594,O1924)</f>
        <v>3</v>
      </c>
      <c r="M1924" s="4" t="n">
        <f aca="false">INDEX('Master List'!$G$2:$G$2594,O1924)</f>
        <v>0</v>
      </c>
      <c r="N1924" s="4" t="str">
        <f aca="false">IF(K1924="","",A1924)</f>
        <v/>
      </c>
      <c r="O1924" s="4" t="n">
        <v>248</v>
      </c>
      <c r="P1924" s="4" t="n">
        <f aca="false">IF(A1924=A1923,P1923+1-M1923,0)</f>
        <v>5</v>
      </c>
    </row>
    <row r="1925" customFormat="false" ht="15" hidden="false" customHeight="false" outlineLevel="0" collapsed="false">
      <c r="A1925" s="30" t="s">
        <v>4188</v>
      </c>
      <c r="B1925" s="30" t="s">
        <v>53</v>
      </c>
      <c r="C1925" s="30" t="s">
        <v>103</v>
      </c>
      <c r="D1925" s="30" t="s">
        <v>168</v>
      </c>
      <c r="E1925" s="4" t="n">
        <v>9</v>
      </c>
      <c r="F1925" s="4" t="s">
        <v>213</v>
      </c>
      <c r="G1925" s="4" t="s">
        <v>929</v>
      </c>
      <c r="H1925" s="4" t="n">
        <v>1948</v>
      </c>
      <c r="I1925" s="4" t="s">
        <v>168</v>
      </c>
      <c r="J1925" s="25" t="str">
        <f aca="false">IF(M1925=1,"✓","")</f>
        <v/>
      </c>
      <c r="K1925" s="4" t="str">
        <f aca="false">IF(AND(M1925=0,P1925=0),"▶ NEXT","")</f>
        <v/>
      </c>
      <c r="L1925" s="4" t="n">
        <f aca="false">INDEX('Master List'!$F$2:$F$2594,O1925)</f>
        <v>2</v>
      </c>
      <c r="M1925" s="4" t="n">
        <f aca="false">INDEX('Master List'!$G$2:$G$2594,O1925)</f>
        <v>0</v>
      </c>
      <c r="N1925" s="4" t="str">
        <f aca="false">IF(K1925="","",A1925)</f>
        <v/>
      </c>
      <c r="O1925" s="4" t="n">
        <v>1875</v>
      </c>
      <c r="P1925" s="4" t="n">
        <f aca="false">IF(A1925=A1924,P1924+1-M1924,0)</f>
        <v>6</v>
      </c>
    </row>
    <row r="1926" customFormat="false" ht="15" hidden="false" customHeight="false" outlineLevel="0" collapsed="false">
      <c r="A1926" s="30" t="s">
        <v>4188</v>
      </c>
      <c r="B1926" s="30" t="s">
        <v>53</v>
      </c>
      <c r="C1926" s="30" t="s">
        <v>103</v>
      </c>
      <c r="D1926" s="30" t="s">
        <v>168</v>
      </c>
      <c r="E1926" s="4" t="n">
        <v>10</v>
      </c>
      <c r="F1926" s="4" t="s">
        <v>1327</v>
      </c>
      <c r="G1926" s="4" t="s">
        <v>1311</v>
      </c>
      <c r="H1926" s="4" t="n">
        <v>1941</v>
      </c>
      <c r="I1926" s="4" t="s">
        <v>168</v>
      </c>
      <c r="J1926" s="25" t="str">
        <f aca="false">IF(M1926=1,"✓","")</f>
        <v/>
      </c>
      <c r="K1926" s="4" t="str">
        <f aca="false">IF(AND(M1926=0,P1926=0),"▶ NEXT","")</f>
        <v/>
      </c>
      <c r="L1926" s="4" t="n">
        <f aca="false">INDEX('Master List'!$F$2:$F$2594,O1926)</f>
        <v>2</v>
      </c>
      <c r="M1926" s="4" t="n">
        <f aca="false">INDEX('Master List'!$G$2:$G$2594,O1926)</f>
        <v>0</v>
      </c>
      <c r="N1926" s="4" t="str">
        <f aca="false">IF(K1926="","",A1926)</f>
        <v/>
      </c>
      <c r="O1926" s="4" t="n">
        <v>174</v>
      </c>
      <c r="P1926" s="4" t="n">
        <f aca="false">IF(A1926=A1925,P1925+1-M1925,0)</f>
        <v>7</v>
      </c>
    </row>
    <row r="1927" customFormat="false" ht="15" hidden="false" customHeight="false" outlineLevel="0" collapsed="false">
      <c r="A1927" s="30" t="s">
        <v>4188</v>
      </c>
      <c r="B1927" s="30" t="s">
        <v>53</v>
      </c>
      <c r="C1927" s="30" t="s">
        <v>103</v>
      </c>
      <c r="D1927" s="30" t="s">
        <v>168</v>
      </c>
      <c r="E1927" s="4" t="n">
        <v>11</v>
      </c>
      <c r="F1927" s="4" t="s">
        <v>1327</v>
      </c>
      <c r="G1927" s="4" t="s">
        <v>3417</v>
      </c>
      <c r="H1927" s="4" t="n">
        <v>1962</v>
      </c>
      <c r="I1927" s="4" t="s">
        <v>168</v>
      </c>
      <c r="J1927" s="25" t="str">
        <f aca="false">IF(M1927=1,"✓","")</f>
        <v/>
      </c>
      <c r="K1927" s="4" t="str">
        <f aca="false">IF(AND(M1927=0,P1927=0),"▶ NEXT","")</f>
        <v/>
      </c>
      <c r="L1927" s="4" t="n">
        <f aca="false">INDEX('Master List'!$F$2:$F$2594,O1927)</f>
        <v>1</v>
      </c>
      <c r="M1927" s="4" t="n">
        <f aca="false">INDEX('Master List'!$G$2:$G$2594,O1927)</f>
        <v>0</v>
      </c>
      <c r="N1927" s="4" t="str">
        <f aca="false">IF(K1927="","",A1927)</f>
        <v/>
      </c>
      <c r="O1927" s="4" t="n">
        <v>1000</v>
      </c>
      <c r="P1927" s="4" t="n">
        <f aca="false">IF(A1927=A1926,P1926+1-M1926,0)</f>
        <v>8</v>
      </c>
    </row>
    <row r="1928" customFormat="false" ht="15" hidden="false" customHeight="false" outlineLevel="0" collapsed="false">
      <c r="A1928" s="30" t="s">
        <v>4189</v>
      </c>
      <c r="B1928" s="30" t="s">
        <v>53</v>
      </c>
      <c r="C1928" s="30" t="s">
        <v>103</v>
      </c>
      <c r="D1928" s="30" t="s">
        <v>143</v>
      </c>
      <c r="E1928" s="4" t="n">
        <v>1</v>
      </c>
      <c r="F1928" s="4" t="s">
        <v>144</v>
      </c>
      <c r="G1928" s="7" t="s">
        <v>142</v>
      </c>
      <c r="H1928" s="4" t="n">
        <v>1941</v>
      </c>
      <c r="I1928" s="4" t="s">
        <v>143</v>
      </c>
      <c r="J1928" s="25" t="str">
        <f aca="false">IF(M1928=1,"✓","")</f>
        <v/>
      </c>
      <c r="K1928" s="4" t="str">
        <f aca="false">IF(AND(M1928=0,P1928=0),"▶ NEXT","")</f>
        <v>▶ NEXT</v>
      </c>
      <c r="L1928" s="4" t="n">
        <f aca="false">INDEX('Master List'!$F$2:$F$2594,O1928)</f>
        <v>13</v>
      </c>
      <c r="M1928" s="4" t="n">
        <f aca="false">INDEX('Master List'!$G$2:$G$2594,O1928)</f>
        <v>0</v>
      </c>
      <c r="N1928" s="4" t="str">
        <f aca="false">IF(K1928="","",A1928)</f>
        <v>N160</v>
      </c>
      <c r="O1928" s="4" t="n">
        <v>462</v>
      </c>
      <c r="P1928" s="4" t="n">
        <f aca="false">IF(A1928=A1927,P1927+1-M1927,0)</f>
        <v>0</v>
      </c>
    </row>
    <row r="1929" customFormat="false" ht="15" hidden="false" customHeight="false" outlineLevel="0" collapsed="false">
      <c r="A1929" s="30" t="s">
        <v>4189</v>
      </c>
      <c r="B1929" s="30" t="s">
        <v>53</v>
      </c>
      <c r="C1929" s="30" t="s">
        <v>103</v>
      </c>
      <c r="D1929" s="30" t="s">
        <v>143</v>
      </c>
      <c r="E1929" s="4" t="n">
        <v>2</v>
      </c>
      <c r="F1929" s="4" t="s">
        <v>144</v>
      </c>
      <c r="G1929" s="7" t="s">
        <v>308</v>
      </c>
      <c r="H1929" s="4" t="n">
        <v>1958</v>
      </c>
      <c r="I1929" s="4" t="s">
        <v>143</v>
      </c>
      <c r="J1929" s="25" t="str">
        <f aca="false">IF(M1929=1,"✓","")</f>
        <v/>
      </c>
      <c r="K1929" s="4" t="str">
        <f aca="false">IF(AND(M1929=0,P1929=0),"▶ NEXT","")</f>
        <v/>
      </c>
      <c r="L1929" s="4" t="n">
        <f aca="false">INDEX('Master List'!$F$2:$F$2594,O1929)</f>
        <v>4</v>
      </c>
      <c r="M1929" s="4" t="n">
        <f aca="false">INDEX('Master List'!$G$2:$G$2594,O1929)</f>
        <v>0</v>
      </c>
      <c r="N1929" s="4" t="str">
        <f aca="false">IF(K1929="","",A1929)</f>
        <v/>
      </c>
      <c r="O1929" s="4" t="n">
        <v>2344</v>
      </c>
      <c r="P1929" s="4" t="n">
        <f aca="false">IF(A1929=A1928,P1928+1-M1928,0)</f>
        <v>1</v>
      </c>
    </row>
    <row r="1930" customFormat="false" ht="15" hidden="false" customHeight="false" outlineLevel="0" collapsed="false">
      <c r="A1930" s="30" t="s">
        <v>4189</v>
      </c>
      <c r="B1930" s="30" t="s">
        <v>53</v>
      </c>
      <c r="C1930" s="30" t="s">
        <v>103</v>
      </c>
      <c r="D1930" s="30" t="s">
        <v>143</v>
      </c>
      <c r="E1930" s="4" t="n">
        <v>3</v>
      </c>
      <c r="F1930" s="4" t="s">
        <v>213</v>
      </c>
      <c r="G1930" s="4" t="s">
        <v>918</v>
      </c>
      <c r="H1930" s="4" t="n">
        <v>1942</v>
      </c>
      <c r="I1930" s="4" t="s">
        <v>143</v>
      </c>
      <c r="J1930" s="25" t="str">
        <f aca="false">IF(M1930=1,"✓","")</f>
        <v/>
      </c>
      <c r="K1930" s="4" t="str">
        <f aca="false">IF(AND(M1930=0,P1930=0),"▶ NEXT","")</f>
        <v/>
      </c>
      <c r="L1930" s="4" t="n">
        <f aca="false">INDEX('Master List'!$F$2:$F$2594,O1930)</f>
        <v>2</v>
      </c>
      <c r="M1930" s="4" t="n">
        <f aca="false">INDEX('Master List'!$G$2:$G$2594,O1930)</f>
        <v>0</v>
      </c>
      <c r="N1930" s="4" t="str">
        <f aca="false">IF(K1930="","",A1930)</f>
        <v/>
      </c>
      <c r="O1930" s="4" t="n">
        <v>1412</v>
      </c>
      <c r="P1930" s="4" t="n">
        <f aca="false">IF(A1930=A1929,P1929+1-M1929,0)</f>
        <v>2</v>
      </c>
    </row>
    <row r="1931" customFormat="false" ht="15" hidden="false" customHeight="false" outlineLevel="0" collapsed="false">
      <c r="A1931" s="30" t="s">
        <v>4189</v>
      </c>
      <c r="B1931" s="30" t="s">
        <v>53</v>
      </c>
      <c r="C1931" s="30" t="s">
        <v>103</v>
      </c>
      <c r="D1931" s="30" t="s">
        <v>143</v>
      </c>
      <c r="E1931" s="4" t="n">
        <v>4</v>
      </c>
      <c r="F1931" s="4" t="s">
        <v>213</v>
      </c>
      <c r="G1931" s="4" t="s">
        <v>572</v>
      </c>
      <c r="H1931" s="4" t="n">
        <v>1947</v>
      </c>
      <c r="I1931" s="4" t="s">
        <v>143</v>
      </c>
      <c r="J1931" s="25" t="str">
        <f aca="false">IF(M1931=1,"✓","")</f>
        <v/>
      </c>
      <c r="K1931" s="4" t="str">
        <f aca="false">IF(AND(M1931=0,P1931=0),"▶ NEXT","")</f>
        <v/>
      </c>
      <c r="L1931" s="4" t="n">
        <f aca="false">INDEX('Master List'!$F$2:$F$2594,O1931)</f>
        <v>3</v>
      </c>
      <c r="M1931" s="4" t="n">
        <f aca="false">INDEX('Master List'!$G$2:$G$2594,O1931)</f>
        <v>0</v>
      </c>
      <c r="N1931" s="4" t="str">
        <f aca="false">IF(K1931="","",A1931)</f>
        <v/>
      </c>
      <c r="O1931" s="4" t="n">
        <v>1280</v>
      </c>
      <c r="P1931" s="4" t="n">
        <f aca="false">IF(A1931=A1930,P1930+1-M1930,0)</f>
        <v>3</v>
      </c>
    </row>
    <row r="1932" customFormat="false" ht="15" hidden="false" customHeight="false" outlineLevel="0" collapsed="false">
      <c r="A1932" s="30" t="s">
        <v>4189</v>
      </c>
      <c r="B1932" s="30" t="s">
        <v>53</v>
      </c>
      <c r="C1932" s="30" t="s">
        <v>103</v>
      </c>
      <c r="D1932" s="30" t="s">
        <v>143</v>
      </c>
      <c r="E1932" s="4" t="n">
        <v>5</v>
      </c>
      <c r="F1932" s="4" t="s">
        <v>213</v>
      </c>
      <c r="G1932" s="4" t="s">
        <v>1884</v>
      </c>
      <c r="H1932" s="4" t="n">
        <v>1951</v>
      </c>
      <c r="I1932" s="4" t="s">
        <v>143</v>
      </c>
      <c r="J1932" s="25" t="str">
        <f aca="false">IF(M1932=1,"✓","")</f>
        <v/>
      </c>
      <c r="K1932" s="4" t="str">
        <f aca="false">IF(AND(M1932=0,P1932=0),"▶ NEXT","")</f>
        <v/>
      </c>
      <c r="L1932" s="4" t="n">
        <f aca="false">INDEX('Master List'!$F$2:$F$2594,O1932)</f>
        <v>1</v>
      </c>
      <c r="M1932" s="4" t="n">
        <f aca="false">INDEX('Master List'!$G$2:$G$2594,O1932)</f>
        <v>0</v>
      </c>
      <c r="N1932" s="4" t="str">
        <f aca="false">IF(K1932="","",A1932)</f>
        <v/>
      </c>
      <c r="O1932" s="4" t="n">
        <v>1695</v>
      </c>
      <c r="P1932" s="4" t="n">
        <f aca="false">IF(A1932=A1931,P1931+1-M1931,0)</f>
        <v>4</v>
      </c>
    </row>
    <row r="1933" customFormat="false" ht="15" hidden="false" customHeight="false" outlineLevel="0" collapsed="false">
      <c r="A1933" s="30" t="s">
        <v>4189</v>
      </c>
      <c r="B1933" s="30" t="s">
        <v>53</v>
      </c>
      <c r="C1933" s="30" t="s">
        <v>103</v>
      </c>
      <c r="D1933" s="30" t="s">
        <v>143</v>
      </c>
      <c r="E1933" s="4" t="n">
        <v>6</v>
      </c>
      <c r="F1933" s="4" t="s">
        <v>213</v>
      </c>
      <c r="G1933" s="4" t="s">
        <v>1925</v>
      </c>
      <c r="H1933" s="4" t="n">
        <v>1955</v>
      </c>
      <c r="I1933" s="4" t="s">
        <v>143</v>
      </c>
      <c r="J1933" s="25" t="str">
        <f aca="false">IF(M1933=1,"✓","")</f>
        <v/>
      </c>
      <c r="K1933" s="4" t="str">
        <f aca="false">IF(AND(M1933=0,P1933=0),"▶ NEXT","")</f>
        <v/>
      </c>
      <c r="L1933" s="4" t="n">
        <f aca="false">INDEX('Master List'!$F$2:$F$2594,O1933)</f>
        <v>1</v>
      </c>
      <c r="M1933" s="4" t="n">
        <f aca="false">INDEX('Master List'!$G$2:$G$2594,O1933)</f>
        <v>0</v>
      </c>
      <c r="N1933" s="4" t="str">
        <f aca="false">IF(K1933="","",A1933)</f>
        <v/>
      </c>
      <c r="O1933" s="4" t="n">
        <v>1547</v>
      </c>
      <c r="P1933" s="4" t="n">
        <f aca="false">IF(A1933=A1932,P1932+1-M1932,0)</f>
        <v>5</v>
      </c>
    </row>
    <row r="1934" customFormat="false" ht="15" hidden="false" customHeight="false" outlineLevel="0" collapsed="false">
      <c r="A1934" s="30" t="s">
        <v>4189</v>
      </c>
      <c r="B1934" s="30" t="s">
        <v>53</v>
      </c>
      <c r="C1934" s="30" t="s">
        <v>103</v>
      </c>
      <c r="D1934" s="30" t="s">
        <v>143</v>
      </c>
      <c r="E1934" s="4" t="n">
        <v>7</v>
      </c>
      <c r="F1934" s="4" t="s">
        <v>213</v>
      </c>
      <c r="G1934" s="4" t="s">
        <v>2012</v>
      </c>
      <c r="H1934" s="4" t="n">
        <v>1962</v>
      </c>
      <c r="I1934" s="4" t="s">
        <v>143</v>
      </c>
      <c r="J1934" s="25" t="str">
        <f aca="false">IF(M1934=1,"✓","")</f>
        <v>✓</v>
      </c>
      <c r="K1934" s="4" t="str">
        <f aca="false">IF(AND(M1934=0,P1934=0),"▶ NEXT","")</f>
        <v/>
      </c>
      <c r="L1934" s="4" t="n">
        <f aca="false">INDEX('Master List'!$F$2:$F$2594,O1934)</f>
        <v>1</v>
      </c>
      <c r="M1934" s="4" t="n">
        <f aca="false">INDEX('Master List'!$G$2:$G$2594,O1934)</f>
        <v>1</v>
      </c>
      <c r="N1934" s="4" t="str">
        <f aca="false">IF(K1934="","",A1934)</f>
        <v/>
      </c>
      <c r="O1934" s="4" t="n">
        <v>2364</v>
      </c>
      <c r="P1934" s="4" t="n">
        <f aca="false">IF(A1934=A1933,P1933+1-M1933,0)</f>
        <v>6</v>
      </c>
    </row>
    <row r="1935" customFormat="false" ht="15" hidden="false" customHeight="false" outlineLevel="0" collapsed="false">
      <c r="A1935" s="30" t="s">
        <v>4189</v>
      </c>
      <c r="B1935" s="30" t="s">
        <v>53</v>
      </c>
      <c r="C1935" s="30" t="s">
        <v>103</v>
      </c>
      <c r="D1935" s="30" t="s">
        <v>143</v>
      </c>
      <c r="E1935" s="4" t="n">
        <v>8</v>
      </c>
      <c r="F1935" s="4" t="s">
        <v>213</v>
      </c>
      <c r="G1935" s="4" t="s">
        <v>2068</v>
      </c>
      <c r="H1935" s="4" t="n">
        <v>1965</v>
      </c>
      <c r="I1935" s="4" t="s">
        <v>143</v>
      </c>
      <c r="J1935" s="25" t="str">
        <f aca="false">IF(M1935=1,"✓","")</f>
        <v/>
      </c>
      <c r="K1935" s="4" t="str">
        <f aca="false">IF(AND(M1935=0,P1935=0),"▶ NEXT","")</f>
        <v/>
      </c>
      <c r="L1935" s="4" t="n">
        <f aca="false">INDEX('Master List'!$F$2:$F$2594,O1935)</f>
        <v>1</v>
      </c>
      <c r="M1935" s="4" t="n">
        <f aca="false">INDEX('Master List'!$G$2:$G$2594,O1935)</f>
        <v>0</v>
      </c>
      <c r="N1935" s="4" t="str">
        <f aca="false">IF(K1935="","",A1935)</f>
        <v/>
      </c>
      <c r="O1935" s="4" t="n">
        <v>448</v>
      </c>
      <c r="P1935" s="4" t="n">
        <f aca="false">IF(A1935=A1934,P1934+1-M1934,0)</f>
        <v>6</v>
      </c>
    </row>
    <row r="1936" customFormat="false" ht="15" hidden="false" customHeight="false" outlineLevel="0" collapsed="false">
      <c r="A1936" s="30" t="s">
        <v>4189</v>
      </c>
      <c r="B1936" s="30" t="s">
        <v>53</v>
      </c>
      <c r="C1936" s="30" t="s">
        <v>103</v>
      </c>
      <c r="D1936" s="30" t="s">
        <v>143</v>
      </c>
      <c r="E1936" s="4" t="n">
        <v>9</v>
      </c>
      <c r="F1936" s="4" t="s">
        <v>213</v>
      </c>
      <c r="G1936" s="4" t="s">
        <v>674</v>
      </c>
      <c r="H1936" s="4" t="n">
        <v>1973</v>
      </c>
      <c r="I1936" s="4" t="s">
        <v>143</v>
      </c>
      <c r="J1936" s="25" t="str">
        <f aca="false">IF(M1936=1,"✓","")</f>
        <v>✓</v>
      </c>
      <c r="K1936" s="4" t="str">
        <f aca="false">IF(AND(M1936=0,P1936=0),"▶ NEXT","")</f>
        <v/>
      </c>
      <c r="L1936" s="4" t="n">
        <f aca="false">INDEX('Master List'!$F$2:$F$2594,O1936)</f>
        <v>3</v>
      </c>
      <c r="M1936" s="4" t="n">
        <f aca="false">INDEX('Master List'!$G$2:$G$2594,O1936)</f>
        <v>1</v>
      </c>
      <c r="N1936" s="4" t="str">
        <f aca="false">IF(K1936="","",A1936)</f>
        <v/>
      </c>
      <c r="O1936" s="4" t="n">
        <v>768</v>
      </c>
      <c r="P1936" s="4" t="n">
        <f aca="false">IF(A1936=A1935,P1935+1-M1935,0)</f>
        <v>7</v>
      </c>
    </row>
    <row r="1937" customFormat="false" ht="15" hidden="false" customHeight="false" outlineLevel="0" collapsed="false">
      <c r="A1937" s="30" t="s">
        <v>4189</v>
      </c>
      <c r="B1937" s="30" t="s">
        <v>53</v>
      </c>
      <c r="C1937" s="30" t="s">
        <v>103</v>
      </c>
      <c r="D1937" s="30" t="s">
        <v>143</v>
      </c>
      <c r="E1937" s="4" t="n">
        <v>10</v>
      </c>
      <c r="F1937" s="4" t="s">
        <v>1327</v>
      </c>
      <c r="G1937" s="4" t="s">
        <v>3847</v>
      </c>
      <c r="H1937" s="4" t="n">
        <v>2018</v>
      </c>
      <c r="I1937" s="4" t="s">
        <v>143</v>
      </c>
      <c r="J1937" s="25" t="str">
        <f aca="false">IF(M1937=1,"✓","")</f>
        <v/>
      </c>
      <c r="K1937" s="4" t="str">
        <f aca="false">IF(AND(M1937=0,P1937=0),"▶ NEXT","")</f>
        <v/>
      </c>
      <c r="L1937" s="4" t="n">
        <f aca="false">INDEX('Master List'!$F$2:$F$2594,O1937)</f>
        <v>1</v>
      </c>
      <c r="M1937" s="4" t="n">
        <f aca="false">INDEX('Master List'!$G$2:$G$2594,O1937)</f>
        <v>0</v>
      </c>
      <c r="N1937" s="4" t="str">
        <f aca="false">IF(K1937="","",A1937)</f>
        <v/>
      </c>
      <c r="O1937" s="4" t="n">
        <v>1696</v>
      </c>
      <c r="P1937" s="4" t="n">
        <f aca="false">IF(A1937=A1936,P1936+1-M1936,0)</f>
        <v>7</v>
      </c>
    </row>
    <row r="1938" customFormat="false" ht="15" hidden="false" customHeight="false" outlineLevel="0" collapsed="false">
      <c r="A1938" s="30" t="s">
        <v>4189</v>
      </c>
      <c r="B1938" s="30" t="s">
        <v>53</v>
      </c>
      <c r="C1938" s="30" t="s">
        <v>103</v>
      </c>
      <c r="D1938" s="30" t="s">
        <v>143</v>
      </c>
      <c r="E1938" s="4" t="n">
        <v>11</v>
      </c>
      <c r="F1938" s="4" t="s">
        <v>1327</v>
      </c>
      <c r="G1938" s="4" t="s">
        <v>3350</v>
      </c>
      <c r="H1938" s="4" t="n">
        <v>1948</v>
      </c>
      <c r="I1938" s="4" t="s">
        <v>143</v>
      </c>
      <c r="J1938" s="25" t="str">
        <f aca="false">IF(M1938=1,"✓","")</f>
        <v/>
      </c>
      <c r="K1938" s="4" t="str">
        <f aca="false">IF(AND(M1938=0,P1938=0),"▶ NEXT","")</f>
        <v/>
      </c>
      <c r="L1938" s="4" t="n">
        <f aca="false">INDEX('Master List'!$F$2:$F$2594,O1938)</f>
        <v>1</v>
      </c>
      <c r="M1938" s="4" t="n">
        <f aca="false">INDEX('Master List'!$G$2:$G$2594,O1938)</f>
        <v>0</v>
      </c>
      <c r="N1938" s="4" t="str">
        <f aca="false">IF(K1938="","",A1938)</f>
        <v/>
      </c>
      <c r="O1938" s="4" t="n">
        <v>1402</v>
      </c>
      <c r="P1938" s="4" t="n">
        <f aca="false">IF(A1938=A1937,P1937+1-M1937,0)</f>
        <v>8</v>
      </c>
    </row>
    <row r="1939" customFormat="false" ht="15" hidden="false" customHeight="false" outlineLevel="0" collapsed="false">
      <c r="A1939" s="30" t="s">
        <v>4190</v>
      </c>
      <c r="B1939" s="30" t="s">
        <v>53</v>
      </c>
      <c r="C1939" s="30" t="s">
        <v>103</v>
      </c>
      <c r="D1939" s="30" t="s">
        <v>4191</v>
      </c>
      <c r="E1939" s="4" t="n">
        <v>1</v>
      </c>
      <c r="F1939" s="4" t="s">
        <v>144</v>
      </c>
      <c r="G1939" s="7" t="s">
        <v>656</v>
      </c>
      <c r="H1939" s="4" t="n">
        <v>1932</v>
      </c>
      <c r="I1939" s="4" t="s">
        <v>348</v>
      </c>
      <c r="J1939" s="25" t="str">
        <f aca="false">IF(M1939=1,"✓","")</f>
        <v/>
      </c>
      <c r="K1939" s="4" t="str">
        <f aca="false">IF(AND(M1939=0,P1939=0),"▶ NEXT","")</f>
        <v>▶ NEXT</v>
      </c>
      <c r="L1939" s="4" t="n">
        <f aca="false">INDEX('Master List'!$F$2:$F$2594,O1939)</f>
        <v>2</v>
      </c>
      <c r="M1939" s="4" t="n">
        <f aca="false">INDEX('Master List'!$G$2:$G$2594,O1939)</f>
        <v>0</v>
      </c>
      <c r="N1939" s="4" t="str">
        <f aca="false">IF(K1939="","",A1939)</f>
        <v>N161</v>
      </c>
      <c r="O1939" s="4" t="n">
        <v>2377</v>
      </c>
      <c r="P1939" s="4" t="n">
        <f aca="false">IF(A1939=A1938,P1938+1-M1938,0)</f>
        <v>0</v>
      </c>
    </row>
    <row r="1940" customFormat="false" ht="15" hidden="false" customHeight="false" outlineLevel="0" collapsed="false">
      <c r="A1940" s="30" t="s">
        <v>4190</v>
      </c>
      <c r="B1940" s="30" t="s">
        <v>53</v>
      </c>
      <c r="C1940" s="30" t="s">
        <v>103</v>
      </c>
      <c r="D1940" s="30" t="s">
        <v>4191</v>
      </c>
      <c r="E1940" s="4" t="n">
        <v>2</v>
      </c>
      <c r="F1940" s="4" t="s">
        <v>144</v>
      </c>
      <c r="G1940" s="7" t="s">
        <v>249</v>
      </c>
      <c r="H1940" s="4" t="n">
        <v>1941</v>
      </c>
      <c r="I1940" s="4" t="s">
        <v>250</v>
      </c>
      <c r="J1940" s="25" t="str">
        <f aca="false">IF(M1940=1,"✓","")</f>
        <v/>
      </c>
      <c r="K1940" s="4" t="str">
        <f aca="false">IF(AND(M1940=0,P1940=0),"▶ NEXT","")</f>
        <v/>
      </c>
      <c r="L1940" s="4" t="n">
        <f aca="false">INDEX('Master List'!$F$2:$F$2594,O1940)</f>
        <v>5</v>
      </c>
      <c r="M1940" s="4" t="n">
        <f aca="false">INDEX('Master List'!$G$2:$G$2594,O1940)</f>
        <v>0</v>
      </c>
      <c r="N1940" s="4" t="str">
        <f aca="false">IF(K1940="","",A1940)</f>
        <v/>
      </c>
      <c r="O1940" s="4" t="n">
        <v>2195</v>
      </c>
      <c r="P1940" s="4" t="n">
        <f aca="false">IF(A1940=A1939,P1939+1-M1939,0)</f>
        <v>1</v>
      </c>
    </row>
    <row r="1941" customFormat="false" ht="15" hidden="false" customHeight="false" outlineLevel="0" collapsed="false">
      <c r="A1941" s="30" t="s">
        <v>4190</v>
      </c>
      <c r="B1941" s="30" t="s">
        <v>53</v>
      </c>
      <c r="C1941" s="30" t="s">
        <v>103</v>
      </c>
      <c r="D1941" s="30" t="s">
        <v>4191</v>
      </c>
      <c r="E1941" s="4" t="n">
        <v>3</v>
      </c>
      <c r="F1941" s="4" t="s">
        <v>213</v>
      </c>
      <c r="G1941" s="4" t="s">
        <v>347</v>
      </c>
      <c r="H1941" s="4" t="n">
        <v>1940</v>
      </c>
      <c r="I1941" s="4" t="s">
        <v>348</v>
      </c>
      <c r="J1941" s="25" t="str">
        <f aca="false">IF(M1941=1,"✓","")</f>
        <v/>
      </c>
      <c r="K1941" s="4" t="str">
        <f aca="false">IF(AND(M1941=0,P1941=0),"▶ NEXT","")</f>
        <v/>
      </c>
      <c r="L1941" s="4" t="n">
        <f aca="false">INDEX('Master List'!$F$2:$F$2594,O1941)</f>
        <v>4</v>
      </c>
      <c r="M1941" s="4" t="n">
        <f aca="false">INDEX('Master List'!$G$2:$G$2594,O1941)</f>
        <v>0</v>
      </c>
      <c r="N1941" s="4" t="str">
        <f aca="false">IF(K1941="","",A1941)</f>
        <v/>
      </c>
      <c r="O1941" s="4" t="n">
        <v>2055</v>
      </c>
      <c r="P1941" s="4" t="n">
        <f aca="false">IF(A1941=A1940,P1940+1-M1940,0)</f>
        <v>2</v>
      </c>
    </row>
    <row r="1942" customFormat="false" ht="15" hidden="false" customHeight="false" outlineLevel="0" collapsed="false">
      <c r="A1942" s="30" t="s">
        <v>4190</v>
      </c>
      <c r="B1942" s="30" t="s">
        <v>53</v>
      </c>
      <c r="C1942" s="30" t="s">
        <v>103</v>
      </c>
      <c r="D1942" s="30" t="s">
        <v>4191</v>
      </c>
      <c r="E1942" s="4" t="n">
        <v>4</v>
      </c>
      <c r="F1942" s="4" t="s">
        <v>213</v>
      </c>
      <c r="G1942" s="4" t="s">
        <v>920</v>
      </c>
      <c r="H1942" s="4" t="n">
        <v>1942</v>
      </c>
      <c r="I1942" s="4" t="s">
        <v>348</v>
      </c>
      <c r="J1942" s="25" t="str">
        <f aca="false">IF(M1942=1,"✓","")</f>
        <v/>
      </c>
      <c r="K1942" s="4" t="str">
        <f aca="false">IF(AND(M1942=0,P1942=0),"▶ NEXT","")</f>
        <v/>
      </c>
      <c r="L1942" s="4" t="n">
        <f aca="false">INDEX('Master List'!$F$2:$F$2594,O1942)</f>
        <v>2</v>
      </c>
      <c r="M1942" s="4" t="n">
        <f aca="false">INDEX('Master List'!$G$2:$G$2594,O1942)</f>
        <v>0</v>
      </c>
      <c r="N1942" s="4" t="str">
        <f aca="false">IF(K1942="","",A1942)</f>
        <v/>
      </c>
      <c r="O1942" s="4" t="n">
        <v>2315</v>
      </c>
      <c r="P1942" s="4" t="n">
        <f aca="false">IF(A1942=A1941,P1941+1-M1941,0)</f>
        <v>3</v>
      </c>
    </row>
    <row r="1943" customFormat="false" ht="15" hidden="false" customHeight="false" outlineLevel="0" collapsed="false">
      <c r="A1943" s="30" t="s">
        <v>4190</v>
      </c>
      <c r="B1943" s="30" t="s">
        <v>53</v>
      </c>
      <c r="C1943" s="30" t="s">
        <v>103</v>
      </c>
      <c r="D1943" s="30" t="s">
        <v>4191</v>
      </c>
      <c r="E1943" s="4" t="n">
        <v>5</v>
      </c>
      <c r="F1943" s="4" t="s">
        <v>213</v>
      </c>
      <c r="G1943" s="4" t="s">
        <v>1783</v>
      </c>
      <c r="H1943" s="4" t="n">
        <v>1939</v>
      </c>
      <c r="I1943" s="4" t="s">
        <v>348</v>
      </c>
      <c r="J1943" s="25" t="str">
        <f aca="false">IF(M1943=1,"✓","")</f>
        <v/>
      </c>
      <c r="K1943" s="4" t="str">
        <f aca="false">IF(AND(M1943=0,P1943=0),"▶ NEXT","")</f>
        <v/>
      </c>
      <c r="L1943" s="4" t="n">
        <f aca="false">INDEX('Master List'!$F$2:$F$2594,O1943)</f>
        <v>1</v>
      </c>
      <c r="M1943" s="4" t="n">
        <f aca="false">INDEX('Master List'!$G$2:$G$2594,O1943)</f>
        <v>0</v>
      </c>
      <c r="N1943" s="4" t="str">
        <f aca="false">IF(K1943="","",A1943)</f>
        <v/>
      </c>
      <c r="O1943" s="4" t="n">
        <v>1618</v>
      </c>
      <c r="P1943" s="4" t="n">
        <f aca="false">IF(A1943=A1942,P1942+1-M1942,0)</f>
        <v>4</v>
      </c>
    </row>
    <row r="1944" customFormat="false" ht="15" hidden="false" customHeight="false" outlineLevel="0" collapsed="false">
      <c r="A1944" s="30" t="s">
        <v>4190</v>
      </c>
      <c r="B1944" s="30" t="s">
        <v>53</v>
      </c>
      <c r="C1944" s="30" t="s">
        <v>103</v>
      </c>
      <c r="D1944" s="30" t="s">
        <v>4191</v>
      </c>
      <c r="E1944" s="4" t="n">
        <v>6</v>
      </c>
      <c r="F1944" s="4" t="s">
        <v>213</v>
      </c>
      <c r="G1944" s="4" t="s">
        <v>1809</v>
      </c>
      <c r="H1944" s="4" t="n">
        <v>1943</v>
      </c>
      <c r="I1944" s="4" t="s">
        <v>348</v>
      </c>
      <c r="J1944" s="25" t="str">
        <f aca="false">IF(M1944=1,"✓","")</f>
        <v/>
      </c>
      <c r="K1944" s="4" t="str">
        <f aca="false">IF(AND(M1944=0,P1944=0),"▶ NEXT","")</f>
        <v/>
      </c>
      <c r="L1944" s="4" t="n">
        <f aca="false">INDEX('Master List'!$F$2:$F$2594,O1944)</f>
        <v>1</v>
      </c>
      <c r="M1944" s="4" t="n">
        <f aca="false">INDEX('Master List'!$G$2:$G$2594,O1944)</f>
        <v>0</v>
      </c>
      <c r="N1944" s="4" t="str">
        <f aca="false">IF(K1944="","",A1944)</f>
        <v/>
      </c>
      <c r="O1944" s="4" t="n">
        <v>1013</v>
      </c>
      <c r="P1944" s="4" t="n">
        <f aca="false">IF(A1944=A1943,P1943+1-M1943,0)</f>
        <v>5</v>
      </c>
    </row>
    <row r="1945" customFormat="false" ht="15" hidden="false" customHeight="false" outlineLevel="0" collapsed="false">
      <c r="A1945" s="30" t="s">
        <v>4190</v>
      </c>
      <c r="B1945" s="30" t="s">
        <v>53</v>
      </c>
      <c r="C1945" s="30" t="s">
        <v>103</v>
      </c>
      <c r="D1945" s="30" t="s">
        <v>4191</v>
      </c>
      <c r="E1945" s="4" t="n">
        <v>7</v>
      </c>
      <c r="F1945" s="4" t="s">
        <v>213</v>
      </c>
      <c r="G1945" s="4" t="s">
        <v>1789</v>
      </c>
      <c r="H1945" s="4" t="n">
        <v>1940</v>
      </c>
      <c r="I1945" s="4" t="s">
        <v>250</v>
      </c>
      <c r="J1945" s="25" t="str">
        <f aca="false">IF(M1945=1,"✓","")</f>
        <v/>
      </c>
      <c r="K1945" s="4" t="str">
        <f aca="false">IF(AND(M1945=0,P1945=0),"▶ NEXT","")</f>
        <v/>
      </c>
      <c r="L1945" s="4" t="n">
        <f aca="false">INDEX('Master List'!$F$2:$F$2594,O1945)</f>
        <v>1</v>
      </c>
      <c r="M1945" s="4" t="n">
        <f aca="false">INDEX('Master List'!$G$2:$G$2594,O1945)</f>
        <v>0</v>
      </c>
      <c r="N1945" s="4" t="str">
        <f aca="false">IF(K1945="","",A1945)</f>
        <v/>
      </c>
      <c r="O1945" s="4" t="n">
        <v>955</v>
      </c>
      <c r="P1945" s="4" t="n">
        <f aca="false">IF(A1945=A1944,P1944+1-M1944,0)</f>
        <v>6</v>
      </c>
    </row>
    <row r="1946" customFormat="false" ht="15" hidden="false" customHeight="false" outlineLevel="0" collapsed="false">
      <c r="A1946" s="30" t="s">
        <v>4190</v>
      </c>
      <c r="B1946" s="30" t="s">
        <v>53</v>
      </c>
      <c r="C1946" s="30" t="s">
        <v>103</v>
      </c>
      <c r="D1946" s="30" t="s">
        <v>4191</v>
      </c>
      <c r="E1946" s="4" t="n">
        <v>8</v>
      </c>
      <c r="F1946" s="4" t="s">
        <v>213</v>
      </c>
      <c r="G1946" s="4" t="s">
        <v>431</v>
      </c>
      <c r="H1946" s="4" t="n">
        <v>1941</v>
      </c>
      <c r="I1946" s="4" t="s">
        <v>250</v>
      </c>
      <c r="J1946" s="25" t="str">
        <f aca="false">IF(M1946=1,"✓","")</f>
        <v/>
      </c>
      <c r="K1946" s="4" t="str">
        <f aca="false">IF(AND(M1946=0,P1946=0),"▶ NEXT","")</f>
        <v/>
      </c>
      <c r="L1946" s="4" t="n">
        <f aca="false">INDEX('Master List'!$F$2:$F$2594,O1946)</f>
        <v>4</v>
      </c>
      <c r="M1946" s="4" t="n">
        <f aca="false">INDEX('Master List'!$G$2:$G$2594,O1946)</f>
        <v>0</v>
      </c>
      <c r="N1946" s="4" t="str">
        <f aca="false">IF(K1946="","",A1946)</f>
        <v/>
      </c>
      <c r="O1946" s="4" t="n">
        <v>1279</v>
      </c>
      <c r="P1946" s="4" t="n">
        <f aca="false">IF(A1946=A1945,P1945+1-M1945,0)</f>
        <v>7</v>
      </c>
    </row>
    <row r="1947" customFormat="false" ht="15" hidden="false" customHeight="false" outlineLevel="0" collapsed="false">
      <c r="A1947" s="30" t="s">
        <v>4190</v>
      </c>
      <c r="B1947" s="30" t="s">
        <v>53</v>
      </c>
      <c r="C1947" s="30" t="s">
        <v>103</v>
      </c>
      <c r="D1947" s="30" t="s">
        <v>4191</v>
      </c>
      <c r="E1947" s="4" t="n">
        <v>9</v>
      </c>
      <c r="F1947" s="4" t="s">
        <v>213</v>
      </c>
      <c r="G1947" s="4" t="s">
        <v>919</v>
      </c>
      <c r="H1947" s="4" t="n">
        <v>1942</v>
      </c>
      <c r="I1947" s="4" t="s">
        <v>250</v>
      </c>
      <c r="J1947" s="25" t="str">
        <f aca="false">IF(M1947=1,"✓","")</f>
        <v/>
      </c>
      <c r="K1947" s="4" t="str">
        <f aca="false">IF(AND(M1947=0,P1947=0),"▶ NEXT","")</f>
        <v/>
      </c>
      <c r="L1947" s="4" t="n">
        <f aca="false">INDEX('Master List'!$F$2:$F$2594,O1947)</f>
        <v>2</v>
      </c>
      <c r="M1947" s="4" t="n">
        <f aca="false">INDEX('Master List'!$G$2:$G$2594,O1947)</f>
        <v>0</v>
      </c>
      <c r="N1947" s="4" t="str">
        <f aca="false">IF(K1947="","",A1947)</f>
        <v/>
      </c>
      <c r="O1947" s="4" t="n">
        <v>1709</v>
      </c>
      <c r="P1947" s="4" t="n">
        <f aca="false">IF(A1947=A1946,P1946+1-M1946,0)</f>
        <v>8</v>
      </c>
    </row>
    <row r="1948" customFormat="false" ht="15" hidden="false" customHeight="false" outlineLevel="0" collapsed="false">
      <c r="A1948" s="30" t="s">
        <v>4190</v>
      </c>
      <c r="B1948" s="30" t="s">
        <v>53</v>
      </c>
      <c r="C1948" s="30" t="s">
        <v>103</v>
      </c>
      <c r="D1948" s="30" t="s">
        <v>4191</v>
      </c>
      <c r="E1948" s="4" t="n">
        <v>10</v>
      </c>
      <c r="F1948" s="4" t="s">
        <v>213</v>
      </c>
      <c r="G1948" s="4" t="s">
        <v>921</v>
      </c>
      <c r="H1948" s="4" t="n">
        <v>1943</v>
      </c>
      <c r="I1948" s="4" t="s">
        <v>250</v>
      </c>
      <c r="J1948" s="25" t="str">
        <f aca="false">IF(M1948=1,"✓","")</f>
        <v/>
      </c>
      <c r="K1948" s="4" t="str">
        <f aca="false">IF(AND(M1948=0,P1948=0),"▶ NEXT","")</f>
        <v/>
      </c>
      <c r="L1948" s="4" t="n">
        <f aca="false">INDEX('Master List'!$F$2:$F$2594,O1948)</f>
        <v>2</v>
      </c>
      <c r="M1948" s="4" t="n">
        <f aca="false">INDEX('Master List'!$G$2:$G$2594,O1948)</f>
        <v>0</v>
      </c>
      <c r="N1948" s="4" t="str">
        <f aca="false">IF(K1948="","",A1948)</f>
        <v/>
      </c>
      <c r="O1948" s="4" t="n">
        <v>1510</v>
      </c>
      <c r="P1948" s="4" t="n">
        <f aca="false">IF(A1948=A1947,P1947+1-M1947,0)</f>
        <v>9</v>
      </c>
    </row>
    <row r="1949" customFormat="false" ht="15" hidden="false" customHeight="false" outlineLevel="0" collapsed="false">
      <c r="A1949" s="30" t="s">
        <v>4190</v>
      </c>
      <c r="B1949" s="30" t="s">
        <v>53</v>
      </c>
      <c r="C1949" s="30" t="s">
        <v>103</v>
      </c>
      <c r="D1949" s="30" t="s">
        <v>4191</v>
      </c>
      <c r="E1949" s="4" t="n">
        <v>11</v>
      </c>
      <c r="F1949" s="4" t="s">
        <v>213</v>
      </c>
      <c r="G1949" s="4" t="s">
        <v>1820</v>
      </c>
      <c r="H1949" s="4" t="n">
        <v>1944</v>
      </c>
      <c r="I1949" s="4" t="s">
        <v>250</v>
      </c>
      <c r="J1949" s="25" t="str">
        <f aca="false">IF(M1949=1,"✓","")</f>
        <v/>
      </c>
      <c r="K1949" s="4" t="str">
        <f aca="false">IF(AND(M1949=0,P1949=0),"▶ NEXT","")</f>
        <v/>
      </c>
      <c r="L1949" s="4" t="n">
        <f aca="false">INDEX('Master List'!$F$2:$F$2594,O1949)</f>
        <v>1</v>
      </c>
      <c r="M1949" s="4" t="n">
        <f aca="false">INDEX('Master List'!$G$2:$G$2594,O1949)</f>
        <v>0</v>
      </c>
      <c r="N1949" s="4" t="str">
        <f aca="false">IF(K1949="","",A1949)</f>
        <v/>
      </c>
      <c r="O1949" s="4" t="n">
        <v>977</v>
      </c>
      <c r="P1949" s="4" t="n">
        <f aca="false">IF(A1949=A1948,P1948+1-M1948,0)</f>
        <v>10</v>
      </c>
    </row>
    <row r="1950" customFormat="false" ht="15" hidden="false" customHeight="false" outlineLevel="0" collapsed="false">
      <c r="A1950" s="30" t="s">
        <v>4190</v>
      </c>
      <c r="B1950" s="30" t="s">
        <v>53</v>
      </c>
      <c r="C1950" s="30" t="s">
        <v>103</v>
      </c>
      <c r="D1950" s="30" t="s">
        <v>4191</v>
      </c>
      <c r="E1950" s="4" t="n">
        <v>12</v>
      </c>
      <c r="F1950" s="4" t="s">
        <v>1327</v>
      </c>
      <c r="G1950" s="4" t="s">
        <v>3351</v>
      </c>
      <c r="H1950" s="4" t="n">
        <v>1948</v>
      </c>
      <c r="I1950" s="4" t="s">
        <v>250</v>
      </c>
      <c r="J1950" s="25" t="str">
        <f aca="false">IF(M1950=1,"✓","")</f>
        <v/>
      </c>
      <c r="K1950" s="4" t="str">
        <f aca="false">IF(AND(M1950=0,P1950=0),"▶ NEXT","")</f>
        <v/>
      </c>
      <c r="L1950" s="4" t="n">
        <f aca="false">INDEX('Master List'!$F$2:$F$2594,O1950)</f>
        <v>1</v>
      </c>
      <c r="M1950" s="4" t="n">
        <f aca="false">INDEX('Master List'!$G$2:$G$2594,O1950)</f>
        <v>0</v>
      </c>
      <c r="N1950" s="4" t="str">
        <f aca="false">IF(K1950="","",A1950)</f>
        <v/>
      </c>
      <c r="O1950" s="4" t="n">
        <v>2407</v>
      </c>
      <c r="P1950" s="4" t="n">
        <f aca="false">IF(A1950=A1949,P1949+1-M1949,0)</f>
        <v>11</v>
      </c>
    </row>
    <row r="1951" customFormat="false" ht="15" hidden="false" customHeight="false" outlineLevel="0" collapsed="false">
      <c r="A1951" s="30" t="s">
        <v>4192</v>
      </c>
      <c r="B1951" s="30" t="s">
        <v>53</v>
      </c>
      <c r="C1951" s="30" t="s">
        <v>103</v>
      </c>
      <c r="D1951" s="30" t="s">
        <v>176</v>
      </c>
      <c r="E1951" s="4" t="n">
        <v>1</v>
      </c>
      <c r="F1951" s="4" t="s">
        <v>144</v>
      </c>
      <c r="G1951" s="7" t="s">
        <v>306</v>
      </c>
      <c r="H1951" s="4" t="n">
        <v>1946</v>
      </c>
      <c r="I1951" s="4" t="s">
        <v>176</v>
      </c>
      <c r="J1951" s="25" t="str">
        <f aca="false">IF(M1951=1,"✓","")</f>
        <v>✓</v>
      </c>
      <c r="K1951" s="4" t="str">
        <f aca="false">IF(AND(M1951=0,P1951=0),"▶ NEXT","")</f>
        <v/>
      </c>
      <c r="L1951" s="4" t="n">
        <f aca="false">INDEX('Master List'!$F$2:$F$2594,O1951)</f>
        <v>4</v>
      </c>
      <c r="M1951" s="4" t="n">
        <f aca="false">INDEX('Master List'!$G$2:$G$2594,O1951)</f>
        <v>1</v>
      </c>
      <c r="N1951" s="4" t="str">
        <f aca="false">IF(K1951="","",A1951)</f>
        <v/>
      </c>
      <c r="O1951" s="4" t="n">
        <v>1178</v>
      </c>
      <c r="P1951" s="4" t="n">
        <f aca="false">IF(A1951=A1950,P1950+1-M1950,0)</f>
        <v>0</v>
      </c>
    </row>
    <row r="1952" customFormat="false" ht="15" hidden="false" customHeight="false" outlineLevel="0" collapsed="false">
      <c r="A1952" s="30" t="s">
        <v>4192</v>
      </c>
      <c r="B1952" s="30" t="s">
        <v>53</v>
      </c>
      <c r="C1952" s="30" t="s">
        <v>103</v>
      </c>
      <c r="D1952" s="30" t="s">
        <v>176</v>
      </c>
      <c r="E1952" s="4" t="n">
        <v>2</v>
      </c>
      <c r="F1952" s="4" t="s">
        <v>144</v>
      </c>
      <c r="G1952" s="7" t="s">
        <v>303</v>
      </c>
      <c r="H1952" s="4" t="n">
        <v>1939</v>
      </c>
      <c r="I1952" s="4" t="s">
        <v>176</v>
      </c>
      <c r="J1952" s="25" t="str">
        <f aca="false">IF(M1952=1,"✓","")</f>
        <v/>
      </c>
      <c r="K1952" s="4" t="str">
        <f aca="false">IF(AND(M1952=0,P1952=0),"▶ NEXT","")</f>
        <v>▶ NEXT</v>
      </c>
      <c r="L1952" s="4" t="n">
        <f aca="false">INDEX('Master List'!$F$2:$F$2594,O1952)</f>
        <v>4</v>
      </c>
      <c r="M1952" s="4" t="n">
        <f aca="false">INDEX('Master List'!$G$2:$G$2594,O1952)</f>
        <v>0</v>
      </c>
      <c r="N1952" s="4" t="str">
        <f aca="false">IF(K1952="","",A1952)</f>
        <v>N162</v>
      </c>
      <c r="O1952" s="4" t="n">
        <v>1550</v>
      </c>
      <c r="P1952" s="4" t="n">
        <f aca="false">IF(A1952=A1951,P1951+1-M1951,0)</f>
        <v>0</v>
      </c>
    </row>
    <row r="1953" customFormat="false" ht="15" hidden="false" customHeight="false" outlineLevel="0" collapsed="false">
      <c r="A1953" s="30" t="s">
        <v>4192</v>
      </c>
      <c r="B1953" s="30" t="s">
        <v>53</v>
      </c>
      <c r="C1953" s="30" t="s">
        <v>103</v>
      </c>
      <c r="D1953" s="30" t="s">
        <v>176</v>
      </c>
      <c r="E1953" s="4" t="n">
        <v>3</v>
      </c>
      <c r="F1953" s="4" t="s">
        <v>213</v>
      </c>
      <c r="G1953" s="4" t="s">
        <v>175</v>
      </c>
      <c r="H1953" s="4" t="n">
        <v>1934</v>
      </c>
      <c r="I1953" s="4" t="s">
        <v>176</v>
      </c>
      <c r="J1953" s="25" t="str">
        <f aca="false">IF(M1953=1,"✓","")</f>
        <v/>
      </c>
      <c r="K1953" s="4" t="str">
        <f aca="false">IF(AND(M1953=0,P1953=0),"▶ NEXT","")</f>
        <v/>
      </c>
      <c r="L1953" s="4" t="n">
        <f aca="false">INDEX('Master List'!$F$2:$F$2594,O1953)</f>
        <v>7</v>
      </c>
      <c r="M1953" s="4" t="n">
        <f aca="false">INDEX('Master List'!$G$2:$G$2594,O1953)</f>
        <v>0</v>
      </c>
      <c r="N1953" s="4" t="str">
        <f aca="false">IF(K1953="","",A1953)</f>
        <v/>
      </c>
      <c r="O1953" s="4" t="n">
        <v>1176</v>
      </c>
      <c r="P1953" s="4" t="n">
        <f aca="false">IF(A1953=A1952,P1952+1-M1952,0)</f>
        <v>1</v>
      </c>
    </row>
    <row r="1954" customFormat="false" ht="15" hidden="false" customHeight="false" outlineLevel="0" collapsed="false">
      <c r="A1954" s="30" t="s">
        <v>4192</v>
      </c>
      <c r="B1954" s="30" t="s">
        <v>53</v>
      </c>
      <c r="C1954" s="30" t="s">
        <v>103</v>
      </c>
      <c r="D1954" s="30" t="s">
        <v>176</v>
      </c>
      <c r="E1954" s="4" t="n">
        <v>4</v>
      </c>
      <c r="F1954" s="4" t="s">
        <v>213</v>
      </c>
      <c r="G1954" s="4" t="s">
        <v>1762</v>
      </c>
      <c r="H1954" s="4" t="n">
        <v>1936</v>
      </c>
      <c r="I1954" s="4" t="s">
        <v>176</v>
      </c>
      <c r="J1954" s="25" t="str">
        <f aca="false">IF(M1954=1,"✓","")</f>
        <v/>
      </c>
      <c r="K1954" s="4" t="str">
        <f aca="false">IF(AND(M1954=0,P1954=0),"▶ NEXT","")</f>
        <v/>
      </c>
      <c r="L1954" s="4" t="n">
        <f aca="false">INDEX('Master List'!$F$2:$F$2594,O1954)</f>
        <v>1</v>
      </c>
      <c r="M1954" s="4" t="n">
        <f aca="false">INDEX('Master List'!$G$2:$G$2594,O1954)</f>
        <v>0</v>
      </c>
      <c r="N1954" s="4" t="str">
        <f aca="false">IF(K1954="","",A1954)</f>
        <v/>
      </c>
      <c r="O1954" s="4" t="n">
        <v>1548</v>
      </c>
      <c r="P1954" s="4" t="n">
        <f aca="false">IF(A1954=A1953,P1953+1-M1953,0)</f>
        <v>2</v>
      </c>
    </row>
    <row r="1955" customFormat="false" ht="15" hidden="false" customHeight="false" outlineLevel="0" collapsed="false">
      <c r="A1955" s="30" t="s">
        <v>4192</v>
      </c>
      <c r="B1955" s="30" t="s">
        <v>53</v>
      </c>
      <c r="C1955" s="30" t="s">
        <v>103</v>
      </c>
      <c r="D1955" s="30" t="s">
        <v>176</v>
      </c>
      <c r="E1955" s="4" t="n">
        <v>5</v>
      </c>
      <c r="F1955" s="4" t="s">
        <v>213</v>
      </c>
      <c r="G1955" s="4" t="s">
        <v>1779</v>
      </c>
      <c r="H1955" s="4" t="n">
        <v>1938</v>
      </c>
      <c r="I1955" s="4" t="s">
        <v>176</v>
      </c>
      <c r="J1955" s="25" t="str">
        <f aca="false">IF(M1955=1,"✓","")</f>
        <v/>
      </c>
      <c r="K1955" s="4" t="str">
        <f aca="false">IF(AND(M1955=0,P1955=0),"▶ NEXT","")</f>
        <v/>
      </c>
      <c r="L1955" s="4" t="n">
        <f aca="false">INDEX('Master List'!$F$2:$F$2594,O1955)</f>
        <v>1</v>
      </c>
      <c r="M1955" s="4" t="n">
        <f aca="false">INDEX('Master List'!$G$2:$G$2594,O1955)</f>
        <v>0</v>
      </c>
      <c r="N1955" s="4" t="str">
        <f aca="false">IF(K1955="","",A1955)</f>
        <v/>
      </c>
      <c r="O1955" s="4" t="n">
        <v>2571</v>
      </c>
      <c r="P1955" s="4" t="n">
        <f aca="false">IF(A1955=A1954,P1954+1-M1954,0)</f>
        <v>3</v>
      </c>
    </row>
    <row r="1956" customFormat="false" ht="15" hidden="false" customHeight="false" outlineLevel="0" collapsed="false">
      <c r="A1956" s="30" t="s">
        <v>4192</v>
      </c>
      <c r="B1956" s="30" t="s">
        <v>53</v>
      </c>
      <c r="C1956" s="30" t="s">
        <v>103</v>
      </c>
      <c r="D1956" s="30" t="s">
        <v>176</v>
      </c>
      <c r="E1956" s="4" t="n">
        <v>6</v>
      </c>
      <c r="F1956" s="4" t="s">
        <v>213</v>
      </c>
      <c r="G1956" s="4" t="s">
        <v>917</v>
      </c>
      <c r="H1956" s="4" t="n">
        <v>1941</v>
      </c>
      <c r="I1956" s="4" t="s">
        <v>176</v>
      </c>
      <c r="J1956" s="25" t="str">
        <f aca="false">IF(M1956=1,"✓","")</f>
        <v/>
      </c>
      <c r="K1956" s="4" t="str">
        <f aca="false">IF(AND(M1956=0,P1956=0),"▶ NEXT","")</f>
        <v/>
      </c>
      <c r="L1956" s="4" t="n">
        <f aca="false">INDEX('Master List'!$F$2:$F$2594,O1956)</f>
        <v>2</v>
      </c>
      <c r="M1956" s="4" t="n">
        <f aca="false">INDEX('Master List'!$G$2:$G$2594,O1956)</f>
        <v>0</v>
      </c>
      <c r="N1956" s="4" t="str">
        <f aca="false">IF(K1956="","",A1956)</f>
        <v/>
      </c>
      <c r="O1956" s="4" t="n">
        <v>1472</v>
      </c>
      <c r="P1956" s="4" t="n">
        <f aca="false">IF(A1956=A1955,P1955+1-M1955,0)</f>
        <v>4</v>
      </c>
    </row>
    <row r="1957" customFormat="false" ht="15" hidden="false" customHeight="false" outlineLevel="0" collapsed="false">
      <c r="A1957" s="30" t="s">
        <v>4192</v>
      </c>
      <c r="B1957" s="30" t="s">
        <v>53</v>
      </c>
      <c r="C1957" s="30" t="s">
        <v>103</v>
      </c>
      <c r="D1957" s="30" t="s">
        <v>176</v>
      </c>
      <c r="E1957" s="4" t="n">
        <v>7</v>
      </c>
      <c r="F1957" s="4" t="s">
        <v>1327</v>
      </c>
      <c r="G1957" s="4" t="s">
        <v>3313</v>
      </c>
      <c r="H1957" s="4" t="n">
        <v>1932</v>
      </c>
      <c r="I1957" s="4" t="s">
        <v>176</v>
      </c>
      <c r="J1957" s="25" t="str">
        <f aca="false">IF(M1957=1,"✓","")</f>
        <v/>
      </c>
      <c r="K1957" s="4" t="str">
        <f aca="false">IF(AND(M1957=0,P1957=0),"▶ NEXT","")</f>
        <v/>
      </c>
      <c r="L1957" s="4" t="n">
        <f aca="false">INDEX('Master List'!$F$2:$F$2594,O1957)</f>
        <v>1</v>
      </c>
      <c r="M1957" s="4" t="n">
        <f aca="false">INDEX('Master List'!$G$2:$G$2594,O1957)</f>
        <v>0</v>
      </c>
      <c r="N1957" s="4" t="str">
        <f aca="false">IF(K1957="","",A1957)</f>
        <v/>
      </c>
      <c r="O1957" s="4" t="n">
        <v>92</v>
      </c>
      <c r="P1957" s="4" t="n">
        <f aca="false">IF(A1957=A1956,P1956+1-M1956,0)</f>
        <v>5</v>
      </c>
    </row>
    <row r="1958" customFormat="false" ht="15" hidden="false" customHeight="false" outlineLevel="0" collapsed="false">
      <c r="A1958" s="30" t="s">
        <v>4192</v>
      </c>
      <c r="B1958" s="30" t="s">
        <v>53</v>
      </c>
      <c r="C1958" s="30" t="s">
        <v>103</v>
      </c>
      <c r="D1958" s="30" t="s">
        <v>176</v>
      </c>
      <c r="E1958" s="4" t="n">
        <v>8</v>
      </c>
      <c r="F1958" s="4" t="s">
        <v>1327</v>
      </c>
      <c r="G1958" s="4" t="s">
        <v>3314</v>
      </c>
      <c r="H1958" s="4" t="n">
        <v>1932</v>
      </c>
      <c r="I1958" s="4" t="s">
        <v>176</v>
      </c>
      <c r="J1958" s="25" t="str">
        <f aca="false">IF(M1958=1,"✓","")</f>
        <v/>
      </c>
      <c r="K1958" s="4" t="str">
        <f aca="false">IF(AND(M1958=0,P1958=0),"▶ NEXT","")</f>
        <v/>
      </c>
      <c r="L1958" s="4" t="n">
        <f aca="false">INDEX('Master List'!$F$2:$F$2594,O1958)</f>
        <v>1</v>
      </c>
      <c r="M1958" s="4" t="n">
        <f aca="false">INDEX('Master List'!$G$2:$G$2594,O1958)</f>
        <v>0</v>
      </c>
      <c r="N1958" s="4" t="str">
        <f aca="false">IF(K1958="","",A1958)</f>
        <v/>
      </c>
      <c r="O1958" s="4" t="n">
        <v>261</v>
      </c>
      <c r="P1958" s="4" t="n">
        <f aca="false">IF(A1958=A1957,P1957+1-M1957,0)</f>
        <v>6</v>
      </c>
    </row>
    <row r="1959" customFormat="false" ht="15" hidden="false" customHeight="false" outlineLevel="0" collapsed="false">
      <c r="A1959" s="30" t="s">
        <v>4193</v>
      </c>
      <c r="B1959" s="30" t="s">
        <v>53</v>
      </c>
      <c r="C1959" s="30" t="s">
        <v>103</v>
      </c>
      <c r="D1959" s="30" t="s">
        <v>4194</v>
      </c>
      <c r="E1959" s="4" t="n">
        <v>1</v>
      </c>
      <c r="F1959" s="4" t="s">
        <v>144</v>
      </c>
      <c r="G1959" s="7" t="s">
        <v>742</v>
      </c>
      <c r="H1959" s="4" t="n">
        <v>1950</v>
      </c>
      <c r="I1959" s="4" t="s">
        <v>270</v>
      </c>
      <c r="J1959" s="25" t="str">
        <f aca="false">IF(M1959=1,"✓","")</f>
        <v/>
      </c>
      <c r="K1959" s="4" t="str">
        <f aca="false">IF(AND(M1959=0,P1959=0),"▶ NEXT","")</f>
        <v>▶ NEXT</v>
      </c>
      <c r="L1959" s="4" t="n">
        <f aca="false">INDEX('Master List'!$F$2:$F$2594,O1959)</f>
        <v>2</v>
      </c>
      <c r="M1959" s="4" t="n">
        <f aca="false">INDEX('Master List'!$G$2:$G$2594,O1959)</f>
        <v>0</v>
      </c>
      <c r="N1959" s="4" t="str">
        <f aca="false">IF(K1959="","",A1959)</f>
        <v>N163</v>
      </c>
      <c r="O1959" s="4" t="n">
        <v>1124</v>
      </c>
      <c r="P1959" s="4" t="n">
        <f aca="false">IF(A1959=A1958,P1958+1-M1958,0)</f>
        <v>0</v>
      </c>
    </row>
    <row r="1960" customFormat="false" ht="15" hidden="false" customHeight="false" outlineLevel="0" collapsed="false">
      <c r="A1960" s="30" t="s">
        <v>4193</v>
      </c>
      <c r="B1960" s="30" t="s">
        <v>53</v>
      </c>
      <c r="C1960" s="30" t="s">
        <v>103</v>
      </c>
      <c r="D1960" s="30" t="s">
        <v>4194</v>
      </c>
      <c r="E1960" s="4" t="n">
        <v>2</v>
      </c>
      <c r="F1960" s="4" t="s">
        <v>144</v>
      </c>
      <c r="G1960" s="7" t="s">
        <v>269</v>
      </c>
      <c r="H1960" s="4" t="n">
        <v>1955</v>
      </c>
      <c r="I1960" s="4" t="s">
        <v>270</v>
      </c>
      <c r="J1960" s="25" t="str">
        <f aca="false">IF(M1960=1,"✓","")</f>
        <v/>
      </c>
      <c r="K1960" s="4" t="str">
        <f aca="false">IF(AND(M1960=0,P1960=0),"▶ NEXT","")</f>
        <v/>
      </c>
      <c r="L1960" s="4" t="n">
        <f aca="false">INDEX('Master List'!$F$2:$F$2594,O1960)</f>
        <v>5</v>
      </c>
      <c r="M1960" s="4" t="n">
        <f aca="false">INDEX('Master List'!$G$2:$G$2594,O1960)</f>
        <v>0</v>
      </c>
      <c r="N1960" s="4" t="str">
        <f aca="false">IF(K1960="","",A1960)</f>
        <v/>
      </c>
      <c r="O1960" s="4" t="n">
        <v>1868</v>
      </c>
      <c r="P1960" s="4" t="n">
        <f aca="false">IF(A1960=A1959,P1959+1-M1959,0)</f>
        <v>1</v>
      </c>
    </row>
    <row r="1961" customFormat="false" ht="15" hidden="false" customHeight="false" outlineLevel="0" collapsed="false">
      <c r="A1961" s="30" t="s">
        <v>4193</v>
      </c>
      <c r="B1961" s="30" t="s">
        <v>53</v>
      </c>
      <c r="C1961" s="30" t="s">
        <v>103</v>
      </c>
      <c r="D1961" s="30" t="s">
        <v>4194</v>
      </c>
      <c r="E1961" s="4" t="n">
        <v>3</v>
      </c>
      <c r="F1961" s="4" t="s">
        <v>213</v>
      </c>
      <c r="G1961" s="4" t="s">
        <v>1857</v>
      </c>
      <c r="H1961" s="4" t="n">
        <v>1948</v>
      </c>
      <c r="I1961" s="4" t="s">
        <v>270</v>
      </c>
      <c r="J1961" s="25" t="str">
        <f aca="false">IF(M1961=1,"✓","")</f>
        <v/>
      </c>
      <c r="K1961" s="4" t="str">
        <f aca="false">IF(AND(M1961=0,P1961=0),"▶ NEXT","")</f>
        <v/>
      </c>
      <c r="L1961" s="4" t="n">
        <f aca="false">INDEX('Master List'!$F$2:$F$2594,O1961)</f>
        <v>1</v>
      </c>
      <c r="M1961" s="4" t="n">
        <f aca="false">INDEX('Master List'!$G$2:$G$2594,O1961)</f>
        <v>0</v>
      </c>
      <c r="N1961" s="4" t="str">
        <f aca="false">IF(K1961="","",A1961)</f>
        <v/>
      </c>
      <c r="O1961" s="4" t="n">
        <v>2271</v>
      </c>
      <c r="P1961" s="4" t="n">
        <f aca="false">IF(A1961=A1960,P1960+1-M1960,0)</f>
        <v>2</v>
      </c>
    </row>
    <row r="1962" customFormat="false" ht="15" hidden="false" customHeight="false" outlineLevel="0" collapsed="false">
      <c r="A1962" s="30" t="s">
        <v>4193</v>
      </c>
      <c r="B1962" s="30" t="s">
        <v>53</v>
      </c>
      <c r="C1962" s="30" t="s">
        <v>103</v>
      </c>
      <c r="D1962" s="30" t="s">
        <v>4194</v>
      </c>
      <c r="E1962" s="4" t="n">
        <v>4</v>
      </c>
      <c r="F1962" s="4" t="s">
        <v>213</v>
      </c>
      <c r="G1962" s="4" t="s">
        <v>943</v>
      </c>
      <c r="H1962" s="4" t="n">
        <v>1954</v>
      </c>
      <c r="I1962" s="4" t="s">
        <v>270</v>
      </c>
      <c r="J1962" s="25" t="str">
        <f aca="false">IF(M1962=1,"✓","")</f>
        <v/>
      </c>
      <c r="K1962" s="4" t="str">
        <f aca="false">IF(AND(M1962=0,P1962=0),"▶ NEXT","")</f>
        <v/>
      </c>
      <c r="L1962" s="4" t="n">
        <f aca="false">INDEX('Master List'!$F$2:$F$2594,O1962)</f>
        <v>2</v>
      </c>
      <c r="M1962" s="4" t="n">
        <f aca="false">INDEX('Master List'!$G$2:$G$2594,O1962)</f>
        <v>0</v>
      </c>
      <c r="N1962" s="4" t="str">
        <f aca="false">IF(K1962="","",A1962)</f>
        <v/>
      </c>
      <c r="O1962" s="4" t="n">
        <v>1213</v>
      </c>
      <c r="P1962" s="4" t="n">
        <f aca="false">IF(A1962=A1961,P1961+1-M1961,0)</f>
        <v>3</v>
      </c>
    </row>
    <row r="1963" customFormat="false" ht="15" hidden="false" customHeight="false" outlineLevel="0" collapsed="false">
      <c r="A1963" s="30" t="s">
        <v>4193</v>
      </c>
      <c r="B1963" s="30" t="s">
        <v>53</v>
      </c>
      <c r="C1963" s="30" t="s">
        <v>103</v>
      </c>
      <c r="D1963" s="30" t="s">
        <v>4194</v>
      </c>
      <c r="E1963" s="4" t="n">
        <v>5</v>
      </c>
      <c r="F1963" s="4" t="s">
        <v>213</v>
      </c>
      <c r="G1963" s="4" t="s">
        <v>701</v>
      </c>
      <c r="H1963" s="4" t="n">
        <v>1956</v>
      </c>
      <c r="I1963" s="4" t="s">
        <v>270</v>
      </c>
      <c r="J1963" s="25" t="str">
        <f aca="false">IF(M1963=1,"✓","")</f>
        <v/>
      </c>
      <c r="K1963" s="4" t="str">
        <f aca="false">IF(AND(M1963=0,P1963=0),"▶ NEXT","")</f>
        <v/>
      </c>
      <c r="L1963" s="4" t="n">
        <f aca="false">INDEX('Master List'!$F$2:$F$2594,O1963)</f>
        <v>3</v>
      </c>
      <c r="M1963" s="4" t="n">
        <f aca="false">INDEX('Master List'!$G$2:$G$2594,O1963)</f>
        <v>0</v>
      </c>
      <c r="N1963" s="4" t="str">
        <f aca="false">IF(K1963="","",A1963)</f>
        <v/>
      </c>
      <c r="O1963" s="4" t="n">
        <v>252</v>
      </c>
      <c r="P1963" s="4" t="n">
        <f aca="false">IF(A1963=A1962,P1962+1-M1962,0)</f>
        <v>4</v>
      </c>
    </row>
    <row r="1964" customFormat="false" ht="15" hidden="false" customHeight="false" outlineLevel="0" collapsed="false">
      <c r="A1964" s="30" t="s">
        <v>4193</v>
      </c>
      <c r="B1964" s="30" t="s">
        <v>53</v>
      </c>
      <c r="C1964" s="30" t="s">
        <v>103</v>
      </c>
      <c r="D1964" s="30" t="s">
        <v>4194</v>
      </c>
      <c r="E1964" s="4" t="n">
        <v>6</v>
      </c>
      <c r="F1964" s="4" t="s">
        <v>213</v>
      </c>
      <c r="G1964" s="4" t="s">
        <v>939</v>
      </c>
      <c r="H1964" s="4" t="n">
        <v>1953</v>
      </c>
      <c r="I1964" s="4" t="s">
        <v>940</v>
      </c>
      <c r="J1964" s="25" t="str">
        <f aca="false">IF(M1964=1,"✓","")</f>
        <v/>
      </c>
      <c r="K1964" s="4" t="str">
        <f aca="false">IF(AND(M1964=0,P1964=0),"▶ NEXT","")</f>
        <v/>
      </c>
      <c r="L1964" s="4" t="n">
        <f aca="false">INDEX('Master List'!$F$2:$F$2594,O1964)</f>
        <v>2</v>
      </c>
      <c r="M1964" s="4" t="n">
        <f aca="false">INDEX('Master List'!$G$2:$G$2594,O1964)</f>
        <v>0</v>
      </c>
      <c r="N1964" s="4" t="str">
        <f aca="false">IF(K1964="","",A1964)</f>
        <v/>
      </c>
      <c r="O1964" s="4" t="n">
        <v>1763</v>
      </c>
      <c r="P1964" s="4" t="n">
        <f aca="false">IF(A1964=A1963,P1963+1-M1963,0)</f>
        <v>5</v>
      </c>
    </row>
    <row r="1965" customFormat="false" ht="15" hidden="false" customHeight="false" outlineLevel="0" collapsed="false">
      <c r="A1965" s="30" t="s">
        <v>4193</v>
      </c>
      <c r="B1965" s="30" t="s">
        <v>53</v>
      </c>
      <c r="C1965" s="30" t="s">
        <v>103</v>
      </c>
      <c r="D1965" s="30" t="s">
        <v>4194</v>
      </c>
      <c r="E1965" s="4" t="n">
        <v>7</v>
      </c>
      <c r="F1965" s="4" t="s">
        <v>213</v>
      </c>
      <c r="G1965" s="4" t="s">
        <v>2036</v>
      </c>
      <c r="H1965" s="4" t="n">
        <v>1963</v>
      </c>
      <c r="I1965" s="4" t="s">
        <v>940</v>
      </c>
      <c r="J1965" s="25" t="str">
        <f aca="false">IF(M1965=1,"✓","")</f>
        <v/>
      </c>
      <c r="K1965" s="4" t="str">
        <f aca="false">IF(AND(M1965=0,P1965=0),"▶ NEXT","")</f>
        <v/>
      </c>
      <c r="L1965" s="4" t="n">
        <f aca="false">INDEX('Master List'!$F$2:$F$2594,O1965)</f>
        <v>1</v>
      </c>
      <c r="M1965" s="4" t="n">
        <f aca="false">INDEX('Master List'!$G$2:$G$2594,O1965)</f>
        <v>0</v>
      </c>
      <c r="N1965" s="4" t="str">
        <f aca="false">IF(K1965="","",A1965)</f>
        <v/>
      </c>
      <c r="O1965" s="4" t="n">
        <v>2049</v>
      </c>
      <c r="P1965" s="4" t="n">
        <f aca="false">IF(A1965=A1964,P1964+1-M1964,0)</f>
        <v>6</v>
      </c>
    </row>
    <row r="1966" customFormat="false" ht="15" hidden="false" customHeight="false" outlineLevel="0" collapsed="false">
      <c r="A1966" s="30" t="s">
        <v>4193</v>
      </c>
      <c r="B1966" s="30" t="s">
        <v>53</v>
      </c>
      <c r="C1966" s="30" t="s">
        <v>103</v>
      </c>
      <c r="D1966" s="30" t="s">
        <v>4194</v>
      </c>
      <c r="E1966" s="4" t="n">
        <v>8</v>
      </c>
      <c r="F1966" s="4" t="s">
        <v>213</v>
      </c>
      <c r="G1966" s="4" t="s">
        <v>2052</v>
      </c>
      <c r="H1966" s="4" t="n">
        <v>1964</v>
      </c>
      <c r="I1966" s="4" t="s">
        <v>940</v>
      </c>
      <c r="J1966" s="25" t="str">
        <f aca="false">IF(M1966=1,"✓","")</f>
        <v/>
      </c>
      <c r="K1966" s="4" t="str">
        <f aca="false">IF(AND(M1966=0,P1966=0),"▶ NEXT","")</f>
        <v/>
      </c>
      <c r="L1966" s="4" t="n">
        <f aca="false">INDEX('Master List'!$F$2:$F$2594,O1966)</f>
        <v>1</v>
      </c>
      <c r="M1966" s="4" t="n">
        <f aca="false">INDEX('Master List'!$G$2:$G$2594,O1966)</f>
        <v>0</v>
      </c>
      <c r="N1966" s="4" t="str">
        <f aca="false">IF(K1966="","",A1966)</f>
        <v/>
      </c>
      <c r="O1966" s="4" t="n">
        <v>1580</v>
      </c>
      <c r="P1966" s="4" t="n">
        <f aca="false">IF(A1966=A1965,P1965+1-M1965,0)</f>
        <v>7</v>
      </c>
    </row>
    <row r="1967" customFormat="false" ht="15" hidden="false" customHeight="false" outlineLevel="0" collapsed="false">
      <c r="A1967" s="30" t="s">
        <v>4193</v>
      </c>
      <c r="B1967" s="30" t="s">
        <v>53</v>
      </c>
      <c r="C1967" s="30" t="s">
        <v>103</v>
      </c>
      <c r="D1967" s="30" t="s">
        <v>4194</v>
      </c>
      <c r="E1967" s="4" t="n">
        <v>9</v>
      </c>
      <c r="F1967" s="4" t="s">
        <v>213</v>
      </c>
      <c r="G1967" s="4" t="s">
        <v>2364</v>
      </c>
      <c r="H1967" s="4" t="n">
        <v>1982</v>
      </c>
      <c r="I1967" s="4" t="s">
        <v>940</v>
      </c>
      <c r="J1967" s="25" t="str">
        <f aca="false">IF(M1967=1,"✓","")</f>
        <v/>
      </c>
      <c r="K1967" s="4" t="str">
        <f aca="false">IF(AND(M1967=0,P1967=0),"▶ NEXT","")</f>
        <v/>
      </c>
      <c r="L1967" s="4" t="n">
        <f aca="false">INDEX('Master List'!$F$2:$F$2594,O1967)</f>
        <v>1</v>
      </c>
      <c r="M1967" s="4" t="n">
        <f aca="false">INDEX('Master List'!$G$2:$G$2594,O1967)</f>
        <v>0</v>
      </c>
      <c r="N1967" s="4" t="str">
        <f aca="false">IF(K1967="","",A1967)</f>
        <v/>
      </c>
      <c r="O1967" s="4" t="n">
        <v>2501</v>
      </c>
      <c r="P1967" s="4" t="n">
        <f aca="false">IF(A1967=A1966,P1966+1-M1966,0)</f>
        <v>8</v>
      </c>
    </row>
    <row r="1968" customFormat="false" ht="15" hidden="false" customHeight="false" outlineLevel="0" collapsed="false">
      <c r="A1968" s="30" t="s">
        <v>4193</v>
      </c>
      <c r="B1968" s="30" t="s">
        <v>53</v>
      </c>
      <c r="C1968" s="30" t="s">
        <v>103</v>
      </c>
      <c r="D1968" s="30" t="s">
        <v>4194</v>
      </c>
      <c r="E1968" s="4" t="n">
        <v>10</v>
      </c>
      <c r="F1968" s="4" t="s">
        <v>1327</v>
      </c>
      <c r="G1968" s="4" t="s">
        <v>3357</v>
      </c>
      <c r="H1968" s="4" t="n">
        <v>1951</v>
      </c>
      <c r="I1968" s="4" t="s">
        <v>270</v>
      </c>
      <c r="J1968" s="25" t="str">
        <f aca="false">IF(M1968=1,"✓","")</f>
        <v/>
      </c>
      <c r="K1968" s="4" t="str">
        <f aca="false">IF(AND(M1968=0,P1968=0),"▶ NEXT","")</f>
        <v/>
      </c>
      <c r="L1968" s="4" t="n">
        <f aca="false">INDEX('Master List'!$F$2:$F$2594,O1968)</f>
        <v>1</v>
      </c>
      <c r="M1968" s="4" t="n">
        <f aca="false">INDEX('Master List'!$G$2:$G$2594,O1968)</f>
        <v>0</v>
      </c>
      <c r="N1968" s="4" t="str">
        <f aca="false">IF(K1968="","",A1968)</f>
        <v/>
      </c>
      <c r="O1968" s="4" t="n">
        <v>1663</v>
      </c>
      <c r="P1968" s="4" t="n">
        <f aca="false">IF(A1968=A1967,P1967+1-M1967,0)</f>
        <v>9</v>
      </c>
    </row>
    <row r="1969" customFormat="false" ht="15" hidden="false" customHeight="false" outlineLevel="0" collapsed="false">
      <c r="A1969" s="30" t="s">
        <v>4193</v>
      </c>
      <c r="B1969" s="30" t="s">
        <v>53</v>
      </c>
      <c r="C1969" s="30" t="s">
        <v>103</v>
      </c>
      <c r="D1969" s="30" t="s">
        <v>4194</v>
      </c>
      <c r="E1969" s="4" t="n">
        <v>11</v>
      </c>
      <c r="F1969" s="4" t="s">
        <v>1327</v>
      </c>
      <c r="G1969" s="4" t="s">
        <v>3358</v>
      </c>
      <c r="H1969" s="4" t="n">
        <v>1951</v>
      </c>
      <c r="I1969" s="4" t="s">
        <v>940</v>
      </c>
      <c r="J1969" s="25" t="str">
        <f aca="false">IF(M1969=1,"✓","")</f>
        <v/>
      </c>
      <c r="K1969" s="4" t="str">
        <f aca="false">IF(AND(M1969=0,P1969=0),"▶ NEXT","")</f>
        <v/>
      </c>
      <c r="L1969" s="4" t="n">
        <f aca="false">INDEX('Master List'!$F$2:$F$2594,O1969)</f>
        <v>1</v>
      </c>
      <c r="M1969" s="4" t="n">
        <f aca="false">INDEX('Master List'!$G$2:$G$2594,O1969)</f>
        <v>0</v>
      </c>
      <c r="N1969" s="4" t="str">
        <f aca="false">IF(K1969="","",A1969)</f>
        <v/>
      </c>
      <c r="O1969" s="4" t="n">
        <v>2154</v>
      </c>
      <c r="P1969" s="4" t="n">
        <f aca="false">IF(A1969=A1968,P1968+1-M1968,0)</f>
        <v>10</v>
      </c>
    </row>
    <row r="1970" customFormat="false" ht="15" hidden="false" customHeight="false" outlineLevel="0" collapsed="false">
      <c r="A1970" s="30" t="s">
        <v>4195</v>
      </c>
      <c r="B1970" s="30" t="s">
        <v>53</v>
      </c>
      <c r="C1970" s="30" t="s">
        <v>104</v>
      </c>
      <c r="D1970" s="30" t="s">
        <v>187</v>
      </c>
      <c r="E1970" s="4" t="n">
        <v>1</v>
      </c>
      <c r="F1970" s="4" t="s">
        <v>144</v>
      </c>
      <c r="G1970" s="7" t="s">
        <v>186</v>
      </c>
      <c r="H1970" s="4" t="n">
        <v>1968</v>
      </c>
      <c r="I1970" s="4" t="s">
        <v>187</v>
      </c>
      <c r="J1970" s="25" t="str">
        <f aca="false">IF(M1970=1,"✓","")</f>
        <v>✓</v>
      </c>
      <c r="K1970" s="4" t="str">
        <f aca="false">IF(AND(M1970=0,P1970=0),"▶ NEXT","")</f>
        <v/>
      </c>
      <c r="L1970" s="4" t="n">
        <f aca="false">INDEX('Master List'!$F$2:$F$2594,O1970)</f>
        <v>7</v>
      </c>
      <c r="M1970" s="4" t="n">
        <f aca="false">INDEX('Master List'!$G$2:$G$2594,O1970)</f>
        <v>1</v>
      </c>
      <c r="N1970" s="4" t="str">
        <f aca="false">IF(K1970="","",A1970)</f>
        <v/>
      </c>
      <c r="O1970" s="4" t="n">
        <v>12</v>
      </c>
      <c r="P1970" s="4" t="n">
        <f aca="false">IF(A1970=A1969,P1969+1-M1969,0)</f>
        <v>0</v>
      </c>
    </row>
    <row r="1971" customFormat="false" ht="15" hidden="false" customHeight="false" outlineLevel="0" collapsed="false">
      <c r="A1971" s="30" t="s">
        <v>4195</v>
      </c>
      <c r="B1971" s="30" t="s">
        <v>53</v>
      </c>
      <c r="C1971" s="30" t="s">
        <v>104</v>
      </c>
      <c r="D1971" s="30" t="s">
        <v>187</v>
      </c>
      <c r="E1971" s="4" t="n">
        <v>2</v>
      </c>
      <c r="F1971" s="4" t="s">
        <v>144</v>
      </c>
      <c r="G1971" s="7" t="s">
        <v>313</v>
      </c>
      <c r="H1971" s="4" t="n">
        <v>1980</v>
      </c>
      <c r="I1971" s="4" t="s">
        <v>187</v>
      </c>
      <c r="J1971" s="25" t="str">
        <f aca="false">IF(M1971=1,"✓","")</f>
        <v>✓</v>
      </c>
      <c r="K1971" s="4" t="str">
        <f aca="false">IF(AND(M1971=0,P1971=0),"▶ NEXT","")</f>
        <v/>
      </c>
      <c r="L1971" s="4" t="n">
        <f aca="false">INDEX('Master List'!$F$2:$F$2594,O1971)</f>
        <v>4</v>
      </c>
      <c r="M1971" s="4" t="n">
        <f aca="false">INDEX('Master List'!$G$2:$G$2594,O1971)</f>
        <v>1</v>
      </c>
      <c r="N1971" s="4" t="str">
        <f aca="false">IF(K1971="","",A1971)</f>
        <v/>
      </c>
      <c r="O1971" s="4" t="n">
        <v>2046</v>
      </c>
      <c r="P1971" s="4" t="n">
        <f aca="false">IF(A1971=A1970,P1970+1-M1970,0)</f>
        <v>0</v>
      </c>
    </row>
    <row r="1972" customFormat="false" ht="15" hidden="false" customHeight="false" outlineLevel="0" collapsed="false">
      <c r="A1972" s="30" t="s">
        <v>4195</v>
      </c>
      <c r="B1972" s="30" t="s">
        <v>53</v>
      </c>
      <c r="C1972" s="30" t="s">
        <v>104</v>
      </c>
      <c r="D1972" s="30" t="s">
        <v>187</v>
      </c>
      <c r="E1972" s="4" t="n">
        <v>3</v>
      </c>
      <c r="F1972" s="4" t="s">
        <v>213</v>
      </c>
      <c r="G1972" s="4" t="s">
        <v>237</v>
      </c>
      <c r="H1972" s="4" t="n">
        <v>1964</v>
      </c>
      <c r="I1972" s="4" t="s">
        <v>187</v>
      </c>
      <c r="J1972" s="25" t="str">
        <f aca="false">IF(M1972=1,"✓","")</f>
        <v>✓</v>
      </c>
      <c r="K1972" s="4" t="str">
        <f aca="false">IF(AND(M1972=0,P1972=0),"▶ NEXT","")</f>
        <v/>
      </c>
      <c r="L1972" s="4" t="n">
        <f aca="false">INDEX('Master List'!$F$2:$F$2594,O1972)</f>
        <v>5</v>
      </c>
      <c r="M1972" s="4" t="n">
        <f aca="false">INDEX('Master List'!$G$2:$G$2594,O1972)</f>
        <v>1</v>
      </c>
      <c r="N1972" s="4" t="str">
        <f aca="false">IF(K1972="","",A1972)</f>
        <v/>
      </c>
      <c r="O1972" s="4" t="n">
        <v>671</v>
      </c>
      <c r="P1972" s="4" t="n">
        <f aca="false">IF(A1972=A1971,P1971+1-M1971,0)</f>
        <v>0</v>
      </c>
    </row>
    <row r="1973" customFormat="false" ht="15" hidden="false" customHeight="false" outlineLevel="0" collapsed="false">
      <c r="A1973" s="30" t="s">
        <v>4195</v>
      </c>
      <c r="B1973" s="30" t="s">
        <v>53</v>
      </c>
      <c r="C1973" s="30" t="s">
        <v>104</v>
      </c>
      <c r="D1973" s="30" t="s">
        <v>187</v>
      </c>
      <c r="E1973" s="4" t="n">
        <v>4</v>
      </c>
      <c r="F1973" s="4" t="s">
        <v>213</v>
      </c>
      <c r="G1973" s="4" t="s">
        <v>307</v>
      </c>
      <c r="H1973" s="4" t="n">
        <v>1957</v>
      </c>
      <c r="I1973" s="4" t="s">
        <v>187</v>
      </c>
      <c r="J1973" s="25" t="str">
        <f aca="false">IF(M1973=1,"✓","")</f>
        <v>✓</v>
      </c>
      <c r="K1973" s="4" t="str">
        <f aca="false">IF(AND(M1973=0,P1973=0),"▶ NEXT","")</f>
        <v/>
      </c>
      <c r="L1973" s="4" t="n">
        <f aca="false">INDEX('Master List'!$F$2:$F$2594,O1973)</f>
        <v>5</v>
      </c>
      <c r="M1973" s="4" t="n">
        <f aca="false">INDEX('Master List'!$G$2:$G$2594,O1973)</f>
        <v>1</v>
      </c>
      <c r="N1973" s="4" t="str">
        <f aca="false">IF(K1973="","",A1973)</f>
        <v/>
      </c>
      <c r="O1973" s="4" t="n">
        <v>1735</v>
      </c>
      <c r="P1973" s="4" t="n">
        <f aca="false">IF(A1973=A1972,P1972+1-M1972,0)</f>
        <v>0</v>
      </c>
    </row>
    <row r="1974" customFormat="false" ht="15" hidden="false" customHeight="false" outlineLevel="0" collapsed="false">
      <c r="A1974" s="30" t="s">
        <v>4195</v>
      </c>
      <c r="B1974" s="30" t="s">
        <v>53</v>
      </c>
      <c r="C1974" s="30" t="s">
        <v>104</v>
      </c>
      <c r="D1974" s="30" t="s">
        <v>187</v>
      </c>
      <c r="E1974" s="4" t="n">
        <v>5</v>
      </c>
      <c r="F1974" s="4" t="s">
        <v>213</v>
      </c>
      <c r="G1974" s="4" t="s">
        <v>576</v>
      </c>
      <c r="H1974" s="4" t="n">
        <v>1956</v>
      </c>
      <c r="I1974" s="4" t="s">
        <v>187</v>
      </c>
      <c r="J1974" s="25" t="str">
        <f aca="false">IF(M1974=1,"✓","")</f>
        <v>✓</v>
      </c>
      <c r="K1974" s="4" t="str">
        <f aca="false">IF(AND(M1974=0,P1974=0),"▶ NEXT","")</f>
        <v/>
      </c>
      <c r="L1974" s="4" t="n">
        <f aca="false">INDEX('Master List'!$F$2:$F$2594,O1974)</f>
        <v>3</v>
      </c>
      <c r="M1974" s="4" t="n">
        <f aca="false">INDEX('Master List'!$G$2:$G$2594,O1974)</f>
        <v>1</v>
      </c>
      <c r="N1974" s="4" t="str">
        <f aca="false">IF(K1974="","",A1974)</f>
        <v/>
      </c>
      <c r="O1974" s="4" t="n">
        <v>1252</v>
      </c>
      <c r="P1974" s="4" t="n">
        <f aca="false">IF(A1974=A1973,P1973+1-M1973,0)</f>
        <v>0</v>
      </c>
    </row>
    <row r="1975" customFormat="false" ht="15" hidden="false" customHeight="false" outlineLevel="0" collapsed="false">
      <c r="A1975" s="30" t="s">
        <v>4195</v>
      </c>
      <c r="B1975" s="30" t="s">
        <v>53</v>
      </c>
      <c r="C1975" s="30" t="s">
        <v>104</v>
      </c>
      <c r="D1975" s="30" t="s">
        <v>187</v>
      </c>
      <c r="E1975" s="4" t="n">
        <v>6</v>
      </c>
      <c r="F1975" s="4" t="s">
        <v>213</v>
      </c>
      <c r="G1975" s="4" t="s">
        <v>597</v>
      </c>
      <c r="H1975" s="4" t="n">
        <v>1971</v>
      </c>
      <c r="I1975" s="4" t="s">
        <v>187</v>
      </c>
      <c r="J1975" s="25" t="str">
        <f aca="false">IF(M1975=1,"✓","")</f>
        <v>✓</v>
      </c>
      <c r="K1975" s="4" t="str">
        <f aca="false">IF(AND(M1975=0,P1975=0),"▶ NEXT","")</f>
        <v/>
      </c>
      <c r="L1975" s="4" t="n">
        <f aca="false">INDEX('Master List'!$F$2:$F$2594,O1975)</f>
        <v>3</v>
      </c>
      <c r="M1975" s="4" t="n">
        <f aca="false">INDEX('Master List'!$G$2:$G$2594,O1975)</f>
        <v>1</v>
      </c>
      <c r="N1975" s="4" t="str">
        <f aca="false">IF(K1975="","",A1975)</f>
        <v/>
      </c>
      <c r="O1975" s="4" t="n">
        <v>478</v>
      </c>
      <c r="P1975" s="4" t="n">
        <f aca="false">IF(A1975=A1974,P1974+1-M1974,0)</f>
        <v>0</v>
      </c>
    </row>
    <row r="1976" customFormat="false" ht="15" hidden="false" customHeight="false" outlineLevel="0" collapsed="false">
      <c r="A1976" s="30" t="s">
        <v>4195</v>
      </c>
      <c r="B1976" s="30" t="s">
        <v>53</v>
      </c>
      <c r="C1976" s="30" t="s">
        <v>104</v>
      </c>
      <c r="D1976" s="30" t="s">
        <v>187</v>
      </c>
      <c r="E1976" s="4" t="n">
        <v>7</v>
      </c>
      <c r="F1976" s="4" t="s">
        <v>213</v>
      </c>
      <c r="G1976" s="4" t="s">
        <v>601</v>
      </c>
      <c r="H1976" s="4" t="n">
        <v>1975</v>
      </c>
      <c r="I1976" s="4" t="s">
        <v>187</v>
      </c>
      <c r="J1976" s="25" t="str">
        <f aca="false">IF(M1976=1,"✓","")</f>
        <v>✓</v>
      </c>
      <c r="K1976" s="4" t="str">
        <f aca="false">IF(AND(M1976=0,P1976=0),"▶ NEXT","")</f>
        <v/>
      </c>
      <c r="L1976" s="4" t="n">
        <f aca="false">INDEX('Master List'!$F$2:$F$2594,O1976)</f>
        <v>3</v>
      </c>
      <c r="M1976" s="4" t="n">
        <f aca="false">INDEX('Master List'!$G$2:$G$2594,O1976)</f>
        <v>1</v>
      </c>
      <c r="N1976" s="4" t="str">
        <f aca="false">IF(K1976="","",A1976)</f>
        <v/>
      </c>
      <c r="O1976" s="4" t="n">
        <v>189</v>
      </c>
      <c r="P1976" s="4" t="n">
        <f aca="false">IF(A1976=A1975,P1975+1-M1975,0)</f>
        <v>0</v>
      </c>
    </row>
    <row r="1977" customFormat="false" ht="15" hidden="false" customHeight="false" outlineLevel="0" collapsed="false">
      <c r="A1977" s="30" t="s">
        <v>4195</v>
      </c>
      <c r="B1977" s="30" t="s">
        <v>53</v>
      </c>
      <c r="C1977" s="30" t="s">
        <v>104</v>
      </c>
      <c r="D1977" s="30" t="s">
        <v>187</v>
      </c>
      <c r="E1977" s="4" t="n">
        <v>8</v>
      </c>
      <c r="F1977" s="4" t="s">
        <v>213</v>
      </c>
      <c r="G1977" s="4" t="s">
        <v>1084</v>
      </c>
      <c r="H1977" s="4" t="n">
        <v>1987</v>
      </c>
      <c r="I1977" s="4" t="s">
        <v>187</v>
      </c>
      <c r="J1977" s="25" t="str">
        <f aca="false">IF(M1977=1,"✓","")</f>
        <v>✓</v>
      </c>
      <c r="K1977" s="4" t="str">
        <f aca="false">IF(AND(M1977=0,P1977=0),"▶ NEXT","")</f>
        <v/>
      </c>
      <c r="L1977" s="4" t="n">
        <f aca="false">INDEX('Master List'!$F$2:$F$2594,O1977)</f>
        <v>2</v>
      </c>
      <c r="M1977" s="4" t="n">
        <f aca="false">INDEX('Master List'!$G$2:$G$2594,O1977)</f>
        <v>1</v>
      </c>
      <c r="N1977" s="4" t="str">
        <f aca="false">IF(K1977="","",A1977)</f>
        <v/>
      </c>
      <c r="O1977" s="4" t="n">
        <v>868</v>
      </c>
      <c r="P1977" s="4" t="n">
        <f aca="false">IF(A1977=A1976,P1976+1-M1976,0)</f>
        <v>0</v>
      </c>
    </row>
    <row r="1978" customFormat="false" ht="15" hidden="false" customHeight="false" outlineLevel="0" collapsed="false">
      <c r="A1978" s="30" t="s">
        <v>4195</v>
      </c>
      <c r="B1978" s="30" t="s">
        <v>53</v>
      </c>
      <c r="C1978" s="30" t="s">
        <v>104</v>
      </c>
      <c r="D1978" s="30" t="s">
        <v>187</v>
      </c>
      <c r="E1978" s="4" t="n">
        <v>9</v>
      </c>
      <c r="F1978" s="4" t="s">
        <v>213</v>
      </c>
      <c r="G1978" s="4" t="s">
        <v>629</v>
      </c>
      <c r="H1978" s="4" t="n">
        <v>1999</v>
      </c>
      <c r="I1978" s="4" t="s">
        <v>187</v>
      </c>
      <c r="J1978" s="25" t="str">
        <f aca="false">IF(M1978=1,"✓","")</f>
        <v>✓</v>
      </c>
      <c r="K1978" s="4" t="str">
        <f aca="false">IF(AND(M1978=0,P1978=0),"▶ NEXT","")</f>
        <v/>
      </c>
      <c r="L1978" s="4" t="n">
        <f aca="false">INDEX('Master List'!$F$2:$F$2594,O1978)</f>
        <v>3</v>
      </c>
      <c r="M1978" s="4" t="n">
        <f aca="false">INDEX('Master List'!$G$2:$G$2594,O1978)</f>
        <v>1</v>
      </c>
      <c r="N1978" s="4" t="str">
        <f aca="false">IF(K1978="","",A1978)</f>
        <v/>
      </c>
      <c r="O1978" s="4" t="n">
        <v>767</v>
      </c>
      <c r="P1978" s="4" t="n">
        <f aca="false">IF(A1978=A1977,P1977+1-M1977,0)</f>
        <v>0</v>
      </c>
    </row>
    <row r="1979" customFormat="false" ht="15" hidden="false" customHeight="false" outlineLevel="0" collapsed="false">
      <c r="A1979" s="30" t="s">
        <v>4195</v>
      </c>
      <c r="B1979" s="30" t="s">
        <v>53</v>
      </c>
      <c r="C1979" s="30" t="s">
        <v>104</v>
      </c>
      <c r="D1979" s="30" t="s">
        <v>187</v>
      </c>
      <c r="E1979" s="4" t="n">
        <v>10</v>
      </c>
      <c r="F1979" s="4" t="s">
        <v>213</v>
      </c>
      <c r="G1979" s="4" t="s">
        <v>2013</v>
      </c>
      <c r="H1979" s="4" t="n">
        <v>1962</v>
      </c>
      <c r="I1979" s="4" t="s">
        <v>187</v>
      </c>
      <c r="J1979" s="25" t="str">
        <f aca="false">IF(M1979=1,"✓","")</f>
        <v/>
      </c>
      <c r="K1979" s="4" t="str">
        <f aca="false">IF(AND(M1979=0,P1979=0),"▶ NEXT","")</f>
        <v>▶ NEXT</v>
      </c>
      <c r="L1979" s="4" t="n">
        <f aca="false">INDEX('Master List'!$F$2:$F$2594,O1979)</f>
        <v>1</v>
      </c>
      <c r="M1979" s="4" t="n">
        <f aca="false">INDEX('Master List'!$G$2:$G$2594,O1979)</f>
        <v>0</v>
      </c>
      <c r="N1979" s="4" t="str">
        <f aca="false">IF(K1979="","",A1979)</f>
        <v>N164</v>
      </c>
      <c r="O1979" s="4" t="n">
        <v>1369</v>
      </c>
      <c r="P1979" s="4" t="n">
        <f aca="false">IF(A1979=A1978,P1978+1-M1978,0)</f>
        <v>0</v>
      </c>
    </row>
    <row r="1980" customFormat="false" ht="15" hidden="false" customHeight="false" outlineLevel="0" collapsed="false">
      <c r="A1980" s="30" t="s">
        <v>4195</v>
      </c>
      <c r="B1980" s="30" t="s">
        <v>53</v>
      </c>
      <c r="C1980" s="30" t="s">
        <v>104</v>
      </c>
      <c r="D1980" s="30" t="s">
        <v>187</v>
      </c>
      <c r="E1980" s="4" t="n">
        <v>11</v>
      </c>
      <c r="F1980" s="4" t="s">
        <v>213</v>
      </c>
      <c r="G1980" s="4" t="s">
        <v>954</v>
      </c>
      <c r="H1980" s="4" t="n">
        <v>1960</v>
      </c>
      <c r="I1980" s="4" t="s">
        <v>187</v>
      </c>
      <c r="J1980" s="25" t="str">
        <f aca="false">IF(M1980=1,"✓","")</f>
        <v/>
      </c>
      <c r="K1980" s="4" t="str">
        <f aca="false">IF(AND(M1980=0,P1980=0),"▶ NEXT","")</f>
        <v/>
      </c>
      <c r="L1980" s="4" t="n">
        <f aca="false">INDEX('Master List'!$F$2:$F$2594,O1980)</f>
        <v>2</v>
      </c>
      <c r="M1980" s="4" t="n">
        <f aca="false">INDEX('Master List'!$G$2:$G$2594,O1980)</f>
        <v>0</v>
      </c>
      <c r="N1980" s="4" t="str">
        <f aca="false">IF(K1980="","",A1980)</f>
        <v/>
      </c>
      <c r="O1980" s="4" t="n">
        <v>2127</v>
      </c>
      <c r="P1980" s="4" t="n">
        <f aca="false">IF(A1980=A1979,P1979+1-M1979,0)</f>
        <v>1</v>
      </c>
    </row>
    <row r="1981" customFormat="false" ht="15" hidden="false" customHeight="false" outlineLevel="0" collapsed="false">
      <c r="A1981" s="30" t="s">
        <v>4195</v>
      </c>
      <c r="B1981" s="30" t="s">
        <v>53</v>
      </c>
      <c r="C1981" s="30" t="s">
        <v>104</v>
      </c>
      <c r="D1981" s="30" t="s">
        <v>187</v>
      </c>
      <c r="E1981" s="4" t="n">
        <v>12</v>
      </c>
      <c r="F1981" s="4" t="s">
        <v>1327</v>
      </c>
      <c r="G1981" s="4" t="s">
        <v>3380</v>
      </c>
      <c r="H1981" s="4" t="n">
        <v>1955</v>
      </c>
      <c r="I1981" s="4" t="s">
        <v>187</v>
      </c>
      <c r="J1981" s="25" t="str">
        <f aca="false">IF(M1981=1,"✓","")</f>
        <v>✓</v>
      </c>
      <c r="K1981" s="4" t="str">
        <f aca="false">IF(AND(M1981=0,P1981=0),"▶ NEXT","")</f>
        <v/>
      </c>
      <c r="L1981" s="4" t="n">
        <f aca="false">INDEX('Master List'!$F$2:$F$2594,O1981)</f>
        <v>1</v>
      </c>
      <c r="M1981" s="4" t="n">
        <f aca="false">INDEX('Master List'!$G$2:$G$2594,O1981)</f>
        <v>1</v>
      </c>
      <c r="N1981" s="4" t="str">
        <f aca="false">IF(K1981="","",A1981)</f>
        <v/>
      </c>
      <c r="O1981" s="4" t="n">
        <v>1249</v>
      </c>
      <c r="P1981" s="4" t="n">
        <f aca="false">IF(A1981=A1980,P1980+1-M1980,0)</f>
        <v>2</v>
      </c>
    </row>
    <row r="1982" customFormat="false" ht="15" hidden="false" customHeight="false" outlineLevel="0" collapsed="false">
      <c r="A1982" s="30" t="s">
        <v>4195</v>
      </c>
      <c r="B1982" s="30" t="s">
        <v>53</v>
      </c>
      <c r="C1982" s="30" t="s">
        <v>104</v>
      </c>
      <c r="D1982" s="30" t="s">
        <v>187</v>
      </c>
      <c r="E1982" s="4" t="n">
        <v>13</v>
      </c>
      <c r="F1982" s="4" t="s">
        <v>1327</v>
      </c>
      <c r="G1982" s="4" t="s">
        <v>3362</v>
      </c>
      <c r="H1982" s="4" t="n">
        <v>1952</v>
      </c>
      <c r="I1982" s="4" t="s">
        <v>187</v>
      </c>
      <c r="J1982" s="25" t="str">
        <f aca="false">IF(M1982=1,"✓","")</f>
        <v>✓</v>
      </c>
      <c r="K1982" s="4" t="str">
        <f aca="false">IF(AND(M1982=0,P1982=0),"▶ NEXT","")</f>
        <v/>
      </c>
      <c r="L1982" s="4" t="n">
        <f aca="false">INDEX('Master List'!$F$2:$F$2594,O1982)</f>
        <v>1</v>
      </c>
      <c r="M1982" s="4" t="n">
        <f aca="false">INDEX('Master List'!$G$2:$G$2594,O1982)</f>
        <v>1</v>
      </c>
      <c r="N1982" s="4" t="str">
        <f aca="false">IF(K1982="","",A1982)</f>
        <v/>
      </c>
      <c r="O1982" s="4" t="n">
        <v>796</v>
      </c>
      <c r="P1982" s="4" t="n">
        <f aca="false">IF(A1982=A1981,P1981+1-M1981,0)</f>
        <v>2</v>
      </c>
    </row>
    <row r="1983" customFormat="false" ht="15" hidden="false" customHeight="false" outlineLevel="0" collapsed="false">
      <c r="A1983" s="30" t="s">
        <v>4196</v>
      </c>
      <c r="B1983" s="30" t="s">
        <v>53</v>
      </c>
      <c r="C1983" s="30" t="s">
        <v>104</v>
      </c>
      <c r="D1983" s="30" t="s">
        <v>164</v>
      </c>
      <c r="E1983" s="4" t="n">
        <v>1</v>
      </c>
      <c r="F1983" s="4" t="s">
        <v>144</v>
      </c>
      <c r="G1983" s="7" t="s">
        <v>163</v>
      </c>
      <c r="H1983" s="4" t="n">
        <v>1976</v>
      </c>
      <c r="I1983" s="4" t="s">
        <v>164</v>
      </c>
      <c r="J1983" s="25" t="str">
        <f aca="false">IF(M1983=1,"✓","")</f>
        <v>✓</v>
      </c>
      <c r="K1983" s="4" t="str">
        <f aca="false">IF(AND(M1983=0,P1983=0),"▶ NEXT","")</f>
        <v/>
      </c>
      <c r="L1983" s="4" t="n">
        <f aca="false">INDEX('Master List'!$F$2:$F$2594,O1983)</f>
        <v>8</v>
      </c>
      <c r="M1983" s="4" t="n">
        <f aca="false">INDEX('Master List'!$G$2:$G$2594,O1983)</f>
        <v>1</v>
      </c>
      <c r="N1983" s="4" t="str">
        <f aca="false">IF(K1983="","",A1983)</f>
        <v/>
      </c>
      <c r="O1983" s="4" t="n">
        <v>2248</v>
      </c>
      <c r="P1983" s="4" t="n">
        <f aca="false">IF(A1983=A1982,P1982+1-M1982,0)</f>
        <v>0</v>
      </c>
    </row>
    <row r="1984" customFormat="false" ht="15" hidden="false" customHeight="false" outlineLevel="0" collapsed="false">
      <c r="A1984" s="30" t="s">
        <v>4196</v>
      </c>
      <c r="B1984" s="30" t="s">
        <v>53</v>
      </c>
      <c r="C1984" s="30" t="s">
        <v>104</v>
      </c>
      <c r="D1984" s="30" t="s">
        <v>164</v>
      </c>
      <c r="E1984" s="4" t="n">
        <v>2</v>
      </c>
      <c r="F1984" s="4" t="s">
        <v>144</v>
      </c>
      <c r="G1984" s="7" t="s">
        <v>318</v>
      </c>
      <c r="H1984" s="4" t="n">
        <v>1990</v>
      </c>
      <c r="I1984" s="4" t="s">
        <v>164</v>
      </c>
      <c r="J1984" s="25" t="str">
        <f aca="false">IF(M1984=1,"✓","")</f>
        <v>✓</v>
      </c>
      <c r="K1984" s="4" t="str">
        <f aca="false">IF(AND(M1984=0,P1984=0),"▶ NEXT","")</f>
        <v/>
      </c>
      <c r="L1984" s="4" t="n">
        <f aca="false">INDEX('Master List'!$F$2:$F$2594,O1984)</f>
        <v>4</v>
      </c>
      <c r="M1984" s="4" t="n">
        <f aca="false">INDEX('Master List'!$G$2:$G$2594,O1984)</f>
        <v>1</v>
      </c>
      <c r="N1984" s="4" t="str">
        <f aca="false">IF(K1984="","",A1984)</f>
        <v/>
      </c>
      <c r="O1984" s="4" t="n">
        <v>936</v>
      </c>
      <c r="P1984" s="4" t="n">
        <f aca="false">IF(A1984=A1983,P1983+1-M1983,0)</f>
        <v>0</v>
      </c>
    </row>
    <row r="1985" customFormat="false" ht="15" hidden="false" customHeight="false" outlineLevel="0" collapsed="false">
      <c r="A1985" s="30" t="s">
        <v>4196</v>
      </c>
      <c r="B1985" s="30" t="s">
        <v>53</v>
      </c>
      <c r="C1985" s="30" t="s">
        <v>104</v>
      </c>
      <c r="D1985" s="30" t="s">
        <v>164</v>
      </c>
      <c r="E1985" s="4" t="n">
        <v>3</v>
      </c>
      <c r="F1985" s="4" t="s">
        <v>213</v>
      </c>
      <c r="G1985" s="4" t="s">
        <v>600</v>
      </c>
      <c r="H1985" s="4" t="n">
        <v>1973</v>
      </c>
      <c r="I1985" s="4" t="s">
        <v>164</v>
      </c>
      <c r="J1985" s="25" t="str">
        <f aca="false">IF(M1985=1,"✓","")</f>
        <v>✓</v>
      </c>
      <c r="K1985" s="4" t="str">
        <f aca="false">IF(AND(M1985=0,P1985=0),"▶ NEXT","")</f>
        <v/>
      </c>
      <c r="L1985" s="4" t="n">
        <f aca="false">INDEX('Master List'!$F$2:$F$2594,O1985)</f>
        <v>3</v>
      </c>
      <c r="M1985" s="4" t="n">
        <f aca="false">INDEX('Master List'!$G$2:$G$2594,O1985)</f>
        <v>1</v>
      </c>
      <c r="N1985" s="4" t="str">
        <f aca="false">IF(K1985="","",A1985)</f>
        <v/>
      </c>
      <c r="O1985" s="4" t="n">
        <v>1468</v>
      </c>
      <c r="P1985" s="4" t="n">
        <f aca="false">IF(A1985=A1984,P1984+1-M1984,0)</f>
        <v>0</v>
      </c>
    </row>
    <row r="1986" customFormat="false" ht="15" hidden="false" customHeight="false" outlineLevel="0" collapsed="false">
      <c r="A1986" s="30" t="s">
        <v>4196</v>
      </c>
      <c r="B1986" s="30" t="s">
        <v>53</v>
      </c>
      <c r="C1986" s="30" t="s">
        <v>104</v>
      </c>
      <c r="D1986" s="30" t="s">
        <v>164</v>
      </c>
      <c r="E1986" s="4" t="n">
        <v>4</v>
      </c>
      <c r="F1986" s="4" t="s">
        <v>213</v>
      </c>
      <c r="G1986" s="4" t="s">
        <v>2246</v>
      </c>
      <c r="H1986" s="4" t="n">
        <v>1974</v>
      </c>
      <c r="I1986" s="4" t="s">
        <v>164</v>
      </c>
      <c r="J1986" s="25" t="str">
        <f aca="false">IF(M1986=1,"✓","")</f>
        <v/>
      </c>
      <c r="K1986" s="4" t="str">
        <f aca="false">IF(AND(M1986=0,P1986=0),"▶ NEXT","")</f>
        <v>▶ NEXT</v>
      </c>
      <c r="L1986" s="4" t="n">
        <f aca="false">INDEX('Master List'!$F$2:$F$2594,O1986)</f>
        <v>1</v>
      </c>
      <c r="M1986" s="4" t="n">
        <f aca="false">INDEX('Master List'!$G$2:$G$2594,O1986)</f>
        <v>0</v>
      </c>
      <c r="N1986" s="4" t="str">
        <f aca="false">IF(K1986="","",A1986)</f>
        <v>N165</v>
      </c>
      <c r="O1986" s="4" t="n">
        <v>64</v>
      </c>
      <c r="P1986" s="4" t="n">
        <f aca="false">IF(A1986=A1985,P1985+1-M1985,0)</f>
        <v>0</v>
      </c>
    </row>
    <row r="1987" customFormat="false" ht="15" hidden="false" customHeight="false" outlineLevel="0" collapsed="false">
      <c r="A1987" s="30" t="s">
        <v>4196</v>
      </c>
      <c r="B1987" s="30" t="s">
        <v>53</v>
      </c>
      <c r="C1987" s="30" t="s">
        <v>104</v>
      </c>
      <c r="D1987" s="30" t="s">
        <v>164</v>
      </c>
      <c r="E1987" s="4" t="n">
        <v>5</v>
      </c>
      <c r="F1987" s="4" t="s">
        <v>213</v>
      </c>
      <c r="G1987" s="4" t="s">
        <v>244</v>
      </c>
      <c r="H1987" s="4" t="n">
        <v>1980</v>
      </c>
      <c r="I1987" s="4" t="s">
        <v>164</v>
      </c>
      <c r="J1987" s="25" t="str">
        <f aca="false">IF(M1987=1,"✓","")</f>
        <v>✓</v>
      </c>
      <c r="K1987" s="4" t="str">
        <f aca="false">IF(AND(M1987=0,P1987=0),"▶ NEXT","")</f>
        <v/>
      </c>
      <c r="L1987" s="4" t="n">
        <f aca="false">INDEX('Master List'!$F$2:$F$2594,O1987)</f>
        <v>5</v>
      </c>
      <c r="M1987" s="4" t="n">
        <f aca="false">INDEX('Master List'!$G$2:$G$2594,O1987)</f>
        <v>1</v>
      </c>
      <c r="N1987" s="4" t="str">
        <f aca="false">IF(K1987="","",A1987)</f>
        <v/>
      </c>
      <c r="O1987" s="4" t="n">
        <v>1850</v>
      </c>
      <c r="P1987" s="4" t="n">
        <f aca="false">IF(A1987=A1986,P1986+1-M1986,0)</f>
        <v>1</v>
      </c>
    </row>
    <row r="1988" customFormat="false" ht="15" hidden="false" customHeight="false" outlineLevel="0" collapsed="false">
      <c r="A1988" s="30" t="s">
        <v>4196</v>
      </c>
      <c r="B1988" s="30" t="s">
        <v>53</v>
      </c>
      <c r="C1988" s="30" t="s">
        <v>104</v>
      </c>
      <c r="D1988" s="30" t="s">
        <v>164</v>
      </c>
      <c r="E1988" s="4" t="n">
        <v>6</v>
      </c>
      <c r="F1988" s="4" t="s">
        <v>213</v>
      </c>
      <c r="G1988" s="4" t="s">
        <v>314</v>
      </c>
      <c r="H1988" s="4" t="n">
        <v>1982</v>
      </c>
      <c r="I1988" s="4" t="s">
        <v>164</v>
      </c>
      <c r="J1988" s="25" t="str">
        <f aca="false">IF(M1988=1,"✓","")</f>
        <v>✓</v>
      </c>
      <c r="K1988" s="4" t="str">
        <f aca="false">IF(AND(M1988=0,P1988=0),"▶ NEXT","")</f>
        <v/>
      </c>
      <c r="L1988" s="4" t="n">
        <f aca="false">INDEX('Master List'!$F$2:$F$2594,O1988)</f>
        <v>4</v>
      </c>
      <c r="M1988" s="4" t="n">
        <f aca="false">INDEX('Master List'!$G$2:$G$2594,O1988)</f>
        <v>1</v>
      </c>
      <c r="N1988" s="4" t="str">
        <f aca="false">IF(K1988="","",A1988)</f>
        <v/>
      </c>
      <c r="O1988" s="4" t="n">
        <v>1258</v>
      </c>
      <c r="P1988" s="4" t="n">
        <f aca="false">IF(A1988=A1987,P1987+1-M1987,0)</f>
        <v>1</v>
      </c>
    </row>
    <row r="1989" customFormat="false" ht="15" hidden="false" customHeight="false" outlineLevel="0" collapsed="false">
      <c r="A1989" s="30" t="s">
        <v>4196</v>
      </c>
      <c r="B1989" s="30" t="s">
        <v>53</v>
      </c>
      <c r="C1989" s="30" t="s">
        <v>104</v>
      </c>
      <c r="D1989" s="30" t="s">
        <v>164</v>
      </c>
      <c r="E1989" s="4" t="n">
        <v>7</v>
      </c>
      <c r="F1989" s="4" t="s">
        <v>213</v>
      </c>
      <c r="G1989" s="4" t="s">
        <v>398</v>
      </c>
      <c r="H1989" s="4" t="n">
        <v>1985</v>
      </c>
      <c r="I1989" s="4" t="s">
        <v>164</v>
      </c>
      <c r="J1989" s="25" t="str">
        <f aca="false">IF(M1989=1,"✓","")</f>
        <v>✓</v>
      </c>
      <c r="K1989" s="4" t="str">
        <f aca="false">IF(AND(M1989=0,P1989=0),"▶ NEXT","")</f>
        <v/>
      </c>
      <c r="L1989" s="4" t="n">
        <f aca="false">INDEX('Master List'!$F$2:$F$2594,O1989)</f>
        <v>4</v>
      </c>
      <c r="M1989" s="4" t="n">
        <f aca="false">INDEX('Master List'!$G$2:$G$2594,O1989)</f>
        <v>1</v>
      </c>
      <c r="N1989" s="4" t="str">
        <f aca="false">IF(K1989="","",A1989)</f>
        <v/>
      </c>
      <c r="O1989" s="4" t="n">
        <v>49</v>
      </c>
      <c r="P1989" s="4" t="n">
        <f aca="false">IF(A1989=A1988,P1988+1-M1988,0)</f>
        <v>1</v>
      </c>
    </row>
    <row r="1990" customFormat="false" ht="15" hidden="false" customHeight="false" outlineLevel="0" collapsed="false">
      <c r="A1990" s="30" t="s">
        <v>4196</v>
      </c>
      <c r="B1990" s="30" t="s">
        <v>53</v>
      </c>
      <c r="C1990" s="30" t="s">
        <v>104</v>
      </c>
      <c r="D1990" s="30" t="s">
        <v>164</v>
      </c>
      <c r="E1990" s="4" t="n">
        <v>8</v>
      </c>
      <c r="F1990" s="4" t="s">
        <v>213</v>
      </c>
      <c r="G1990" s="4" t="s">
        <v>1091</v>
      </c>
      <c r="H1990" s="4" t="n">
        <v>1988</v>
      </c>
      <c r="I1990" s="4" t="s">
        <v>164</v>
      </c>
      <c r="J1990" s="25" t="str">
        <f aca="false">IF(M1990=1,"✓","")</f>
        <v/>
      </c>
      <c r="K1990" s="4" t="str">
        <f aca="false">IF(AND(M1990=0,P1990=0),"▶ NEXT","")</f>
        <v/>
      </c>
      <c r="L1990" s="4" t="n">
        <f aca="false">INDEX('Master List'!$F$2:$F$2594,O1990)</f>
        <v>2</v>
      </c>
      <c r="M1990" s="4" t="n">
        <f aca="false">INDEX('Master List'!$G$2:$G$2594,O1990)</f>
        <v>0</v>
      </c>
      <c r="N1990" s="4" t="str">
        <f aca="false">IF(K1990="","",A1990)</f>
        <v/>
      </c>
      <c r="O1990" s="4" t="n">
        <v>1302</v>
      </c>
      <c r="P1990" s="4" t="n">
        <f aca="false">IF(A1990=A1989,P1989+1-M1989,0)</f>
        <v>1</v>
      </c>
    </row>
    <row r="1991" customFormat="false" ht="15" hidden="false" customHeight="false" outlineLevel="0" collapsed="false">
      <c r="A1991" s="30" t="s">
        <v>4196</v>
      </c>
      <c r="B1991" s="30" t="s">
        <v>53</v>
      </c>
      <c r="C1991" s="30" t="s">
        <v>104</v>
      </c>
      <c r="D1991" s="30" t="s">
        <v>164</v>
      </c>
      <c r="E1991" s="4" t="n">
        <v>9</v>
      </c>
      <c r="F1991" s="4" t="s">
        <v>213</v>
      </c>
      <c r="G1991" s="4" t="s">
        <v>1103</v>
      </c>
      <c r="H1991" s="4" t="n">
        <v>1993</v>
      </c>
      <c r="I1991" s="4" t="s">
        <v>164</v>
      </c>
      <c r="J1991" s="25" t="str">
        <f aca="false">IF(M1991=1,"✓","")</f>
        <v/>
      </c>
      <c r="K1991" s="4" t="str">
        <f aca="false">IF(AND(M1991=0,P1991=0),"▶ NEXT","")</f>
        <v/>
      </c>
      <c r="L1991" s="4" t="n">
        <f aca="false">INDEX('Master List'!$F$2:$F$2594,O1991)</f>
        <v>2</v>
      </c>
      <c r="M1991" s="4" t="n">
        <f aca="false">INDEX('Master List'!$G$2:$G$2594,O1991)</f>
        <v>0</v>
      </c>
      <c r="N1991" s="4" t="str">
        <f aca="false">IF(K1991="","",A1991)</f>
        <v/>
      </c>
      <c r="O1991" s="4" t="n">
        <v>55</v>
      </c>
      <c r="P1991" s="4" t="n">
        <f aca="false">IF(A1991=A1990,P1990+1-M1990,0)</f>
        <v>2</v>
      </c>
    </row>
    <row r="1992" customFormat="false" ht="15" hidden="false" customHeight="false" outlineLevel="0" collapsed="false">
      <c r="A1992" s="30" t="s">
        <v>4196</v>
      </c>
      <c r="B1992" s="30" t="s">
        <v>53</v>
      </c>
      <c r="C1992" s="30" t="s">
        <v>104</v>
      </c>
      <c r="D1992" s="30" t="s">
        <v>164</v>
      </c>
      <c r="E1992" s="4" t="n">
        <v>10</v>
      </c>
      <c r="F1992" s="4" t="s">
        <v>213</v>
      </c>
      <c r="G1992" s="4" t="s">
        <v>1112</v>
      </c>
      <c r="H1992" s="4" t="n">
        <v>1995</v>
      </c>
      <c r="I1992" s="4" t="s">
        <v>164</v>
      </c>
      <c r="J1992" s="25" t="str">
        <f aca="false">IF(M1992=1,"✓","")</f>
        <v/>
      </c>
      <c r="K1992" s="4" t="str">
        <f aca="false">IF(AND(M1992=0,P1992=0),"▶ NEXT","")</f>
        <v/>
      </c>
      <c r="L1992" s="4" t="n">
        <f aca="false">INDEX('Master List'!$F$2:$F$2594,O1992)</f>
        <v>2</v>
      </c>
      <c r="M1992" s="4" t="n">
        <f aca="false">INDEX('Master List'!$G$2:$G$2594,O1992)</f>
        <v>0</v>
      </c>
      <c r="N1992" s="4" t="str">
        <f aca="false">IF(K1992="","",A1992)</f>
        <v/>
      </c>
      <c r="O1992" s="4" t="n">
        <v>404</v>
      </c>
      <c r="P1992" s="4" t="n">
        <f aca="false">IF(A1992=A1991,P1991+1-M1991,0)</f>
        <v>3</v>
      </c>
    </row>
    <row r="1993" customFormat="false" ht="15" hidden="false" customHeight="false" outlineLevel="0" collapsed="false">
      <c r="A1993" s="30" t="s">
        <v>4196</v>
      </c>
      <c r="B1993" s="30" t="s">
        <v>53</v>
      </c>
      <c r="C1993" s="30" t="s">
        <v>104</v>
      </c>
      <c r="D1993" s="30" t="s">
        <v>164</v>
      </c>
      <c r="E1993" s="4" t="n">
        <v>11</v>
      </c>
      <c r="F1993" s="4" t="s">
        <v>213</v>
      </c>
      <c r="G1993" s="4" t="s">
        <v>2673</v>
      </c>
      <c r="H1993" s="4" t="n">
        <v>1997</v>
      </c>
      <c r="I1993" s="4" t="s">
        <v>164</v>
      </c>
      <c r="J1993" s="25" t="str">
        <f aca="false">IF(M1993=1,"✓","")</f>
        <v/>
      </c>
      <c r="K1993" s="4" t="str">
        <f aca="false">IF(AND(M1993=0,P1993=0),"▶ NEXT","")</f>
        <v/>
      </c>
      <c r="L1993" s="4" t="n">
        <f aca="false">INDEX('Master List'!$F$2:$F$2594,O1993)</f>
        <v>1</v>
      </c>
      <c r="M1993" s="4" t="n">
        <f aca="false">INDEX('Master List'!$G$2:$G$2594,O1993)</f>
        <v>0</v>
      </c>
      <c r="N1993" s="4" t="str">
        <f aca="false">IF(K1993="","",A1993)</f>
        <v/>
      </c>
      <c r="O1993" s="4" t="n">
        <v>1273</v>
      </c>
      <c r="P1993" s="4" t="n">
        <f aca="false">IF(A1993=A1992,P1992+1-M1992,0)</f>
        <v>4</v>
      </c>
    </row>
    <row r="1994" customFormat="false" ht="15" hidden="false" customHeight="false" outlineLevel="0" collapsed="false">
      <c r="A1994" s="30" t="s">
        <v>4196</v>
      </c>
      <c r="B1994" s="30" t="s">
        <v>53</v>
      </c>
      <c r="C1994" s="30" t="s">
        <v>104</v>
      </c>
      <c r="D1994" s="30" t="s">
        <v>164</v>
      </c>
      <c r="E1994" s="4" t="n">
        <v>12</v>
      </c>
      <c r="F1994" s="4" t="s">
        <v>213</v>
      </c>
      <c r="G1994" s="4" t="s">
        <v>1175</v>
      </c>
      <c r="H1994" s="4" t="n">
        <v>2006</v>
      </c>
      <c r="I1994" s="4" t="s">
        <v>164</v>
      </c>
      <c r="J1994" s="25" t="str">
        <f aca="false">IF(M1994=1,"✓","")</f>
        <v>✓</v>
      </c>
      <c r="K1994" s="4" t="str">
        <f aca="false">IF(AND(M1994=0,P1994=0),"▶ NEXT","")</f>
        <v/>
      </c>
      <c r="L1994" s="4" t="n">
        <f aca="false">INDEX('Master List'!$F$2:$F$2594,O1994)</f>
        <v>2</v>
      </c>
      <c r="M1994" s="4" t="n">
        <f aca="false">INDEX('Master List'!$G$2:$G$2594,O1994)</f>
        <v>1</v>
      </c>
      <c r="N1994" s="4" t="str">
        <f aca="false">IF(K1994="","",A1994)</f>
        <v/>
      </c>
      <c r="O1994" s="4" t="n">
        <v>611</v>
      </c>
      <c r="P1994" s="4" t="n">
        <f aca="false">IF(A1994=A1993,P1993+1-M1993,0)</f>
        <v>5</v>
      </c>
    </row>
    <row r="1995" customFormat="false" ht="15" hidden="false" customHeight="false" outlineLevel="0" collapsed="false">
      <c r="A1995" s="30" t="s">
        <v>4196</v>
      </c>
      <c r="B1995" s="30" t="s">
        <v>53</v>
      </c>
      <c r="C1995" s="30" t="s">
        <v>104</v>
      </c>
      <c r="D1995" s="30" t="s">
        <v>164</v>
      </c>
      <c r="E1995" s="4" t="n">
        <v>13</v>
      </c>
      <c r="F1995" s="4" t="s">
        <v>213</v>
      </c>
      <c r="G1995" s="4" t="s">
        <v>3032</v>
      </c>
      <c r="H1995" s="4" t="n">
        <v>2013</v>
      </c>
      <c r="I1995" s="4" t="s">
        <v>164</v>
      </c>
      <c r="J1995" s="25" t="str">
        <f aca="false">IF(M1995=1,"✓","")</f>
        <v>✓</v>
      </c>
      <c r="K1995" s="4" t="str">
        <f aca="false">IF(AND(M1995=0,P1995=0),"▶ NEXT","")</f>
        <v/>
      </c>
      <c r="L1995" s="4" t="n">
        <f aca="false">INDEX('Master List'!$F$2:$F$2594,O1995)</f>
        <v>1</v>
      </c>
      <c r="M1995" s="4" t="n">
        <f aca="false">INDEX('Master List'!$G$2:$G$2594,O1995)</f>
        <v>1</v>
      </c>
      <c r="N1995" s="4" t="str">
        <f aca="false">IF(K1995="","",A1995)</f>
        <v/>
      </c>
      <c r="O1995" s="4" t="n">
        <v>2542</v>
      </c>
      <c r="P1995" s="4" t="n">
        <f aca="false">IF(A1995=A1994,P1994+1-M1994,0)</f>
        <v>5</v>
      </c>
    </row>
    <row r="1996" customFormat="false" ht="15" hidden="false" customHeight="false" outlineLevel="0" collapsed="false">
      <c r="A1996" s="30" t="s">
        <v>4196</v>
      </c>
      <c r="B1996" s="30" t="s">
        <v>53</v>
      </c>
      <c r="C1996" s="30" t="s">
        <v>104</v>
      </c>
      <c r="D1996" s="30" t="s">
        <v>164</v>
      </c>
      <c r="E1996" s="4" t="n">
        <v>14</v>
      </c>
      <c r="F1996" s="4" t="s">
        <v>213</v>
      </c>
      <c r="G1996" s="4" t="s">
        <v>1229</v>
      </c>
      <c r="H1996" s="4" t="n">
        <v>2016</v>
      </c>
      <c r="I1996" s="4" t="s">
        <v>164</v>
      </c>
      <c r="J1996" s="25" t="str">
        <f aca="false">IF(M1996=1,"✓","")</f>
        <v>✓</v>
      </c>
      <c r="K1996" s="4" t="str">
        <f aca="false">IF(AND(M1996=0,P1996=0),"▶ NEXT","")</f>
        <v/>
      </c>
      <c r="L1996" s="4" t="n">
        <f aca="false">INDEX('Master List'!$F$2:$F$2594,O1996)</f>
        <v>2</v>
      </c>
      <c r="M1996" s="4" t="n">
        <f aca="false">INDEX('Master List'!$G$2:$G$2594,O1996)</f>
        <v>1</v>
      </c>
      <c r="N1996" s="4" t="str">
        <f aca="false">IF(K1996="","",A1996)</f>
        <v/>
      </c>
      <c r="O1996" s="4" t="n">
        <v>2068</v>
      </c>
      <c r="P1996" s="4" t="n">
        <f aca="false">IF(A1996=A1995,P1995+1-M1995,0)</f>
        <v>5</v>
      </c>
    </row>
    <row r="1997" customFormat="false" ht="15" hidden="false" customHeight="false" outlineLevel="0" collapsed="false">
      <c r="A1997" s="30" t="s">
        <v>4196</v>
      </c>
      <c r="B1997" s="30" t="s">
        <v>53</v>
      </c>
      <c r="C1997" s="30" t="s">
        <v>104</v>
      </c>
      <c r="D1997" s="30" t="s">
        <v>164</v>
      </c>
      <c r="E1997" s="4" t="n">
        <v>15</v>
      </c>
      <c r="F1997" s="4" t="s">
        <v>213</v>
      </c>
      <c r="G1997" s="4" t="s">
        <v>1254</v>
      </c>
      <c r="H1997" s="4" t="n">
        <v>2019</v>
      </c>
      <c r="I1997" s="4" t="s">
        <v>164</v>
      </c>
      <c r="J1997" s="25" t="str">
        <f aca="false">IF(M1997=1,"✓","")</f>
        <v/>
      </c>
      <c r="K1997" s="4" t="str">
        <f aca="false">IF(AND(M1997=0,P1997=0),"▶ NEXT","")</f>
        <v/>
      </c>
      <c r="L1997" s="4" t="n">
        <f aca="false">INDEX('Master List'!$F$2:$F$2594,O1997)</f>
        <v>2</v>
      </c>
      <c r="M1997" s="4" t="n">
        <f aca="false">INDEX('Master List'!$G$2:$G$2594,O1997)</f>
        <v>0</v>
      </c>
      <c r="N1997" s="4" t="str">
        <f aca="false">IF(K1997="","",A1997)</f>
        <v/>
      </c>
      <c r="O1997" s="4" t="n">
        <v>1164</v>
      </c>
      <c r="P1997" s="4" t="n">
        <f aca="false">IF(A1997=A1996,P1996+1-M1996,0)</f>
        <v>5</v>
      </c>
    </row>
    <row r="1998" customFormat="false" ht="15" hidden="false" customHeight="false" outlineLevel="0" collapsed="false">
      <c r="A1998" s="30" t="s">
        <v>4196</v>
      </c>
      <c r="B1998" s="30" t="s">
        <v>53</v>
      </c>
      <c r="C1998" s="30" t="s">
        <v>104</v>
      </c>
      <c r="D1998" s="30" t="s">
        <v>164</v>
      </c>
      <c r="E1998" s="4" t="n">
        <v>16</v>
      </c>
      <c r="F1998" s="4" t="s">
        <v>213</v>
      </c>
      <c r="G1998" s="4" t="s">
        <v>654</v>
      </c>
      <c r="H1998" s="4" t="n">
        <v>2023</v>
      </c>
      <c r="I1998" s="4" t="s">
        <v>164</v>
      </c>
      <c r="J1998" s="25" t="str">
        <f aca="false">IF(M1998=1,"✓","")</f>
        <v/>
      </c>
      <c r="K1998" s="4" t="str">
        <f aca="false">IF(AND(M1998=0,P1998=0),"▶ NEXT","")</f>
        <v/>
      </c>
      <c r="L1998" s="4" t="n">
        <f aca="false">INDEX('Master List'!$F$2:$F$2594,O1998)</f>
        <v>3</v>
      </c>
      <c r="M1998" s="4" t="n">
        <f aca="false">INDEX('Master List'!$G$2:$G$2594,O1998)</f>
        <v>0</v>
      </c>
      <c r="N1998" s="4" t="str">
        <f aca="false">IF(K1998="","",A1998)</f>
        <v/>
      </c>
      <c r="O1998" s="4" t="n">
        <v>1251</v>
      </c>
      <c r="P1998" s="4" t="n">
        <f aca="false">IF(A1998=A1997,P1997+1-M1997,0)</f>
        <v>6</v>
      </c>
    </row>
    <row r="1999" customFormat="false" ht="15" hidden="false" customHeight="false" outlineLevel="0" collapsed="false">
      <c r="A1999" s="30" t="s">
        <v>4196</v>
      </c>
      <c r="B1999" s="30" t="s">
        <v>53</v>
      </c>
      <c r="C1999" s="30" t="s">
        <v>104</v>
      </c>
      <c r="D1999" s="30" t="s">
        <v>164</v>
      </c>
      <c r="E1999" s="4" t="n">
        <v>17</v>
      </c>
      <c r="F1999" s="4" t="s">
        <v>1327</v>
      </c>
      <c r="G1999" s="4" t="s">
        <v>3711</v>
      </c>
      <c r="H1999" s="4" t="n">
        <v>1999</v>
      </c>
      <c r="I1999" s="4" t="s">
        <v>164</v>
      </c>
      <c r="J1999" s="25" t="str">
        <f aca="false">IF(M1999=1,"✓","")</f>
        <v>✓</v>
      </c>
      <c r="K1999" s="4" t="str">
        <f aca="false">IF(AND(M1999=0,P1999=0),"▶ NEXT","")</f>
        <v/>
      </c>
      <c r="L1999" s="4" t="n">
        <f aca="false">INDEX('Master List'!$F$2:$F$2594,O1999)</f>
        <v>1</v>
      </c>
      <c r="M1999" s="4" t="n">
        <f aca="false">INDEX('Master List'!$G$2:$G$2594,O1999)</f>
        <v>1</v>
      </c>
      <c r="N1999" s="4" t="str">
        <f aca="false">IF(K1999="","",A1999)</f>
        <v/>
      </c>
      <c r="O1999" s="4" t="n">
        <v>352</v>
      </c>
      <c r="P1999" s="4" t="n">
        <f aca="false">IF(A1999=A1998,P1998+1-M1998,0)</f>
        <v>7</v>
      </c>
    </row>
    <row r="2000" customFormat="false" ht="15" hidden="false" customHeight="false" outlineLevel="0" collapsed="false">
      <c r="A2000" s="30" t="s">
        <v>4196</v>
      </c>
      <c r="B2000" s="30" t="s">
        <v>53</v>
      </c>
      <c r="C2000" s="30" t="s">
        <v>104</v>
      </c>
      <c r="D2000" s="30" t="s">
        <v>164</v>
      </c>
      <c r="E2000" s="4" t="n">
        <v>18</v>
      </c>
      <c r="F2000" s="4" t="s">
        <v>1327</v>
      </c>
      <c r="G2000" s="4" t="s">
        <v>3539</v>
      </c>
      <c r="H2000" s="4" t="n">
        <v>1974</v>
      </c>
      <c r="I2000" s="4" t="s">
        <v>164</v>
      </c>
      <c r="J2000" s="25" t="str">
        <f aca="false">IF(M2000=1,"✓","")</f>
        <v/>
      </c>
      <c r="K2000" s="4" t="str">
        <f aca="false">IF(AND(M2000=0,P2000=0),"▶ NEXT","")</f>
        <v/>
      </c>
      <c r="L2000" s="4" t="n">
        <f aca="false">INDEX('Master List'!$F$2:$F$2594,O2000)</f>
        <v>1</v>
      </c>
      <c r="M2000" s="4" t="n">
        <f aca="false">INDEX('Master List'!$G$2:$G$2594,O2000)</f>
        <v>0</v>
      </c>
      <c r="N2000" s="4" t="str">
        <f aca="false">IF(K2000="","",A2000)</f>
        <v/>
      </c>
      <c r="O2000" s="4" t="n">
        <v>1184</v>
      </c>
      <c r="P2000" s="4" t="n">
        <f aca="false">IF(A2000=A1999,P1999+1-M1999,0)</f>
        <v>7</v>
      </c>
    </row>
    <row r="2001" customFormat="false" ht="15" hidden="false" customHeight="false" outlineLevel="0" collapsed="false">
      <c r="A2001" s="30" t="s">
        <v>4197</v>
      </c>
      <c r="B2001" s="30" t="s">
        <v>53</v>
      </c>
      <c r="C2001" s="30" t="s">
        <v>104</v>
      </c>
      <c r="D2001" s="30" t="s">
        <v>172</v>
      </c>
      <c r="E2001" s="4" t="n">
        <v>1</v>
      </c>
      <c r="F2001" s="4" t="s">
        <v>144</v>
      </c>
      <c r="G2001" s="7" t="s">
        <v>206</v>
      </c>
      <c r="H2001" s="4" t="n">
        <v>1972</v>
      </c>
      <c r="I2001" s="4" t="s">
        <v>172</v>
      </c>
      <c r="J2001" s="25" t="str">
        <f aca="false">IF(M2001=1,"✓","")</f>
        <v>✓</v>
      </c>
      <c r="K2001" s="4" t="str">
        <f aca="false">IF(AND(M2001=0,P2001=0),"▶ NEXT","")</f>
        <v/>
      </c>
      <c r="L2001" s="4" t="n">
        <f aca="false">INDEX('Master List'!$F$2:$F$2594,O2001)</f>
        <v>6</v>
      </c>
      <c r="M2001" s="4" t="n">
        <f aca="false">INDEX('Master List'!$G$2:$G$2594,O2001)</f>
        <v>1</v>
      </c>
      <c r="N2001" s="4" t="str">
        <f aca="false">IF(K2001="","",A2001)</f>
        <v/>
      </c>
      <c r="O2001" s="4" t="n">
        <v>909</v>
      </c>
      <c r="P2001" s="4" t="n">
        <f aca="false">IF(A2001=A2000,P2000+1-M2000,0)</f>
        <v>0</v>
      </c>
    </row>
    <row r="2002" customFormat="false" ht="15" hidden="false" customHeight="false" outlineLevel="0" collapsed="false">
      <c r="A2002" s="30" t="s">
        <v>4197</v>
      </c>
      <c r="B2002" s="30" t="s">
        <v>53</v>
      </c>
      <c r="C2002" s="30" t="s">
        <v>104</v>
      </c>
      <c r="D2002" s="30" t="s">
        <v>172</v>
      </c>
      <c r="E2002" s="4" t="n">
        <v>2</v>
      </c>
      <c r="F2002" s="4" t="s">
        <v>144</v>
      </c>
      <c r="G2002" s="7" t="s">
        <v>171</v>
      </c>
      <c r="H2002" s="4" t="n">
        <v>1974</v>
      </c>
      <c r="I2002" s="4" t="s">
        <v>172</v>
      </c>
      <c r="J2002" s="25" t="str">
        <f aca="false">IF(M2002=1,"✓","")</f>
        <v>✓</v>
      </c>
      <c r="K2002" s="4" t="str">
        <f aca="false">IF(AND(M2002=0,P2002=0),"▶ NEXT","")</f>
        <v/>
      </c>
      <c r="L2002" s="4" t="n">
        <f aca="false">INDEX('Master List'!$F$2:$F$2594,O2002)</f>
        <v>8</v>
      </c>
      <c r="M2002" s="4" t="n">
        <f aca="false">INDEX('Master List'!$G$2:$G$2594,O2002)</f>
        <v>1</v>
      </c>
      <c r="N2002" s="4" t="str">
        <f aca="false">IF(K2002="","",A2002)</f>
        <v/>
      </c>
      <c r="O2002" s="4" t="n">
        <v>520</v>
      </c>
      <c r="P2002" s="4" t="n">
        <f aca="false">IF(A2002=A2001,P2001+1-M2001,0)</f>
        <v>0</v>
      </c>
    </row>
    <row r="2003" customFormat="false" ht="15" hidden="false" customHeight="false" outlineLevel="0" collapsed="false">
      <c r="A2003" s="30" t="s">
        <v>4197</v>
      </c>
      <c r="B2003" s="30" t="s">
        <v>53</v>
      </c>
      <c r="C2003" s="30" t="s">
        <v>104</v>
      </c>
      <c r="D2003" s="30" t="s">
        <v>172</v>
      </c>
      <c r="E2003" s="4" t="n">
        <v>3</v>
      </c>
      <c r="F2003" s="4" t="s">
        <v>213</v>
      </c>
      <c r="G2003" s="4" t="s">
        <v>393</v>
      </c>
      <c r="H2003" s="4" t="n">
        <v>1974</v>
      </c>
      <c r="I2003" s="4" t="s">
        <v>172</v>
      </c>
      <c r="J2003" s="25" t="str">
        <f aca="false">IF(M2003=1,"✓","")</f>
        <v/>
      </c>
      <c r="K2003" s="4" t="str">
        <f aca="false">IF(AND(M2003=0,P2003=0),"▶ NEXT","")</f>
        <v>▶ NEXT</v>
      </c>
      <c r="L2003" s="4" t="n">
        <f aca="false">INDEX('Master List'!$F$2:$F$2594,O2003)</f>
        <v>4</v>
      </c>
      <c r="M2003" s="4" t="n">
        <f aca="false">INDEX('Master List'!$G$2:$G$2594,O2003)</f>
        <v>0</v>
      </c>
      <c r="N2003" s="4" t="str">
        <f aca="false">IF(K2003="","",A2003)</f>
        <v>N166</v>
      </c>
      <c r="O2003" s="4" t="n">
        <v>910</v>
      </c>
      <c r="P2003" s="4" t="n">
        <f aca="false">IF(A2003=A2002,P2002+1-M2002,0)</f>
        <v>0</v>
      </c>
    </row>
    <row r="2004" customFormat="false" ht="15" hidden="false" customHeight="false" outlineLevel="0" collapsed="false">
      <c r="A2004" s="30" t="s">
        <v>4197</v>
      </c>
      <c r="B2004" s="30" t="s">
        <v>53</v>
      </c>
      <c r="C2004" s="30" t="s">
        <v>104</v>
      </c>
      <c r="D2004" s="30" t="s">
        <v>172</v>
      </c>
      <c r="E2004" s="4" t="n">
        <v>4</v>
      </c>
      <c r="F2004" s="4" t="s">
        <v>213</v>
      </c>
      <c r="G2004" s="4" t="s">
        <v>201</v>
      </c>
      <c r="H2004" s="4" t="n">
        <v>1979</v>
      </c>
      <c r="I2004" s="4" t="s">
        <v>172</v>
      </c>
      <c r="J2004" s="25" t="str">
        <f aca="false">IF(M2004=1,"✓","")</f>
        <v>✓</v>
      </c>
      <c r="K2004" s="4" t="str">
        <f aca="false">IF(AND(M2004=0,P2004=0),"▶ NEXT","")</f>
        <v/>
      </c>
      <c r="L2004" s="4" t="n">
        <f aca="false">INDEX('Master List'!$F$2:$F$2594,O2004)</f>
        <v>7</v>
      </c>
      <c r="M2004" s="4" t="n">
        <f aca="false">INDEX('Master List'!$G$2:$G$2594,O2004)</f>
        <v>1</v>
      </c>
      <c r="N2004" s="4" t="str">
        <f aca="false">IF(K2004="","",A2004)</f>
        <v/>
      </c>
      <c r="O2004" s="4" t="n">
        <v>121</v>
      </c>
      <c r="P2004" s="4" t="n">
        <f aca="false">IF(A2004=A2003,P2003+1-M2003,0)</f>
        <v>1</v>
      </c>
    </row>
    <row r="2005" customFormat="false" ht="15" hidden="false" customHeight="false" outlineLevel="0" collapsed="false">
      <c r="A2005" s="30" t="s">
        <v>4197</v>
      </c>
      <c r="B2005" s="30" t="s">
        <v>53</v>
      </c>
      <c r="C2005" s="30" t="s">
        <v>104</v>
      </c>
      <c r="D2005" s="30" t="s">
        <v>172</v>
      </c>
      <c r="E2005" s="4" t="n">
        <v>5</v>
      </c>
      <c r="F2005" s="4" t="s">
        <v>213</v>
      </c>
      <c r="G2005" s="4" t="s">
        <v>2144</v>
      </c>
      <c r="H2005" s="4" t="n">
        <v>1969</v>
      </c>
      <c r="I2005" s="4" t="s">
        <v>172</v>
      </c>
      <c r="J2005" s="25" t="str">
        <f aca="false">IF(M2005=1,"✓","")</f>
        <v/>
      </c>
      <c r="K2005" s="4" t="str">
        <f aca="false">IF(AND(M2005=0,P2005=0),"▶ NEXT","")</f>
        <v/>
      </c>
      <c r="L2005" s="4" t="n">
        <f aca="false">INDEX('Master List'!$F$2:$F$2594,O2005)</f>
        <v>1</v>
      </c>
      <c r="M2005" s="4" t="n">
        <f aca="false">INDEX('Master List'!$G$2:$G$2594,O2005)</f>
        <v>0</v>
      </c>
      <c r="N2005" s="4" t="str">
        <f aca="false">IF(K2005="","",A2005)</f>
        <v/>
      </c>
      <c r="O2005" s="4" t="n">
        <v>1855</v>
      </c>
      <c r="P2005" s="4" t="n">
        <f aca="false">IF(A2005=A2004,P2004+1-M2004,0)</f>
        <v>1</v>
      </c>
    </row>
    <row r="2006" customFormat="false" ht="15" hidden="false" customHeight="false" outlineLevel="0" collapsed="false">
      <c r="A2006" s="30" t="s">
        <v>4197</v>
      </c>
      <c r="B2006" s="30" t="s">
        <v>53</v>
      </c>
      <c r="C2006" s="30" t="s">
        <v>104</v>
      </c>
      <c r="D2006" s="30" t="s">
        <v>172</v>
      </c>
      <c r="E2006" s="4" t="n">
        <v>6</v>
      </c>
      <c r="F2006" s="4" t="s">
        <v>213</v>
      </c>
      <c r="G2006" s="4" t="s">
        <v>2365</v>
      </c>
      <c r="H2006" s="4" t="n">
        <v>1982</v>
      </c>
      <c r="I2006" s="4" t="s">
        <v>172</v>
      </c>
      <c r="J2006" s="25" t="str">
        <f aca="false">IF(M2006=1,"✓","")</f>
        <v>✓</v>
      </c>
      <c r="K2006" s="4" t="str">
        <f aca="false">IF(AND(M2006=0,P2006=0),"▶ NEXT","")</f>
        <v/>
      </c>
      <c r="L2006" s="4" t="n">
        <f aca="false">INDEX('Master List'!$F$2:$F$2594,O2006)</f>
        <v>1</v>
      </c>
      <c r="M2006" s="4" t="n">
        <f aca="false">INDEX('Master List'!$G$2:$G$2594,O2006)</f>
        <v>1</v>
      </c>
      <c r="N2006" s="4" t="str">
        <f aca="false">IF(K2006="","",A2006)</f>
        <v/>
      </c>
      <c r="O2006" s="4" t="n">
        <v>1679</v>
      </c>
      <c r="P2006" s="4" t="n">
        <f aca="false">IF(A2006=A2005,P2005+1-M2005,0)</f>
        <v>2</v>
      </c>
    </row>
    <row r="2007" customFormat="false" ht="15" hidden="false" customHeight="false" outlineLevel="0" collapsed="false">
      <c r="A2007" s="30" t="s">
        <v>4197</v>
      </c>
      <c r="B2007" s="30" t="s">
        <v>53</v>
      </c>
      <c r="C2007" s="30" t="s">
        <v>104</v>
      </c>
      <c r="D2007" s="30" t="s">
        <v>172</v>
      </c>
      <c r="E2007" s="4" t="n">
        <v>7</v>
      </c>
      <c r="F2007" s="4" t="s">
        <v>213</v>
      </c>
      <c r="G2007" s="4" t="s">
        <v>2383</v>
      </c>
      <c r="H2007" s="4" t="n">
        <v>1983</v>
      </c>
      <c r="I2007" s="4" t="s">
        <v>172</v>
      </c>
      <c r="J2007" s="25" t="str">
        <f aca="false">IF(M2007=1,"✓","")</f>
        <v/>
      </c>
      <c r="K2007" s="4" t="str">
        <f aca="false">IF(AND(M2007=0,P2007=0),"▶ NEXT","")</f>
        <v/>
      </c>
      <c r="L2007" s="4" t="n">
        <f aca="false">INDEX('Master List'!$F$2:$F$2594,O2007)</f>
        <v>1</v>
      </c>
      <c r="M2007" s="4" t="n">
        <f aca="false">INDEX('Master List'!$G$2:$G$2594,O2007)</f>
        <v>0</v>
      </c>
      <c r="N2007" s="4" t="str">
        <f aca="false">IF(K2007="","",A2007)</f>
        <v/>
      </c>
      <c r="O2007" s="4" t="n">
        <v>1702</v>
      </c>
      <c r="P2007" s="4" t="n">
        <f aca="false">IF(A2007=A2006,P2006+1-M2006,0)</f>
        <v>2</v>
      </c>
    </row>
    <row r="2008" customFormat="false" ht="15" hidden="false" customHeight="false" outlineLevel="0" collapsed="false">
      <c r="A2008" s="30" t="s">
        <v>4197</v>
      </c>
      <c r="B2008" s="30" t="s">
        <v>53</v>
      </c>
      <c r="C2008" s="30" t="s">
        <v>104</v>
      </c>
      <c r="D2008" s="30" t="s">
        <v>172</v>
      </c>
      <c r="E2008" s="4" t="n">
        <v>8</v>
      </c>
      <c r="F2008" s="4" t="s">
        <v>213</v>
      </c>
      <c r="G2008" s="4" t="s">
        <v>2384</v>
      </c>
      <c r="H2008" s="4" t="n">
        <v>1983</v>
      </c>
      <c r="I2008" s="4" t="s">
        <v>172</v>
      </c>
      <c r="J2008" s="25" t="str">
        <f aca="false">IF(M2008=1,"✓","")</f>
        <v>✓</v>
      </c>
      <c r="K2008" s="4" t="str">
        <f aca="false">IF(AND(M2008=0,P2008=0),"▶ NEXT","")</f>
        <v/>
      </c>
      <c r="L2008" s="4" t="n">
        <f aca="false">INDEX('Master List'!$F$2:$F$2594,O2008)</f>
        <v>1</v>
      </c>
      <c r="M2008" s="4" t="n">
        <f aca="false">INDEX('Master List'!$G$2:$G$2594,O2008)</f>
        <v>1</v>
      </c>
      <c r="N2008" s="4" t="str">
        <f aca="false">IF(K2008="","",A2008)</f>
        <v/>
      </c>
      <c r="O2008" s="4" t="n">
        <v>1944</v>
      </c>
      <c r="P2008" s="4" t="n">
        <f aca="false">IF(A2008=A2007,P2007+1-M2007,0)</f>
        <v>3</v>
      </c>
    </row>
    <row r="2009" customFormat="false" ht="15" hidden="false" customHeight="false" outlineLevel="0" collapsed="false">
      <c r="A2009" s="30" t="s">
        <v>4197</v>
      </c>
      <c r="B2009" s="30" t="s">
        <v>53</v>
      </c>
      <c r="C2009" s="30" t="s">
        <v>104</v>
      </c>
      <c r="D2009" s="30" t="s">
        <v>172</v>
      </c>
      <c r="E2009" s="4" t="n">
        <v>9</v>
      </c>
      <c r="F2009" s="4" t="s">
        <v>213</v>
      </c>
      <c r="G2009" s="4" t="s">
        <v>2543</v>
      </c>
      <c r="H2009" s="4" t="n">
        <v>1992</v>
      </c>
      <c r="I2009" s="4" t="s">
        <v>172</v>
      </c>
      <c r="J2009" s="25" t="str">
        <f aca="false">IF(M2009=1,"✓","")</f>
        <v/>
      </c>
      <c r="K2009" s="4" t="str">
        <f aca="false">IF(AND(M2009=0,P2009=0),"▶ NEXT","")</f>
        <v/>
      </c>
      <c r="L2009" s="4" t="n">
        <f aca="false">INDEX('Master List'!$F$2:$F$2594,O2009)</f>
        <v>1</v>
      </c>
      <c r="M2009" s="4" t="n">
        <f aca="false">INDEX('Master List'!$G$2:$G$2594,O2009)</f>
        <v>0</v>
      </c>
      <c r="N2009" s="4" t="str">
        <f aca="false">IF(K2009="","",A2009)</f>
        <v/>
      </c>
      <c r="O2009" s="4" t="n">
        <v>335</v>
      </c>
      <c r="P2009" s="4" t="n">
        <f aca="false">IF(A2009=A2008,P2008+1-M2008,0)</f>
        <v>3</v>
      </c>
    </row>
    <row r="2010" customFormat="false" ht="15" hidden="false" customHeight="false" outlineLevel="0" collapsed="false">
      <c r="A2010" s="30" t="s">
        <v>4197</v>
      </c>
      <c r="B2010" s="30" t="s">
        <v>53</v>
      </c>
      <c r="C2010" s="30" t="s">
        <v>104</v>
      </c>
      <c r="D2010" s="30" t="s">
        <v>172</v>
      </c>
      <c r="E2010" s="4" t="n">
        <v>10</v>
      </c>
      <c r="F2010" s="4" t="s">
        <v>1327</v>
      </c>
      <c r="G2010" s="4" t="s">
        <v>3648</v>
      </c>
      <c r="H2010" s="4" t="n">
        <v>1988</v>
      </c>
      <c r="I2010" s="4" t="s">
        <v>172</v>
      </c>
      <c r="J2010" s="25" t="str">
        <f aca="false">IF(M2010=1,"✓","")</f>
        <v>✓</v>
      </c>
      <c r="K2010" s="4" t="str">
        <f aca="false">IF(AND(M2010=0,P2010=0),"▶ NEXT","")</f>
        <v/>
      </c>
      <c r="L2010" s="4" t="n">
        <f aca="false">INDEX('Master List'!$F$2:$F$2594,O2010)</f>
        <v>1</v>
      </c>
      <c r="M2010" s="4" t="n">
        <f aca="false">INDEX('Master List'!$G$2:$G$2594,O2010)</f>
        <v>1</v>
      </c>
      <c r="N2010" s="4" t="str">
        <f aca="false">IF(K2010="","",A2010)</f>
        <v/>
      </c>
      <c r="O2010" s="4" t="n">
        <v>2381</v>
      </c>
      <c r="P2010" s="4" t="n">
        <f aca="false">IF(A2010=A2009,P2009+1-M2009,0)</f>
        <v>4</v>
      </c>
    </row>
    <row r="2011" customFormat="false" ht="15" hidden="false" customHeight="false" outlineLevel="0" collapsed="false">
      <c r="A2011" s="30" t="s">
        <v>4197</v>
      </c>
      <c r="B2011" s="30" t="s">
        <v>53</v>
      </c>
      <c r="C2011" s="30" t="s">
        <v>104</v>
      </c>
      <c r="D2011" s="30" t="s">
        <v>172</v>
      </c>
      <c r="E2011" s="4" t="n">
        <v>11</v>
      </c>
      <c r="F2011" s="4" t="s">
        <v>1327</v>
      </c>
      <c r="G2011" s="4" t="s">
        <v>1379</v>
      </c>
      <c r="H2011" s="4" t="n">
        <v>1991</v>
      </c>
      <c r="I2011" s="4" t="s">
        <v>1380</v>
      </c>
      <c r="J2011" s="25" t="str">
        <f aca="false">IF(M2011=1,"✓","")</f>
        <v>✓</v>
      </c>
      <c r="K2011" s="4" t="str">
        <f aca="false">IF(AND(M2011=0,P2011=0),"▶ NEXT","")</f>
        <v/>
      </c>
      <c r="L2011" s="4" t="n">
        <f aca="false">INDEX('Master List'!$F$2:$F$2594,O2011)</f>
        <v>2</v>
      </c>
      <c r="M2011" s="4" t="n">
        <f aca="false">INDEX('Master List'!$G$2:$G$2594,O2011)</f>
        <v>1</v>
      </c>
      <c r="N2011" s="4" t="str">
        <f aca="false">IF(K2011="","",A2011)</f>
        <v/>
      </c>
      <c r="O2011" s="4" t="n">
        <v>1010</v>
      </c>
      <c r="P2011" s="4" t="n">
        <f aca="false">IF(A2011=A2010,P2010+1-M2010,0)</f>
        <v>4</v>
      </c>
    </row>
    <row r="2012" customFormat="false" ht="15" hidden="false" customHeight="false" outlineLevel="0" collapsed="false">
      <c r="A2012" s="30" t="s">
        <v>4198</v>
      </c>
      <c r="B2012" s="30" t="s">
        <v>53</v>
      </c>
      <c r="C2012" s="30" t="s">
        <v>104</v>
      </c>
      <c r="D2012" s="30" t="s">
        <v>197</v>
      </c>
      <c r="E2012" s="4" t="n">
        <v>1</v>
      </c>
      <c r="F2012" s="4" t="s">
        <v>144</v>
      </c>
      <c r="G2012" s="7" t="s">
        <v>196</v>
      </c>
      <c r="H2012" s="4" t="n">
        <v>1975</v>
      </c>
      <c r="I2012" s="4" t="s">
        <v>197</v>
      </c>
      <c r="J2012" s="25" t="str">
        <f aca="false">IF(M2012=1,"✓","")</f>
        <v>✓</v>
      </c>
      <c r="K2012" s="4" t="str">
        <f aca="false">IF(AND(M2012=0,P2012=0),"▶ NEXT","")</f>
        <v/>
      </c>
      <c r="L2012" s="4" t="n">
        <f aca="false">INDEX('Master List'!$F$2:$F$2594,O2012)</f>
        <v>6</v>
      </c>
      <c r="M2012" s="4" t="n">
        <f aca="false">INDEX('Master List'!$G$2:$G$2594,O2012)</f>
        <v>1</v>
      </c>
      <c r="N2012" s="4" t="str">
        <f aca="false">IF(K2012="","",A2012)</f>
        <v/>
      </c>
      <c r="O2012" s="4" t="n">
        <v>1587</v>
      </c>
      <c r="P2012" s="4" t="n">
        <f aca="false">IF(A2012=A2011,P2011+1-M2011,0)</f>
        <v>0</v>
      </c>
    </row>
    <row r="2013" customFormat="false" ht="15" hidden="false" customHeight="false" outlineLevel="0" collapsed="false">
      <c r="A2013" s="30" t="s">
        <v>4198</v>
      </c>
      <c r="B2013" s="30" t="s">
        <v>53</v>
      </c>
      <c r="C2013" s="30" t="s">
        <v>104</v>
      </c>
      <c r="D2013" s="30" t="s">
        <v>197</v>
      </c>
      <c r="E2013" s="4" t="n">
        <v>2</v>
      </c>
      <c r="F2013" s="4" t="s">
        <v>144</v>
      </c>
      <c r="G2013" s="7" t="s">
        <v>480</v>
      </c>
      <c r="H2013" s="4" t="n">
        <v>1973</v>
      </c>
      <c r="I2013" s="4" t="s">
        <v>197</v>
      </c>
      <c r="J2013" s="25" t="str">
        <f aca="false">IF(M2013=1,"✓","")</f>
        <v>✓</v>
      </c>
      <c r="K2013" s="4" t="str">
        <f aca="false">IF(AND(M2013=0,P2013=0),"▶ NEXT","")</f>
        <v/>
      </c>
      <c r="L2013" s="4" t="n">
        <f aca="false">INDEX('Master List'!$F$2:$F$2594,O2013)</f>
        <v>3</v>
      </c>
      <c r="M2013" s="4" t="n">
        <f aca="false">INDEX('Master List'!$G$2:$G$2594,O2013)</f>
        <v>1</v>
      </c>
      <c r="N2013" s="4" t="str">
        <f aca="false">IF(K2013="","",A2013)</f>
        <v/>
      </c>
      <c r="O2013" s="4" t="n">
        <v>1377</v>
      </c>
      <c r="P2013" s="4" t="n">
        <f aca="false">IF(A2013=A2012,P2012+1-M2012,0)</f>
        <v>0</v>
      </c>
    </row>
    <row r="2014" customFormat="false" ht="15" hidden="false" customHeight="false" outlineLevel="0" collapsed="false">
      <c r="A2014" s="30" t="s">
        <v>4198</v>
      </c>
      <c r="B2014" s="30" t="s">
        <v>53</v>
      </c>
      <c r="C2014" s="30" t="s">
        <v>104</v>
      </c>
      <c r="D2014" s="30" t="s">
        <v>197</v>
      </c>
      <c r="E2014" s="4" t="n">
        <v>3</v>
      </c>
      <c r="F2014" s="4" t="s">
        <v>213</v>
      </c>
      <c r="G2014" s="4" t="s">
        <v>422</v>
      </c>
      <c r="H2014" s="4" t="n">
        <v>1970</v>
      </c>
      <c r="I2014" s="4" t="s">
        <v>197</v>
      </c>
      <c r="J2014" s="25" t="str">
        <f aca="false">IF(M2014=1,"✓","")</f>
        <v>✓</v>
      </c>
      <c r="K2014" s="4" t="str">
        <f aca="false">IF(AND(M2014=0,P2014=0),"▶ NEXT","")</f>
        <v/>
      </c>
      <c r="L2014" s="4" t="n">
        <f aca="false">INDEX('Master List'!$F$2:$F$2594,O2014)</f>
        <v>4</v>
      </c>
      <c r="M2014" s="4" t="n">
        <f aca="false">INDEX('Master List'!$G$2:$G$2594,O2014)</f>
        <v>1</v>
      </c>
      <c r="N2014" s="4" t="str">
        <f aca="false">IF(K2014="","",A2014)</f>
        <v/>
      </c>
      <c r="O2014" s="4" t="n">
        <v>1399</v>
      </c>
      <c r="P2014" s="4" t="n">
        <f aca="false">IF(A2014=A2013,P2013+1-M2013,0)</f>
        <v>0</v>
      </c>
    </row>
    <row r="2015" customFormat="false" ht="15" hidden="false" customHeight="false" outlineLevel="0" collapsed="false">
      <c r="A2015" s="30" t="s">
        <v>4198</v>
      </c>
      <c r="B2015" s="30" t="s">
        <v>53</v>
      </c>
      <c r="C2015" s="30" t="s">
        <v>104</v>
      </c>
      <c r="D2015" s="30" t="s">
        <v>197</v>
      </c>
      <c r="E2015" s="4" t="n">
        <v>4</v>
      </c>
      <c r="F2015" s="4" t="s">
        <v>213</v>
      </c>
      <c r="G2015" s="4" t="s">
        <v>387</v>
      </c>
      <c r="H2015" s="4" t="n">
        <v>1971</v>
      </c>
      <c r="I2015" s="4" t="s">
        <v>197</v>
      </c>
      <c r="J2015" s="25" t="str">
        <f aca="false">IF(M2015=1,"✓","")</f>
        <v/>
      </c>
      <c r="K2015" s="4" t="str">
        <f aca="false">IF(AND(M2015=0,P2015=0),"▶ NEXT","")</f>
        <v>▶ NEXT</v>
      </c>
      <c r="L2015" s="4" t="n">
        <f aca="false">INDEX('Master List'!$F$2:$F$2594,O2015)</f>
        <v>4</v>
      </c>
      <c r="M2015" s="4" t="n">
        <f aca="false">INDEX('Master List'!$G$2:$G$2594,O2015)</f>
        <v>0</v>
      </c>
      <c r="N2015" s="4" t="str">
        <f aca="false">IF(K2015="","",A2015)</f>
        <v>N167</v>
      </c>
      <c r="O2015" s="4" t="n">
        <v>1467</v>
      </c>
      <c r="P2015" s="4" t="n">
        <f aca="false">IF(A2015=A2014,P2014+1-M2014,0)</f>
        <v>0</v>
      </c>
    </row>
    <row r="2016" customFormat="false" ht="15" hidden="false" customHeight="false" outlineLevel="0" collapsed="false">
      <c r="A2016" s="30" t="s">
        <v>4198</v>
      </c>
      <c r="B2016" s="30" t="s">
        <v>53</v>
      </c>
      <c r="C2016" s="30" t="s">
        <v>104</v>
      </c>
      <c r="D2016" s="30" t="s">
        <v>197</v>
      </c>
      <c r="E2016" s="4" t="n">
        <v>5</v>
      </c>
      <c r="F2016" s="4" t="s">
        <v>213</v>
      </c>
      <c r="G2016" s="4" t="s">
        <v>2247</v>
      </c>
      <c r="H2016" s="4" t="n">
        <v>1974</v>
      </c>
      <c r="I2016" s="4" t="s">
        <v>197</v>
      </c>
      <c r="J2016" s="25" t="str">
        <f aca="false">IF(M2016=1,"✓","")</f>
        <v>✓</v>
      </c>
      <c r="K2016" s="4" t="str">
        <f aca="false">IF(AND(M2016=0,P2016=0),"▶ NEXT","")</f>
        <v/>
      </c>
      <c r="L2016" s="4" t="n">
        <f aca="false">INDEX('Master List'!$F$2:$F$2594,O2016)</f>
        <v>1</v>
      </c>
      <c r="M2016" s="4" t="n">
        <f aca="false">INDEX('Master List'!$G$2:$G$2594,O2016)</f>
        <v>1</v>
      </c>
      <c r="N2016" s="4" t="str">
        <f aca="false">IF(K2016="","",A2016)</f>
        <v/>
      </c>
      <c r="O2016" s="4" t="n">
        <v>381</v>
      </c>
      <c r="P2016" s="4" t="n">
        <f aca="false">IF(A2016=A2015,P2015+1-M2015,0)</f>
        <v>1</v>
      </c>
    </row>
    <row r="2017" customFormat="false" ht="15" hidden="false" customHeight="false" outlineLevel="0" collapsed="false">
      <c r="A2017" s="30" t="s">
        <v>4198</v>
      </c>
      <c r="B2017" s="30" t="s">
        <v>53</v>
      </c>
      <c r="C2017" s="30" t="s">
        <v>104</v>
      </c>
      <c r="D2017" s="30" t="s">
        <v>197</v>
      </c>
      <c r="E2017" s="4" t="n">
        <v>6</v>
      </c>
      <c r="F2017" s="4" t="s">
        <v>213</v>
      </c>
      <c r="G2017" s="4" t="s">
        <v>2248</v>
      </c>
      <c r="H2017" s="4" t="n">
        <v>1974</v>
      </c>
      <c r="I2017" s="4" t="s">
        <v>197</v>
      </c>
      <c r="J2017" s="25" t="str">
        <f aca="false">IF(M2017=1,"✓","")</f>
        <v/>
      </c>
      <c r="K2017" s="4" t="str">
        <f aca="false">IF(AND(M2017=0,P2017=0),"▶ NEXT","")</f>
        <v/>
      </c>
      <c r="L2017" s="4" t="n">
        <f aca="false">INDEX('Master List'!$F$2:$F$2594,O2017)</f>
        <v>1</v>
      </c>
      <c r="M2017" s="4" t="n">
        <f aca="false">INDEX('Master List'!$G$2:$G$2594,O2017)</f>
        <v>0</v>
      </c>
      <c r="N2017" s="4" t="str">
        <f aca="false">IF(K2017="","",A2017)</f>
        <v/>
      </c>
      <c r="O2017" s="4" t="n">
        <v>2275</v>
      </c>
      <c r="P2017" s="4" t="n">
        <f aca="false">IF(A2017=A2016,P2016+1-M2016,0)</f>
        <v>1</v>
      </c>
    </row>
    <row r="2018" customFormat="false" ht="15" hidden="false" customHeight="false" outlineLevel="0" collapsed="false">
      <c r="A2018" s="30" t="s">
        <v>4198</v>
      </c>
      <c r="B2018" s="30" t="s">
        <v>53</v>
      </c>
      <c r="C2018" s="30" t="s">
        <v>104</v>
      </c>
      <c r="D2018" s="30" t="s">
        <v>197</v>
      </c>
      <c r="E2018" s="4" t="n">
        <v>7</v>
      </c>
      <c r="F2018" s="4" t="s">
        <v>213</v>
      </c>
      <c r="G2018" s="4" t="s">
        <v>2298</v>
      </c>
      <c r="H2018" s="4" t="n">
        <v>1977</v>
      </c>
      <c r="I2018" s="4" t="s">
        <v>197</v>
      </c>
      <c r="J2018" s="25" t="str">
        <f aca="false">IF(M2018=1,"✓","")</f>
        <v/>
      </c>
      <c r="K2018" s="4" t="str">
        <f aca="false">IF(AND(M2018=0,P2018=0),"▶ NEXT","")</f>
        <v/>
      </c>
      <c r="L2018" s="4" t="n">
        <f aca="false">INDEX('Master List'!$F$2:$F$2594,O2018)</f>
        <v>1</v>
      </c>
      <c r="M2018" s="4" t="n">
        <f aca="false">INDEX('Master List'!$G$2:$G$2594,O2018)</f>
        <v>0</v>
      </c>
      <c r="N2018" s="4" t="str">
        <f aca="false">IF(K2018="","",A2018)</f>
        <v/>
      </c>
      <c r="O2018" s="4" t="n">
        <v>19</v>
      </c>
      <c r="P2018" s="4" t="n">
        <f aca="false">IF(A2018=A2017,P2017+1-M2017,0)</f>
        <v>2</v>
      </c>
    </row>
    <row r="2019" customFormat="false" ht="15" hidden="false" customHeight="false" outlineLevel="0" collapsed="false">
      <c r="A2019" s="30" t="s">
        <v>4198</v>
      </c>
      <c r="B2019" s="30" t="s">
        <v>53</v>
      </c>
      <c r="C2019" s="30" t="s">
        <v>104</v>
      </c>
      <c r="D2019" s="30" t="s">
        <v>197</v>
      </c>
      <c r="E2019" s="4" t="n">
        <v>8</v>
      </c>
      <c r="F2019" s="4" t="s">
        <v>213</v>
      </c>
      <c r="G2019" s="4" t="s">
        <v>616</v>
      </c>
      <c r="H2019" s="4" t="n">
        <v>1992</v>
      </c>
      <c r="I2019" s="4" t="s">
        <v>197</v>
      </c>
      <c r="J2019" s="25" t="str">
        <f aca="false">IF(M2019=1,"✓","")</f>
        <v>✓</v>
      </c>
      <c r="K2019" s="4" t="str">
        <f aca="false">IF(AND(M2019=0,P2019=0),"▶ NEXT","")</f>
        <v/>
      </c>
      <c r="L2019" s="4" t="n">
        <f aca="false">INDEX('Master List'!$F$2:$F$2594,O2019)</f>
        <v>3</v>
      </c>
      <c r="M2019" s="4" t="n">
        <f aca="false">INDEX('Master List'!$G$2:$G$2594,O2019)</f>
        <v>1</v>
      </c>
      <c r="N2019" s="4" t="str">
        <f aca="false">IF(K2019="","",A2019)</f>
        <v/>
      </c>
      <c r="O2019" s="4" t="n">
        <v>1779</v>
      </c>
      <c r="P2019" s="4" t="n">
        <f aca="false">IF(A2019=A2018,P2018+1-M2018,0)</f>
        <v>3</v>
      </c>
    </row>
    <row r="2020" customFormat="false" ht="15" hidden="false" customHeight="false" outlineLevel="0" collapsed="false">
      <c r="A2020" s="30" t="s">
        <v>4198</v>
      </c>
      <c r="B2020" s="30" t="s">
        <v>53</v>
      </c>
      <c r="C2020" s="30" t="s">
        <v>104</v>
      </c>
      <c r="D2020" s="30" t="s">
        <v>197</v>
      </c>
      <c r="E2020" s="4" t="n">
        <v>9</v>
      </c>
      <c r="F2020" s="4" t="s">
        <v>213</v>
      </c>
      <c r="G2020" s="4" t="s">
        <v>294</v>
      </c>
      <c r="H2020" s="4" t="n">
        <v>1993</v>
      </c>
      <c r="I2020" s="4" t="s">
        <v>197</v>
      </c>
      <c r="J2020" s="25" t="str">
        <f aca="false">IF(M2020=1,"✓","")</f>
        <v>✓</v>
      </c>
      <c r="K2020" s="4" t="str">
        <f aca="false">IF(AND(M2020=0,P2020=0),"▶ NEXT","")</f>
        <v/>
      </c>
      <c r="L2020" s="4" t="n">
        <f aca="false">INDEX('Master List'!$F$2:$F$2594,O2020)</f>
        <v>5</v>
      </c>
      <c r="M2020" s="4" t="n">
        <f aca="false">INDEX('Master List'!$G$2:$G$2594,O2020)</f>
        <v>1</v>
      </c>
      <c r="N2020" s="4" t="str">
        <f aca="false">IF(K2020="","",A2020)</f>
        <v/>
      </c>
      <c r="O2020" s="4" t="n">
        <v>2058</v>
      </c>
      <c r="P2020" s="4" t="n">
        <f aca="false">IF(A2020=A2019,P2019+1-M2019,0)</f>
        <v>3</v>
      </c>
    </row>
    <row r="2021" customFormat="false" ht="15" hidden="false" customHeight="false" outlineLevel="0" collapsed="false">
      <c r="A2021" s="30" t="s">
        <v>4198</v>
      </c>
      <c r="B2021" s="30" t="s">
        <v>53</v>
      </c>
      <c r="C2021" s="30" t="s">
        <v>104</v>
      </c>
      <c r="D2021" s="30" t="s">
        <v>197</v>
      </c>
      <c r="E2021" s="4" t="n">
        <v>10</v>
      </c>
      <c r="F2021" s="4" t="s">
        <v>213</v>
      </c>
      <c r="G2021" s="4" t="s">
        <v>2752</v>
      </c>
      <c r="H2021" s="4" t="n">
        <v>2001</v>
      </c>
      <c r="I2021" s="4" t="s">
        <v>197</v>
      </c>
      <c r="J2021" s="25" t="str">
        <f aca="false">IF(M2021=1,"✓","")</f>
        <v/>
      </c>
      <c r="K2021" s="4" t="str">
        <f aca="false">IF(AND(M2021=0,P2021=0),"▶ NEXT","")</f>
        <v/>
      </c>
      <c r="L2021" s="4" t="n">
        <f aca="false">INDEX('Master List'!$F$2:$F$2594,O2021)</f>
        <v>1</v>
      </c>
      <c r="M2021" s="4" t="n">
        <f aca="false">INDEX('Master List'!$G$2:$G$2594,O2021)</f>
        <v>0</v>
      </c>
      <c r="N2021" s="4" t="str">
        <f aca="false">IF(K2021="","",A2021)</f>
        <v/>
      </c>
      <c r="O2021" s="4" t="n">
        <v>937</v>
      </c>
      <c r="P2021" s="4" t="n">
        <f aca="false">IF(A2021=A2020,P2020+1-M2020,0)</f>
        <v>3</v>
      </c>
    </row>
    <row r="2022" customFormat="false" ht="15" hidden="false" customHeight="false" outlineLevel="0" collapsed="false">
      <c r="A2022" s="30" t="s">
        <v>4198</v>
      </c>
      <c r="B2022" s="30" t="s">
        <v>53</v>
      </c>
      <c r="C2022" s="30" t="s">
        <v>104</v>
      </c>
      <c r="D2022" s="30" t="s">
        <v>197</v>
      </c>
      <c r="E2022" s="4" t="n">
        <v>11</v>
      </c>
      <c r="F2022" s="4" t="s">
        <v>1327</v>
      </c>
      <c r="G2022" s="4" t="s">
        <v>3623</v>
      </c>
      <c r="H2022" s="4" t="n">
        <v>1984</v>
      </c>
      <c r="I2022" s="4" t="s">
        <v>197</v>
      </c>
      <c r="J2022" s="25" t="str">
        <f aca="false">IF(M2022=1,"✓","")</f>
        <v>✓</v>
      </c>
      <c r="K2022" s="4" t="str">
        <f aca="false">IF(AND(M2022=0,P2022=0),"▶ NEXT","")</f>
        <v/>
      </c>
      <c r="L2022" s="4" t="n">
        <f aca="false">INDEX('Master List'!$F$2:$F$2594,O2022)</f>
        <v>1</v>
      </c>
      <c r="M2022" s="4" t="n">
        <f aca="false">INDEX('Master List'!$G$2:$G$2594,O2022)</f>
        <v>1</v>
      </c>
      <c r="N2022" s="4" t="str">
        <f aca="false">IF(K2022="","",A2022)</f>
        <v/>
      </c>
      <c r="O2022" s="4" t="n">
        <v>2003</v>
      </c>
      <c r="P2022" s="4" t="n">
        <f aca="false">IF(A2022=A2021,P2021+1-M2021,0)</f>
        <v>4</v>
      </c>
    </row>
    <row r="2023" customFormat="false" ht="15" hidden="false" customHeight="false" outlineLevel="0" collapsed="false">
      <c r="A2023" s="30" t="s">
        <v>4198</v>
      </c>
      <c r="B2023" s="30" t="s">
        <v>53</v>
      </c>
      <c r="C2023" s="30" t="s">
        <v>104</v>
      </c>
      <c r="D2023" s="30" t="s">
        <v>197</v>
      </c>
      <c r="E2023" s="4" t="n">
        <v>12</v>
      </c>
      <c r="F2023" s="4" t="s">
        <v>1327</v>
      </c>
      <c r="G2023" s="4" t="s">
        <v>3474</v>
      </c>
      <c r="H2023" s="4" t="n">
        <v>1970</v>
      </c>
      <c r="I2023" s="4" t="s">
        <v>197</v>
      </c>
      <c r="J2023" s="25" t="str">
        <f aca="false">IF(M2023=1,"✓","")</f>
        <v>✓</v>
      </c>
      <c r="K2023" s="4" t="str">
        <f aca="false">IF(AND(M2023=0,P2023=0),"▶ NEXT","")</f>
        <v/>
      </c>
      <c r="L2023" s="4" t="n">
        <f aca="false">INDEX('Master List'!$F$2:$F$2594,O2023)</f>
        <v>1</v>
      </c>
      <c r="M2023" s="4" t="n">
        <f aca="false">INDEX('Master List'!$G$2:$G$2594,O2023)</f>
        <v>1</v>
      </c>
      <c r="N2023" s="4" t="str">
        <f aca="false">IF(K2023="","",A2023)</f>
        <v/>
      </c>
      <c r="O2023" s="4" t="n">
        <v>343</v>
      </c>
      <c r="P2023" s="4" t="n">
        <f aca="false">IF(A2023=A2022,P2022+1-M2022,0)</f>
        <v>4</v>
      </c>
    </row>
    <row r="2024" customFormat="false" ht="15" hidden="false" customHeight="false" outlineLevel="0" collapsed="false">
      <c r="A2024" s="30" t="s">
        <v>4199</v>
      </c>
      <c r="B2024" s="30" t="s">
        <v>53</v>
      </c>
      <c r="C2024" s="30" t="s">
        <v>104</v>
      </c>
      <c r="D2024" s="30" t="s">
        <v>4200</v>
      </c>
      <c r="E2024" s="4" t="n">
        <v>1</v>
      </c>
      <c r="F2024" s="4" t="s">
        <v>144</v>
      </c>
      <c r="G2024" s="7" t="s">
        <v>309</v>
      </c>
      <c r="H2024" s="4" t="n">
        <v>1971</v>
      </c>
      <c r="I2024" s="4" t="s">
        <v>310</v>
      </c>
      <c r="J2024" s="25" t="str">
        <f aca="false">IF(M2024=1,"✓","")</f>
        <v/>
      </c>
      <c r="K2024" s="4" t="str">
        <f aca="false">IF(AND(M2024=0,P2024=0),"▶ NEXT","")</f>
        <v>▶ NEXT</v>
      </c>
      <c r="L2024" s="4" t="n">
        <f aca="false">INDEX('Master List'!$F$2:$F$2594,O2024)</f>
        <v>4</v>
      </c>
      <c r="M2024" s="4" t="n">
        <f aca="false">INDEX('Master List'!$G$2:$G$2594,O2024)</f>
        <v>0</v>
      </c>
      <c r="N2024" s="4" t="str">
        <f aca="false">IF(K2024="","",A2024)</f>
        <v>N168</v>
      </c>
      <c r="O2024" s="4" t="n">
        <v>999</v>
      </c>
      <c r="P2024" s="4" t="n">
        <f aca="false">IF(A2024=A2023,P2023+1-M2023,0)</f>
        <v>0</v>
      </c>
    </row>
    <row r="2025" customFormat="false" ht="15" hidden="false" customHeight="false" outlineLevel="0" collapsed="false">
      <c r="A2025" s="30" t="s">
        <v>4199</v>
      </c>
      <c r="B2025" s="30" t="s">
        <v>53</v>
      </c>
      <c r="C2025" s="30" t="s">
        <v>104</v>
      </c>
      <c r="D2025" s="30" t="s">
        <v>4200</v>
      </c>
      <c r="E2025" s="4" t="n">
        <v>2</v>
      </c>
      <c r="F2025" s="4" t="s">
        <v>144</v>
      </c>
      <c r="G2025" s="7" t="s">
        <v>675</v>
      </c>
      <c r="H2025" s="4" t="n">
        <v>1973</v>
      </c>
      <c r="I2025" s="4" t="s">
        <v>310</v>
      </c>
      <c r="J2025" s="25" t="str">
        <f aca="false">IF(M2025=1,"✓","")</f>
        <v>✓</v>
      </c>
      <c r="K2025" s="4" t="str">
        <f aca="false">IF(AND(M2025=0,P2025=0),"▶ NEXT","")</f>
        <v/>
      </c>
      <c r="L2025" s="4" t="n">
        <f aca="false">INDEX('Master List'!$F$2:$F$2594,O2025)</f>
        <v>2</v>
      </c>
      <c r="M2025" s="4" t="n">
        <f aca="false">INDEX('Master List'!$G$2:$G$2594,O2025)</f>
        <v>1</v>
      </c>
      <c r="N2025" s="4" t="str">
        <f aca="false">IF(K2025="","",A2025)</f>
        <v/>
      </c>
      <c r="O2025" s="4" t="n">
        <v>1294</v>
      </c>
      <c r="P2025" s="4" t="n">
        <f aca="false">IF(A2025=A2024,P2024+1-M2024,0)</f>
        <v>1</v>
      </c>
    </row>
    <row r="2026" customFormat="false" ht="15" hidden="false" customHeight="false" outlineLevel="0" collapsed="false">
      <c r="A2026" s="30" t="s">
        <v>4199</v>
      </c>
      <c r="B2026" s="30" t="s">
        <v>53</v>
      </c>
      <c r="C2026" s="30" t="s">
        <v>104</v>
      </c>
      <c r="D2026" s="30" t="s">
        <v>4200</v>
      </c>
      <c r="E2026" s="4" t="n">
        <v>3</v>
      </c>
      <c r="F2026" s="4" t="s">
        <v>213</v>
      </c>
      <c r="G2026" s="4" t="s">
        <v>2267</v>
      </c>
      <c r="H2026" s="4" t="n">
        <v>1975</v>
      </c>
      <c r="I2026" s="4" t="s">
        <v>310</v>
      </c>
      <c r="J2026" s="25" t="str">
        <f aca="false">IF(M2026=1,"✓","")</f>
        <v/>
      </c>
      <c r="K2026" s="4" t="str">
        <f aca="false">IF(AND(M2026=0,P2026=0),"▶ NEXT","")</f>
        <v/>
      </c>
      <c r="L2026" s="4" t="n">
        <f aca="false">INDEX('Master List'!$F$2:$F$2594,O2026)</f>
        <v>1</v>
      </c>
      <c r="M2026" s="4" t="n">
        <f aca="false">INDEX('Master List'!$G$2:$G$2594,O2026)</f>
        <v>0</v>
      </c>
      <c r="N2026" s="4" t="str">
        <f aca="false">IF(K2026="","",A2026)</f>
        <v/>
      </c>
      <c r="O2026" s="4" t="n">
        <v>2034</v>
      </c>
      <c r="P2026" s="4" t="n">
        <f aca="false">IF(A2026=A2025,P2025+1-M2025,0)</f>
        <v>1</v>
      </c>
    </row>
    <row r="2027" customFormat="false" ht="15" hidden="false" customHeight="false" outlineLevel="0" collapsed="false">
      <c r="A2027" s="30" t="s">
        <v>4199</v>
      </c>
      <c r="B2027" s="30" t="s">
        <v>53</v>
      </c>
      <c r="C2027" s="30" t="s">
        <v>104</v>
      </c>
      <c r="D2027" s="30" t="s">
        <v>4200</v>
      </c>
      <c r="E2027" s="4" t="n">
        <v>4</v>
      </c>
      <c r="F2027" s="4" t="s">
        <v>213</v>
      </c>
      <c r="G2027" s="4" t="s">
        <v>2288</v>
      </c>
      <c r="H2027" s="4" t="n">
        <v>1976</v>
      </c>
      <c r="I2027" s="4" t="s">
        <v>310</v>
      </c>
      <c r="J2027" s="25" t="str">
        <f aca="false">IF(M2027=1,"✓","")</f>
        <v/>
      </c>
      <c r="K2027" s="4" t="str">
        <f aca="false">IF(AND(M2027=0,P2027=0),"▶ NEXT","")</f>
        <v/>
      </c>
      <c r="L2027" s="4" t="n">
        <f aca="false">INDEX('Master List'!$F$2:$F$2594,O2027)</f>
        <v>1</v>
      </c>
      <c r="M2027" s="4" t="n">
        <f aca="false">INDEX('Master List'!$G$2:$G$2594,O2027)</f>
        <v>0</v>
      </c>
      <c r="N2027" s="4" t="str">
        <f aca="false">IF(K2027="","",A2027)</f>
        <v/>
      </c>
      <c r="O2027" s="4" t="n">
        <v>324</v>
      </c>
      <c r="P2027" s="4" t="n">
        <f aca="false">IF(A2027=A2026,P2026+1-M2026,0)</f>
        <v>2</v>
      </c>
    </row>
    <row r="2028" customFormat="false" ht="15" hidden="false" customHeight="false" outlineLevel="0" collapsed="false">
      <c r="A2028" s="30" t="s">
        <v>4199</v>
      </c>
      <c r="B2028" s="30" t="s">
        <v>53</v>
      </c>
      <c r="C2028" s="30" t="s">
        <v>104</v>
      </c>
      <c r="D2028" s="30" t="s">
        <v>4200</v>
      </c>
      <c r="E2028" s="4" t="n">
        <v>5</v>
      </c>
      <c r="F2028" s="4" t="s">
        <v>213</v>
      </c>
      <c r="G2028" s="4" t="s">
        <v>1040</v>
      </c>
      <c r="H2028" s="4" t="n">
        <v>1978</v>
      </c>
      <c r="I2028" s="4" t="s">
        <v>310</v>
      </c>
      <c r="J2028" s="25" t="str">
        <f aca="false">IF(M2028=1,"✓","")</f>
        <v/>
      </c>
      <c r="K2028" s="4" t="str">
        <f aca="false">IF(AND(M2028=0,P2028=0),"▶ NEXT","")</f>
        <v/>
      </c>
      <c r="L2028" s="4" t="n">
        <f aca="false">INDEX('Master List'!$F$2:$F$2594,O2028)</f>
        <v>2</v>
      </c>
      <c r="M2028" s="4" t="n">
        <f aca="false">INDEX('Master List'!$G$2:$G$2594,O2028)</f>
        <v>0</v>
      </c>
      <c r="N2028" s="4" t="str">
        <f aca="false">IF(K2028="","",A2028)</f>
        <v/>
      </c>
      <c r="O2028" s="4" t="n">
        <v>505</v>
      </c>
      <c r="P2028" s="4" t="n">
        <f aca="false">IF(A2028=A2027,P2027+1-M2027,0)</f>
        <v>3</v>
      </c>
    </row>
    <row r="2029" customFormat="false" ht="15" hidden="false" customHeight="false" outlineLevel="0" collapsed="false">
      <c r="A2029" s="30" t="s">
        <v>4199</v>
      </c>
      <c r="B2029" s="30" t="s">
        <v>53</v>
      </c>
      <c r="C2029" s="30" t="s">
        <v>104</v>
      </c>
      <c r="D2029" s="30" t="s">
        <v>4200</v>
      </c>
      <c r="E2029" s="4" t="n">
        <v>6</v>
      </c>
      <c r="F2029" s="4" t="s">
        <v>213</v>
      </c>
      <c r="G2029" s="4" t="s">
        <v>608</v>
      </c>
      <c r="H2029" s="4" t="n">
        <v>1979</v>
      </c>
      <c r="I2029" s="4" t="s">
        <v>310</v>
      </c>
      <c r="J2029" s="25" t="str">
        <f aca="false">IF(M2029=1,"✓","")</f>
        <v/>
      </c>
      <c r="K2029" s="4" t="str">
        <f aca="false">IF(AND(M2029=0,P2029=0),"▶ NEXT","")</f>
        <v/>
      </c>
      <c r="L2029" s="4" t="n">
        <f aca="false">INDEX('Master List'!$F$2:$F$2594,O2029)</f>
        <v>3</v>
      </c>
      <c r="M2029" s="4" t="n">
        <f aca="false">INDEX('Master List'!$G$2:$G$2594,O2029)</f>
        <v>0</v>
      </c>
      <c r="N2029" s="4" t="str">
        <f aca="false">IF(K2029="","",A2029)</f>
        <v/>
      </c>
      <c r="O2029" s="4" t="n">
        <v>218</v>
      </c>
      <c r="P2029" s="4" t="n">
        <f aca="false">IF(A2029=A2028,P2028+1-M2028,0)</f>
        <v>4</v>
      </c>
    </row>
    <row r="2030" customFormat="false" ht="15" hidden="false" customHeight="false" outlineLevel="0" collapsed="false">
      <c r="A2030" s="30" t="s">
        <v>4199</v>
      </c>
      <c r="B2030" s="30" t="s">
        <v>53</v>
      </c>
      <c r="C2030" s="30" t="s">
        <v>104</v>
      </c>
      <c r="D2030" s="30" t="s">
        <v>4200</v>
      </c>
      <c r="E2030" s="4" t="n">
        <v>7</v>
      </c>
      <c r="F2030" s="4" t="s">
        <v>213</v>
      </c>
      <c r="G2030" s="4" t="s">
        <v>593</v>
      </c>
      <c r="H2030" s="4" t="n">
        <v>1970</v>
      </c>
      <c r="I2030" s="4" t="s">
        <v>594</v>
      </c>
      <c r="J2030" s="25" t="str">
        <f aca="false">IF(M2030=1,"✓","")</f>
        <v>✓</v>
      </c>
      <c r="K2030" s="4" t="str">
        <f aca="false">IF(AND(M2030=0,P2030=0),"▶ NEXT","")</f>
        <v/>
      </c>
      <c r="L2030" s="4" t="n">
        <f aca="false">INDEX('Master List'!$F$2:$F$2594,O2030)</f>
        <v>3</v>
      </c>
      <c r="M2030" s="4" t="n">
        <f aca="false">INDEX('Master List'!$G$2:$G$2594,O2030)</f>
        <v>1</v>
      </c>
      <c r="N2030" s="4" t="str">
        <f aca="false">IF(K2030="","",A2030)</f>
        <v/>
      </c>
      <c r="O2030" s="4" t="n">
        <v>816</v>
      </c>
      <c r="P2030" s="4" t="n">
        <f aca="false">IF(A2030=A2029,P2029+1-M2029,0)</f>
        <v>5</v>
      </c>
    </row>
    <row r="2031" customFormat="false" ht="15" hidden="false" customHeight="false" outlineLevel="0" collapsed="false">
      <c r="A2031" s="30" t="s">
        <v>4199</v>
      </c>
      <c r="B2031" s="30" t="s">
        <v>53</v>
      </c>
      <c r="C2031" s="30" t="s">
        <v>104</v>
      </c>
      <c r="D2031" s="30" t="s">
        <v>4200</v>
      </c>
      <c r="E2031" s="4" t="n">
        <v>8</v>
      </c>
      <c r="F2031" s="4" t="s">
        <v>213</v>
      </c>
      <c r="G2031" s="4" t="s">
        <v>1347</v>
      </c>
      <c r="H2031" s="4" t="n">
        <v>1972</v>
      </c>
      <c r="I2031" s="4" t="s">
        <v>594</v>
      </c>
      <c r="J2031" s="25" t="str">
        <f aca="false">IF(M2031=1,"✓","")</f>
        <v/>
      </c>
      <c r="K2031" s="4" t="str">
        <f aca="false">IF(AND(M2031=0,P2031=0),"▶ NEXT","")</f>
        <v/>
      </c>
      <c r="L2031" s="4" t="n">
        <f aca="false">INDEX('Master List'!$F$2:$F$2594,O2031)</f>
        <v>2</v>
      </c>
      <c r="M2031" s="4" t="n">
        <f aca="false">INDEX('Master List'!$G$2:$G$2594,O2031)</f>
        <v>0</v>
      </c>
      <c r="N2031" s="4" t="str">
        <f aca="false">IF(K2031="","",A2031)</f>
        <v/>
      </c>
      <c r="O2031" s="4" t="n">
        <v>1259</v>
      </c>
      <c r="P2031" s="4" t="n">
        <f aca="false">IF(A2031=A2030,P2030+1-M2030,0)</f>
        <v>5</v>
      </c>
    </row>
    <row r="2032" customFormat="false" ht="15" hidden="false" customHeight="false" outlineLevel="0" collapsed="false">
      <c r="A2032" s="30" t="s">
        <v>4199</v>
      </c>
      <c r="B2032" s="30" t="s">
        <v>53</v>
      </c>
      <c r="C2032" s="30" t="s">
        <v>104</v>
      </c>
      <c r="D2032" s="30" t="s">
        <v>4200</v>
      </c>
      <c r="E2032" s="4" t="n">
        <v>9</v>
      </c>
      <c r="F2032" s="4" t="s">
        <v>1327</v>
      </c>
      <c r="G2032" s="4" t="s">
        <v>3475</v>
      </c>
      <c r="H2032" s="4" t="n">
        <v>1970</v>
      </c>
      <c r="I2032" s="4" t="s">
        <v>310</v>
      </c>
      <c r="J2032" s="25" t="str">
        <f aca="false">IF(M2032=1,"✓","")</f>
        <v/>
      </c>
      <c r="K2032" s="4" t="str">
        <f aca="false">IF(AND(M2032=0,P2032=0),"▶ NEXT","")</f>
        <v/>
      </c>
      <c r="L2032" s="4" t="n">
        <f aca="false">INDEX('Master List'!$F$2:$F$2594,O2032)</f>
        <v>1</v>
      </c>
      <c r="M2032" s="4" t="n">
        <f aca="false">INDEX('Master List'!$G$2:$G$2594,O2032)</f>
        <v>0</v>
      </c>
      <c r="N2032" s="4" t="str">
        <f aca="false">IF(K2032="","",A2032)</f>
        <v/>
      </c>
      <c r="O2032" s="4" t="n">
        <v>1291</v>
      </c>
      <c r="P2032" s="4" t="n">
        <f aca="false">IF(A2032=A2031,P2031+1-M2031,0)</f>
        <v>6</v>
      </c>
    </row>
    <row r="2033" customFormat="false" ht="15" hidden="false" customHeight="false" outlineLevel="0" collapsed="false">
      <c r="A2033" s="30" t="s">
        <v>4199</v>
      </c>
      <c r="B2033" s="30" t="s">
        <v>53</v>
      </c>
      <c r="C2033" s="30" t="s">
        <v>104</v>
      </c>
      <c r="D2033" s="30" t="s">
        <v>4200</v>
      </c>
      <c r="E2033" s="4" t="n">
        <v>10</v>
      </c>
      <c r="F2033" s="4" t="s">
        <v>1327</v>
      </c>
      <c r="G2033" s="4" t="s">
        <v>3456</v>
      </c>
      <c r="H2033" s="4" t="n">
        <v>1968</v>
      </c>
      <c r="I2033" s="4" t="s">
        <v>594</v>
      </c>
      <c r="J2033" s="25" t="str">
        <f aca="false">IF(M2033=1,"✓","")</f>
        <v/>
      </c>
      <c r="K2033" s="4" t="str">
        <f aca="false">IF(AND(M2033=0,P2033=0),"▶ NEXT","")</f>
        <v/>
      </c>
      <c r="L2033" s="4" t="n">
        <f aca="false">INDEX('Master List'!$F$2:$F$2594,O2033)</f>
        <v>1</v>
      </c>
      <c r="M2033" s="4" t="n">
        <f aca="false">INDEX('Master List'!$G$2:$G$2594,O2033)</f>
        <v>0</v>
      </c>
      <c r="N2033" s="4" t="str">
        <f aca="false">IF(K2033="","",A2033)</f>
        <v/>
      </c>
      <c r="O2033" s="4" t="n">
        <v>1005</v>
      </c>
      <c r="P2033" s="4" t="n">
        <f aca="false">IF(A2033=A2032,P2032+1-M2032,0)</f>
        <v>7</v>
      </c>
    </row>
    <row r="2034" customFormat="false" ht="15" hidden="false" customHeight="false" outlineLevel="0" collapsed="false">
      <c r="A2034" s="30" t="s">
        <v>4201</v>
      </c>
      <c r="B2034" s="30" t="s">
        <v>53</v>
      </c>
      <c r="C2034" s="30" t="s">
        <v>104</v>
      </c>
      <c r="D2034" s="30" t="s">
        <v>189</v>
      </c>
      <c r="E2034" s="4" t="n">
        <v>1</v>
      </c>
      <c r="F2034" s="4" t="s">
        <v>144</v>
      </c>
      <c r="G2034" s="7" t="s">
        <v>236</v>
      </c>
      <c r="H2034" s="4" t="n">
        <v>1957</v>
      </c>
      <c r="I2034" s="4" t="s">
        <v>189</v>
      </c>
      <c r="J2034" s="25" t="str">
        <f aca="false">IF(M2034=1,"✓","")</f>
        <v>✓</v>
      </c>
      <c r="K2034" s="4" t="str">
        <f aca="false">IF(AND(M2034=0,P2034=0),"▶ NEXT","")</f>
        <v/>
      </c>
      <c r="L2034" s="4" t="n">
        <f aca="false">INDEX('Master List'!$F$2:$F$2594,O2034)</f>
        <v>5</v>
      </c>
      <c r="M2034" s="4" t="n">
        <f aca="false">INDEX('Master List'!$G$2:$G$2594,O2034)</f>
        <v>1</v>
      </c>
      <c r="N2034" s="4" t="str">
        <f aca="false">IF(K2034="","",A2034)</f>
        <v/>
      </c>
      <c r="O2034" s="4" t="n">
        <v>3</v>
      </c>
      <c r="P2034" s="4" t="n">
        <f aca="false">IF(A2034=A2033,P2033+1-M2033,0)</f>
        <v>0</v>
      </c>
    </row>
    <row r="2035" customFormat="false" ht="15" hidden="false" customHeight="false" outlineLevel="0" collapsed="false">
      <c r="A2035" s="30" t="s">
        <v>4201</v>
      </c>
      <c r="B2035" s="30" t="s">
        <v>53</v>
      </c>
      <c r="C2035" s="30" t="s">
        <v>104</v>
      </c>
      <c r="D2035" s="30" t="s">
        <v>189</v>
      </c>
      <c r="E2035" s="4" t="n">
        <v>2</v>
      </c>
      <c r="F2035" s="4" t="s">
        <v>144</v>
      </c>
      <c r="G2035" s="7" t="s">
        <v>482</v>
      </c>
      <c r="H2035" s="4" t="n">
        <v>1975</v>
      </c>
      <c r="I2035" s="4" t="s">
        <v>189</v>
      </c>
      <c r="J2035" s="25" t="str">
        <f aca="false">IF(M2035=1,"✓","")</f>
        <v>✓</v>
      </c>
      <c r="K2035" s="4" t="str">
        <f aca="false">IF(AND(M2035=0,P2035=0),"▶ NEXT","")</f>
        <v/>
      </c>
      <c r="L2035" s="4" t="n">
        <f aca="false">INDEX('Master List'!$F$2:$F$2594,O2035)</f>
        <v>3</v>
      </c>
      <c r="M2035" s="4" t="n">
        <f aca="false">INDEX('Master List'!$G$2:$G$2594,O2035)</f>
        <v>1</v>
      </c>
      <c r="N2035" s="4" t="str">
        <f aca="false">IF(K2035="","",A2035)</f>
        <v/>
      </c>
      <c r="O2035" s="4" t="n">
        <v>650</v>
      </c>
      <c r="P2035" s="4" t="n">
        <f aca="false">IF(A2035=A2034,P2034+1-M2034,0)</f>
        <v>0</v>
      </c>
    </row>
    <row r="2036" customFormat="false" ht="15" hidden="false" customHeight="false" outlineLevel="0" collapsed="false">
      <c r="A2036" s="30" t="s">
        <v>4201</v>
      </c>
      <c r="B2036" s="30" t="s">
        <v>53</v>
      </c>
      <c r="C2036" s="30" t="s">
        <v>104</v>
      </c>
      <c r="D2036" s="30" t="s">
        <v>189</v>
      </c>
      <c r="E2036" s="4" t="n">
        <v>3</v>
      </c>
      <c r="F2036" s="4" t="s">
        <v>213</v>
      </c>
      <c r="G2036" s="4" t="s">
        <v>982</v>
      </c>
      <c r="H2036" s="4" t="n">
        <v>1964</v>
      </c>
      <c r="I2036" s="4" t="s">
        <v>189</v>
      </c>
      <c r="J2036" s="25" t="str">
        <f aca="false">IF(M2036=1,"✓","")</f>
        <v>✓</v>
      </c>
      <c r="K2036" s="4" t="str">
        <f aca="false">IF(AND(M2036=0,P2036=0),"▶ NEXT","")</f>
        <v/>
      </c>
      <c r="L2036" s="4" t="n">
        <f aca="false">INDEX('Master List'!$F$2:$F$2594,O2036)</f>
        <v>2</v>
      </c>
      <c r="M2036" s="4" t="n">
        <f aca="false">INDEX('Master List'!$G$2:$G$2594,O2036)</f>
        <v>1</v>
      </c>
      <c r="N2036" s="4" t="str">
        <f aca="false">IF(K2036="","",A2036)</f>
        <v/>
      </c>
      <c r="O2036" s="4" t="n">
        <v>776</v>
      </c>
      <c r="P2036" s="4" t="n">
        <f aca="false">IF(A2036=A2035,P2035+1-M2035,0)</f>
        <v>0</v>
      </c>
    </row>
    <row r="2037" customFormat="false" ht="15" hidden="false" customHeight="false" outlineLevel="0" collapsed="false">
      <c r="A2037" s="30" t="s">
        <v>4201</v>
      </c>
      <c r="B2037" s="30" t="s">
        <v>53</v>
      </c>
      <c r="C2037" s="30" t="s">
        <v>104</v>
      </c>
      <c r="D2037" s="30" t="s">
        <v>189</v>
      </c>
      <c r="E2037" s="4" t="n">
        <v>4</v>
      </c>
      <c r="F2037" s="4" t="s">
        <v>213</v>
      </c>
      <c r="G2037" s="4" t="s">
        <v>2053</v>
      </c>
      <c r="H2037" s="4" t="n">
        <v>1964</v>
      </c>
      <c r="I2037" s="4" t="s">
        <v>189</v>
      </c>
      <c r="J2037" s="25" t="str">
        <f aca="false">IF(M2037=1,"✓","")</f>
        <v/>
      </c>
      <c r="K2037" s="4" t="str">
        <f aca="false">IF(AND(M2037=0,P2037=0),"▶ NEXT","")</f>
        <v>▶ NEXT</v>
      </c>
      <c r="L2037" s="4" t="n">
        <f aca="false">INDEX('Master List'!$F$2:$F$2594,O2037)</f>
        <v>1</v>
      </c>
      <c r="M2037" s="4" t="n">
        <f aca="false">INDEX('Master List'!$G$2:$G$2594,O2037)</f>
        <v>0</v>
      </c>
      <c r="N2037" s="4" t="str">
        <f aca="false">IF(K2037="","",A2037)</f>
        <v>N169</v>
      </c>
      <c r="O2037" s="4" t="n">
        <v>1738</v>
      </c>
      <c r="P2037" s="4" t="n">
        <f aca="false">IF(A2037=A2036,P2036+1-M2036,0)</f>
        <v>0</v>
      </c>
    </row>
    <row r="2038" customFormat="false" ht="15" hidden="false" customHeight="false" outlineLevel="0" collapsed="false">
      <c r="A2038" s="30" t="s">
        <v>4201</v>
      </c>
      <c r="B2038" s="30" t="s">
        <v>53</v>
      </c>
      <c r="C2038" s="30" t="s">
        <v>104</v>
      </c>
      <c r="D2038" s="30" t="s">
        <v>189</v>
      </c>
      <c r="E2038" s="4" t="n">
        <v>5</v>
      </c>
      <c r="F2038" s="4" t="s">
        <v>213</v>
      </c>
      <c r="G2038" s="4" t="s">
        <v>2069</v>
      </c>
      <c r="H2038" s="4" t="n">
        <v>1965</v>
      </c>
      <c r="I2038" s="4" t="s">
        <v>189</v>
      </c>
      <c r="J2038" s="25" t="str">
        <f aca="false">IF(M2038=1,"✓","")</f>
        <v/>
      </c>
      <c r="K2038" s="4" t="str">
        <f aca="false">IF(AND(M2038=0,P2038=0),"▶ NEXT","")</f>
        <v/>
      </c>
      <c r="L2038" s="4" t="n">
        <f aca="false">INDEX('Master List'!$F$2:$F$2594,O2038)</f>
        <v>1</v>
      </c>
      <c r="M2038" s="4" t="n">
        <f aca="false">INDEX('Master List'!$G$2:$G$2594,O2038)</f>
        <v>0</v>
      </c>
      <c r="N2038" s="4" t="str">
        <f aca="false">IF(K2038="","",A2038)</f>
        <v/>
      </c>
      <c r="O2038" s="4" t="n">
        <v>1038</v>
      </c>
      <c r="P2038" s="4" t="n">
        <f aca="false">IF(A2038=A2037,P2037+1-M2037,0)</f>
        <v>1</v>
      </c>
    </row>
    <row r="2039" customFormat="false" ht="15" hidden="false" customHeight="false" outlineLevel="0" collapsed="false">
      <c r="A2039" s="30" t="s">
        <v>4201</v>
      </c>
      <c r="B2039" s="30" t="s">
        <v>53</v>
      </c>
      <c r="C2039" s="30" t="s">
        <v>104</v>
      </c>
      <c r="D2039" s="30" t="s">
        <v>189</v>
      </c>
      <c r="E2039" s="4" t="n">
        <v>6</v>
      </c>
      <c r="F2039" s="4" t="s">
        <v>213</v>
      </c>
      <c r="G2039" s="4" t="s">
        <v>795</v>
      </c>
      <c r="H2039" s="4" t="n">
        <v>1973</v>
      </c>
      <c r="I2039" s="4" t="s">
        <v>189</v>
      </c>
      <c r="J2039" s="25" t="str">
        <f aca="false">IF(M2039=1,"✓","")</f>
        <v/>
      </c>
      <c r="K2039" s="4" t="str">
        <f aca="false">IF(AND(M2039=0,P2039=0),"▶ NEXT","")</f>
        <v/>
      </c>
      <c r="L2039" s="4" t="n">
        <f aca="false">INDEX('Master List'!$F$2:$F$2594,O2039)</f>
        <v>2</v>
      </c>
      <c r="M2039" s="4" t="n">
        <f aca="false">INDEX('Master List'!$G$2:$G$2594,O2039)</f>
        <v>0</v>
      </c>
      <c r="N2039" s="4" t="str">
        <f aca="false">IF(K2039="","",A2039)</f>
        <v/>
      </c>
      <c r="O2039" s="4" t="n">
        <v>2013</v>
      </c>
      <c r="P2039" s="4" t="n">
        <f aca="false">IF(A2039=A2038,P2038+1-M2038,0)</f>
        <v>2</v>
      </c>
    </row>
    <row r="2040" customFormat="false" ht="15" hidden="false" customHeight="false" outlineLevel="0" collapsed="false">
      <c r="A2040" s="30" t="s">
        <v>4201</v>
      </c>
      <c r="B2040" s="30" t="s">
        <v>53</v>
      </c>
      <c r="C2040" s="30" t="s">
        <v>104</v>
      </c>
      <c r="D2040" s="30" t="s">
        <v>189</v>
      </c>
      <c r="E2040" s="4" t="n">
        <v>7</v>
      </c>
      <c r="F2040" s="4" t="s">
        <v>213</v>
      </c>
      <c r="G2040" s="4" t="s">
        <v>188</v>
      </c>
      <c r="H2040" s="4" t="n">
        <v>1976</v>
      </c>
      <c r="I2040" s="4" t="s">
        <v>189</v>
      </c>
      <c r="J2040" s="25" t="str">
        <f aca="false">IF(M2040=1,"✓","")</f>
        <v>✓</v>
      </c>
      <c r="K2040" s="4" t="str">
        <f aca="false">IF(AND(M2040=0,P2040=0),"▶ NEXT","")</f>
        <v/>
      </c>
      <c r="L2040" s="4" t="n">
        <f aca="false">INDEX('Master List'!$F$2:$F$2594,O2040)</f>
        <v>7</v>
      </c>
      <c r="M2040" s="4" t="n">
        <f aca="false">INDEX('Master List'!$G$2:$G$2594,O2040)</f>
        <v>1</v>
      </c>
      <c r="N2040" s="4" t="str">
        <f aca="false">IF(K2040="","",A2040)</f>
        <v/>
      </c>
      <c r="O2040" s="4" t="n">
        <v>1593</v>
      </c>
      <c r="P2040" s="4" t="n">
        <f aca="false">IF(A2040=A2039,P2039+1-M2039,0)</f>
        <v>3</v>
      </c>
    </row>
    <row r="2041" customFormat="false" ht="15" hidden="false" customHeight="false" outlineLevel="0" collapsed="false">
      <c r="A2041" s="30" t="s">
        <v>4201</v>
      </c>
      <c r="B2041" s="30" t="s">
        <v>53</v>
      </c>
      <c r="C2041" s="30" t="s">
        <v>104</v>
      </c>
      <c r="D2041" s="30" t="s">
        <v>189</v>
      </c>
      <c r="E2041" s="4" t="n">
        <v>8</v>
      </c>
      <c r="F2041" s="4" t="s">
        <v>213</v>
      </c>
      <c r="G2041" s="4" t="s">
        <v>1056</v>
      </c>
      <c r="H2041" s="4" t="n">
        <v>1981</v>
      </c>
      <c r="I2041" s="4" t="s">
        <v>189</v>
      </c>
      <c r="J2041" s="25" t="str">
        <f aca="false">IF(M2041=1,"✓","")</f>
        <v/>
      </c>
      <c r="K2041" s="4" t="str">
        <f aca="false">IF(AND(M2041=0,P2041=0),"▶ NEXT","")</f>
        <v/>
      </c>
      <c r="L2041" s="4" t="n">
        <f aca="false">INDEX('Master List'!$F$2:$F$2594,O2041)</f>
        <v>2</v>
      </c>
      <c r="M2041" s="4" t="n">
        <f aca="false">INDEX('Master List'!$G$2:$G$2594,O2041)</f>
        <v>0</v>
      </c>
      <c r="N2041" s="4" t="str">
        <f aca="false">IF(K2041="","",A2041)</f>
        <v/>
      </c>
      <c r="O2041" s="4" t="n">
        <v>1816</v>
      </c>
      <c r="P2041" s="4" t="n">
        <f aca="false">IF(A2041=A2040,P2040+1-M2040,0)</f>
        <v>3</v>
      </c>
    </row>
    <row r="2042" customFormat="false" ht="15" hidden="false" customHeight="false" outlineLevel="0" collapsed="false">
      <c r="A2042" s="30" t="s">
        <v>4201</v>
      </c>
      <c r="B2042" s="30" t="s">
        <v>53</v>
      </c>
      <c r="C2042" s="30" t="s">
        <v>104</v>
      </c>
      <c r="D2042" s="30" t="s">
        <v>189</v>
      </c>
      <c r="E2042" s="4" t="n">
        <v>9</v>
      </c>
      <c r="F2042" s="4" t="s">
        <v>213</v>
      </c>
      <c r="G2042" s="4" t="s">
        <v>1060</v>
      </c>
      <c r="H2042" s="4" t="n">
        <v>1982</v>
      </c>
      <c r="I2042" s="4" t="s">
        <v>189</v>
      </c>
      <c r="J2042" s="25" t="str">
        <f aca="false">IF(M2042=1,"✓","")</f>
        <v>✓</v>
      </c>
      <c r="K2042" s="4" t="str">
        <f aca="false">IF(AND(M2042=0,P2042=0),"▶ NEXT","")</f>
        <v/>
      </c>
      <c r="L2042" s="4" t="n">
        <f aca="false">INDEX('Master List'!$F$2:$F$2594,O2042)</f>
        <v>2</v>
      </c>
      <c r="M2042" s="4" t="n">
        <f aca="false">INDEX('Master List'!$G$2:$G$2594,O2042)</f>
        <v>1</v>
      </c>
      <c r="N2042" s="4" t="str">
        <f aca="false">IF(K2042="","",A2042)</f>
        <v/>
      </c>
      <c r="O2042" s="4" t="n">
        <v>2427</v>
      </c>
      <c r="P2042" s="4" t="n">
        <f aca="false">IF(A2042=A2041,P2041+1-M2041,0)</f>
        <v>4</v>
      </c>
    </row>
    <row r="2043" customFormat="false" ht="15" hidden="false" customHeight="false" outlineLevel="0" collapsed="false">
      <c r="A2043" s="30" t="s">
        <v>4201</v>
      </c>
      <c r="B2043" s="30" t="s">
        <v>53</v>
      </c>
      <c r="C2043" s="30" t="s">
        <v>104</v>
      </c>
      <c r="D2043" s="30" t="s">
        <v>189</v>
      </c>
      <c r="E2043" s="4" t="n">
        <v>10</v>
      </c>
      <c r="F2043" s="4" t="s">
        <v>213</v>
      </c>
      <c r="G2043" s="4" t="s">
        <v>2473</v>
      </c>
      <c r="H2043" s="4" t="n">
        <v>1988</v>
      </c>
      <c r="I2043" s="4" t="s">
        <v>189</v>
      </c>
      <c r="J2043" s="25" t="str">
        <f aca="false">IF(M2043=1,"✓","")</f>
        <v/>
      </c>
      <c r="K2043" s="4" t="str">
        <f aca="false">IF(AND(M2043=0,P2043=0),"▶ NEXT","")</f>
        <v/>
      </c>
      <c r="L2043" s="4" t="n">
        <f aca="false">INDEX('Master List'!$F$2:$F$2594,O2043)</f>
        <v>1</v>
      </c>
      <c r="M2043" s="4" t="n">
        <f aca="false">INDEX('Master List'!$G$2:$G$2594,O2043)</f>
        <v>0</v>
      </c>
      <c r="N2043" s="4" t="str">
        <f aca="false">IF(K2043="","",A2043)</f>
        <v/>
      </c>
      <c r="O2043" s="4" t="n">
        <v>1947</v>
      </c>
      <c r="P2043" s="4" t="n">
        <f aca="false">IF(A2043=A2042,P2042+1-M2042,0)</f>
        <v>4</v>
      </c>
    </row>
    <row r="2044" customFormat="false" ht="15" hidden="false" customHeight="false" outlineLevel="0" collapsed="false">
      <c r="A2044" s="30" t="s">
        <v>4201</v>
      </c>
      <c r="B2044" s="30" t="s">
        <v>53</v>
      </c>
      <c r="C2044" s="30" t="s">
        <v>104</v>
      </c>
      <c r="D2044" s="30" t="s">
        <v>189</v>
      </c>
      <c r="E2044" s="4" t="n">
        <v>11</v>
      </c>
      <c r="F2044" s="4" t="s">
        <v>213</v>
      </c>
      <c r="G2044" s="4" t="s">
        <v>2882</v>
      </c>
      <c r="H2044" s="4" t="n">
        <v>2007</v>
      </c>
      <c r="I2044" s="4" t="s">
        <v>189</v>
      </c>
      <c r="J2044" s="25" t="str">
        <f aca="false">IF(M2044=1,"✓","")</f>
        <v/>
      </c>
      <c r="K2044" s="4" t="str">
        <f aca="false">IF(AND(M2044=0,P2044=0),"▶ NEXT","")</f>
        <v/>
      </c>
      <c r="L2044" s="4" t="n">
        <f aca="false">INDEX('Master List'!$F$2:$F$2594,O2044)</f>
        <v>1</v>
      </c>
      <c r="M2044" s="4" t="n">
        <f aca="false">INDEX('Master List'!$G$2:$G$2594,O2044)</f>
        <v>0</v>
      </c>
      <c r="N2044" s="4" t="str">
        <f aca="false">IF(K2044="","",A2044)</f>
        <v/>
      </c>
      <c r="O2044" s="4" t="n">
        <v>214</v>
      </c>
      <c r="P2044" s="4" t="n">
        <f aca="false">IF(A2044=A2043,P2043+1-M2043,0)</f>
        <v>5</v>
      </c>
    </row>
    <row r="2045" customFormat="false" ht="15" hidden="false" customHeight="false" outlineLevel="0" collapsed="false">
      <c r="A2045" s="30" t="s">
        <v>4201</v>
      </c>
      <c r="B2045" s="30" t="s">
        <v>53</v>
      </c>
      <c r="C2045" s="30" t="s">
        <v>104</v>
      </c>
      <c r="D2045" s="30" t="s">
        <v>189</v>
      </c>
      <c r="E2045" s="4" t="n">
        <v>12</v>
      </c>
      <c r="F2045" s="4" t="s">
        <v>1327</v>
      </c>
      <c r="G2045" s="4" t="s">
        <v>3520</v>
      </c>
      <c r="H2045" s="4" t="n">
        <v>1973</v>
      </c>
      <c r="I2045" s="4" t="s">
        <v>189</v>
      </c>
      <c r="J2045" s="25" t="str">
        <f aca="false">IF(M2045=1,"✓","")</f>
        <v/>
      </c>
      <c r="K2045" s="4" t="str">
        <f aca="false">IF(AND(M2045=0,P2045=0),"▶ NEXT","")</f>
        <v/>
      </c>
      <c r="L2045" s="4" t="n">
        <f aca="false">INDEX('Master List'!$F$2:$F$2594,O2045)</f>
        <v>1</v>
      </c>
      <c r="M2045" s="4" t="n">
        <f aca="false">INDEX('Master List'!$G$2:$G$2594,O2045)</f>
        <v>0</v>
      </c>
      <c r="N2045" s="4" t="str">
        <f aca="false">IF(K2045="","",A2045)</f>
        <v/>
      </c>
      <c r="O2045" s="4" t="n">
        <v>1651</v>
      </c>
      <c r="P2045" s="4" t="n">
        <f aca="false">IF(A2045=A2044,P2044+1-M2044,0)</f>
        <v>6</v>
      </c>
    </row>
    <row r="2046" customFormat="false" ht="15" hidden="false" customHeight="false" outlineLevel="0" collapsed="false">
      <c r="A2046" s="30" t="s">
        <v>4201</v>
      </c>
      <c r="B2046" s="30" t="s">
        <v>53</v>
      </c>
      <c r="C2046" s="30" t="s">
        <v>104</v>
      </c>
      <c r="D2046" s="30" t="s">
        <v>189</v>
      </c>
      <c r="E2046" s="4" t="n">
        <v>13</v>
      </c>
      <c r="F2046" s="4" t="s">
        <v>1327</v>
      </c>
      <c r="G2046" s="4" t="s">
        <v>3662</v>
      </c>
      <c r="H2046" s="4" t="n">
        <v>1990</v>
      </c>
      <c r="I2046" s="4" t="s">
        <v>189</v>
      </c>
      <c r="J2046" s="25" t="str">
        <f aca="false">IF(M2046=1,"✓","")</f>
        <v/>
      </c>
      <c r="K2046" s="4" t="str">
        <f aca="false">IF(AND(M2046=0,P2046=0),"▶ NEXT","")</f>
        <v/>
      </c>
      <c r="L2046" s="4" t="n">
        <f aca="false">INDEX('Master List'!$F$2:$F$2594,O2046)</f>
        <v>1</v>
      </c>
      <c r="M2046" s="4" t="n">
        <f aca="false">INDEX('Master List'!$G$2:$G$2594,O2046)</f>
        <v>0</v>
      </c>
      <c r="N2046" s="4" t="str">
        <f aca="false">IF(K2046="","",A2046)</f>
        <v/>
      </c>
      <c r="O2046" s="4" t="n">
        <v>1837</v>
      </c>
      <c r="P2046" s="4" t="n">
        <f aca="false">IF(A2046=A2045,P2045+1-M2045,0)</f>
        <v>7</v>
      </c>
    </row>
    <row r="2047" customFormat="false" ht="15" hidden="false" customHeight="false" outlineLevel="0" collapsed="false">
      <c r="A2047" s="30" t="s">
        <v>4202</v>
      </c>
      <c r="B2047" s="30" t="s">
        <v>53</v>
      </c>
      <c r="C2047" s="30" t="s">
        <v>104</v>
      </c>
      <c r="D2047" s="30" t="s">
        <v>183</v>
      </c>
      <c r="E2047" s="4" t="n">
        <v>1</v>
      </c>
      <c r="F2047" s="4" t="s">
        <v>144</v>
      </c>
      <c r="G2047" s="7" t="s">
        <v>182</v>
      </c>
      <c r="H2047" s="4" t="n">
        <v>1975</v>
      </c>
      <c r="I2047" s="4" t="s">
        <v>183</v>
      </c>
      <c r="J2047" s="25" t="str">
        <f aca="false">IF(M2047=1,"✓","")</f>
        <v>✓</v>
      </c>
      <c r="K2047" s="4" t="str">
        <f aca="false">IF(AND(M2047=0,P2047=0),"▶ NEXT","")</f>
        <v/>
      </c>
      <c r="L2047" s="4" t="n">
        <f aca="false">INDEX('Master List'!$F$2:$F$2594,O2047)</f>
        <v>7</v>
      </c>
      <c r="M2047" s="4" t="n">
        <f aca="false">INDEX('Master List'!$G$2:$G$2594,O2047)</f>
        <v>1</v>
      </c>
      <c r="N2047" s="4" t="str">
        <f aca="false">IF(K2047="","",A2047)</f>
        <v/>
      </c>
      <c r="O2047" s="4" t="n">
        <v>1196</v>
      </c>
      <c r="P2047" s="4" t="n">
        <f aca="false">IF(A2047=A2046,P2046+1-M2046,0)</f>
        <v>0</v>
      </c>
    </row>
    <row r="2048" customFormat="false" ht="15" hidden="false" customHeight="false" outlineLevel="0" collapsed="false">
      <c r="A2048" s="30" t="s">
        <v>4202</v>
      </c>
      <c r="B2048" s="30" t="s">
        <v>53</v>
      </c>
      <c r="C2048" s="30" t="s">
        <v>104</v>
      </c>
      <c r="D2048" s="30" t="s">
        <v>183</v>
      </c>
      <c r="E2048" s="4" t="n">
        <v>2</v>
      </c>
      <c r="F2048" s="4" t="s">
        <v>144</v>
      </c>
      <c r="G2048" s="7" t="s">
        <v>806</v>
      </c>
      <c r="H2048" s="4" t="n">
        <v>1977</v>
      </c>
      <c r="I2048" s="4" t="s">
        <v>183</v>
      </c>
      <c r="J2048" s="25" t="str">
        <f aca="false">IF(M2048=1,"✓","")</f>
        <v>✓</v>
      </c>
      <c r="K2048" s="4" t="str">
        <f aca="false">IF(AND(M2048=0,P2048=0),"▶ NEXT","")</f>
        <v/>
      </c>
      <c r="L2048" s="4" t="n">
        <f aca="false">INDEX('Master List'!$F$2:$F$2594,O2048)</f>
        <v>2</v>
      </c>
      <c r="M2048" s="4" t="n">
        <f aca="false">INDEX('Master List'!$G$2:$G$2594,O2048)</f>
        <v>1</v>
      </c>
      <c r="N2048" s="4" t="str">
        <f aca="false">IF(K2048="","",A2048)</f>
        <v/>
      </c>
      <c r="O2048" s="4" t="n">
        <v>479</v>
      </c>
      <c r="P2048" s="4" t="n">
        <f aca="false">IF(A2048=A2047,P2047+1-M2047,0)</f>
        <v>0</v>
      </c>
    </row>
    <row r="2049" customFormat="false" ht="15" hidden="false" customHeight="false" outlineLevel="0" collapsed="false">
      <c r="A2049" s="30" t="s">
        <v>4202</v>
      </c>
      <c r="B2049" s="30" t="s">
        <v>53</v>
      </c>
      <c r="C2049" s="30" t="s">
        <v>104</v>
      </c>
      <c r="D2049" s="30" t="s">
        <v>183</v>
      </c>
      <c r="E2049" s="4" t="n">
        <v>3</v>
      </c>
      <c r="F2049" s="4" t="s">
        <v>213</v>
      </c>
      <c r="G2049" s="4" t="s">
        <v>1014</v>
      </c>
      <c r="H2049" s="4" t="n">
        <v>1971</v>
      </c>
      <c r="I2049" s="4" t="s">
        <v>183</v>
      </c>
      <c r="J2049" s="25" t="str">
        <f aca="false">IF(M2049=1,"✓","")</f>
        <v/>
      </c>
      <c r="K2049" s="4" t="str">
        <f aca="false">IF(AND(M2049=0,P2049=0),"▶ NEXT","")</f>
        <v>▶ NEXT</v>
      </c>
      <c r="L2049" s="4" t="n">
        <f aca="false">INDEX('Master List'!$F$2:$F$2594,O2049)</f>
        <v>2</v>
      </c>
      <c r="M2049" s="4" t="n">
        <f aca="false">INDEX('Master List'!$G$2:$G$2594,O2049)</f>
        <v>0</v>
      </c>
      <c r="N2049" s="4" t="str">
        <f aca="false">IF(K2049="","",A2049)</f>
        <v>N170</v>
      </c>
      <c r="O2049" s="4" t="n">
        <v>688</v>
      </c>
      <c r="P2049" s="4" t="n">
        <f aca="false">IF(A2049=A2048,P2048+1-M2048,0)</f>
        <v>0</v>
      </c>
    </row>
    <row r="2050" customFormat="false" ht="15" hidden="false" customHeight="false" outlineLevel="0" collapsed="false">
      <c r="A2050" s="30" t="s">
        <v>4202</v>
      </c>
      <c r="B2050" s="30" t="s">
        <v>53</v>
      </c>
      <c r="C2050" s="30" t="s">
        <v>104</v>
      </c>
      <c r="D2050" s="30" t="s">
        <v>183</v>
      </c>
      <c r="E2050" s="4" t="n">
        <v>4</v>
      </c>
      <c r="F2050" s="4" t="s">
        <v>213</v>
      </c>
      <c r="G2050" s="4" t="s">
        <v>1027</v>
      </c>
      <c r="H2050" s="4" t="n">
        <v>1974</v>
      </c>
      <c r="I2050" s="4" t="s">
        <v>183</v>
      </c>
      <c r="J2050" s="25" t="str">
        <f aca="false">IF(M2050=1,"✓","")</f>
        <v>✓</v>
      </c>
      <c r="K2050" s="4" t="str">
        <f aca="false">IF(AND(M2050=0,P2050=0),"▶ NEXT","")</f>
        <v/>
      </c>
      <c r="L2050" s="4" t="n">
        <f aca="false">INDEX('Master List'!$F$2:$F$2594,O2050)</f>
        <v>2</v>
      </c>
      <c r="M2050" s="4" t="n">
        <f aca="false">INDEX('Master List'!$G$2:$G$2594,O2050)</f>
        <v>1</v>
      </c>
      <c r="N2050" s="4" t="str">
        <f aca="false">IF(K2050="","",A2050)</f>
        <v/>
      </c>
      <c r="O2050" s="4" t="n">
        <v>2194</v>
      </c>
      <c r="P2050" s="4" t="n">
        <f aca="false">IF(A2050=A2049,P2049+1-M2049,0)</f>
        <v>1</v>
      </c>
    </row>
    <row r="2051" customFormat="false" ht="15" hidden="false" customHeight="false" outlineLevel="0" collapsed="false">
      <c r="A2051" s="30" t="s">
        <v>4202</v>
      </c>
      <c r="B2051" s="30" t="s">
        <v>53</v>
      </c>
      <c r="C2051" s="30" t="s">
        <v>104</v>
      </c>
      <c r="D2051" s="30" t="s">
        <v>183</v>
      </c>
      <c r="E2051" s="4" t="n">
        <v>5</v>
      </c>
      <c r="F2051" s="4" t="s">
        <v>213</v>
      </c>
      <c r="G2051" s="4" t="s">
        <v>363</v>
      </c>
      <c r="H2051" s="4" t="n">
        <v>1981</v>
      </c>
      <c r="I2051" s="4" t="s">
        <v>183</v>
      </c>
      <c r="J2051" s="25" t="str">
        <f aca="false">IF(M2051=1,"✓","")</f>
        <v>✓</v>
      </c>
      <c r="K2051" s="4" t="str">
        <f aca="false">IF(AND(M2051=0,P2051=0),"▶ NEXT","")</f>
        <v/>
      </c>
      <c r="L2051" s="4" t="n">
        <f aca="false">INDEX('Master List'!$F$2:$F$2594,O2051)</f>
        <v>4</v>
      </c>
      <c r="M2051" s="4" t="n">
        <f aca="false">INDEX('Master List'!$G$2:$G$2594,O2051)</f>
        <v>1</v>
      </c>
      <c r="N2051" s="4" t="str">
        <f aca="false">IF(K2051="","",A2051)</f>
        <v/>
      </c>
      <c r="O2051" s="4" t="n">
        <v>1853</v>
      </c>
      <c r="P2051" s="4" t="n">
        <f aca="false">IF(A2051=A2050,P2050+1-M2050,0)</f>
        <v>1</v>
      </c>
    </row>
    <row r="2052" customFormat="false" ht="15" hidden="false" customHeight="false" outlineLevel="0" collapsed="false">
      <c r="A2052" s="30" t="s">
        <v>4202</v>
      </c>
      <c r="B2052" s="30" t="s">
        <v>53</v>
      </c>
      <c r="C2052" s="30" t="s">
        <v>104</v>
      </c>
      <c r="D2052" s="30" t="s">
        <v>183</v>
      </c>
      <c r="E2052" s="4" t="n">
        <v>6</v>
      </c>
      <c r="F2052" s="4" t="s">
        <v>213</v>
      </c>
      <c r="G2052" s="4" t="s">
        <v>609</v>
      </c>
      <c r="H2052" s="4" t="n">
        <v>1982</v>
      </c>
      <c r="I2052" s="4" t="s">
        <v>183</v>
      </c>
      <c r="J2052" s="25" t="str">
        <f aca="false">IF(M2052=1,"✓","")</f>
        <v>✓</v>
      </c>
      <c r="K2052" s="4" t="str">
        <f aca="false">IF(AND(M2052=0,P2052=0),"▶ NEXT","")</f>
        <v/>
      </c>
      <c r="L2052" s="4" t="n">
        <f aca="false">INDEX('Master List'!$F$2:$F$2594,O2052)</f>
        <v>3</v>
      </c>
      <c r="M2052" s="4" t="n">
        <f aca="false">INDEX('Master List'!$G$2:$G$2594,O2052)</f>
        <v>1</v>
      </c>
      <c r="N2052" s="4" t="str">
        <f aca="false">IF(K2052="","",A2052)</f>
        <v/>
      </c>
      <c r="O2052" s="4" t="n">
        <v>697</v>
      </c>
      <c r="P2052" s="4" t="n">
        <f aca="false">IF(A2052=A2051,P2051+1-M2051,0)</f>
        <v>1</v>
      </c>
    </row>
    <row r="2053" customFormat="false" ht="15" hidden="false" customHeight="false" outlineLevel="0" collapsed="false">
      <c r="A2053" s="30" t="s">
        <v>4202</v>
      </c>
      <c r="B2053" s="30" t="s">
        <v>53</v>
      </c>
      <c r="C2053" s="30" t="s">
        <v>104</v>
      </c>
      <c r="D2053" s="30" t="s">
        <v>183</v>
      </c>
      <c r="E2053" s="4" t="n">
        <v>7</v>
      </c>
      <c r="F2053" s="4" t="s">
        <v>213</v>
      </c>
      <c r="G2053" s="4" t="s">
        <v>2457</v>
      </c>
      <c r="H2053" s="4" t="n">
        <v>1987</v>
      </c>
      <c r="I2053" s="4" t="s">
        <v>183</v>
      </c>
      <c r="J2053" s="25" t="str">
        <f aca="false">IF(M2053=1,"✓","")</f>
        <v/>
      </c>
      <c r="K2053" s="4" t="str">
        <f aca="false">IF(AND(M2053=0,P2053=0),"▶ NEXT","")</f>
        <v/>
      </c>
      <c r="L2053" s="4" t="n">
        <f aca="false">INDEX('Master List'!$F$2:$F$2594,O2053)</f>
        <v>1</v>
      </c>
      <c r="M2053" s="4" t="n">
        <f aca="false">INDEX('Master List'!$G$2:$G$2594,O2053)</f>
        <v>0</v>
      </c>
      <c r="N2053" s="4" t="str">
        <f aca="false">IF(K2053="","",A2053)</f>
        <v/>
      </c>
      <c r="O2053" s="4" t="n">
        <v>725</v>
      </c>
      <c r="P2053" s="4" t="n">
        <f aca="false">IF(A2053=A2052,P2052+1-M2052,0)</f>
        <v>1</v>
      </c>
    </row>
    <row r="2054" customFormat="false" ht="15" hidden="false" customHeight="false" outlineLevel="0" collapsed="false">
      <c r="A2054" s="30" t="s">
        <v>4202</v>
      </c>
      <c r="B2054" s="30" t="s">
        <v>53</v>
      </c>
      <c r="C2054" s="30" t="s">
        <v>104</v>
      </c>
      <c r="D2054" s="30" t="s">
        <v>183</v>
      </c>
      <c r="E2054" s="4" t="n">
        <v>8</v>
      </c>
      <c r="F2054" s="4" t="s">
        <v>213</v>
      </c>
      <c r="G2054" s="4" t="s">
        <v>498</v>
      </c>
      <c r="H2054" s="4" t="n">
        <v>1993</v>
      </c>
      <c r="I2054" s="4" t="s">
        <v>183</v>
      </c>
      <c r="J2054" s="25" t="str">
        <f aca="false">IF(M2054=1,"✓","")</f>
        <v/>
      </c>
      <c r="K2054" s="4" t="str">
        <f aca="false">IF(AND(M2054=0,P2054=0),"▶ NEXT","")</f>
        <v/>
      </c>
      <c r="L2054" s="4" t="n">
        <f aca="false">INDEX('Master List'!$F$2:$F$2594,O2054)</f>
        <v>3</v>
      </c>
      <c r="M2054" s="4" t="n">
        <f aca="false">INDEX('Master List'!$G$2:$G$2594,O2054)</f>
        <v>0</v>
      </c>
      <c r="N2054" s="4" t="str">
        <f aca="false">IF(K2054="","",A2054)</f>
        <v/>
      </c>
      <c r="O2054" s="4" t="n">
        <v>1989</v>
      </c>
      <c r="P2054" s="4" t="n">
        <f aca="false">IF(A2054=A2053,P2053+1-M2053,0)</f>
        <v>2</v>
      </c>
    </row>
    <row r="2055" customFormat="false" ht="15" hidden="false" customHeight="false" outlineLevel="0" collapsed="false">
      <c r="A2055" s="30" t="s">
        <v>4202</v>
      </c>
      <c r="B2055" s="30" t="s">
        <v>53</v>
      </c>
      <c r="C2055" s="30" t="s">
        <v>104</v>
      </c>
      <c r="D2055" s="30" t="s">
        <v>183</v>
      </c>
      <c r="E2055" s="4" t="n">
        <v>9</v>
      </c>
      <c r="F2055" s="4" t="s">
        <v>213</v>
      </c>
      <c r="G2055" s="4" t="s">
        <v>2753</v>
      </c>
      <c r="H2055" s="4" t="n">
        <v>2001</v>
      </c>
      <c r="I2055" s="4" t="s">
        <v>183</v>
      </c>
      <c r="J2055" s="25" t="str">
        <f aca="false">IF(M2055=1,"✓","")</f>
        <v>✓</v>
      </c>
      <c r="K2055" s="4" t="str">
        <f aca="false">IF(AND(M2055=0,P2055=0),"▶ NEXT","")</f>
        <v/>
      </c>
      <c r="L2055" s="4" t="n">
        <f aca="false">INDEX('Master List'!$F$2:$F$2594,O2055)</f>
        <v>1</v>
      </c>
      <c r="M2055" s="4" t="n">
        <f aca="false">INDEX('Master List'!$G$2:$G$2594,O2055)</f>
        <v>1</v>
      </c>
      <c r="N2055" s="4" t="str">
        <f aca="false">IF(K2055="","",A2055)</f>
        <v/>
      </c>
      <c r="O2055" s="4" t="n">
        <v>1100</v>
      </c>
      <c r="P2055" s="4" t="n">
        <f aca="false">IF(A2055=A2054,P2054+1-M2054,0)</f>
        <v>3</v>
      </c>
    </row>
    <row r="2056" customFormat="false" ht="15" hidden="false" customHeight="false" outlineLevel="0" collapsed="false">
      <c r="A2056" s="30" t="s">
        <v>4202</v>
      </c>
      <c r="B2056" s="30" t="s">
        <v>53</v>
      </c>
      <c r="C2056" s="30" t="s">
        <v>104</v>
      </c>
      <c r="D2056" s="30" t="s">
        <v>183</v>
      </c>
      <c r="E2056" s="4" t="n">
        <v>10</v>
      </c>
      <c r="F2056" s="4" t="s">
        <v>213</v>
      </c>
      <c r="G2056" s="4" t="s">
        <v>683</v>
      </c>
      <c r="H2056" s="4" t="n">
        <v>2002</v>
      </c>
      <c r="I2056" s="4" t="s">
        <v>183</v>
      </c>
      <c r="J2056" s="25" t="str">
        <f aca="false">IF(M2056=1,"✓","")</f>
        <v/>
      </c>
      <c r="K2056" s="4" t="str">
        <f aca="false">IF(AND(M2056=0,P2056=0),"▶ NEXT","")</f>
        <v/>
      </c>
      <c r="L2056" s="4" t="n">
        <f aca="false">INDEX('Master List'!$F$2:$F$2594,O2056)</f>
        <v>3</v>
      </c>
      <c r="M2056" s="4" t="n">
        <f aca="false">INDEX('Master List'!$G$2:$G$2594,O2056)</f>
        <v>0</v>
      </c>
      <c r="N2056" s="4" t="str">
        <f aca="false">IF(K2056="","",A2056)</f>
        <v/>
      </c>
      <c r="O2056" s="4" t="n">
        <v>1509</v>
      </c>
      <c r="P2056" s="4" t="n">
        <f aca="false">IF(A2056=A2055,P2055+1-M2055,0)</f>
        <v>3</v>
      </c>
    </row>
    <row r="2057" customFormat="false" ht="15" hidden="false" customHeight="false" outlineLevel="0" collapsed="false">
      <c r="A2057" s="30" t="s">
        <v>4202</v>
      </c>
      <c r="B2057" s="30" t="s">
        <v>53</v>
      </c>
      <c r="C2057" s="30" t="s">
        <v>104</v>
      </c>
      <c r="D2057" s="30" t="s">
        <v>183</v>
      </c>
      <c r="E2057" s="4" t="n">
        <v>11</v>
      </c>
      <c r="F2057" s="4" t="s">
        <v>213</v>
      </c>
      <c r="G2057" s="4" t="s">
        <v>1170</v>
      </c>
      <c r="H2057" s="4" t="n">
        <v>2005</v>
      </c>
      <c r="I2057" s="4" t="s">
        <v>183</v>
      </c>
      <c r="J2057" s="25" t="str">
        <f aca="false">IF(M2057=1,"✓","")</f>
        <v/>
      </c>
      <c r="K2057" s="4" t="str">
        <f aca="false">IF(AND(M2057=0,P2057=0),"▶ NEXT","")</f>
        <v/>
      </c>
      <c r="L2057" s="4" t="n">
        <f aca="false">INDEX('Master List'!$F$2:$F$2594,O2057)</f>
        <v>2</v>
      </c>
      <c r="M2057" s="4" t="n">
        <f aca="false">INDEX('Master List'!$G$2:$G$2594,O2057)</f>
        <v>0</v>
      </c>
      <c r="N2057" s="4" t="str">
        <f aca="false">IF(K2057="","",A2057)</f>
        <v/>
      </c>
      <c r="O2057" s="4" t="n">
        <v>1558</v>
      </c>
      <c r="P2057" s="4" t="n">
        <f aca="false">IF(A2057=A2056,P2056+1-M2056,0)</f>
        <v>4</v>
      </c>
    </row>
    <row r="2058" customFormat="false" ht="15" hidden="false" customHeight="false" outlineLevel="0" collapsed="false">
      <c r="A2058" s="30" t="s">
        <v>4202</v>
      </c>
      <c r="B2058" s="30" t="s">
        <v>53</v>
      </c>
      <c r="C2058" s="30" t="s">
        <v>104</v>
      </c>
      <c r="D2058" s="30" t="s">
        <v>183</v>
      </c>
      <c r="E2058" s="4" t="n">
        <v>12</v>
      </c>
      <c r="F2058" s="4" t="s">
        <v>213</v>
      </c>
      <c r="G2058" s="4" t="s">
        <v>554</v>
      </c>
      <c r="H2058" s="4" t="n">
        <v>2012</v>
      </c>
      <c r="I2058" s="4" t="s">
        <v>183</v>
      </c>
      <c r="J2058" s="25" t="str">
        <f aca="false">IF(M2058=1,"✓","")</f>
        <v/>
      </c>
      <c r="K2058" s="4" t="str">
        <f aca="false">IF(AND(M2058=0,P2058=0),"▶ NEXT","")</f>
        <v/>
      </c>
      <c r="L2058" s="4" t="n">
        <f aca="false">INDEX('Master List'!$F$2:$F$2594,O2058)</f>
        <v>3</v>
      </c>
      <c r="M2058" s="4" t="n">
        <f aca="false">INDEX('Master List'!$G$2:$G$2594,O2058)</f>
        <v>0</v>
      </c>
      <c r="N2058" s="4" t="str">
        <f aca="false">IF(K2058="","",A2058)</f>
        <v/>
      </c>
      <c r="O2058" s="4" t="n">
        <v>1343</v>
      </c>
      <c r="P2058" s="4" t="n">
        <f aca="false">IF(A2058=A2057,P2057+1-M2057,0)</f>
        <v>5</v>
      </c>
    </row>
    <row r="2059" customFormat="false" ht="15" hidden="false" customHeight="false" outlineLevel="0" collapsed="false">
      <c r="A2059" s="30" t="s">
        <v>4202</v>
      </c>
      <c r="B2059" s="30" t="s">
        <v>53</v>
      </c>
      <c r="C2059" s="30" t="s">
        <v>104</v>
      </c>
      <c r="D2059" s="30" t="s">
        <v>183</v>
      </c>
      <c r="E2059" s="4" t="n">
        <v>13</v>
      </c>
      <c r="F2059" s="4" t="s">
        <v>213</v>
      </c>
      <c r="G2059" s="4" t="s">
        <v>1266</v>
      </c>
      <c r="H2059" s="4" t="n">
        <v>2022</v>
      </c>
      <c r="I2059" s="4" t="s">
        <v>183</v>
      </c>
      <c r="J2059" s="25" t="str">
        <f aca="false">IF(M2059=1,"✓","")</f>
        <v/>
      </c>
      <c r="K2059" s="4" t="str">
        <f aca="false">IF(AND(M2059=0,P2059=0),"▶ NEXT","")</f>
        <v/>
      </c>
      <c r="L2059" s="4" t="n">
        <f aca="false">INDEX('Master List'!$F$2:$F$2594,O2059)</f>
        <v>2</v>
      </c>
      <c r="M2059" s="4" t="n">
        <f aca="false">INDEX('Master List'!$G$2:$G$2594,O2059)</f>
        <v>0</v>
      </c>
      <c r="N2059" s="4" t="str">
        <f aca="false">IF(K2059="","",A2059)</f>
        <v/>
      </c>
      <c r="O2059" s="4" t="n">
        <v>769</v>
      </c>
      <c r="P2059" s="4" t="n">
        <f aca="false">IF(A2059=A2058,P2058+1-M2058,0)</f>
        <v>6</v>
      </c>
    </row>
    <row r="2060" customFormat="false" ht="15" hidden="false" customHeight="false" outlineLevel="0" collapsed="false">
      <c r="A2060" s="30" t="s">
        <v>4202</v>
      </c>
      <c r="B2060" s="30" t="s">
        <v>53</v>
      </c>
      <c r="C2060" s="30" t="s">
        <v>104</v>
      </c>
      <c r="D2060" s="30" t="s">
        <v>183</v>
      </c>
      <c r="E2060" s="4" t="n">
        <v>14</v>
      </c>
      <c r="F2060" s="4" t="s">
        <v>1327</v>
      </c>
      <c r="G2060" s="4" t="s">
        <v>3579</v>
      </c>
      <c r="H2060" s="4" t="n">
        <v>1979</v>
      </c>
      <c r="I2060" s="4" t="s">
        <v>183</v>
      </c>
      <c r="J2060" s="25" t="str">
        <f aca="false">IF(M2060=1,"✓","")</f>
        <v>✓</v>
      </c>
      <c r="K2060" s="4" t="str">
        <f aca="false">IF(AND(M2060=0,P2060=0),"▶ NEXT","")</f>
        <v/>
      </c>
      <c r="L2060" s="4" t="n">
        <f aca="false">INDEX('Master List'!$F$2:$F$2594,O2060)</f>
        <v>1</v>
      </c>
      <c r="M2060" s="4" t="n">
        <f aca="false">INDEX('Master List'!$G$2:$G$2594,O2060)</f>
        <v>1</v>
      </c>
      <c r="N2060" s="4" t="str">
        <f aca="false">IF(K2060="","",A2060)</f>
        <v/>
      </c>
      <c r="O2060" s="4" t="n">
        <v>10</v>
      </c>
      <c r="P2060" s="4" t="n">
        <f aca="false">IF(A2060=A2059,P2059+1-M2059,0)</f>
        <v>7</v>
      </c>
    </row>
    <row r="2061" customFormat="false" ht="15" hidden="false" customHeight="false" outlineLevel="0" collapsed="false">
      <c r="A2061" s="30" t="s">
        <v>4202</v>
      </c>
      <c r="B2061" s="30" t="s">
        <v>53</v>
      </c>
      <c r="C2061" s="30" t="s">
        <v>104</v>
      </c>
      <c r="D2061" s="30" t="s">
        <v>183</v>
      </c>
      <c r="E2061" s="4" t="n">
        <v>15</v>
      </c>
      <c r="F2061" s="4" t="s">
        <v>1327</v>
      </c>
      <c r="G2061" s="4" t="s">
        <v>1415</v>
      </c>
      <c r="H2061" s="4" t="n">
        <v>2017</v>
      </c>
      <c r="I2061" s="4" t="s">
        <v>183</v>
      </c>
      <c r="J2061" s="25" t="str">
        <f aca="false">IF(M2061=1,"✓","")</f>
        <v>✓</v>
      </c>
      <c r="K2061" s="4" t="str">
        <f aca="false">IF(AND(M2061=0,P2061=0),"▶ NEXT","")</f>
        <v/>
      </c>
      <c r="L2061" s="4" t="n">
        <f aca="false">INDEX('Master List'!$F$2:$F$2594,O2061)</f>
        <v>2</v>
      </c>
      <c r="M2061" s="4" t="n">
        <f aca="false">INDEX('Master List'!$G$2:$G$2594,O2061)</f>
        <v>1</v>
      </c>
      <c r="N2061" s="4" t="str">
        <f aca="false">IF(K2061="","",A2061)</f>
        <v/>
      </c>
      <c r="O2061" s="4" t="n">
        <v>1803</v>
      </c>
      <c r="P2061" s="4" t="n">
        <f aca="false">IF(A2061=A2060,P2060+1-M2060,0)</f>
        <v>7</v>
      </c>
    </row>
    <row r="2062" customFormat="false" ht="15" hidden="false" customHeight="false" outlineLevel="0" collapsed="false">
      <c r="A2062" s="30" t="s">
        <v>4203</v>
      </c>
      <c r="B2062" s="30" t="s">
        <v>53</v>
      </c>
      <c r="C2062" s="30" t="s">
        <v>104</v>
      </c>
      <c r="D2062" s="30" t="s">
        <v>488</v>
      </c>
      <c r="E2062" s="4" t="n">
        <v>1</v>
      </c>
      <c r="F2062" s="4" t="s">
        <v>144</v>
      </c>
      <c r="G2062" s="7" t="s">
        <v>487</v>
      </c>
      <c r="H2062" s="4" t="n">
        <v>1981</v>
      </c>
      <c r="I2062" s="4" t="s">
        <v>488</v>
      </c>
      <c r="J2062" s="25" t="str">
        <f aca="false">IF(M2062=1,"✓","")</f>
        <v>✓</v>
      </c>
      <c r="K2062" s="4" t="str">
        <f aca="false">IF(AND(M2062=0,P2062=0),"▶ NEXT","")</f>
        <v/>
      </c>
      <c r="L2062" s="4" t="n">
        <f aca="false">INDEX('Master List'!$F$2:$F$2594,O2062)</f>
        <v>3</v>
      </c>
      <c r="M2062" s="4" t="n">
        <f aca="false">INDEX('Master List'!$G$2:$G$2594,O2062)</f>
        <v>1</v>
      </c>
      <c r="N2062" s="4" t="str">
        <f aca="false">IF(K2062="","",A2062)</f>
        <v/>
      </c>
      <c r="O2062" s="4" t="n">
        <v>295</v>
      </c>
      <c r="P2062" s="4" t="n">
        <f aca="false">IF(A2062=A2061,P2061+1-M2061,0)</f>
        <v>0</v>
      </c>
    </row>
    <row r="2063" customFormat="false" ht="15" hidden="false" customHeight="false" outlineLevel="0" collapsed="false">
      <c r="A2063" s="30" t="s">
        <v>4203</v>
      </c>
      <c r="B2063" s="30" t="s">
        <v>53</v>
      </c>
      <c r="C2063" s="30" t="s">
        <v>104</v>
      </c>
      <c r="D2063" s="30" t="s">
        <v>488</v>
      </c>
      <c r="E2063" s="4" t="n">
        <v>2</v>
      </c>
      <c r="F2063" s="4" t="s">
        <v>144</v>
      </c>
      <c r="G2063" s="7" t="s">
        <v>678</v>
      </c>
      <c r="H2063" s="4" t="n">
        <v>1976</v>
      </c>
      <c r="I2063" s="4" t="s">
        <v>488</v>
      </c>
      <c r="J2063" s="25" t="str">
        <f aca="false">IF(M2063=1,"✓","")</f>
        <v>✓</v>
      </c>
      <c r="K2063" s="4" t="str">
        <f aca="false">IF(AND(M2063=0,P2063=0),"▶ NEXT","")</f>
        <v/>
      </c>
      <c r="L2063" s="4" t="n">
        <f aca="false">INDEX('Master List'!$F$2:$F$2594,O2063)</f>
        <v>2</v>
      </c>
      <c r="M2063" s="4" t="n">
        <f aca="false">INDEX('Master List'!$G$2:$G$2594,O2063)</f>
        <v>1</v>
      </c>
      <c r="N2063" s="4" t="str">
        <f aca="false">IF(K2063="","",A2063)</f>
        <v/>
      </c>
      <c r="O2063" s="4" t="n">
        <v>402</v>
      </c>
      <c r="P2063" s="4" t="n">
        <f aca="false">IF(A2063=A2062,P2062+1-M2062,0)</f>
        <v>0</v>
      </c>
    </row>
    <row r="2064" customFormat="false" ht="15" hidden="false" customHeight="false" outlineLevel="0" collapsed="false">
      <c r="A2064" s="30" t="s">
        <v>4203</v>
      </c>
      <c r="B2064" s="30" t="s">
        <v>53</v>
      </c>
      <c r="C2064" s="30" t="s">
        <v>104</v>
      </c>
      <c r="D2064" s="30" t="s">
        <v>488</v>
      </c>
      <c r="E2064" s="4" t="n">
        <v>3</v>
      </c>
      <c r="F2064" s="4" t="s">
        <v>213</v>
      </c>
      <c r="G2064" s="4" t="s">
        <v>2127</v>
      </c>
      <c r="H2064" s="4" t="n">
        <v>1968</v>
      </c>
      <c r="I2064" s="4" t="s">
        <v>488</v>
      </c>
      <c r="J2064" s="25" t="str">
        <f aca="false">IF(M2064=1,"✓","")</f>
        <v/>
      </c>
      <c r="K2064" s="4" t="str">
        <f aca="false">IF(AND(M2064=0,P2064=0),"▶ NEXT","")</f>
        <v>▶ NEXT</v>
      </c>
      <c r="L2064" s="4" t="n">
        <f aca="false">INDEX('Master List'!$F$2:$F$2594,O2064)</f>
        <v>1</v>
      </c>
      <c r="M2064" s="4" t="n">
        <f aca="false">INDEX('Master List'!$G$2:$G$2594,O2064)</f>
        <v>0</v>
      </c>
      <c r="N2064" s="4" t="str">
        <f aca="false">IF(K2064="","",A2064)</f>
        <v>N171</v>
      </c>
      <c r="O2064" s="4" t="n">
        <v>961</v>
      </c>
      <c r="P2064" s="4" t="n">
        <f aca="false">IF(A2064=A2063,P2063+1-M2063,0)</f>
        <v>0</v>
      </c>
    </row>
    <row r="2065" customFormat="false" ht="15" hidden="false" customHeight="false" outlineLevel="0" collapsed="false">
      <c r="A2065" s="30" t="s">
        <v>4203</v>
      </c>
      <c r="B2065" s="30" t="s">
        <v>53</v>
      </c>
      <c r="C2065" s="30" t="s">
        <v>104</v>
      </c>
      <c r="D2065" s="30" t="s">
        <v>488</v>
      </c>
      <c r="E2065" s="4" t="n">
        <v>4</v>
      </c>
      <c r="F2065" s="4" t="s">
        <v>213</v>
      </c>
      <c r="G2065" s="4" t="s">
        <v>1348</v>
      </c>
      <c r="H2065" s="4" t="n">
        <v>1972</v>
      </c>
      <c r="I2065" s="4" t="s">
        <v>488</v>
      </c>
      <c r="J2065" s="25" t="str">
        <f aca="false">IF(M2065=1,"✓","")</f>
        <v/>
      </c>
      <c r="K2065" s="4" t="str">
        <f aca="false">IF(AND(M2065=0,P2065=0),"▶ NEXT","")</f>
        <v/>
      </c>
      <c r="L2065" s="4" t="n">
        <f aca="false">INDEX('Master List'!$F$2:$F$2594,O2065)</f>
        <v>2</v>
      </c>
      <c r="M2065" s="4" t="n">
        <f aca="false">INDEX('Master List'!$G$2:$G$2594,O2065)</f>
        <v>0</v>
      </c>
      <c r="N2065" s="4" t="str">
        <f aca="false">IF(K2065="","",A2065)</f>
        <v/>
      </c>
      <c r="O2065" s="4" t="n">
        <v>2082</v>
      </c>
      <c r="P2065" s="4" t="n">
        <f aca="false">IF(A2065=A2064,P2064+1-M2064,0)</f>
        <v>1</v>
      </c>
    </row>
    <row r="2066" customFormat="false" ht="15" hidden="false" customHeight="false" outlineLevel="0" collapsed="false">
      <c r="A2066" s="30" t="s">
        <v>4203</v>
      </c>
      <c r="B2066" s="30" t="s">
        <v>53</v>
      </c>
      <c r="C2066" s="30" t="s">
        <v>104</v>
      </c>
      <c r="D2066" s="30" t="s">
        <v>488</v>
      </c>
      <c r="E2066" s="4" t="n">
        <v>5</v>
      </c>
      <c r="F2066" s="4" t="s">
        <v>213</v>
      </c>
      <c r="G2066" s="4" t="s">
        <v>1351</v>
      </c>
      <c r="H2066" s="4" t="n">
        <v>1974</v>
      </c>
      <c r="I2066" s="4" t="s">
        <v>488</v>
      </c>
      <c r="J2066" s="25" t="str">
        <f aca="false">IF(M2066=1,"✓","")</f>
        <v/>
      </c>
      <c r="K2066" s="4" t="str">
        <f aca="false">IF(AND(M2066=0,P2066=0),"▶ NEXT","")</f>
        <v/>
      </c>
      <c r="L2066" s="4" t="n">
        <f aca="false">INDEX('Master List'!$F$2:$F$2594,O2066)</f>
        <v>2</v>
      </c>
      <c r="M2066" s="4" t="n">
        <f aca="false">INDEX('Master List'!$G$2:$G$2594,O2066)</f>
        <v>0</v>
      </c>
      <c r="N2066" s="4" t="str">
        <f aca="false">IF(K2066="","",A2066)</f>
        <v/>
      </c>
      <c r="O2066" s="4" t="n">
        <v>1753</v>
      </c>
      <c r="P2066" s="4" t="n">
        <f aca="false">IF(A2066=A2065,P2065+1-M2065,0)</f>
        <v>2</v>
      </c>
    </row>
    <row r="2067" customFormat="false" ht="15" hidden="false" customHeight="false" outlineLevel="0" collapsed="false">
      <c r="A2067" s="30" t="s">
        <v>4203</v>
      </c>
      <c r="B2067" s="30" t="s">
        <v>53</v>
      </c>
      <c r="C2067" s="30" t="s">
        <v>104</v>
      </c>
      <c r="D2067" s="30" t="s">
        <v>488</v>
      </c>
      <c r="E2067" s="4" t="n">
        <v>6</v>
      </c>
      <c r="F2067" s="4" t="s">
        <v>213</v>
      </c>
      <c r="G2067" s="4" t="s">
        <v>1355</v>
      </c>
      <c r="H2067" s="4" t="n">
        <v>1976</v>
      </c>
      <c r="I2067" s="4" t="s">
        <v>488</v>
      </c>
      <c r="J2067" s="25" t="str">
        <f aca="false">IF(M2067=1,"✓","")</f>
        <v/>
      </c>
      <c r="K2067" s="4" t="str">
        <f aca="false">IF(AND(M2067=0,P2067=0),"▶ NEXT","")</f>
        <v/>
      </c>
      <c r="L2067" s="4" t="n">
        <f aca="false">INDEX('Master List'!$F$2:$F$2594,O2067)</f>
        <v>2</v>
      </c>
      <c r="M2067" s="4" t="n">
        <f aca="false">INDEX('Master List'!$G$2:$G$2594,O2067)</f>
        <v>0</v>
      </c>
      <c r="N2067" s="4" t="str">
        <f aca="false">IF(K2067="","",A2067)</f>
        <v/>
      </c>
      <c r="O2067" s="4" t="n">
        <v>1644</v>
      </c>
      <c r="P2067" s="4" t="n">
        <f aca="false">IF(A2067=A2066,P2066+1-M2066,0)</f>
        <v>3</v>
      </c>
    </row>
    <row r="2068" customFormat="false" ht="15" hidden="false" customHeight="false" outlineLevel="0" collapsed="false">
      <c r="A2068" s="30" t="s">
        <v>4203</v>
      </c>
      <c r="B2068" s="30" t="s">
        <v>53</v>
      </c>
      <c r="C2068" s="30" t="s">
        <v>104</v>
      </c>
      <c r="D2068" s="30" t="s">
        <v>488</v>
      </c>
      <c r="E2068" s="4" t="n">
        <v>7</v>
      </c>
      <c r="F2068" s="4" t="s">
        <v>213</v>
      </c>
      <c r="G2068" s="4" t="s">
        <v>679</v>
      </c>
      <c r="H2068" s="4" t="n">
        <v>1980</v>
      </c>
      <c r="I2068" s="4" t="s">
        <v>488</v>
      </c>
      <c r="J2068" s="25" t="str">
        <f aca="false">IF(M2068=1,"✓","")</f>
        <v/>
      </c>
      <c r="K2068" s="4" t="str">
        <f aca="false">IF(AND(M2068=0,P2068=0),"▶ NEXT","")</f>
        <v/>
      </c>
      <c r="L2068" s="4" t="n">
        <f aca="false">INDEX('Master List'!$F$2:$F$2594,O2068)</f>
        <v>3</v>
      </c>
      <c r="M2068" s="4" t="n">
        <f aca="false">INDEX('Master List'!$G$2:$G$2594,O2068)</f>
        <v>0</v>
      </c>
      <c r="N2068" s="4" t="str">
        <f aca="false">IF(K2068="","",A2068)</f>
        <v/>
      </c>
      <c r="O2068" s="4" t="n">
        <v>677</v>
      </c>
      <c r="P2068" s="4" t="n">
        <f aca="false">IF(A2068=A2067,P2067+1-M2067,0)</f>
        <v>4</v>
      </c>
    </row>
    <row r="2069" customFormat="false" ht="15" hidden="false" customHeight="false" outlineLevel="0" collapsed="false">
      <c r="A2069" s="30" t="s">
        <v>4203</v>
      </c>
      <c r="B2069" s="30" t="s">
        <v>53</v>
      </c>
      <c r="C2069" s="30" t="s">
        <v>104</v>
      </c>
      <c r="D2069" s="30" t="s">
        <v>488</v>
      </c>
      <c r="E2069" s="4" t="n">
        <v>8</v>
      </c>
      <c r="F2069" s="4" t="s">
        <v>213</v>
      </c>
      <c r="G2069" s="4" t="s">
        <v>565</v>
      </c>
      <c r="H2069" s="4" t="n">
        <v>1983</v>
      </c>
      <c r="I2069" s="4" t="s">
        <v>488</v>
      </c>
      <c r="J2069" s="25" t="str">
        <f aca="false">IF(M2069=1,"✓","")</f>
        <v/>
      </c>
      <c r="K2069" s="4" t="str">
        <f aca="false">IF(AND(M2069=0,P2069=0),"▶ NEXT","")</f>
        <v/>
      </c>
      <c r="L2069" s="4" t="n">
        <f aca="false">INDEX('Master List'!$F$2:$F$2594,O2069)</f>
        <v>2</v>
      </c>
      <c r="M2069" s="4" t="n">
        <f aca="false">INDEX('Master List'!$G$2:$G$2594,O2069)</f>
        <v>0</v>
      </c>
      <c r="N2069" s="4" t="str">
        <f aca="false">IF(K2069="","",A2069)</f>
        <v/>
      </c>
      <c r="O2069" s="4" t="n">
        <v>1984</v>
      </c>
      <c r="P2069" s="4" t="n">
        <f aca="false">IF(A2069=A2068,P2068+1-M2068,0)</f>
        <v>5</v>
      </c>
    </row>
    <row r="2070" customFormat="false" ht="15" hidden="false" customHeight="false" outlineLevel="0" collapsed="false">
      <c r="A2070" s="30" t="s">
        <v>4203</v>
      </c>
      <c r="B2070" s="30" t="s">
        <v>53</v>
      </c>
      <c r="C2070" s="30" t="s">
        <v>104</v>
      </c>
      <c r="D2070" s="30" t="s">
        <v>488</v>
      </c>
      <c r="E2070" s="4" t="n">
        <v>9</v>
      </c>
      <c r="F2070" s="4" t="s">
        <v>213</v>
      </c>
      <c r="G2070" s="4" t="s">
        <v>814</v>
      </c>
      <c r="H2070" s="4" t="n">
        <v>1984</v>
      </c>
      <c r="I2070" s="4" t="s">
        <v>488</v>
      </c>
      <c r="J2070" s="25" t="str">
        <f aca="false">IF(M2070=1,"✓","")</f>
        <v/>
      </c>
      <c r="K2070" s="4" t="str">
        <f aca="false">IF(AND(M2070=0,P2070=0),"▶ NEXT","")</f>
        <v/>
      </c>
      <c r="L2070" s="4" t="n">
        <f aca="false">INDEX('Master List'!$F$2:$F$2594,O2070)</f>
        <v>3</v>
      </c>
      <c r="M2070" s="4" t="n">
        <f aca="false">INDEX('Master List'!$G$2:$G$2594,O2070)</f>
        <v>0</v>
      </c>
      <c r="N2070" s="4" t="str">
        <f aca="false">IF(K2070="","",A2070)</f>
        <v/>
      </c>
      <c r="O2070" s="4" t="n">
        <v>308</v>
      </c>
      <c r="P2070" s="4" t="n">
        <f aca="false">IF(A2070=A2069,P2069+1-M2069,0)</f>
        <v>6</v>
      </c>
    </row>
    <row r="2071" customFormat="false" ht="15" hidden="false" customHeight="false" outlineLevel="0" collapsed="false">
      <c r="A2071" s="30" t="s">
        <v>4203</v>
      </c>
      <c r="B2071" s="30" t="s">
        <v>53</v>
      </c>
      <c r="C2071" s="30" t="s">
        <v>104</v>
      </c>
      <c r="D2071" s="30" t="s">
        <v>488</v>
      </c>
      <c r="E2071" s="4" t="n">
        <v>10</v>
      </c>
      <c r="F2071" s="4" t="s">
        <v>213</v>
      </c>
      <c r="G2071" s="4" t="s">
        <v>1095</v>
      </c>
      <c r="H2071" s="4" t="n">
        <v>1989</v>
      </c>
      <c r="I2071" s="4" t="s">
        <v>488</v>
      </c>
      <c r="J2071" s="25" t="str">
        <f aca="false">IF(M2071=1,"✓","")</f>
        <v/>
      </c>
      <c r="K2071" s="4" t="str">
        <f aca="false">IF(AND(M2071=0,P2071=0),"▶ NEXT","")</f>
        <v/>
      </c>
      <c r="L2071" s="4" t="n">
        <f aca="false">INDEX('Master List'!$F$2:$F$2594,O2071)</f>
        <v>2</v>
      </c>
      <c r="M2071" s="4" t="n">
        <f aca="false">INDEX('Master List'!$G$2:$G$2594,O2071)</f>
        <v>0</v>
      </c>
      <c r="N2071" s="4" t="str">
        <f aca="false">IF(K2071="","",A2071)</f>
        <v/>
      </c>
      <c r="O2071" s="4" t="n">
        <v>410</v>
      </c>
      <c r="P2071" s="4" t="n">
        <f aca="false">IF(A2071=A2070,P2070+1-M2070,0)</f>
        <v>7</v>
      </c>
    </row>
    <row r="2072" customFormat="false" ht="15" hidden="false" customHeight="false" outlineLevel="0" collapsed="false">
      <c r="A2072" s="30" t="s">
        <v>4203</v>
      </c>
      <c r="B2072" s="30" t="s">
        <v>53</v>
      </c>
      <c r="C2072" s="30" t="s">
        <v>104</v>
      </c>
      <c r="D2072" s="30" t="s">
        <v>488</v>
      </c>
      <c r="E2072" s="4" t="n">
        <v>11</v>
      </c>
      <c r="F2072" s="4" t="s">
        <v>213</v>
      </c>
      <c r="G2072" s="4" t="s">
        <v>2570</v>
      </c>
      <c r="H2072" s="4" t="n">
        <v>1993</v>
      </c>
      <c r="I2072" s="4" t="s">
        <v>488</v>
      </c>
      <c r="J2072" s="25" t="str">
        <f aca="false">IF(M2072=1,"✓","")</f>
        <v/>
      </c>
      <c r="K2072" s="4" t="str">
        <f aca="false">IF(AND(M2072=0,P2072=0),"▶ NEXT","")</f>
        <v/>
      </c>
      <c r="L2072" s="4" t="n">
        <f aca="false">INDEX('Master List'!$F$2:$F$2594,O2072)</f>
        <v>1</v>
      </c>
      <c r="M2072" s="4" t="n">
        <f aca="false">INDEX('Master List'!$G$2:$G$2594,O2072)</f>
        <v>0</v>
      </c>
      <c r="N2072" s="4" t="str">
        <f aca="false">IF(K2072="","",A2072)</f>
        <v/>
      </c>
      <c r="O2072" s="4" t="n">
        <v>396</v>
      </c>
      <c r="P2072" s="4" t="n">
        <f aca="false">IF(A2072=A2071,P2071+1-M2071,0)</f>
        <v>8</v>
      </c>
    </row>
    <row r="2073" customFormat="false" ht="15" hidden="false" customHeight="false" outlineLevel="0" collapsed="false">
      <c r="A2073" s="30" t="s">
        <v>4203</v>
      </c>
      <c r="B2073" s="30" t="s">
        <v>53</v>
      </c>
      <c r="C2073" s="30" t="s">
        <v>104</v>
      </c>
      <c r="D2073" s="30" t="s">
        <v>488</v>
      </c>
      <c r="E2073" s="4" t="n">
        <v>12</v>
      </c>
      <c r="F2073" s="4" t="s">
        <v>213</v>
      </c>
      <c r="G2073" s="4" t="s">
        <v>2638</v>
      </c>
      <c r="H2073" s="4" t="n">
        <v>1996</v>
      </c>
      <c r="I2073" s="4" t="s">
        <v>488</v>
      </c>
      <c r="J2073" s="25" t="str">
        <f aca="false">IF(M2073=1,"✓","")</f>
        <v/>
      </c>
      <c r="K2073" s="4" t="str">
        <f aca="false">IF(AND(M2073=0,P2073=0),"▶ NEXT","")</f>
        <v/>
      </c>
      <c r="L2073" s="4" t="n">
        <f aca="false">INDEX('Master List'!$F$2:$F$2594,O2073)</f>
        <v>1</v>
      </c>
      <c r="M2073" s="4" t="n">
        <f aca="false">INDEX('Master List'!$G$2:$G$2594,O2073)</f>
        <v>0</v>
      </c>
      <c r="N2073" s="4" t="str">
        <f aca="false">IF(K2073="","",A2073)</f>
        <v/>
      </c>
      <c r="O2073" s="4" t="n">
        <v>1514</v>
      </c>
      <c r="P2073" s="4" t="n">
        <f aca="false">IF(A2073=A2072,P2072+1-M2072,0)</f>
        <v>9</v>
      </c>
    </row>
    <row r="2074" customFormat="false" ht="15" hidden="false" customHeight="false" outlineLevel="0" collapsed="false">
      <c r="A2074" s="30" t="s">
        <v>4203</v>
      </c>
      <c r="B2074" s="30" t="s">
        <v>53</v>
      </c>
      <c r="C2074" s="30" t="s">
        <v>104</v>
      </c>
      <c r="D2074" s="30" t="s">
        <v>488</v>
      </c>
      <c r="E2074" s="4" t="n">
        <v>13</v>
      </c>
      <c r="F2074" s="4" t="s">
        <v>1327</v>
      </c>
      <c r="G2074" s="4" t="s">
        <v>3728</v>
      </c>
      <c r="H2074" s="4" t="n">
        <v>2002</v>
      </c>
      <c r="I2074" s="4" t="s">
        <v>488</v>
      </c>
      <c r="J2074" s="25" t="str">
        <f aca="false">IF(M2074=1,"✓","")</f>
        <v/>
      </c>
      <c r="K2074" s="4" t="str">
        <f aca="false">IF(AND(M2074=0,P2074=0),"▶ NEXT","")</f>
        <v/>
      </c>
      <c r="L2074" s="4" t="n">
        <f aca="false">INDEX('Master List'!$F$2:$F$2594,O2074)</f>
        <v>1</v>
      </c>
      <c r="M2074" s="4" t="n">
        <f aca="false">INDEX('Master List'!$G$2:$G$2594,O2074)</f>
        <v>0</v>
      </c>
      <c r="N2074" s="4" t="str">
        <f aca="false">IF(K2074="","",A2074)</f>
        <v/>
      </c>
      <c r="O2074" s="4" t="n">
        <v>801</v>
      </c>
      <c r="P2074" s="4" t="n">
        <f aca="false">IF(A2074=A2073,P2073+1-M2073,0)</f>
        <v>10</v>
      </c>
    </row>
    <row r="2075" customFormat="false" ht="15" hidden="false" customHeight="false" outlineLevel="0" collapsed="false">
      <c r="A2075" s="30" t="s">
        <v>4203</v>
      </c>
      <c r="B2075" s="30" t="s">
        <v>53</v>
      </c>
      <c r="C2075" s="30" t="s">
        <v>104</v>
      </c>
      <c r="D2075" s="30" t="s">
        <v>488</v>
      </c>
      <c r="E2075" s="4" t="n">
        <v>14</v>
      </c>
      <c r="F2075" s="4" t="s">
        <v>1327</v>
      </c>
      <c r="G2075" s="4" t="s">
        <v>3674</v>
      </c>
      <c r="H2075" s="4" t="n">
        <v>1992</v>
      </c>
      <c r="I2075" s="4" t="s">
        <v>488</v>
      </c>
      <c r="J2075" s="25" t="str">
        <f aca="false">IF(M2075=1,"✓","")</f>
        <v/>
      </c>
      <c r="K2075" s="4" t="str">
        <f aca="false">IF(AND(M2075=0,P2075=0),"▶ NEXT","")</f>
        <v/>
      </c>
      <c r="L2075" s="4" t="n">
        <f aca="false">INDEX('Master List'!$F$2:$F$2594,O2075)</f>
        <v>1</v>
      </c>
      <c r="M2075" s="4" t="n">
        <f aca="false">INDEX('Master List'!$G$2:$G$2594,O2075)</f>
        <v>0</v>
      </c>
      <c r="N2075" s="4" t="str">
        <f aca="false">IF(K2075="","",A2075)</f>
        <v/>
      </c>
      <c r="O2075" s="4" t="n">
        <v>1858</v>
      </c>
      <c r="P2075" s="4" t="n">
        <f aca="false">IF(A2075=A2074,P2074+1-M2074,0)</f>
        <v>11</v>
      </c>
    </row>
    <row r="2076" customFormat="false" ht="15" hidden="false" customHeight="false" outlineLevel="0" collapsed="false">
      <c r="A2076" s="30" t="s">
        <v>4204</v>
      </c>
      <c r="B2076" s="30" t="s">
        <v>53</v>
      </c>
      <c r="C2076" s="30" t="s">
        <v>104</v>
      </c>
      <c r="D2076" s="30" t="s">
        <v>266</v>
      </c>
      <c r="E2076" s="4" t="n">
        <v>1</v>
      </c>
      <c r="F2076" s="4" t="s">
        <v>144</v>
      </c>
      <c r="G2076" s="7" t="s">
        <v>293</v>
      </c>
      <c r="H2076" s="4" t="n">
        <v>1978</v>
      </c>
      <c r="I2076" s="4" t="s">
        <v>266</v>
      </c>
      <c r="J2076" s="25" t="str">
        <f aca="false">IF(M2076=1,"✓","")</f>
        <v>✓</v>
      </c>
      <c r="K2076" s="4" t="str">
        <f aca="false">IF(AND(M2076=0,P2076=0),"▶ NEXT","")</f>
        <v/>
      </c>
      <c r="L2076" s="4" t="n">
        <f aca="false">INDEX('Master List'!$F$2:$F$2594,O2076)</f>
        <v>4</v>
      </c>
      <c r="M2076" s="4" t="n">
        <f aca="false">INDEX('Master List'!$G$2:$G$2594,O2076)</f>
        <v>1</v>
      </c>
      <c r="N2076" s="4" t="str">
        <f aca="false">IF(K2076="","",A2076)</f>
        <v/>
      </c>
      <c r="O2076" s="4" t="n">
        <v>981</v>
      </c>
      <c r="P2076" s="4" t="n">
        <f aca="false">IF(A2076=A2075,P2075+1-M2075,0)</f>
        <v>0</v>
      </c>
    </row>
    <row r="2077" customFormat="false" ht="15" hidden="false" customHeight="false" outlineLevel="0" collapsed="false">
      <c r="A2077" s="30" t="s">
        <v>4204</v>
      </c>
      <c r="B2077" s="30" t="s">
        <v>53</v>
      </c>
      <c r="C2077" s="30" t="s">
        <v>104</v>
      </c>
      <c r="D2077" s="30" t="s">
        <v>266</v>
      </c>
      <c r="E2077" s="4" t="n">
        <v>2</v>
      </c>
      <c r="F2077" s="4" t="s">
        <v>144</v>
      </c>
      <c r="G2077" s="7" t="s">
        <v>265</v>
      </c>
      <c r="H2077" s="4" t="n">
        <v>1982</v>
      </c>
      <c r="I2077" s="4" t="s">
        <v>266</v>
      </c>
      <c r="J2077" s="25" t="str">
        <f aca="false">IF(M2077=1,"✓","")</f>
        <v>✓</v>
      </c>
      <c r="K2077" s="4" t="str">
        <f aca="false">IF(AND(M2077=0,P2077=0),"▶ NEXT","")</f>
        <v/>
      </c>
      <c r="L2077" s="4" t="n">
        <f aca="false">INDEX('Master List'!$F$2:$F$2594,O2077)</f>
        <v>4</v>
      </c>
      <c r="M2077" s="4" t="n">
        <f aca="false">INDEX('Master List'!$G$2:$G$2594,O2077)</f>
        <v>1</v>
      </c>
      <c r="N2077" s="4" t="str">
        <f aca="false">IF(K2077="","",A2077)</f>
        <v/>
      </c>
      <c r="O2077" s="4" t="n">
        <v>2278</v>
      </c>
      <c r="P2077" s="4" t="n">
        <f aca="false">IF(A2077=A2076,P2076+1-M2076,0)</f>
        <v>0</v>
      </c>
    </row>
    <row r="2078" customFormat="false" ht="15" hidden="false" customHeight="false" outlineLevel="0" collapsed="false">
      <c r="A2078" s="30" t="s">
        <v>4204</v>
      </c>
      <c r="B2078" s="30" t="s">
        <v>53</v>
      </c>
      <c r="C2078" s="30" t="s">
        <v>104</v>
      </c>
      <c r="D2078" s="30" t="s">
        <v>266</v>
      </c>
      <c r="E2078" s="4" t="n">
        <v>3</v>
      </c>
      <c r="F2078" s="4" t="s">
        <v>213</v>
      </c>
      <c r="G2078" s="4" t="s">
        <v>2289</v>
      </c>
      <c r="H2078" s="4" t="n">
        <v>1976</v>
      </c>
      <c r="I2078" s="4" t="s">
        <v>266</v>
      </c>
      <c r="J2078" s="25" t="str">
        <f aca="false">IF(M2078=1,"✓","")</f>
        <v>✓</v>
      </c>
      <c r="K2078" s="4" t="str">
        <f aca="false">IF(AND(M2078=0,P2078=0),"▶ NEXT","")</f>
        <v/>
      </c>
      <c r="L2078" s="4" t="n">
        <f aca="false">INDEX('Master List'!$F$2:$F$2594,O2078)</f>
        <v>1</v>
      </c>
      <c r="M2078" s="4" t="n">
        <f aca="false">INDEX('Master List'!$G$2:$G$2594,O2078)</f>
        <v>1</v>
      </c>
      <c r="N2078" s="4" t="str">
        <f aca="false">IF(K2078="","",A2078)</f>
        <v/>
      </c>
      <c r="O2078" s="4" t="n">
        <v>142</v>
      </c>
      <c r="P2078" s="4" t="n">
        <f aca="false">IF(A2078=A2077,P2077+1-M2077,0)</f>
        <v>0</v>
      </c>
    </row>
    <row r="2079" customFormat="false" ht="15" hidden="false" customHeight="false" outlineLevel="0" collapsed="false">
      <c r="A2079" s="30" t="s">
        <v>4204</v>
      </c>
      <c r="B2079" s="30" t="s">
        <v>53</v>
      </c>
      <c r="C2079" s="30" t="s">
        <v>104</v>
      </c>
      <c r="D2079" s="30" t="s">
        <v>266</v>
      </c>
      <c r="E2079" s="4" t="n">
        <v>4</v>
      </c>
      <c r="F2079" s="4" t="s">
        <v>213</v>
      </c>
      <c r="G2079" s="4" t="s">
        <v>2341</v>
      </c>
      <c r="H2079" s="4" t="n">
        <v>1980</v>
      </c>
      <c r="I2079" s="4" t="s">
        <v>266</v>
      </c>
      <c r="J2079" s="25" t="str">
        <f aca="false">IF(M2079=1,"✓","")</f>
        <v>✓</v>
      </c>
      <c r="K2079" s="4" t="str">
        <f aca="false">IF(AND(M2079=0,P2079=0),"▶ NEXT","")</f>
        <v/>
      </c>
      <c r="L2079" s="4" t="n">
        <f aca="false">INDEX('Master List'!$F$2:$F$2594,O2079)</f>
        <v>1</v>
      </c>
      <c r="M2079" s="4" t="n">
        <f aca="false">INDEX('Master List'!$G$2:$G$2594,O2079)</f>
        <v>1</v>
      </c>
      <c r="N2079" s="4" t="str">
        <f aca="false">IF(K2079="","",A2079)</f>
        <v/>
      </c>
      <c r="O2079" s="4" t="n">
        <v>828</v>
      </c>
      <c r="P2079" s="4" t="n">
        <f aca="false">IF(A2079=A2078,P2078+1-M2078,0)</f>
        <v>0</v>
      </c>
    </row>
    <row r="2080" customFormat="false" ht="15" hidden="false" customHeight="false" outlineLevel="0" collapsed="false">
      <c r="A2080" s="30" t="s">
        <v>4204</v>
      </c>
      <c r="B2080" s="30" t="s">
        <v>53</v>
      </c>
      <c r="C2080" s="30" t="s">
        <v>104</v>
      </c>
      <c r="D2080" s="30" t="s">
        <v>266</v>
      </c>
      <c r="E2080" s="4" t="n">
        <v>5</v>
      </c>
      <c r="F2080" s="4" t="s">
        <v>213</v>
      </c>
      <c r="G2080" s="4" t="s">
        <v>2352</v>
      </c>
      <c r="H2080" s="4" t="n">
        <v>1981</v>
      </c>
      <c r="I2080" s="4" t="s">
        <v>266</v>
      </c>
      <c r="J2080" s="25" t="str">
        <f aca="false">IF(M2080=1,"✓","")</f>
        <v>✓</v>
      </c>
      <c r="K2080" s="4" t="str">
        <f aca="false">IF(AND(M2080=0,P2080=0),"▶ NEXT","")</f>
        <v/>
      </c>
      <c r="L2080" s="4" t="n">
        <f aca="false">INDEX('Master List'!$F$2:$F$2594,O2080)</f>
        <v>1</v>
      </c>
      <c r="M2080" s="4" t="n">
        <f aca="false">INDEX('Master List'!$G$2:$G$2594,O2080)</f>
        <v>1</v>
      </c>
      <c r="N2080" s="4" t="str">
        <f aca="false">IF(K2080="","",A2080)</f>
        <v/>
      </c>
      <c r="O2080" s="4" t="n">
        <v>744</v>
      </c>
      <c r="P2080" s="4" t="n">
        <f aca="false">IF(A2080=A2079,P2079+1-M2079,0)</f>
        <v>0</v>
      </c>
    </row>
    <row r="2081" customFormat="false" ht="15" hidden="false" customHeight="false" outlineLevel="0" collapsed="false">
      <c r="A2081" s="30" t="s">
        <v>4204</v>
      </c>
      <c r="B2081" s="30" t="s">
        <v>53</v>
      </c>
      <c r="C2081" s="30" t="s">
        <v>104</v>
      </c>
      <c r="D2081" s="30" t="s">
        <v>266</v>
      </c>
      <c r="E2081" s="4" t="n">
        <v>6</v>
      </c>
      <c r="F2081" s="4" t="s">
        <v>213</v>
      </c>
      <c r="G2081" s="4" t="s">
        <v>2385</v>
      </c>
      <c r="H2081" s="4" t="n">
        <v>1983</v>
      </c>
      <c r="I2081" s="4" t="s">
        <v>266</v>
      </c>
      <c r="J2081" s="25" t="str">
        <f aca="false">IF(M2081=1,"✓","")</f>
        <v/>
      </c>
      <c r="K2081" s="4" t="str">
        <f aca="false">IF(AND(M2081=0,P2081=0),"▶ NEXT","")</f>
        <v>▶ NEXT</v>
      </c>
      <c r="L2081" s="4" t="n">
        <f aca="false">INDEX('Master List'!$F$2:$F$2594,O2081)</f>
        <v>1</v>
      </c>
      <c r="M2081" s="4" t="n">
        <f aca="false">INDEX('Master List'!$G$2:$G$2594,O2081)</f>
        <v>0</v>
      </c>
      <c r="N2081" s="4" t="str">
        <f aca="false">IF(K2081="","",A2081)</f>
        <v>N172</v>
      </c>
      <c r="O2081" s="4" t="n">
        <v>453</v>
      </c>
      <c r="P2081" s="4" t="n">
        <f aca="false">IF(A2081=A2080,P2080+1-M2080,0)</f>
        <v>0</v>
      </c>
    </row>
    <row r="2082" customFormat="false" ht="15" hidden="false" customHeight="false" outlineLevel="0" collapsed="false">
      <c r="A2082" s="30" t="s">
        <v>4204</v>
      </c>
      <c r="B2082" s="30" t="s">
        <v>53</v>
      </c>
      <c r="C2082" s="30" t="s">
        <v>104</v>
      </c>
      <c r="D2082" s="30" t="s">
        <v>266</v>
      </c>
      <c r="E2082" s="4" t="n">
        <v>7</v>
      </c>
      <c r="F2082" s="4" t="s">
        <v>213</v>
      </c>
      <c r="G2082" s="4" t="s">
        <v>2405</v>
      </c>
      <c r="H2082" s="4" t="n">
        <v>1984</v>
      </c>
      <c r="I2082" s="4" t="s">
        <v>266</v>
      </c>
      <c r="J2082" s="25" t="str">
        <f aca="false">IF(M2082=1,"✓","")</f>
        <v>✓</v>
      </c>
      <c r="K2082" s="4" t="str">
        <f aca="false">IF(AND(M2082=0,P2082=0),"▶ NEXT","")</f>
        <v/>
      </c>
      <c r="L2082" s="4" t="n">
        <f aca="false">INDEX('Master List'!$F$2:$F$2594,O2082)</f>
        <v>1</v>
      </c>
      <c r="M2082" s="4" t="n">
        <f aca="false">INDEX('Master List'!$G$2:$G$2594,O2082)</f>
        <v>1</v>
      </c>
      <c r="N2082" s="4" t="str">
        <f aca="false">IF(K2082="","",A2082)</f>
        <v/>
      </c>
      <c r="O2082" s="4" t="n">
        <v>2150</v>
      </c>
      <c r="P2082" s="4" t="n">
        <f aca="false">IF(A2082=A2081,P2081+1-M2081,0)</f>
        <v>1</v>
      </c>
    </row>
    <row r="2083" customFormat="false" ht="15" hidden="false" customHeight="false" outlineLevel="0" collapsed="false">
      <c r="A2083" s="30" t="s">
        <v>4204</v>
      </c>
      <c r="B2083" s="30" t="s">
        <v>53</v>
      </c>
      <c r="C2083" s="30" t="s">
        <v>104</v>
      </c>
      <c r="D2083" s="30" t="s">
        <v>266</v>
      </c>
      <c r="E2083" s="4" t="n">
        <v>8</v>
      </c>
      <c r="F2083" s="4" t="s">
        <v>213</v>
      </c>
      <c r="G2083" s="4" t="s">
        <v>2435</v>
      </c>
      <c r="H2083" s="4" t="n">
        <v>1986</v>
      </c>
      <c r="I2083" s="4" t="s">
        <v>266</v>
      </c>
      <c r="J2083" s="25" t="str">
        <f aca="false">IF(M2083=1,"✓","")</f>
        <v>✓</v>
      </c>
      <c r="K2083" s="4" t="str">
        <f aca="false">IF(AND(M2083=0,P2083=0),"▶ NEXT","")</f>
        <v/>
      </c>
      <c r="L2083" s="4" t="n">
        <f aca="false">INDEX('Master List'!$F$2:$F$2594,O2083)</f>
        <v>1</v>
      </c>
      <c r="M2083" s="4" t="n">
        <f aca="false">INDEX('Master List'!$G$2:$G$2594,O2083)</f>
        <v>1</v>
      </c>
      <c r="N2083" s="4" t="str">
        <f aca="false">IF(K2083="","",A2083)</f>
        <v/>
      </c>
      <c r="O2083" s="4" t="n">
        <v>250</v>
      </c>
      <c r="P2083" s="4" t="n">
        <f aca="false">IF(A2083=A2082,P2082+1-M2082,0)</f>
        <v>1</v>
      </c>
    </row>
    <row r="2084" customFormat="false" ht="15" hidden="false" customHeight="false" outlineLevel="0" collapsed="false">
      <c r="A2084" s="30" t="s">
        <v>4204</v>
      </c>
      <c r="B2084" s="30" t="s">
        <v>53</v>
      </c>
      <c r="C2084" s="30" t="s">
        <v>104</v>
      </c>
      <c r="D2084" s="30" t="s">
        <v>266</v>
      </c>
      <c r="E2084" s="4" t="n">
        <v>9</v>
      </c>
      <c r="F2084" s="4" t="s">
        <v>213</v>
      </c>
      <c r="G2084" s="4" t="s">
        <v>1083</v>
      </c>
      <c r="H2084" s="4" t="n">
        <v>1987</v>
      </c>
      <c r="I2084" s="4" t="s">
        <v>266</v>
      </c>
      <c r="J2084" s="25" t="str">
        <f aca="false">IF(M2084=1,"✓","")</f>
        <v>✓</v>
      </c>
      <c r="K2084" s="4" t="str">
        <f aca="false">IF(AND(M2084=0,P2084=0),"▶ NEXT","")</f>
        <v/>
      </c>
      <c r="L2084" s="4" t="n">
        <f aca="false">INDEX('Master List'!$F$2:$F$2594,O2084)</f>
        <v>2</v>
      </c>
      <c r="M2084" s="4" t="n">
        <f aca="false">INDEX('Master List'!$G$2:$G$2594,O2084)</f>
        <v>1</v>
      </c>
      <c r="N2084" s="4" t="str">
        <f aca="false">IF(K2084="","",A2084)</f>
        <v/>
      </c>
      <c r="O2084" s="4" t="n">
        <v>1815</v>
      </c>
      <c r="P2084" s="4" t="n">
        <f aca="false">IF(A2084=A2083,P2083+1-M2083,0)</f>
        <v>1</v>
      </c>
    </row>
    <row r="2085" customFormat="false" ht="15" hidden="false" customHeight="false" outlineLevel="0" collapsed="false">
      <c r="A2085" s="30" t="s">
        <v>4204</v>
      </c>
      <c r="B2085" s="30" t="s">
        <v>53</v>
      </c>
      <c r="C2085" s="30" t="s">
        <v>104</v>
      </c>
      <c r="D2085" s="30" t="s">
        <v>266</v>
      </c>
      <c r="E2085" s="4" t="n">
        <v>10</v>
      </c>
      <c r="F2085" s="4" t="s">
        <v>213</v>
      </c>
      <c r="G2085" s="4" t="s">
        <v>1088</v>
      </c>
      <c r="H2085" s="4" t="n">
        <v>1988</v>
      </c>
      <c r="I2085" s="4" t="s">
        <v>266</v>
      </c>
      <c r="J2085" s="25" t="str">
        <f aca="false">IF(M2085=1,"✓","")</f>
        <v>✓</v>
      </c>
      <c r="K2085" s="4" t="str">
        <f aca="false">IF(AND(M2085=0,P2085=0),"▶ NEXT","")</f>
        <v/>
      </c>
      <c r="L2085" s="4" t="n">
        <f aca="false">INDEX('Master List'!$F$2:$F$2594,O2085)</f>
        <v>2</v>
      </c>
      <c r="M2085" s="4" t="n">
        <f aca="false">INDEX('Master List'!$G$2:$G$2594,O2085)</f>
        <v>1</v>
      </c>
      <c r="N2085" s="4" t="str">
        <f aca="false">IF(K2085="","",A2085)</f>
        <v/>
      </c>
      <c r="O2085" s="4" t="n">
        <v>2270</v>
      </c>
      <c r="P2085" s="4" t="n">
        <f aca="false">IF(A2085=A2084,P2084+1-M2084,0)</f>
        <v>1</v>
      </c>
    </row>
    <row r="2086" customFormat="false" ht="15" hidden="false" customHeight="false" outlineLevel="0" collapsed="false">
      <c r="A2086" s="30" t="s">
        <v>4204</v>
      </c>
      <c r="B2086" s="30" t="s">
        <v>53</v>
      </c>
      <c r="C2086" s="30" t="s">
        <v>104</v>
      </c>
      <c r="D2086" s="30" t="s">
        <v>266</v>
      </c>
      <c r="E2086" s="4" t="n">
        <v>11</v>
      </c>
      <c r="F2086" s="4" t="s">
        <v>213</v>
      </c>
      <c r="G2086" s="4" t="s">
        <v>834</v>
      </c>
      <c r="H2086" s="4" t="n">
        <v>1994</v>
      </c>
      <c r="I2086" s="4" t="s">
        <v>266</v>
      </c>
      <c r="J2086" s="25" t="str">
        <f aca="false">IF(M2086=1,"✓","")</f>
        <v>✓</v>
      </c>
      <c r="K2086" s="4" t="str">
        <f aca="false">IF(AND(M2086=0,P2086=0),"▶ NEXT","")</f>
        <v/>
      </c>
      <c r="L2086" s="4" t="n">
        <f aca="false">INDEX('Master List'!$F$2:$F$2594,O2086)</f>
        <v>2</v>
      </c>
      <c r="M2086" s="4" t="n">
        <f aca="false">INDEX('Master List'!$G$2:$G$2594,O2086)</f>
        <v>1</v>
      </c>
      <c r="N2086" s="4" t="str">
        <f aca="false">IF(K2086="","",A2086)</f>
        <v/>
      </c>
      <c r="O2086" s="4" t="n">
        <v>1130</v>
      </c>
      <c r="P2086" s="4" t="n">
        <f aca="false">IF(A2086=A2085,P2085+1-M2085,0)</f>
        <v>1</v>
      </c>
    </row>
    <row r="2087" customFormat="false" ht="15" hidden="false" customHeight="false" outlineLevel="0" collapsed="false">
      <c r="A2087" s="30" t="s">
        <v>4204</v>
      </c>
      <c r="B2087" s="30" t="s">
        <v>53</v>
      </c>
      <c r="C2087" s="30" t="s">
        <v>104</v>
      </c>
      <c r="D2087" s="30" t="s">
        <v>266</v>
      </c>
      <c r="E2087" s="4" t="n">
        <v>12</v>
      </c>
      <c r="F2087" s="4" t="s">
        <v>1327</v>
      </c>
      <c r="G2087" s="4" t="s">
        <v>1650</v>
      </c>
      <c r="H2087" s="4" t="n">
        <v>1974</v>
      </c>
      <c r="I2087" s="4" t="s">
        <v>266</v>
      </c>
      <c r="J2087" s="25" t="str">
        <f aca="false">IF(M2087=1,"✓","")</f>
        <v>✓</v>
      </c>
      <c r="K2087" s="4" t="str">
        <f aca="false">IF(AND(M2087=0,P2087=0),"▶ NEXT","")</f>
        <v/>
      </c>
      <c r="L2087" s="4" t="n">
        <f aca="false">INDEX('Master List'!$F$2:$F$2594,O2087)</f>
        <v>2</v>
      </c>
      <c r="M2087" s="4" t="n">
        <f aca="false">INDEX('Master List'!$G$2:$G$2594,O2087)</f>
        <v>1</v>
      </c>
      <c r="N2087" s="4" t="str">
        <f aca="false">IF(K2087="","",A2087)</f>
        <v/>
      </c>
      <c r="O2087" s="4" t="n">
        <v>565</v>
      </c>
      <c r="P2087" s="4" t="n">
        <f aca="false">IF(A2087=A2086,P2086+1-M2086,0)</f>
        <v>1</v>
      </c>
    </row>
    <row r="2088" customFormat="false" ht="15" hidden="false" customHeight="false" outlineLevel="0" collapsed="false">
      <c r="A2088" s="30" t="s">
        <v>4205</v>
      </c>
      <c r="B2088" s="30" t="s">
        <v>53</v>
      </c>
      <c r="C2088" s="30" t="s">
        <v>104</v>
      </c>
      <c r="D2088" s="30" t="s">
        <v>154</v>
      </c>
      <c r="E2088" s="4" t="n">
        <v>1</v>
      </c>
      <c r="F2088" s="4" t="s">
        <v>144</v>
      </c>
      <c r="G2088" s="7" t="s">
        <v>153</v>
      </c>
      <c r="H2088" s="4" t="n">
        <v>2001</v>
      </c>
      <c r="I2088" s="4" t="s">
        <v>154</v>
      </c>
      <c r="J2088" s="25" t="str">
        <f aca="false">IF(M2088=1,"✓","")</f>
        <v>✓</v>
      </c>
      <c r="K2088" s="4" t="str">
        <f aca="false">IF(AND(M2088=0,P2088=0),"▶ NEXT","")</f>
        <v/>
      </c>
      <c r="L2088" s="4" t="n">
        <f aca="false">INDEX('Master List'!$F$2:$F$2594,O2088)</f>
        <v>9</v>
      </c>
      <c r="M2088" s="4" t="n">
        <f aca="false">INDEX('Master List'!$G$2:$G$2594,O2088)</f>
        <v>1</v>
      </c>
      <c r="N2088" s="4" t="str">
        <f aca="false">IF(K2088="","",A2088)</f>
        <v/>
      </c>
      <c r="O2088" s="4" t="n">
        <v>1555</v>
      </c>
      <c r="P2088" s="4" t="n">
        <f aca="false">IF(A2088=A2087,P2087+1-M2087,0)</f>
        <v>0</v>
      </c>
    </row>
    <row r="2089" customFormat="false" ht="15" hidden="false" customHeight="false" outlineLevel="0" collapsed="false">
      <c r="A2089" s="30" t="s">
        <v>4205</v>
      </c>
      <c r="B2089" s="30" t="s">
        <v>53</v>
      </c>
      <c r="C2089" s="30" t="s">
        <v>104</v>
      </c>
      <c r="D2089" s="30" t="s">
        <v>154</v>
      </c>
      <c r="E2089" s="4" t="n">
        <v>2</v>
      </c>
      <c r="F2089" s="4" t="s">
        <v>144</v>
      </c>
      <c r="G2089" s="7" t="s">
        <v>218</v>
      </c>
      <c r="H2089" s="4" t="n">
        <v>1977</v>
      </c>
      <c r="I2089" s="4" t="s">
        <v>154</v>
      </c>
      <c r="J2089" s="25" t="str">
        <f aca="false">IF(M2089=1,"✓","")</f>
        <v>✓</v>
      </c>
      <c r="K2089" s="4" t="str">
        <f aca="false">IF(AND(M2089=0,P2089=0),"▶ NEXT","")</f>
        <v/>
      </c>
      <c r="L2089" s="4" t="n">
        <f aca="false">INDEX('Master List'!$F$2:$F$2594,O2089)</f>
        <v>6</v>
      </c>
      <c r="M2089" s="4" t="n">
        <f aca="false">INDEX('Master List'!$G$2:$G$2594,O2089)</f>
        <v>1</v>
      </c>
      <c r="N2089" s="4" t="str">
        <f aca="false">IF(K2089="","",A2089)</f>
        <v/>
      </c>
      <c r="O2089" s="4" t="n">
        <v>740</v>
      </c>
      <c r="P2089" s="4" t="n">
        <f aca="false">IF(A2089=A2088,P2088+1-M2088,0)</f>
        <v>0</v>
      </c>
    </row>
    <row r="2090" customFormat="false" ht="15" hidden="false" customHeight="false" outlineLevel="0" collapsed="false">
      <c r="A2090" s="30" t="s">
        <v>4205</v>
      </c>
      <c r="B2090" s="30" t="s">
        <v>53</v>
      </c>
      <c r="C2090" s="30" t="s">
        <v>104</v>
      </c>
      <c r="D2090" s="30" t="s">
        <v>154</v>
      </c>
      <c r="E2090" s="4" t="n">
        <v>3</v>
      </c>
      <c r="F2090" s="4" t="s">
        <v>213</v>
      </c>
      <c r="G2090" s="4" t="s">
        <v>2342</v>
      </c>
      <c r="H2090" s="4" t="n">
        <v>1980</v>
      </c>
      <c r="I2090" s="4" t="s">
        <v>154</v>
      </c>
      <c r="J2090" s="25" t="str">
        <f aca="false">IF(M2090=1,"✓","")</f>
        <v>✓</v>
      </c>
      <c r="K2090" s="4" t="str">
        <f aca="false">IF(AND(M2090=0,P2090=0),"▶ NEXT","")</f>
        <v/>
      </c>
      <c r="L2090" s="4" t="n">
        <f aca="false">INDEX('Master List'!$F$2:$F$2594,O2090)</f>
        <v>1</v>
      </c>
      <c r="M2090" s="4" t="n">
        <f aca="false">INDEX('Master List'!$G$2:$G$2594,O2090)</f>
        <v>1</v>
      </c>
      <c r="N2090" s="4" t="str">
        <f aca="false">IF(K2090="","",A2090)</f>
        <v/>
      </c>
      <c r="O2090" s="4" t="n">
        <v>718</v>
      </c>
      <c r="P2090" s="4" t="n">
        <f aca="false">IF(A2090=A2089,P2089+1-M2089,0)</f>
        <v>0</v>
      </c>
    </row>
    <row r="2091" customFormat="false" ht="15" hidden="false" customHeight="false" outlineLevel="0" collapsed="false">
      <c r="A2091" s="30" t="s">
        <v>4205</v>
      </c>
      <c r="B2091" s="30" t="s">
        <v>53</v>
      </c>
      <c r="C2091" s="30" t="s">
        <v>104</v>
      </c>
      <c r="D2091" s="30" t="s">
        <v>154</v>
      </c>
      <c r="E2091" s="4" t="n">
        <v>4</v>
      </c>
      <c r="F2091" s="4" t="s">
        <v>213</v>
      </c>
      <c r="G2091" s="4" t="s">
        <v>317</v>
      </c>
      <c r="H2091" s="4" t="n">
        <v>1986</v>
      </c>
      <c r="I2091" s="4" t="s">
        <v>154</v>
      </c>
      <c r="J2091" s="25" t="str">
        <f aca="false">IF(M2091=1,"✓","")</f>
        <v>✓</v>
      </c>
      <c r="K2091" s="4" t="str">
        <f aca="false">IF(AND(M2091=0,P2091=0),"▶ NEXT","")</f>
        <v/>
      </c>
      <c r="L2091" s="4" t="n">
        <f aca="false">INDEX('Master List'!$F$2:$F$2594,O2091)</f>
        <v>4</v>
      </c>
      <c r="M2091" s="4" t="n">
        <f aca="false">INDEX('Master List'!$G$2:$G$2594,O2091)</f>
        <v>1</v>
      </c>
      <c r="N2091" s="4" t="str">
        <f aca="false">IF(K2091="","",A2091)</f>
        <v/>
      </c>
      <c r="O2091" s="4" t="n">
        <v>302</v>
      </c>
      <c r="P2091" s="4" t="n">
        <f aca="false">IF(A2091=A2090,P2090+1-M2090,0)</f>
        <v>0</v>
      </c>
    </row>
    <row r="2092" customFormat="false" ht="15" hidden="false" customHeight="false" outlineLevel="0" collapsed="false">
      <c r="A2092" s="30" t="s">
        <v>4205</v>
      </c>
      <c r="B2092" s="30" t="s">
        <v>53</v>
      </c>
      <c r="C2092" s="30" t="s">
        <v>104</v>
      </c>
      <c r="D2092" s="30" t="s">
        <v>154</v>
      </c>
      <c r="E2092" s="4" t="n">
        <v>5</v>
      </c>
      <c r="F2092" s="4" t="s">
        <v>213</v>
      </c>
      <c r="G2092" s="4" t="s">
        <v>1100</v>
      </c>
      <c r="H2092" s="4" t="n">
        <v>1990</v>
      </c>
      <c r="I2092" s="4" t="s">
        <v>154</v>
      </c>
      <c r="J2092" s="25" t="str">
        <f aca="false">IF(M2092=1,"✓","")</f>
        <v/>
      </c>
      <c r="K2092" s="4" t="str">
        <f aca="false">IF(AND(M2092=0,P2092=0),"▶ NEXT","")</f>
        <v>▶ NEXT</v>
      </c>
      <c r="L2092" s="4" t="n">
        <f aca="false">INDEX('Master List'!$F$2:$F$2594,O2092)</f>
        <v>2</v>
      </c>
      <c r="M2092" s="4" t="n">
        <f aca="false">INDEX('Master List'!$G$2:$G$2594,O2092)</f>
        <v>0</v>
      </c>
      <c r="N2092" s="4" t="str">
        <f aca="false">IF(K2092="","",A2092)</f>
        <v>N173</v>
      </c>
      <c r="O2092" s="4" t="n">
        <v>2513</v>
      </c>
      <c r="P2092" s="4" t="n">
        <f aca="false">IF(A2092=A2091,P2091+1-M2091,0)</f>
        <v>0</v>
      </c>
    </row>
    <row r="2093" customFormat="false" ht="15" hidden="false" customHeight="false" outlineLevel="0" collapsed="false">
      <c r="A2093" s="30" t="s">
        <v>4205</v>
      </c>
      <c r="B2093" s="30" t="s">
        <v>53</v>
      </c>
      <c r="C2093" s="30" t="s">
        <v>104</v>
      </c>
      <c r="D2093" s="30" t="s">
        <v>154</v>
      </c>
      <c r="E2093" s="4" t="n">
        <v>6</v>
      </c>
      <c r="F2093" s="4" t="s">
        <v>213</v>
      </c>
      <c r="G2093" s="4" t="s">
        <v>2544</v>
      </c>
      <c r="H2093" s="4" t="n">
        <v>1992</v>
      </c>
      <c r="I2093" s="4" t="s">
        <v>154</v>
      </c>
      <c r="J2093" s="25" t="str">
        <f aca="false">IF(M2093=1,"✓","")</f>
        <v/>
      </c>
      <c r="K2093" s="4" t="str">
        <f aca="false">IF(AND(M2093=0,P2093=0),"▶ NEXT","")</f>
        <v/>
      </c>
      <c r="L2093" s="4" t="n">
        <f aca="false">INDEX('Master List'!$F$2:$F$2594,O2093)</f>
        <v>1</v>
      </c>
      <c r="M2093" s="4" t="n">
        <f aca="false">INDEX('Master List'!$G$2:$G$2594,O2093)</f>
        <v>0</v>
      </c>
      <c r="N2093" s="4" t="str">
        <f aca="false">IF(K2093="","",A2093)</f>
        <v/>
      </c>
      <c r="O2093" s="4" t="n">
        <v>2387</v>
      </c>
      <c r="P2093" s="4" t="n">
        <f aca="false">IF(A2093=A2092,P2092+1-M2092,0)</f>
        <v>1</v>
      </c>
    </row>
    <row r="2094" customFormat="false" ht="15" hidden="false" customHeight="false" outlineLevel="0" collapsed="false">
      <c r="A2094" s="30" t="s">
        <v>4205</v>
      </c>
      <c r="B2094" s="30" t="s">
        <v>53</v>
      </c>
      <c r="C2094" s="30" t="s">
        <v>104</v>
      </c>
      <c r="D2094" s="30" t="s">
        <v>154</v>
      </c>
      <c r="E2094" s="4" t="n">
        <v>7</v>
      </c>
      <c r="F2094" s="4" t="s">
        <v>213</v>
      </c>
      <c r="G2094" s="4" t="s">
        <v>442</v>
      </c>
      <c r="H2094" s="4" t="n">
        <v>1997</v>
      </c>
      <c r="I2094" s="4" t="s">
        <v>154</v>
      </c>
      <c r="J2094" s="25" t="str">
        <f aca="false">IF(M2094=1,"✓","")</f>
        <v/>
      </c>
      <c r="K2094" s="4" t="str">
        <f aca="false">IF(AND(M2094=0,P2094=0),"▶ NEXT","")</f>
        <v/>
      </c>
      <c r="L2094" s="4" t="n">
        <f aca="false">INDEX('Master List'!$F$2:$F$2594,O2094)</f>
        <v>4</v>
      </c>
      <c r="M2094" s="4" t="n">
        <f aca="false">INDEX('Master List'!$G$2:$G$2594,O2094)</f>
        <v>0</v>
      </c>
      <c r="N2094" s="4" t="str">
        <f aca="false">IF(K2094="","",A2094)</f>
        <v/>
      </c>
      <c r="O2094" s="4" t="n">
        <v>1384</v>
      </c>
      <c r="P2094" s="4" t="n">
        <f aca="false">IF(A2094=A2093,P2093+1-M2093,0)</f>
        <v>2</v>
      </c>
    </row>
    <row r="2095" customFormat="false" ht="15" hidden="false" customHeight="false" outlineLevel="0" collapsed="false">
      <c r="A2095" s="30" t="s">
        <v>4205</v>
      </c>
      <c r="B2095" s="30" t="s">
        <v>53</v>
      </c>
      <c r="C2095" s="30" t="s">
        <v>104</v>
      </c>
      <c r="D2095" s="30" t="s">
        <v>154</v>
      </c>
      <c r="E2095" s="4" t="n">
        <v>8</v>
      </c>
      <c r="F2095" s="4" t="s">
        <v>213</v>
      </c>
      <c r="G2095" s="4" t="s">
        <v>1128</v>
      </c>
      <c r="H2095" s="4" t="n">
        <v>1999</v>
      </c>
      <c r="I2095" s="4" t="s">
        <v>154</v>
      </c>
      <c r="J2095" s="25" t="str">
        <f aca="false">IF(M2095=1,"✓","")</f>
        <v>✓</v>
      </c>
      <c r="K2095" s="4" t="str">
        <f aca="false">IF(AND(M2095=0,P2095=0),"▶ NEXT","")</f>
        <v/>
      </c>
      <c r="L2095" s="4" t="n">
        <f aca="false">INDEX('Master List'!$F$2:$F$2594,O2095)</f>
        <v>2</v>
      </c>
      <c r="M2095" s="4" t="n">
        <f aca="false">INDEX('Master List'!$G$2:$G$2594,O2095)</f>
        <v>1</v>
      </c>
      <c r="N2095" s="4" t="str">
        <f aca="false">IF(K2095="","",A2095)</f>
        <v/>
      </c>
      <c r="O2095" s="4" t="n">
        <v>2171</v>
      </c>
      <c r="P2095" s="4" t="n">
        <f aca="false">IF(A2095=A2094,P2094+1-M2094,0)</f>
        <v>3</v>
      </c>
    </row>
    <row r="2096" customFormat="false" ht="15" hidden="false" customHeight="false" outlineLevel="0" collapsed="false">
      <c r="A2096" s="30" t="s">
        <v>4205</v>
      </c>
      <c r="B2096" s="30" t="s">
        <v>53</v>
      </c>
      <c r="C2096" s="30" t="s">
        <v>104</v>
      </c>
      <c r="D2096" s="30" t="s">
        <v>154</v>
      </c>
      <c r="E2096" s="4" t="n">
        <v>9</v>
      </c>
      <c r="F2096" s="4" t="s">
        <v>213</v>
      </c>
      <c r="G2096" s="4" t="s">
        <v>2857</v>
      </c>
      <c r="H2096" s="4" t="n">
        <v>2006</v>
      </c>
      <c r="I2096" s="4" t="s">
        <v>154</v>
      </c>
      <c r="J2096" s="25" t="str">
        <f aca="false">IF(M2096=1,"✓","")</f>
        <v>✓</v>
      </c>
      <c r="K2096" s="4" t="str">
        <f aca="false">IF(AND(M2096=0,P2096=0),"▶ NEXT","")</f>
        <v/>
      </c>
      <c r="L2096" s="4" t="n">
        <f aca="false">INDEX('Master List'!$F$2:$F$2594,O2096)</f>
        <v>1</v>
      </c>
      <c r="M2096" s="4" t="n">
        <f aca="false">INDEX('Master List'!$G$2:$G$2594,O2096)</f>
        <v>1</v>
      </c>
      <c r="N2096" s="4" t="str">
        <f aca="false">IF(K2096="","",A2096)</f>
        <v/>
      </c>
      <c r="O2096" s="4" t="n">
        <v>1142</v>
      </c>
      <c r="P2096" s="4" t="n">
        <f aca="false">IF(A2096=A2095,P2095+1-M2095,0)</f>
        <v>3</v>
      </c>
    </row>
    <row r="2097" customFormat="false" ht="15" hidden="false" customHeight="false" outlineLevel="0" collapsed="false">
      <c r="A2097" s="30" t="s">
        <v>4205</v>
      </c>
      <c r="B2097" s="30" t="s">
        <v>53</v>
      </c>
      <c r="C2097" s="30" t="s">
        <v>104</v>
      </c>
      <c r="D2097" s="30" t="s">
        <v>154</v>
      </c>
      <c r="E2097" s="4" t="n">
        <v>10</v>
      </c>
      <c r="F2097" s="4" t="s">
        <v>1327</v>
      </c>
      <c r="G2097" s="4" t="s">
        <v>3207</v>
      </c>
      <c r="H2097" s="4" t="n">
        <v>1984</v>
      </c>
      <c r="I2097" s="4" t="s">
        <v>154</v>
      </c>
      <c r="J2097" s="25" t="str">
        <f aca="false">IF(M2097=1,"✓","")</f>
        <v/>
      </c>
      <c r="K2097" s="4" t="str">
        <f aca="false">IF(AND(M2097=0,P2097=0),"▶ NEXT","")</f>
        <v/>
      </c>
      <c r="L2097" s="4" t="n">
        <f aca="false">INDEX('Master List'!$F$2:$F$2594,O2097)</f>
        <v>1</v>
      </c>
      <c r="M2097" s="4" t="n">
        <f aca="false">INDEX('Master List'!$G$2:$G$2594,O2097)</f>
        <v>0</v>
      </c>
      <c r="N2097" s="4" t="str">
        <f aca="false">IF(K2097="","",A2097)</f>
        <v/>
      </c>
      <c r="O2097" s="4" t="n">
        <v>692</v>
      </c>
      <c r="P2097" s="4" t="n">
        <f aca="false">IF(A2097=A2096,P2096+1-M2096,0)</f>
        <v>3</v>
      </c>
    </row>
    <row r="2098" customFormat="false" ht="15" hidden="false" customHeight="false" outlineLevel="0" collapsed="false">
      <c r="A2098" s="30" t="s">
        <v>4205</v>
      </c>
      <c r="B2098" s="30" t="s">
        <v>53</v>
      </c>
      <c r="C2098" s="30" t="s">
        <v>104</v>
      </c>
      <c r="D2098" s="30" t="s">
        <v>154</v>
      </c>
      <c r="E2098" s="4" t="n">
        <v>11</v>
      </c>
      <c r="F2098" s="4" t="s">
        <v>1327</v>
      </c>
      <c r="G2098" s="4" t="s">
        <v>3476</v>
      </c>
      <c r="H2098" s="4" t="n">
        <v>1970</v>
      </c>
      <c r="I2098" s="4" t="s">
        <v>154</v>
      </c>
      <c r="J2098" s="25" t="str">
        <f aca="false">IF(M2098=1,"✓","")</f>
        <v/>
      </c>
      <c r="K2098" s="4" t="str">
        <f aca="false">IF(AND(M2098=0,P2098=0),"▶ NEXT","")</f>
        <v/>
      </c>
      <c r="L2098" s="4" t="n">
        <f aca="false">INDEX('Master List'!$F$2:$F$2594,O2098)</f>
        <v>1</v>
      </c>
      <c r="M2098" s="4" t="n">
        <f aca="false">INDEX('Master List'!$G$2:$G$2594,O2098)</f>
        <v>0</v>
      </c>
      <c r="N2098" s="4" t="str">
        <f aca="false">IF(K2098="","",A2098)</f>
        <v/>
      </c>
      <c r="O2098" s="4" t="n">
        <v>945</v>
      </c>
      <c r="P2098" s="4" t="n">
        <f aca="false">IF(A2098=A2097,P2097+1-M2097,0)</f>
        <v>4</v>
      </c>
    </row>
    <row r="2099" customFormat="false" ht="15" hidden="false" customHeight="false" outlineLevel="0" collapsed="false">
      <c r="A2099" s="30" t="s">
        <v>4206</v>
      </c>
      <c r="B2099" s="30" t="s">
        <v>53</v>
      </c>
      <c r="C2099" s="30" t="s">
        <v>104</v>
      </c>
      <c r="D2099" s="30" t="s">
        <v>316</v>
      </c>
      <c r="E2099" s="4" t="n">
        <v>1</v>
      </c>
      <c r="F2099" s="4" t="s">
        <v>144</v>
      </c>
      <c r="G2099" s="7" t="s">
        <v>315</v>
      </c>
      <c r="H2099" s="4" t="n">
        <v>1983</v>
      </c>
      <c r="I2099" s="4" t="s">
        <v>316</v>
      </c>
      <c r="J2099" s="25" t="str">
        <f aca="false">IF(M2099=1,"✓","")</f>
        <v>✓</v>
      </c>
      <c r="K2099" s="4" t="str">
        <f aca="false">IF(AND(M2099=0,P2099=0),"▶ NEXT","")</f>
        <v/>
      </c>
      <c r="L2099" s="4" t="n">
        <f aca="false">INDEX('Master List'!$F$2:$F$2594,O2099)</f>
        <v>5</v>
      </c>
      <c r="M2099" s="4" t="n">
        <f aca="false">INDEX('Master List'!$G$2:$G$2594,O2099)</f>
        <v>1</v>
      </c>
      <c r="N2099" s="4" t="str">
        <f aca="false">IF(K2099="","",A2099)</f>
        <v/>
      </c>
      <c r="O2099" s="4" t="n">
        <v>2434</v>
      </c>
      <c r="P2099" s="4" t="n">
        <f aca="false">IF(A2099=A2098,P2098+1-M2098,0)</f>
        <v>0</v>
      </c>
    </row>
    <row r="2100" customFormat="false" ht="15" hidden="false" customHeight="false" outlineLevel="0" collapsed="false">
      <c r="A2100" s="30" t="s">
        <v>4206</v>
      </c>
      <c r="B2100" s="30" t="s">
        <v>53</v>
      </c>
      <c r="C2100" s="30" t="s">
        <v>104</v>
      </c>
      <c r="D2100" s="30" t="s">
        <v>316</v>
      </c>
      <c r="E2100" s="4" t="n">
        <v>2</v>
      </c>
      <c r="F2100" s="4" t="s">
        <v>144</v>
      </c>
      <c r="G2100" s="7" t="s">
        <v>681</v>
      </c>
      <c r="H2100" s="4" t="n">
        <v>1986</v>
      </c>
      <c r="I2100" s="4" t="s">
        <v>316</v>
      </c>
      <c r="J2100" s="25" t="str">
        <f aca="false">IF(M2100=1,"✓","")</f>
        <v>✓</v>
      </c>
      <c r="K2100" s="4" t="str">
        <f aca="false">IF(AND(M2100=0,P2100=0),"▶ NEXT","")</f>
        <v/>
      </c>
      <c r="L2100" s="4" t="n">
        <f aca="false">INDEX('Master List'!$F$2:$F$2594,O2100)</f>
        <v>2</v>
      </c>
      <c r="M2100" s="4" t="n">
        <f aca="false">INDEX('Master List'!$G$2:$G$2594,O2100)</f>
        <v>1</v>
      </c>
      <c r="N2100" s="4" t="str">
        <f aca="false">IF(K2100="","",A2100)</f>
        <v/>
      </c>
      <c r="O2100" s="4" t="n">
        <v>827</v>
      </c>
      <c r="P2100" s="4" t="n">
        <f aca="false">IF(A2100=A2099,P2099+1-M2099,0)</f>
        <v>0</v>
      </c>
    </row>
    <row r="2101" customFormat="false" ht="15" hidden="false" customHeight="false" outlineLevel="0" collapsed="false">
      <c r="A2101" s="30" t="s">
        <v>4206</v>
      </c>
      <c r="B2101" s="30" t="s">
        <v>53</v>
      </c>
      <c r="C2101" s="30" t="s">
        <v>104</v>
      </c>
      <c r="D2101" s="30" t="s">
        <v>316</v>
      </c>
      <c r="E2101" s="4" t="n">
        <v>3</v>
      </c>
      <c r="F2101" s="4" t="s">
        <v>213</v>
      </c>
      <c r="G2101" s="4" t="s">
        <v>602</v>
      </c>
      <c r="H2101" s="4" t="n">
        <v>1975</v>
      </c>
      <c r="I2101" s="4" t="s">
        <v>316</v>
      </c>
      <c r="J2101" s="25" t="str">
        <f aca="false">IF(M2101=1,"✓","")</f>
        <v/>
      </c>
      <c r="K2101" s="4" t="str">
        <f aca="false">IF(AND(M2101=0,P2101=0),"▶ NEXT","")</f>
        <v>▶ NEXT</v>
      </c>
      <c r="L2101" s="4" t="n">
        <f aca="false">INDEX('Master List'!$F$2:$F$2594,O2101)</f>
        <v>3</v>
      </c>
      <c r="M2101" s="4" t="n">
        <f aca="false">INDEX('Master List'!$G$2:$G$2594,O2101)</f>
        <v>0</v>
      </c>
      <c r="N2101" s="4" t="str">
        <f aca="false">IF(K2101="","",A2101)</f>
        <v>N174</v>
      </c>
      <c r="O2101" s="4" t="n">
        <v>2047</v>
      </c>
      <c r="P2101" s="4" t="n">
        <f aca="false">IF(A2101=A2100,P2100+1-M2100,0)</f>
        <v>0</v>
      </c>
    </row>
    <row r="2102" customFormat="false" ht="15" hidden="false" customHeight="false" outlineLevel="0" collapsed="false">
      <c r="A2102" s="30" t="s">
        <v>4206</v>
      </c>
      <c r="B2102" s="30" t="s">
        <v>53</v>
      </c>
      <c r="C2102" s="30" t="s">
        <v>104</v>
      </c>
      <c r="D2102" s="30" t="s">
        <v>316</v>
      </c>
      <c r="E2102" s="4" t="n">
        <v>4</v>
      </c>
      <c r="F2102" s="4" t="s">
        <v>213</v>
      </c>
      <c r="G2102" s="4" t="s">
        <v>607</v>
      </c>
      <c r="H2102" s="4" t="n">
        <v>1979</v>
      </c>
      <c r="I2102" s="4" t="s">
        <v>316</v>
      </c>
      <c r="J2102" s="25" t="str">
        <f aca="false">IF(M2102=1,"✓","")</f>
        <v>✓</v>
      </c>
      <c r="K2102" s="4" t="str">
        <f aca="false">IF(AND(M2102=0,P2102=0),"▶ NEXT","")</f>
        <v/>
      </c>
      <c r="L2102" s="4" t="n">
        <f aca="false">INDEX('Master List'!$F$2:$F$2594,O2102)</f>
        <v>3</v>
      </c>
      <c r="M2102" s="4" t="n">
        <f aca="false">INDEX('Master List'!$G$2:$G$2594,O2102)</f>
        <v>1</v>
      </c>
      <c r="N2102" s="4" t="str">
        <f aca="false">IF(K2102="","",A2102)</f>
        <v/>
      </c>
      <c r="O2102" s="4" t="n">
        <v>359</v>
      </c>
      <c r="P2102" s="4" t="n">
        <f aca="false">IF(A2102=A2101,P2101+1-M2101,0)</f>
        <v>1</v>
      </c>
    </row>
    <row r="2103" customFormat="false" ht="15" hidden="false" customHeight="false" outlineLevel="0" collapsed="false">
      <c r="A2103" s="30" t="s">
        <v>4206</v>
      </c>
      <c r="B2103" s="30" t="s">
        <v>53</v>
      </c>
      <c r="C2103" s="30" t="s">
        <v>104</v>
      </c>
      <c r="D2103" s="30" t="s">
        <v>316</v>
      </c>
      <c r="E2103" s="4" t="n">
        <v>5</v>
      </c>
      <c r="F2103" s="4" t="s">
        <v>213</v>
      </c>
      <c r="G2103" s="4" t="s">
        <v>811</v>
      </c>
      <c r="H2103" s="4" t="n">
        <v>1981</v>
      </c>
      <c r="I2103" s="4" t="s">
        <v>316</v>
      </c>
      <c r="J2103" s="25" t="str">
        <f aca="false">IF(M2103=1,"✓","")</f>
        <v>✓</v>
      </c>
      <c r="K2103" s="4" t="str">
        <f aca="false">IF(AND(M2103=0,P2103=0),"▶ NEXT","")</f>
        <v/>
      </c>
      <c r="L2103" s="4" t="n">
        <f aca="false">INDEX('Master List'!$F$2:$F$2594,O2103)</f>
        <v>2</v>
      </c>
      <c r="M2103" s="4" t="n">
        <f aca="false">INDEX('Master List'!$G$2:$G$2594,O2103)</f>
        <v>1</v>
      </c>
      <c r="N2103" s="4" t="str">
        <f aca="false">IF(K2103="","",A2103)</f>
        <v/>
      </c>
      <c r="O2103" s="4" t="n">
        <v>1980</v>
      </c>
      <c r="P2103" s="4" t="n">
        <f aca="false">IF(A2103=A2102,P2102+1-M2102,0)</f>
        <v>1</v>
      </c>
    </row>
    <row r="2104" customFormat="false" ht="15" hidden="false" customHeight="false" outlineLevel="0" collapsed="false">
      <c r="A2104" s="30" t="s">
        <v>4206</v>
      </c>
      <c r="B2104" s="30" t="s">
        <v>53</v>
      </c>
      <c r="C2104" s="30" t="s">
        <v>104</v>
      </c>
      <c r="D2104" s="30" t="s">
        <v>316</v>
      </c>
      <c r="E2104" s="4" t="n">
        <v>6</v>
      </c>
      <c r="F2104" s="4" t="s">
        <v>213</v>
      </c>
      <c r="G2104" s="4" t="s">
        <v>2386</v>
      </c>
      <c r="H2104" s="4" t="n">
        <v>1983</v>
      </c>
      <c r="I2104" s="4" t="s">
        <v>316</v>
      </c>
      <c r="J2104" s="25" t="str">
        <f aca="false">IF(M2104=1,"✓","")</f>
        <v>✓</v>
      </c>
      <c r="K2104" s="4" t="str">
        <f aca="false">IF(AND(M2104=0,P2104=0),"▶ NEXT","")</f>
        <v/>
      </c>
      <c r="L2104" s="4" t="n">
        <f aca="false">INDEX('Master List'!$F$2:$F$2594,O2104)</f>
        <v>1</v>
      </c>
      <c r="M2104" s="4" t="n">
        <f aca="false">INDEX('Master List'!$G$2:$G$2594,O2104)</f>
        <v>1</v>
      </c>
      <c r="N2104" s="4" t="str">
        <f aca="false">IF(K2104="","",A2104)</f>
        <v/>
      </c>
      <c r="O2104" s="4" t="n">
        <v>588</v>
      </c>
      <c r="P2104" s="4" t="n">
        <f aca="false">IF(A2104=A2103,P2103+1-M2103,0)</f>
        <v>1</v>
      </c>
    </row>
    <row r="2105" customFormat="false" ht="15" hidden="false" customHeight="false" outlineLevel="0" collapsed="false">
      <c r="A2105" s="30" t="s">
        <v>4206</v>
      </c>
      <c r="B2105" s="30" t="s">
        <v>53</v>
      </c>
      <c r="C2105" s="30" t="s">
        <v>104</v>
      </c>
      <c r="D2105" s="30" t="s">
        <v>316</v>
      </c>
      <c r="E2105" s="4" t="n">
        <v>7</v>
      </c>
      <c r="F2105" s="4" t="s">
        <v>213</v>
      </c>
      <c r="G2105" s="4" t="s">
        <v>1374</v>
      </c>
      <c r="H2105" s="4" t="n">
        <v>1988</v>
      </c>
      <c r="I2105" s="4" t="s">
        <v>316</v>
      </c>
      <c r="J2105" s="25" t="str">
        <f aca="false">IF(M2105=1,"✓","")</f>
        <v/>
      </c>
      <c r="K2105" s="4" t="str">
        <f aca="false">IF(AND(M2105=0,P2105=0),"▶ NEXT","")</f>
        <v/>
      </c>
      <c r="L2105" s="4" t="n">
        <f aca="false">INDEX('Master List'!$F$2:$F$2594,O2105)</f>
        <v>2</v>
      </c>
      <c r="M2105" s="4" t="n">
        <f aca="false">INDEX('Master List'!$G$2:$G$2594,O2105)</f>
        <v>0</v>
      </c>
      <c r="N2105" s="4" t="str">
        <f aca="false">IF(K2105="","",A2105)</f>
        <v/>
      </c>
      <c r="O2105" s="4" t="n">
        <v>587</v>
      </c>
      <c r="P2105" s="4" t="n">
        <f aca="false">IF(A2105=A2104,P2104+1-M2104,0)</f>
        <v>1</v>
      </c>
    </row>
    <row r="2106" customFormat="false" ht="15" hidden="false" customHeight="false" outlineLevel="0" collapsed="false">
      <c r="A2106" s="30" t="s">
        <v>4206</v>
      </c>
      <c r="B2106" s="30" t="s">
        <v>53</v>
      </c>
      <c r="C2106" s="30" t="s">
        <v>104</v>
      </c>
      <c r="D2106" s="30" t="s">
        <v>316</v>
      </c>
      <c r="E2106" s="4" t="n">
        <v>8</v>
      </c>
      <c r="F2106" s="4" t="s">
        <v>213</v>
      </c>
      <c r="G2106" s="4" t="s">
        <v>2530</v>
      </c>
      <c r="H2106" s="4" t="n">
        <v>1991</v>
      </c>
      <c r="I2106" s="4" t="s">
        <v>316</v>
      </c>
      <c r="J2106" s="25" t="str">
        <f aca="false">IF(M2106=1,"✓","")</f>
        <v/>
      </c>
      <c r="K2106" s="4" t="str">
        <f aca="false">IF(AND(M2106=0,P2106=0),"▶ NEXT","")</f>
        <v/>
      </c>
      <c r="L2106" s="4" t="n">
        <f aca="false">INDEX('Master List'!$F$2:$F$2594,O2106)</f>
        <v>1</v>
      </c>
      <c r="M2106" s="4" t="n">
        <f aca="false">INDEX('Master List'!$G$2:$G$2594,O2106)</f>
        <v>0</v>
      </c>
      <c r="N2106" s="4" t="str">
        <f aca="false">IF(K2106="","",A2106)</f>
        <v/>
      </c>
      <c r="O2106" s="4" t="n">
        <v>1581</v>
      </c>
      <c r="P2106" s="4" t="n">
        <f aca="false">IF(A2106=A2105,P2105+1-M2105,0)</f>
        <v>2</v>
      </c>
    </row>
    <row r="2107" customFormat="false" ht="15" hidden="false" customHeight="false" outlineLevel="0" collapsed="false">
      <c r="A2107" s="30" t="s">
        <v>4206</v>
      </c>
      <c r="B2107" s="30" t="s">
        <v>53</v>
      </c>
      <c r="C2107" s="30" t="s">
        <v>104</v>
      </c>
      <c r="D2107" s="30" t="s">
        <v>316</v>
      </c>
      <c r="E2107" s="4" t="n">
        <v>9</v>
      </c>
      <c r="F2107" s="4" t="s">
        <v>213</v>
      </c>
      <c r="G2107" s="4" t="s">
        <v>2639</v>
      </c>
      <c r="H2107" s="4" t="n">
        <v>1996</v>
      </c>
      <c r="I2107" s="4" t="s">
        <v>316</v>
      </c>
      <c r="J2107" s="25" t="str">
        <f aca="false">IF(M2107=1,"✓","")</f>
        <v/>
      </c>
      <c r="K2107" s="4" t="str">
        <f aca="false">IF(AND(M2107=0,P2107=0),"▶ NEXT","")</f>
        <v/>
      </c>
      <c r="L2107" s="4" t="n">
        <f aca="false">INDEX('Master List'!$F$2:$F$2594,O2107)</f>
        <v>1</v>
      </c>
      <c r="M2107" s="4" t="n">
        <f aca="false">INDEX('Master List'!$G$2:$G$2594,O2107)</f>
        <v>0</v>
      </c>
      <c r="N2107" s="4" t="str">
        <f aca="false">IF(K2107="","",A2107)</f>
        <v/>
      </c>
      <c r="O2107" s="4" t="n">
        <v>527</v>
      </c>
      <c r="P2107" s="4" t="n">
        <f aca="false">IF(A2107=A2106,P2106+1-M2106,0)</f>
        <v>3</v>
      </c>
    </row>
    <row r="2108" customFormat="false" ht="15" hidden="false" customHeight="false" outlineLevel="0" collapsed="false">
      <c r="A2108" s="30" t="s">
        <v>4206</v>
      </c>
      <c r="B2108" s="30" t="s">
        <v>53</v>
      </c>
      <c r="C2108" s="30" t="s">
        <v>104</v>
      </c>
      <c r="D2108" s="30" t="s">
        <v>316</v>
      </c>
      <c r="E2108" s="4" t="n">
        <v>10</v>
      </c>
      <c r="F2108" s="4" t="s">
        <v>213</v>
      </c>
      <c r="G2108" s="4" t="s">
        <v>2837</v>
      </c>
      <c r="H2108" s="4" t="n">
        <v>2005</v>
      </c>
      <c r="I2108" s="4" t="s">
        <v>316</v>
      </c>
      <c r="J2108" s="25" t="str">
        <f aca="false">IF(M2108=1,"✓","")</f>
        <v/>
      </c>
      <c r="K2108" s="4" t="str">
        <f aca="false">IF(AND(M2108=0,P2108=0),"▶ NEXT","")</f>
        <v/>
      </c>
      <c r="L2108" s="4" t="n">
        <f aca="false">INDEX('Master List'!$F$2:$F$2594,O2108)</f>
        <v>1</v>
      </c>
      <c r="M2108" s="4" t="n">
        <f aca="false">INDEX('Master List'!$G$2:$G$2594,O2108)</f>
        <v>0</v>
      </c>
      <c r="N2108" s="4" t="str">
        <f aca="false">IF(K2108="","",A2108)</f>
        <v/>
      </c>
      <c r="O2108" s="4" t="n">
        <v>1044</v>
      </c>
      <c r="P2108" s="4" t="n">
        <f aca="false">IF(A2108=A2107,P2107+1-M2107,0)</f>
        <v>4</v>
      </c>
    </row>
    <row r="2109" customFormat="false" ht="15" hidden="false" customHeight="false" outlineLevel="0" collapsed="false">
      <c r="A2109" s="30" t="s">
        <v>4206</v>
      </c>
      <c r="B2109" s="30" t="s">
        <v>53</v>
      </c>
      <c r="C2109" s="30" t="s">
        <v>104</v>
      </c>
      <c r="D2109" s="30" t="s">
        <v>316</v>
      </c>
      <c r="E2109" s="4" t="n">
        <v>11</v>
      </c>
      <c r="F2109" s="4" t="s">
        <v>213</v>
      </c>
      <c r="G2109" s="4" t="s">
        <v>2883</v>
      </c>
      <c r="H2109" s="4" t="n">
        <v>2007</v>
      </c>
      <c r="I2109" s="4" t="s">
        <v>316</v>
      </c>
      <c r="J2109" s="25" t="str">
        <f aca="false">IF(M2109=1,"✓","")</f>
        <v>✓</v>
      </c>
      <c r="K2109" s="4" t="str">
        <f aca="false">IF(AND(M2109=0,P2109=0),"▶ NEXT","")</f>
        <v/>
      </c>
      <c r="L2109" s="4" t="n">
        <f aca="false">INDEX('Master List'!$F$2:$F$2594,O2109)</f>
        <v>1</v>
      </c>
      <c r="M2109" s="4" t="n">
        <f aca="false">INDEX('Master List'!$G$2:$G$2594,O2109)</f>
        <v>1</v>
      </c>
      <c r="N2109" s="4" t="str">
        <f aca="false">IF(K2109="","",A2109)</f>
        <v/>
      </c>
      <c r="O2109" s="4" t="n">
        <v>704</v>
      </c>
      <c r="P2109" s="4" t="n">
        <f aca="false">IF(A2109=A2108,P2108+1-M2108,0)</f>
        <v>5</v>
      </c>
    </row>
    <row r="2110" customFormat="false" ht="15" hidden="false" customHeight="false" outlineLevel="0" collapsed="false">
      <c r="A2110" s="30" t="s">
        <v>4206</v>
      </c>
      <c r="B2110" s="30" t="s">
        <v>53</v>
      </c>
      <c r="C2110" s="30" t="s">
        <v>104</v>
      </c>
      <c r="D2110" s="30" t="s">
        <v>316</v>
      </c>
      <c r="E2110" s="4" t="n">
        <v>12</v>
      </c>
      <c r="F2110" s="4" t="s">
        <v>1327</v>
      </c>
      <c r="G2110" s="4" t="s">
        <v>3729</v>
      </c>
      <c r="H2110" s="4" t="n">
        <v>2002</v>
      </c>
      <c r="I2110" s="4" t="s">
        <v>316</v>
      </c>
      <c r="J2110" s="25" t="str">
        <f aca="false">IF(M2110=1,"✓","")</f>
        <v/>
      </c>
      <c r="K2110" s="4" t="str">
        <f aca="false">IF(AND(M2110=0,P2110=0),"▶ NEXT","")</f>
        <v/>
      </c>
      <c r="L2110" s="4" t="n">
        <f aca="false">INDEX('Master List'!$F$2:$F$2594,O2110)</f>
        <v>1</v>
      </c>
      <c r="M2110" s="4" t="n">
        <f aca="false">INDEX('Master List'!$G$2:$G$2594,O2110)</f>
        <v>0</v>
      </c>
      <c r="N2110" s="4" t="str">
        <f aca="false">IF(K2110="","",A2110)</f>
        <v/>
      </c>
      <c r="O2110" s="4" t="n">
        <v>2131</v>
      </c>
      <c r="P2110" s="4" t="n">
        <f aca="false">IF(A2110=A2109,P2109+1-M2109,0)</f>
        <v>5</v>
      </c>
    </row>
    <row r="2111" customFormat="false" ht="15" hidden="false" customHeight="false" outlineLevel="0" collapsed="false">
      <c r="A2111" s="30" t="s">
        <v>4206</v>
      </c>
      <c r="B2111" s="30" t="s">
        <v>53</v>
      </c>
      <c r="C2111" s="30" t="s">
        <v>104</v>
      </c>
      <c r="D2111" s="30" t="s">
        <v>316</v>
      </c>
      <c r="E2111" s="4" t="n">
        <v>13</v>
      </c>
      <c r="F2111" s="4" t="s">
        <v>1327</v>
      </c>
      <c r="G2111" s="4" t="s">
        <v>1422</v>
      </c>
      <c r="H2111" s="4" t="n">
        <v>2022</v>
      </c>
      <c r="I2111" s="4" t="s">
        <v>316</v>
      </c>
      <c r="J2111" s="25" t="str">
        <f aca="false">IF(M2111=1,"✓","")</f>
        <v/>
      </c>
      <c r="K2111" s="4" t="str">
        <f aca="false">IF(AND(M2111=0,P2111=0),"▶ NEXT","")</f>
        <v/>
      </c>
      <c r="L2111" s="4" t="n">
        <f aca="false">INDEX('Master List'!$F$2:$F$2594,O2111)</f>
        <v>2</v>
      </c>
      <c r="M2111" s="4" t="n">
        <f aca="false">INDEX('Master List'!$G$2:$G$2594,O2111)</f>
        <v>0</v>
      </c>
      <c r="N2111" s="4" t="str">
        <f aca="false">IF(K2111="","",A2111)</f>
        <v/>
      </c>
      <c r="O2111" s="4" t="n">
        <v>538</v>
      </c>
      <c r="P2111" s="4" t="n">
        <f aca="false">IF(A2111=A2110,P2110+1-M2110,0)</f>
        <v>6</v>
      </c>
    </row>
    <row r="2112" customFormat="false" ht="15" hidden="false" customHeight="false" outlineLevel="0" collapsed="false">
      <c r="A2112" s="30" t="s">
        <v>4207</v>
      </c>
      <c r="B2112" s="30" t="s">
        <v>53</v>
      </c>
      <c r="C2112" s="30" t="s">
        <v>104</v>
      </c>
      <c r="D2112" s="30" t="s">
        <v>4208</v>
      </c>
      <c r="E2112" s="4" t="n">
        <v>1</v>
      </c>
      <c r="F2112" s="4" t="s">
        <v>144</v>
      </c>
      <c r="G2112" s="7" t="s">
        <v>427</v>
      </c>
      <c r="H2112" s="4" t="n">
        <v>1996</v>
      </c>
      <c r="I2112" s="4" t="s">
        <v>397</v>
      </c>
      <c r="J2112" s="25" t="str">
        <f aca="false">IF(M2112=1,"✓","")</f>
        <v>✓</v>
      </c>
      <c r="K2112" s="4" t="str">
        <f aca="false">IF(AND(M2112=0,P2112=0),"▶ NEXT","")</f>
        <v/>
      </c>
      <c r="L2112" s="4" t="n">
        <f aca="false">INDEX('Master List'!$F$2:$F$2594,O2112)</f>
        <v>3</v>
      </c>
      <c r="M2112" s="4" t="n">
        <f aca="false">INDEX('Master List'!$G$2:$G$2594,O2112)</f>
        <v>1</v>
      </c>
      <c r="N2112" s="4" t="str">
        <f aca="false">IF(K2112="","",A2112)</f>
        <v/>
      </c>
      <c r="O2112" s="4" t="n">
        <v>787</v>
      </c>
      <c r="P2112" s="4" t="n">
        <f aca="false">IF(A2112=A2111,P2111+1-M2111,0)</f>
        <v>0</v>
      </c>
    </row>
    <row r="2113" customFormat="false" ht="15" hidden="false" customHeight="false" outlineLevel="0" collapsed="false">
      <c r="A2113" s="30" t="s">
        <v>4207</v>
      </c>
      <c r="B2113" s="30" t="s">
        <v>53</v>
      </c>
      <c r="C2113" s="30" t="s">
        <v>104</v>
      </c>
      <c r="D2113" s="30" t="s">
        <v>4208</v>
      </c>
      <c r="E2113" s="4" t="n">
        <v>2</v>
      </c>
      <c r="F2113" s="4" t="s">
        <v>144</v>
      </c>
      <c r="G2113" s="7" t="s">
        <v>322</v>
      </c>
      <c r="H2113" s="4" t="n">
        <v>2007</v>
      </c>
      <c r="I2113" s="4" t="s">
        <v>323</v>
      </c>
      <c r="J2113" s="25" t="str">
        <f aca="false">IF(M2113=1,"✓","")</f>
        <v>✓</v>
      </c>
      <c r="K2113" s="4" t="str">
        <f aca="false">IF(AND(M2113=0,P2113=0),"▶ NEXT","")</f>
        <v/>
      </c>
      <c r="L2113" s="4" t="n">
        <f aca="false">INDEX('Master List'!$F$2:$F$2594,O2113)</f>
        <v>4</v>
      </c>
      <c r="M2113" s="4" t="n">
        <f aca="false">INDEX('Master List'!$G$2:$G$2594,O2113)</f>
        <v>1</v>
      </c>
      <c r="N2113" s="4" t="str">
        <f aca="false">IF(K2113="","",A2113)</f>
        <v/>
      </c>
      <c r="O2113" s="4" t="n">
        <v>1622</v>
      </c>
      <c r="P2113" s="4" t="n">
        <f aca="false">IF(A2113=A2112,P2112+1-M2112,0)</f>
        <v>0</v>
      </c>
    </row>
    <row r="2114" customFormat="false" ht="15" hidden="false" customHeight="false" outlineLevel="0" collapsed="false">
      <c r="A2114" s="30" t="s">
        <v>4207</v>
      </c>
      <c r="B2114" s="30" t="s">
        <v>53</v>
      </c>
      <c r="C2114" s="30" t="s">
        <v>104</v>
      </c>
      <c r="D2114" s="30" t="s">
        <v>4208</v>
      </c>
      <c r="E2114" s="4" t="n">
        <v>3</v>
      </c>
      <c r="F2114" s="4" t="s">
        <v>213</v>
      </c>
      <c r="G2114" s="4" t="s">
        <v>396</v>
      </c>
      <c r="H2114" s="4" t="n">
        <v>1984</v>
      </c>
      <c r="I2114" s="4" t="s">
        <v>397</v>
      </c>
      <c r="J2114" s="25" t="str">
        <f aca="false">IF(M2114=1,"✓","")</f>
        <v>✓</v>
      </c>
      <c r="K2114" s="4" t="str">
        <f aca="false">IF(AND(M2114=0,P2114=0),"▶ NEXT","")</f>
        <v/>
      </c>
      <c r="L2114" s="4" t="n">
        <f aca="false">INDEX('Master List'!$F$2:$F$2594,O2114)</f>
        <v>4</v>
      </c>
      <c r="M2114" s="4" t="n">
        <f aca="false">INDEX('Master List'!$G$2:$G$2594,O2114)</f>
        <v>1</v>
      </c>
      <c r="N2114" s="4" t="str">
        <f aca="false">IF(K2114="","",A2114)</f>
        <v/>
      </c>
      <c r="O2114" s="4" t="n">
        <v>294</v>
      </c>
      <c r="P2114" s="4" t="n">
        <f aca="false">IF(A2114=A2113,P2113+1-M2113,0)</f>
        <v>0</v>
      </c>
    </row>
    <row r="2115" customFormat="false" ht="15" hidden="false" customHeight="false" outlineLevel="0" collapsed="false">
      <c r="A2115" s="30" t="s">
        <v>4207</v>
      </c>
      <c r="B2115" s="30" t="s">
        <v>53</v>
      </c>
      <c r="C2115" s="30" t="s">
        <v>104</v>
      </c>
      <c r="D2115" s="30" t="s">
        <v>4208</v>
      </c>
      <c r="E2115" s="4" t="n">
        <v>4</v>
      </c>
      <c r="F2115" s="4" t="s">
        <v>213</v>
      </c>
      <c r="G2115" s="4" t="s">
        <v>2458</v>
      </c>
      <c r="H2115" s="4" t="n">
        <v>1987</v>
      </c>
      <c r="I2115" s="4" t="s">
        <v>397</v>
      </c>
      <c r="J2115" s="25" t="str">
        <f aca="false">IF(M2115=1,"✓","")</f>
        <v>✓</v>
      </c>
      <c r="K2115" s="4" t="str">
        <f aca="false">IF(AND(M2115=0,P2115=0),"▶ NEXT","")</f>
        <v/>
      </c>
      <c r="L2115" s="4" t="n">
        <f aca="false">INDEX('Master List'!$F$2:$F$2594,O2115)</f>
        <v>1</v>
      </c>
      <c r="M2115" s="4" t="n">
        <f aca="false">INDEX('Master List'!$G$2:$G$2594,O2115)</f>
        <v>1</v>
      </c>
      <c r="N2115" s="4" t="str">
        <f aca="false">IF(K2115="","",A2115)</f>
        <v/>
      </c>
      <c r="O2115" s="4" t="n">
        <v>1857</v>
      </c>
      <c r="P2115" s="4" t="n">
        <f aca="false">IF(A2115=A2114,P2114+1-M2114,0)</f>
        <v>0</v>
      </c>
    </row>
    <row r="2116" customFormat="false" ht="15" hidden="false" customHeight="false" outlineLevel="0" collapsed="false">
      <c r="A2116" s="30" t="s">
        <v>4207</v>
      </c>
      <c r="B2116" s="30" t="s">
        <v>53</v>
      </c>
      <c r="C2116" s="30" t="s">
        <v>104</v>
      </c>
      <c r="D2116" s="30" t="s">
        <v>4208</v>
      </c>
      <c r="E2116" s="4" t="n">
        <v>5</v>
      </c>
      <c r="F2116" s="4" t="s">
        <v>213</v>
      </c>
      <c r="G2116" s="4" t="s">
        <v>612</v>
      </c>
      <c r="H2116" s="4" t="n">
        <v>1990</v>
      </c>
      <c r="I2116" s="4" t="s">
        <v>397</v>
      </c>
      <c r="J2116" s="25" t="str">
        <f aca="false">IF(M2116=1,"✓","")</f>
        <v>✓</v>
      </c>
      <c r="K2116" s="4" t="str">
        <f aca="false">IF(AND(M2116=0,P2116=0),"▶ NEXT","")</f>
        <v/>
      </c>
      <c r="L2116" s="4" t="n">
        <f aca="false">INDEX('Master List'!$F$2:$F$2594,O2116)</f>
        <v>3</v>
      </c>
      <c r="M2116" s="4" t="n">
        <f aca="false">INDEX('Master List'!$G$2:$G$2594,O2116)</f>
        <v>1</v>
      </c>
      <c r="N2116" s="4" t="str">
        <f aca="false">IF(K2116="","",A2116)</f>
        <v/>
      </c>
      <c r="O2116" s="4" t="n">
        <v>1504</v>
      </c>
      <c r="P2116" s="4" t="n">
        <f aca="false">IF(A2116=A2115,P2115+1-M2115,0)</f>
        <v>0</v>
      </c>
    </row>
    <row r="2117" customFormat="false" ht="15" hidden="false" customHeight="false" outlineLevel="0" collapsed="false">
      <c r="A2117" s="30" t="s">
        <v>4207</v>
      </c>
      <c r="B2117" s="30" t="s">
        <v>53</v>
      </c>
      <c r="C2117" s="30" t="s">
        <v>104</v>
      </c>
      <c r="D2117" s="30" t="s">
        <v>4208</v>
      </c>
      <c r="E2117" s="4" t="n">
        <v>6</v>
      </c>
      <c r="F2117" s="4" t="s">
        <v>213</v>
      </c>
      <c r="G2117" s="4" t="s">
        <v>1381</v>
      </c>
      <c r="H2117" s="4" t="n">
        <v>1991</v>
      </c>
      <c r="I2117" s="4" t="s">
        <v>397</v>
      </c>
      <c r="J2117" s="25" t="str">
        <f aca="false">IF(M2117=1,"✓","")</f>
        <v>✓</v>
      </c>
      <c r="K2117" s="4" t="str">
        <f aca="false">IF(AND(M2117=0,P2117=0),"▶ NEXT","")</f>
        <v/>
      </c>
      <c r="L2117" s="4" t="n">
        <f aca="false">INDEX('Master List'!$F$2:$F$2594,O2117)</f>
        <v>2</v>
      </c>
      <c r="M2117" s="4" t="n">
        <f aca="false">INDEX('Master List'!$G$2:$G$2594,O2117)</f>
        <v>1</v>
      </c>
      <c r="N2117" s="4" t="str">
        <f aca="false">IF(K2117="","",A2117)</f>
        <v/>
      </c>
      <c r="O2117" s="4" t="n">
        <v>190</v>
      </c>
      <c r="P2117" s="4" t="n">
        <f aca="false">IF(A2117=A2116,P2116+1-M2116,0)</f>
        <v>0</v>
      </c>
    </row>
    <row r="2118" customFormat="false" ht="15" hidden="false" customHeight="false" outlineLevel="0" collapsed="false">
      <c r="A2118" s="30" t="s">
        <v>4207</v>
      </c>
      <c r="B2118" s="30" t="s">
        <v>53</v>
      </c>
      <c r="C2118" s="30" t="s">
        <v>104</v>
      </c>
      <c r="D2118" s="30" t="s">
        <v>4208</v>
      </c>
      <c r="E2118" s="4" t="n">
        <v>7</v>
      </c>
      <c r="F2118" s="4" t="s">
        <v>213</v>
      </c>
      <c r="G2118" s="4" t="s">
        <v>1388</v>
      </c>
      <c r="H2118" s="4" t="n">
        <v>1994</v>
      </c>
      <c r="I2118" s="4" t="s">
        <v>397</v>
      </c>
      <c r="J2118" s="25" t="str">
        <f aca="false">IF(M2118=1,"✓","")</f>
        <v>✓</v>
      </c>
      <c r="K2118" s="4" t="str">
        <f aca="false">IF(AND(M2118=0,P2118=0),"▶ NEXT","")</f>
        <v/>
      </c>
      <c r="L2118" s="4" t="n">
        <f aca="false">INDEX('Master List'!$F$2:$F$2594,O2118)</f>
        <v>2</v>
      </c>
      <c r="M2118" s="4" t="n">
        <f aca="false">INDEX('Master List'!$G$2:$G$2594,O2118)</f>
        <v>1</v>
      </c>
      <c r="N2118" s="4" t="str">
        <f aca="false">IF(K2118="","",A2118)</f>
        <v/>
      </c>
      <c r="O2118" s="4" t="n">
        <v>1082</v>
      </c>
      <c r="P2118" s="4" t="n">
        <f aca="false">IF(A2118=A2117,P2117+1-M2117,0)</f>
        <v>0</v>
      </c>
    </row>
    <row r="2119" customFormat="false" ht="15" hidden="false" customHeight="false" outlineLevel="0" collapsed="false">
      <c r="A2119" s="30" t="s">
        <v>4207</v>
      </c>
      <c r="B2119" s="30" t="s">
        <v>53</v>
      </c>
      <c r="C2119" s="30" t="s">
        <v>104</v>
      </c>
      <c r="D2119" s="30" t="s">
        <v>4208</v>
      </c>
      <c r="E2119" s="4" t="n">
        <v>8</v>
      </c>
      <c r="F2119" s="4" t="s">
        <v>213</v>
      </c>
      <c r="G2119" s="4" t="s">
        <v>626</v>
      </c>
      <c r="H2119" s="4" t="n">
        <v>1998</v>
      </c>
      <c r="I2119" s="4" t="s">
        <v>397</v>
      </c>
      <c r="J2119" s="25" t="str">
        <f aca="false">IF(M2119=1,"✓","")</f>
        <v>✓</v>
      </c>
      <c r="K2119" s="4" t="str">
        <f aca="false">IF(AND(M2119=0,P2119=0),"▶ NEXT","")</f>
        <v/>
      </c>
      <c r="L2119" s="4" t="n">
        <f aca="false">INDEX('Master List'!$F$2:$F$2594,O2119)</f>
        <v>3</v>
      </c>
      <c r="M2119" s="4" t="n">
        <f aca="false">INDEX('Master List'!$G$2:$G$2594,O2119)</f>
        <v>1</v>
      </c>
      <c r="N2119" s="4" t="str">
        <f aca="false">IF(K2119="","",A2119)</f>
        <v/>
      </c>
      <c r="O2119" s="4" t="n">
        <v>244</v>
      </c>
      <c r="P2119" s="4" t="n">
        <f aca="false">IF(A2119=A2118,P2118+1-M2118,0)</f>
        <v>0</v>
      </c>
    </row>
    <row r="2120" customFormat="false" ht="15" hidden="false" customHeight="false" outlineLevel="0" collapsed="false">
      <c r="A2120" s="30" t="s">
        <v>4207</v>
      </c>
      <c r="B2120" s="30" t="s">
        <v>53</v>
      </c>
      <c r="C2120" s="30" t="s">
        <v>104</v>
      </c>
      <c r="D2120" s="30" t="s">
        <v>4208</v>
      </c>
      <c r="E2120" s="4" t="n">
        <v>9</v>
      </c>
      <c r="F2120" s="4" t="s">
        <v>213</v>
      </c>
      <c r="G2120" s="4" t="s">
        <v>2722</v>
      </c>
      <c r="H2120" s="4" t="n">
        <v>2000</v>
      </c>
      <c r="I2120" s="4" t="s">
        <v>397</v>
      </c>
      <c r="J2120" s="25" t="str">
        <f aca="false">IF(M2120=1,"✓","")</f>
        <v>✓</v>
      </c>
      <c r="K2120" s="4" t="str">
        <f aca="false">IF(AND(M2120=0,P2120=0),"▶ NEXT","")</f>
        <v/>
      </c>
      <c r="L2120" s="4" t="n">
        <f aca="false">INDEX('Master List'!$F$2:$F$2594,O2120)</f>
        <v>1</v>
      </c>
      <c r="M2120" s="4" t="n">
        <f aca="false">INDEX('Master List'!$G$2:$G$2594,O2120)</f>
        <v>1</v>
      </c>
      <c r="N2120" s="4" t="str">
        <f aca="false">IF(K2120="","",A2120)</f>
        <v/>
      </c>
      <c r="O2120" s="4" t="n">
        <v>1642</v>
      </c>
      <c r="P2120" s="4" t="n">
        <f aca="false">IF(A2120=A2119,P2119+1-M2119,0)</f>
        <v>0</v>
      </c>
    </row>
    <row r="2121" customFormat="false" ht="15" hidden="false" customHeight="false" outlineLevel="0" collapsed="false">
      <c r="A2121" s="30" t="s">
        <v>4207</v>
      </c>
      <c r="B2121" s="30" t="s">
        <v>53</v>
      </c>
      <c r="C2121" s="30" t="s">
        <v>104</v>
      </c>
      <c r="D2121" s="30" t="s">
        <v>4208</v>
      </c>
      <c r="E2121" s="4" t="n">
        <v>10</v>
      </c>
      <c r="F2121" s="4" t="s">
        <v>213</v>
      </c>
      <c r="G2121" s="4" t="s">
        <v>1148</v>
      </c>
      <c r="H2121" s="4" t="n">
        <v>2001</v>
      </c>
      <c r="I2121" s="4" t="s">
        <v>397</v>
      </c>
      <c r="J2121" s="25" t="str">
        <f aca="false">IF(M2121=1,"✓","")</f>
        <v/>
      </c>
      <c r="K2121" s="4" t="str">
        <f aca="false">IF(AND(M2121=0,P2121=0),"▶ NEXT","")</f>
        <v>▶ NEXT</v>
      </c>
      <c r="L2121" s="4" t="n">
        <f aca="false">INDEX('Master List'!$F$2:$F$2594,O2121)</f>
        <v>2</v>
      </c>
      <c r="M2121" s="4" t="n">
        <f aca="false">INDEX('Master List'!$G$2:$G$2594,O2121)</f>
        <v>0</v>
      </c>
      <c r="N2121" s="4" t="str">
        <f aca="false">IF(K2121="","",A2121)</f>
        <v>N175</v>
      </c>
      <c r="O2121" s="4" t="n">
        <v>1432</v>
      </c>
      <c r="P2121" s="4" t="n">
        <f aca="false">IF(A2121=A2120,P2120+1-M2120,0)</f>
        <v>0</v>
      </c>
    </row>
    <row r="2122" customFormat="false" ht="15" hidden="false" customHeight="false" outlineLevel="0" collapsed="false">
      <c r="A2122" s="30" t="s">
        <v>4207</v>
      </c>
      <c r="B2122" s="30" t="s">
        <v>53</v>
      </c>
      <c r="C2122" s="30" t="s">
        <v>104</v>
      </c>
      <c r="D2122" s="30" t="s">
        <v>4208</v>
      </c>
      <c r="E2122" s="4" t="n">
        <v>11</v>
      </c>
      <c r="F2122" s="4" t="s">
        <v>213</v>
      </c>
      <c r="G2122" s="4" t="s">
        <v>1195</v>
      </c>
      <c r="H2122" s="4" t="n">
        <v>2009</v>
      </c>
      <c r="I2122" s="4" t="s">
        <v>323</v>
      </c>
      <c r="J2122" s="25" t="str">
        <f aca="false">IF(M2122=1,"✓","")</f>
        <v/>
      </c>
      <c r="K2122" s="4" t="str">
        <f aca="false">IF(AND(M2122=0,P2122=0),"▶ NEXT","")</f>
        <v/>
      </c>
      <c r="L2122" s="4" t="n">
        <f aca="false">INDEX('Master List'!$F$2:$F$2594,O2122)</f>
        <v>2</v>
      </c>
      <c r="M2122" s="4" t="n">
        <f aca="false">INDEX('Master List'!$G$2:$G$2594,O2122)</f>
        <v>0</v>
      </c>
      <c r="N2122" s="4" t="str">
        <f aca="false">IF(K2122="","",A2122)</f>
        <v/>
      </c>
      <c r="O2122" s="4" t="n">
        <v>2012</v>
      </c>
      <c r="P2122" s="4" t="n">
        <f aca="false">IF(A2122=A2121,P2121+1-M2121,0)</f>
        <v>1</v>
      </c>
    </row>
    <row r="2123" customFormat="false" ht="15" hidden="false" customHeight="false" outlineLevel="0" collapsed="false">
      <c r="A2123" s="30" t="s">
        <v>4207</v>
      </c>
      <c r="B2123" s="30" t="s">
        <v>53</v>
      </c>
      <c r="C2123" s="30" t="s">
        <v>104</v>
      </c>
      <c r="D2123" s="30" t="s">
        <v>4208</v>
      </c>
      <c r="E2123" s="4" t="n">
        <v>12</v>
      </c>
      <c r="F2123" s="4" t="s">
        <v>213</v>
      </c>
      <c r="G2123" s="4" t="s">
        <v>2951</v>
      </c>
      <c r="H2123" s="4" t="n">
        <v>2010</v>
      </c>
      <c r="I2123" s="4" t="s">
        <v>323</v>
      </c>
      <c r="J2123" s="25" t="str">
        <f aca="false">IF(M2123=1,"✓","")</f>
        <v/>
      </c>
      <c r="K2123" s="4" t="str">
        <f aca="false">IF(AND(M2123=0,P2123=0),"▶ NEXT","")</f>
        <v/>
      </c>
      <c r="L2123" s="4" t="n">
        <f aca="false">INDEX('Master List'!$F$2:$F$2594,O2123)</f>
        <v>1</v>
      </c>
      <c r="M2123" s="4" t="n">
        <f aca="false">INDEX('Master List'!$G$2:$G$2594,O2123)</f>
        <v>0</v>
      </c>
      <c r="N2123" s="4" t="str">
        <f aca="false">IF(K2123="","",A2123)</f>
        <v/>
      </c>
      <c r="O2123" s="4" t="n">
        <v>2379</v>
      </c>
      <c r="P2123" s="4" t="n">
        <f aca="false">IF(A2123=A2122,P2122+1-M2122,0)</f>
        <v>2</v>
      </c>
    </row>
    <row r="2124" customFormat="false" ht="15" hidden="false" customHeight="false" outlineLevel="0" collapsed="false">
      <c r="A2124" s="30" t="s">
        <v>4207</v>
      </c>
      <c r="B2124" s="30" t="s">
        <v>53</v>
      </c>
      <c r="C2124" s="30" t="s">
        <v>104</v>
      </c>
      <c r="D2124" s="30" t="s">
        <v>4208</v>
      </c>
      <c r="E2124" s="4" t="n">
        <v>13</v>
      </c>
      <c r="F2124" s="4" t="s">
        <v>213</v>
      </c>
      <c r="G2124" s="4" t="s">
        <v>522</v>
      </c>
      <c r="H2124" s="4" t="n">
        <v>2013</v>
      </c>
      <c r="I2124" s="4" t="s">
        <v>323</v>
      </c>
      <c r="J2124" s="25" t="str">
        <f aca="false">IF(M2124=1,"✓","")</f>
        <v>✓</v>
      </c>
      <c r="K2124" s="4" t="str">
        <f aca="false">IF(AND(M2124=0,P2124=0),"▶ NEXT","")</f>
        <v/>
      </c>
      <c r="L2124" s="4" t="n">
        <f aca="false">INDEX('Master List'!$F$2:$F$2594,O2124)</f>
        <v>3</v>
      </c>
      <c r="M2124" s="4" t="n">
        <f aca="false">INDEX('Master List'!$G$2:$G$2594,O2124)</f>
        <v>1</v>
      </c>
      <c r="N2124" s="4" t="str">
        <f aca="false">IF(K2124="","",A2124)</f>
        <v/>
      </c>
      <c r="O2124" s="4" t="n">
        <v>1149</v>
      </c>
      <c r="P2124" s="4" t="n">
        <f aca="false">IF(A2124=A2123,P2123+1-M2123,0)</f>
        <v>3</v>
      </c>
    </row>
    <row r="2125" customFormat="false" ht="15" hidden="false" customHeight="false" outlineLevel="0" collapsed="false">
      <c r="A2125" s="30" t="s">
        <v>4207</v>
      </c>
      <c r="B2125" s="30" t="s">
        <v>53</v>
      </c>
      <c r="C2125" s="30" t="s">
        <v>104</v>
      </c>
      <c r="D2125" s="30" t="s">
        <v>4208</v>
      </c>
      <c r="E2125" s="4" t="n">
        <v>14</v>
      </c>
      <c r="F2125" s="4" t="s">
        <v>213</v>
      </c>
      <c r="G2125" s="4" t="s">
        <v>1245</v>
      </c>
      <c r="H2125" s="4" t="n">
        <v>2018</v>
      </c>
      <c r="I2125" s="4" t="s">
        <v>323</v>
      </c>
      <c r="J2125" s="25" t="str">
        <f aca="false">IF(M2125=1,"✓","")</f>
        <v>✓</v>
      </c>
      <c r="K2125" s="4" t="str">
        <f aca="false">IF(AND(M2125=0,P2125=0),"▶ NEXT","")</f>
        <v/>
      </c>
      <c r="L2125" s="4" t="n">
        <f aca="false">INDEX('Master List'!$F$2:$F$2594,O2125)</f>
        <v>2</v>
      </c>
      <c r="M2125" s="4" t="n">
        <f aca="false">INDEX('Master List'!$G$2:$G$2594,O2125)</f>
        <v>1</v>
      </c>
      <c r="N2125" s="4" t="str">
        <f aca="false">IF(K2125="","",A2125)</f>
        <v/>
      </c>
      <c r="O2125" s="4" t="n">
        <v>176</v>
      </c>
      <c r="P2125" s="4" t="n">
        <f aca="false">IF(A2125=A2124,P2124+1-M2124,0)</f>
        <v>3</v>
      </c>
    </row>
    <row r="2126" customFormat="false" ht="15" hidden="false" customHeight="false" outlineLevel="0" collapsed="false">
      <c r="A2126" s="30" t="s">
        <v>4207</v>
      </c>
      <c r="B2126" s="30" t="s">
        <v>53</v>
      </c>
      <c r="C2126" s="30" t="s">
        <v>104</v>
      </c>
      <c r="D2126" s="30" t="s">
        <v>4208</v>
      </c>
      <c r="E2126" s="4" t="n">
        <v>15</v>
      </c>
      <c r="F2126" s="4" t="s">
        <v>1327</v>
      </c>
      <c r="G2126" s="4" t="s">
        <v>1660</v>
      </c>
      <c r="H2126" s="4" t="n">
        <v>2016</v>
      </c>
      <c r="I2126" s="4" t="s">
        <v>323</v>
      </c>
      <c r="J2126" s="25" t="str">
        <f aca="false">IF(M2126=1,"✓","")</f>
        <v>✓</v>
      </c>
      <c r="K2126" s="4" t="str">
        <f aca="false">IF(AND(M2126=0,P2126=0),"▶ NEXT","")</f>
        <v/>
      </c>
      <c r="L2126" s="4" t="n">
        <f aca="false">INDEX('Master List'!$F$2:$F$2594,O2126)</f>
        <v>2</v>
      </c>
      <c r="M2126" s="4" t="n">
        <f aca="false">INDEX('Master List'!$G$2:$G$2594,O2126)</f>
        <v>1</v>
      </c>
      <c r="N2126" s="4" t="str">
        <f aca="false">IF(K2126="","",A2126)</f>
        <v/>
      </c>
      <c r="O2126" s="4" t="n">
        <v>976</v>
      </c>
      <c r="P2126" s="4" t="n">
        <f aca="false">IF(A2126=A2125,P2125+1-M2125,0)</f>
        <v>3</v>
      </c>
    </row>
    <row r="2127" customFormat="false" ht="15" hidden="false" customHeight="false" outlineLevel="0" collapsed="false">
      <c r="A2127" s="30" t="s">
        <v>4207</v>
      </c>
      <c r="B2127" s="30" t="s">
        <v>53</v>
      </c>
      <c r="C2127" s="30" t="s">
        <v>104</v>
      </c>
      <c r="D2127" s="30" t="s">
        <v>4208</v>
      </c>
      <c r="E2127" s="4" t="n">
        <v>16</v>
      </c>
      <c r="F2127" s="4" t="s">
        <v>1327</v>
      </c>
      <c r="G2127" s="4" t="s">
        <v>3858</v>
      </c>
      <c r="H2127" s="4" t="n">
        <v>2021</v>
      </c>
      <c r="I2127" s="4" t="s">
        <v>397</v>
      </c>
      <c r="J2127" s="25" t="str">
        <f aca="false">IF(M2127=1,"✓","")</f>
        <v>✓</v>
      </c>
      <c r="K2127" s="4" t="str">
        <f aca="false">IF(AND(M2127=0,P2127=0),"▶ NEXT","")</f>
        <v/>
      </c>
      <c r="L2127" s="4" t="n">
        <f aca="false">INDEX('Master List'!$F$2:$F$2594,O2127)</f>
        <v>1</v>
      </c>
      <c r="M2127" s="4" t="n">
        <f aca="false">INDEX('Master List'!$G$2:$G$2594,O2127)</f>
        <v>1</v>
      </c>
      <c r="N2127" s="4" t="str">
        <f aca="false">IF(K2127="","",A2127)</f>
        <v/>
      </c>
      <c r="O2127" s="4" t="n">
        <v>2357</v>
      </c>
      <c r="P2127" s="4" t="n">
        <f aca="false">IF(A2127=A2126,P2126+1-M2126,0)</f>
        <v>3</v>
      </c>
    </row>
    <row r="2128" customFormat="false" ht="15" hidden="false" customHeight="false" outlineLevel="0" collapsed="false">
      <c r="A2128" s="30" t="s">
        <v>4209</v>
      </c>
      <c r="B2128" s="30" t="s">
        <v>53</v>
      </c>
      <c r="C2128" s="30" t="s">
        <v>104</v>
      </c>
      <c r="D2128" s="30" t="s">
        <v>148</v>
      </c>
      <c r="E2128" s="4" t="n">
        <v>1</v>
      </c>
      <c r="F2128" s="4" t="s">
        <v>144</v>
      </c>
      <c r="G2128" s="7" t="s">
        <v>147</v>
      </c>
      <c r="H2128" s="4" t="n">
        <v>1989</v>
      </c>
      <c r="I2128" s="4" t="s">
        <v>148</v>
      </c>
      <c r="J2128" s="25" t="str">
        <f aca="false">IF(M2128=1,"✓","")</f>
        <v>✓</v>
      </c>
      <c r="K2128" s="4" t="str">
        <f aca="false">IF(AND(M2128=0,P2128=0),"▶ NEXT","")</f>
        <v/>
      </c>
      <c r="L2128" s="4" t="n">
        <f aca="false">INDEX('Master List'!$F$2:$F$2594,O2128)</f>
        <v>11</v>
      </c>
      <c r="M2128" s="4" t="n">
        <f aca="false">INDEX('Master List'!$G$2:$G$2594,O2128)</f>
        <v>1</v>
      </c>
      <c r="N2128" s="4" t="str">
        <f aca="false">IF(K2128="","",A2128)</f>
        <v/>
      </c>
      <c r="O2128" s="4" t="n">
        <v>646</v>
      </c>
      <c r="P2128" s="4" t="n">
        <f aca="false">IF(A2128=A2127,P2127+1-M2127,0)</f>
        <v>0</v>
      </c>
    </row>
    <row r="2129" customFormat="false" ht="15" hidden="false" customHeight="false" outlineLevel="0" collapsed="false">
      <c r="A2129" s="30" t="s">
        <v>4209</v>
      </c>
      <c r="B2129" s="30" t="s">
        <v>53</v>
      </c>
      <c r="C2129" s="30" t="s">
        <v>104</v>
      </c>
      <c r="D2129" s="30" t="s">
        <v>148</v>
      </c>
      <c r="E2129" s="4" t="n">
        <v>2</v>
      </c>
      <c r="F2129" s="4" t="s">
        <v>144</v>
      </c>
      <c r="G2129" s="7" t="s">
        <v>497</v>
      </c>
      <c r="H2129" s="4" t="n">
        <v>1992</v>
      </c>
      <c r="I2129" s="4" t="s">
        <v>148</v>
      </c>
      <c r="J2129" s="25" t="str">
        <f aca="false">IF(M2129=1,"✓","")</f>
        <v/>
      </c>
      <c r="K2129" s="4" t="str">
        <f aca="false">IF(AND(M2129=0,P2129=0),"▶ NEXT","")</f>
        <v>▶ NEXT</v>
      </c>
      <c r="L2129" s="4" t="n">
        <f aca="false">INDEX('Master List'!$F$2:$F$2594,O2129)</f>
        <v>3</v>
      </c>
      <c r="M2129" s="4" t="n">
        <f aca="false">INDEX('Master List'!$G$2:$G$2594,O2129)</f>
        <v>0</v>
      </c>
      <c r="N2129" s="4" t="str">
        <f aca="false">IF(K2129="","",A2129)</f>
        <v>N176</v>
      </c>
      <c r="O2129" s="4" t="n">
        <v>1418</v>
      </c>
      <c r="P2129" s="4" t="n">
        <f aca="false">IF(A2129=A2128,P2128+1-M2128,0)</f>
        <v>0</v>
      </c>
    </row>
    <row r="2130" customFormat="false" ht="15" hidden="false" customHeight="false" outlineLevel="0" collapsed="false">
      <c r="A2130" s="30" t="s">
        <v>4209</v>
      </c>
      <c r="B2130" s="30" t="s">
        <v>53</v>
      </c>
      <c r="C2130" s="30" t="s">
        <v>104</v>
      </c>
      <c r="D2130" s="30" t="s">
        <v>148</v>
      </c>
      <c r="E2130" s="4" t="n">
        <v>3</v>
      </c>
      <c r="F2130" s="4" t="s">
        <v>213</v>
      </c>
      <c r="G2130" s="4" t="s">
        <v>1075</v>
      </c>
      <c r="H2130" s="4" t="n">
        <v>1986</v>
      </c>
      <c r="I2130" s="4" t="s">
        <v>148</v>
      </c>
      <c r="J2130" s="25" t="str">
        <f aca="false">IF(M2130=1,"✓","")</f>
        <v/>
      </c>
      <c r="K2130" s="4" t="str">
        <f aca="false">IF(AND(M2130=0,P2130=0),"▶ NEXT","")</f>
        <v/>
      </c>
      <c r="L2130" s="4" t="n">
        <f aca="false">INDEX('Master List'!$F$2:$F$2594,O2130)</f>
        <v>2</v>
      </c>
      <c r="M2130" s="4" t="n">
        <f aca="false">INDEX('Master List'!$G$2:$G$2594,O2130)</f>
        <v>0</v>
      </c>
      <c r="N2130" s="4" t="str">
        <f aca="false">IF(K2130="","",A2130)</f>
        <v/>
      </c>
      <c r="O2130" s="4" t="n">
        <v>2040</v>
      </c>
      <c r="P2130" s="4" t="n">
        <f aca="false">IF(A2130=A2129,P2129+1-M2129,0)</f>
        <v>1</v>
      </c>
    </row>
    <row r="2131" customFormat="false" ht="15" hidden="false" customHeight="false" outlineLevel="0" collapsed="false">
      <c r="A2131" s="30" t="s">
        <v>4209</v>
      </c>
      <c r="B2131" s="30" t="s">
        <v>53</v>
      </c>
      <c r="C2131" s="30" t="s">
        <v>104</v>
      </c>
      <c r="D2131" s="30" t="s">
        <v>148</v>
      </c>
      <c r="E2131" s="4" t="n">
        <v>4</v>
      </c>
      <c r="F2131" s="4" t="s">
        <v>213</v>
      </c>
      <c r="G2131" s="4" t="s">
        <v>2512</v>
      </c>
      <c r="H2131" s="4" t="n">
        <v>1990</v>
      </c>
      <c r="I2131" s="4" t="s">
        <v>148</v>
      </c>
      <c r="J2131" s="25" t="str">
        <f aca="false">IF(M2131=1,"✓","")</f>
        <v/>
      </c>
      <c r="K2131" s="4" t="str">
        <f aca="false">IF(AND(M2131=0,P2131=0),"▶ NEXT","")</f>
        <v/>
      </c>
      <c r="L2131" s="4" t="n">
        <f aca="false">INDEX('Master List'!$F$2:$F$2594,O2131)</f>
        <v>1</v>
      </c>
      <c r="M2131" s="4" t="n">
        <f aca="false">INDEX('Master List'!$G$2:$G$2594,O2131)</f>
        <v>0</v>
      </c>
      <c r="N2131" s="4" t="str">
        <f aca="false">IF(K2131="","",A2131)</f>
        <v/>
      </c>
      <c r="O2131" s="4" t="n">
        <v>1518</v>
      </c>
      <c r="P2131" s="4" t="n">
        <f aca="false">IF(A2131=A2130,P2130+1-M2130,0)</f>
        <v>2</v>
      </c>
    </row>
    <row r="2132" customFormat="false" ht="15" hidden="false" customHeight="false" outlineLevel="0" collapsed="false">
      <c r="A2132" s="30" t="s">
        <v>4209</v>
      </c>
      <c r="B2132" s="30" t="s">
        <v>53</v>
      </c>
      <c r="C2132" s="30" t="s">
        <v>104</v>
      </c>
      <c r="D2132" s="30" t="s">
        <v>148</v>
      </c>
      <c r="E2132" s="4" t="n">
        <v>5</v>
      </c>
      <c r="F2132" s="4" t="s">
        <v>213</v>
      </c>
      <c r="G2132" s="4" t="s">
        <v>2531</v>
      </c>
      <c r="H2132" s="4" t="n">
        <v>1991</v>
      </c>
      <c r="I2132" s="4" t="s">
        <v>148</v>
      </c>
      <c r="J2132" s="25" t="str">
        <f aca="false">IF(M2132=1,"✓","")</f>
        <v/>
      </c>
      <c r="K2132" s="4" t="str">
        <f aca="false">IF(AND(M2132=0,P2132=0),"▶ NEXT","")</f>
        <v/>
      </c>
      <c r="L2132" s="4" t="n">
        <f aca="false">INDEX('Master List'!$F$2:$F$2594,O2132)</f>
        <v>1</v>
      </c>
      <c r="M2132" s="4" t="n">
        <f aca="false">INDEX('Master List'!$G$2:$G$2594,O2132)</f>
        <v>0</v>
      </c>
      <c r="N2132" s="4" t="str">
        <f aca="false">IF(K2132="","",A2132)</f>
        <v/>
      </c>
      <c r="O2132" s="4" t="n">
        <v>1226</v>
      </c>
      <c r="P2132" s="4" t="n">
        <f aca="false">IF(A2132=A2131,P2131+1-M2131,0)</f>
        <v>3</v>
      </c>
    </row>
    <row r="2133" customFormat="false" ht="15" hidden="false" customHeight="false" outlineLevel="0" collapsed="false">
      <c r="A2133" s="30" t="s">
        <v>4209</v>
      </c>
      <c r="B2133" s="30" t="s">
        <v>53</v>
      </c>
      <c r="C2133" s="30" t="s">
        <v>104</v>
      </c>
      <c r="D2133" s="30" t="s">
        <v>148</v>
      </c>
      <c r="E2133" s="4" t="n">
        <v>6</v>
      </c>
      <c r="F2133" s="4" t="s">
        <v>213</v>
      </c>
      <c r="G2133" s="4" t="s">
        <v>2588</v>
      </c>
      <c r="H2133" s="4" t="n">
        <v>1994</v>
      </c>
      <c r="I2133" s="4" t="s">
        <v>148</v>
      </c>
      <c r="J2133" s="25" t="str">
        <f aca="false">IF(M2133=1,"✓","")</f>
        <v/>
      </c>
      <c r="K2133" s="4" t="str">
        <f aca="false">IF(AND(M2133=0,P2133=0),"▶ NEXT","")</f>
        <v/>
      </c>
      <c r="L2133" s="4" t="n">
        <f aca="false">INDEX('Master List'!$F$2:$F$2594,O2133)</f>
        <v>1</v>
      </c>
      <c r="M2133" s="4" t="n">
        <f aca="false">INDEX('Master List'!$G$2:$G$2594,O2133)</f>
        <v>0</v>
      </c>
      <c r="N2133" s="4" t="str">
        <f aca="false">IF(K2133="","",A2133)</f>
        <v/>
      </c>
      <c r="O2133" s="4" t="n">
        <v>542</v>
      </c>
      <c r="P2133" s="4" t="n">
        <f aca="false">IF(A2133=A2132,P2132+1-M2132,0)</f>
        <v>4</v>
      </c>
    </row>
    <row r="2134" customFormat="false" ht="15" hidden="false" customHeight="false" outlineLevel="0" collapsed="false">
      <c r="A2134" s="30" t="s">
        <v>4209</v>
      </c>
      <c r="B2134" s="30" t="s">
        <v>53</v>
      </c>
      <c r="C2134" s="30" t="s">
        <v>104</v>
      </c>
      <c r="D2134" s="30" t="s">
        <v>148</v>
      </c>
      <c r="E2134" s="4" t="n">
        <v>7</v>
      </c>
      <c r="F2134" s="4" t="s">
        <v>213</v>
      </c>
      <c r="G2134" s="4" t="s">
        <v>1113</v>
      </c>
      <c r="H2134" s="4" t="n">
        <v>1995</v>
      </c>
      <c r="I2134" s="4" t="s">
        <v>148</v>
      </c>
      <c r="J2134" s="25" t="str">
        <f aca="false">IF(M2134=1,"✓","")</f>
        <v>✓</v>
      </c>
      <c r="K2134" s="4" t="str">
        <f aca="false">IF(AND(M2134=0,P2134=0),"▶ NEXT","")</f>
        <v/>
      </c>
      <c r="L2134" s="4" t="n">
        <f aca="false">INDEX('Master List'!$F$2:$F$2594,O2134)</f>
        <v>2</v>
      </c>
      <c r="M2134" s="4" t="n">
        <f aca="false">INDEX('Master List'!$G$2:$G$2594,O2134)</f>
        <v>1</v>
      </c>
      <c r="N2134" s="4" t="str">
        <f aca="false">IF(K2134="","",A2134)</f>
        <v/>
      </c>
      <c r="O2134" s="4" t="n">
        <v>477</v>
      </c>
      <c r="P2134" s="4" t="n">
        <f aca="false">IF(A2134=A2133,P2133+1-M2133,0)</f>
        <v>5</v>
      </c>
    </row>
    <row r="2135" customFormat="false" ht="15" hidden="false" customHeight="false" outlineLevel="0" collapsed="false">
      <c r="A2135" s="30" t="s">
        <v>4209</v>
      </c>
      <c r="B2135" s="30" t="s">
        <v>53</v>
      </c>
      <c r="C2135" s="30" t="s">
        <v>104</v>
      </c>
      <c r="D2135" s="30" t="s">
        <v>148</v>
      </c>
      <c r="E2135" s="4" t="n">
        <v>8</v>
      </c>
      <c r="F2135" s="4" t="s">
        <v>213</v>
      </c>
      <c r="G2135" s="4" t="s">
        <v>2674</v>
      </c>
      <c r="H2135" s="4" t="n">
        <v>1997</v>
      </c>
      <c r="I2135" s="4" t="s">
        <v>148</v>
      </c>
      <c r="J2135" s="25" t="str">
        <f aca="false">IF(M2135=1,"✓","")</f>
        <v/>
      </c>
      <c r="K2135" s="4" t="str">
        <f aca="false">IF(AND(M2135=0,P2135=0),"▶ NEXT","")</f>
        <v/>
      </c>
      <c r="L2135" s="4" t="n">
        <f aca="false">INDEX('Master List'!$F$2:$F$2594,O2135)</f>
        <v>1</v>
      </c>
      <c r="M2135" s="4" t="n">
        <f aca="false">INDEX('Master List'!$G$2:$G$2594,O2135)</f>
        <v>0</v>
      </c>
      <c r="N2135" s="4" t="str">
        <f aca="false">IF(K2135="","",A2135)</f>
        <v/>
      </c>
      <c r="O2135" s="4" t="n">
        <v>23</v>
      </c>
      <c r="P2135" s="4" t="n">
        <f aca="false">IF(A2135=A2134,P2134+1-M2134,0)</f>
        <v>5</v>
      </c>
    </row>
    <row r="2136" customFormat="false" ht="15" hidden="false" customHeight="false" outlineLevel="0" collapsed="false">
      <c r="A2136" s="30" t="s">
        <v>4209</v>
      </c>
      <c r="B2136" s="30" t="s">
        <v>53</v>
      </c>
      <c r="C2136" s="30" t="s">
        <v>104</v>
      </c>
      <c r="D2136" s="30" t="s">
        <v>148</v>
      </c>
      <c r="E2136" s="4" t="n">
        <v>9</v>
      </c>
      <c r="F2136" s="4" t="s">
        <v>213</v>
      </c>
      <c r="G2136" s="4" t="s">
        <v>2779</v>
      </c>
      <c r="H2136" s="4" t="n">
        <v>2002</v>
      </c>
      <c r="I2136" s="4" t="s">
        <v>148</v>
      </c>
      <c r="J2136" s="25" t="str">
        <f aca="false">IF(M2136=1,"✓","")</f>
        <v/>
      </c>
      <c r="K2136" s="4" t="str">
        <f aca="false">IF(AND(M2136=0,P2136=0),"▶ NEXT","")</f>
        <v/>
      </c>
      <c r="L2136" s="4" t="n">
        <f aca="false">INDEX('Master List'!$F$2:$F$2594,O2136)</f>
        <v>1</v>
      </c>
      <c r="M2136" s="4" t="n">
        <f aca="false">INDEX('Master List'!$G$2:$G$2594,O2136)</f>
        <v>0</v>
      </c>
      <c r="N2136" s="4" t="str">
        <f aca="false">IF(K2136="","",A2136)</f>
        <v/>
      </c>
      <c r="O2136" s="4" t="n">
        <v>16</v>
      </c>
      <c r="P2136" s="4" t="n">
        <f aca="false">IF(A2136=A2135,P2135+1-M2135,0)</f>
        <v>6</v>
      </c>
    </row>
    <row r="2137" customFormat="false" ht="15" hidden="false" customHeight="false" outlineLevel="0" collapsed="false">
      <c r="A2137" s="30" t="s">
        <v>4209</v>
      </c>
      <c r="B2137" s="30" t="s">
        <v>53</v>
      </c>
      <c r="C2137" s="30" t="s">
        <v>104</v>
      </c>
      <c r="D2137" s="30" t="s">
        <v>148</v>
      </c>
      <c r="E2137" s="4" t="n">
        <v>10</v>
      </c>
      <c r="F2137" s="4" t="s">
        <v>213</v>
      </c>
      <c r="G2137" s="4" t="s">
        <v>2858</v>
      </c>
      <c r="H2137" s="4" t="n">
        <v>2006</v>
      </c>
      <c r="I2137" s="4" t="s">
        <v>148</v>
      </c>
      <c r="J2137" s="25" t="str">
        <f aca="false">IF(M2137=1,"✓","")</f>
        <v/>
      </c>
      <c r="K2137" s="4" t="str">
        <f aca="false">IF(AND(M2137=0,P2137=0),"▶ NEXT","")</f>
        <v/>
      </c>
      <c r="L2137" s="4" t="n">
        <f aca="false">INDEX('Master List'!$F$2:$F$2594,O2137)</f>
        <v>1</v>
      </c>
      <c r="M2137" s="4" t="n">
        <f aca="false">INDEX('Master List'!$G$2:$G$2594,O2137)</f>
        <v>0</v>
      </c>
      <c r="N2137" s="4" t="str">
        <f aca="false">IF(K2137="","",A2137)</f>
        <v/>
      </c>
      <c r="O2137" s="4" t="n">
        <v>2494</v>
      </c>
      <c r="P2137" s="4" t="n">
        <f aca="false">IF(A2137=A2136,P2136+1-M2136,0)</f>
        <v>7</v>
      </c>
    </row>
    <row r="2138" customFormat="false" ht="15" hidden="false" customHeight="false" outlineLevel="0" collapsed="false">
      <c r="A2138" s="30" t="s">
        <v>4209</v>
      </c>
      <c r="B2138" s="30" t="s">
        <v>53</v>
      </c>
      <c r="C2138" s="30" t="s">
        <v>104</v>
      </c>
      <c r="D2138" s="30" t="s">
        <v>148</v>
      </c>
      <c r="E2138" s="4" t="n">
        <v>11</v>
      </c>
      <c r="F2138" s="4" t="s">
        <v>213</v>
      </c>
      <c r="G2138" s="4" t="s">
        <v>1173</v>
      </c>
      <c r="H2138" s="4" t="n">
        <v>2006</v>
      </c>
      <c r="I2138" s="4" t="s">
        <v>148</v>
      </c>
      <c r="J2138" s="25" t="str">
        <f aca="false">IF(M2138=1,"✓","")</f>
        <v/>
      </c>
      <c r="K2138" s="4" t="str">
        <f aca="false">IF(AND(M2138=0,P2138=0),"▶ NEXT","")</f>
        <v/>
      </c>
      <c r="L2138" s="4" t="n">
        <f aca="false">INDEX('Master List'!$F$2:$F$2594,O2138)</f>
        <v>2</v>
      </c>
      <c r="M2138" s="4" t="n">
        <f aca="false">INDEX('Master List'!$G$2:$G$2594,O2138)</f>
        <v>0</v>
      </c>
      <c r="N2138" s="4" t="str">
        <f aca="false">IF(K2138="","",A2138)</f>
        <v/>
      </c>
      <c r="O2138" s="4" t="n">
        <v>1150</v>
      </c>
      <c r="P2138" s="4" t="n">
        <f aca="false">IF(A2138=A2137,P2137+1-M2137,0)</f>
        <v>8</v>
      </c>
    </row>
    <row r="2139" customFormat="false" ht="15" hidden="false" customHeight="false" outlineLevel="0" collapsed="false">
      <c r="A2139" s="30" t="s">
        <v>4209</v>
      </c>
      <c r="B2139" s="30" t="s">
        <v>53</v>
      </c>
      <c r="C2139" s="30" t="s">
        <v>104</v>
      </c>
      <c r="D2139" s="30" t="s">
        <v>148</v>
      </c>
      <c r="E2139" s="4" t="n">
        <v>12</v>
      </c>
      <c r="F2139" s="4" t="s">
        <v>213</v>
      </c>
      <c r="G2139" s="4" t="s">
        <v>3152</v>
      </c>
      <c r="H2139" s="4" t="n">
        <v>2018</v>
      </c>
      <c r="I2139" s="4" t="s">
        <v>148</v>
      </c>
      <c r="J2139" s="25" t="str">
        <f aca="false">IF(M2139=1,"✓","")</f>
        <v/>
      </c>
      <c r="K2139" s="4" t="str">
        <f aca="false">IF(AND(M2139=0,P2139=0),"▶ NEXT","")</f>
        <v/>
      </c>
      <c r="L2139" s="4" t="n">
        <f aca="false">INDEX('Master List'!$F$2:$F$2594,O2139)</f>
        <v>1</v>
      </c>
      <c r="M2139" s="4" t="n">
        <f aca="false">INDEX('Master List'!$G$2:$G$2594,O2139)</f>
        <v>0</v>
      </c>
      <c r="N2139" s="4" t="str">
        <f aca="false">IF(K2139="","",A2139)</f>
        <v/>
      </c>
      <c r="O2139" s="4" t="n">
        <v>275</v>
      </c>
      <c r="P2139" s="4" t="n">
        <f aca="false">IF(A2139=A2138,P2138+1-M2138,0)</f>
        <v>9</v>
      </c>
    </row>
    <row r="2140" customFormat="false" ht="15" hidden="false" customHeight="false" outlineLevel="0" collapsed="false">
      <c r="A2140" s="30" t="s">
        <v>4209</v>
      </c>
      <c r="B2140" s="30" t="s">
        <v>53</v>
      </c>
      <c r="C2140" s="30" t="s">
        <v>104</v>
      </c>
      <c r="D2140" s="30" t="s">
        <v>148</v>
      </c>
      <c r="E2140" s="4" t="n">
        <v>13</v>
      </c>
      <c r="F2140" s="4" t="s">
        <v>1327</v>
      </c>
      <c r="G2140" s="4" t="s">
        <v>3719</v>
      </c>
      <c r="H2140" s="4" t="n">
        <v>2000</v>
      </c>
      <c r="I2140" s="4" t="s">
        <v>148</v>
      </c>
      <c r="J2140" s="25" t="str">
        <f aca="false">IF(M2140=1,"✓","")</f>
        <v/>
      </c>
      <c r="K2140" s="4" t="str">
        <f aca="false">IF(AND(M2140=0,P2140=0),"▶ NEXT","")</f>
        <v/>
      </c>
      <c r="L2140" s="4" t="n">
        <f aca="false">INDEX('Master List'!$F$2:$F$2594,O2140)</f>
        <v>1</v>
      </c>
      <c r="M2140" s="4" t="n">
        <f aca="false">INDEX('Master List'!$G$2:$G$2594,O2140)</f>
        <v>0</v>
      </c>
      <c r="N2140" s="4" t="str">
        <f aca="false">IF(K2140="","",A2140)</f>
        <v/>
      </c>
      <c r="O2140" s="4" t="n">
        <v>181</v>
      </c>
      <c r="P2140" s="4" t="n">
        <f aca="false">IF(A2140=A2139,P2139+1-M2139,0)</f>
        <v>10</v>
      </c>
    </row>
    <row r="2141" customFormat="false" ht="15" hidden="false" customHeight="false" outlineLevel="0" collapsed="false">
      <c r="A2141" s="30" t="s">
        <v>4209</v>
      </c>
      <c r="B2141" s="30" t="s">
        <v>53</v>
      </c>
      <c r="C2141" s="30" t="s">
        <v>104</v>
      </c>
      <c r="D2141" s="30" t="s">
        <v>148</v>
      </c>
      <c r="E2141" s="4" t="n">
        <v>14</v>
      </c>
      <c r="F2141" s="4" t="s">
        <v>1327</v>
      </c>
      <c r="G2141" s="4" t="s">
        <v>3712</v>
      </c>
      <c r="H2141" s="4" t="n">
        <v>1999</v>
      </c>
      <c r="I2141" s="4" t="s">
        <v>148</v>
      </c>
      <c r="J2141" s="25" t="str">
        <f aca="false">IF(M2141=1,"✓","")</f>
        <v/>
      </c>
      <c r="K2141" s="4" t="str">
        <f aca="false">IF(AND(M2141=0,P2141=0),"▶ NEXT","")</f>
        <v/>
      </c>
      <c r="L2141" s="4" t="n">
        <f aca="false">INDEX('Master List'!$F$2:$F$2594,O2141)</f>
        <v>1</v>
      </c>
      <c r="M2141" s="4" t="n">
        <f aca="false">INDEX('Master List'!$G$2:$G$2594,O2141)</f>
        <v>0</v>
      </c>
      <c r="N2141" s="4" t="str">
        <f aca="false">IF(K2141="","",A2141)</f>
        <v/>
      </c>
      <c r="O2141" s="4" t="n">
        <v>2196</v>
      </c>
      <c r="P2141" s="4" t="n">
        <f aca="false">IF(A2141=A2140,P2140+1-M2140,0)</f>
        <v>11</v>
      </c>
    </row>
    <row r="2142" customFormat="false" ht="15" hidden="false" customHeight="false" outlineLevel="0" collapsed="false">
      <c r="A2142" s="30" t="s">
        <v>4210</v>
      </c>
      <c r="B2142" s="30" t="s">
        <v>53</v>
      </c>
      <c r="C2142" s="30" t="s">
        <v>104</v>
      </c>
      <c r="D2142" s="30" t="s">
        <v>615</v>
      </c>
      <c r="E2142" s="4" t="n">
        <v>1</v>
      </c>
      <c r="F2142" s="4" t="s">
        <v>144</v>
      </c>
      <c r="G2142" s="7" t="s">
        <v>680</v>
      </c>
      <c r="H2142" s="4" t="n">
        <v>1984</v>
      </c>
      <c r="I2142" s="4" t="s">
        <v>615</v>
      </c>
      <c r="J2142" s="25" t="str">
        <f aca="false">IF(M2142=1,"✓","")</f>
        <v/>
      </c>
      <c r="K2142" s="4" t="str">
        <f aca="false">IF(AND(M2142=0,P2142=0),"▶ NEXT","")</f>
        <v>▶ NEXT</v>
      </c>
      <c r="L2142" s="4" t="n">
        <f aca="false">INDEX('Master List'!$F$2:$F$2594,O2142)</f>
        <v>2</v>
      </c>
      <c r="M2142" s="4" t="n">
        <f aca="false">INDEX('Master List'!$G$2:$G$2594,O2142)</f>
        <v>0</v>
      </c>
      <c r="N2142" s="4" t="str">
        <f aca="false">IF(K2142="","",A2142)</f>
        <v>N177</v>
      </c>
      <c r="O2142" s="4" t="n">
        <v>2176</v>
      </c>
      <c r="P2142" s="4" t="n">
        <f aca="false">IF(A2142=A2141,P2141+1-M2141,0)</f>
        <v>0</v>
      </c>
    </row>
    <row r="2143" customFormat="false" ht="15" hidden="false" customHeight="false" outlineLevel="0" collapsed="false">
      <c r="A2143" s="30" t="s">
        <v>4210</v>
      </c>
      <c r="B2143" s="30" t="s">
        <v>53</v>
      </c>
      <c r="C2143" s="30" t="s">
        <v>104</v>
      </c>
      <c r="D2143" s="30" t="s">
        <v>615</v>
      </c>
      <c r="E2143" s="4" t="n">
        <v>2</v>
      </c>
      <c r="F2143" s="4" t="s">
        <v>144</v>
      </c>
      <c r="G2143" s="7" t="s">
        <v>1633</v>
      </c>
      <c r="H2143" s="4" t="n">
        <v>2016</v>
      </c>
      <c r="I2143" s="4" t="s">
        <v>615</v>
      </c>
      <c r="J2143" s="25" t="str">
        <f aca="false">IF(M2143=1,"✓","")</f>
        <v>✓</v>
      </c>
      <c r="K2143" s="4" t="str">
        <f aca="false">IF(AND(M2143=0,P2143=0),"▶ NEXT","")</f>
        <v/>
      </c>
      <c r="L2143" s="4" t="n">
        <f aca="false">INDEX('Master List'!$F$2:$F$2594,O2143)</f>
        <v>1</v>
      </c>
      <c r="M2143" s="4" t="n">
        <f aca="false">INDEX('Master List'!$G$2:$G$2594,O2143)</f>
        <v>1</v>
      </c>
      <c r="N2143" s="4" t="str">
        <f aca="false">IF(K2143="","",A2143)</f>
        <v/>
      </c>
      <c r="O2143" s="4" t="n">
        <v>1733</v>
      </c>
      <c r="P2143" s="4" t="n">
        <f aca="false">IF(A2143=A2142,P2142+1-M2142,0)</f>
        <v>1</v>
      </c>
    </row>
    <row r="2144" customFormat="false" ht="15" hidden="false" customHeight="false" outlineLevel="0" collapsed="false">
      <c r="A2144" s="30" t="s">
        <v>4210</v>
      </c>
      <c r="B2144" s="30" t="s">
        <v>53</v>
      </c>
      <c r="C2144" s="30" t="s">
        <v>104</v>
      </c>
      <c r="D2144" s="30" t="s">
        <v>615</v>
      </c>
      <c r="E2144" s="4" t="n">
        <v>3</v>
      </c>
      <c r="F2144" s="4" t="s">
        <v>213</v>
      </c>
      <c r="G2144" s="4" t="s">
        <v>2436</v>
      </c>
      <c r="H2144" s="4" t="n">
        <v>1986</v>
      </c>
      <c r="I2144" s="4" t="s">
        <v>615</v>
      </c>
      <c r="J2144" s="25" t="str">
        <f aca="false">IF(M2144=1,"✓","")</f>
        <v/>
      </c>
      <c r="K2144" s="4" t="str">
        <f aca="false">IF(AND(M2144=0,P2144=0),"▶ NEXT","")</f>
        <v/>
      </c>
      <c r="L2144" s="4" t="n">
        <f aca="false">INDEX('Master List'!$F$2:$F$2594,O2144)</f>
        <v>1</v>
      </c>
      <c r="M2144" s="4" t="n">
        <f aca="false">INDEX('Master List'!$G$2:$G$2594,O2144)</f>
        <v>0</v>
      </c>
      <c r="N2144" s="4" t="str">
        <f aca="false">IF(K2144="","",A2144)</f>
        <v/>
      </c>
      <c r="O2144" s="4" t="n">
        <v>667</v>
      </c>
      <c r="P2144" s="4" t="n">
        <f aca="false">IF(A2144=A2143,P2143+1-M2143,0)</f>
        <v>1</v>
      </c>
    </row>
    <row r="2145" customFormat="false" ht="15" hidden="false" customHeight="false" outlineLevel="0" collapsed="false">
      <c r="A2145" s="30" t="s">
        <v>4210</v>
      </c>
      <c r="B2145" s="30" t="s">
        <v>53</v>
      </c>
      <c r="C2145" s="30" t="s">
        <v>104</v>
      </c>
      <c r="D2145" s="30" t="s">
        <v>615</v>
      </c>
      <c r="E2145" s="4" t="n">
        <v>4</v>
      </c>
      <c r="F2145" s="4" t="s">
        <v>213</v>
      </c>
      <c r="G2145" s="4" t="s">
        <v>823</v>
      </c>
      <c r="H2145" s="4" t="n">
        <v>1989</v>
      </c>
      <c r="I2145" s="4" t="s">
        <v>615</v>
      </c>
      <c r="J2145" s="25" t="str">
        <f aca="false">IF(M2145=1,"✓","")</f>
        <v/>
      </c>
      <c r="K2145" s="4" t="str">
        <f aca="false">IF(AND(M2145=0,P2145=0),"▶ NEXT","")</f>
        <v/>
      </c>
      <c r="L2145" s="4" t="n">
        <f aca="false">INDEX('Master List'!$F$2:$F$2594,O2145)</f>
        <v>3</v>
      </c>
      <c r="M2145" s="4" t="n">
        <f aca="false">INDEX('Master List'!$G$2:$G$2594,O2145)</f>
        <v>0</v>
      </c>
      <c r="N2145" s="4" t="str">
        <f aca="false">IF(K2145="","",A2145)</f>
        <v/>
      </c>
      <c r="O2145" s="4" t="n">
        <v>1577</v>
      </c>
      <c r="P2145" s="4" t="n">
        <f aca="false">IF(A2145=A2144,P2144+1-M2144,0)</f>
        <v>2</v>
      </c>
    </row>
    <row r="2146" customFormat="false" ht="15" hidden="false" customHeight="false" outlineLevel="0" collapsed="false">
      <c r="A2146" s="30" t="s">
        <v>4210</v>
      </c>
      <c r="B2146" s="30" t="s">
        <v>53</v>
      </c>
      <c r="C2146" s="30" t="s">
        <v>104</v>
      </c>
      <c r="D2146" s="30" t="s">
        <v>615</v>
      </c>
      <c r="E2146" s="4" t="n">
        <v>5</v>
      </c>
      <c r="F2146" s="4" t="s">
        <v>213</v>
      </c>
      <c r="G2146" s="4" t="s">
        <v>614</v>
      </c>
      <c r="H2146" s="4" t="n">
        <v>1991</v>
      </c>
      <c r="I2146" s="4" t="s">
        <v>615</v>
      </c>
      <c r="J2146" s="25" t="str">
        <f aca="false">IF(M2146=1,"✓","")</f>
        <v/>
      </c>
      <c r="K2146" s="4" t="str">
        <f aca="false">IF(AND(M2146=0,P2146=0),"▶ NEXT","")</f>
        <v/>
      </c>
      <c r="L2146" s="4" t="n">
        <f aca="false">INDEX('Master List'!$F$2:$F$2594,O2146)</f>
        <v>3</v>
      </c>
      <c r="M2146" s="4" t="n">
        <f aca="false">INDEX('Master List'!$G$2:$G$2594,O2146)</f>
        <v>0</v>
      </c>
      <c r="N2146" s="4" t="str">
        <f aca="false">IF(K2146="","",A2146)</f>
        <v/>
      </c>
      <c r="O2146" s="4" t="n">
        <v>1608</v>
      </c>
      <c r="P2146" s="4" t="n">
        <f aca="false">IF(A2146=A2145,P2145+1-M2145,0)</f>
        <v>3</v>
      </c>
    </row>
    <row r="2147" customFormat="false" ht="15" hidden="false" customHeight="false" outlineLevel="0" collapsed="false">
      <c r="A2147" s="30" t="s">
        <v>4210</v>
      </c>
      <c r="B2147" s="30" t="s">
        <v>53</v>
      </c>
      <c r="C2147" s="30" t="s">
        <v>104</v>
      </c>
      <c r="D2147" s="30" t="s">
        <v>615</v>
      </c>
      <c r="E2147" s="4" t="n">
        <v>6</v>
      </c>
      <c r="F2147" s="4" t="s">
        <v>213</v>
      </c>
      <c r="G2147" s="4" t="s">
        <v>838</v>
      </c>
      <c r="H2147" s="4" t="n">
        <v>1995</v>
      </c>
      <c r="I2147" s="4" t="s">
        <v>615</v>
      </c>
      <c r="J2147" s="25" t="str">
        <f aca="false">IF(M2147=1,"✓","")</f>
        <v/>
      </c>
      <c r="K2147" s="4" t="str">
        <f aca="false">IF(AND(M2147=0,P2147=0),"▶ NEXT","")</f>
        <v/>
      </c>
      <c r="L2147" s="4" t="n">
        <f aca="false">INDEX('Master List'!$F$2:$F$2594,O2147)</f>
        <v>2</v>
      </c>
      <c r="M2147" s="4" t="n">
        <f aca="false">INDEX('Master List'!$G$2:$G$2594,O2147)</f>
        <v>0</v>
      </c>
      <c r="N2147" s="4" t="str">
        <f aca="false">IF(K2147="","",A2147)</f>
        <v/>
      </c>
      <c r="O2147" s="4" t="n">
        <v>583</v>
      </c>
      <c r="P2147" s="4" t="n">
        <f aca="false">IF(A2147=A2146,P2146+1-M2146,0)</f>
        <v>4</v>
      </c>
    </row>
    <row r="2148" customFormat="false" ht="15" hidden="false" customHeight="false" outlineLevel="0" collapsed="false">
      <c r="A2148" s="30" t="s">
        <v>4210</v>
      </c>
      <c r="B2148" s="30" t="s">
        <v>53</v>
      </c>
      <c r="C2148" s="30" t="s">
        <v>104</v>
      </c>
      <c r="D2148" s="30" t="s">
        <v>615</v>
      </c>
      <c r="E2148" s="4" t="n">
        <v>7</v>
      </c>
      <c r="F2148" s="4" t="s">
        <v>213</v>
      </c>
      <c r="G2148" s="4" t="s">
        <v>1129</v>
      </c>
      <c r="H2148" s="4" t="n">
        <v>1999</v>
      </c>
      <c r="I2148" s="4" t="s">
        <v>615</v>
      </c>
      <c r="J2148" s="25" t="str">
        <f aca="false">IF(M2148=1,"✓","")</f>
        <v>✓</v>
      </c>
      <c r="K2148" s="4" t="str">
        <f aca="false">IF(AND(M2148=0,P2148=0),"▶ NEXT","")</f>
        <v/>
      </c>
      <c r="L2148" s="4" t="n">
        <f aca="false">INDEX('Master List'!$F$2:$F$2594,O2148)</f>
        <v>2</v>
      </c>
      <c r="M2148" s="4" t="n">
        <f aca="false">INDEX('Master List'!$G$2:$G$2594,O2148)</f>
        <v>1</v>
      </c>
      <c r="N2148" s="4" t="str">
        <f aca="false">IF(K2148="","",A2148)</f>
        <v/>
      </c>
      <c r="O2148" s="4" t="n">
        <v>890</v>
      </c>
      <c r="P2148" s="4" t="n">
        <f aca="false">IF(A2148=A2147,P2147+1-M2147,0)</f>
        <v>5</v>
      </c>
    </row>
    <row r="2149" customFormat="false" ht="15" hidden="false" customHeight="false" outlineLevel="0" collapsed="false">
      <c r="A2149" s="30" t="s">
        <v>4210</v>
      </c>
      <c r="B2149" s="30" t="s">
        <v>53</v>
      </c>
      <c r="C2149" s="30" t="s">
        <v>104</v>
      </c>
      <c r="D2149" s="30" t="s">
        <v>615</v>
      </c>
      <c r="E2149" s="4" t="n">
        <v>8</v>
      </c>
      <c r="F2149" s="4" t="s">
        <v>213</v>
      </c>
      <c r="G2149" s="4" t="s">
        <v>636</v>
      </c>
      <c r="H2149" s="4" t="n">
        <v>2003</v>
      </c>
      <c r="I2149" s="4" t="s">
        <v>615</v>
      </c>
      <c r="J2149" s="25" t="str">
        <f aca="false">IF(M2149=1,"✓","")</f>
        <v>✓</v>
      </c>
      <c r="K2149" s="4" t="str">
        <f aca="false">IF(AND(M2149=0,P2149=0),"▶ NEXT","")</f>
        <v/>
      </c>
      <c r="L2149" s="4" t="n">
        <f aca="false">INDEX('Master List'!$F$2:$F$2594,O2149)</f>
        <v>3</v>
      </c>
      <c r="M2149" s="4" t="n">
        <f aca="false">INDEX('Master List'!$G$2:$G$2594,O2149)</f>
        <v>1</v>
      </c>
      <c r="N2149" s="4" t="str">
        <f aca="false">IF(K2149="","",A2149)</f>
        <v/>
      </c>
      <c r="O2149" s="4" t="n">
        <v>491</v>
      </c>
      <c r="P2149" s="4" t="n">
        <f aca="false">IF(A2149=A2148,P2148+1-M2148,0)</f>
        <v>5</v>
      </c>
    </row>
    <row r="2150" customFormat="false" ht="15" hidden="false" customHeight="false" outlineLevel="0" collapsed="false">
      <c r="A2150" s="30" t="s">
        <v>4210</v>
      </c>
      <c r="B2150" s="30" t="s">
        <v>53</v>
      </c>
      <c r="C2150" s="30" t="s">
        <v>104</v>
      </c>
      <c r="D2150" s="30" t="s">
        <v>615</v>
      </c>
      <c r="E2150" s="4" t="n">
        <v>9</v>
      </c>
      <c r="F2150" s="4" t="s">
        <v>213</v>
      </c>
      <c r="G2150" s="4" t="s">
        <v>2838</v>
      </c>
      <c r="H2150" s="4" t="n">
        <v>2005</v>
      </c>
      <c r="I2150" s="4" t="s">
        <v>615</v>
      </c>
      <c r="J2150" s="25" t="str">
        <f aca="false">IF(M2150=1,"✓","")</f>
        <v>✓</v>
      </c>
      <c r="K2150" s="4" t="str">
        <f aca="false">IF(AND(M2150=0,P2150=0),"▶ NEXT","")</f>
        <v/>
      </c>
      <c r="L2150" s="4" t="n">
        <f aca="false">INDEX('Master List'!$F$2:$F$2594,O2150)</f>
        <v>1</v>
      </c>
      <c r="M2150" s="4" t="n">
        <f aca="false">INDEX('Master List'!$G$2:$G$2594,O2150)</f>
        <v>1</v>
      </c>
      <c r="N2150" s="4" t="str">
        <f aca="false">IF(K2150="","",A2150)</f>
        <v/>
      </c>
      <c r="O2150" s="4" t="n">
        <v>357</v>
      </c>
      <c r="P2150" s="4" t="n">
        <f aca="false">IF(A2150=A2149,P2149+1-M2149,0)</f>
        <v>5</v>
      </c>
    </row>
    <row r="2151" customFormat="false" ht="15" hidden="false" customHeight="false" outlineLevel="0" collapsed="false">
      <c r="A2151" s="30" t="s">
        <v>4210</v>
      </c>
      <c r="B2151" s="30" t="s">
        <v>53</v>
      </c>
      <c r="C2151" s="30" t="s">
        <v>104</v>
      </c>
      <c r="D2151" s="30" t="s">
        <v>615</v>
      </c>
      <c r="E2151" s="4" t="n">
        <v>10</v>
      </c>
      <c r="F2151" s="4" t="s">
        <v>213</v>
      </c>
      <c r="G2151" s="4" t="s">
        <v>3033</v>
      </c>
      <c r="H2151" s="4" t="n">
        <v>2013</v>
      </c>
      <c r="I2151" s="4" t="s">
        <v>615</v>
      </c>
      <c r="J2151" s="25" t="str">
        <f aca="false">IF(M2151=1,"✓","")</f>
        <v/>
      </c>
      <c r="K2151" s="4" t="str">
        <f aca="false">IF(AND(M2151=0,P2151=0),"▶ NEXT","")</f>
        <v/>
      </c>
      <c r="L2151" s="4" t="n">
        <f aca="false">INDEX('Master List'!$F$2:$F$2594,O2151)</f>
        <v>1</v>
      </c>
      <c r="M2151" s="4" t="n">
        <f aca="false">INDEX('Master List'!$G$2:$G$2594,O2151)</f>
        <v>0</v>
      </c>
      <c r="N2151" s="4" t="str">
        <f aca="false">IF(K2151="","",A2151)</f>
        <v/>
      </c>
      <c r="O2151" s="4" t="n">
        <v>1685</v>
      </c>
      <c r="P2151" s="4" t="n">
        <f aca="false">IF(A2151=A2150,P2150+1-M2150,0)</f>
        <v>5</v>
      </c>
    </row>
    <row r="2152" customFormat="false" ht="15" hidden="false" customHeight="false" outlineLevel="0" collapsed="false">
      <c r="A2152" s="30" t="s">
        <v>4210</v>
      </c>
      <c r="B2152" s="30" t="s">
        <v>53</v>
      </c>
      <c r="C2152" s="30" t="s">
        <v>104</v>
      </c>
      <c r="D2152" s="30" t="s">
        <v>615</v>
      </c>
      <c r="E2152" s="4" t="n">
        <v>11</v>
      </c>
      <c r="F2152" s="4" t="s">
        <v>1327</v>
      </c>
      <c r="G2152" s="4" t="s">
        <v>3583</v>
      </c>
      <c r="H2152" s="4" t="n">
        <v>1980</v>
      </c>
      <c r="I2152" s="4" t="s">
        <v>615</v>
      </c>
      <c r="J2152" s="25" t="str">
        <f aca="false">IF(M2152=1,"✓","")</f>
        <v/>
      </c>
      <c r="K2152" s="4" t="str">
        <f aca="false">IF(AND(M2152=0,P2152=0),"▶ NEXT","")</f>
        <v/>
      </c>
      <c r="L2152" s="4" t="n">
        <f aca="false">INDEX('Master List'!$F$2:$F$2594,O2152)</f>
        <v>1</v>
      </c>
      <c r="M2152" s="4" t="n">
        <f aca="false">INDEX('Master List'!$G$2:$G$2594,O2152)</f>
        <v>0</v>
      </c>
      <c r="N2152" s="4" t="str">
        <f aca="false">IF(K2152="","",A2152)</f>
        <v/>
      </c>
      <c r="O2152" s="4" t="n">
        <v>1747</v>
      </c>
      <c r="P2152" s="4" t="n">
        <f aca="false">IF(A2152=A2151,P2151+1-M2151,0)</f>
        <v>6</v>
      </c>
    </row>
    <row r="2153" customFormat="false" ht="15" hidden="false" customHeight="false" outlineLevel="0" collapsed="false">
      <c r="A2153" s="30" t="s">
        <v>4211</v>
      </c>
      <c r="B2153" s="30" t="s">
        <v>53</v>
      </c>
      <c r="C2153" s="30" t="s">
        <v>104</v>
      </c>
      <c r="D2153" s="30" t="s">
        <v>320</v>
      </c>
      <c r="E2153" s="4" t="n">
        <v>1</v>
      </c>
      <c r="F2153" s="4" t="s">
        <v>144</v>
      </c>
      <c r="G2153" s="7" t="s">
        <v>373</v>
      </c>
      <c r="H2153" s="4" t="n">
        <v>1995</v>
      </c>
      <c r="I2153" s="4" t="s">
        <v>320</v>
      </c>
      <c r="J2153" s="25" t="str">
        <f aca="false">IF(M2153=1,"✓","")</f>
        <v>✓</v>
      </c>
      <c r="K2153" s="4" t="str">
        <f aca="false">IF(AND(M2153=0,P2153=0),"▶ NEXT","")</f>
        <v/>
      </c>
      <c r="L2153" s="4" t="n">
        <f aca="false">INDEX('Master List'!$F$2:$F$2594,O2153)</f>
        <v>4</v>
      </c>
      <c r="M2153" s="4" t="n">
        <f aca="false">INDEX('Master List'!$G$2:$G$2594,O2153)</f>
        <v>1</v>
      </c>
      <c r="N2153" s="4" t="str">
        <f aca="false">IF(K2153="","",A2153)</f>
        <v/>
      </c>
      <c r="O2153" s="4" t="n">
        <v>212</v>
      </c>
      <c r="P2153" s="4" t="n">
        <f aca="false">IF(A2153=A2152,P2152+1-M2152,0)</f>
        <v>0</v>
      </c>
    </row>
    <row r="2154" customFormat="false" ht="15" hidden="false" customHeight="false" outlineLevel="0" collapsed="false">
      <c r="A2154" s="30" t="s">
        <v>4211</v>
      </c>
      <c r="B2154" s="30" t="s">
        <v>53</v>
      </c>
      <c r="C2154" s="30" t="s">
        <v>104</v>
      </c>
      <c r="D2154" s="30" t="s">
        <v>320</v>
      </c>
      <c r="E2154" s="4" t="n">
        <v>2</v>
      </c>
      <c r="F2154" s="4" t="s">
        <v>144</v>
      </c>
      <c r="G2154" s="7" t="s">
        <v>319</v>
      </c>
      <c r="H2154" s="4" t="n">
        <v>1993</v>
      </c>
      <c r="I2154" s="4" t="s">
        <v>320</v>
      </c>
      <c r="J2154" s="25" t="str">
        <f aca="false">IF(M2154=1,"✓","")</f>
        <v>✓</v>
      </c>
      <c r="K2154" s="4" t="str">
        <f aca="false">IF(AND(M2154=0,P2154=0),"▶ NEXT","")</f>
        <v/>
      </c>
      <c r="L2154" s="4" t="n">
        <f aca="false">INDEX('Master List'!$F$2:$F$2594,O2154)</f>
        <v>4</v>
      </c>
      <c r="M2154" s="4" t="n">
        <f aca="false">INDEX('Master List'!$G$2:$G$2594,O2154)</f>
        <v>1</v>
      </c>
      <c r="N2154" s="4" t="str">
        <f aca="false">IF(K2154="","",A2154)</f>
        <v/>
      </c>
      <c r="O2154" s="4" t="n">
        <v>582</v>
      </c>
      <c r="P2154" s="4" t="n">
        <f aca="false">IF(A2154=A2153,P2153+1-M2153,0)</f>
        <v>0</v>
      </c>
    </row>
    <row r="2155" customFormat="false" ht="15" hidden="false" customHeight="false" outlineLevel="0" collapsed="false">
      <c r="A2155" s="30" t="s">
        <v>4211</v>
      </c>
      <c r="B2155" s="30" t="s">
        <v>53</v>
      </c>
      <c r="C2155" s="30" t="s">
        <v>104</v>
      </c>
      <c r="D2155" s="30" t="s">
        <v>320</v>
      </c>
      <c r="E2155" s="4" t="n">
        <v>3</v>
      </c>
      <c r="F2155" s="4" t="s">
        <v>213</v>
      </c>
      <c r="G2155" s="4" t="s">
        <v>370</v>
      </c>
      <c r="H2155" s="4" t="n">
        <v>1990</v>
      </c>
      <c r="I2155" s="4" t="s">
        <v>320</v>
      </c>
      <c r="J2155" s="25" t="str">
        <f aca="false">IF(M2155=1,"✓","")</f>
        <v/>
      </c>
      <c r="K2155" s="4" t="str">
        <f aca="false">IF(AND(M2155=0,P2155=0),"▶ NEXT","")</f>
        <v>▶ NEXT</v>
      </c>
      <c r="L2155" s="4" t="n">
        <f aca="false">INDEX('Master List'!$F$2:$F$2594,O2155)</f>
        <v>4</v>
      </c>
      <c r="M2155" s="4" t="n">
        <f aca="false">INDEX('Master List'!$G$2:$G$2594,O2155)</f>
        <v>0</v>
      </c>
      <c r="N2155" s="4" t="str">
        <f aca="false">IF(K2155="","",A2155)</f>
        <v>N178</v>
      </c>
      <c r="O2155" s="4" t="n">
        <v>2086</v>
      </c>
      <c r="P2155" s="4" t="n">
        <f aca="false">IF(A2155=A2154,P2154+1-M2154,0)</f>
        <v>0</v>
      </c>
    </row>
    <row r="2156" customFormat="false" ht="15" hidden="false" customHeight="false" outlineLevel="0" collapsed="false">
      <c r="A2156" s="30" t="s">
        <v>4211</v>
      </c>
      <c r="B2156" s="30" t="s">
        <v>53</v>
      </c>
      <c r="C2156" s="30" t="s">
        <v>104</v>
      </c>
      <c r="D2156" s="30" t="s">
        <v>320</v>
      </c>
      <c r="E2156" s="4" t="n">
        <v>4</v>
      </c>
      <c r="F2156" s="4" t="s">
        <v>213</v>
      </c>
      <c r="G2156" s="4" t="s">
        <v>2640</v>
      </c>
      <c r="H2156" s="4" t="n">
        <v>1996</v>
      </c>
      <c r="I2156" s="4" t="s">
        <v>320</v>
      </c>
      <c r="J2156" s="25" t="str">
        <f aca="false">IF(M2156=1,"✓","")</f>
        <v/>
      </c>
      <c r="K2156" s="4" t="str">
        <f aca="false">IF(AND(M2156=0,P2156=0),"▶ NEXT","")</f>
        <v/>
      </c>
      <c r="L2156" s="4" t="n">
        <f aca="false">INDEX('Master List'!$F$2:$F$2594,O2156)</f>
        <v>1</v>
      </c>
      <c r="M2156" s="4" t="n">
        <f aca="false">INDEX('Master List'!$G$2:$G$2594,O2156)</f>
        <v>0</v>
      </c>
      <c r="N2156" s="4" t="str">
        <f aca="false">IF(K2156="","",A2156)</f>
        <v/>
      </c>
      <c r="O2156" s="4" t="n">
        <v>2192</v>
      </c>
      <c r="P2156" s="4" t="n">
        <f aca="false">IF(A2156=A2155,P2155+1-M2155,0)</f>
        <v>1</v>
      </c>
    </row>
    <row r="2157" customFormat="false" ht="15" hidden="false" customHeight="false" outlineLevel="0" collapsed="false">
      <c r="A2157" s="30" t="s">
        <v>4211</v>
      </c>
      <c r="B2157" s="30" t="s">
        <v>53</v>
      </c>
      <c r="C2157" s="30" t="s">
        <v>104</v>
      </c>
      <c r="D2157" s="30" t="s">
        <v>320</v>
      </c>
      <c r="E2157" s="4" t="n">
        <v>5</v>
      </c>
      <c r="F2157" s="4" t="s">
        <v>213</v>
      </c>
      <c r="G2157" s="4" t="s">
        <v>633</v>
      </c>
      <c r="H2157" s="4" t="n">
        <v>2001</v>
      </c>
      <c r="I2157" s="4" t="s">
        <v>320</v>
      </c>
      <c r="J2157" s="25" t="str">
        <f aca="false">IF(M2157=1,"✓","")</f>
        <v>✓</v>
      </c>
      <c r="K2157" s="4" t="str">
        <f aca="false">IF(AND(M2157=0,P2157=0),"▶ NEXT","")</f>
        <v/>
      </c>
      <c r="L2157" s="4" t="n">
        <f aca="false">INDEX('Master List'!$F$2:$F$2594,O2157)</f>
        <v>3</v>
      </c>
      <c r="M2157" s="4" t="n">
        <f aca="false">INDEX('Master List'!$G$2:$G$2594,O2157)</f>
        <v>1</v>
      </c>
      <c r="N2157" s="4" t="str">
        <f aca="false">IF(K2157="","",A2157)</f>
        <v/>
      </c>
      <c r="O2157" s="4" t="n">
        <v>2453</v>
      </c>
      <c r="P2157" s="4" t="n">
        <f aca="false">IF(A2157=A2156,P2156+1-M2156,0)</f>
        <v>2</v>
      </c>
    </row>
    <row r="2158" customFormat="false" ht="15" hidden="false" customHeight="false" outlineLevel="0" collapsed="false">
      <c r="A2158" s="30" t="s">
        <v>4211</v>
      </c>
      <c r="B2158" s="30" t="s">
        <v>53</v>
      </c>
      <c r="C2158" s="30" t="s">
        <v>104</v>
      </c>
      <c r="D2158" s="30" t="s">
        <v>320</v>
      </c>
      <c r="E2158" s="4" t="n">
        <v>6</v>
      </c>
      <c r="F2158" s="4" t="s">
        <v>213</v>
      </c>
      <c r="G2158" s="4" t="s">
        <v>1149</v>
      </c>
      <c r="H2158" s="4" t="n">
        <v>2001</v>
      </c>
      <c r="I2158" s="4" t="s">
        <v>320</v>
      </c>
      <c r="J2158" s="25" t="str">
        <f aca="false">IF(M2158=1,"✓","")</f>
        <v>✓</v>
      </c>
      <c r="K2158" s="4" t="str">
        <f aca="false">IF(AND(M2158=0,P2158=0),"▶ NEXT","")</f>
        <v/>
      </c>
      <c r="L2158" s="4" t="n">
        <f aca="false">INDEX('Master List'!$F$2:$F$2594,O2158)</f>
        <v>2</v>
      </c>
      <c r="M2158" s="4" t="n">
        <f aca="false">INDEX('Master List'!$G$2:$G$2594,O2158)</f>
        <v>1</v>
      </c>
      <c r="N2158" s="4" t="str">
        <f aca="false">IF(K2158="","",A2158)</f>
        <v/>
      </c>
      <c r="O2158" s="4" t="n">
        <v>2241</v>
      </c>
      <c r="P2158" s="4" t="n">
        <f aca="false">IF(A2158=A2157,P2157+1-M2157,0)</f>
        <v>2</v>
      </c>
    </row>
    <row r="2159" customFormat="false" ht="15" hidden="false" customHeight="false" outlineLevel="0" collapsed="false">
      <c r="A2159" s="30" t="s">
        <v>4211</v>
      </c>
      <c r="B2159" s="30" t="s">
        <v>53</v>
      </c>
      <c r="C2159" s="30" t="s">
        <v>104</v>
      </c>
      <c r="D2159" s="30" t="s">
        <v>320</v>
      </c>
      <c r="E2159" s="4" t="n">
        <v>7</v>
      </c>
      <c r="F2159" s="4" t="s">
        <v>213</v>
      </c>
      <c r="G2159" s="4" t="s">
        <v>1166</v>
      </c>
      <c r="H2159" s="4" t="n">
        <v>2003</v>
      </c>
      <c r="I2159" s="4" t="s">
        <v>320</v>
      </c>
      <c r="J2159" s="25" t="str">
        <f aca="false">IF(M2159=1,"✓","")</f>
        <v>✓</v>
      </c>
      <c r="K2159" s="4" t="str">
        <f aca="false">IF(AND(M2159=0,P2159=0),"▶ NEXT","")</f>
        <v/>
      </c>
      <c r="L2159" s="4" t="n">
        <f aca="false">INDEX('Master List'!$F$2:$F$2594,O2159)</f>
        <v>2</v>
      </c>
      <c r="M2159" s="4" t="n">
        <f aca="false">INDEX('Master List'!$G$2:$G$2594,O2159)</f>
        <v>1</v>
      </c>
      <c r="N2159" s="4" t="str">
        <f aca="false">IF(K2159="","",A2159)</f>
        <v/>
      </c>
      <c r="O2159" s="4" t="n">
        <v>1991</v>
      </c>
      <c r="P2159" s="4" t="n">
        <f aca="false">IF(A2159=A2158,P2158+1-M2158,0)</f>
        <v>2</v>
      </c>
    </row>
    <row r="2160" customFormat="false" ht="15" hidden="false" customHeight="false" outlineLevel="0" collapsed="false">
      <c r="A2160" s="30" t="s">
        <v>4211</v>
      </c>
      <c r="B2160" s="30" t="s">
        <v>53</v>
      </c>
      <c r="C2160" s="30" t="s">
        <v>104</v>
      </c>
      <c r="D2160" s="30" t="s">
        <v>320</v>
      </c>
      <c r="E2160" s="4" t="n">
        <v>8</v>
      </c>
      <c r="F2160" s="4" t="s">
        <v>213</v>
      </c>
      <c r="G2160" s="4" t="s">
        <v>637</v>
      </c>
      <c r="H2160" s="4" t="n">
        <v>2004</v>
      </c>
      <c r="I2160" s="4" t="s">
        <v>320</v>
      </c>
      <c r="J2160" s="25" t="str">
        <f aca="false">IF(M2160=1,"✓","")</f>
        <v>✓</v>
      </c>
      <c r="K2160" s="4" t="str">
        <f aca="false">IF(AND(M2160=0,P2160=0),"▶ NEXT","")</f>
        <v/>
      </c>
      <c r="L2160" s="4" t="n">
        <f aca="false">INDEX('Master List'!$F$2:$F$2594,O2160)</f>
        <v>3</v>
      </c>
      <c r="M2160" s="4" t="n">
        <f aca="false">INDEX('Master List'!$G$2:$G$2594,O2160)</f>
        <v>1</v>
      </c>
      <c r="N2160" s="4" t="str">
        <f aca="false">IF(K2160="","",A2160)</f>
        <v/>
      </c>
      <c r="O2160" s="4" t="n">
        <v>213</v>
      </c>
      <c r="P2160" s="4" t="n">
        <f aca="false">IF(A2160=A2159,P2159+1-M2159,0)</f>
        <v>2</v>
      </c>
    </row>
    <row r="2161" customFormat="false" ht="15" hidden="false" customHeight="false" outlineLevel="0" collapsed="false">
      <c r="A2161" s="30" t="s">
        <v>4211</v>
      </c>
      <c r="B2161" s="30" t="s">
        <v>53</v>
      </c>
      <c r="C2161" s="30" t="s">
        <v>104</v>
      </c>
      <c r="D2161" s="30" t="s">
        <v>320</v>
      </c>
      <c r="E2161" s="4" t="n">
        <v>9</v>
      </c>
      <c r="F2161" s="4" t="s">
        <v>213</v>
      </c>
      <c r="G2161" s="4" t="s">
        <v>1174</v>
      </c>
      <c r="H2161" s="4" t="n">
        <v>2006</v>
      </c>
      <c r="I2161" s="4" t="s">
        <v>320</v>
      </c>
      <c r="J2161" s="25" t="str">
        <f aca="false">IF(M2161=1,"✓","")</f>
        <v/>
      </c>
      <c r="K2161" s="4" t="str">
        <f aca="false">IF(AND(M2161=0,P2161=0),"▶ NEXT","")</f>
        <v/>
      </c>
      <c r="L2161" s="4" t="n">
        <f aca="false">INDEX('Master List'!$F$2:$F$2594,O2161)</f>
        <v>2</v>
      </c>
      <c r="M2161" s="4" t="n">
        <f aca="false">INDEX('Master List'!$G$2:$G$2594,O2161)</f>
        <v>0</v>
      </c>
      <c r="N2161" s="4" t="str">
        <f aca="false">IF(K2161="","",A2161)</f>
        <v/>
      </c>
      <c r="O2161" s="4" t="n">
        <v>1979</v>
      </c>
      <c r="P2161" s="4" t="n">
        <f aca="false">IF(A2161=A2160,P2160+1-M2160,0)</f>
        <v>2</v>
      </c>
    </row>
    <row r="2162" customFormat="false" ht="15" hidden="false" customHeight="false" outlineLevel="0" collapsed="false">
      <c r="A2162" s="30" t="s">
        <v>4211</v>
      </c>
      <c r="B2162" s="30" t="s">
        <v>53</v>
      </c>
      <c r="C2162" s="30" t="s">
        <v>104</v>
      </c>
      <c r="D2162" s="30" t="s">
        <v>320</v>
      </c>
      <c r="E2162" s="4" t="n">
        <v>10</v>
      </c>
      <c r="F2162" s="4" t="s">
        <v>213</v>
      </c>
      <c r="G2162" s="4" t="s">
        <v>2974</v>
      </c>
      <c r="H2162" s="4" t="n">
        <v>2011</v>
      </c>
      <c r="I2162" s="4" t="s">
        <v>320</v>
      </c>
      <c r="J2162" s="25" t="str">
        <f aca="false">IF(M2162=1,"✓","")</f>
        <v>✓</v>
      </c>
      <c r="K2162" s="4" t="str">
        <f aca="false">IF(AND(M2162=0,P2162=0),"▶ NEXT","")</f>
        <v/>
      </c>
      <c r="L2162" s="4" t="n">
        <f aca="false">INDEX('Master List'!$F$2:$F$2594,O2162)</f>
        <v>1</v>
      </c>
      <c r="M2162" s="4" t="n">
        <f aca="false">INDEX('Master List'!$G$2:$G$2594,O2162)</f>
        <v>1</v>
      </c>
      <c r="N2162" s="4" t="str">
        <f aca="false">IF(K2162="","",A2162)</f>
        <v/>
      </c>
      <c r="O2162" s="4" t="n">
        <v>228</v>
      </c>
      <c r="P2162" s="4" t="n">
        <f aca="false">IF(A2162=A2161,P2161+1-M2161,0)</f>
        <v>3</v>
      </c>
    </row>
    <row r="2163" customFormat="false" ht="15" hidden="false" customHeight="false" outlineLevel="0" collapsed="false">
      <c r="A2163" s="30" t="s">
        <v>4211</v>
      </c>
      <c r="B2163" s="30" t="s">
        <v>53</v>
      </c>
      <c r="C2163" s="30" t="s">
        <v>104</v>
      </c>
      <c r="D2163" s="30" t="s">
        <v>320</v>
      </c>
      <c r="E2163" s="4" t="n">
        <v>11</v>
      </c>
      <c r="F2163" s="4" t="s">
        <v>213</v>
      </c>
      <c r="G2163" s="4" t="s">
        <v>523</v>
      </c>
      <c r="H2163" s="4" t="n">
        <v>2013</v>
      </c>
      <c r="I2163" s="4" t="s">
        <v>320</v>
      </c>
      <c r="J2163" s="25" t="str">
        <f aca="false">IF(M2163=1,"✓","")</f>
        <v>✓</v>
      </c>
      <c r="K2163" s="4" t="str">
        <f aca="false">IF(AND(M2163=0,P2163=0),"▶ NEXT","")</f>
        <v/>
      </c>
      <c r="L2163" s="4" t="n">
        <f aca="false">INDEX('Master List'!$F$2:$F$2594,O2163)</f>
        <v>3</v>
      </c>
      <c r="M2163" s="4" t="n">
        <f aca="false">INDEX('Master List'!$G$2:$G$2594,O2163)</f>
        <v>1</v>
      </c>
      <c r="N2163" s="4" t="str">
        <f aca="false">IF(K2163="","",A2163)</f>
        <v/>
      </c>
      <c r="O2163" s="4" t="n">
        <v>211</v>
      </c>
      <c r="P2163" s="4" t="n">
        <f aca="false">IF(A2163=A2162,P2162+1-M2162,0)</f>
        <v>3</v>
      </c>
    </row>
    <row r="2164" customFormat="false" ht="15" hidden="false" customHeight="false" outlineLevel="0" collapsed="false">
      <c r="A2164" s="30" t="s">
        <v>4211</v>
      </c>
      <c r="B2164" s="30" t="s">
        <v>53</v>
      </c>
      <c r="C2164" s="30" t="s">
        <v>104</v>
      </c>
      <c r="D2164" s="30" t="s">
        <v>320</v>
      </c>
      <c r="E2164" s="4" t="n">
        <v>12</v>
      </c>
      <c r="F2164" s="4" t="s">
        <v>213</v>
      </c>
      <c r="G2164" s="4" t="s">
        <v>525</v>
      </c>
      <c r="H2164" s="4" t="n">
        <v>2014</v>
      </c>
      <c r="I2164" s="4" t="s">
        <v>320</v>
      </c>
      <c r="J2164" s="25" t="str">
        <f aca="false">IF(M2164=1,"✓","")</f>
        <v/>
      </c>
      <c r="K2164" s="4" t="str">
        <f aca="false">IF(AND(M2164=0,P2164=0),"▶ NEXT","")</f>
        <v/>
      </c>
      <c r="L2164" s="4" t="n">
        <f aca="false">INDEX('Master List'!$F$2:$F$2594,O2164)</f>
        <v>3</v>
      </c>
      <c r="M2164" s="4" t="n">
        <f aca="false">INDEX('Master List'!$G$2:$G$2594,O2164)</f>
        <v>0</v>
      </c>
      <c r="N2164" s="4" t="str">
        <f aca="false">IF(K2164="","",A2164)</f>
        <v/>
      </c>
      <c r="O2164" s="4" t="n">
        <v>330</v>
      </c>
      <c r="P2164" s="4" t="n">
        <f aca="false">IF(A2164=A2163,P2163+1-M2163,0)</f>
        <v>3</v>
      </c>
    </row>
    <row r="2165" customFormat="false" ht="15" hidden="false" customHeight="false" outlineLevel="0" collapsed="false">
      <c r="A2165" s="30" t="s">
        <v>4211</v>
      </c>
      <c r="B2165" s="30" t="s">
        <v>53</v>
      </c>
      <c r="C2165" s="30" t="s">
        <v>104</v>
      </c>
      <c r="D2165" s="30" t="s">
        <v>320</v>
      </c>
      <c r="E2165" s="4" t="n">
        <v>13</v>
      </c>
      <c r="F2165" s="4" t="s">
        <v>213</v>
      </c>
      <c r="G2165" s="4" t="s">
        <v>1230</v>
      </c>
      <c r="H2165" s="4" t="n">
        <v>2016</v>
      </c>
      <c r="I2165" s="4" t="s">
        <v>320</v>
      </c>
      <c r="J2165" s="25" t="str">
        <f aca="false">IF(M2165=1,"✓","")</f>
        <v/>
      </c>
      <c r="K2165" s="4" t="str">
        <f aca="false">IF(AND(M2165=0,P2165=0),"▶ NEXT","")</f>
        <v/>
      </c>
      <c r="L2165" s="4" t="n">
        <f aca="false">INDEX('Master List'!$F$2:$F$2594,O2165)</f>
        <v>2</v>
      </c>
      <c r="M2165" s="4" t="n">
        <f aca="false">INDEX('Master List'!$G$2:$G$2594,O2165)</f>
        <v>0</v>
      </c>
      <c r="N2165" s="4" t="str">
        <f aca="false">IF(K2165="","",A2165)</f>
        <v/>
      </c>
      <c r="O2165" s="4" t="n">
        <v>752</v>
      </c>
      <c r="P2165" s="4" t="n">
        <f aca="false">IF(A2165=A2164,P2164+1-M2164,0)</f>
        <v>4</v>
      </c>
    </row>
    <row r="2166" customFormat="false" ht="15" hidden="false" customHeight="false" outlineLevel="0" collapsed="false">
      <c r="A2166" s="30" t="s">
        <v>4211</v>
      </c>
      <c r="B2166" s="30" t="s">
        <v>53</v>
      </c>
      <c r="C2166" s="30" t="s">
        <v>104</v>
      </c>
      <c r="D2166" s="30" t="s">
        <v>320</v>
      </c>
      <c r="E2166" s="4" t="n">
        <v>14</v>
      </c>
      <c r="F2166" s="4" t="s">
        <v>213</v>
      </c>
      <c r="G2166" s="4" t="s">
        <v>3237</v>
      </c>
      <c r="H2166" s="4" t="n">
        <v>2023</v>
      </c>
      <c r="I2166" s="4" t="s">
        <v>320</v>
      </c>
      <c r="J2166" s="25" t="str">
        <f aca="false">IF(M2166=1,"✓","")</f>
        <v/>
      </c>
      <c r="K2166" s="4" t="str">
        <f aca="false">IF(AND(M2166=0,P2166=0),"▶ NEXT","")</f>
        <v/>
      </c>
      <c r="L2166" s="4" t="n">
        <f aca="false">INDEX('Master List'!$F$2:$F$2594,O2166)</f>
        <v>1</v>
      </c>
      <c r="M2166" s="4" t="n">
        <f aca="false">INDEX('Master List'!$G$2:$G$2594,O2166)</f>
        <v>0</v>
      </c>
      <c r="N2166" s="4" t="str">
        <f aca="false">IF(K2166="","",A2166)</f>
        <v/>
      </c>
      <c r="O2166" s="4" t="n">
        <v>1045</v>
      </c>
      <c r="P2166" s="4" t="n">
        <f aca="false">IF(A2166=A2165,P2165+1-M2165,0)</f>
        <v>5</v>
      </c>
    </row>
    <row r="2167" customFormat="false" ht="15" hidden="false" customHeight="false" outlineLevel="0" collapsed="false">
      <c r="A2167" s="30" t="s">
        <v>4211</v>
      </c>
      <c r="B2167" s="30" t="s">
        <v>53</v>
      </c>
      <c r="C2167" s="30" t="s">
        <v>104</v>
      </c>
      <c r="D2167" s="30" t="s">
        <v>320</v>
      </c>
      <c r="E2167" s="4" t="n">
        <v>15</v>
      </c>
      <c r="F2167" s="4" t="s">
        <v>1327</v>
      </c>
      <c r="G2167" s="4" t="s">
        <v>3649</v>
      </c>
      <c r="H2167" s="4" t="n">
        <v>1988</v>
      </c>
      <c r="I2167" s="4" t="s">
        <v>320</v>
      </c>
      <c r="J2167" s="25" t="str">
        <f aca="false">IF(M2167=1,"✓","")</f>
        <v/>
      </c>
      <c r="K2167" s="4" t="str">
        <f aca="false">IF(AND(M2167=0,P2167=0),"▶ NEXT","")</f>
        <v/>
      </c>
      <c r="L2167" s="4" t="n">
        <f aca="false">INDEX('Master List'!$F$2:$F$2594,O2167)</f>
        <v>1</v>
      </c>
      <c r="M2167" s="4" t="n">
        <f aca="false">INDEX('Master List'!$G$2:$G$2594,O2167)</f>
        <v>0</v>
      </c>
      <c r="N2167" s="4" t="str">
        <f aca="false">IF(K2167="","",A2167)</f>
        <v/>
      </c>
      <c r="O2167" s="4" t="n">
        <v>1180</v>
      </c>
      <c r="P2167" s="4" t="n">
        <f aca="false">IF(A2167=A2166,P2166+1-M2166,0)</f>
        <v>6</v>
      </c>
    </row>
    <row r="2168" customFormat="false" ht="15" hidden="false" customHeight="false" outlineLevel="0" collapsed="false">
      <c r="A2168" s="30" t="s">
        <v>4211</v>
      </c>
      <c r="B2168" s="30" t="s">
        <v>53</v>
      </c>
      <c r="C2168" s="30" t="s">
        <v>104</v>
      </c>
      <c r="D2168" s="30" t="s">
        <v>320</v>
      </c>
      <c r="E2168" s="4" t="n">
        <v>16</v>
      </c>
      <c r="F2168" s="4" t="s">
        <v>1327</v>
      </c>
      <c r="G2168" s="4" t="s">
        <v>3868</v>
      </c>
      <c r="H2168" s="4" t="n">
        <v>2025</v>
      </c>
      <c r="I2168" s="4" t="s">
        <v>320</v>
      </c>
      <c r="J2168" s="25" t="str">
        <f aca="false">IF(M2168=1,"✓","")</f>
        <v/>
      </c>
      <c r="K2168" s="4" t="str">
        <f aca="false">IF(AND(M2168=0,P2168=0),"▶ NEXT","")</f>
        <v/>
      </c>
      <c r="L2168" s="4" t="n">
        <f aca="false">INDEX('Master List'!$F$2:$F$2594,O2168)</f>
        <v>1</v>
      </c>
      <c r="M2168" s="4" t="n">
        <f aca="false">INDEX('Master List'!$G$2:$G$2594,O2168)</f>
        <v>0</v>
      </c>
      <c r="N2168" s="4" t="str">
        <f aca="false">IF(K2168="","",A2168)</f>
        <v/>
      </c>
      <c r="O2168" s="4" t="n">
        <v>1640</v>
      </c>
      <c r="P2168" s="4" t="n">
        <f aca="false">IF(A2168=A2167,P2167+1-M2167,0)</f>
        <v>7</v>
      </c>
    </row>
    <row r="2169" customFormat="false" ht="15" hidden="false" customHeight="false" outlineLevel="0" collapsed="false">
      <c r="A2169" s="30" t="s">
        <v>4212</v>
      </c>
      <c r="B2169" s="30" t="s">
        <v>53</v>
      </c>
      <c r="C2169" s="30" t="s">
        <v>104</v>
      </c>
      <c r="D2169" s="30" t="s">
        <v>490</v>
      </c>
      <c r="E2169" s="4" t="n">
        <v>1</v>
      </c>
      <c r="F2169" s="4" t="s">
        <v>144</v>
      </c>
      <c r="G2169" s="7" t="s">
        <v>506</v>
      </c>
      <c r="H2169" s="4" t="n">
        <v>1998</v>
      </c>
      <c r="I2169" s="4" t="s">
        <v>490</v>
      </c>
      <c r="J2169" s="25" t="str">
        <f aca="false">IF(M2169=1,"✓","")</f>
        <v/>
      </c>
      <c r="K2169" s="4" t="str">
        <f aca="false">IF(AND(M2169=0,P2169=0),"▶ NEXT","")</f>
        <v>▶ NEXT</v>
      </c>
      <c r="L2169" s="4" t="n">
        <f aca="false">INDEX('Master List'!$F$2:$F$2594,O2169)</f>
        <v>3</v>
      </c>
      <c r="M2169" s="4" t="n">
        <f aca="false">INDEX('Master List'!$G$2:$G$2594,O2169)</f>
        <v>0</v>
      </c>
      <c r="N2169" s="4" t="str">
        <f aca="false">IF(K2169="","",A2169)</f>
        <v>N179</v>
      </c>
      <c r="O2169" s="4" t="n">
        <v>1699</v>
      </c>
      <c r="P2169" s="4" t="n">
        <f aca="false">IF(A2169=A2168,P2168+1-M2168,0)</f>
        <v>0</v>
      </c>
    </row>
    <row r="2170" customFormat="false" ht="15" hidden="false" customHeight="false" outlineLevel="0" collapsed="false">
      <c r="A2170" s="30" t="s">
        <v>4212</v>
      </c>
      <c r="B2170" s="30" t="s">
        <v>53</v>
      </c>
      <c r="C2170" s="30" t="s">
        <v>104</v>
      </c>
      <c r="D2170" s="30" t="s">
        <v>490</v>
      </c>
      <c r="E2170" s="4" t="n">
        <v>2</v>
      </c>
      <c r="F2170" s="4" t="s">
        <v>144</v>
      </c>
      <c r="G2170" s="7" t="s">
        <v>850</v>
      </c>
      <c r="H2170" s="4" t="n">
        <v>2000</v>
      </c>
      <c r="I2170" s="4" t="s">
        <v>490</v>
      </c>
      <c r="J2170" s="25" t="str">
        <f aca="false">IF(M2170=1,"✓","")</f>
        <v/>
      </c>
      <c r="K2170" s="4" t="str">
        <f aca="false">IF(AND(M2170=0,P2170=0),"▶ NEXT","")</f>
        <v/>
      </c>
      <c r="L2170" s="4" t="n">
        <f aca="false">INDEX('Master List'!$F$2:$F$2594,O2170)</f>
        <v>2</v>
      </c>
      <c r="M2170" s="4" t="n">
        <f aca="false">INDEX('Master List'!$G$2:$G$2594,O2170)</f>
        <v>0</v>
      </c>
      <c r="N2170" s="4" t="str">
        <f aca="false">IF(K2170="","",A2170)</f>
        <v/>
      </c>
      <c r="O2170" s="4" t="n">
        <v>2356</v>
      </c>
      <c r="P2170" s="4" t="n">
        <f aca="false">IF(A2170=A2169,P2169+1-M2169,0)</f>
        <v>1</v>
      </c>
    </row>
    <row r="2171" customFormat="false" ht="15" hidden="false" customHeight="false" outlineLevel="0" collapsed="false">
      <c r="A2171" s="30" t="s">
        <v>4212</v>
      </c>
      <c r="B2171" s="30" t="s">
        <v>53</v>
      </c>
      <c r="C2171" s="30" t="s">
        <v>104</v>
      </c>
      <c r="D2171" s="30" t="s">
        <v>490</v>
      </c>
      <c r="E2171" s="4" t="n">
        <v>3</v>
      </c>
      <c r="F2171" s="4" t="s">
        <v>213</v>
      </c>
      <c r="G2171" s="4" t="s">
        <v>489</v>
      </c>
      <c r="H2171" s="4" t="n">
        <v>1989</v>
      </c>
      <c r="I2171" s="4" t="s">
        <v>490</v>
      </c>
      <c r="J2171" s="25" t="str">
        <f aca="false">IF(M2171=1,"✓","")</f>
        <v/>
      </c>
      <c r="K2171" s="4" t="str">
        <f aca="false">IF(AND(M2171=0,P2171=0),"▶ NEXT","")</f>
        <v/>
      </c>
      <c r="L2171" s="4" t="n">
        <f aca="false">INDEX('Master List'!$F$2:$F$2594,O2171)</f>
        <v>3</v>
      </c>
      <c r="M2171" s="4" t="n">
        <f aca="false">INDEX('Master List'!$G$2:$G$2594,O2171)</f>
        <v>0</v>
      </c>
      <c r="N2171" s="4" t="str">
        <f aca="false">IF(K2171="","",A2171)</f>
        <v/>
      </c>
      <c r="O2171" s="4" t="n">
        <v>2027</v>
      </c>
      <c r="P2171" s="4" t="n">
        <f aca="false">IF(A2171=A2170,P2170+1-M2170,0)</f>
        <v>2</v>
      </c>
    </row>
    <row r="2172" customFormat="false" ht="15" hidden="false" customHeight="false" outlineLevel="0" collapsed="false">
      <c r="A2172" s="30" t="s">
        <v>4212</v>
      </c>
      <c r="B2172" s="30" t="s">
        <v>53</v>
      </c>
      <c r="C2172" s="30" t="s">
        <v>104</v>
      </c>
      <c r="D2172" s="30" t="s">
        <v>490</v>
      </c>
      <c r="E2172" s="4" t="n">
        <v>4</v>
      </c>
      <c r="F2172" s="4" t="s">
        <v>213</v>
      </c>
      <c r="G2172" s="4" t="s">
        <v>2571</v>
      </c>
      <c r="H2172" s="4" t="n">
        <v>1993</v>
      </c>
      <c r="I2172" s="4" t="s">
        <v>490</v>
      </c>
      <c r="J2172" s="25" t="str">
        <f aca="false">IF(M2172=1,"✓","")</f>
        <v/>
      </c>
      <c r="K2172" s="4" t="str">
        <f aca="false">IF(AND(M2172=0,P2172=0),"▶ NEXT","")</f>
        <v/>
      </c>
      <c r="L2172" s="4" t="n">
        <f aca="false">INDEX('Master List'!$F$2:$F$2594,O2172)</f>
        <v>1</v>
      </c>
      <c r="M2172" s="4" t="n">
        <f aca="false">INDEX('Master List'!$G$2:$G$2594,O2172)</f>
        <v>0</v>
      </c>
      <c r="N2172" s="4" t="str">
        <f aca="false">IF(K2172="","",A2172)</f>
        <v/>
      </c>
      <c r="O2172" s="4" t="n">
        <v>1261</v>
      </c>
      <c r="P2172" s="4" t="n">
        <f aca="false">IF(A2172=A2171,P2171+1-M2171,0)</f>
        <v>3</v>
      </c>
    </row>
    <row r="2173" customFormat="false" ht="15" hidden="false" customHeight="false" outlineLevel="0" collapsed="false">
      <c r="A2173" s="30" t="s">
        <v>4212</v>
      </c>
      <c r="B2173" s="30" t="s">
        <v>53</v>
      </c>
      <c r="C2173" s="30" t="s">
        <v>104</v>
      </c>
      <c r="D2173" s="30" t="s">
        <v>490</v>
      </c>
      <c r="E2173" s="4" t="n">
        <v>5</v>
      </c>
      <c r="F2173" s="4" t="s">
        <v>213</v>
      </c>
      <c r="G2173" s="4" t="s">
        <v>1392</v>
      </c>
      <c r="H2173" s="4" t="n">
        <v>1999</v>
      </c>
      <c r="I2173" s="4" t="s">
        <v>490</v>
      </c>
      <c r="J2173" s="25" t="str">
        <f aca="false">IF(M2173=1,"✓","")</f>
        <v>✓</v>
      </c>
      <c r="K2173" s="4" t="str">
        <f aca="false">IF(AND(M2173=0,P2173=0),"▶ NEXT","")</f>
        <v/>
      </c>
      <c r="L2173" s="4" t="n">
        <f aca="false">INDEX('Master List'!$F$2:$F$2594,O2173)</f>
        <v>2</v>
      </c>
      <c r="M2173" s="4" t="n">
        <f aca="false">INDEX('Master List'!$G$2:$G$2594,O2173)</f>
        <v>1</v>
      </c>
      <c r="N2173" s="4" t="str">
        <f aca="false">IF(K2173="","",A2173)</f>
        <v/>
      </c>
      <c r="O2173" s="4" t="n">
        <v>1341</v>
      </c>
      <c r="P2173" s="4" t="n">
        <f aca="false">IF(A2173=A2172,P2172+1-M2172,0)</f>
        <v>4</v>
      </c>
    </row>
    <row r="2174" customFormat="false" ht="15" hidden="false" customHeight="false" outlineLevel="0" collapsed="false">
      <c r="A2174" s="30" t="s">
        <v>4212</v>
      </c>
      <c r="B2174" s="30" t="s">
        <v>53</v>
      </c>
      <c r="C2174" s="30" t="s">
        <v>104</v>
      </c>
      <c r="D2174" s="30" t="s">
        <v>490</v>
      </c>
      <c r="E2174" s="4" t="n">
        <v>6</v>
      </c>
      <c r="F2174" s="4" t="s">
        <v>213</v>
      </c>
      <c r="G2174" s="4" t="s">
        <v>2723</v>
      </c>
      <c r="H2174" s="4" t="n">
        <v>2000</v>
      </c>
      <c r="I2174" s="4" t="s">
        <v>490</v>
      </c>
      <c r="J2174" s="25" t="str">
        <f aca="false">IF(M2174=1,"✓","")</f>
        <v>✓</v>
      </c>
      <c r="K2174" s="4" t="str">
        <f aca="false">IF(AND(M2174=0,P2174=0),"▶ NEXT","")</f>
        <v/>
      </c>
      <c r="L2174" s="4" t="n">
        <f aca="false">INDEX('Master List'!$F$2:$F$2594,O2174)</f>
        <v>1</v>
      </c>
      <c r="M2174" s="4" t="n">
        <f aca="false">INDEX('Master List'!$G$2:$G$2594,O2174)</f>
        <v>1</v>
      </c>
      <c r="N2174" s="4" t="str">
        <f aca="false">IF(K2174="","",A2174)</f>
        <v/>
      </c>
      <c r="O2174" s="4" t="n">
        <v>741</v>
      </c>
      <c r="P2174" s="4" t="n">
        <f aca="false">IF(A2174=A2173,P2173+1-M2173,0)</f>
        <v>4</v>
      </c>
    </row>
    <row r="2175" customFormat="false" ht="15" hidden="false" customHeight="false" outlineLevel="0" collapsed="false">
      <c r="A2175" s="30" t="s">
        <v>4212</v>
      </c>
      <c r="B2175" s="30" t="s">
        <v>53</v>
      </c>
      <c r="C2175" s="30" t="s">
        <v>104</v>
      </c>
      <c r="D2175" s="30" t="s">
        <v>490</v>
      </c>
      <c r="E2175" s="4" t="n">
        <v>7</v>
      </c>
      <c r="F2175" s="4" t="s">
        <v>213</v>
      </c>
      <c r="G2175" s="4" t="s">
        <v>632</v>
      </c>
      <c r="H2175" s="4" t="n">
        <v>2001</v>
      </c>
      <c r="I2175" s="4" t="s">
        <v>490</v>
      </c>
      <c r="J2175" s="25" t="str">
        <f aca="false">IF(M2175=1,"✓","")</f>
        <v>✓</v>
      </c>
      <c r="K2175" s="4" t="str">
        <f aca="false">IF(AND(M2175=0,P2175=0),"▶ NEXT","")</f>
        <v/>
      </c>
      <c r="L2175" s="4" t="n">
        <f aca="false">INDEX('Master List'!$F$2:$F$2594,O2175)</f>
        <v>3</v>
      </c>
      <c r="M2175" s="4" t="n">
        <f aca="false">INDEX('Master List'!$G$2:$G$2594,O2175)</f>
        <v>1</v>
      </c>
      <c r="N2175" s="4" t="str">
        <f aca="false">IF(K2175="","",A2175)</f>
        <v/>
      </c>
      <c r="O2175" s="4" t="n">
        <v>1646</v>
      </c>
      <c r="P2175" s="4" t="n">
        <f aca="false">IF(A2175=A2174,P2174+1-M2174,0)</f>
        <v>4</v>
      </c>
    </row>
    <row r="2176" customFormat="false" ht="15" hidden="false" customHeight="false" outlineLevel="0" collapsed="false">
      <c r="A2176" s="30" t="s">
        <v>4212</v>
      </c>
      <c r="B2176" s="30" t="s">
        <v>53</v>
      </c>
      <c r="C2176" s="30" t="s">
        <v>104</v>
      </c>
      <c r="D2176" s="30" t="s">
        <v>490</v>
      </c>
      <c r="E2176" s="4" t="n">
        <v>8</v>
      </c>
      <c r="F2176" s="4" t="s">
        <v>213</v>
      </c>
      <c r="G2176" s="4" t="s">
        <v>2907</v>
      </c>
      <c r="H2176" s="4" t="n">
        <v>2008</v>
      </c>
      <c r="I2176" s="4" t="s">
        <v>490</v>
      </c>
      <c r="J2176" s="25" t="str">
        <f aca="false">IF(M2176=1,"✓","")</f>
        <v/>
      </c>
      <c r="K2176" s="4" t="str">
        <f aca="false">IF(AND(M2176=0,P2176=0),"▶ NEXT","")</f>
        <v/>
      </c>
      <c r="L2176" s="4" t="n">
        <f aca="false">INDEX('Master List'!$F$2:$F$2594,O2176)</f>
        <v>1</v>
      </c>
      <c r="M2176" s="4" t="n">
        <f aca="false">INDEX('Master List'!$G$2:$G$2594,O2176)</f>
        <v>0</v>
      </c>
      <c r="N2176" s="4" t="str">
        <f aca="false">IF(K2176="","",A2176)</f>
        <v/>
      </c>
      <c r="O2176" s="4" t="n">
        <v>434</v>
      </c>
      <c r="P2176" s="4" t="n">
        <f aca="false">IF(A2176=A2175,P2175+1-M2175,0)</f>
        <v>4</v>
      </c>
    </row>
    <row r="2177" customFormat="false" ht="15" hidden="false" customHeight="false" outlineLevel="0" collapsed="false">
      <c r="A2177" s="30" t="s">
        <v>4212</v>
      </c>
      <c r="B2177" s="30" t="s">
        <v>53</v>
      </c>
      <c r="C2177" s="30" t="s">
        <v>104</v>
      </c>
      <c r="D2177" s="30" t="s">
        <v>490</v>
      </c>
      <c r="E2177" s="4" t="n">
        <v>9</v>
      </c>
      <c r="F2177" s="4" t="s">
        <v>213</v>
      </c>
      <c r="G2177" s="4" t="s">
        <v>1200</v>
      </c>
      <c r="H2177" s="4" t="n">
        <v>2011</v>
      </c>
      <c r="I2177" s="4" t="s">
        <v>490</v>
      </c>
      <c r="J2177" s="25" t="str">
        <f aca="false">IF(M2177=1,"✓","")</f>
        <v>✓</v>
      </c>
      <c r="K2177" s="4" t="str">
        <f aca="false">IF(AND(M2177=0,P2177=0),"▶ NEXT","")</f>
        <v/>
      </c>
      <c r="L2177" s="4" t="n">
        <f aca="false">INDEX('Master List'!$F$2:$F$2594,O2177)</f>
        <v>2</v>
      </c>
      <c r="M2177" s="4" t="n">
        <f aca="false">INDEX('Master List'!$G$2:$G$2594,O2177)</f>
        <v>1</v>
      </c>
      <c r="N2177" s="4" t="str">
        <f aca="false">IF(K2177="","",A2177)</f>
        <v/>
      </c>
      <c r="O2177" s="4" t="n">
        <v>517</v>
      </c>
      <c r="P2177" s="4" t="n">
        <f aca="false">IF(A2177=A2176,P2176+1-M2176,0)</f>
        <v>5</v>
      </c>
    </row>
    <row r="2178" customFormat="false" ht="15" hidden="false" customHeight="false" outlineLevel="0" collapsed="false">
      <c r="A2178" s="30" t="s">
        <v>4212</v>
      </c>
      <c r="B2178" s="30" t="s">
        <v>53</v>
      </c>
      <c r="C2178" s="30" t="s">
        <v>104</v>
      </c>
      <c r="D2178" s="30" t="s">
        <v>490</v>
      </c>
      <c r="E2178" s="4" t="n">
        <v>10</v>
      </c>
      <c r="F2178" s="4" t="s">
        <v>213</v>
      </c>
      <c r="G2178" s="4" t="s">
        <v>3034</v>
      </c>
      <c r="H2178" s="4" t="n">
        <v>2013</v>
      </c>
      <c r="I2178" s="4" t="s">
        <v>490</v>
      </c>
      <c r="J2178" s="25" t="str">
        <f aca="false">IF(M2178=1,"✓","")</f>
        <v/>
      </c>
      <c r="K2178" s="4" t="str">
        <f aca="false">IF(AND(M2178=0,P2178=0),"▶ NEXT","")</f>
        <v/>
      </c>
      <c r="L2178" s="4" t="n">
        <f aca="false">INDEX('Master List'!$F$2:$F$2594,O2178)</f>
        <v>1</v>
      </c>
      <c r="M2178" s="4" t="n">
        <f aca="false">INDEX('Master List'!$G$2:$G$2594,O2178)</f>
        <v>0</v>
      </c>
      <c r="N2178" s="4" t="str">
        <f aca="false">IF(K2178="","",A2178)</f>
        <v/>
      </c>
      <c r="O2178" s="4" t="n">
        <v>2065</v>
      </c>
      <c r="P2178" s="4" t="n">
        <f aca="false">IF(A2178=A2177,P2177+1-M2177,0)</f>
        <v>5</v>
      </c>
    </row>
    <row r="2179" customFormat="false" ht="15" hidden="false" customHeight="false" outlineLevel="0" collapsed="false">
      <c r="A2179" s="30" t="s">
        <v>4212</v>
      </c>
      <c r="B2179" s="30" t="s">
        <v>53</v>
      </c>
      <c r="C2179" s="30" t="s">
        <v>104</v>
      </c>
      <c r="D2179" s="30" t="s">
        <v>490</v>
      </c>
      <c r="E2179" s="4" t="n">
        <v>11</v>
      </c>
      <c r="F2179" s="4" t="s">
        <v>213</v>
      </c>
      <c r="G2179" s="4" t="s">
        <v>1234</v>
      </c>
      <c r="H2179" s="4" t="n">
        <v>2017</v>
      </c>
      <c r="I2179" s="4" t="s">
        <v>490</v>
      </c>
      <c r="J2179" s="25" t="str">
        <f aca="false">IF(M2179=1,"✓","")</f>
        <v>✓</v>
      </c>
      <c r="K2179" s="4" t="str">
        <f aca="false">IF(AND(M2179=0,P2179=0),"▶ NEXT","")</f>
        <v/>
      </c>
      <c r="L2179" s="4" t="n">
        <f aca="false">INDEX('Master List'!$F$2:$F$2594,O2179)</f>
        <v>2</v>
      </c>
      <c r="M2179" s="4" t="n">
        <f aca="false">INDEX('Master List'!$G$2:$G$2594,O2179)</f>
        <v>1</v>
      </c>
      <c r="N2179" s="4" t="str">
        <f aca="false">IF(K2179="","",A2179)</f>
        <v/>
      </c>
      <c r="O2179" s="4" t="n">
        <v>1366</v>
      </c>
      <c r="P2179" s="4" t="n">
        <f aca="false">IF(A2179=A2178,P2178+1-M2178,0)</f>
        <v>6</v>
      </c>
    </row>
    <row r="2180" customFormat="false" ht="15" hidden="false" customHeight="false" outlineLevel="0" collapsed="false">
      <c r="A2180" s="30" t="s">
        <v>4212</v>
      </c>
      <c r="B2180" s="30" t="s">
        <v>53</v>
      </c>
      <c r="C2180" s="30" t="s">
        <v>104</v>
      </c>
      <c r="D2180" s="30" t="s">
        <v>490</v>
      </c>
      <c r="E2180" s="4" t="n">
        <v>12</v>
      </c>
      <c r="F2180" s="4" t="s">
        <v>1327</v>
      </c>
      <c r="G2180" s="4" t="s">
        <v>3694</v>
      </c>
      <c r="H2180" s="4" t="n">
        <v>1996</v>
      </c>
      <c r="I2180" s="4" t="s">
        <v>490</v>
      </c>
      <c r="J2180" s="25" t="str">
        <f aca="false">IF(M2180=1,"✓","")</f>
        <v>✓</v>
      </c>
      <c r="K2180" s="4" t="str">
        <f aca="false">IF(AND(M2180=0,P2180=0),"▶ NEXT","")</f>
        <v/>
      </c>
      <c r="L2180" s="4" t="n">
        <f aca="false">INDEX('Master List'!$F$2:$F$2594,O2180)</f>
        <v>1</v>
      </c>
      <c r="M2180" s="4" t="n">
        <f aca="false">INDEX('Master List'!$G$2:$G$2594,O2180)</f>
        <v>1</v>
      </c>
      <c r="N2180" s="4" t="str">
        <f aca="false">IF(K2180="","",A2180)</f>
        <v/>
      </c>
      <c r="O2180" s="4" t="n">
        <v>1990</v>
      </c>
      <c r="P2180" s="4" t="n">
        <f aca="false">IF(A2180=A2179,P2179+1-M2179,0)</f>
        <v>6</v>
      </c>
    </row>
    <row r="2181" customFormat="false" ht="15" hidden="false" customHeight="false" outlineLevel="0" collapsed="false">
      <c r="A2181" s="30" t="s">
        <v>4212</v>
      </c>
      <c r="B2181" s="30" t="s">
        <v>53</v>
      </c>
      <c r="C2181" s="30" t="s">
        <v>104</v>
      </c>
      <c r="D2181" s="30" t="s">
        <v>490</v>
      </c>
      <c r="E2181" s="4" t="n">
        <v>13</v>
      </c>
      <c r="F2181" s="4" t="s">
        <v>1327</v>
      </c>
      <c r="G2181" s="4" t="s">
        <v>3748</v>
      </c>
      <c r="H2181" s="4" t="n">
        <v>2005</v>
      </c>
      <c r="I2181" s="4" t="s">
        <v>490</v>
      </c>
      <c r="J2181" s="25" t="str">
        <f aca="false">IF(M2181=1,"✓","")</f>
        <v/>
      </c>
      <c r="K2181" s="4" t="str">
        <f aca="false">IF(AND(M2181=0,P2181=0),"▶ NEXT","")</f>
        <v/>
      </c>
      <c r="L2181" s="4" t="n">
        <f aca="false">INDEX('Master List'!$F$2:$F$2594,O2181)</f>
        <v>1</v>
      </c>
      <c r="M2181" s="4" t="n">
        <f aca="false">INDEX('Master List'!$G$2:$G$2594,O2181)</f>
        <v>0</v>
      </c>
      <c r="N2181" s="4" t="str">
        <f aca="false">IF(K2181="","",A2181)</f>
        <v/>
      </c>
      <c r="O2181" s="4" t="n">
        <v>363</v>
      </c>
      <c r="P2181" s="4" t="n">
        <f aca="false">IF(A2181=A2180,P2180+1-M2180,0)</f>
        <v>6</v>
      </c>
    </row>
    <row r="2182" customFormat="false" ht="15" hidden="false" customHeight="false" outlineLevel="0" collapsed="false">
      <c r="A2182" s="30" t="s">
        <v>4212</v>
      </c>
      <c r="B2182" s="30" t="s">
        <v>53</v>
      </c>
      <c r="C2182" s="30" t="s">
        <v>104</v>
      </c>
      <c r="D2182" s="30" t="s">
        <v>490</v>
      </c>
      <c r="E2182" s="4" t="n">
        <v>14</v>
      </c>
      <c r="F2182" s="4" t="s">
        <v>1327</v>
      </c>
      <c r="G2182" s="4" t="s">
        <v>3666</v>
      </c>
      <c r="H2182" s="4" t="n">
        <v>1991</v>
      </c>
      <c r="I2182" s="4" t="s">
        <v>490</v>
      </c>
      <c r="J2182" s="25" t="str">
        <f aca="false">IF(M2182=1,"✓","")</f>
        <v/>
      </c>
      <c r="K2182" s="4" t="str">
        <f aca="false">IF(AND(M2182=0,P2182=0),"▶ NEXT","")</f>
        <v/>
      </c>
      <c r="L2182" s="4" t="n">
        <f aca="false">INDEX('Master List'!$F$2:$F$2594,O2182)</f>
        <v>1</v>
      </c>
      <c r="M2182" s="4" t="n">
        <f aca="false">INDEX('Master List'!$G$2:$G$2594,O2182)</f>
        <v>0</v>
      </c>
      <c r="N2182" s="4" t="str">
        <f aca="false">IF(K2182="","",A2182)</f>
        <v/>
      </c>
      <c r="O2182" s="4" t="n">
        <v>1229</v>
      </c>
      <c r="P2182" s="4" t="n">
        <f aca="false">IF(A2182=A2181,P2181+1-M2181,0)</f>
        <v>7</v>
      </c>
    </row>
    <row r="2183" customFormat="false" ht="15" hidden="false" customHeight="false" outlineLevel="0" collapsed="false">
      <c r="A2183" s="30" t="s">
        <v>4213</v>
      </c>
      <c r="B2183" s="30" t="s">
        <v>53</v>
      </c>
      <c r="C2183" s="30" t="s">
        <v>104</v>
      </c>
      <c r="D2183" s="30" t="s">
        <v>278</v>
      </c>
      <c r="E2183" s="4" t="n">
        <v>1</v>
      </c>
      <c r="F2183" s="4" t="s">
        <v>144</v>
      </c>
      <c r="G2183" s="7" t="s">
        <v>503</v>
      </c>
      <c r="H2183" s="4" t="n">
        <v>1997</v>
      </c>
      <c r="I2183" s="4" t="s">
        <v>278</v>
      </c>
      <c r="J2183" s="25" t="str">
        <f aca="false">IF(M2183=1,"✓","")</f>
        <v>✓</v>
      </c>
      <c r="K2183" s="4" t="str">
        <f aca="false">IF(AND(M2183=0,P2183=0),"▶ NEXT","")</f>
        <v/>
      </c>
      <c r="L2183" s="4" t="n">
        <f aca="false">INDEX('Master List'!$F$2:$F$2594,O2183)</f>
        <v>3</v>
      </c>
      <c r="M2183" s="4" t="n">
        <f aca="false">INDEX('Master List'!$G$2:$G$2594,O2183)</f>
        <v>1</v>
      </c>
      <c r="N2183" s="4" t="str">
        <f aca="false">IF(K2183="","",A2183)</f>
        <v/>
      </c>
      <c r="O2183" s="4" t="n">
        <v>315</v>
      </c>
      <c r="P2183" s="4" t="n">
        <f aca="false">IF(A2183=A2182,P2182+1-M2182,0)</f>
        <v>0</v>
      </c>
    </row>
    <row r="2184" customFormat="false" ht="15" hidden="false" customHeight="false" outlineLevel="0" collapsed="false">
      <c r="A2184" s="30" t="s">
        <v>4213</v>
      </c>
      <c r="B2184" s="30" t="s">
        <v>53</v>
      </c>
      <c r="C2184" s="30" t="s">
        <v>104</v>
      </c>
      <c r="D2184" s="30" t="s">
        <v>278</v>
      </c>
      <c r="E2184" s="4" t="n">
        <v>2</v>
      </c>
      <c r="F2184" s="4" t="s">
        <v>144</v>
      </c>
      <c r="G2184" s="7" t="s">
        <v>277</v>
      </c>
      <c r="H2184" s="4" t="n">
        <v>2007</v>
      </c>
      <c r="I2184" s="4" t="s">
        <v>278</v>
      </c>
      <c r="J2184" s="25" t="str">
        <f aca="false">IF(M2184=1,"✓","")</f>
        <v>✓</v>
      </c>
      <c r="K2184" s="4" t="str">
        <f aca="false">IF(AND(M2184=0,P2184=0),"▶ NEXT","")</f>
        <v/>
      </c>
      <c r="L2184" s="4" t="n">
        <f aca="false">INDEX('Master List'!$F$2:$F$2594,O2184)</f>
        <v>5</v>
      </c>
      <c r="M2184" s="4" t="n">
        <f aca="false">INDEX('Master List'!$G$2:$G$2594,O2184)</f>
        <v>1</v>
      </c>
      <c r="N2184" s="4" t="str">
        <f aca="false">IF(K2184="","",A2184)</f>
        <v/>
      </c>
      <c r="O2184" s="4" t="n">
        <v>2269</v>
      </c>
      <c r="P2184" s="4" t="n">
        <f aca="false">IF(A2184=A2183,P2183+1-M2183,0)</f>
        <v>0</v>
      </c>
    </row>
    <row r="2185" customFormat="false" ht="15" hidden="false" customHeight="false" outlineLevel="0" collapsed="false">
      <c r="A2185" s="30" t="s">
        <v>4213</v>
      </c>
      <c r="B2185" s="30" t="s">
        <v>53</v>
      </c>
      <c r="C2185" s="30" t="s">
        <v>104</v>
      </c>
      <c r="D2185" s="30" t="s">
        <v>278</v>
      </c>
      <c r="E2185" s="4" t="n">
        <v>3</v>
      </c>
      <c r="F2185" s="4" t="s">
        <v>213</v>
      </c>
      <c r="G2185" s="4" t="s">
        <v>620</v>
      </c>
      <c r="H2185" s="4" t="n">
        <v>1996</v>
      </c>
      <c r="I2185" s="4" t="s">
        <v>278</v>
      </c>
      <c r="J2185" s="25" t="str">
        <f aca="false">IF(M2185=1,"✓","")</f>
        <v>✓</v>
      </c>
      <c r="K2185" s="4" t="str">
        <f aca="false">IF(AND(M2185=0,P2185=0),"▶ NEXT","")</f>
        <v/>
      </c>
      <c r="L2185" s="4" t="n">
        <f aca="false">INDEX('Master List'!$F$2:$F$2594,O2185)</f>
        <v>3</v>
      </c>
      <c r="M2185" s="4" t="n">
        <f aca="false">INDEX('Master List'!$G$2:$G$2594,O2185)</f>
        <v>1</v>
      </c>
      <c r="N2185" s="4" t="str">
        <f aca="false">IF(K2185="","",A2185)</f>
        <v/>
      </c>
      <c r="O2185" s="4" t="n">
        <v>995</v>
      </c>
      <c r="P2185" s="4" t="n">
        <f aca="false">IF(A2185=A2184,P2184+1-M2184,0)</f>
        <v>0</v>
      </c>
    </row>
    <row r="2186" customFormat="false" ht="15" hidden="false" customHeight="false" outlineLevel="0" collapsed="false">
      <c r="A2186" s="30" t="s">
        <v>4213</v>
      </c>
      <c r="B2186" s="30" t="s">
        <v>53</v>
      </c>
      <c r="C2186" s="30" t="s">
        <v>104</v>
      </c>
      <c r="D2186" s="30" t="s">
        <v>278</v>
      </c>
      <c r="E2186" s="4" t="n">
        <v>4</v>
      </c>
      <c r="F2186" s="4" t="s">
        <v>213</v>
      </c>
      <c r="G2186" s="4" t="s">
        <v>509</v>
      </c>
      <c r="H2186" s="4" t="n">
        <v>1999</v>
      </c>
      <c r="I2186" s="4" t="s">
        <v>278</v>
      </c>
      <c r="J2186" s="25" t="str">
        <f aca="false">IF(M2186=1,"✓","")</f>
        <v>✓</v>
      </c>
      <c r="K2186" s="4" t="str">
        <f aca="false">IF(AND(M2186=0,P2186=0),"▶ NEXT","")</f>
        <v/>
      </c>
      <c r="L2186" s="4" t="n">
        <f aca="false">INDEX('Master List'!$F$2:$F$2594,O2186)</f>
        <v>3</v>
      </c>
      <c r="M2186" s="4" t="n">
        <f aca="false">INDEX('Master List'!$G$2:$G$2594,O2186)</f>
        <v>1</v>
      </c>
      <c r="N2186" s="4" t="str">
        <f aca="false">IF(K2186="","",A2186)</f>
        <v/>
      </c>
      <c r="O2186" s="4" t="n">
        <v>1415</v>
      </c>
      <c r="P2186" s="4" t="n">
        <f aca="false">IF(A2186=A2185,P2185+1-M2185,0)</f>
        <v>0</v>
      </c>
    </row>
    <row r="2187" customFormat="false" ht="15" hidden="false" customHeight="false" outlineLevel="0" collapsed="false">
      <c r="A2187" s="30" t="s">
        <v>4213</v>
      </c>
      <c r="B2187" s="30" t="s">
        <v>53</v>
      </c>
      <c r="C2187" s="30" t="s">
        <v>104</v>
      </c>
      <c r="D2187" s="30" t="s">
        <v>278</v>
      </c>
      <c r="E2187" s="4" t="n">
        <v>5</v>
      </c>
      <c r="F2187" s="4" t="s">
        <v>213</v>
      </c>
      <c r="G2187" s="4" t="s">
        <v>852</v>
      </c>
      <c r="H2187" s="4" t="n">
        <v>2002</v>
      </c>
      <c r="I2187" s="4" t="s">
        <v>278</v>
      </c>
      <c r="J2187" s="25" t="str">
        <f aca="false">IF(M2187=1,"✓","")</f>
        <v>✓</v>
      </c>
      <c r="K2187" s="4" t="str">
        <f aca="false">IF(AND(M2187=0,P2187=0),"▶ NEXT","")</f>
        <v/>
      </c>
      <c r="L2187" s="4" t="n">
        <f aca="false">INDEX('Master List'!$F$2:$F$2594,O2187)</f>
        <v>2</v>
      </c>
      <c r="M2187" s="4" t="n">
        <f aca="false">INDEX('Master List'!$G$2:$G$2594,O2187)</f>
        <v>1</v>
      </c>
      <c r="N2187" s="4" t="str">
        <f aca="false">IF(K2187="","",A2187)</f>
        <v/>
      </c>
      <c r="O2187" s="4" t="n">
        <v>1832</v>
      </c>
      <c r="P2187" s="4" t="n">
        <f aca="false">IF(A2187=A2186,P2186+1-M2186,0)</f>
        <v>0</v>
      </c>
    </row>
    <row r="2188" customFormat="false" ht="15" hidden="false" customHeight="false" outlineLevel="0" collapsed="false">
      <c r="A2188" s="30" t="s">
        <v>4213</v>
      </c>
      <c r="B2188" s="30" t="s">
        <v>53</v>
      </c>
      <c r="C2188" s="30" t="s">
        <v>104</v>
      </c>
      <c r="D2188" s="30" t="s">
        <v>278</v>
      </c>
      <c r="E2188" s="4" t="n">
        <v>6</v>
      </c>
      <c r="F2188" s="4" t="s">
        <v>213</v>
      </c>
      <c r="G2188" s="4" t="s">
        <v>641</v>
      </c>
      <c r="H2188" s="4" t="n">
        <v>2012</v>
      </c>
      <c r="I2188" s="4" t="s">
        <v>278</v>
      </c>
      <c r="J2188" s="25" t="str">
        <f aca="false">IF(M2188=1,"✓","")</f>
        <v>✓</v>
      </c>
      <c r="K2188" s="4" t="str">
        <f aca="false">IF(AND(M2188=0,P2188=0),"▶ NEXT","")</f>
        <v/>
      </c>
      <c r="L2188" s="4" t="n">
        <f aca="false">INDEX('Master List'!$F$2:$F$2594,O2188)</f>
        <v>3</v>
      </c>
      <c r="M2188" s="4" t="n">
        <f aca="false">INDEX('Master List'!$G$2:$G$2594,O2188)</f>
        <v>1</v>
      </c>
      <c r="N2188" s="4" t="str">
        <f aca="false">IF(K2188="","",A2188)</f>
        <v/>
      </c>
      <c r="O2188" s="4" t="n">
        <v>1458</v>
      </c>
      <c r="P2188" s="4" t="n">
        <f aca="false">IF(A2188=A2187,P2187+1-M2187,0)</f>
        <v>0</v>
      </c>
    </row>
    <row r="2189" customFormat="false" ht="15" hidden="false" customHeight="false" outlineLevel="0" collapsed="false">
      <c r="A2189" s="30" t="s">
        <v>4213</v>
      </c>
      <c r="B2189" s="30" t="s">
        <v>53</v>
      </c>
      <c r="C2189" s="30" t="s">
        <v>104</v>
      </c>
      <c r="D2189" s="30" t="s">
        <v>278</v>
      </c>
      <c r="E2189" s="4" t="n">
        <v>7</v>
      </c>
      <c r="F2189" s="4" t="s">
        <v>213</v>
      </c>
      <c r="G2189" s="4" t="s">
        <v>644</v>
      </c>
      <c r="H2189" s="4" t="n">
        <v>2014</v>
      </c>
      <c r="I2189" s="4" t="s">
        <v>278</v>
      </c>
      <c r="J2189" s="25" t="str">
        <f aca="false">IF(M2189=1,"✓","")</f>
        <v>✓</v>
      </c>
      <c r="K2189" s="4" t="str">
        <f aca="false">IF(AND(M2189=0,P2189=0),"▶ NEXT","")</f>
        <v/>
      </c>
      <c r="L2189" s="4" t="n">
        <f aca="false">INDEX('Master List'!$F$2:$F$2594,O2189)</f>
        <v>3</v>
      </c>
      <c r="M2189" s="4" t="n">
        <f aca="false">INDEX('Master List'!$G$2:$G$2594,O2189)</f>
        <v>1</v>
      </c>
      <c r="N2189" s="4" t="str">
        <f aca="false">IF(K2189="","",A2189)</f>
        <v/>
      </c>
      <c r="O2189" s="4" t="n">
        <v>1140</v>
      </c>
      <c r="P2189" s="4" t="n">
        <f aca="false">IF(A2189=A2188,P2188+1-M2188,0)</f>
        <v>0</v>
      </c>
    </row>
    <row r="2190" customFormat="false" ht="15" hidden="false" customHeight="false" outlineLevel="0" collapsed="false">
      <c r="A2190" s="30" t="s">
        <v>4213</v>
      </c>
      <c r="B2190" s="30" t="s">
        <v>53</v>
      </c>
      <c r="C2190" s="30" t="s">
        <v>104</v>
      </c>
      <c r="D2190" s="30" t="s">
        <v>278</v>
      </c>
      <c r="E2190" s="4" t="n">
        <v>8</v>
      </c>
      <c r="F2190" s="4" t="s">
        <v>213</v>
      </c>
      <c r="G2190" s="4" t="s">
        <v>649</v>
      </c>
      <c r="H2190" s="4" t="n">
        <v>2017</v>
      </c>
      <c r="I2190" s="4" t="s">
        <v>278</v>
      </c>
      <c r="J2190" s="25" t="str">
        <f aca="false">IF(M2190=1,"✓","")</f>
        <v>✓</v>
      </c>
      <c r="K2190" s="4" t="str">
        <f aca="false">IF(AND(M2190=0,P2190=0),"▶ NEXT","")</f>
        <v/>
      </c>
      <c r="L2190" s="4" t="n">
        <f aca="false">INDEX('Master List'!$F$2:$F$2594,O2190)</f>
        <v>3</v>
      </c>
      <c r="M2190" s="4" t="n">
        <f aca="false">INDEX('Master List'!$G$2:$G$2594,O2190)</f>
        <v>1</v>
      </c>
      <c r="N2190" s="4" t="str">
        <f aca="false">IF(K2190="","",A2190)</f>
        <v/>
      </c>
      <c r="O2190" s="4" t="n">
        <v>1754</v>
      </c>
      <c r="P2190" s="4" t="n">
        <f aca="false">IF(A2190=A2189,P2189+1-M2189,0)</f>
        <v>0</v>
      </c>
    </row>
    <row r="2191" customFormat="false" ht="15" hidden="false" customHeight="false" outlineLevel="0" collapsed="false">
      <c r="A2191" s="30" t="s">
        <v>4213</v>
      </c>
      <c r="B2191" s="30" t="s">
        <v>53</v>
      </c>
      <c r="C2191" s="30" t="s">
        <v>104</v>
      </c>
      <c r="D2191" s="30" t="s">
        <v>278</v>
      </c>
      <c r="E2191" s="4" t="n">
        <v>9</v>
      </c>
      <c r="F2191" s="4" t="s">
        <v>213</v>
      </c>
      <c r="G2191" s="4" t="s">
        <v>1262</v>
      </c>
      <c r="H2191" s="4" t="n">
        <v>2021</v>
      </c>
      <c r="I2191" s="4" t="s">
        <v>278</v>
      </c>
      <c r="J2191" s="25" t="str">
        <f aca="false">IF(M2191=1,"✓","")</f>
        <v>✓</v>
      </c>
      <c r="K2191" s="4" t="str">
        <f aca="false">IF(AND(M2191=0,P2191=0),"▶ NEXT","")</f>
        <v/>
      </c>
      <c r="L2191" s="4" t="n">
        <f aca="false">INDEX('Master List'!$F$2:$F$2594,O2191)</f>
        <v>2</v>
      </c>
      <c r="M2191" s="4" t="n">
        <f aca="false">INDEX('Master List'!$G$2:$G$2594,O2191)</f>
        <v>1</v>
      </c>
      <c r="N2191" s="4" t="str">
        <f aca="false">IF(K2191="","",A2191)</f>
        <v/>
      </c>
      <c r="O2191" s="4" t="n">
        <v>1329</v>
      </c>
      <c r="P2191" s="4" t="n">
        <f aca="false">IF(A2191=A2190,P2190+1-M2190,0)</f>
        <v>0</v>
      </c>
    </row>
    <row r="2192" customFormat="false" ht="15" hidden="false" customHeight="false" outlineLevel="0" collapsed="false">
      <c r="A2192" s="30" t="s">
        <v>4213</v>
      </c>
      <c r="B2192" s="30" t="s">
        <v>53</v>
      </c>
      <c r="C2192" s="30" t="s">
        <v>104</v>
      </c>
      <c r="D2192" s="30" t="s">
        <v>278</v>
      </c>
      <c r="E2192" s="4" t="n">
        <v>10</v>
      </c>
      <c r="F2192" s="4" t="s">
        <v>213</v>
      </c>
      <c r="G2192" s="4" t="s">
        <v>3268</v>
      </c>
      <c r="H2192" s="4" t="n">
        <v>2025</v>
      </c>
      <c r="I2192" s="4" t="s">
        <v>278</v>
      </c>
      <c r="J2192" s="25" t="str">
        <f aca="false">IF(M2192=1,"✓","")</f>
        <v>✓</v>
      </c>
      <c r="K2192" s="4" t="str">
        <f aca="false">IF(AND(M2192=0,P2192=0),"▶ NEXT","")</f>
        <v/>
      </c>
      <c r="L2192" s="4" t="n">
        <f aca="false">INDEX('Master List'!$F$2:$F$2594,O2192)</f>
        <v>1</v>
      </c>
      <c r="M2192" s="4" t="n">
        <f aca="false">INDEX('Master List'!$G$2:$G$2594,O2192)</f>
        <v>1</v>
      </c>
      <c r="N2192" s="4" t="str">
        <f aca="false">IF(K2192="","",A2192)</f>
        <v/>
      </c>
      <c r="O2192" s="4" t="n">
        <v>1676</v>
      </c>
      <c r="P2192" s="4" t="n">
        <f aca="false">IF(A2192=A2191,P2191+1-M2191,0)</f>
        <v>0</v>
      </c>
    </row>
    <row r="2193" customFormat="false" ht="15" hidden="false" customHeight="false" outlineLevel="0" collapsed="false">
      <c r="A2193" s="30" t="s">
        <v>4214</v>
      </c>
      <c r="B2193" s="30" t="s">
        <v>53</v>
      </c>
      <c r="C2193" s="30" t="s">
        <v>104</v>
      </c>
      <c r="D2193" s="30" t="s">
        <v>361</v>
      </c>
      <c r="E2193" s="4" t="n">
        <v>1</v>
      </c>
      <c r="F2193" s="4" t="s">
        <v>144</v>
      </c>
      <c r="G2193" s="7" t="s">
        <v>360</v>
      </c>
      <c r="H2193" s="4" t="n">
        <v>1978</v>
      </c>
      <c r="I2193" s="4" t="s">
        <v>361</v>
      </c>
      <c r="J2193" s="25" t="str">
        <f aca="false">IF(M2193=1,"✓","")</f>
        <v>✓</v>
      </c>
      <c r="K2193" s="4" t="str">
        <f aca="false">IF(AND(M2193=0,P2193=0),"▶ NEXT","")</f>
        <v/>
      </c>
      <c r="L2193" s="4" t="n">
        <f aca="false">INDEX('Master List'!$F$2:$F$2594,O2193)</f>
        <v>4</v>
      </c>
      <c r="M2193" s="4" t="n">
        <f aca="false">INDEX('Master List'!$G$2:$G$2594,O2193)</f>
        <v>1</v>
      </c>
      <c r="N2193" s="4" t="str">
        <f aca="false">IF(K2193="","",A2193)</f>
        <v/>
      </c>
      <c r="O2193" s="4" t="n">
        <v>580</v>
      </c>
      <c r="P2193" s="4" t="n">
        <f aca="false">IF(A2193=A2192,P2192+1-M2192,0)</f>
        <v>0</v>
      </c>
    </row>
    <row r="2194" customFormat="false" ht="15" hidden="false" customHeight="false" outlineLevel="0" collapsed="false">
      <c r="A2194" s="30" t="s">
        <v>4214</v>
      </c>
      <c r="B2194" s="30" t="s">
        <v>53</v>
      </c>
      <c r="C2194" s="30" t="s">
        <v>104</v>
      </c>
      <c r="D2194" s="30" t="s">
        <v>361</v>
      </c>
      <c r="E2194" s="4" t="n">
        <v>2</v>
      </c>
      <c r="F2194" s="4" t="s">
        <v>144</v>
      </c>
      <c r="G2194" s="7" t="s">
        <v>481</v>
      </c>
      <c r="H2194" s="4" t="n">
        <v>1973</v>
      </c>
      <c r="I2194" s="4" t="s">
        <v>361</v>
      </c>
      <c r="J2194" s="25" t="str">
        <f aca="false">IF(M2194=1,"✓","")</f>
        <v>✓</v>
      </c>
      <c r="K2194" s="4" t="str">
        <f aca="false">IF(AND(M2194=0,P2194=0),"▶ NEXT","")</f>
        <v/>
      </c>
      <c r="L2194" s="4" t="n">
        <f aca="false">INDEX('Master List'!$F$2:$F$2594,O2194)</f>
        <v>3</v>
      </c>
      <c r="M2194" s="4" t="n">
        <f aca="false">INDEX('Master List'!$G$2:$G$2594,O2194)</f>
        <v>1</v>
      </c>
      <c r="N2194" s="4" t="str">
        <f aca="false">IF(K2194="","",A2194)</f>
        <v/>
      </c>
      <c r="O2194" s="4" t="n">
        <v>172</v>
      </c>
      <c r="P2194" s="4" t="n">
        <f aca="false">IF(A2194=A2193,P2193+1-M2193,0)</f>
        <v>0</v>
      </c>
    </row>
    <row r="2195" customFormat="false" ht="15" hidden="false" customHeight="false" outlineLevel="0" collapsed="false">
      <c r="A2195" s="30" t="s">
        <v>4214</v>
      </c>
      <c r="B2195" s="30" t="s">
        <v>53</v>
      </c>
      <c r="C2195" s="30" t="s">
        <v>104</v>
      </c>
      <c r="D2195" s="30" t="s">
        <v>361</v>
      </c>
      <c r="E2195" s="4" t="n">
        <v>3</v>
      </c>
      <c r="F2195" s="4" t="s">
        <v>213</v>
      </c>
      <c r="G2195" s="4" t="s">
        <v>625</v>
      </c>
      <c r="H2195" s="4" t="n">
        <v>1998</v>
      </c>
      <c r="I2195" s="4" t="s">
        <v>361</v>
      </c>
      <c r="J2195" s="25" t="str">
        <f aca="false">IF(M2195=1,"✓","")</f>
        <v>✓</v>
      </c>
      <c r="K2195" s="4" t="str">
        <f aca="false">IF(AND(M2195=0,P2195=0),"▶ NEXT","")</f>
        <v/>
      </c>
      <c r="L2195" s="4" t="n">
        <f aca="false">INDEX('Master List'!$F$2:$F$2594,O2195)</f>
        <v>3</v>
      </c>
      <c r="M2195" s="4" t="n">
        <f aca="false">INDEX('Master List'!$G$2:$G$2594,O2195)</f>
        <v>1</v>
      </c>
      <c r="N2195" s="4" t="str">
        <f aca="false">IF(K2195="","",A2195)</f>
        <v/>
      </c>
      <c r="O2195" s="4" t="n">
        <v>2277</v>
      </c>
      <c r="P2195" s="4" t="n">
        <f aca="false">IF(A2195=A2194,P2194+1-M2194,0)</f>
        <v>0</v>
      </c>
    </row>
    <row r="2196" customFormat="false" ht="15" hidden="false" customHeight="false" outlineLevel="0" collapsed="false">
      <c r="A2196" s="30" t="s">
        <v>4214</v>
      </c>
      <c r="B2196" s="30" t="s">
        <v>53</v>
      </c>
      <c r="C2196" s="30" t="s">
        <v>104</v>
      </c>
      <c r="D2196" s="30" t="s">
        <v>361</v>
      </c>
      <c r="E2196" s="4" t="n">
        <v>4</v>
      </c>
      <c r="F2196" s="4" t="s">
        <v>213</v>
      </c>
      <c r="G2196" s="4" t="s">
        <v>2839</v>
      </c>
      <c r="H2196" s="4" t="n">
        <v>2005</v>
      </c>
      <c r="I2196" s="4" t="s">
        <v>361</v>
      </c>
      <c r="J2196" s="25" t="str">
        <f aca="false">IF(M2196=1,"✓","")</f>
        <v/>
      </c>
      <c r="K2196" s="4" t="str">
        <f aca="false">IF(AND(M2196=0,P2196=0),"▶ NEXT","")</f>
        <v>▶ NEXT</v>
      </c>
      <c r="L2196" s="4" t="n">
        <f aca="false">INDEX('Master List'!$F$2:$F$2594,O2196)</f>
        <v>1</v>
      </c>
      <c r="M2196" s="4" t="n">
        <f aca="false">INDEX('Master List'!$G$2:$G$2594,O2196)</f>
        <v>0</v>
      </c>
      <c r="N2196" s="4" t="str">
        <f aca="false">IF(K2196="","",A2196)</f>
        <v>N181</v>
      </c>
      <c r="O2196" s="4" t="n">
        <v>1597</v>
      </c>
      <c r="P2196" s="4" t="n">
        <f aca="false">IF(A2196=A2195,P2195+1-M2195,0)</f>
        <v>0</v>
      </c>
    </row>
    <row r="2197" customFormat="false" ht="15" hidden="false" customHeight="false" outlineLevel="0" collapsed="false">
      <c r="A2197" s="30" t="s">
        <v>4214</v>
      </c>
      <c r="B2197" s="30" t="s">
        <v>53</v>
      </c>
      <c r="C2197" s="30" t="s">
        <v>104</v>
      </c>
      <c r="D2197" s="30" t="s">
        <v>361</v>
      </c>
      <c r="E2197" s="4" t="n">
        <v>5</v>
      </c>
      <c r="F2197" s="4" t="s">
        <v>213</v>
      </c>
      <c r="G2197" s="4" t="s">
        <v>1198</v>
      </c>
      <c r="H2197" s="4" t="n">
        <v>2011</v>
      </c>
      <c r="I2197" s="4" t="s">
        <v>361</v>
      </c>
      <c r="J2197" s="25" t="str">
        <f aca="false">IF(M2197=1,"✓","")</f>
        <v>✓</v>
      </c>
      <c r="K2197" s="4" t="str">
        <f aca="false">IF(AND(M2197=0,P2197=0),"▶ NEXT","")</f>
        <v/>
      </c>
      <c r="L2197" s="4" t="n">
        <f aca="false">INDEX('Master List'!$F$2:$F$2594,O2197)</f>
        <v>2</v>
      </c>
      <c r="M2197" s="4" t="n">
        <f aca="false">INDEX('Master List'!$G$2:$G$2594,O2197)</f>
        <v>1</v>
      </c>
      <c r="N2197" s="4" t="str">
        <f aca="false">IF(K2197="","",A2197)</f>
        <v/>
      </c>
      <c r="O2197" s="4" t="n">
        <v>2363</v>
      </c>
      <c r="P2197" s="4" t="n">
        <f aca="false">IF(A2197=A2196,P2196+1-M2196,0)</f>
        <v>1</v>
      </c>
    </row>
    <row r="2198" customFormat="false" ht="15" hidden="false" customHeight="false" outlineLevel="0" collapsed="false">
      <c r="A2198" s="30" t="s">
        <v>4214</v>
      </c>
      <c r="B2198" s="30" t="s">
        <v>53</v>
      </c>
      <c r="C2198" s="30" t="s">
        <v>104</v>
      </c>
      <c r="D2198" s="30" t="s">
        <v>361</v>
      </c>
      <c r="E2198" s="4" t="n">
        <v>6</v>
      </c>
      <c r="F2198" s="4" t="s">
        <v>213</v>
      </c>
      <c r="G2198" s="4" t="s">
        <v>651</v>
      </c>
      <c r="H2198" s="4" t="n">
        <v>2019</v>
      </c>
      <c r="I2198" s="4" t="s">
        <v>361</v>
      </c>
      <c r="J2198" s="25" t="str">
        <f aca="false">IF(M2198=1,"✓","")</f>
        <v/>
      </c>
      <c r="K2198" s="4" t="str">
        <f aca="false">IF(AND(M2198=0,P2198=0),"▶ NEXT","")</f>
        <v/>
      </c>
      <c r="L2198" s="4" t="n">
        <f aca="false">INDEX('Master List'!$F$2:$F$2594,O2198)</f>
        <v>3</v>
      </c>
      <c r="M2198" s="4" t="n">
        <f aca="false">INDEX('Master List'!$G$2:$G$2594,O2198)</f>
        <v>0</v>
      </c>
      <c r="N2198" s="4" t="str">
        <f aca="false">IF(K2198="","",A2198)</f>
        <v/>
      </c>
      <c r="O2198" s="4" t="n">
        <v>1031</v>
      </c>
      <c r="P2198" s="4" t="n">
        <f aca="false">IF(A2198=A2197,P2197+1-M2197,0)</f>
        <v>1</v>
      </c>
    </row>
    <row r="2199" customFormat="false" ht="15" hidden="false" customHeight="false" outlineLevel="0" collapsed="false">
      <c r="A2199" s="30" t="s">
        <v>4214</v>
      </c>
      <c r="B2199" s="30" t="s">
        <v>53</v>
      </c>
      <c r="C2199" s="30" t="s">
        <v>104</v>
      </c>
      <c r="D2199" s="30" t="s">
        <v>361</v>
      </c>
      <c r="E2199" s="4" t="n">
        <v>7</v>
      </c>
      <c r="F2199" s="4" t="s">
        <v>1327</v>
      </c>
      <c r="G2199" s="4" t="s">
        <v>3804</v>
      </c>
      <c r="H2199" s="4" t="n">
        <v>2012</v>
      </c>
      <c r="I2199" s="4" t="s">
        <v>361</v>
      </c>
      <c r="J2199" s="25" t="str">
        <f aca="false">IF(M2199=1,"✓","")</f>
        <v/>
      </c>
      <c r="K2199" s="4" t="str">
        <f aca="false">IF(AND(M2199=0,P2199=0),"▶ NEXT","")</f>
        <v/>
      </c>
      <c r="L2199" s="4" t="n">
        <f aca="false">INDEX('Master List'!$F$2:$F$2594,O2199)</f>
        <v>1</v>
      </c>
      <c r="M2199" s="4" t="n">
        <f aca="false">INDEX('Master List'!$G$2:$G$2594,O2199)</f>
        <v>0</v>
      </c>
      <c r="N2199" s="4" t="str">
        <f aca="false">IF(K2199="","",A2199)</f>
        <v/>
      </c>
      <c r="O2199" s="4" t="n">
        <v>2323</v>
      </c>
      <c r="P2199" s="4" t="n">
        <f aca="false">IF(A2199=A2198,P2198+1-M2198,0)</f>
        <v>2</v>
      </c>
    </row>
    <row r="2200" customFormat="false" ht="15" hidden="false" customHeight="false" outlineLevel="0" collapsed="false">
      <c r="A2200" s="30" t="s">
        <v>4214</v>
      </c>
      <c r="B2200" s="30" t="s">
        <v>53</v>
      </c>
      <c r="C2200" s="30" t="s">
        <v>104</v>
      </c>
      <c r="D2200" s="30" t="s">
        <v>361</v>
      </c>
      <c r="E2200" s="4" t="n">
        <v>8</v>
      </c>
      <c r="F2200" s="4" t="s">
        <v>1327</v>
      </c>
      <c r="G2200" s="4" t="s">
        <v>3827</v>
      </c>
      <c r="H2200" s="4" t="n">
        <v>2015</v>
      </c>
      <c r="I2200" s="4" t="s">
        <v>361</v>
      </c>
      <c r="J2200" s="25" t="str">
        <f aca="false">IF(M2200=1,"✓","")</f>
        <v/>
      </c>
      <c r="K2200" s="4" t="str">
        <f aca="false">IF(AND(M2200=0,P2200=0),"▶ NEXT","")</f>
        <v/>
      </c>
      <c r="L2200" s="4" t="n">
        <f aca="false">INDEX('Master List'!$F$2:$F$2594,O2200)</f>
        <v>1</v>
      </c>
      <c r="M2200" s="4" t="n">
        <f aca="false">INDEX('Master List'!$G$2:$G$2594,O2200)</f>
        <v>0</v>
      </c>
      <c r="N2200" s="4" t="str">
        <f aca="false">IF(K2200="","",A2200)</f>
        <v/>
      </c>
      <c r="O2200" s="4" t="n">
        <v>1269</v>
      </c>
      <c r="P2200" s="4" t="n">
        <f aca="false">IF(A2200=A2199,P2199+1-M2199,0)</f>
        <v>3</v>
      </c>
    </row>
    <row r="2201" customFormat="false" ht="15" hidden="false" customHeight="false" outlineLevel="0" collapsed="false">
      <c r="A2201" s="30" t="s">
        <v>4214</v>
      </c>
      <c r="B2201" s="30" t="s">
        <v>53</v>
      </c>
      <c r="C2201" s="30" t="s">
        <v>104</v>
      </c>
      <c r="D2201" s="30" t="s">
        <v>361</v>
      </c>
      <c r="E2201" s="4" t="n">
        <v>9</v>
      </c>
      <c r="F2201" s="4" t="s">
        <v>1327</v>
      </c>
      <c r="G2201" s="4" t="s">
        <v>3833</v>
      </c>
      <c r="H2201" s="4" t="n">
        <v>2016</v>
      </c>
      <c r="I2201" s="4" t="s">
        <v>361</v>
      </c>
      <c r="J2201" s="25" t="str">
        <f aca="false">IF(M2201=1,"✓","")</f>
        <v/>
      </c>
      <c r="K2201" s="4" t="str">
        <f aca="false">IF(AND(M2201=0,P2201=0),"▶ NEXT","")</f>
        <v/>
      </c>
      <c r="L2201" s="4" t="n">
        <f aca="false">INDEX('Master List'!$F$2:$F$2594,O2201)</f>
        <v>1</v>
      </c>
      <c r="M2201" s="4" t="n">
        <f aca="false">INDEX('Master List'!$G$2:$G$2594,O2201)</f>
        <v>0</v>
      </c>
      <c r="N2201" s="4" t="str">
        <f aca="false">IF(K2201="","",A2201)</f>
        <v/>
      </c>
      <c r="O2201" s="4" t="n">
        <v>2444</v>
      </c>
      <c r="P2201" s="4" t="n">
        <f aca="false">IF(A2201=A2200,P2200+1-M2200,0)</f>
        <v>4</v>
      </c>
    </row>
    <row r="2202" customFormat="false" ht="15" hidden="false" customHeight="false" outlineLevel="0" collapsed="false">
      <c r="A2202" s="30" t="s">
        <v>4215</v>
      </c>
      <c r="B2202" s="30" t="s">
        <v>53</v>
      </c>
      <c r="C2202" s="30" t="s">
        <v>104</v>
      </c>
      <c r="D2202" s="30" t="s">
        <v>4216</v>
      </c>
      <c r="E2202" s="4" t="n">
        <v>1</v>
      </c>
      <c r="F2202" s="4" t="s">
        <v>144</v>
      </c>
      <c r="G2202" s="7" t="s">
        <v>507</v>
      </c>
      <c r="H2202" s="4" t="n">
        <v>1999</v>
      </c>
      <c r="I2202" s="4" t="s">
        <v>508</v>
      </c>
      <c r="J2202" s="25" t="str">
        <f aca="false">IF(M2202=1,"✓","")</f>
        <v>✓</v>
      </c>
      <c r="K2202" s="4" t="str">
        <f aca="false">IF(AND(M2202=0,P2202=0),"▶ NEXT","")</f>
        <v/>
      </c>
      <c r="L2202" s="4" t="n">
        <f aca="false">INDEX('Master List'!$F$2:$F$2594,O2202)</f>
        <v>3</v>
      </c>
      <c r="M2202" s="4" t="n">
        <f aca="false">INDEX('Master List'!$G$2:$G$2594,O2202)</f>
        <v>1</v>
      </c>
      <c r="N2202" s="4" t="str">
        <f aca="false">IF(K2202="","",A2202)</f>
        <v/>
      </c>
      <c r="O2202" s="4" t="n">
        <v>217</v>
      </c>
      <c r="P2202" s="4" t="n">
        <f aca="false">IF(A2202=A2201,P2201+1-M2201,0)</f>
        <v>0</v>
      </c>
    </row>
    <row r="2203" customFormat="false" ht="15" hidden="false" customHeight="false" outlineLevel="0" collapsed="false">
      <c r="A2203" s="30" t="s">
        <v>4215</v>
      </c>
      <c r="B2203" s="30" t="s">
        <v>53</v>
      </c>
      <c r="C2203" s="30" t="s">
        <v>104</v>
      </c>
      <c r="D2203" s="30" t="s">
        <v>4216</v>
      </c>
      <c r="E2203" s="4" t="n">
        <v>2</v>
      </c>
      <c r="F2203" s="4" t="s">
        <v>144</v>
      </c>
      <c r="G2203" s="7" t="s">
        <v>510</v>
      </c>
      <c r="H2203" s="4" t="n">
        <v>2004</v>
      </c>
      <c r="I2203" s="4" t="s">
        <v>511</v>
      </c>
      <c r="J2203" s="25" t="str">
        <f aca="false">IF(M2203=1,"✓","")</f>
        <v>✓</v>
      </c>
      <c r="K2203" s="4" t="str">
        <f aca="false">IF(AND(M2203=0,P2203=0),"▶ NEXT","")</f>
        <v/>
      </c>
      <c r="L2203" s="4" t="n">
        <f aca="false">INDEX('Master List'!$F$2:$F$2594,O2203)</f>
        <v>3</v>
      </c>
      <c r="M2203" s="4" t="n">
        <f aca="false">INDEX('Master List'!$G$2:$G$2594,O2203)</f>
        <v>1</v>
      </c>
      <c r="N2203" s="4" t="str">
        <f aca="false">IF(K2203="","",A2203)</f>
        <v/>
      </c>
      <c r="O2203" s="4" t="n">
        <v>745</v>
      </c>
      <c r="P2203" s="4" t="n">
        <f aca="false">IF(A2203=A2202,P2202+1-M2202,0)</f>
        <v>0</v>
      </c>
    </row>
    <row r="2204" customFormat="false" ht="15" hidden="false" customHeight="false" outlineLevel="0" collapsed="false">
      <c r="A2204" s="30" t="s">
        <v>4215</v>
      </c>
      <c r="B2204" s="30" t="s">
        <v>53</v>
      </c>
      <c r="C2204" s="30" t="s">
        <v>104</v>
      </c>
      <c r="D2204" s="30" t="s">
        <v>4216</v>
      </c>
      <c r="E2204" s="4" t="n">
        <v>3</v>
      </c>
      <c r="F2204" s="4" t="s">
        <v>213</v>
      </c>
      <c r="G2204" s="4" t="s">
        <v>1163</v>
      </c>
      <c r="H2204" s="4" t="n">
        <v>2002</v>
      </c>
      <c r="I2204" s="4" t="s">
        <v>508</v>
      </c>
      <c r="J2204" s="25" t="str">
        <f aca="false">IF(M2204=1,"✓","")</f>
        <v>✓</v>
      </c>
      <c r="K2204" s="4" t="str">
        <f aca="false">IF(AND(M2204=0,P2204=0),"▶ NEXT","")</f>
        <v/>
      </c>
      <c r="L2204" s="4" t="n">
        <f aca="false">INDEX('Master List'!$F$2:$F$2594,O2204)</f>
        <v>2</v>
      </c>
      <c r="M2204" s="4" t="n">
        <f aca="false">INDEX('Master List'!$G$2:$G$2594,O2204)</f>
        <v>1</v>
      </c>
      <c r="N2204" s="4" t="str">
        <f aca="false">IF(K2204="","",A2204)</f>
        <v/>
      </c>
      <c r="O2204" s="4" t="n">
        <v>42</v>
      </c>
      <c r="P2204" s="4" t="n">
        <f aca="false">IF(A2204=A2203,P2203+1-M2203,0)</f>
        <v>0</v>
      </c>
    </row>
    <row r="2205" customFormat="false" ht="15" hidden="false" customHeight="false" outlineLevel="0" collapsed="false">
      <c r="A2205" s="30" t="s">
        <v>4215</v>
      </c>
      <c r="B2205" s="30" t="s">
        <v>53</v>
      </c>
      <c r="C2205" s="30" t="s">
        <v>104</v>
      </c>
      <c r="D2205" s="30" t="s">
        <v>4216</v>
      </c>
      <c r="E2205" s="4" t="n">
        <v>4</v>
      </c>
      <c r="F2205" s="4" t="s">
        <v>213</v>
      </c>
      <c r="G2205" s="4" t="s">
        <v>2780</v>
      </c>
      <c r="H2205" s="4" t="n">
        <v>2002</v>
      </c>
      <c r="I2205" s="4" t="s">
        <v>2781</v>
      </c>
      <c r="J2205" s="25" t="str">
        <f aca="false">IF(M2205=1,"✓","")</f>
        <v/>
      </c>
      <c r="K2205" s="4" t="str">
        <f aca="false">IF(AND(M2205=0,P2205=0),"▶ NEXT","")</f>
        <v>▶ NEXT</v>
      </c>
      <c r="L2205" s="4" t="n">
        <f aca="false">INDEX('Master List'!$F$2:$F$2594,O2205)</f>
        <v>1</v>
      </c>
      <c r="M2205" s="4" t="n">
        <f aca="false">INDEX('Master List'!$G$2:$G$2594,O2205)</f>
        <v>0</v>
      </c>
      <c r="N2205" s="4" t="str">
        <f aca="false">IF(K2205="","",A2205)</f>
        <v>N182</v>
      </c>
      <c r="O2205" s="4" t="n">
        <v>512</v>
      </c>
      <c r="P2205" s="4" t="n">
        <f aca="false">IF(A2205=A2204,P2204+1-M2204,0)</f>
        <v>0</v>
      </c>
    </row>
    <row r="2206" customFormat="false" ht="15" hidden="false" customHeight="false" outlineLevel="0" collapsed="false">
      <c r="A2206" s="30" t="s">
        <v>4215</v>
      </c>
      <c r="B2206" s="30" t="s">
        <v>53</v>
      </c>
      <c r="C2206" s="30" t="s">
        <v>104</v>
      </c>
      <c r="D2206" s="30" t="s">
        <v>4216</v>
      </c>
      <c r="E2206" s="4" t="n">
        <v>5</v>
      </c>
      <c r="F2206" s="4" t="s">
        <v>213</v>
      </c>
      <c r="G2206" s="4" t="s">
        <v>1186</v>
      </c>
      <c r="H2206" s="4" t="n">
        <v>2008</v>
      </c>
      <c r="I2206" s="4" t="s">
        <v>1187</v>
      </c>
      <c r="J2206" s="25" t="str">
        <f aca="false">IF(M2206=1,"✓","")</f>
        <v>✓</v>
      </c>
      <c r="K2206" s="4" t="str">
        <f aca="false">IF(AND(M2206=0,P2206=0),"▶ NEXT","")</f>
        <v/>
      </c>
      <c r="L2206" s="4" t="n">
        <f aca="false">INDEX('Master List'!$F$2:$F$2594,O2206)</f>
        <v>2</v>
      </c>
      <c r="M2206" s="4" t="n">
        <f aca="false">INDEX('Master List'!$G$2:$G$2594,O2206)</f>
        <v>1</v>
      </c>
      <c r="N2206" s="4" t="str">
        <f aca="false">IF(K2206="","",A2206)</f>
        <v/>
      </c>
      <c r="O2206" s="4" t="n">
        <v>2225</v>
      </c>
      <c r="P2206" s="4" t="n">
        <f aca="false">IF(A2206=A2205,P2205+1-M2205,0)</f>
        <v>1</v>
      </c>
    </row>
    <row r="2207" customFormat="false" ht="15" hidden="false" customHeight="false" outlineLevel="0" collapsed="false">
      <c r="A2207" s="30" t="s">
        <v>4215</v>
      </c>
      <c r="B2207" s="30" t="s">
        <v>53</v>
      </c>
      <c r="C2207" s="30" t="s">
        <v>104</v>
      </c>
      <c r="D2207" s="30" t="s">
        <v>4216</v>
      </c>
      <c r="E2207" s="4" t="n">
        <v>6</v>
      </c>
      <c r="F2207" s="4" t="s">
        <v>213</v>
      </c>
      <c r="G2207" s="4" t="s">
        <v>647</v>
      </c>
      <c r="H2207" s="4" t="n">
        <v>2015</v>
      </c>
      <c r="I2207" s="4" t="s">
        <v>648</v>
      </c>
      <c r="J2207" s="25" t="str">
        <f aca="false">IF(M2207=1,"✓","")</f>
        <v/>
      </c>
      <c r="K2207" s="4" t="str">
        <f aca="false">IF(AND(M2207=0,P2207=0),"▶ NEXT","")</f>
        <v/>
      </c>
      <c r="L2207" s="4" t="n">
        <f aca="false">INDEX('Master List'!$F$2:$F$2594,O2207)</f>
        <v>3</v>
      </c>
      <c r="M2207" s="4" t="n">
        <f aca="false">INDEX('Master List'!$G$2:$G$2594,O2207)</f>
        <v>0</v>
      </c>
      <c r="N2207" s="4" t="str">
        <f aca="false">IF(K2207="","",A2207)</f>
        <v/>
      </c>
      <c r="O2207" s="4" t="n">
        <v>114</v>
      </c>
      <c r="P2207" s="4" t="n">
        <f aca="false">IF(A2207=A2206,P2206+1-M2206,0)</f>
        <v>1</v>
      </c>
    </row>
    <row r="2208" customFormat="false" ht="15" hidden="false" customHeight="false" outlineLevel="0" collapsed="false">
      <c r="A2208" s="30" t="s">
        <v>4215</v>
      </c>
      <c r="B2208" s="30" t="s">
        <v>53</v>
      </c>
      <c r="C2208" s="30" t="s">
        <v>104</v>
      </c>
      <c r="D2208" s="30" t="s">
        <v>4216</v>
      </c>
      <c r="E2208" s="4" t="n">
        <v>7</v>
      </c>
      <c r="F2208" s="4" t="s">
        <v>213</v>
      </c>
      <c r="G2208" s="4" t="s">
        <v>3194</v>
      </c>
      <c r="H2208" s="4" t="n">
        <v>2020</v>
      </c>
      <c r="I2208" s="4" t="s">
        <v>1187</v>
      </c>
      <c r="J2208" s="25" t="str">
        <f aca="false">IF(M2208=1,"✓","")</f>
        <v>✓</v>
      </c>
      <c r="K2208" s="4" t="str">
        <f aca="false">IF(AND(M2208=0,P2208=0),"▶ NEXT","")</f>
        <v/>
      </c>
      <c r="L2208" s="4" t="n">
        <f aca="false">INDEX('Master List'!$F$2:$F$2594,O2208)</f>
        <v>1</v>
      </c>
      <c r="M2208" s="4" t="n">
        <f aca="false">INDEX('Master List'!$G$2:$G$2594,O2208)</f>
        <v>1</v>
      </c>
      <c r="N2208" s="4" t="str">
        <f aca="false">IF(K2208="","",A2208)</f>
        <v/>
      </c>
      <c r="O2208" s="4" t="n">
        <v>1106</v>
      </c>
      <c r="P2208" s="4" t="n">
        <f aca="false">IF(A2208=A2207,P2207+1-M2207,0)</f>
        <v>2</v>
      </c>
    </row>
    <row r="2209" customFormat="false" ht="15" hidden="false" customHeight="false" outlineLevel="0" collapsed="false">
      <c r="A2209" s="30" t="s">
        <v>4215</v>
      </c>
      <c r="B2209" s="30" t="s">
        <v>53</v>
      </c>
      <c r="C2209" s="30" t="s">
        <v>104</v>
      </c>
      <c r="D2209" s="30" t="s">
        <v>4216</v>
      </c>
      <c r="E2209" s="4" t="n">
        <v>8</v>
      </c>
      <c r="F2209" s="4" t="s">
        <v>1327</v>
      </c>
      <c r="G2209" s="4" t="s">
        <v>3724</v>
      </c>
      <c r="H2209" s="4" t="n">
        <v>2001</v>
      </c>
      <c r="I2209" s="4" t="s">
        <v>511</v>
      </c>
      <c r="J2209" s="25" t="str">
        <f aca="false">IF(M2209=1,"✓","")</f>
        <v/>
      </c>
      <c r="K2209" s="4" t="str">
        <f aca="false">IF(AND(M2209=0,P2209=0),"▶ NEXT","")</f>
        <v/>
      </c>
      <c r="L2209" s="4" t="n">
        <f aca="false">INDEX('Master List'!$F$2:$F$2594,O2209)</f>
        <v>1</v>
      </c>
      <c r="M2209" s="4" t="n">
        <f aca="false">INDEX('Master List'!$G$2:$G$2594,O2209)</f>
        <v>0</v>
      </c>
      <c r="N2209" s="4" t="str">
        <f aca="false">IF(K2209="","",A2209)</f>
        <v/>
      </c>
      <c r="O2209" s="4" t="n">
        <v>1084</v>
      </c>
      <c r="P2209" s="4" t="n">
        <f aca="false">IF(A2209=A2208,P2208+1-M2208,0)</f>
        <v>2</v>
      </c>
    </row>
    <row r="2210" customFormat="false" ht="15" hidden="false" customHeight="false" outlineLevel="0" collapsed="false">
      <c r="A2210" s="30" t="s">
        <v>4217</v>
      </c>
      <c r="B2210" s="30" t="s">
        <v>53</v>
      </c>
      <c r="C2210" s="30" t="s">
        <v>104</v>
      </c>
      <c r="D2210" s="30" t="s">
        <v>325</v>
      </c>
      <c r="E2210" s="4" t="n">
        <v>1</v>
      </c>
      <c r="F2210" s="4" t="s">
        <v>144</v>
      </c>
      <c r="G2210" s="7" t="s">
        <v>839</v>
      </c>
      <c r="H2210" s="4" t="n">
        <v>1995</v>
      </c>
      <c r="I2210" s="4" t="s">
        <v>325</v>
      </c>
      <c r="J2210" s="25" t="str">
        <f aca="false">IF(M2210=1,"✓","")</f>
        <v>✓</v>
      </c>
      <c r="K2210" s="4" t="str">
        <f aca="false">IF(AND(M2210=0,P2210=0),"▶ NEXT","")</f>
        <v/>
      </c>
      <c r="L2210" s="4" t="n">
        <f aca="false">INDEX('Master List'!$F$2:$F$2594,O2210)</f>
        <v>2</v>
      </c>
      <c r="M2210" s="4" t="n">
        <f aca="false">INDEX('Master List'!$G$2:$G$2594,O2210)</f>
        <v>1</v>
      </c>
      <c r="N2210" s="4" t="str">
        <f aca="false">IF(K2210="","",A2210)</f>
        <v/>
      </c>
      <c r="O2210" s="4" t="n">
        <v>1996</v>
      </c>
      <c r="P2210" s="4" t="n">
        <f aca="false">IF(A2210=A2209,P2209+1-M2209,0)</f>
        <v>0</v>
      </c>
    </row>
    <row r="2211" customFormat="false" ht="15" hidden="false" customHeight="false" outlineLevel="0" collapsed="false">
      <c r="A2211" s="30" t="s">
        <v>4217</v>
      </c>
      <c r="B2211" s="30" t="s">
        <v>53</v>
      </c>
      <c r="C2211" s="30" t="s">
        <v>104</v>
      </c>
      <c r="D2211" s="30" t="s">
        <v>325</v>
      </c>
      <c r="E2211" s="4" t="n">
        <v>2</v>
      </c>
      <c r="F2211" s="4" t="s">
        <v>144</v>
      </c>
      <c r="G2211" s="7" t="s">
        <v>324</v>
      </c>
      <c r="H2211" s="4" t="n">
        <v>2007</v>
      </c>
      <c r="I2211" s="4" t="s">
        <v>325</v>
      </c>
      <c r="J2211" s="25" t="str">
        <f aca="false">IF(M2211=1,"✓","")</f>
        <v/>
      </c>
      <c r="K2211" s="4" t="str">
        <f aca="false">IF(AND(M2211=0,P2211=0),"▶ NEXT","")</f>
        <v>▶ NEXT</v>
      </c>
      <c r="L2211" s="4" t="n">
        <f aca="false">INDEX('Master List'!$F$2:$F$2594,O2211)</f>
        <v>4</v>
      </c>
      <c r="M2211" s="4" t="n">
        <f aca="false">INDEX('Master List'!$G$2:$G$2594,O2211)</f>
        <v>0</v>
      </c>
      <c r="N2211" s="4" t="str">
        <f aca="false">IF(K2211="","",A2211)</f>
        <v>N183</v>
      </c>
      <c r="O2211" s="4" t="n">
        <v>2588</v>
      </c>
      <c r="P2211" s="4" t="n">
        <f aca="false">IF(A2211=A2210,P2210+1-M2210,0)</f>
        <v>0</v>
      </c>
    </row>
    <row r="2212" customFormat="false" ht="15" hidden="false" customHeight="false" outlineLevel="0" collapsed="false">
      <c r="A2212" s="30" t="s">
        <v>4217</v>
      </c>
      <c r="B2212" s="30" t="s">
        <v>53</v>
      </c>
      <c r="C2212" s="30" t="s">
        <v>104</v>
      </c>
      <c r="D2212" s="30" t="s">
        <v>325</v>
      </c>
      <c r="E2212" s="4" t="n">
        <v>3</v>
      </c>
      <c r="F2212" s="4" t="s">
        <v>213</v>
      </c>
      <c r="G2212" s="4" t="s">
        <v>622</v>
      </c>
      <c r="H2212" s="4" t="n">
        <v>1997</v>
      </c>
      <c r="I2212" s="4" t="s">
        <v>325</v>
      </c>
      <c r="J2212" s="25" t="str">
        <f aca="false">IF(M2212=1,"✓","")</f>
        <v>✓</v>
      </c>
      <c r="K2212" s="4" t="str">
        <f aca="false">IF(AND(M2212=0,P2212=0),"▶ NEXT","")</f>
        <v/>
      </c>
      <c r="L2212" s="4" t="n">
        <f aca="false">INDEX('Master List'!$F$2:$F$2594,O2212)</f>
        <v>3</v>
      </c>
      <c r="M2212" s="4" t="n">
        <f aca="false">INDEX('Master List'!$G$2:$G$2594,O2212)</f>
        <v>1</v>
      </c>
      <c r="N2212" s="4" t="str">
        <f aca="false">IF(K2212="","",A2212)</f>
        <v/>
      </c>
      <c r="O2212" s="4" t="n">
        <v>874</v>
      </c>
      <c r="P2212" s="4" t="n">
        <f aca="false">IF(A2212=A2211,P2211+1-M2211,0)</f>
        <v>1</v>
      </c>
    </row>
    <row r="2213" customFormat="false" ht="15" hidden="false" customHeight="false" outlineLevel="0" collapsed="false">
      <c r="A2213" s="30" t="s">
        <v>4217</v>
      </c>
      <c r="B2213" s="30" t="s">
        <v>53</v>
      </c>
      <c r="C2213" s="30" t="s">
        <v>104</v>
      </c>
      <c r="D2213" s="30" t="s">
        <v>325</v>
      </c>
      <c r="E2213" s="4" t="n">
        <v>4</v>
      </c>
      <c r="F2213" s="4" t="s">
        <v>213</v>
      </c>
      <c r="G2213" s="4" t="s">
        <v>849</v>
      </c>
      <c r="H2213" s="4" t="n">
        <v>1999</v>
      </c>
      <c r="I2213" s="4" t="s">
        <v>325</v>
      </c>
      <c r="J2213" s="25" t="str">
        <f aca="false">IF(M2213=1,"✓","")</f>
        <v>✓</v>
      </c>
      <c r="K2213" s="4" t="str">
        <f aca="false">IF(AND(M2213=0,P2213=0),"▶ NEXT","")</f>
        <v/>
      </c>
      <c r="L2213" s="4" t="n">
        <f aca="false">INDEX('Master List'!$F$2:$F$2594,O2213)</f>
        <v>2</v>
      </c>
      <c r="M2213" s="4" t="n">
        <f aca="false">INDEX('Master List'!$G$2:$G$2594,O2213)</f>
        <v>1</v>
      </c>
      <c r="N2213" s="4" t="str">
        <f aca="false">IF(K2213="","",A2213)</f>
        <v/>
      </c>
      <c r="O2213" s="4" t="n">
        <v>804</v>
      </c>
      <c r="P2213" s="4" t="n">
        <f aca="false">IF(A2213=A2212,P2212+1-M2212,0)</f>
        <v>1</v>
      </c>
    </row>
    <row r="2214" customFormat="false" ht="15" hidden="false" customHeight="false" outlineLevel="0" collapsed="false">
      <c r="A2214" s="30" t="s">
        <v>4217</v>
      </c>
      <c r="B2214" s="30" t="s">
        <v>53</v>
      </c>
      <c r="C2214" s="30" t="s">
        <v>104</v>
      </c>
      <c r="D2214" s="30" t="s">
        <v>325</v>
      </c>
      <c r="E2214" s="4" t="n">
        <v>5</v>
      </c>
      <c r="F2214" s="4" t="s">
        <v>213</v>
      </c>
      <c r="G2214" s="4" t="s">
        <v>2782</v>
      </c>
      <c r="H2214" s="4" t="n">
        <v>2002</v>
      </c>
      <c r="I2214" s="4" t="s">
        <v>325</v>
      </c>
      <c r="J2214" s="25" t="str">
        <f aca="false">IF(M2214=1,"✓","")</f>
        <v/>
      </c>
      <c r="K2214" s="4" t="str">
        <f aca="false">IF(AND(M2214=0,P2214=0),"▶ NEXT","")</f>
        <v/>
      </c>
      <c r="L2214" s="4" t="n">
        <f aca="false">INDEX('Master List'!$F$2:$F$2594,O2214)</f>
        <v>1</v>
      </c>
      <c r="M2214" s="4" t="n">
        <f aca="false">INDEX('Master List'!$G$2:$G$2594,O2214)</f>
        <v>0</v>
      </c>
      <c r="N2214" s="4" t="str">
        <f aca="false">IF(K2214="","",A2214)</f>
        <v/>
      </c>
      <c r="O2214" s="4" t="n">
        <v>1713</v>
      </c>
      <c r="P2214" s="4" t="n">
        <f aca="false">IF(A2214=A2213,P2213+1-M2213,0)</f>
        <v>1</v>
      </c>
    </row>
    <row r="2215" customFormat="false" ht="15" hidden="false" customHeight="false" outlineLevel="0" collapsed="false">
      <c r="A2215" s="30" t="s">
        <v>4217</v>
      </c>
      <c r="B2215" s="30" t="s">
        <v>53</v>
      </c>
      <c r="C2215" s="30" t="s">
        <v>104</v>
      </c>
      <c r="D2215" s="30" t="s">
        <v>325</v>
      </c>
      <c r="E2215" s="4" t="n">
        <v>6</v>
      </c>
      <c r="F2215" s="4" t="s">
        <v>213</v>
      </c>
      <c r="G2215" s="4" t="s">
        <v>640</v>
      </c>
      <c r="H2215" s="4" t="n">
        <v>2010</v>
      </c>
      <c r="I2215" s="4" t="s">
        <v>325</v>
      </c>
      <c r="J2215" s="25" t="str">
        <f aca="false">IF(M2215=1,"✓","")</f>
        <v>✓</v>
      </c>
      <c r="K2215" s="4" t="str">
        <f aca="false">IF(AND(M2215=0,P2215=0),"▶ NEXT","")</f>
        <v/>
      </c>
      <c r="L2215" s="4" t="n">
        <f aca="false">INDEX('Master List'!$F$2:$F$2594,O2215)</f>
        <v>3</v>
      </c>
      <c r="M2215" s="4" t="n">
        <f aca="false">INDEX('Master List'!$G$2:$G$2594,O2215)</f>
        <v>1</v>
      </c>
      <c r="N2215" s="4" t="str">
        <f aca="false">IF(K2215="","",A2215)</f>
        <v/>
      </c>
      <c r="O2215" s="4" t="n">
        <v>2102</v>
      </c>
      <c r="P2215" s="4" t="n">
        <f aca="false">IF(A2215=A2214,P2214+1-M2214,0)</f>
        <v>2</v>
      </c>
    </row>
    <row r="2216" customFormat="false" ht="15" hidden="false" customHeight="false" outlineLevel="0" collapsed="false">
      <c r="A2216" s="30" t="s">
        <v>4217</v>
      </c>
      <c r="B2216" s="30" t="s">
        <v>53</v>
      </c>
      <c r="C2216" s="30" t="s">
        <v>104</v>
      </c>
      <c r="D2216" s="30" t="s">
        <v>325</v>
      </c>
      <c r="E2216" s="4" t="n">
        <v>7</v>
      </c>
      <c r="F2216" s="4" t="s">
        <v>213</v>
      </c>
      <c r="G2216" s="4" t="s">
        <v>2975</v>
      </c>
      <c r="H2216" s="4" t="n">
        <v>2011</v>
      </c>
      <c r="I2216" s="4" t="s">
        <v>325</v>
      </c>
      <c r="J2216" s="25" t="str">
        <f aca="false">IF(M2216=1,"✓","")</f>
        <v/>
      </c>
      <c r="K2216" s="4" t="str">
        <f aca="false">IF(AND(M2216=0,P2216=0),"▶ NEXT","")</f>
        <v/>
      </c>
      <c r="L2216" s="4" t="n">
        <f aca="false">INDEX('Master List'!$F$2:$F$2594,O2216)</f>
        <v>1</v>
      </c>
      <c r="M2216" s="4" t="n">
        <f aca="false">INDEX('Master List'!$G$2:$G$2594,O2216)</f>
        <v>0</v>
      </c>
      <c r="N2216" s="4" t="str">
        <f aca="false">IF(K2216="","",A2216)</f>
        <v/>
      </c>
      <c r="O2216" s="4" t="n">
        <v>901</v>
      </c>
      <c r="P2216" s="4" t="n">
        <f aca="false">IF(A2216=A2215,P2215+1-M2215,0)</f>
        <v>2</v>
      </c>
    </row>
    <row r="2217" customFormat="false" ht="15" hidden="false" customHeight="false" outlineLevel="0" collapsed="false">
      <c r="A2217" s="30" t="s">
        <v>4217</v>
      </c>
      <c r="B2217" s="30" t="s">
        <v>53</v>
      </c>
      <c r="C2217" s="30" t="s">
        <v>104</v>
      </c>
      <c r="D2217" s="30" t="s">
        <v>325</v>
      </c>
      <c r="E2217" s="4" t="n">
        <v>8</v>
      </c>
      <c r="F2217" s="4" t="s">
        <v>213</v>
      </c>
      <c r="G2217" s="4" t="s">
        <v>1217</v>
      </c>
      <c r="H2217" s="4" t="n">
        <v>2014</v>
      </c>
      <c r="I2217" s="4" t="s">
        <v>325</v>
      </c>
      <c r="J2217" s="25" t="str">
        <f aca="false">IF(M2217=1,"✓","")</f>
        <v>✓</v>
      </c>
      <c r="K2217" s="4" t="str">
        <f aca="false">IF(AND(M2217=0,P2217=0),"▶ NEXT","")</f>
        <v/>
      </c>
      <c r="L2217" s="4" t="n">
        <f aca="false">INDEX('Master List'!$F$2:$F$2594,O2217)</f>
        <v>2</v>
      </c>
      <c r="M2217" s="4" t="n">
        <f aca="false">INDEX('Master List'!$G$2:$G$2594,O2217)</f>
        <v>1</v>
      </c>
      <c r="N2217" s="4" t="str">
        <f aca="false">IF(K2217="","",A2217)</f>
        <v/>
      </c>
      <c r="O2217" s="4" t="n">
        <v>922</v>
      </c>
      <c r="P2217" s="4" t="n">
        <f aca="false">IF(A2217=A2216,P2216+1-M2216,0)</f>
        <v>3</v>
      </c>
    </row>
    <row r="2218" customFormat="false" ht="15" hidden="false" customHeight="false" outlineLevel="0" collapsed="false">
      <c r="A2218" s="30" t="s">
        <v>4217</v>
      </c>
      <c r="B2218" s="30" t="s">
        <v>53</v>
      </c>
      <c r="C2218" s="30" t="s">
        <v>104</v>
      </c>
      <c r="D2218" s="30" t="s">
        <v>325</v>
      </c>
      <c r="E2218" s="4" t="n">
        <v>9</v>
      </c>
      <c r="F2218" s="4" t="s">
        <v>213</v>
      </c>
      <c r="G2218" s="4" t="s">
        <v>3195</v>
      </c>
      <c r="H2218" s="4" t="n">
        <v>2020</v>
      </c>
      <c r="I2218" s="4" t="s">
        <v>325</v>
      </c>
      <c r="J2218" s="25" t="str">
        <f aca="false">IF(M2218=1,"✓","")</f>
        <v/>
      </c>
      <c r="K2218" s="4" t="str">
        <f aca="false">IF(AND(M2218=0,P2218=0),"▶ NEXT","")</f>
        <v/>
      </c>
      <c r="L2218" s="4" t="n">
        <f aca="false">INDEX('Master List'!$F$2:$F$2594,O2218)</f>
        <v>1</v>
      </c>
      <c r="M2218" s="4" t="n">
        <f aca="false">INDEX('Master List'!$G$2:$G$2594,O2218)</f>
        <v>0</v>
      </c>
      <c r="N2218" s="4" t="str">
        <f aca="false">IF(K2218="","",A2218)</f>
        <v/>
      </c>
      <c r="O2218" s="4" t="n">
        <v>1441</v>
      </c>
      <c r="P2218" s="4" t="n">
        <f aca="false">IF(A2218=A2217,P2217+1-M2217,0)</f>
        <v>3</v>
      </c>
    </row>
    <row r="2219" customFormat="false" ht="15" hidden="false" customHeight="false" outlineLevel="0" collapsed="false">
      <c r="A2219" s="30" t="s">
        <v>4217</v>
      </c>
      <c r="B2219" s="30" t="s">
        <v>53</v>
      </c>
      <c r="C2219" s="30" t="s">
        <v>104</v>
      </c>
      <c r="D2219" s="30" t="s">
        <v>325</v>
      </c>
      <c r="E2219" s="4" t="n">
        <v>10</v>
      </c>
      <c r="F2219" s="4" t="s">
        <v>213</v>
      </c>
      <c r="G2219" s="4" t="s">
        <v>2489</v>
      </c>
      <c r="H2219" s="4" t="n">
        <v>2023</v>
      </c>
      <c r="I2219" s="4" t="s">
        <v>325</v>
      </c>
      <c r="J2219" s="25" t="str">
        <f aca="false">IF(M2219=1,"✓","")</f>
        <v/>
      </c>
      <c r="K2219" s="4" t="str">
        <f aca="false">IF(AND(M2219=0,P2219=0),"▶ NEXT","")</f>
        <v/>
      </c>
      <c r="L2219" s="4" t="n">
        <f aca="false">INDEX('Master List'!$F$2:$F$2594,O2219)</f>
        <v>1</v>
      </c>
      <c r="M2219" s="4" t="n">
        <f aca="false">INDEX('Master List'!$G$2:$G$2594,O2219)</f>
        <v>0</v>
      </c>
      <c r="N2219" s="4" t="str">
        <f aca="false">IF(K2219="","",A2219)</f>
        <v/>
      </c>
      <c r="O2219" s="4" t="n">
        <v>1246</v>
      </c>
      <c r="P2219" s="4" t="n">
        <f aca="false">IF(A2219=A2218,P2218+1-M2218,0)</f>
        <v>4</v>
      </c>
    </row>
    <row r="2220" customFormat="false" ht="15" hidden="false" customHeight="false" outlineLevel="0" collapsed="false">
      <c r="A2220" s="30" t="s">
        <v>4218</v>
      </c>
      <c r="B2220" s="30" t="s">
        <v>53</v>
      </c>
      <c r="C2220" s="30" t="s">
        <v>104</v>
      </c>
      <c r="D2220" s="30" t="s">
        <v>4219</v>
      </c>
      <c r="E2220" s="4" t="n">
        <v>1</v>
      </c>
      <c r="F2220" s="4" t="s">
        <v>144</v>
      </c>
      <c r="G2220" s="7" t="s">
        <v>866</v>
      </c>
      <c r="H2220" s="4" t="n">
        <v>2008</v>
      </c>
      <c r="I2220" s="4" t="s">
        <v>867</v>
      </c>
      <c r="J2220" s="25" t="str">
        <f aca="false">IF(M2220=1,"✓","")</f>
        <v/>
      </c>
      <c r="K2220" s="4" t="str">
        <f aca="false">IF(AND(M2220=0,P2220=0),"▶ NEXT","")</f>
        <v>▶ NEXT</v>
      </c>
      <c r="L2220" s="4" t="n">
        <f aca="false">INDEX('Master List'!$F$2:$F$2594,O2220)</f>
        <v>2</v>
      </c>
      <c r="M2220" s="4" t="n">
        <f aca="false">INDEX('Master List'!$G$2:$G$2594,O2220)</f>
        <v>0</v>
      </c>
      <c r="N2220" s="4" t="str">
        <f aca="false">IF(K2220="","",A2220)</f>
        <v>N184</v>
      </c>
      <c r="O2220" s="4" t="n">
        <v>2482</v>
      </c>
      <c r="P2220" s="4" t="n">
        <f aca="false">IF(A2220=A2219,P2219+1-M2219,0)</f>
        <v>0</v>
      </c>
    </row>
    <row r="2221" customFormat="false" ht="15" hidden="false" customHeight="false" outlineLevel="0" collapsed="false">
      <c r="A2221" s="30" t="s">
        <v>4218</v>
      </c>
      <c r="B2221" s="30" t="s">
        <v>53</v>
      </c>
      <c r="C2221" s="30" t="s">
        <v>104</v>
      </c>
      <c r="D2221" s="30" t="s">
        <v>4219</v>
      </c>
      <c r="E2221" s="4" t="n">
        <v>2</v>
      </c>
      <c r="F2221" s="4" t="s">
        <v>144</v>
      </c>
      <c r="G2221" s="7" t="s">
        <v>879</v>
      </c>
      <c r="H2221" s="4" t="n">
        <v>2019</v>
      </c>
      <c r="I2221" s="4" t="s">
        <v>867</v>
      </c>
      <c r="J2221" s="25" t="str">
        <f aca="false">IF(M2221=1,"✓","")</f>
        <v/>
      </c>
      <c r="K2221" s="4" t="str">
        <f aca="false">IF(AND(M2221=0,P2221=0),"▶ NEXT","")</f>
        <v/>
      </c>
      <c r="L2221" s="4" t="n">
        <f aca="false">INDEX('Master List'!$F$2:$F$2594,O2221)</f>
        <v>2</v>
      </c>
      <c r="M2221" s="4" t="n">
        <f aca="false">INDEX('Master List'!$G$2:$G$2594,O2221)</f>
        <v>0</v>
      </c>
      <c r="N2221" s="4" t="str">
        <f aca="false">IF(K2221="","",A2221)</f>
        <v/>
      </c>
      <c r="O2221" s="4" t="n">
        <v>809</v>
      </c>
      <c r="P2221" s="4" t="n">
        <f aca="false">IF(A2221=A2220,P2220+1-M2220,0)</f>
        <v>1</v>
      </c>
    </row>
    <row r="2222" customFormat="false" ht="15" hidden="false" customHeight="false" outlineLevel="0" collapsed="false">
      <c r="A2222" s="30" t="s">
        <v>4218</v>
      </c>
      <c r="B2222" s="30" t="s">
        <v>53</v>
      </c>
      <c r="C2222" s="30" t="s">
        <v>104</v>
      </c>
      <c r="D2222" s="30" t="s">
        <v>4219</v>
      </c>
      <c r="E2222" s="4" t="n">
        <v>3</v>
      </c>
      <c r="F2222" s="4" t="s">
        <v>213</v>
      </c>
      <c r="G2222" s="4" t="s">
        <v>2859</v>
      </c>
      <c r="H2222" s="4" t="n">
        <v>2006</v>
      </c>
      <c r="I2222" s="4" t="s">
        <v>867</v>
      </c>
      <c r="J2222" s="25" t="str">
        <f aca="false">IF(M2222=1,"✓","")</f>
        <v>✓</v>
      </c>
      <c r="K2222" s="4" t="str">
        <f aca="false">IF(AND(M2222=0,P2222=0),"▶ NEXT","")</f>
        <v/>
      </c>
      <c r="L2222" s="4" t="n">
        <f aca="false">INDEX('Master List'!$F$2:$F$2594,O2222)</f>
        <v>1</v>
      </c>
      <c r="M2222" s="4" t="n">
        <f aca="false">INDEX('Master List'!$G$2:$G$2594,O2222)</f>
        <v>1</v>
      </c>
      <c r="N2222" s="4" t="str">
        <f aca="false">IF(K2222="","",A2222)</f>
        <v/>
      </c>
      <c r="O2222" s="4" t="n">
        <v>1657</v>
      </c>
      <c r="P2222" s="4" t="n">
        <f aca="false">IF(A2222=A2221,P2221+1-M2221,0)</f>
        <v>2</v>
      </c>
    </row>
    <row r="2223" customFormat="false" ht="15" hidden="false" customHeight="false" outlineLevel="0" collapsed="false">
      <c r="A2223" s="30" t="s">
        <v>4218</v>
      </c>
      <c r="B2223" s="30" t="s">
        <v>53</v>
      </c>
      <c r="C2223" s="30" t="s">
        <v>104</v>
      </c>
      <c r="D2223" s="30" t="s">
        <v>4219</v>
      </c>
      <c r="E2223" s="4" t="n">
        <v>4</v>
      </c>
      <c r="F2223" s="4" t="s">
        <v>213</v>
      </c>
      <c r="G2223" s="4" t="s">
        <v>1408</v>
      </c>
      <c r="H2223" s="4" t="n">
        <v>2010</v>
      </c>
      <c r="I2223" s="4" t="s">
        <v>867</v>
      </c>
      <c r="J2223" s="25" t="str">
        <f aca="false">IF(M2223=1,"✓","")</f>
        <v/>
      </c>
      <c r="K2223" s="4" t="str">
        <f aca="false">IF(AND(M2223=0,P2223=0),"▶ NEXT","")</f>
        <v/>
      </c>
      <c r="L2223" s="4" t="n">
        <f aca="false">INDEX('Master List'!$F$2:$F$2594,O2223)</f>
        <v>2</v>
      </c>
      <c r="M2223" s="4" t="n">
        <f aca="false">INDEX('Master List'!$G$2:$G$2594,O2223)</f>
        <v>0</v>
      </c>
      <c r="N2223" s="4" t="str">
        <f aca="false">IF(K2223="","",A2223)</f>
        <v/>
      </c>
      <c r="O2223" s="4" t="n">
        <v>1471</v>
      </c>
      <c r="P2223" s="4" t="n">
        <f aca="false">IF(A2223=A2222,P2222+1-M2222,0)</f>
        <v>2</v>
      </c>
    </row>
    <row r="2224" customFormat="false" ht="15" hidden="false" customHeight="false" outlineLevel="0" collapsed="false">
      <c r="A2224" s="30" t="s">
        <v>4218</v>
      </c>
      <c r="B2224" s="30" t="s">
        <v>53</v>
      </c>
      <c r="C2224" s="30" t="s">
        <v>104</v>
      </c>
      <c r="D2224" s="30" t="s">
        <v>4219</v>
      </c>
      <c r="E2224" s="4" t="n">
        <v>5</v>
      </c>
      <c r="F2224" s="4" t="s">
        <v>213</v>
      </c>
      <c r="G2224" s="4" t="s">
        <v>3108</v>
      </c>
      <c r="H2224" s="4" t="n">
        <v>2016</v>
      </c>
      <c r="I2224" s="4" t="s">
        <v>867</v>
      </c>
      <c r="J2224" s="25" t="str">
        <f aca="false">IF(M2224=1,"✓","")</f>
        <v/>
      </c>
      <c r="K2224" s="4" t="str">
        <f aca="false">IF(AND(M2224=0,P2224=0),"▶ NEXT","")</f>
        <v/>
      </c>
      <c r="L2224" s="4" t="n">
        <f aca="false">INDEX('Master List'!$F$2:$F$2594,O2224)</f>
        <v>1</v>
      </c>
      <c r="M2224" s="4" t="n">
        <f aca="false">INDEX('Master List'!$G$2:$G$2594,O2224)</f>
        <v>0</v>
      </c>
      <c r="N2224" s="4" t="str">
        <f aca="false">IF(K2224="","",A2224)</f>
        <v/>
      </c>
      <c r="O2224" s="4" t="n">
        <v>423</v>
      </c>
      <c r="P2224" s="4" t="n">
        <f aca="false">IF(A2224=A2223,P2223+1-M2223,0)</f>
        <v>3</v>
      </c>
    </row>
    <row r="2225" customFormat="false" ht="15" hidden="false" customHeight="false" outlineLevel="0" collapsed="false">
      <c r="A2225" s="30" t="s">
        <v>4218</v>
      </c>
      <c r="B2225" s="30" t="s">
        <v>53</v>
      </c>
      <c r="C2225" s="30" t="s">
        <v>104</v>
      </c>
      <c r="D2225" s="30" t="s">
        <v>4219</v>
      </c>
      <c r="E2225" s="4" t="n">
        <v>6</v>
      </c>
      <c r="F2225" s="4" t="s">
        <v>213</v>
      </c>
      <c r="G2225" s="4" t="s">
        <v>3227</v>
      </c>
      <c r="H2225" s="4" t="n">
        <v>2022</v>
      </c>
      <c r="I2225" s="4" t="s">
        <v>867</v>
      </c>
      <c r="J2225" s="25" t="str">
        <f aca="false">IF(M2225=1,"✓","")</f>
        <v/>
      </c>
      <c r="K2225" s="4" t="str">
        <f aca="false">IF(AND(M2225=0,P2225=0),"▶ NEXT","")</f>
        <v/>
      </c>
      <c r="L2225" s="4" t="n">
        <f aca="false">INDEX('Master List'!$F$2:$F$2594,O2225)</f>
        <v>1</v>
      </c>
      <c r="M2225" s="4" t="n">
        <f aca="false">INDEX('Master List'!$G$2:$G$2594,O2225)</f>
        <v>0</v>
      </c>
      <c r="N2225" s="4" t="str">
        <f aca="false">IF(K2225="","",A2225)</f>
        <v/>
      </c>
      <c r="O2225" s="4" t="n">
        <v>2062</v>
      </c>
      <c r="P2225" s="4" t="n">
        <f aca="false">IF(A2225=A2224,P2224+1-M2224,0)</f>
        <v>4</v>
      </c>
    </row>
    <row r="2226" customFormat="false" ht="15" hidden="false" customHeight="false" outlineLevel="0" collapsed="false">
      <c r="A2226" s="30" t="s">
        <v>4218</v>
      </c>
      <c r="B2226" s="30" t="s">
        <v>53</v>
      </c>
      <c r="C2226" s="30" t="s">
        <v>104</v>
      </c>
      <c r="D2226" s="30" t="s">
        <v>4219</v>
      </c>
      <c r="E2226" s="4" t="n">
        <v>7</v>
      </c>
      <c r="F2226" s="4" t="s">
        <v>213</v>
      </c>
      <c r="G2226" s="4" t="s">
        <v>2908</v>
      </c>
      <c r="H2226" s="4" t="n">
        <v>2008</v>
      </c>
      <c r="I2226" s="4" t="s">
        <v>2909</v>
      </c>
      <c r="J2226" s="25" t="str">
        <f aca="false">IF(M2226=1,"✓","")</f>
        <v/>
      </c>
      <c r="K2226" s="4" t="str">
        <f aca="false">IF(AND(M2226=0,P2226=0),"▶ NEXT","")</f>
        <v/>
      </c>
      <c r="L2226" s="4" t="n">
        <f aca="false">INDEX('Master List'!$F$2:$F$2594,O2226)</f>
        <v>1</v>
      </c>
      <c r="M2226" s="4" t="n">
        <f aca="false">INDEX('Master List'!$G$2:$G$2594,O2226)</f>
        <v>0</v>
      </c>
      <c r="N2226" s="4" t="str">
        <f aca="false">IF(K2226="","",A2226)</f>
        <v/>
      </c>
      <c r="O2226" s="4" t="n">
        <v>177</v>
      </c>
      <c r="P2226" s="4" t="n">
        <f aca="false">IF(A2226=A2225,P2225+1-M2225,0)</f>
        <v>5</v>
      </c>
    </row>
    <row r="2227" customFormat="false" ht="15" hidden="false" customHeight="false" outlineLevel="0" collapsed="false">
      <c r="A2227" s="30" t="s">
        <v>4218</v>
      </c>
      <c r="B2227" s="30" t="s">
        <v>53</v>
      </c>
      <c r="C2227" s="30" t="s">
        <v>104</v>
      </c>
      <c r="D2227" s="30" t="s">
        <v>4219</v>
      </c>
      <c r="E2227" s="4" t="n">
        <v>8</v>
      </c>
      <c r="F2227" s="4" t="s">
        <v>213</v>
      </c>
      <c r="G2227" s="4" t="s">
        <v>2952</v>
      </c>
      <c r="H2227" s="4" t="n">
        <v>2010</v>
      </c>
      <c r="I2227" s="4" t="s">
        <v>1420</v>
      </c>
      <c r="J2227" s="25" t="str">
        <f aca="false">IF(M2227=1,"✓","")</f>
        <v/>
      </c>
      <c r="K2227" s="4" t="str">
        <f aca="false">IF(AND(M2227=0,P2227=0),"▶ NEXT","")</f>
        <v/>
      </c>
      <c r="L2227" s="4" t="n">
        <f aca="false">INDEX('Master List'!$F$2:$F$2594,O2227)</f>
        <v>1</v>
      </c>
      <c r="M2227" s="4" t="n">
        <f aca="false">INDEX('Master List'!$G$2:$G$2594,O2227)</f>
        <v>0</v>
      </c>
      <c r="N2227" s="4" t="str">
        <f aca="false">IF(K2227="","",A2227)</f>
        <v/>
      </c>
      <c r="O2227" s="4" t="n">
        <v>2530</v>
      </c>
      <c r="P2227" s="4" t="n">
        <f aca="false">IF(A2227=A2226,P2226+1-M2226,0)</f>
        <v>6</v>
      </c>
    </row>
    <row r="2228" customFormat="false" ht="15" hidden="false" customHeight="false" outlineLevel="0" collapsed="false">
      <c r="A2228" s="30" t="s">
        <v>4218</v>
      </c>
      <c r="B2228" s="30" t="s">
        <v>53</v>
      </c>
      <c r="C2228" s="30" t="s">
        <v>104</v>
      </c>
      <c r="D2228" s="30" t="s">
        <v>4219</v>
      </c>
      <c r="E2228" s="4" t="n">
        <v>9</v>
      </c>
      <c r="F2228" s="4" t="s">
        <v>213</v>
      </c>
      <c r="G2228" s="4" t="s">
        <v>1419</v>
      </c>
      <c r="H2228" s="4" t="n">
        <v>2018</v>
      </c>
      <c r="I2228" s="4" t="s">
        <v>1420</v>
      </c>
      <c r="J2228" s="25" t="str">
        <f aca="false">IF(M2228=1,"✓","")</f>
        <v/>
      </c>
      <c r="K2228" s="4" t="str">
        <f aca="false">IF(AND(M2228=0,P2228=0),"▶ NEXT","")</f>
        <v/>
      </c>
      <c r="L2228" s="4" t="n">
        <f aca="false">INDEX('Master List'!$F$2:$F$2594,O2228)</f>
        <v>2</v>
      </c>
      <c r="M2228" s="4" t="n">
        <f aca="false">INDEX('Master List'!$G$2:$G$2594,O2228)</f>
        <v>0</v>
      </c>
      <c r="N2228" s="4" t="str">
        <f aca="false">IF(K2228="","",A2228)</f>
        <v/>
      </c>
      <c r="O2228" s="4" t="n">
        <v>1315</v>
      </c>
      <c r="P2228" s="4" t="n">
        <f aca="false">IF(A2228=A2227,P2227+1-M2227,0)</f>
        <v>7</v>
      </c>
    </row>
    <row r="2229" customFormat="false" ht="15" hidden="false" customHeight="false" outlineLevel="0" collapsed="false">
      <c r="A2229" s="30" t="s">
        <v>4218</v>
      </c>
      <c r="B2229" s="30" t="s">
        <v>53</v>
      </c>
      <c r="C2229" s="30" t="s">
        <v>104</v>
      </c>
      <c r="D2229" s="30" t="s">
        <v>4219</v>
      </c>
      <c r="E2229" s="4" t="n">
        <v>10</v>
      </c>
      <c r="F2229" s="4" t="s">
        <v>1327</v>
      </c>
      <c r="G2229" s="4" t="s">
        <v>3682</v>
      </c>
      <c r="H2229" s="4" t="n">
        <v>1994</v>
      </c>
      <c r="I2229" s="4" t="s">
        <v>867</v>
      </c>
      <c r="J2229" s="25" t="str">
        <f aca="false">IF(M2229=1,"✓","")</f>
        <v/>
      </c>
      <c r="K2229" s="4" t="str">
        <f aca="false">IF(AND(M2229=0,P2229=0),"▶ NEXT","")</f>
        <v/>
      </c>
      <c r="L2229" s="4" t="n">
        <f aca="false">INDEX('Master List'!$F$2:$F$2594,O2229)</f>
        <v>1</v>
      </c>
      <c r="M2229" s="4" t="n">
        <f aca="false">INDEX('Master List'!$G$2:$G$2594,O2229)</f>
        <v>0</v>
      </c>
      <c r="N2229" s="4" t="str">
        <f aca="false">IF(K2229="","",A2229)</f>
        <v/>
      </c>
      <c r="O2229" s="4" t="n">
        <v>1913</v>
      </c>
      <c r="P2229" s="4" t="n">
        <f aca="false">IF(A2229=A2228,P2228+1-M2228,0)</f>
        <v>8</v>
      </c>
    </row>
    <row r="2230" customFormat="false" ht="15" hidden="false" customHeight="false" outlineLevel="0" collapsed="false">
      <c r="A2230" s="30" t="s">
        <v>4220</v>
      </c>
      <c r="B2230" s="30" t="s">
        <v>53</v>
      </c>
      <c r="C2230" s="30" t="s">
        <v>104</v>
      </c>
      <c r="D2230" s="30" t="s">
        <v>274</v>
      </c>
      <c r="E2230" s="4" t="n">
        <v>1</v>
      </c>
      <c r="F2230" s="4" t="s">
        <v>144</v>
      </c>
      <c r="G2230" s="7" t="s">
        <v>273</v>
      </c>
      <c r="H2230" s="4" t="n">
        <v>1998</v>
      </c>
      <c r="I2230" s="4" t="s">
        <v>274</v>
      </c>
      <c r="J2230" s="25" t="str">
        <f aca="false">IF(M2230=1,"✓","")</f>
        <v>✓</v>
      </c>
      <c r="K2230" s="4" t="str">
        <f aca="false">IF(AND(M2230=0,P2230=0),"▶ NEXT","")</f>
        <v/>
      </c>
      <c r="L2230" s="4" t="n">
        <f aca="false">INDEX('Master List'!$F$2:$F$2594,O2230)</f>
        <v>5</v>
      </c>
      <c r="M2230" s="4" t="n">
        <f aca="false">INDEX('Master List'!$G$2:$G$2594,O2230)</f>
        <v>1</v>
      </c>
      <c r="N2230" s="4" t="str">
        <f aca="false">IF(K2230="","",A2230)</f>
        <v/>
      </c>
      <c r="O2230" s="4" t="n">
        <v>1948</v>
      </c>
      <c r="P2230" s="4" t="n">
        <f aca="false">IF(A2230=A2229,P2229+1-M2229,0)</f>
        <v>0</v>
      </c>
    </row>
    <row r="2231" customFormat="false" ht="15" hidden="false" customHeight="false" outlineLevel="0" collapsed="false">
      <c r="A2231" s="30" t="s">
        <v>4220</v>
      </c>
      <c r="B2231" s="30" t="s">
        <v>53</v>
      </c>
      <c r="C2231" s="30" t="s">
        <v>104</v>
      </c>
      <c r="D2231" s="30" t="s">
        <v>274</v>
      </c>
      <c r="E2231" s="4" t="n">
        <v>2</v>
      </c>
      <c r="F2231" s="4" t="s">
        <v>144</v>
      </c>
      <c r="G2231" s="7" t="s">
        <v>524</v>
      </c>
      <c r="H2231" s="4" t="n">
        <v>2014</v>
      </c>
      <c r="I2231" s="4" t="s">
        <v>274</v>
      </c>
      <c r="J2231" s="25" t="str">
        <f aca="false">IF(M2231=1,"✓","")</f>
        <v>✓</v>
      </c>
      <c r="K2231" s="4" t="str">
        <f aca="false">IF(AND(M2231=0,P2231=0),"▶ NEXT","")</f>
        <v/>
      </c>
      <c r="L2231" s="4" t="n">
        <f aca="false">INDEX('Master List'!$F$2:$F$2594,O2231)</f>
        <v>3</v>
      </c>
      <c r="M2231" s="4" t="n">
        <f aca="false">INDEX('Master List'!$G$2:$G$2594,O2231)</f>
        <v>1</v>
      </c>
      <c r="N2231" s="4" t="str">
        <f aca="false">IF(K2231="","",A2231)</f>
        <v/>
      </c>
      <c r="O2231" s="4" t="n">
        <v>941</v>
      </c>
      <c r="P2231" s="4" t="n">
        <f aca="false">IF(A2231=A2230,P2230+1-M2230,0)</f>
        <v>0</v>
      </c>
    </row>
    <row r="2232" customFormat="false" ht="15" hidden="false" customHeight="false" outlineLevel="0" collapsed="false">
      <c r="A2232" s="30" t="s">
        <v>4220</v>
      </c>
      <c r="B2232" s="30" t="s">
        <v>53</v>
      </c>
      <c r="C2232" s="30" t="s">
        <v>104</v>
      </c>
      <c r="D2232" s="30" t="s">
        <v>274</v>
      </c>
      <c r="E2232" s="4" t="n">
        <v>3</v>
      </c>
      <c r="F2232" s="4" t="s">
        <v>213</v>
      </c>
      <c r="G2232" s="4" t="s">
        <v>2641</v>
      </c>
      <c r="H2232" s="4" t="n">
        <v>1996</v>
      </c>
      <c r="I2232" s="4" t="s">
        <v>274</v>
      </c>
      <c r="J2232" s="25" t="str">
        <f aca="false">IF(M2232=1,"✓","")</f>
        <v>✓</v>
      </c>
      <c r="K2232" s="4" t="str">
        <f aca="false">IF(AND(M2232=0,P2232=0),"▶ NEXT","")</f>
        <v/>
      </c>
      <c r="L2232" s="4" t="n">
        <f aca="false">INDEX('Master List'!$F$2:$F$2594,O2232)</f>
        <v>1</v>
      </c>
      <c r="M2232" s="4" t="n">
        <f aca="false">INDEX('Master List'!$G$2:$G$2594,O2232)</f>
        <v>1</v>
      </c>
      <c r="N2232" s="4" t="str">
        <f aca="false">IF(K2232="","",A2232)</f>
        <v/>
      </c>
      <c r="O2232" s="4" t="n">
        <v>321</v>
      </c>
      <c r="P2232" s="4" t="n">
        <f aca="false">IF(A2232=A2231,P2231+1-M2231,0)</f>
        <v>0</v>
      </c>
    </row>
    <row r="2233" customFormat="false" ht="15" hidden="false" customHeight="false" outlineLevel="0" collapsed="false">
      <c r="A2233" s="30" t="s">
        <v>4220</v>
      </c>
      <c r="B2233" s="30" t="s">
        <v>53</v>
      </c>
      <c r="C2233" s="30" t="s">
        <v>104</v>
      </c>
      <c r="D2233" s="30" t="s">
        <v>274</v>
      </c>
      <c r="E2233" s="4" t="n">
        <v>4</v>
      </c>
      <c r="F2233" s="4" t="s">
        <v>213</v>
      </c>
      <c r="G2233" s="4" t="s">
        <v>2754</v>
      </c>
      <c r="H2233" s="4" t="n">
        <v>2001</v>
      </c>
      <c r="I2233" s="4" t="s">
        <v>274</v>
      </c>
      <c r="J2233" s="25" t="str">
        <f aca="false">IF(M2233=1,"✓","")</f>
        <v>✓</v>
      </c>
      <c r="K2233" s="4" t="str">
        <f aca="false">IF(AND(M2233=0,P2233=0),"▶ NEXT","")</f>
        <v/>
      </c>
      <c r="L2233" s="4" t="n">
        <f aca="false">INDEX('Master List'!$F$2:$F$2594,O2233)</f>
        <v>1</v>
      </c>
      <c r="M2233" s="4" t="n">
        <f aca="false">INDEX('Master List'!$G$2:$G$2594,O2233)</f>
        <v>1</v>
      </c>
      <c r="N2233" s="4" t="str">
        <f aca="false">IF(K2233="","",A2233)</f>
        <v/>
      </c>
      <c r="O2233" s="4" t="n">
        <v>1941</v>
      </c>
      <c r="P2233" s="4" t="n">
        <f aca="false">IF(A2233=A2232,P2232+1-M2232,0)</f>
        <v>0</v>
      </c>
    </row>
    <row r="2234" customFormat="false" ht="15" hidden="false" customHeight="false" outlineLevel="0" collapsed="false">
      <c r="A2234" s="30" t="s">
        <v>4220</v>
      </c>
      <c r="B2234" s="30" t="s">
        <v>53</v>
      </c>
      <c r="C2234" s="30" t="s">
        <v>104</v>
      </c>
      <c r="D2234" s="30" t="s">
        <v>274</v>
      </c>
      <c r="E2234" s="4" t="n">
        <v>5</v>
      </c>
      <c r="F2234" s="4" t="s">
        <v>213</v>
      </c>
      <c r="G2234" s="4" t="s">
        <v>2822</v>
      </c>
      <c r="H2234" s="4" t="n">
        <v>2004</v>
      </c>
      <c r="I2234" s="4" t="s">
        <v>274</v>
      </c>
      <c r="J2234" s="25" t="str">
        <f aca="false">IF(M2234=1,"✓","")</f>
        <v>✓</v>
      </c>
      <c r="K2234" s="4" t="str">
        <f aca="false">IF(AND(M2234=0,P2234=0),"▶ NEXT","")</f>
        <v/>
      </c>
      <c r="L2234" s="4" t="n">
        <f aca="false">INDEX('Master List'!$F$2:$F$2594,O2234)</f>
        <v>1</v>
      </c>
      <c r="M2234" s="4" t="n">
        <f aca="false">INDEX('Master List'!$G$2:$G$2594,O2234)</f>
        <v>1</v>
      </c>
      <c r="N2234" s="4" t="str">
        <f aca="false">IF(K2234="","",A2234)</f>
        <v/>
      </c>
      <c r="O2234" s="4" t="n">
        <v>1332</v>
      </c>
      <c r="P2234" s="4" t="n">
        <f aca="false">IF(A2234=A2233,P2233+1-M2233,0)</f>
        <v>0</v>
      </c>
    </row>
    <row r="2235" customFormat="false" ht="15" hidden="false" customHeight="false" outlineLevel="0" collapsed="false">
      <c r="A2235" s="30" t="s">
        <v>4220</v>
      </c>
      <c r="B2235" s="30" t="s">
        <v>53</v>
      </c>
      <c r="C2235" s="30" t="s">
        <v>104</v>
      </c>
      <c r="D2235" s="30" t="s">
        <v>274</v>
      </c>
      <c r="E2235" s="4" t="n">
        <v>6</v>
      </c>
      <c r="F2235" s="4" t="s">
        <v>213</v>
      </c>
      <c r="G2235" s="4" t="s">
        <v>2884</v>
      </c>
      <c r="H2235" s="4" t="n">
        <v>2007</v>
      </c>
      <c r="I2235" s="4" t="s">
        <v>274</v>
      </c>
      <c r="J2235" s="25" t="str">
        <f aca="false">IF(M2235=1,"✓","")</f>
        <v>✓</v>
      </c>
      <c r="K2235" s="4" t="str">
        <f aca="false">IF(AND(M2235=0,P2235=0),"▶ NEXT","")</f>
        <v/>
      </c>
      <c r="L2235" s="4" t="n">
        <f aca="false">INDEX('Master List'!$F$2:$F$2594,O2235)</f>
        <v>1</v>
      </c>
      <c r="M2235" s="4" t="n">
        <f aca="false">INDEX('Master List'!$G$2:$G$2594,O2235)</f>
        <v>1</v>
      </c>
      <c r="N2235" s="4" t="str">
        <f aca="false">IF(K2235="","",A2235)</f>
        <v/>
      </c>
      <c r="O2235" s="4" t="n">
        <v>561</v>
      </c>
      <c r="P2235" s="4" t="n">
        <f aca="false">IF(A2235=A2234,P2234+1-M2234,0)</f>
        <v>0</v>
      </c>
    </row>
    <row r="2236" customFormat="false" ht="15" hidden="false" customHeight="false" outlineLevel="0" collapsed="false">
      <c r="A2236" s="30" t="s">
        <v>4220</v>
      </c>
      <c r="B2236" s="30" t="s">
        <v>53</v>
      </c>
      <c r="C2236" s="30" t="s">
        <v>104</v>
      </c>
      <c r="D2236" s="30" t="s">
        <v>274</v>
      </c>
      <c r="E2236" s="4" t="n">
        <v>7</v>
      </c>
      <c r="F2236" s="4" t="s">
        <v>213</v>
      </c>
      <c r="G2236" s="4" t="s">
        <v>430</v>
      </c>
      <c r="H2236" s="4" t="n">
        <v>2009</v>
      </c>
      <c r="I2236" s="4" t="s">
        <v>274</v>
      </c>
      <c r="J2236" s="25" t="str">
        <f aca="false">IF(M2236=1,"✓","")</f>
        <v>✓</v>
      </c>
      <c r="K2236" s="4" t="str">
        <f aca="false">IF(AND(M2236=0,P2236=0),"▶ NEXT","")</f>
        <v/>
      </c>
      <c r="L2236" s="4" t="n">
        <f aca="false">INDEX('Master List'!$F$2:$F$2594,O2236)</f>
        <v>3</v>
      </c>
      <c r="M2236" s="4" t="n">
        <f aca="false">INDEX('Master List'!$G$2:$G$2594,O2236)</f>
        <v>1</v>
      </c>
      <c r="N2236" s="4" t="str">
        <f aca="false">IF(K2236="","",A2236)</f>
        <v/>
      </c>
      <c r="O2236" s="4" t="n">
        <v>783</v>
      </c>
      <c r="P2236" s="4" t="n">
        <f aca="false">IF(A2236=A2235,P2235+1-M2235,0)</f>
        <v>0</v>
      </c>
    </row>
    <row r="2237" customFormat="false" ht="15" hidden="false" customHeight="false" outlineLevel="0" collapsed="false">
      <c r="A2237" s="30" t="s">
        <v>4220</v>
      </c>
      <c r="B2237" s="30" t="s">
        <v>53</v>
      </c>
      <c r="C2237" s="30" t="s">
        <v>104</v>
      </c>
      <c r="D2237" s="30" t="s">
        <v>274</v>
      </c>
      <c r="E2237" s="4" t="n">
        <v>8</v>
      </c>
      <c r="F2237" s="4" t="s">
        <v>213</v>
      </c>
      <c r="G2237" s="4" t="s">
        <v>3004</v>
      </c>
      <c r="H2237" s="4" t="n">
        <v>2012</v>
      </c>
      <c r="I2237" s="4" t="s">
        <v>274</v>
      </c>
      <c r="J2237" s="25" t="str">
        <f aca="false">IF(M2237=1,"✓","")</f>
        <v>✓</v>
      </c>
      <c r="K2237" s="4" t="str">
        <f aca="false">IF(AND(M2237=0,P2237=0),"▶ NEXT","")</f>
        <v/>
      </c>
      <c r="L2237" s="4" t="n">
        <f aca="false">INDEX('Master List'!$F$2:$F$2594,O2237)</f>
        <v>1</v>
      </c>
      <c r="M2237" s="4" t="n">
        <f aca="false">INDEX('Master List'!$G$2:$G$2594,O2237)</f>
        <v>1</v>
      </c>
      <c r="N2237" s="4" t="str">
        <f aca="false">IF(K2237="","",A2237)</f>
        <v/>
      </c>
      <c r="O2237" s="4" t="n">
        <v>1533</v>
      </c>
      <c r="P2237" s="4" t="n">
        <f aca="false">IF(A2237=A2236,P2236+1-M2236,0)</f>
        <v>0</v>
      </c>
    </row>
    <row r="2238" customFormat="false" ht="15" hidden="false" customHeight="false" outlineLevel="0" collapsed="false">
      <c r="A2238" s="30" t="s">
        <v>4220</v>
      </c>
      <c r="B2238" s="30" t="s">
        <v>53</v>
      </c>
      <c r="C2238" s="30" t="s">
        <v>104</v>
      </c>
      <c r="D2238" s="30" t="s">
        <v>274</v>
      </c>
      <c r="E2238" s="4" t="n">
        <v>9</v>
      </c>
      <c r="F2238" s="4" t="s">
        <v>213</v>
      </c>
      <c r="G2238" s="4" t="s">
        <v>3153</v>
      </c>
      <c r="H2238" s="4" t="n">
        <v>2018</v>
      </c>
      <c r="I2238" s="4" t="s">
        <v>274</v>
      </c>
      <c r="J2238" s="25" t="str">
        <f aca="false">IF(M2238=1,"✓","")</f>
        <v>✓</v>
      </c>
      <c r="K2238" s="4" t="str">
        <f aca="false">IF(AND(M2238=0,P2238=0),"▶ NEXT","")</f>
        <v/>
      </c>
      <c r="L2238" s="4" t="n">
        <f aca="false">INDEX('Master List'!$F$2:$F$2594,O2238)</f>
        <v>1</v>
      </c>
      <c r="M2238" s="4" t="n">
        <f aca="false">INDEX('Master List'!$G$2:$G$2594,O2238)</f>
        <v>1</v>
      </c>
      <c r="N2238" s="4" t="str">
        <f aca="false">IF(K2238="","",A2238)</f>
        <v/>
      </c>
      <c r="O2238" s="4" t="n">
        <v>1171</v>
      </c>
      <c r="P2238" s="4" t="n">
        <f aca="false">IF(A2238=A2237,P2237+1-M2237,0)</f>
        <v>0</v>
      </c>
    </row>
    <row r="2239" customFormat="false" ht="15" hidden="false" customHeight="false" outlineLevel="0" collapsed="false">
      <c r="A2239" s="30" t="s">
        <v>4220</v>
      </c>
      <c r="B2239" s="30" t="s">
        <v>53</v>
      </c>
      <c r="C2239" s="30" t="s">
        <v>104</v>
      </c>
      <c r="D2239" s="30" t="s">
        <v>274</v>
      </c>
      <c r="E2239" s="4" t="n">
        <v>10</v>
      </c>
      <c r="F2239" s="4" t="s">
        <v>213</v>
      </c>
      <c r="G2239" s="4" t="s">
        <v>3215</v>
      </c>
      <c r="H2239" s="4" t="n">
        <v>2021</v>
      </c>
      <c r="I2239" s="4" t="s">
        <v>274</v>
      </c>
      <c r="J2239" s="25" t="str">
        <f aca="false">IF(M2239=1,"✓","")</f>
        <v/>
      </c>
      <c r="K2239" s="4" t="str">
        <f aca="false">IF(AND(M2239=0,P2239=0),"▶ NEXT","")</f>
        <v>▶ NEXT</v>
      </c>
      <c r="L2239" s="4" t="n">
        <f aca="false">INDEX('Master List'!$F$2:$F$2594,O2239)</f>
        <v>1</v>
      </c>
      <c r="M2239" s="4" t="n">
        <f aca="false">INDEX('Master List'!$G$2:$G$2594,O2239)</f>
        <v>0</v>
      </c>
      <c r="N2239" s="4" t="str">
        <f aca="false">IF(K2239="","",A2239)</f>
        <v>N185</v>
      </c>
      <c r="O2239" s="4" t="n">
        <v>852</v>
      </c>
      <c r="P2239" s="4" t="n">
        <f aca="false">IF(A2239=A2238,P2238+1-M2238,0)</f>
        <v>0</v>
      </c>
    </row>
    <row r="2240" customFormat="false" ht="15" hidden="false" customHeight="false" outlineLevel="0" collapsed="false">
      <c r="A2240" s="30" t="s">
        <v>4220</v>
      </c>
      <c r="B2240" s="30" t="s">
        <v>53</v>
      </c>
      <c r="C2240" s="30" t="s">
        <v>104</v>
      </c>
      <c r="D2240" s="30" t="s">
        <v>274</v>
      </c>
      <c r="E2240" s="4" t="n">
        <v>11</v>
      </c>
      <c r="F2240" s="4" t="s">
        <v>213</v>
      </c>
      <c r="G2240" s="4" t="s">
        <v>3238</v>
      </c>
      <c r="H2240" s="4" t="n">
        <v>2023</v>
      </c>
      <c r="I2240" s="4" t="s">
        <v>274</v>
      </c>
      <c r="J2240" s="25" t="str">
        <f aca="false">IF(M2240=1,"✓","")</f>
        <v>✓</v>
      </c>
      <c r="K2240" s="4" t="str">
        <f aca="false">IF(AND(M2240=0,P2240=0),"▶ NEXT","")</f>
        <v/>
      </c>
      <c r="L2240" s="4" t="n">
        <f aca="false">INDEX('Master List'!$F$2:$F$2594,O2240)</f>
        <v>1</v>
      </c>
      <c r="M2240" s="4" t="n">
        <f aca="false">INDEX('Master List'!$G$2:$G$2594,O2240)</f>
        <v>1</v>
      </c>
      <c r="N2240" s="4" t="str">
        <f aca="false">IF(K2240="","",A2240)</f>
        <v/>
      </c>
      <c r="O2240" s="4" t="n">
        <v>143</v>
      </c>
      <c r="P2240" s="4" t="n">
        <f aca="false">IF(A2240=A2239,P2239+1-M2239,0)</f>
        <v>1</v>
      </c>
    </row>
    <row r="2241" customFormat="false" ht="15" hidden="false" customHeight="false" outlineLevel="0" collapsed="false">
      <c r="A2241" s="30" t="s">
        <v>4221</v>
      </c>
      <c r="B2241" s="30" t="s">
        <v>53</v>
      </c>
      <c r="C2241" s="30" t="s">
        <v>105</v>
      </c>
      <c r="D2241" s="30" t="s">
        <v>170</v>
      </c>
      <c r="E2241" s="4" t="n">
        <v>1</v>
      </c>
      <c r="F2241" s="4" t="s">
        <v>144</v>
      </c>
      <c r="G2241" s="7" t="s">
        <v>198</v>
      </c>
      <c r="H2241" s="4" t="n">
        <v>1957</v>
      </c>
      <c r="I2241" s="4" t="s">
        <v>170</v>
      </c>
      <c r="J2241" s="25" t="str">
        <f aca="false">IF(M2241=1,"✓","")</f>
        <v>✓</v>
      </c>
      <c r="K2241" s="4" t="str">
        <f aca="false">IF(AND(M2241=0,P2241=0),"▶ NEXT","")</f>
        <v/>
      </c>
      <c r="L2241" s="4" t="n">
        <f aca="false">INDEX('Master List'!$F$2:$F$2594,O2241)</f>
        <v>6</v>
      </c>
      <c r="M2241" s="4" t="n">
        <f aca="false">INDEX('Master List'!$G$2:$G$2594,O2241)</f>
        <v>1</v>
      </c>
      <c r="N2241" s="4" t="str">
        <f aca="false">IF(K2241="","",A2241)</f>
        <v/>
      </c>
      <c r="O2241" s="4" t="n">
        <v>2025</v>
      </c>
      <c r="P2241" s="4" t="n">
        <f aca="false">IF(A2241=A2240,P2240+1-M2240,0)</f>
        <v>0</v>
      </c>
    </row>
    <row r="2242" customFormat="false" ht="15" hidden="false" customHeight="false" outlineLevel="0" collapsed="false">
      <c r="A2242" s="30" t="s">
        <v>4221</v>
      </c>
      <c r="B2242" s="30" t="s">
        <v>53</v>
      </c>
      <c r="C2242" s="30" t="s">
        <v>105</v>
      </c>
      <c r="D2242" s="30" t="s">
        <v>170</v>
      </c>
      <c r="E2242" s="4" t="n">
        <v>2</v>
      </c>
      <c r="F2242" s="4" t="s">
        <v>144</v>
      </c>
      <c r="G2242" s="7" t="s">
        <v>169</v>
      </c>
      <c r="H2242" s="4" t="n">
        <v>1957</v>
      </c>
      <c r="I2242" s="4" t="s">
        <v>170</v>
      </c>
      <c r="J2242" s="25" t="str">
        <f aca="false">IF(M2242=1,"✓","")</f>
        <v/>
      </c>
      <c r="K2242" s="4" t="str">
        <f aca="false">IF(AND(M2242=0,P2242=0),"▶ NEXT","")</f>
        <v>▶ NEXT</v>
      </c>
      <c r="L2242" s="4" t="n">
        <f aca="false">INDEX('Master List'!$F$2:$F$2594,O2242)</f>
        <v>8</v>
      </c>
      <c r="M2242" s="4" t="n">
        <f aca="false">INDEX('Master List'!$G$2:$G$2594,O2242)</f>
        <v>0</v>
      </c>
      <c r="N2242" s="4" t="str">
        <f aca="false">IF(K2242="","",A2242)</f>
        <v>N186</v>
      </c>
      <c r="O2242" s="4" t="n">
        <v>2516</v>
      </c>
      <c r="P2242" s="4" t="n">
        <f aca="false">IF(A2242=A2241,P2241+1-M2241,0)</f>
        <v>0</v>
      </c>
    </row>
    <row r="2243" customFormat="false" ht="15" hidden="false" customHeight="false" outlineLevel="0" collapsed="false">
      <c r="A2243" s="30" t="s">
        <v>4221</v>
      </c>
      <c r="B2243" s="30" t="s">
        <v>53</v>
      </c>
      <c r="C2243" s="30" t="s">
        <v>105</v>
      </c>
      <c r="D2243" s="30" t="s">
        <v>170</v>
      </c>
      <c r="E2243" s="4" t="n">
        <v>3</v>
      </c>
      <c r="F2243" s="4" t="s">
        <v>213</v>
      </c>
      <c r="G2243" s="4" t="s">
        <v>1899</v>
      </c>
      <c r="H2243" s="4" t="n">
        <v>1953</v>
      </c>
      <c r="I2243" s="4" t="s">
        <v>170</v>
      </c>
      <c r="J2243" s="25" t="str">
        <f aca="false">IF(M2243=1,"✓","")</f>
        <v/>
      </c>
      <c r="K2243" s="4" t="str">
        <f aca="false">IF(AND(M2243=0,P2243=0),"▶ NEXT","")</f>
        <v/>
      </c>
      <c r="L2243" s="4" t="n">
        <f aca="false">INDEX('Master List'!$F$2:$F$2594,O2243)</f>
        <v>1</v>
      </c>
      <c r="M2243" s="4" t="n">
        <f aca="false">INDEX('Master List'!$G$2:$G$2594,O2243)</f>
        <v>0</v>
      </c>
      <c r="N2243" s="4" t="str">
        <f aca="false">IF(K2243="","",A2243)</f>
        <v/>
      </c>
      <c r="O2243" s="4" t="n">
        <v>2199</v>
      </c>
      <c r="P2243" s="4" t="n">
        <f aca="false">IF(A2243=A2242,P2242+1-M2242,0)</f>
        <v>1</v>
      </c>
    </row>
    <row r="2244" customFormat="false" ht="15" hidden="false" customHeight="false" outlineLevel="0" collapsed="false">
      <c r="A2244" s="30" t="s">
        <v>4221</v>
      </c>
      <c r="B2244" s="30" t="s">
        <v>53</v>
      </c>
      <c r="C2244" s="30" t="s">
        <v>105</v>
      </c>
      <c r="D2244" s="30" t="s">
        <v>170</v>
      </c>
      <c r="E2244" s="4" t="n">
        <v>4</v>
      </c>
      <c r="F2244" s="4" t="s">
        <v>213</v>
      </c>
      <c r="G2244" s="4" t="s">
        <v>1926</v>
      </c>
      <c r="H2244" s="4" t="n">
        <v>1955</v>
      </c>
      <c r="I2244" s="4" t="s">
        <v>170</v>
      </c>
      <c r="J2244" s="25" t="str">
        <f aca="false">IF(M2244=1,"✓","")</f>
        <v/>
      </c>
      <c r="K2244" s="4" t="str">
        <f aca="false">IF(AND(M2244=0,P2244=0),"▶ NEXT","")</f>
        <v/>
      </c>
      <c r="L2244" s="4" t="n">
        <f aca="false">INDEX('Master List'!$F$2:$F$2594,O2244)</f>
        <v>1</v>
      </c>
      <c r="M2244" s="4" t="n">
        <f aca="false">INDEX('Master List'!$G$2:$G$2594,O2244)</f>
        <v>0</v>
      </c>
      <c r="N2244" s="4" t="str">
        <f aca="false">IF(K2244="","",A2244)</f>
        <v/>
      </c>
      <c r="O2244" s="4" t="n">
        <v>2096</v>
      </c>
      <c r="P2244" s="4" t="n">
        <f aca="false">IF(A2244=A2243,P2243+1-M2243,0)</f>
        <v>2</v>
      </c>
    </row>
    <row r="2245" customFormat="false" ht="15" hidden="false" customHeight="false" outlineLevel="0" collapsed="false">
      <c r="A2245" s="30" t="s">
        <v>4221</v>
      </c>
      <c r="B2245" s="30" t="s">
        <v>53</v>
      </c>
      <c r="C2245" s="30" t="s">
        <v>105</v>
      </c>
      <c r="D2245" s="30" t="s">
        <v>170</v>
      </c>
      <c r="E2245" s="4" t="n">
        <v>5</v>
      </c>
      <c r="F2245" s="4" t="s">
        <v>213</v>
      </c>
      <c r="G2245" s="4" t="s">
        <v>1981</v>
      </c>
      <c r="H2245" s="4" t="n">
        <v>1960</v>
      </c>
      <c r="I2245" s="4" t="s">
        <v>170</v>
      </c>
      <c r="J2245" s="25" t="str">
        <f aca="false">IF(M2245=1,"✓","")</f>
        <v/>
      </c>
      <c r="K2245" s="4" t="str">
        <f aca="false">IF(AND(M2245=0,P2245=0),"▶ NEXT","")</f>
        <v/>
      </c>
      <c r="L2245" s="4" t="n">
        <f aca="false">INDEX('Master List'!$F$2:$F$2594,O2245)</f>
        <v>1</v>
      </c>
      <c r="M2245" s="4" t="n">
        <f aca="false">INDEX('Master List'!$G$2:$G$2594,O2245)</f>
        <v>0</v>
      </c>
      <c r="N2245" s="4" t="str">
        <f aca="false">IF(K2245="","",A2245)</f>
        <v/>
      </c>
      <c r="O2245" s="4" t="n">
        <v>2436</v>
      </c>
      <c r="P2245" s="4" t="n">
        <f aca="false">IF(A2245=A2244,P2244+1-M2244,0)</f>
        <v>3</v>
      </c>
    </row>
    <row r="2246" customFormat="false" ht="15" hidden="false" customHeight="false" outlineLevel="0" collapsed="false">
      <c r="A2246" s="30" t="s">
        <v>4221</v>
      </c>
      <c r="B2246" s="30" t="s">
        <v>53</v>
      </c>
      <c r="C2246" s="30" t="s">
        <v>105</v>
      </c>
      <c r="D2246" s="30" t="s">
        <v>170</v>
      </c>
      <c r="E2246" s="4" t="n">
        <v>6</v>
      </c>
      <c r="F2246" s="4" t="s">
        <v>213</v>
      </c>
      <c r="G2246" s="4" t="s">
        <v>1998</v>
      </c>
      <c r="H2246" s="4" t="n">
        <v>1961</v>
      </c>
      <c r="I2246" s="4" t="s">
        <v>170</v>
      </c>
      <c r="J2246" s="25" t="str">
        <f aca="false">IF(M2246=1,"✓","")</f>
        <v/>
      </c>
      <c r="K2246" s="4" t="str">
        <f aca="false">IF(AND(M2246=0,P2246=0),"▶ NEXT","")</f>
        <v/>
      </c>
      <c r="L2246" s="4" t="n">
        <f aca="false">INDEX('Master List'!$F$2:$F$2594,O2246)</f>
        <v>1</v>
      </c>
      <c r="M2246" s="4" t="n">
        <f aca="false">INDEX('Master List'!$G$2:$G$2594,O2246)</f>
        <v>0</v>
      </c>
      <c r="N2246" s="4" t="str">
        <f aca="false">IF(K2246="","",A2246)</f>
        <v/>
      </c>
      <c r="O2246" s="4" t="n">
        <v>2299</v>
      </c>
      <c r="P2246" s="4" t="n">
        <f aca="false">IF(A2246=A2245,P2245+1-M2245,0)</f>
        <v>4</v>
      </c>
    </row>
    <row r="2247" customFormat="false" ht="15" hidden="false" customHeight="false" outlineLevel="0" collapsed="false">
      <c r="A2247" s="30" t="s">
        <v>4221</v>
      </c>
      <c r="B2247" s="30" t="s">
        <v>53</v>
      </c>
      <c r="C2247" s="30" t="s">
        <v>105</v>
      </c>
      <c r="D2247" s="30" t="s">
        <v>170</v>
      </c>
      <c r="E2247" s="4" t="n">
        <v>7</v>
      </c>
      <c r="F2247" s="4" t="s">
        <v>213</v>
      </c>
      <c r="G2247" s="4" t="s">
        <v>288</v>
      </c>
      <c r="H2247" s="4" t="n">
        <v>1963</v>
      </c>
      <c r="I2247" s="4" t="s">
        <v>170</v>
      </c>
      <c r="J2247" s="25" t="str">
        <f aca="false">IF(M2247=1,"✓","")</f>
        <v/>
      </c>
      <c r="K2247" s="4" t="str">
        <f aca="false">IF(AND(M2247=0,P2247=0),"▶ NEXT","")</f>
        <v/>
      </c>
      <c r="L2247" s="4" t="n">
        <f aca="false">INDEX('Master List'!$F$2:$F$2594,O2247)</f>
        <v>4</v>
      </c>
      <c r="M2247" s="4" t="n">
        <f aca="false">INDEX('Master List'!$G$2:$G$2594,O2247)</f>
        <v>0</v>
      </c>
      <c r="N2247" s="4" t="str">
        <f aca="false">IF(K2247="","",A2247)</f>
        <v/>
      </c>
      <c r="O2247" s="4" t="n">
        <v>2529</v>
      </c>
      <c r="P2247" s="4" t="n">
        <f aca="false">IF(A2247=A2246,P2246+1-M2246,0)</f>
        <v>5</v>
      </c>
    </row>
    <row r="2248" customFormat="false" ht="15" hidden="false" customHeight="false" outlineLevel="0" collapsed="false">
      <c r="A2248" s="30" t="s">
        <v>4221</v>
      </c>
      <c r="B2248" s="30" t="s">
        <v>53</v>
      </c>
      <c r="C2248" s="30" t="s">
        <v>105</v>
      </c>
      <c r="D2248" s="30" t="s">
        <v>170</v>
      </c>
      <c r="E2248" s="4" t="n">
        <v>8</v>
      </c>
      <c r="F2248" s="4" t="s">
        <v>213</v>
      </c>
      <c r="G2248" s="4" t="s">
        <v>2037</v>
      </c>
      <c r="H2248" s="4" t="n">
        <v>1963</v>
      </c>
      <c r="I2248" s="4" t="s">
        <v>170</v>
      </c>
      <c r="J2248" s="25" t="str">
        <f aca="false">IF(M2248=1,"✓","")</f>
        <v/>
      </c>
      <c r="K2248" s="4" t="str">
        <f aca="false">IF(AND(M2248=0,P2248=0),"▶ NEXT","")</f>
        <v/>
      </c>
      <c r="L2248" s="4" t="n">
        <f aca="false">INDEX('Master List'!$F$2:$F$2594,O2248)</f>
        <v>1</v>
      </c>
      <c r="M2248" s="4" t="n">
        <f aca="false">INDEX('Master List'!$G$2:$G$2594,O2248)</f>
        <v>0</v>
      </c>
      <c r="N2248" s="4" t="str">
        <f aca="false">IF(K2248="","",A2248)</f>
        <v/>
      </c>
      <c r="O2248" s="4" t="n">
        <v>2067</v>
      </c>
      <c r="P2248" s="4" t="n">
        <f aca="false">IF(A2248=A2247,P2247+1-M2247,0)</f>
        <v>6</v>
      </c>
    </row>
    <row r="2249" customFormat="false" ht="15" hidden="false" customHeight="false" outlineLevel="0" collapsed="false">
      <c r="A2249" s="30" t="s">
        <v>4221</v>
      </c>
      <c r="B2249" s="30" t="s">
        <v>53</v>
      </c>
      <c r="C2249" s="30" t="s">
        <v>105</v>
      </c>
      <c r="D2249" s="30" t="s">
        <v>170</v>
      </c>
      <c r="E2249" s="4" t="n">
        <v>9</v>
      </c>
      <c r="F2249" s="4" t="s">
        <v>213</v>
      </c>
      <c r="G2249" s="4" t="s">
        <v>191</v>
      </c>
      <c r="H2249" s="4" t="n">
        <v>1966</v>
      </c>
      <c r="I2249" s="4" t="s">
        <v>170</v>
      </c>
      <c r="J2249" s="25" t="str">
        <f aca="false">IF(M2249=1,"✓","")</f>
        <v/>
      </c>
      <c r="K2249" s="4" t="str">
        <f aca="false">IF(AND(M2249=0,P2249=0),"▶ NEXT","")</f>
        <v/>
      </c>
      <c r="L2249" s="4" t="n">
        <f aca="false">INDEX('Master List'!$F$2:$F$2594,O2249)</f>
        <v>7</v>
      </c>
      <c r="M2249" s="4" t="n">
        <f aca="false">INDEX('Master List'!$G$2:$G$2594,O2249)</f>
        <v>0</v>
      </c>
      <c r="N2249" s="4" t="str">
        <f aca="false">IF(K2249="","",A2249)</f>
        <v/>
      </c>
      <c r="O2249" s="4" t="n">
        <v>1749</v>
      </c>
      <c r="P2249" s="4" t="n">
        <f aca="false">IF(A2249=A2248,P2248+1-M2248,0)</f>
        <v>7</v>
      </c>
    </row>
    <row r="2250" customFormat="false" ht="15" hidden="false" customHeight="false" outlineLevel="0" collapsed="false">
      <c r="A2250" s="30" t="s">
        <v>4221</v>
      </c>
      <c r="B2250" s="30" t="s">
        <v>53</v>
      </c>
      <c r="C2250" s="30" t="s">
        <v>105</v>
      </c>
      <c r="D2250" s="30" t="s">
        <v>170</v>
      </c>
      <c r="E2250" s="4" t="n">
        <v>10</v>
      </c>
      <c r="F2250" s="4" t="s">
        <v>213</v>
      </c>
      <c r="G2250" s="4" t="s">
        <v>2128</v>
      </c>
      <c r="H2250" s="4" t="n">
        <v>1968</v>
      </c>
      <c r="I2250" s="4" t="s">
        <v>170</v>
      </c>
      <c r="J2250" s="25" t="str">
        <f aca="false">IF(M2250=1,"✓","")</f>
        <v/>
      </c>
      <c r="K2250" s="4" t="str">
        <f aca="false">IF(AND(M2250=0,P2250=0),"▶ NEXT","")</f>
        <v/>
      </c>
      <c r="L2250" s="4" t="n">
        <f aca="false">INDEX('Master List'!$F$2:$F$2594,O2250)</f>
        <v>1</v>
      </c>
      <c r="M2250" s="4" t="n">
        <f aca="false">INDEX('Master List'!$G$2:$G$2594,O2250)</f>
        <v>0</v>
      </c>
      <c r="N2250" s="4" t="str">
        <f aca="false">IF(K2250="","",A2250)</f>
        <v/>
      </c>
      <c r="O2250" s="4" t="n">
        <v>1070</v>
      </c>
      <c r="P2250" s="4" t="n">
        <f aca="false">IF(A2250=A2249,P2249+1-M2249,0)</f>
        <v>8</v>
      </c>
    </row>
    <row r="2251" customFormat="false" ht="15" hidden="false" customHeight="false" outlineLevel="0" collapsed="false">
      <c r="A2251" s="30" t="s">
        <v>4221</v>
      </c>
      <c r="B2251" s="30" t="s">
        <v>53</v>
      </c>
      <c r="C2251" s="30" t="s">
        <v>105</v>
      </c>
      <c r="D2251" s="30" t="s">
        <v>170</v>
      </c>
      <c r="E2251" s="4" t="n">
        <v>11</v>
      </c>
      <c r="F2251" s="4" t="s">
        <v>213</v>
      </c>
      <c r="G2251" s="4" t="s">
        <v>1016</v>
      </c>
      <c r="H2251" s="4" t="n">
        <v>1972</v>
      </c>
      <c r="I2251" s="4" t="s">
        <v>170</v>
      </c>
      <c r="J2251" s="25" t="str">
        <f aca="false">IF(M2251=1,"✓","")</f>
        <v/>
      </c>
      <c r="K2251" s="4" t="str">
        <f aca="false">IF(AND(M2251=0,P2251=0),"▶ NEXT","")</f>
        <v/>
      </c>
      <c r="L2251" s="4" t="n">
        <f aca="false">INDEX('Master List'!$F$2:$F$2594,O2251)</f>
        <v>2</v>
      </c>
      <c r="M2251" s="4" t="n">
        <f aca="false">INDEX('Master List'!$G$2:$G$2594,O2251)</f>
        <v>0</v>
      </c>
      <c r="N2251" s="4" t="str">
        <f aca="false">IF(K2251="","",A2251)</f>
        <v/>
      </c>
      <c r="O2251" s="4" t="n">
        <v>535</v>
      </c>
      <c r="P2251" s="4" t="n">
        <f aca="false">IF(A2251=A2250,P2250+1-M2250,0)</f>
        <v>9</v>
      </c>
    </row>
    <row r="2252" customFormat="false" ht="15" hidden="false" customHeight="false" outlineLevel="0" collapsed="false">
      <c r="A2252" s="30" t="s">
        <v>4221</v>
      </c>
      <c r="B2252" s="30" t="s">
        <v>53</v>
      </c>
      <c r="C2252" s="30" t="s">
        <v>105</v>
      </c>
      <c r="D2252" s="30" t="s">
        <v>170</v>
      </c>
      <c r="E2252" s="4" t="n">
        <v>12</v>
      </c>
      <c r="F2252" s="4" t="s">
        <v>213</v>
      </c>
      <c r="G2252" s="4" t="s">
        <v>799</v>
      </c>
      <c r="H2252" s="4" t="n">
        <v>1974</v>
      </c>
      <c r="I2252" s="4" t="s">
        <v>170</v>
      </c>
      <c r="J2252" s="25" t="str">
        <f aca="false">IF(M2252=1,"✓","")</f>
        <v/>
      </c>
      <c r="K2252" s="4" t="str">
        <f aca="false">IF(AND(M2252=0,P2252=0),"▶ NEXT","")</f>
        <v/>
      </c>
      <c r="L2252" s="4" t="n">
        <f aca="false">INDEX('Master List'!$F$2:$F$2594,O2252)</f>
        <v>2</v>
      </c>
      <c r="M2252" s="4" t="n">
        <f aca="false">INDEX('Master List'!$G$2:$G$2594,O2252)</f>
        <v>0</v>
      </c>
      <c r="N2252" s="4" t="str">
        <f aca="false">IF(K2252="","",A2252)</f>
        <v/>
      </c>
      <c r="O2252" s="4" t="n">
        <v>1988</v>
      </c>
      <c r="P2252" s="4" t="n">
        <f aca="false">IF(A2252=A2251,P2251+1-M2251,0)</f>
        <v>10</v>
      </c>
    </row>
    <row r="2253" customFormat="false" ht="15" hidden="false" customHeight="false" outlineLevel="0" collapsed="false">
      <c r="A2253" s="30" t="s">
        <v>4221</v>
      </c>
      <c r="B2253" s="30" t="s">
        <v>53</v>
      </c>
      <c r="C2253" s="30" t="s">
        <v>105</v>
      </c>
      <c r="D2253" s="30" t="s">
        <v>170</v>
      </c>
      <c r="E2253" s="4" t="n">
        <v>13</v>
      </c>
      <c r="F2253" s="4" t="s">
        <v>213</v>
      </c>
      <c r="G2253" s="4" t="s">
        <v>1361</v>
      </c>
      <c r="H2253" s="4" t="n">
        <v>1978</v>
      </c>
      <c r="I2253" s="4" t="s">
        <v>170</v>
      </c>
      <c r="J2253" s="25" t="str">
        <f aca="false">IF(M2253=1,"✓","")</f>
        <v/>
      </c>
      <c r="K2253" s="4" t="str">
        <f aca="false">IF(AND(M2253=0,P2253=0),"▶ NEXT","")</f>
        <v/>
      </c>
      <c r="L2253" s="4" t="n">
        <f aca="false">INDEX('Master List'!$F$2:$F$2594,O2253)</f>
        <v>2</v>
      </c>
      <c r="M2253" s="4" t="n">
        <f aca="false">INDEX('Master List'!$G$2:$G$2594,O2253)</f>
        <v>0</v>
      </c>
      <c r="N2253" s="4" t="str">
        <f aca="false">IF(K2253="","",A2253)</f>
        <v/>
      </c>
      <c r="O2253" s="4" t="n">
        <v>153</v>
      </c>
      <c r="P2253" s="4" t="n">
        <f aca="false">IF(A2253=A2252,P2252+1-M2252,0)</f>
        <v>11</v>
      </c>
    </row>
    <row r="2254" customFormat="false" ht="15" hidden="false" customHeight="false" outlineLevel="0" collapsed="false">
      <c r="A2254" s="30" t="s">
        <v>4221</v>
      </c>
      <c r="B2254" s="30" t="s">
        <v>53</v>
      </c>
      <c r="C2254" s="30" t="s">
        <v>105</v>
      </c>
      <c r="D2254" s="30" t="s">
        <v>170</v>
      </c>
      <c r="E2254" s="4" t="n">
        <v>14</v>
      </c>
      <c r="F2254" s="4" t="s">
        <v>213</v>
      </c>
      <c r="G2254" s="4" t="s">
        <v>711</v>
      </c>
      <c r="H2254" s="4" t="n">
        <v>1982</v>
      </c>
      <c r="I2254" s="4" t="s">
        <v>170</v>
      </c>
      <c r="J2254" s="25" t="str">
        <f aca="false">IF(M2254=1,"✓","")</f>
        <v/>
      </c>
      <c r="K2254" s="4" t="str">
        <f aca="false">IF(AND(M2254=0,P2254=0),"▶ NEXT","")</f>
        <v/>
      </c>
      <c r="L2254" s="4" t="n">
        <f aca="false">INDEX('Master List'!$F$2:$F$2594,O2254)</f>
        <v>3</v>
      </c>
      <c r="M2254" s="4" t="n">
        <f aca="false">INDEX('Master List'!$G$2:$G$2594,O2254)</f>
        <v>0</v>
      </c>
      <c r="N2254" s="4" t="str">
        <f aca="false">IF(K2254="","",A2254)</f>
        <v/>
      </c>
      <c r="O2254" s="4" t="n">
        <v>780</v>
      </c>
      <c r="P2254" s="4" t="n">
        <f aca="false">IF(A2254=A2253,P2253+1-M2253,0)</f>
        <v>12</v>
      </c>
    </row>
    <row r="2255" customFormat="false" ht="15" hidden="false" customHeight="false" outlineLevel="0" collapsed="false">
      <c r="A2255" s="30" t="s">
        <v>4221</v>
      </c>
      <c r="B2255" s="30" t="s">
        <v>53</v>
      </c>
      <c r="C2255" s="30" t="s">
        <v>105</v>
      </c>
      <c r="D2255" s="30" t="s">
        <v>170</v>
      </c>
      <c r="E2255" s="4" t="n">
        <v>15</v>
      </c>
      <c r="F2255" s="4" t="s">
        <v>1327</v>
      </c>
      <c r="G2255" s="4" t="s">
        <v>3370</v>
      </c>
      <c r="H2255" s="4" t="n">
        <v>1953</v>
      </c>
      <c r="I2255" s="4" t="s">
        <v>170</v>
      </c>
      <c r="J2255" s="25" t="str">
        <f aca="false">IF(M2255=1,"✓","")</f>
        <v/>
      </c>
      <c r="K2255" s="4" t="str">
        <f aca="false">IF(AND(M2255=0,P2255=0),"▶ NEXT","")</f>
        <v/>
      </c>
      <c r="L2255" s="4" t="n">
        <f aca="false">INDEX('Master List'!$F$2:$F$2594,O2255)</f>
        <v>1</v>
      </c>
      <c r="M2255" s="4" t="n">
        <f aca="false">INDEX('Master List'!$G$2:$G$2594,O2255)</f>
        <v>0</v>
      </c>
      <c r="N2255" s="4" t="str">
        <f aca="false">IF(K2255="","",A2255)</f>
        <v/>
      </c>
      <c r="O2255" s="4" t="n">
        <v>1977</v>
      </c>
      <c r="P2255" s="4" t="n">
        <f aca="false">IF(A2255=A2254,P2254+1-M2254,0)</f>
        <v>13</v>
      </c>
    </row>
    <row r="2256" customFormat="false" ht="15" hidden="false" customHeight="false" outlineLevel="0" collapsed="false">
      <c r="A2256" s="30" t="s">
        <v>4221</v>
      </c>
      <c r="B2256" s="30" t="s">
        <v>53</v>
      </c>
      <c r="C2256" s="30" t="s">
        <v>105</v>
      </c>
      <c r="D2256" s="30" t="s">
        <v>170</v>
      </c>
      <c r="E2256" s="4" t="n">
        <v>16</v>
      </c>
      <c r="F2256" s="4" t="s">
        <v>1327</v>
      </c>
      <c r="G2256" s="4" t="s">
        <v>3457</v>
      </c>
      <c r="H2256" s="4" t="n">
        <v>1968</v>
      </c>
      <c r="I2256" s="4" t="s">
        <v>170</v>
      </c>
      <c r="J2256" s="25" t="str">
        <f aca="false">IF(M2256=1,"✓","")</f>
        <v/>
      </c>
      <c r="K2256" s="4" t="str">
        <f aca="false">IF(AND(M2256=0,P2256=0),"▶ NEXT","")</f>
        <v/>
      </c>
      <c r="L2256" s="4" t="n">
        <f aca="false">INDEX('Master List'!$F$2:$F$2594,O2256)</f>
        <v>1</v>
      </c>
      <c r="M2256" s="4" t="n">
        <f aca="false">INDEX('Master List'!$G$2:$G$2594,O2256)</f>
        <v>0</v>
      </c>
      <c r="N2256" s="4" t="str">
        <f aca="false">IF(K2256="","",A2256)</f>
        <v/>
      </c>
      <c r="O2256" s="4" t="n">
        <v>2033</v>
      </c>
      <c r="P2256" s="4" t="n">
        <f aca="false">IF(A2256=A2255,P2255+1-M2255,0)</f>
        <v>14</v>
      </c>
    </row>
    <row r="2257" customFormat="false" ht="15" hidden="false" customHeight="false" outlineLevel="0" collapsed="false">
      <c r="A2257" s="30" t="s">
        <v>4222</v>
      </c>
      <c r="B2257" s="30" t="s">
        <v>53</v>
      </c>
      <c r="C2257" s="30" t="s">
        <v>105</v>
      </c>
      <c r="D2257" s="30" t="s">
        <v>179</v>
      </c>
      <c r="E2257" s="4" t="n">
        <v>1</v>
      </c>
      <c r="F2257" s="4" t="s">
        <v>144</v>
      </c>
      <c r="G2257" s="7" t="s">
        <v>1445</v>
      </c>
      <c r="H2257" s="4" t="n">
        <v>1954</v>
      </c>
      <c r="I2257" s="4" t="s">
        <v>179</v>
      </c>
      <c r="J2257" s="25" t="str">
        <f aca="false">IF(M2257=1,"✓","")</f>
        <v/>
      </c>
      <c r="K2257" s="4" t="str">
        <f aca="false">IF(AND(M2257=0,P2257=0),"▶ NEXT","")</f>
        <v>▶ NEXT</v>
      </c>
      <c r="L2257" s="4" t="n">
        <f aca="false">INDEX('Master List'!$F$2:$F$2594,O2257)</f>
        <v>1</v>
      </c>
      <c r="M2257" s="4" t="n">
        <f aca="false">INDEX('Master List'!$G$2:$G$2594,O2257)</f>
        <v>0</v>
      </c>
      <c r="N2257" s="4" t="str">
        <f aca="false">IF(K2257="","",A2257)</f>
        <v>N187</v>
      </c>
      <c r="O2257" s="4" t="n">
        <v>2169</v>
      </c>
      <c r="P2257" s="4" t="n">
        <f aca="false">IF(A2257=A2256,P2256+1-M2256,0)</f>
        <v>0</v>
      </c>
    </row>
    <row r="2258" customFormat="false" ht="15" hidden="false" customHeight="false" outlineLevel="0" collapsed="false">
      <c r="A2258" s="30" t="s">
        <v>4222</v>
      </c>
      <c r="B2258" s="30" t="s">
        <v>53</v>
      </c>
      <c r="C2258" s="30" t="s">
        <v>105</v>
      </c>
      <c r="D2258" s="30" t="s">
        <v>179</v>
      </c>
      <c r="E2258" s="4" t="n">
        <v>2</v>
      </c>
      <c r="F2258" s="4" t="s">
        <v>144</v>
      </c>
      <c r="G2258" s="7" t="s">
        <v>178</v>
      </c>
      <c r="H2258" s="4" t="n">
        <v>1963</v>
      </c>
      <c r="I2258" s="4" t="s">
        <v>179</v>
      </c>
      <c r="J2258" s="25" t="str">
        <f aca="false">IF(M2258=1,"✓","")</f>
        <v/>
      </c>
      <c r="K2258" s="4" t="str">
        <f aca="false">IF(AND(M2258=0,P2258=0),"▶ NEXT","")</f>
        <v/>
      </c>
      <c r="L2258" s="4" t="n">
        <f aca="false">INDEX('Master List'!$F$2:$F$2594,O2258)</f>
        <v>7</v>
      </c>
      <c r="M2258" s="4" t="n">
        <f aca="false">INDEX('Master List'!$G$2:$G$2594,O2258)</f>
        <v>0</v>
      </c>
      <c r="N2258" s="4" t="str">
        <f aca="false">IF(K2258="","",A2258)</f>
        <v/>
      </c>
      <c r="O2258" s="4" t="n">
        <v>32</v>
      </c>
      <c r="P2258" s="4" t="n">
        <f aca="false">IF(A2258=A2257,P2257+1-M2257,0)</f>
        <v>1</v>
      </c>
    </row>
    <row r="2259" customFormat="false" ht="15" hidden="false" customHeight="false" outlineLevel="0" collapsed="false">
      <c r="A2259" s="30" t="s">
        <v>4222</v>
      </c>
      <c r="B2259" s="30" t="s">
        <v>53</v>
      </c>
      <c r="C2259" s="30" t="s">
        <v>105</v>
      </c>
      <c r="D2259" s="30" t="s">
        <v>179</v>
      </c>
      <c r="E2259" s="4" t="n">
        <v>3</v>
      </c>
      <c r="F2259" s="4" t="s">
        <v>213</v>
      </c>
      <c r="G2259" s="4" t="s">
        <v>745</v>
      </c>
      <c r="H2259" s="4" t="n">
        <v>1953</v>
      </c>
      <c r="I2259" s="4" t="s">
        <v>179</v>
      </c>
      <c r="J2259" s="25" t="str">
        <f aca="false">IF(M2259=1,"✓","")</f>
        <v/>
      </c>
      <c r="K2259" s="4" t="str">
        <f aca="false">IF(AND(M2259=0,P2259=0),"▶ NEXT","")</f>
        <v/>
      </c>
      <c r="L2259" s="4" t="n">
        <f aca="false">INDEX('Master List'!$F$2:$F$2594,O2259)</f>
        <v>2</v>
      </c>
      <c r="M2259" s="4" t="n">
        <f aca="false">INDEX('Master List'!$G$2:$G$2594,O2259)</f>
        <v>0</v>
      </c>
      <c r="N2259" s="4" t="str">
        <f aca="false">IF(K2259="","",A2259)</f>
        <v/>
      </c>
      <c r="O2259" s="4" t="n">
        <v>1109</v>
      </c>
      <c r="P2259" s="4" t="n">
        <f aca="false">IF(A2259=A2258,P2258+1-M2258,0)</f>
        <v>2</v>
      </c>
    </row>
    <row r="2260" customFormat="false" ht="15" hidden="false" customHeight="false" outlineLevel="0" collapsed="false">
      <c r="A2260" s="30" t="s">
        <v>4222</v>
      </c>
      <c r="B2260" s="30" t="s">
        <v>53</v>
      </c>
      <c r="C2260" s="30" t="s">
        <v>105</v>
      </c>
      <c r="D2260" s="30" t="s">
        <v>179</v>
      </c>
      <c r="E2260" s="4" t="n">
        <v>4</v>
      </c>
      <c r="F2260" s="4" t="s">
        <v>213</v>
      </c>
      <c r="G2260" s="4" t="s">
        <v>946</v>
      </c>
      <c r="H2260" s="4" t="n">
        <v>1957</v>
      </c>
      <c r="I2260" s="4" t="s">
        <v>179</v>
      </c>
      <c r="J2260" s="25" t="str">
        <f aca="false">IF(M2260=1,"✓","")</f>
        <v/>
      </c>
      <c r="K2260" s="4" t="str">
        <f aca="false">IF(AND(M2260=0,P2260=0),"▶ NEXT","")</f>
        <v/>
      </c>
      <c r="L2260" s="4" t="n">
        <f aca="false">INDEX('Master List'!$F$2:$F$2594,O2260)</f>
        <v>2</v>
      </c>
      <c r="M2260" s="4" t="n">
        <f aca="false">INDEX('Master List'!$G$2:$G$2594,O2260)</f>
        <v>0</v>
      </c>
      <c r="N2260" s="4" t="str">
        <f aca="false">IF(K2260="","",A2260)</f>
        <v/>
      </c>
      <c r="O2260" s="4" t="n">
        <v>1614</v>
      </c>
      <c r="P2260" s="4" t="n">
        <f aca="false">IF(A2260=A2259,P2259+1-M2259,0)</f>
        <v>3</v>
      </c>
    </row>
    <row r="2261" customFormat="false" ht="15" hidden="false" customHeight="false" outlineLevel="0" collapsed="false">
      <c r="A2261" s="30" t="s">
        <v>4222</v>
      </c>
      <c r="B2261" s="30" t="s">
        <v>53</v>
      </c>
      <c r="C2261" s="30" t="s">
        <v>105</v>
      </c>
      <c r="D2261" s="30" t="s">
        <v>179</v>
      </c>
      <c r="E2261" s="4" t="n">
        <v>5</v>
      </c>
      <c r="F2261" s="4" t="s">
        <v>213</v>
      </c>
      <c r="G2261" s="4" t="s">
        <v>287</v>
      </c>
      <c r="H2261" s="4" t="n">
        <v>1960</v>
      </c>
      <c r="I2261" s="4" t="s">
        <v>179</v>
      </c>
      <c r="J2261" s="25" t="str">
        <f aca="false">IF(M2261=1,"✓","")</f>
        <v>✓</v>
      </c>
      <c r="K2261" s="4" t="str">
        <f aca="false">IF(AND(M2261=0,P2261=0),"▶ NEXT","")</f>
        <v/>
      </c>
      <c r="L2261" s="4" t="n">
        <f aca="false">INDEX('Master List'!$F$2:$F$2594,O2261)</f>
        <v>5</v>
      </c>
      <c r="M2261" s="4" t="n">
        <f aca="false">INDEX('Master List'!$G$2:$G$2594,O2261)</f>
        <v>1</v>
      </c>
      <c r="N2261" s="4" t="str">
        <f aca="false">IF(K2261="","",A2261)</f>
        <v/>
      </c>
      <c r="O2261" s="4" t="n">
        <v>655</v>
      </c>
      <c r="P2261" s="4" t="n">
        <f aca="false">IF(A2261=A2260,P2260+1-M2260,0)</f>
        <v>4</v>
      </c>
    </row>
    <row r="2262" customFormat="false" ht="15" hidden="false" customHeight="false" outlineLevel="0" collapsed="false">
      <c r="A2262" s="30" t="s">
        <v>4222</v>
      </c>
      <c r="B2262" s="30" t="s">
        <v>53</v>
      </c>
      <c r="C2262" s="30" t="s">
        <v>105</v>
      </c>
      <c r="D2262" s="30" t="s">
        <v>179</v>
      </c>
      <c r="E2262" s="4" t="n">
        <v>6</v>
      </c>
      <c r="F2262" s="4" t="s">
        <v>213</v>
      </c>
      <c r="G2262" s="4" t="s">
        <v>2070</v>
      </c>
      <c r="H2262" s="4" t="n">
        <v>1965</v>
      </c>
      <c r="I2262" s="4" t="s">
        <v>179</v>
      </c>
      <c r="J2262" s="25" t="str">
        <f aca="false">IF(M2262=1,"✓","")</f>
        <v/>
      </c>
      <c r="K2262" s="4" t="str">
        <f aca="false">IF(AND(M2262=0,P2262=0),"▶ NEXT","")</f>
        <v/>
      </c>
      <c r="L2262" s="4" t="n">
        <f aca="false">INDEX('Master List'!$F$2:$F$2594,O2262)</f>
        <v>1</v>
      </c>
      <c r="M2262" s="4" t="n">
        <f aca="false">INDEX('Master List'!$G$2:$G$2594,O2262)</f>
        <v>0</v>
      </c>
      <c r="N2262" s="4" t="str">
        <f aca="false">IF(K2262="","",A2262)</f>
        <v/>
      </c>
      <c r="O2262" s="4" t="n">
        <v>1225</v>
      </c>
      <c r="P2262" s="4" t="n">
        <f aca="false">IF(A2262=A2261,P2261+1-M2261,0)</f>
        <v>4</v>
      </c>
    </row>
    <row r="2263" customFormat="false" ht="15" hidden="false" customHeight="false" outlineLevel="0" collapsed="false">
      <c r="A2263" s="30" t="s">
        <v>4222</v>
      </c>
      <c r="B2263" s="30" t="s">
        <v>53</v>
      </c>
      <c r="C2263" s="30" t="s">
        <v>105</v>
      </c>
      <c r="D2263" s="30" t="s">
        <v>179</v>
      </c>
      <c r="E2263" s="4" t="n">
        <v>7</v>
      </c>
      <c r="F2263" s="4" t="s">
        <v>213</v>
      </c>
      <c r="G2263" s="4" t="s">
        <v>1019</v>
      </c>
      <c r="H2263" s="4" t="n">
        <v>1973</v>
      </c>
      <c r="I2263" s="4" t="s">
        <v>179</v>
      </c>
      <c r="J2263" s="25" t="str">
        <f aca="false">IF(M2263=1,"✓","")</f>
        <v/>
      </c>
      <c r="K2263" s="4" t="str">
        <f aca="false">IF(AND(M2263=0,P2263=0),"▶ NEXT","")</f>
        <v/>
      </c>
      <c r="L2263" s="4" t="n">
        <f aca="false">INDEX('Master List'!$F$2:$F$2594,O2263)</f>
        <v>2</v>
      </c>
      <c r="M2263" s="4" t="n">
        <f aca="false">INDEX('Master List'!$G$2:$G$2594,O2263)</f>
        <v>0</v>
      </c>
      <c r="N2263" s="4" t="str">
        <f aca="false">IF(K2263="","",A2263)</f>
        <v/>
      </c>
      <c r="O2263" s="4" t="n">
        <v>84</v>
      </c>
      <c r="P2263" s="4" t="n">
        <f aca="false">IF(A2263=A2262,P2262+1-M2262,0)</f>
        <v>5</v>
      </c>
    </row>
    <row r="2264" customFormat="false" ht="15" hidden="false" customHeight="false" outlineLevel="0" collapsed="false">
      <c r="A2264" s="30" t="s">
        <v>4222</v>
      </c>
      <c r="B2264" s="30" t="s">
        <v>53</v>
      </c>
      <c r="C2264" s="30" t="s">
        <v>105</v>
      </c>
      <c r="D2264" s="30" t="s">
        <v>179</v>
      </c>
      <c r="E2264" s="4" t="n">
        <v>8</v>
      </c>
      <c r="F2264" s="4" t="s">
        <v>1327</v>
      </c>
      <c r="G2264" s="4" t="s">
        <v>3465</v>
      </c>
      <c r="H2264" s="4" t="n">
        <v>1969</v>
      </c>
      <c r="I2264" s="4" t="s">
        <v>179</v>
      </c>
      <c r="J2264" s="25" t="str">
        <f aca="false">IF(M2264=1,"✓","")</f>
        <v/>
      </c>
      <c r="K2264" s="4" t="str">
        <f aca="false">IF(AND(M2264=0,P2264=0),"▶ NEXT","")</f>
        <v/>
      </c>
      <c r="L2264" s="4" t="n">
        <f aca="false">INDEX('Master List'!$F$2:$F$2594,O2264)</f>
        <v>1</v>
      </c>
      <c r="M2264" s="4" t="n">
        <f aca="false">INDEX('Master List'!$G$2:$G$2594,O2264)</f>
        <v>0</v>
      </c>
      <c r="N2264" s="4" t="str">
        <f aca="false">IF(K2264="","",A2264)</f>
        <v/>
      </c>
      <c r="O2264" s="4" t="n">
        <v>797</v>
      </c>
      <c r="P2264" s="4" t="n">
        <f aca="false">IF(A2264=A2263,P2263+1-M2263,0)</f>
        <v>6</v>
      </c>
    </row>
    <row r="2265" customFormat="false" ht="15" hidden="false" customHeight="false" outlineLevel="0" collapsed="false">
      <c r="A2265" s="30" t="s">
        <v>4222</v>
      </c>
      <c r="B2265" s="30" t="s">
        <v>53</v>
      </c>
      <c r="C2265" s="30" t="s">
        <v>105</v>
      </c>
      <c r="D2265" s="30" t="s">
        <v>179</v>
      </c>
      <c r="E2265" s="4" t="n">
        <v>9</v>
      </c>
      <c r="F2265" s="4" t="s">
        <v>1327</v>
      </c>
      <c r="G2265" s="4" t="s">
        <v>3363</v>
      </c>
      <c r="H2265" s="4" t="n">
        <v>1952</v>
      </c>
      <c r="I2265" s="4" t="s">
        <v>179</v>
      </c>
      <c r="J2265" s="25" t="str">
        <f aca="false">IF(M2265=1,"✓","")</f>
        <v/>
      </c>
      <c r="K2265" s="4" t="str">
        <f aca="false">IF(AND(M2265=0,P2265=0),"▶ NEXT","")</f>
        <v/>
      </c>
      <c r="L2265" s="4" t="n">
        <f aca="false">INDEX('Master List'!$F$2:$F$2594,O2265)</f>
        <v>1</v>
      </c>
      <c r="M2265" s="4" t="n">
        <f aca="false">INDEX('Master List'!$G$2:$G$2594,O2265)</f>
        <v>0</v>
      </c>
      <c r="N2265" s="4" t="str">
        <f aca="false">IF(K2265="","",A2265)</f>
        <v/>
      </c>
      <c r="O2265" s="4" t="n">
        <v>2507</v>
      </c>
      <c r="P2265" s="4" t="n">
        <f aca="false">IF(A2265=A2264,P2264+1-M2264,0)</f>
        <v>7</v>
      </c>
    </row>
    <row r="2266" customFormat="false" ht="15" hidden="false" customHeight="false" outlineLevel="0" collapsed="false">
      <c r="A2266" s="30" t="s">
        <v>4223</v>
      </c>
      <c r="B2266" s="30" t="s">
        <v>53</v>
      </c>
      <c r="C2266" s="30" t="s">
        <v>105</v>
      </c>
      <c r="D2266" s="30" t="s">
        <v>217</v>
      </c>
      <c r="E2266" s="4" t="n">
        <v>1</v>
      </c>
      <c r="F2266" s="4" t="s">
        <v>144</v>
      </c>
      <c r="G2266" s="7" t="s">
        <v>216</v>
      </c>
      <c r="H2266" s="4" t="n">
        <v>1960</v>
      </c>
      <c r="I2266" s="4" t="s">
        <v>217</v>
      </c>
      <c r="J2266" s="25" t="str">
        <f aca="false">IF(M2266=1,"✓","")</f>
        <v/>
      </c>
      <c r="K2266" s="4" t="str">
        <f aca="false">IF(AND(M2266=0,P2266=0),"▶ NEXT","")</f>
        <v>▶ NEXT</v>
      </c>
      <c r="L2266" s="4" t="n">
        <f aca="false">INDEX('Master List'!$F$2:$F$2594,O2266)</f>
        <v>6</v>
      </c>
      <c r="M2266" s="4" t="n">
        <f aca="false">INDEX('Master List'!$G$2:$G$2594,O2266)</f>
        <v>0</v>
      </c>
      <c r="N2266" s="4" t="str">
        <f aca="false">IF(K2266="","",A2266)</f>
        <v>N188</v>
      </c>
      <c r="O2266" s="4" t="n">
        <v>154</v>
      </c>
      <c r="P2266" s="4" t="n">
        <f aca="false">IF(A2266=A2265,P2265+1-M2265,0)</f>
        <v>0</v>
      </c>
    </row>
    <row r="2267" customFormat="false" ht="15" hidden="false" customHeight="false" outlineLevel="0" collapsed="false">
      <c r="A2267" s="30" t="s">
        <v>4223</v>
      </c>
      <c r="B2267" s="30" t="s">
        <v>53</v>
      </c>
      <c r="C2267" s="30" t="s">
        <v>105</v>
      </c>
      <c r="D2267" s="30" t="s">
        <v>217</v>
      </c>
      <c r="E2267" s="4" t="n">
        <v>2</v>
      </c>
      <c r="F2267" s="4" t="s">
        <v>144</v>
      </c>
      <c r="G2267" s="7" t="s">
        <v>666</v>
      </c>
      <c r="H2267" s="4" t="n">
        <v>1966</v>
      </c>
      <c r="I2267" s="4" t="s">
        <v>217</v>
      </c>
      <c r="J2267" s="25" t="str">
        <f aca="false">IF(M2267=1,"✓","")</f>
        <v/>
      </c>
      <c r="K2267" s="4" t="str">
        <f aca="false">IF(AND(M2267=0,P2267=0),"▶ NEXT","")</f>
        <v/>
      </c>
      <c r="L2267" s="4" t="n">
        <f aca="false">INDEX('Master List'!$F$2:$F$2594,O2267)</f>
        <v>2</v>
      </c>
      <c r="M2267" s="4" t="n">
        <f aca="false">INDEX('Master List'!$G$2:$G$2594,O2267)</f>
        <v>0</v>
      </c>
      <c r="N2267" s="4" t="str">
        <f aca="false">IF(K2267="","",A2267)</f>
        <v/>
      </c>
      <c r="O2267" s="4" t="n">
        <v>296</v>
      </c>
      <c r="P2267" s="4" t="n">
        <f aca="false">IF(A2267=A2266,P2266+1-M2266,0)</f>
        <v>1</v>
      </c>
    </row>
    <row r="2268" customFormat="false" ht="15" hidden="false" customHeight="false" outlineLevel="0" collapsed="false">
      <c r="A2268" s="30" t="s">
        <v>4223</v>
      </c>
      <c r="B2268" s="30" t="s">
        <v>53</v>
      </c>
      <c r="C2268" s="30" t="s">
        <v>105</v>
      </c>
      <c r="D2268" s="30" t="s">
        <v>217</v>
      </c>
      <c r="E2268" s="4" t="n">
        <v>3</v>
      </c>
      <c r="F2268" s="4" t="s">
        <v>213</v>
      </c>
      <c r="G2268" s="4" t="s">
        <v>1880</v>
      </c>
      <c r="H2268" s="4" t="n">
        <v>1950</v>
      </c>
      <c r="I2268" s="4" t="s">
        <v>217</v>
      </c>
      <c r="J2268" s="25" t="str">
        <f aca="false">IF(M2268=1,"✓","")</f>
        <v/>
      </c>
      <c r="K2268" s="4" t="str">
        <f aca="false">IF(AND(M2268=0,P2268=0),"▶ NEXT","")</f>
        <v/>
      </c>
      <c r="L2268" s="4" t="n">
        <f aca="false">INDEX('Master List'!$F$2:$F$2594,O2268)</f>
        <v>1</v>
      </c>
      <c r="M2268" s="4" t="n">
        <f aca="false">INDEX('Master List'!$G$2:$G$2594,O2268)</f>
        <v>0</v>
      </c>
      <c r="N2268" s="4" t="str">
        <f aca="false">IF(K2268="","",A2268)</f>
        <v/>
      </c>
      <c r="O2268" s="4" t="n">
        <v>2165</v>
      </c>
      <c r="P2268" s="4" t="n">
        <f aca="false">IF(A2268=A2267,P2267+1-M2267,0)</f>
        <v>2</v>
      </c>
    </row>
    <row r="2269" customFormat="false" ht="15" hidden="false" customHeight="false" outlineLevel="0" collapsed="false">
      <c r="A2269" s="30" t="s">
        <v>4223</v>
      </c>
      <c r="B2269" s="30" t="s">
        <v>53</v>
      </c>
      <c r="C2269" s="30" t="s">
        <v>105</v>
      </c>
      <c r="D2269" s="30" t="s">
        <v>217</v>
      </c>
      <c r="E2269" s="4" t="n">
        <v>4</v>
      </c>
      <c r="F2269" s="4" t="s">
        <v>213</v>
      </c>
      <c r="G2269" s="4" t="s">
        <v>1322</v>
      </c>
      <c r="H2269" s="4" t="n">
        <v>1957</v>
      </c>
      <c r="I2269" s="4" t="s">
        <v>217</v>
      </c>
      <c r="J2269" s="25" t="str">
        <f aca="false">IF(M2269=1,"✓","")</f>
        <v/>
      </c>
      <c r="K2269" s="4" t="str">
        <f aca="false">IF(AND(M2269=0,P2269=0),"▶ NEXT","")</f>
        <v/>
      </c>
      <c r="L2269" s="4" t="n">
        <f aca="false">INDEX('Master List'!$F$2:$F$2594,O2269)</f>
        <v>2</v>
      </c>
      <c r="M2269" s="4" t="n">
        <f aca="false">INDEX('Master List'!$G$2:$G$2594,O2269)</f>
        <v>0</v>
      </c>
      <c r="N2269" s="4" t="str">
        <f aca="false">IF(K2269="","",A2269)</f>
        <v/>
      </c>
      <c r="O2269" s="4" t="n">
        <v>966</v>
      </c>
      <c r="P2269" s="4" t="n">
        <f aca="false">IF(A2269=A2268,P2268+1-M2268,0)</f>
        <v>3</v>
      </c>
    </row>
    <row r="2270" customFormat="false" ht="15" hidden="false" customHeight="false" outlineLevel="0" collapsed="false">
      <c r="A2270" s="30" t="s">
        <v>4223</v>
      </c>
      <c r="B2270" s="30" t="s">
        <v>53</v>
      </c>
      <c r="C2270" s="30" t="s">
        <v>105</v>
      </c>
      <c r="D2270" s="30" t="s">
        <v>217</v>
      </c>
      <c r="E2270" s="4" t="n">
        <v>5</v>
      </c>
      <c r="F2270" s="4" t="s">
        <v>213</v>
      </c>
      <c r="G2270" s="4" t="s">
        <v>582</v>
      </c>
      <c r="H2270" s="4" t="n">
        <v>1961</v>
      </c>
      <c r="I2270" s="4" t="s">
        <v>217</v>
      </c>
      <c r="J2270" s="25" t="str">
        <f aca="false">IF(M2270=1,"✓","")</f>
        <v/>
      </c>
      <c r="K2270" s="4" t="str">
        <f aca="false">IF(AND(M2270=0,P2270=0),"▶ NEXT","")</f>
        <v/>
      </c>
      <c r="L2270" s="4" t="n">
        <f aca="false">INDEX('Master List'!$F$2:$F$2594,O2270)</f>
        <v>3</v>
      </c>
      <c r="M2270" s="4" t="n">
        <f aca="false">INDEX('Master List'!$G$2:$G$2594,O2270)</f>
        <v>0</v>
      </c>
      <c r="N2270" s="4" t="str">
        <f aca="false">IF(K2270="","",A2270)</f>
        <v/>
      </c>
      <c r="O2270" s="4" t="n">
        <v>1639</v>
      </c>
      <c r="P2270" s="4" t="n">
        <f aca="false">IF(A2270=A2269,P2269+1-M2269,0)</f>
        <v>4</v>
      </c>
    </row>
    <row r="2271" customFormat="false" ht="15" hidden="false" customHeight="false" outlineLevel="0" collapsed="false">
      <c r="A2271" s="30" t="s">
        <v>4223</v>
      </c>
      <c r="B2271" s="30" t="s">
        <v>53</v>
      </c>
      <c r="C2271" s="30" t="s">
        <v>105</v>
      </c>
      <c r="D2271" s="30" t="s">
        <v>217</v>
      </c>
      <c r="E2271" s="4" t="n">
        <v>6</v>
      </c>
      <c r="F2271" s="4" t="s">
        <v>213</v>
      </c>
      <c r="G2271" s="4" t="s">
        <v>958</v>
      </c>
      <c r="H2271" s="4" t="n">
        <v>1962</v>
      </c>
      <c r="I2271" s="4" t="s">
        <v>217</v>
      </c>
      <c r="J2271" s="25" t="str">
        <f aca="false">IF(M2271=1,"✓","")</f>
        <v/>
      </c>
      <c r="K2271" s="4" t="str">
        <f aca="false">IF(AND(M2271=0,P2271=0),"▶ NEXT","")</f>
        <v/>
      </c>
      <c r="L2271" s="4" t="n">
        <f aca="false">INDEX('Master List'!$F$2:$F$2594,O2271)</f>
        <v>2</v>
      </c>
      <c r="M2271" s="4" t="n">
        <f aca="false">INDEX('Master List'!$G$2:$G$2594,O2271)</f>
        <v>0</v>
      </c>
      <c r="N2271" s="4" t="str">
        <f aca="false">IF(K2271="","",A2271)</f>
        <v/>
      </c>
      <c r="O2271" s="4" t="n">
        <v>708</v>
      </c>
      <c r="P2271" s="4" t="n">
        <f aca="false">IF(A2271=A2270,P2270+1-M2270,0)</f>
        <v>5</v>
      </c>
    </row>
    <row r="2272" customFormat="false" ht="15" hidden="false" customHeight="false" outlineLevel="0" collapsed="false">
      <c r="A2272" s="30" t="s">
        <v>4223</v>
      </c>
      <c r="B2272" s="30" t="s">
        <v>53</v>
      </c>
      <c r="C2272" s="30" t="s">
        <v>105</v>
      </c>
      <c r="D2272" s="30" t="s">
        <v>217</v>
      </c>
      <c r="E2272" s="4" t="n">
        <v>7</v>
      </c>
      <c r="F2272" s="4" t="s">
        <v>213</v>
      </c>
      <c r="G2272" s="4" t="s">
        <v>975</v>
      </c>
      <c r="H2272" s="4" t="n">
        <v>1964</v>
      </c>
      <c r="I2272" s="4" t="s">
        <v>217</v>
      </c>
      <c r="J2272" s="25" t="str">
        <f aca="false">IF(M2272=1,"✓","")</f>
        <v/>
      </c>
      <c r="K2272" s="4" t="str">
        <f aca="false">IF(AND(M2272=0,P2272=0),"▶ NEXT","")</f>
        <v/>
      </c>
      <c r="L2272" s="4" t="n">
        <f aca="false">INDEX('Master List'!$F$2:$F$2594,O2272)</f>
        <v>2</v>
      </c>
      <c r="M2272" s="4" t="n">
        <f aca="false">INDEX('Master List'!$G$2:$G$2594,O2272)</f>
        <v>0</v>
      </c>
      <c r="N2272" s="4" t="str">
        <f aca="false">IF(K2272="","",A2272)</f>
        <v/>
      </c>
      <c r="O2272" s="4" t="n">
        <v>1873</v>
      </c>
      <c r="P2272" s="4" t="n">
        <f aca="false">IF(A2272=A2271,P2271+1-M2271,0)</f>
        <v>6</v>
      </c>
    </row>
    <row r="2273" customFormat="false" ht="15" hidden="false" customHeight="false" outlineLevel="0" collapsed="false">
      <c r="A2273" s="30" t="s">
        <v>4223</v>
      </c>
      <c r="B2273" s="30" t="s">
        <v>53</v>
      </c>
      <c r="C2273" s="30" t="s">
        <v>105</v>
      </c>
      <c r="D2273" s="30" t="s">
        <v>217</v>
      </c>
      <c r="E2273" s="4" t="n">
        <v>8</v>
      </c>
      <c r="F2273" s="4" t="s">
        <v>213</v>
      </c>
      <c r="G2273" s="4" t="s">
        <v>2268</v>
      </c>
      <c r="H2273" s="4" t="n">
        <v>1975</v>
      </c>
      <c r="I2273" s="4" t="s">
        <v>217</v>
      </c>
      <c r="J2273" s="25" t="str">
        <f aca="false">IF(M2273=1,"✓","")</f>
        <v/>
      </c>
      <c r="K2273" s="4" t="str">
        <f aca="false">IF(AND(M2273=0,P2273=0),"▶ NEXT","")</f>
        <v/>
      </c>
      <c r="L2273" s="4" t="n">
        <f aca="false">INDEX('Master List'!$F$2:$F$2594,O2273)</f>
        <v>1</v>
      </c>
      <c r="M2273" s="4" t="n">
        <f aca="false">INDEX('Master List'!$G$2:$G$2594,O2273)</f>
        <v>0</v>
      </c>
      <c r="N2273" s="4" t="str">
        <f aca="false">IF(K2273="","",A2273)</f>
        <v/>
      </c>
      <c r="O2273" s="4" t="n">
        <v>1727</v>
      </c>
      <c r="P2273" s="4" t="n">
        <f aca="false">IF(A2273=A2272,P2272+1-M2272,0)</f>
        <v>7</v>
      </c>
    </row>
    <row r="2274" customFormat="false" ht="15" hidden="false" customHeight="false" outlineLevel="0" collapsed="false">
      <c r="A2274" s="30" t="s">
        <v>4223</v>
      </c>
      <c r="B2274" s="30" t="s">
        <v>53</v>
      </c>
      <c r="C2274" s="30" t="s">
        <v>105</v>
      </c>
      <c r="D2274" s="30" t="s">
        <v>217</v>
      </c>
      <c r="E2274" s="4" t="n">
        <v>9</v>
      </c>
      <c r="F2274" s="4" t="s">
        <v>1327</v>
      </c>
      <c r="G2274" s="4" t="s">
        <v>3477</v>
      </c>
      <c r="H2274" s="4" t="n">
        <v>1970</v>
      </c>
      <c r="I2274" s="4" t="s">
        <v>217</v>
      </c>
      <c r="J2274" s="25" t="str">
        <f aca="false">IF(M2274=1,"✓","")</f>
        <v/>
      </c>
      <c r="K2274" s="4" t="str">
        <f aca="false">IF(AND(M2274=0,P2274=0),"▶ NEXT","")</f>
        <v/>
      </c>
      <c r="L2274" s="4" t="n">
        <f aca="false">INDEX('Master List'!$F$2:$F$2594,O2274)</f>
        <v>1</v>
      </c>
      <c r="M2274" s="4" t="n">
        <f aca="false">INDEX('Master List'!$G$2:$G$2594,O2274)</f>
        <v>0</v>
      </c>
      <c r="N2274" s="4" t="str">
        <f aca="false">IF(K2274="","",A2274)</f>
        <v/>
      </c>
      <c r="O2274" s="4" t="n">
        <v>2580</v>
      </c>
      <c r="P2274" s="4" t="n">
        <f aca="false">IF(A2274=A2273,P2273+1-M2273,0)</f>
        <v>8</v>
      </c>
    </row>
    <row r="2275" customFormat="false" ht="15" hidden="false" customHeight="false" outlineLevel="0" collapsed="false">
      <c r="A2275" s="30" t="s">
        <v>4223</v>
      </c>
      <c r="B2275" s="30" t="s">
        <v>53</v>
      </c>
      <c r="C2275" s="30" t="s">
        <v>105</v>
      </c>
      <c r="D2275" s="30" t="s">
        <v>217</v>
      </c>
      <c r="E2275" s="4" t="n">
        <v>10</v>
      </c>
      <c r="F2275" s="4" t="s">
        <v>1327</v>
      </c>
      <c r="G2275" s="4" t="s">
        <v>3381</v>
      </c>
      <c r="H2275" s="4" t="n">
        <v>1955</v>
      </c>
      <c r="I2275" s="4" t="s">
        <v>217</v>
      </c>
      <c r="J2275" s="25" t="str">
        <f aca="false">IF(M2275=1,"✓","")</f>
        <v/>
      </c>
      <c r="K2275" s="4" t="str">
        <f aca="false">IF(AND(M2275=0,P2275=0),"▶ NEXT","")</f>
        <v/>
      </c>
      <c r="L2275" s="4" t="n">
        <f aca="false">INDEX('Master List'!$F$2:$F$2594,O2275)</f>
        <v>1</v>
      </c>
      <c r="M2275" s="4" t="n">
        <f aca="false">INDEX('Master List'!$G$2:$G$2594,O2275)</f>
        <v>0</v>
      </c>
      <c r="N2275" s="4" t="str">
        <f aca="false">IF(K2275="","",A2275)</f>
        <v/>
      </c>
      <c r="O2275" s="4" t="n">
        <v>94</v>
      </c>
      <c r="P2275" s="4" t="n">
        <f aca="false">IF(A2275=A2274,P2274+1-M2274,0)</f>
        <v>9</v>
      </c>
    </row>
    <row r="2276" customFormat="false" ht="15" hidden="false" customHeight="false" outlineLevel="0" collapsed="false">
      <c r="A2276" s="30" t="s">
        <v>4224</v>
      </c>
      <c r="B2276" s="30" t="s">
        <v>53</v>
      </c>
      <c r="C2276" s="30" t="s">
        <v>105</v>
      </c>
      <c r="D2276" s="30" t="s">
        <v>152</v>
      </c>
      <c r="E2276" s="4" t="n">
        <v>1</v>
      </c>
      <c r="F2276" s="4" t="s">
        <v>144</v>
      </c>
      <c r="G2276" s="7" t="s">
        <v>151</v>
      </c>
      <c r="H2276" s="4" t="n">
        <v>1960</v>
      </c>
      <c r="I2276" s="4" t="s">
        <v>152</v>
      </c>
      <c r="J2276" s="25" t="str">
        <f aca="false">IF(M2276=1,"✓","")</f>
        <v/>
      </c>
      <c r="K2276" s="4" t="str">
        <f aca="false">IF(AND(M2276=0,P2276=0),"▶ NEXT","")</f>
        <v>▶ NEXT</v>
      </c>
      <c r="L2276" s="4" t="n">
        <f aca="false">INDEX('Master List'!$F$2:$F$2594,O2276)</f>
        <v>9</v>
      </c>
      <c r="M2276" s="4" t="n">
        <f aca="false">INDEX('Master List'!$G$2:$G$2594,O2276)</f>
        <v>0</v>
      </c>
      <c r="N2276" s="4" t="str">
        <f aca="false">IF(K2276="","",A2276)</f>
        <v>N189</v>
      </c>
      <c r="O2276" s="4" t="n">
        <v>342</v>
      </c>
      <c r="P2276" s="4" t="n">
        <f aca="false">IF(A2276=A2275,P2275+1-M2275,0)</f>
        <v>0</v>
      </c>
    </row>
    <row r="2277" customFormat="false" ht="15" hidden="false" customHeight="false" outlineLevel="0" collapsed="false">
      <c r="A2277" s="30" t="s">
        <v>4224</v>
      </c>
      <c r="B2277" s="30" t="s">
        <v>53</v>
      </c>
      <c r="C2277" s="30" t="s">
        <v>105</v>
      </c>
      <c r="D2277" s="30" t="s">
        <v>152</v>
      </c>
      <c r="E2277" s="4" t="n">
        <v>2</v>
      </c>
      <c r="F2277" s="4" t="s">
        <v>144</v>
      </c>
      <c r="G2277" s="7" t="s">
        <v>462</v>
      </c>
      <c r="H2277" s="4" t="n">
        <v>1963</v>
      </c>
      <c r="I2277" s="4" t="s">
        <v>152</v>
      </c>
      <c r="J2277" s="25" t="str">
        <f aca="false">IF(M2277=1,"✓","")</f>
        <v/>
      </c>
      <c r="K2277" s="4" t="str">
        <f aca="false">IF(AND(M2277=0,P2277=0),"▶ NEXT","")</f>
        <v/>
      </c>
      <c r="L2277" s="4" t="n">
        <f aca="false">INDEX('Master List'!$F$2:$F$2594,O2277)</f>
        <v>3</v>
      </c>
      <c r="M2277" s="4" t="n">
        <f aca="false">INDEX('Master List'!$G$2:$G$2594,O2277)</f>
        <v>0</v>
      </c>
      <c r="N2277" s="4" t="str">
        <f aca="false">IF(K2277="","",A2277)</f>
        <v/>
      </c>
      <c r="O2277" s="4" t="n">
        <v>518</v>
      </c>
      <c r="P2277" s="4" t="n">
        <f aca="false">IF(A2277=A2276,P2276+1-M2276,0)</f>
        <v>1</v>
      </c>
    </row>
    <row r="2278" customFormat="false" ht="15" hidden="false" customHeight="false" outlineLevel="0" collapsed="false">
      <c r="A2278" s="30" t="s">
        <v>4224</v>
      </c>
      <c r="B2278" s="30" t="s">
        <v>53</v>
      </c>
      <c r="C2278" s="30" t="s">
        <v>105</v>
      </c>
      <c r="D2278" s="30" t="s">
        <v>152</v>
      </c>
      <c r="E2278" s="4" t="n">
        <v>3</v>
      </c>
      <c r="F2278" s="4" t="s">
        <v>213</v>
      </c>
      <c r="G2278" s="4" t="s">
        <v>962</v>
      </c>
      <c r="H2278" s="4" t="n">
        <v>1962</v>
      </c>
      <c r="I2278" s="4" t="s">
        <v>152</v>
      </c>
      <c r="J2278" s="25" t="str">
        <f aca="false">IF(M2278=1,"✓","")</f>
        <v/>
      </c>
      <c r="K2278" s="4" t="str">
        <f aca="false">IF(AND(M2278=0,P2278=0),"▶ NEXT","")</f>
        <v/>
      </c>
      <c r="L2278" s="4" t="n">
        <f aca="false">INDEX('Master List'!$F$2:$F$2594,O2278)</f>
        <v>2</v>
      </c>
      <c r="M2278" s="4" t="n">
        <f aca="false">INDEX('Master List'!$G$2:$G$2594,O2278)</f>
        <v>0</v>
      </c>
      <c r="N2278" s="4" t="str">
        <f aca="false">IF(K2278="","",A2278)</f>
        <v/>
      </c>
      <c r="O2278" s="4" t="n">
        <v>2440</v>
      </c>
      <c r="P2278" s="4" t="n">
        <f aca="false">IF(A2278=A2277,P2277+1-M2277,0)</f>
        <v>2</v>
      </c>
    </row>
    <row r="2279" customFormat="false" ht="15" hidden="false" customHeight="false" outlineLevel="0" collapsed="false">
      <c r="A2279" s="30" t="s">
        <v>4224</v>
      </c>
      <c r="B2279" s="30" t="s">
        <v>53</v>
      </c>
      <c r="C2279" s="30" t="s">
        <v>105</v>
      </c>
      <c r="D2279" s="30" t="s">
        <v>152</v>
      </c>
      <c r="E2279" s="4" t="n">
        <v>4</v>
      </c>
      <c r="F2279" s="4" t="s">
        <v>213</v>
      </c>
      <c r="G2279" s="4" t="s">
        <v>585</v>
      </c>
      <c r="H2279" s="4" t="n">
        <v>1964</v>
      </c>
      <c r="I2279" s="4" t="s">
        <v>152</v>
      </c>
      <c r="J2279" s="25" t="str">
        <f aca="false">IF(M2279=1,"✓","")</f>
        <v/>
      </c>
      <c r="K2279" s="4" t="str">
        <f aca="false">IF(AND(M2279=0,P2279=0),"▶ NEXT","")</f>
        <v/>
      </c>
      <c r="L2279" s="4" t="n">
        <f aca="false">INDEX('Master List'!$F$2:$F$2594,O2279)</f>
        <v>3</v>
      </c>
      <c r="M2279" s="4" t="n">
        <f aca="false">INDEX('Master List'!$G$2:$G$2594,O2279)</f>
        <v>0</v>
      </c>
      <c r="N2279" s="4" t="str">
        <f aca="false">IF(K2279="","",A2279)</f>
        <v/>
      </c>
      <c r="O2279" s="4" t="n">
        <v>182</v>
      </c>
      <c r="P2279" s="4" t="n">
        <f aca="false">IF(A2279=A2278,P2278+1-M2278,0)</f>
        <v>3</v>
      </c>
    </row>
    <row r="2280" customFormat="false" ht="15" hidden="false" customHeight="false" outlineLevel="0" collapsed="false">
      <c r="A2280" s="30" t="s">
        <v>4224</v>
      </c>
      <c r="B2280" s="30" t="s">
        <v>53</v>
      </c>
      <c r="C2280" s="30" t="s">
        <v>105</v>
      </c>
      <c r="D2280" s="30" t="s">
        <v>152</v>
      </c>
      <c r="E2280" s="4" t="n">
        <v>5</v>
      </c>
      <c r="F2280" s="4" t="s">
        <v>213</v>
      </c>
      <c r="G2280" s="4" t="s">
        <v>664</v>
      </c>
      <c r="H2280" s="4" t="n">
        <v>1965</v>
      </c>
      <c r="I2280" s="4" t="s">
        <v>152</v>
      </c>
      <c r="J2280" s="25" t="str">
        <f aca="false">IF(M2280=1,"✓","")</f>
        <v/>
      </c>
      <c r="K2280" s="4" t="str">
        <f aca="false">IF(AND(M2280=0,P2280=0),"▶ NEXT","")</f>
        <v/>
      </c>
      <c r="L2280" s="4" t="n">
        <f aca="false">INDEX('Master List'!$F$2:$F$2594,O2280)</f>
        <v>3</v>
      </c>
      <c r="M2280" s="4" t="n">
        <f aca="false">INDEX('Master List'!$G$2:$G$2594,O2280)</f>
        <v>0</v>
      </c>
      <c r="N2280" s="4" t="str">
        <f aca="false">IF(K2280="","",A2280)</f>
        <v/>
      </c>
      <c r="O2280" s="4" t="n">
        <v>82</v>
      </c>
      <c r="P2280" s="4" t="n">
        <f aca="false">IF(A2280=A2279,P2279+1-M2279,0)</f>
        <v>4</v>
      </c>
    </row>
    <row r="2281" customFormat="false" ht="15" hidden="false" customHeight="false" outlineLevel="0" collapsed="false">
      <c r="A2281" s="30" t="s">
        <v>4224</v>
      </c>
      <c r="B2281" s="30" t="s">
        <v>53</v>
      </c>
      <c r="C2281" s="30" t="s">
        <v>105</v>
      </c>
      <c r="D2281" s="30" t="s">
        <v>152</v>
      </c>
      <c r="E2281" s="4" t="n">
        <v>6</v>
      </c>
      <c r="F2281" s="4" t="s">
        <v>213</v>
      </c>
      <c r="G2281" s="4" t="s">
        <v>984</v>
      </c>
      <c r="H2281" s="4" t="n">
        <v>1965</v>
      </c>
      <c r="I2281" s="4" t="s">
        <v>152</v>
      </c>
      <c r="J2281" s="25" t="str">
        <f aca="false">IF(M2281=1,"✓","")</f>
        <v/>
      </c>
      <c r="K2281" s="4" t="str">
        <f aca="false">IF(AND(M2281=0,P2281=0),"▶ NEXT","")</f>
        <v/>
      </c>
      <c r="L2281" s="4" t="n">
        <f aca="false">INDEX('Master List'!$F$2:$F$2594,O2281)</f>
        <v>2</v>
      </c>
      <c r="M2281" s="4" t="n">
        <f aca="false">INDEX('Master List'!$G$2:$G$2594,O2281)</f>
        <v>0</v>
      </c>
      <c r="N2281" s="4" t="str">
        <f aca="false">IF(K2281="","",A2281)</f>
        <v/>
      </c>
      <c r="O2281" s="4" t="n">
        <v>1765</v>
      </c>
      <c r="P2281" s="4" t="n">
        <f aca="false">IF(A2281=A2280,P2280+1-M2280,0)</f>
        <v>5</v>
      </c>
    </row>
    <row r="2282" customFormat="false" ht="15" hidden="false" customHeight="false" outlineLevel="0" collapsed="false">
      <c r="A2282" s="30" t="s">
        <v>4224</v>
      </c>
      <c r="B2282" s="30" t="s">
        <v>53</v>
      </c>
      <c r="C2282" s="30" t="s">
        <v>105</v>
      </c>
      <c r="D2282" s="30" t="s">
        <v>152</v>
      </c>
      <c r="E2282" s="4" t="n">
        <v>7</v>
      </c>
      <c r="F2282" s="4" t="s">
        <v>213</v>
      </c>
      <c r="G2282" s="4" t="s">
        <v>2086</v>
      </c>
      <c r="H2282" s="4" t="n">
        <v>1966</v>
      </c>
      <c r="I2282" s="4" t="s">
        <v>152</v>
      </c>
      <c r="J2282" s="25" t="str">
        <f aca="false">IF(M2282=1,"✓","")</f>
        <v/>
      </c>
      <c r="K2282" s="4" t="str">
        <f aca="false">IF(AND(M2282=0,P2282=0),"▶ NEXT","")</f>
        <v/>
      </c>
      <c r="L2282" s="4" t="n">
        <f aca="false">INDEX('Master List'!$F$2:$F$2594,O2282)</f>
        <v>1</v>
      </c>
      <c r="M2282" s="4" t="n">
        <f aca="false">INDEX('Master List'!$G$2:$G$2594,O2282)</f>
        <v>0</v>
      </c>
      <c r="N2282" s="4" t="str">
        <f aca="false">IF(K2282="","",A2282)</f>
        <v/>
      </c>
      <c r="O2282" s="4" t="n">
        <v>1456</v>
      </c>
      <c r="P2282" s="4" t="n">
        <f aca="false">IF(A2282=A2281,P2281+1-M2281,0)</f>
        <v>6</v>
      </c>
    </row>
    <row r="2283" customFormat="false" ht="15" hidden="false" customHeight="false" outlineLevel="0" collapsed="false">
      <c r="A2283" s="30" t="s">
        <v>4224</v>
      </c>
      <c r="B2283" s="30" t="s">
        <v>53</v>
      </c>
      <c r="C2283" s="30" t="s">
        <v>105</v>
      </c>
      <c r="D2283" s="30" t="s">
        <v>152</v>
      </c>
      <c r="E2283" s="4" t="n">
        <v>8</v>
      </c>
      <c r="F2283" s="4" t="s">
        <v>213</v>
      </c>
      <c r="G2283" s="4" t="s">
        <v>2106</v>
      </c>
      <c r="H2283" s="4" t="n">
        <v>1967</v>
      </c>
      <c r="I2283" s="4" t="s">
        <v>152</v>
      </c>
      <c r="J2283" s="25" t="str">
        <f aca="false">IF(M2283=1,"✓","")</f>
        <v/>
      </c>
      <c r="K2283" s="4" t="str">
        <f aca="false">IF(AND(M2283=0,P2283=0),"▶ NEXT","")</f>
        <v/>
      </c>
      <c r="L2283" s="4" t="n">
        <f aca="false">INDEX('Master List'!$F$2:$F$2594,O2283)</f>
        <v>1</v>
      </c>
      <c r="M2283" s="4" t="n">
        <f aca="false">INDEX('Master List'!$G$2:$G$2594,O2283)</f>
        <v>0</v>
      </c>
      <c r="N2283" s="4" t="str">
        <f aca="false">IF(K2283="","",A2283)</f>
        <v/>
      </c>
      <c r="O2283" s="4" t="n">
        <v>11</v>
      </c>
      <c r="P2283" s="4" t="n">
        <f aca="false">IF(A2283=A2282,P2282+1-M2282,0)</f>
        <v>7</v>
      </c>
    </row>
    <row r="2284" customFormat="false" ht="15" hidden="false" customHeight="false" outlineLevel="0" collapsed="false">
      <c r="A2284" s="30" t="s">
        <v>4224</v>
      </c>
      <c r="B2284" s="30" t="s">
        <v>53</v>
      </c>
      <c r="C2284" s="30" t="s">
        <v>105</v>
      </c>
      <c r="D2284" s="30" t="s">
        <v>152</v>
      </c>
      <c r="E2284" s="4" t="n">
        <v>9</v>
      </c>
      <c r="F2284" s="4" t="s">
        <v>213</v>
      </c>
      <c r="G2284" s="4" t="s">
        <v>2107</v>
      </c>
      <c r="H2284" s="4" t="n">
        <v>1967</v>
      </c>
      <c r="I2284" s="4" t="s">
        <v>152</v>
      </c>
      <c r="J2284" s="25" t="str">
        <f aca="false">IF(M2284=1,"✓","")</f>
        <v/>
      </c>
      <c r="K2284" s="4" t="str">
        <f aca="false">IF(AND(M2284=0,P2284=0),"▶ NEXT","")</f>
        <v/>
      </c>
      <c r="L2284" s="4" t="n">
        <f aca="false">INDEX('Master List'!$F$2:$F$2594,O2284)</f>
        <v>1</v>
      </c>
      <c r="M2284" s="4" t="n">
        <f aca="false">INDEX('Master List'!$G$2:$G$2594,O2284)</f>
        <v>0</v>
      </c>
      <c r="N2284" s="4" t="str">
        <f aca="false">IF(K2284="","",A2284)</f>
        <v/>
      </c>
      <c r="O2284" s="4" t="n">
        <v>2477</v>
      </c>
      <c r="P2284" s="4" t="n">
        <f aca="false">IF(A2284=A2283,P2283+1-M2283,0)</f>
        <v>8</v>
      </c>
    </row>
    <row r="2285" customFormat="false" ht="15" hidden="false" customHeight="false" outlineLevel="0" collapsed="false">
      <c r="A2285" s="30" t="s">
        <v>4224</v>
      </c>
      <c r="B2285" s="30" t="s">
        <v>53</v>
      </c>
      <c r="C2285" s="30" t="s">
        <v>105</v>
      </c>
      <c r="D2285" s="30" t="s">
        <v>152</v>
      </c>
      <c r="E2285" s="4" t="n">
        <v>10</v>
      </c>
      <c r="F2285" s="4" t="s">
        <v>1327</v>
      </c>
      <c r="G2285" s="4" t="s">
        <v>3503</v>
      </c>
      <c r="H2285" s="4" t="n">
        <v>1972</v>
      </c>
      <c r="I2285" s="4" t="s">
        <v>3504</v>
      </c>
      <c r="J2285" s="25" t="str">
        <f aca="false">IF(M2285=1,"✓","")</f>
        <v/>
      </c>
      <c r="K2285" s="4" t="str">
        <f aca="false">IF(AND(M2285=0,P2285=0),"▶ NEXT","")</f>
        <v/>
      </c>
      <c r="L2285" s="4" t="n">
        <f aca="false">INDEX('Master List'!$F$2:$F$2594,O2285)</f>
        <v>1</v>
      </c>
      <c r="M2285" s="4" t="n">
        <f aca="false">INDEX('Master List'!$G$2:$G$2594,O2285)</f>
        <v>0</v>
      </c>
      <c r="N2285" s="4" t="str">
        <f aca="false">IF(K2285="","",A2285)</f>
        <v/>
      </c>
      <c r="O2285" s="4" t="n">
        <v>2350</v>
      </c>
      <c r="P2285" s="4" t="n">
        <f aca="false">IF(A2285=A2284,P2284+1-M2284,0)</f>
        <v>9</v>
      </c>
    </row>
    <row r="2286" customFormat="false" ht="15" hidden="false" customHeight="false" outlineLevel="0" collapsed="false">
      <c r="A2286" s="30" t="s">
        <v>4224</v>
      </c>
      <c r="B2286" s="30" t="s">
        <v>53</v>
      </c>
      <c r="C2286" s="30" t="s">
        <v>105</v>
      </c>
      <c r="D2286" s="30" t="s">
        <v>152</v>
      </c>
      <c r="E2286" s="4" t="n">
        <v>11</v>
      </c>
      <c r="F2286" s="4" t="s">
        <v>1327</v>
      </c>
      <c r="G2286" s="4" t="s">
        <v>896</v>
      </c>
      <c r="H2286" s="4" t="n">
        <v>1998</v>
      </c>
      <c r="I2286" s="4" t="s">
        <v>152</v>
      </c>
      <c r="J2286" s="25" t="str">
        <f aca="false">IF(M2286=1,"✓","")</f>
        <v/>
      </c>
      <c r="K2286" s="4" t="str">
        <f aca="false">IF(AND(M2286=0,P2286=0),"▶ NEXT","")</f>
        <v/>
      </c>
      <c r="L2286" s="4" t="n">
        <f aca="false">INDEX('Master List'!$F$2:$F$2594,O2286)</f>
        <v>3</v>
      </c>
      <c r="M2286" s="4" t="n">
        <f aca="false">INDEX('Master List'!$G$2:$G$2594,O2286)</f>
        <v>0</v>
      </c>
      <c r="N2286" s="4" t="str">
        <f aca="false">IF(K2286="","",A2286)</f>
        <v/>
      </c>
      <c r="O2286" s="4" t="n">
        <v>1043</v>
      </c>
      <c r="P2286" s="4" t="n">
        <f aca="false">IF(A2286=A2285,P2285+1-M2285,0)</f>
        <v>10</v>
      </c>
    </row>
    <row r="2287" customFormat="false" ht="15" hidden="false" customHeight="false" outlineLevel="0" collapsed="false">
      <c r="A2287" s="30" t="s">
        <v>4224</v>
      </c>
      <c r="B2287" s="30" t="s">
        <v>53</v>
      </c>
      <c r="C2287" s="30" t="s">
        <v>105</v>
      </c>
      <c r="D2287" s="30" t="s">
        <v>152</v>
      </c>
      <c r="E2287" s="4" t="n">
        <v>12</v>
      </c>
      <c r="F2287" s="4" t="s">
        <v>1327</v>
      </c>
      <c r="G2287" s="4" t="s">
        <v>3820</v>
      </c>
      <c r="H2287" s="4" t="n">
        <v>2014</v>
      </c>
      <c r="I2287" s="4" t="s">
        <v>152</v>
      </c>
      <c r="J2287" s="25" t="str">
        <f aca="false">IF(M2287=1,"✓","")</f>
        <v/>
      </c>
      <c r="K2287" s="4" t="str">
        <f aca="false">IF(AND(M2287=0,P2287=0),"▶ NEXT","")</f>
        <v/>
      </c>
      <c r="L2287" s="4" t="n">
        <f aca="false">INDEX('Master List'!$F$2:$F$2594,O2287)</f>
        <v>1</v>
      </c>
      <c r="M2287" s="4" t="n">
        <f aca="false">INDEX('Master List'!$G$2:$G$2594,O2287)</f>
        <v>0</v>
      </c>
      <c r="N2287" s="4" t="str">
        <f aca="false">IF(K2287="","",A2287)</f>
        <v/>
      </c>
      <c r="O2287" s="4" t="n">
        <v>935</v>
      </c>
      <c r="P2287" s="4" t="n">
        <f aca="false">IF(A2287=A2286,P2286+1-M2286,0)</f>
        <v>11</v>
      </c>
    </row>
    <row r="2288" customFormat="false" ht="15" hidden="false" customHeight="false" outlineLevel="0" collapsed="false">
      <c r="A2288" s="30" t="s">
        <v>4225</v>
      </c>
      <c r="B2288" s="30" t="s">
        <v>53</v>
      </c>
      <c r="C2288" s="30" t="s">
        <v>105</v>
      </c>
      <c r="D2288" s="30" t="s">
        <v>4226</v>
      </c>
      <c r="E2288" s="4" t="n">
        <v>1</v>
      </c>
      <c r="F2288" s="4" t="s">
        <v>144</v>
      </c>
      <c r="G2288" s="7" t="s">
        <v>149</v>
      </c>
      <c r="H2288" s="4" t="n">
        <v>1959</v>
      </c>
      <c r="I2288" s="4" t="s">
        <v>150</v>
      </c>
      <c r="J2288" s="25" t="str">
        <f aca="false">IF(M2288=1,"✓","")</f>
        <v/>
      </c>
      <c r="K2288" s="4" t="str">
        <f aca="false">IF(AND(M2288=0,P2288=0),"▶ NEXT","")</f>
        <v>▶ NEXT</v>
      </c>
      <c r="L2288" s="4" t="n">
        <f aca="false">INDEX('Master List'!$F$2:$F$2594,O2288)</f>
        <v>8</v>
      </c>
      <c r="M2288" s="4" t="n">
        <f aca="false">INDEX('Master List'!$G$2:$G$2594,O2288)</f>
        <v>0</v>
      </c>
      <c r="N2288" s="4" t="str">
        <f aca="false">IF(K2288="","",A2288)</f>
        <v>N190</v>
      </c>
      <c r="O2288" s="4" t="n">
        <v>25</v>
      </c>
      <c r="P2288" s="4" t="n">
        <f aca="false">IF(A2288=A2287,P2287+1-M2287,0)</f>
        <v>0</v>
      </c>
    </row>
    <row r="2289" customFormat="false" ht="15" hidden="false" customHeight="false" outlineLevel="0" collapsed="false">
      <c r="A2289" s="30" t="s">
        <v>4225</v>
      </c>
      <c r="B2289" s="30" t="s">
        <v>53</v>
      </c>
      <c r="C2289" s="30" t="s">
        <v>105</v>
      </c>
      <c r="D2289" s="30" t="s">
        <v>4226</v>
      </c>
      <c r="E2289" s="4" t="n">
        <v>2</v>
      </c>
      <c r="F2289" s="4" t="s">
        <v>144</v>
      </c>
      <c r="G2289" s="7" t="s">
        <v>418</v>
      </c>
      <c r="H2289" s="4" t="n">
        <v>1969</v>
      </c>
      <c r="I2289" s="4" t="s">
        <v>419</v>
      </c>
      <c r="J2289" s="25" t="str">
        <f aca="false">IF(M2289=1,"✓","")</f>
        <v/>
      </c>
      <c r="K2289" s="4" t="str">
        <f aca="false">IF(AND(M2289=0,P2289=0),"▶ NEXT","")</f>
        <v/>
      </c>
      <c r="L2289" s="4" t="n">
        <f aca="false">INDEX('Master List'!$F$2:$F$2594,O2289)</f>
        <v>3</v>
      </c>
      <c r="M2289" s="4" t="n">
        <f aca="false">INDEX('Master List'!$G$2:$G$2594,O2289)</f>
        <v>0</v>
      </c>
      <c r="N2289" s="4" t="str">
        <f aca="false">IF(K2289="","",A2289)</f>
        <v/>
      </c>
      <c r="O2289" s="4" t="n">
        <v>1575</v>
      </c>
      <c r="P2289" s="4" t="n">
        <f aca="false">IF(A2289=A2288,P2288+1-M2288,0)</f>
        <v>1</v>
      </c>
    </row>
    <row r="2290" customFormat="false" ht="15" hidden="false" customHeight="false" outlineLevel="0" collapsed="false">
      <c r="A2290" s="30" t="s">
        <v>4225</v>
      </c>
      <c r="B2290" s="30" t="s">
        <v>53</v>
      </c>
      <c r="C2290" s="30" t="s">
        <v>105</v>
      </c>
      <c r="D2290" s="30" t="s">
        <v>4226</v>
      </c>
      <c r="E2290" s="4" t="n">
        <v>3</v>
      </c>
      <c r="F2290" s="4" t="s">
        <v>213</v>
      </c>
      <c r="G2290" s="4" t="s">
        <v>961</v>
      </c>
      <c r="H2290" s="4" t="n">
        <v>1962</v>
      </c>
      <c r="I2290" s="4" t="s">
        <v>150</v>
      </c>
      <c r="J2290" s="25" t="str">
        <f aca="false">IF(M2290=1,"✓","")</f>
        <v/>
      </c>
      <c r="K2290" s="4" t="str">
        <f aca="false">IF(AND(M2290=0,P2290=0),"▶ NEXT","")</f>
        <v/>
      </c>
      <c r="L2290" s="4" t="n">
        <f aca="false">INDEX('Master List'!$F$2:$F$2594,O2290)</f>
        <v>2</v>
      </c>
      <c r="M2290" s="4" t="n">
        <f aca="false">INDEX('Master List'!$G$2:$G$2594,O2290)</f>
        <v>0</v>
      </c>
      <c r="N2290" s="4" t="str">
        <f aca="false">IF(K2290="","",A2290)</f>
        <v/>
      </c>
      <c r="O2290" s="4" t="n">
        <v>1223</v>
      </c>
      <c r="P2290" s="4" t="n">
        <f aca="false">IF(A2290=A2289,P2289+1-M2289,0)</f>
        <v>2</v>
      </c>
    </row>
    <row r="2291" customFormat="false" ht="15" hidden="false" customHeight="false" outlineLevel="0" collapsed="false">
      <c r="A2291" s="30" t="s">
        <v>4225</v>
      </c>
      <c r="B2291" s="30" t="s">
        <v>53</v>
      </c>
      <c r="C2291" s="30" t="s">
        <v>105</v>
      </c>
      <c r="D2291" s="30" t="s">
        <v>4226</v>
      </c>
      <c r="E2291" s="4" t="n">
        <v>4</v>
      </c>
      <c r="F2291" s="4" t="s">
        <v>213</v>
      </c>
      <c r="G2291" s="4" t="s">
        <v>1001</v>
      </c>
      <c r="H2291" s="4" t="n">
        <v>1968</v>
      </c>
      <c r="I2291" s="4" t="s">
        <v>150</v>
      </c>
      <c r="J2291" s="25" t="str">
        <f aca="false">IF(M2291=1,"✓","")</f>
        <v/>
      </c>
      <c r="K2291" s="4" t="str">
        <f aca="false">IF(AND(M2291=0,P2291=0),"▶ NEXT","")</f>
        <v/>
      </c>
      <c r="L2291" s="4" t="n">
        <f aca="false">INDEX('Master List'!$F$2:$F$2594,O2291)</f>
        <v>2</v>
      </c>
      <c r="M2291" s="4" t="n">
        <f aca="false">INDEX('Master List'!$G$2:$G$2594,O2291)</f>
        <v>0</v>
      </c>
      <c r="N2291" s="4" t="str">
        <f aca="false">IF(K2291="","",A2291)</f>
        <v/>
      </c>
      <c r="O2291" s="4" t="n">
        <v>2160</v>
      </c>
      <c r="P2291" s="4" t="n">
        <f aca="false">IF(A2291=A2290,P2290+1-M2290,0)</f>
        <v>3</v>
      </c>
    </row>
    <row r="2292" customFormat="false" ht="15" hidden="false" customHeight="false" outlineLevel="0" collapsed="false">
      <c r="A2292" s="30" t="s">
        <v>4225</v>
      </c>
      <c r="B2292" s="30" t="s">
        <v>53</v>
      </c>
      <c r="C2292" s="30" t="s">
        <v>105</v>
      </c>
      <c r="D2292" s="30" t="s">
        <v>4226</v>
      </c>
      <c r="E2292" s="4" t="n">
        <v>5</v>
      </c>
      <c r="F2292" s="4" t="s">
        <v>213</v>
      </c>
      <c r="G2292" s="4" t="s">
        <v>1020</v>
      </c>
      <c r="H2292" s="4" t="n">
        <v>1973</v>
      </c>
      <c r="I2292" s="4" t="s">
        <v>150</v>
      </c>
      <c r="J2292" s="25" t="str">
        <f aca="false">IF(M2292=1,"✓","")</f>
        <v/>
      </c>
      <c r="K2292" s="4" t="str">
        <f aca="false">IF(AND(M2292=0,P2292=0),"▶ NEXT","")</f>
        <v/>
      </c>
      <c r="L2292" s="4" t="n">
        <f aca="false">INDEX('Master List'!$F$2:$F$2594,O2292)</f>
        <v>2</v>
      </c>
      <c r="M2292" s="4" t="n">
        <f aca="false">INDEX('Master List'!$G$2:$G$2594,O2292)</f>
        <v>0</v>
      </c>
      <c r="N2292" s="4" t="str">
        <f aca="false">IF(K2292="","",A2292)</f>
        <v/>
      </c>
      <c r="O2292" s="4" t="n">
        <v>572</v>
      </c>
      <c r="P2292" s="4" t="n">
        <f aca="false">IF(A2292=A2291,P2291+1-M2291,0)</f>
        <v>4</v>
      </c>
    </row>
    <row r="2293" customFormat="false" ht="15" hidden="false" customHeight="false" outlineLevel="0" collapsed="false">
      <c r="A2293" s="30" t="s">
        <v>4225</v>
      </c>
      <c r="B2293" s="30" t="s">
        <v>53</v>
      </c>
      <c r="C2293" s="30" t="s">
        <v>105</v>
      </c>
      <c r="D2293" s="30" t="s">
        <v>4226</v>
      </c>
      <c r="E2293" s="4" t="n">
        <v>6</v>
      </c>
      <c r="F2293" s="4" t="s">
        <v>213</v>
      </c>
      <c r="G2293" s="4" t="s">
        <v>2269</v>
      </c>
      <c r="H2293" s="4" t="n">
        <v>1975</v>
      </c>
      <c r="I2293" s="4" t="s">
        <v>150</v>
      </c>
      <c r="J2293" s="25" t="str">
        <f aca="false">IF(M2293=1,"✓","")</f>
        <v/>
      </c>
      <c r="K2293" s="4" t="str">
        <f aca="false">IF(AND(M2293=0,P2293=0),"▶ NEXT","")</f>
        <v/>
      </c>
      <c r="L2293" s="4" t="n">
        <f aca="false">INDEX('Master List'!$F$2:$F$2594,O2293)</f>
        <v>1</v>
      </c>
      <c r="M2293" s="4" t="n">
        <f aca="false">INDEX('Master List'!$G$2:$G$2594,O2293)</f>
        <v>0</v>
      </c>
      <c r="N2293" s="4" t="str">
        <f aca="false">IF(K2293="","",A2293)</f>
        <v/>
      </c>
      <c r="O2293" s="4" t="n">
        <v>2166</v>
      </c>
      <c r="P2293" s="4" t="n">
        <f aca="false">IF(A2293=A2292,P2292+1-M2292,0)</f>
        <v>5</v>
      </c>
    </row>
    <row r="2294" customFormat="false" ht="15" hidden="false" customHeight="false" outlineLevel="0" collapsed="false">
      <c r="A2294" s="30" t="s">
        <v>4225</v>
      </c>
      <c r="B2294" s="30" t="s">
        <v>53</v>
      </c>
      <c r="C2294" s="30" t="s">
        <v>105</v>
      </c>
      <c r="D2294" s="30" t="s">
        <v>4226</v>
      </c>
      <c r="E2294" s="4" t="n">
        <v>7</v>
      </c>
      <c r="F2294" s="4" t="s">
        <v>213</v>
      </c>
      <c r="G2294" s="4" t="s">
        <v>2343</v>
      </c>
      <c r="H2294" s="4" t="n">
        <v>1980</v>
      </c>
      <c r="I2294" s="4" t="s">
        <v>150</v>
      </c>
      <c r="J2294" s="25" t="str">
        <f aca="false">IF(M2294=1,"✓","")</f>
        <v/>
      </c>
      <c r="K2294" s="4" t="str">
        <f aca="false">IF(AND(M2294=0,P2294=0),"▶ NEXT","")</f>
        <v/>
      </c>
      <c r="L2294" s="4" t="n">
        <f aca="false">INDEX('Master List'!$F$2:$F$2594,O2294)</f>
        <v>1</v>
      </c>
      <c r="M2294" s="4" t="n">
        <f aca="false">INDEX('Master List'!$G$2:$G$2594,O2294)</f>
        <v>0</v>
      </c>
      <c r="N2294" s="4" t="str">
        <f aca="false">IF(K2294="","",A2294)</f>
        <v/>
      </c>
      <c r="O2294" s="4" t="n">
        <v>1297</v>
      </c>
      <c r="P2294" s="4" t="n">
        <f aca="false">IF(A2294=A2293,P2293+1-M2293,0)</f>
        <v>6</v>
      </c>
    </row>
    <row r="2295" customFormat="false" ht="15" hidden="false" customHeight="false" outlineLevel="0" collapsed="false">
      <c r="A2295" s="30" t="s">
        <v>4225</v>
      </c>
      <c r="B2295" s="30" t="s">
        <v>53</v>
      </c>
      <c r="C2295" s="30" t="s">
        <v>105</v>
      </c>
      <c r="D2295" s="30" t="s">
        <v>4226</v>
      </c>
      <c r="E2295" s="4" t="n">
        <v>8</v>
      </c>
      <c r="F2295" s="4" t="s">
        <v>213</v>
      </c>
      <c r="G2295" s="4" t="s">
        <v>2108</v>
      </c>
      <c r="H2295" s="4" t="n">
        <v>1967</v>
      </c>
      <c r="I2295" s="4" t="s">
        <v>419</v>
      </c>
      <c r="J2295" s="25" t="str">
        <f aca="false">IF(M2295=1,"✓","")</f>
        <v/>
      </c>
      <c r="K2295" s="4" t="str">
        <f aca="false">IF(AND(M2295=0,P2295=0),"▶ NEXT","")</f>
        <v/>
      </c>
      <c r="L2295" s="4" t="n">
        <f aca="false">INDEX('Master List'!$F$2:$F$2594,O2295)</f>
        <v>1</v>
      </c>
      <c r="M2295" s="4" t="n">
        <f aca="false">INDEX('Master List'!$G$2:$G$2594,O2295)</f>
        <v>0</v>
      </c>
      <c r="N2295" s="4" t="str">
        <f aca="false">IF(K2295="","",A2295)</f>
        <v/>
      </c>
      <c r="O2295" s="4" t="n">
        <v>496</v>
      </c>
      <c r="P2295" s="4" t="n">
        <f aca="false">IF(A2295=A2294,P2294+1-M2294,0)</f>
        <v>7</v>
      </c>
    </row>
    <row r="2296" customFormat="false" ht="15" hidden="false" customHeight="false" outlineLevel="0" collapsed="false">
      <c r="A2296" s="30" t="s">
        <v>4225</v>
      </c>
      <c r="B2296" s="30" t="s">
        <v>53</v>
      </c>
      <c r="C2296" s="30" t="s">
        <v>105</v>
      </c>
      <c r="D2296" s="30" t="s">
        <v>4226</v>
      </c>
      <c r="E2296" s="4" t="n">
        <v>9</v>
      </c>
      <c r="F2296" s="4" t="s">
        <v>213</v>
      </c>
      <c r="G2296" s="4" t="s">
        <v>1010</v>
      </c>
      <c r="H2296" s="4" t="n">
        <v>1970</v>
      </c>
      <c r="I2296" s="4" t="s">
        <v>419</v>
      </c>
      <c r="J2296" s="25" t="str">
        <f aca="false">IF(M2296=1,"✓","")</f>
        <v/>
      </c>
      <c r="K2296" s="4" t="str">
        <f aca="false">IF(AND(M2296=0,P2296=0),"▶ NEXT","")</f>
        <v/>
      </c>
      <c r="L2296" s="4" t="n">
        <f aca="false">INDEX('Master List'!$F$2:$F$2594,O2296)</f>
        <v>2</v>
      </c>
      <c r="M2296" s="4" t="n">
        <f aca="false">INDEX('Master List'!$G$2:$G$2594,O2296)</f>
        <v>0</v>
      </c>
      <c r="N2296" s="4" t="str">
        <f aca="false">IF(K2296="","",A2296)</f>
        <v/>
      </c>
      <c r="O2296" s="4" t="n">
        <v>471</v>
      </c>
      <c r="P2296" s="4" t="n">
        <f aca="false">IF(A2296=A2295,P2295+1-M2295,0)</f>
        <v>8</v>
      </c>
    </row>
    <row r="2297" customFormat="false" ht="15" hidden="false" customHeight="false" outlineLevel="0" collapsed="false">
      <c r="A2297" s="30" t="s">
        <v>4225</v>
      </c>
      <c r="B2297" s="30" t="s">
        <v>53</v>
      </c>
      <c r="C2297" s="30" t="s">
        <v>105</v>
      </c>
      <c r="D2297" s="30" t="s">
        <v>4226</v>
      </c>
      <c r="E2297" s="4" t="n">
        <v>10</v>
      </c>
      <c r="F2297" s="4" t="s">
        <v>213</v>
      </c>
      <c r="G2297" s="4" t="s">
        <v>2203</v>
      </c>
      <c r="H2297" s="4" t="n">
        <v>1972</v>
      </c>
      <c r="I2297" s="4" t="s">
        <v>419</v>
      </c>
      <c r="J2297" s="25" t="str">
        <f aca="false">IF(M2297=1,"✓","")</f>
        <v/>
      </c>
      <c r="K2297" s="4" t="str">
        <f aca="false">IF(AND(M2297=0,P2297=0),"▶ NEXT","")</f>
        <v/>
      </c>
      <c r="L2297" s="4" t="n">
        <f aca="false">INDEX('Master List'!$F$2:$F$2594,O2297)</f>
        <v>1</v>
      </c>
      <c r="M2297" s="4" t="n">
        <f aca="false">INDEX('Master List'!$G$2:$G$2594,O2297)</f>
        <v>0</v>
      </c>
      <c r="N2297" s="4" t="str">
        <f aca="false">IF(K2297="","",A2297)</f>
        <v/>
      </c>
      <c r="O2297" s="4" t="n">
        <v>1389</v>
      </c>
      <c r="P2297" s="4" t="n">
        <f aca="false">IF(A2297=A2296,P2296+1-M2296,0)</f>
        <v>9</v>
      </c>
    </row>
    <row r="2298" customFormat="false" ht="15" hidden="false" customHeight="false" outlineLevel="0" collapsed="false">
      <c r="A2298" s="30" t="s">
        <v>4225</v>
      </c>
      <c r="B2298" s="30" t="s">
        <v>53</v>
      </c>
      <c r="C2298" s="30" t="s">
        <v>105</v>
      </c>
      <c r="D2298" s="30" t="s">
        <v>4226</v>
      </c>
      <c r="E2298" s="4" t="n">
        <v>11</v>
      </c>
      <c r="F2298" s="4" t="s">
        <v>213</v>
      </c>
      <c r="G2298" s="4" t="s">
        <v>2387</v>
      </c>
      <c r="H2298" s="4" t="n">
        <v>1983</v>
      </c>
      <c r="I2298" s="4" t="s">
        <v>419</v>
      </c>
      <c r="J2298" s="25" t="str">
        <f aca="false">IF(M2298=1,"✓","")</f>
        <v/>
      </c>
      <c r="K2298" s="4" t="str">
        <f aca="false">IF(AND(M2298=0,P2298=0),"▶ NEXT","")</f>
        <v/>
      </c>
      <c r="L2298" s="4" t="n">
        <f aca="false">INDEX('Master List'!$F$2:$F$2594,O2298)</f>
        <v>1</v>
      </c>
      <c r="M2298" s="4" t="n">
        <f aca="false">INDEX('Master List'!$G$2:$G$2594,O2298)</f>
        <v>0</v>
      </c>
      <c r="N2298" s="4" t="str">
        <f aca="false">IF(K2298="","",A2298)</f>
        <v/>
      </c>
      <c r="O2298" s="4" t="n">
        <v>1737</v>
      </c>
      <c r="P2298" s="4" t="n">
        <f aca="false">IF(A2298=A2297,P2297+1-M2297,0)</f>
        <v>10</v>
      </c>
    </row>
    <row r="2299" customFormat="false" ht="15" hidden="false" customHeight="false" outlineLevel="0" collapsed="false">
      <c r="A2299" s="30" t="s">
        <v>4225</v>
      </c>
      <c r="B2299" s="30" t="s">
        <v>53</v>
      </c>
      <c r="C2299" s="30" t="s">
        <v>105</v>
      </c>
      <c r="D2299" s="30" t="s">
        <v>4226</v>
      </c>
      <c r="E2299" s="4" t="n">
        <v>12</v>
      </c>
      <c r="F2299" s="4" t="s">
        <v>213</v>
      </c>
      <c r="G2299" s="4" t="s">
        <v>1077</v>
      </c>
      <c r="H2299" s="4" t="n">
        <v>1986</v>
      </c>
      <c r="I2299" s="4" t="s">
        <v>419</v>
      </c>
      <c r="J2299" s="25" t="str">
        <f aca="false">IF(M2299=1,"✓","")</f>
        <v/>
      </c>
      <c r="K2299" s="4" t="str">
        <f aca="false">IF(AND(M2299=0,P2299=0),"▶ NEXT","")</f>
        <v/>
      </c>
      <c r="L2299" s="4" t="n">
        <f aca="false">INDEX('Master List'!$F$2:$F$2594,O2299)</f>
        <v>2</v>
      </c>
      <c r="M2299" s="4" t="n">
        <f aca="false">INDEX('Master List'!$G$2:$G$2594,O2299)</f>
        <v>0</v>
      </c>
      <c r="N2299" s="4" t="str">
        <f aca="false">IF(K2299="","",A2299)</f>
        <v/>
      </c>
      <c r="O2299" s="4" t="n">
        <v>960</v>
      </c>
      <c r="P2299" s="4" t="n">
        <f aca="false">IF(A2299=A2298,P2298+1-M2298,0)</f>
        <v>11</v>
      </c>
    </row>
    <row r="2300" customFormat="false" ht="15" hidden="false" customHeight="false" outlineLevel="0" collapsed="false">
      <c r="A2300" s="30" t="s">
        <v>4225</v>
      </c>
      <c r="B2300" s="30" t="s">
        <v>53</v>
      </c>
      <c r="C2300" s="30" t="s">
        <v>105</v>
      </c>
      <c r="D2300" s="30" t="s">
        <v>4226</v>
      </c>
      <c r="E2300" s="4" t="n">
        <v>13</v>
      </c>
      <c r="F2300" s="4" t="s">
        <v>213</v>
      </c>
      <c r="G2300" s="4" t="s">
        <v>2642</v>
      </c>
      <c r="H2300" s="4" t="n">
        <v>1996</v>
      </c>
      <c r="I2300" s="4" t="s">
        <v>419</v>
      </c>
      <c r="J2300" s="25" t="str">
        <f aca="false">IF(M2300=1,"✓","")</f>
        <v/>
      </c>
      <c r="K2300" s="4" t="str">
        <f aca="false">IF(AND(M2300=0,P2300=0),"▶ NEXT","")</f>
        <v/>
      </c>
      <c r="L2300" s="4" t="n">
        <f aca="false">INDEX('Master List'!$F$2:$F$2594,O2300)</f>
        <v>1</v>
      </c>
      <c r="M2300" s="4" t="n">
        <f aca="false">INDEX('Master List'!$G$2:$G$2594,O2300)</f>
        <v>0</v>
      </c>
      <c r="N2300" s="4" t="str">
        <f aca="false">IF(K2300="","",A2300)</f>
        <v/>
      </c>
      <c r="O2300" s="4" t="n">
        <v>2198</v>
      </c>
      <c r="P2300" s="4" t="n">
        <f aca="false">IF(A2300=A2299,P2299+1-M2299,0)</f>
        <v>12</v>
      </c>
    </row>
    <row r="2301" customFormat="false" ht="15" hidden="false" customHeight="false" outlineLevel="0" collapsed="false">
      <c r="A2301" s="30" t="s">
        <v>4225</v>
      </c>
      <c r="B2301" s="30" t="s">
        <v>53</v>
      </c>
      <c r="C2301" s="30" t="s">
        <v>105</v>
      </c>
      <c r="D2301" s="30" t="s">
        <v>4226</v>
      </c>
      <c r="E2301" s="4" t="n">
        <v>14</v>
      </c>
      <c r="F2301" s="4" t="s">
        <v>1327</v>
      </c>
      <c r="G2301" s="4" t="s">
        <v>3478</v>
      </c>
      <c r="H2301" s="4" t="n">
        <v>1970</v>
      </c>
      <c r="I2301" s="4" t="s">
        <v>150</v>
      </c>
      <c r="J2301" s="25" t="str">
        <f aca="false">IF(M2301=1,"✓","")</f>
        <v/>
      </c>
      <c r="K2301" s="4" t="str">
        <f aca="false">IF(AND(M2301=0,P2301=0),"▶ NEXT","")</f>
        <v/>
      </c>
      <c r="L2301" s="4" t="n">
        <f aca="false">INDEX('Master List'!$F$2:$F$2594,O2301)</f>
        <v>1</v>
      </c>
      <c r="M2301" s="4" t="n">
        <f aca="false">INDEX('Master List'!$G$2:$G$2594,O2301)</f>
        <v>0</v>
      </c>
      <c r="N2301" s="4" t="str">
        <f aca="false">IF(K2301="","",A2301)</f>
        <v/>
      </c>
      <c r="O2301" s="4" t="n">
        <v>2515</v>
      </c>
      <c r="P2301" s="4" t="n">
        <f aca="false">IF(A2301=A2300,P2300+1-M2300,0)</f>
        <v>13</v>
      </c>
    </row>
    <row r="2302" customFormat="false" ht="15" hidden="false" customHeight="false" outlineLevel="0" collapsed="false">
      <c r="A2302" s="30" t="s">
        <v>4225</v>
      </c>
      <c r="B2302" s="30" t="s">
        <v>53</v>
      </c>
      <c r="C2302" s="30" t="s">
        <v>105</v>
      </c>
      <c r="D2302" s="30" t="s">
        <v>4226</v>
      </c>
      <c r="E2302" s="4" t="n">
        <v>15</v>
      </c>
      <c r="F2302" s="4" t="s">
        <v>1327</v>
      </c>
      <c r="G2302" s="4" t="s">
        <v>3624</v>
      </c>
      <c r="H2302" s="4" t="n">
        <v>1984</v>
      </c>
      <c r="I2302" s="4" t="s">
        <v>419</v>
      </c>
      <c r="J2302" s="25" t="str">
        <f aca="false">IF(M2302=1,"✓","")</f>
        <v/>
      </c>
      <c r="K2302" s="4" t="str">
        <f aca="false">IF(AND(M2302=0,P2302=0),"▶ NEXT","")</f>
        <v/>
      </c>
      <c r="L2302" s="4" t="n">
        <f aca="false">INDEX('Master List'!$F$2:$F$2594,O2302)</f>
        <v>1</v>
      </c>
      <c r="M2302" s="4" t="n">
        <f aca="false">INDEX('Master List'!$G$2:$G$2594,O2302)</f>
        <v>0</v>
      </c>
      <c r="N2302" s="4" t="str">
        <f aca="false">IF(K2302="","",A2302)</f>
        <v/>
      </c>
      <c r="O2302" s="4" t="n">
        <v>869</v>
      </c>
      <c r="P2302" s="4" t="n">
        <f aca="false">IF(A2302=A2301,P2301+1-M2301,0)</f>
        <v>14</v>
      </c>
    </row>
    <row r="2303" customFormat="false" ht="15" hidden="false" customHeight="false" outlineLevel="0" collapsed="false">
      <c r="A2303" s="30" t="s">
        <v>4227</v>
      </c>
      <c r="B2303" s="30" t="s">
        <v>53</v>
      </c>
      <c r="C2303" s="30" t="s">
        <v>105</v>
      </c>
      <c r="D2303" s="30" t="s">
        <v>158</v>
      </c>
      <c r="E2303" s="4" t="n">
        <v>1</v>
      </c>
      <c r="F2303" s="4" t="s">
        <v>144</v>
      </c>
      <c r="G2303" s="7" t="s">
        <v>157</v>
      </c>
      <c r="H2303" s="4" t="n">
        <v>1962</v>
      </c>
      <c r="I2303" s="4" t="s">
        <v>158</v>
      </c>
      <c r="J2303" s="25" t="str">
        <f aca="false">IF(M2303=1,"✓","")</f>
        <v/>
      </c>
      <c r="K2303" s="4" t="str">
        <f aca="false">IF(AND(M2303=0,P2303=0),"▶ NEXT","")</f>
        <v>▶ NEXT</v>
      </c>
      <c r="L2303" s="4" t="n">
        <f aca="false">INDEX('Master List'!$F$2:$F$2594,O2303)</f>
        <v>7</v>
      </c>
      <c r="M2303" s="4" t="n">
        <f aca="false">INDEX('Master List'!$G$2:$G$2594,O2303)</f>
        <v>0</v>
      </c>
      <c r="N2303" s="4" t="str">
        <f aca="false">IF(K2303="","",A2303)</f>
        <v>N191</v>
      </c>
      <c r="O2303" s="4" t="n">
        <v>475</v>
      </c>
      <c r="P2303" s="4" t="n">
        <f aca="false">IF(A2303=A2302,P2302+1-M2302,0)</f>
        <v>0</v>
      </c>
    </row>
    <row r="2304" customFormat="false" ht="15" hidden="false" customHeight="false" outlineLevel="0" collapsed="false">
      <c r="A2304" s="30" t="s">
        <v>4227</v>
      </c>
      <c r="B2304" s="30" t="s">
        <v>53</v>
      </c>
      <c r="C2304" s="30" t="s">
        <v>105</v>
      </c>
      <c r="D2304" s="30" t="s">
        <v>158</v>
      </c>
      <c r="E2304" s="4" t="n">
        <v>2</v>
      </c>
      <c r="F2304" s="4" t="s">
        <v>144</v>
      </c>
      <c r="G2304" s="7" t="s">
        <v>380</v>
      </c>
      <c r="H2304" s="4" t="n">
        <v>2000</v>
      </c>
      <c r="I2304" s="4" t="s">
        <v>158</v>
      </c>
      <c r="J2304" s="25" t="str">
        <f aca="false">IF(M2304=1,"✓","")</f>
        <v/>
      </c>
      <c r="K2304" s="4" t="str">
        <f aca="false">IF(AND(M2304=0,P2304=0),"▶ NEXT","")</f>
        <v/>
      </c>
      <c r="L2304" s="4" t="n">
        <f aca="false">INDEX('Master List'!$F$2:$F$2594,O2304)</f>
        <v>4</v>
      </c>
      <c r="M2304" s="4" t="n">
        <f aca="false">INDEX('Master List'!$G$2:$G$2594,O2304)</f>
        <v>0</v>
      </c>
      <c r="N2304" s="4" t="str">
        <f aca="false">IF(K2304="","",A2304)</f>
        <v/>
      </c>
      <c r="O2304" s="4" t="n">
        <v>903</v>
      </c>
      <c r="P2304" s="4" t="n">
        <f aca="false">IF(A2304=A2303,P2303+1-M2303,0)</f>
        <v>1</v>
      </c>
    </row>
    <row r="2305" customFormat="false" ht="15" hidden="false" customHeight="false" outlineLevel="0" collapsed="false">
      <c r="A2305" s="30" t="s">
        <v>4227</v>
      </c>
      <c r="B2305" s="30" t="s">
        <v>53</v>
      </c>
      <c r="C2305" s="30" t="s">
        <v>105</v>
      </c>
      <c r="D2305" s="30" t="s">
        <v>158</v>
      </c>
      <c r="E2305" s="4" t="n">
        <v>3</v>
      </c>
      <c r="F2305" s="4" t="s">
        <v>213</v>
      </c>
      <c r="G2305" s="4" t="s">
        <v>1320</v>
      </c>
      <c r="H2305" s="4" t="n">
        <v>1955</v>
      </c>
      <c r="I2305" s="4" t="s">
        <v>158</v>
      </c>
      <c r="J2305" s="25" t="str">
        <f aca="false">IF(M2305=1,"✓","")</f>
        <v/>
      </c>
      <c r="K2305" s="4" t="str">
        <f aca="false">IF(AND(M2305=0,P2305=0),"▶ NEXT","")</f>
        <v/>
      </c>
      <c r="L2305" s="4" t="n">
        <f aca="false">INDEX('Master List'!$F$2:$F$2594,O2305)</f>
        <v>2</v>
      </c>
      <c r="M2305" s="4" t="n">
        <f aca="false">INDEX('Master List'!$G$2:$G$2594,O2305)</f>
        <v>0</v>
      </c>
      <c r="N2305" s="4" t="str">
        <f aca="false">IF(K2305="","",A2305)</f>
        <v/>
      </c>
      <c r="O2305" s="4" t="n">
        <v>1785</v>
      </c>
      <c r="P2305" s="4" t="n">
        <f aca="false">IF(A2305=A2304,P2304+1-M2304,0)</f>
        <v>2</v>
      </c>
    </row>
    <row r="2306" customFormat="false" ht="15" hidden="false" customHeight="false" outlineLevel="0" collapsed="false">
      <c r="A2306" s="30" t="s">
        <v>4227</v>
      </c>
      <c r="B2306" s="30" t="s">
        <v>53</v>
      </c>
      <c r="C2306" s="30" t="s">
        <v>105</v>
      </c>
      <c r="D2306" s="30" t="s">
        <v>158</v>
      </c>
      <c r="E2306" s="4" t="n">
        <v>4</v>
      </c>
      <c r="F2306" s="4" t="s">
        <v>213</v>
      </c>
      <c r="G2306" s="4" t="s">
        <v>985</v>
      </c>
      <c r="H2306" s="4" t="n">
        <v>1965</v>
      </c>
      <c r="I2306" s="4" t="s">
        <v>158</v>
      </c>
      <c r="J2306" s="25" t="str">
        <f aca="false">IF(M2306=1,"✓","")</f>
        <v/>
      </c>
      <c r="K2306" s="4" t="str">
        <f aca="false">IF(AND(M2306=0,P2306=0),"▶ NEXT","")</f>
        <v/>
      </c>
      <c r="L2306" s="4" t="n">
        <f aca="false">INDEX('Master List'!$F$2:$F$2594,O2306)</f>
        <v>2</v>
      </c>
      <c r="M2306" s="4" t="n">
        <f aca="false">INDEX('Master List'!$G$2:$G$2594,O2306)</f>
        <v>0</v>
      </c>
      <c r="N2306" s="4" t="str">
        <f aca="false">IF(K2306="","",A2306)</f>
        <v/>
      </c>
      <c r="O2306" s="4" t="n">
        <v>313</v>
      </c>
      <c r="P2306" s="4" t="n">
        <f aca="false">IF(A2306=A2305,P2305+1-M2305,0)</f>
        <v>3</v>
      </c>
    </row>
    <row r="2307" customFormat="false" ht="15" hidden="false" customHeight="false" outlineLevel="0" collapsed="false">
      <c r="A2307" s="30" t="s">
        <v>4227</v>
      </c>
      <c r="B2307" s="30" t="s">
        <v>53</v>
      </c>
      <c r="C2307" s="30" t="s">
        <v>105</v>
      </c>
      <c r="D2307" s="30" t="s">
        <v>158</v>
      </c>
      <c r="E2307" s="4" t="n">
        <v>5</v>
      </c>
      <c r="F2307" s="4" t="s">
        <v>213</v>
      </c>
      <c r="G2307" s="4" t="s">
        <v>2299</v>
      </c>
      <c r="H2307" s="4" t="n">
        <v>1977</v>
      </c>
      <c r="I2307" s="4" t="s">
        <v>158</v>
      </c>
      <c r="J2307" s="25" t="str">
        <f aca="false">IF(M2307=1,"✓","")</f>
        <v/>
      </c>
      <c r="K2307" s="4" t="str">
        <f aca="false">IF(AND(M2307=0,P2307=0),"▶ NEXT","")</f>
        <v/>
      </c>
      <c r="L2307" s="4" t="n">
        <f aca="false">INDEX('Master List'!$F$2:$F$2594,O2307)</f>
        <v>1</v>
      </c>
      <c r="M2307" s="4" t="n">
        <f aca="false">INDEX('Master List'!$G$2:$G$2594,O2307)</f>
        <v>0</v>
      </c>
      <c r="N2307" s="4" t="str">
        <f aca="false">IF(K2307="","",A2307)</f>
        <v/>
      </c>
      <c r="O2307" s="4" t="n">
        <v>1680</v>
      </c>
      <c r="P2307" s="4" t="n">
        <f aca="false">IF(A2307=A2306,P2306+1-M2306,0)</f>
        <v>4</v>
      </c>
    </row>
    <row r="2308" customFormat="false" ht="15" hidden="false" customHeight="false" outlineLevel="0" collapsed="false">
      <c r="A2308" s="30" t="s">
        <v>4227</v>
      </c>
      <c r="B2308" s="30" t="s">
        <v>53</v>
      </c>
      <c r="C2308" s="30" t="s">
        <v>105</v>
      </c>
      <c r="D2308" s="30" t="s">
        <v>158</v>
      </c>
      <c r="E2308" s="4" t="n">
        <v>6</v>
      </c>
      <c r="F2308" s="4" t="s">
        <v>213</v>
      </c>
      <c r="G2308" s="4" t="s">
        <v>1371</v>
      </c>
      <c r="H2308" s="4" t="n">
        <v>1985</v>
      </c>
      <c r="I2308" s="4" t="s">
        <v>158</v>
      </c>
      <c r="J2308" s="25" t="str">
        <f aca="false">IF(M2308=1,"✓","")</f>
        <v/>
      </c>
      <c r="K2308" s="4" t="str">
        <f aca="false">IF(AND(M2308=0,P2308=0),"▶ NEXT","")</f>
        <v/>
      </c>
      <c r="L2308" s="4" t="n">
        <f aca="false">INDEX('Master List'!$F$2:$F$2594,O2308)</f>
        <v>2</v>
      </c>
      <c r="M2308" s="4" t="n">
        <f aca="false">INDEX('Master List'!$G$2:$G$2594,O2308)</f>
        <v>0</v>
      </c>
      <c r="N2308" s="4" t="str">
        <f aca="false">IF(K2308="","",A2308)</f>
        <v/>
      </c>
      <c r="O2308" s="4" t="n">
        <v>2417</v>
      </c>
      <c r="P2308" s="4" t="n">
        <f aca="false">IF(A2308=A2307,P2307+1-M2307,0)</f>
        <v>5</v>
      </c>
    </row>
    <row r="2309" customFormat="false" ht="15" hidden="false" customHeight="false" outlineLevel="0" collapsed="false">
      <c r="A2309" s="30" t="s">
        <v>4227</v>
      </c>
      <c r="B2309" s="30" t="s">
        <v>53</v>
      </c>
      <c r="C2309" s="30" t="s">
        <v>105</v>
      </c>
      <c r="D2309" s="30" t="s">
        <v>158</v>
      </c>
      <c r="E2309" s="4" t="n">
        <v>7</v>
      </c>
      <c r="F2309" s="4" t="s">
        <v>213</v>
      </c>
      <c r="G2309" s="4" t="s">
        <v>2910</v>
      </c>
      <c r="H2309" s="4" t="n">
        <v>2008</v>
      </c>
      <c r="I2309" s="4" t="s">
        <v>158</v>
      </c>
      <c r="J2309" s="25" t="str">
        <f aca="false">IF(M2309=1,"✓","")</f>
        <v/>
      </c>
      <c r="K2309" s="4" t="str">
        <f aca="false">IF(AND(M2309=0,P2309=0),"▶ NEXT","")</f>
        <v/>
      </c>
      <c r="L2309" s="4" t="n">
        <f aca="false">INDEX('Master List'!$F$2:$F$2594,O2309)</f>
        <v>1</v>
      </c>
      <c r="M2309" s="4" t="n">
        <f aca="false">INDEX('Master List'!$G$2:$G$2594,O2309)</f>
        <v>0</v>
      </c>
      <c r="N2309" s="4" t="str">
        <f aca="false">IF(K2309="","",A2309)</f>
        <v/>
      </c>
      <c r="O2309" s="4" t="n">
        <v>201</v>
      </c>
      <c r="P2309" s="4" t="n">
        <f aca="false">IF(A2309=A2308,P2308+1-M2308,0)</f>
        <v>6</v>
      </c>
    </row>
    <row r="2310" customFormat="false" ht="15" hidden="false" customHeight="false" outlineLevel="0" collapsed="false">
      <c r="A2310" s="30" t="s">
        <v>4227</v>
      </c>
      <c r="B2310" s="30" t="s">
        <v>53</v>
      </c>
      <c r="C2310" s="30" t="s">
        <v>105</v>
      </c>
      <c r="D2310" s="30" t="s">
        <v>158</v>
      </c>
      <c r="E2310" s="4" t="n">
        <v>8</v>
      </c>
      <c r="F2310" s="4" t="s">
        <v>213</v>
      </c>
      <c r="G2310" s="4" t="s">
        <v>3125</v>
      </c>
      <c r="H2310" s="4" t="n">
        <v>2017</v>
      </c>
      <c r="I2310" s="4" t="s">
        <v>3126</v>
      </c>
      <c r="J2310" s="25" t="str">
        <f aca="false">IF(M2310=1,"✓","")</f>
        <v/>
      </c>
      <c r="K2310" s="4" t="str">
        <f aca="false">IF(AND(M2310=0,P2310=0),"▶ NEXT","")</f>
        <v/>
      </c>
      <c r="L2310" s="4" t="n">
        <f aca="false">INDEX('Master List'!$F$2:$F$2594,O2310)</f>
        <v>1</v>
      </c>
      <c r="M2310" s="4" t="n">
        <f aca="false">INDEX('Master List'!$G$2:$G$2594,O2310)</f>
        <v>0</v>
      </c>
      <c r="N2310" s="4" t="str">
        <f aca="false">IF(K2310="","",A2310)</f>
        <v/>
      </c>
      <c r="O2310" s="4" t="n">
        <v>774</v>
      </c>
      <c r="P2310" s="4" t="n">
        <f aca="false">IF(A2310=A2309,P2309+1-M2309,0)</f>
        <v>7</v>
      </c>
    </row>
    <row r="2311" customFormat="false" ht="15" hidden="false" customHeight="false" outlineLevel="0" collapsed="false">
      <c r="A2311" s="30" t="s">
        <v>4227</v>
      </c>
      <c r="B2311" s="30" t="s">
        <v>53</v>
      </c>
      <c r="C2311" s="30" t="s">
        <v>105</v>
      </c>
      <c r="D2311" s="30" t="s">
        <v>158</v>
      </c>
      <c r="E2311" s="4" t="n">
        <v>9</v>
      </c>
      <c r="F2311" s="4" t="s">
        <v>1327</v>
      </c>
      <c r="G2311" s="4" t="s">
        <v>3544</v>
      </c>
      <c r="H2311" s="4" t="n">
        <v>1975</v>
      </c>
      <c r="I2311" s="4" t="s">
        <v>158</v>
      </c>
      <c r="J2311" s="25" t="str">
        <f aca="false">IF(M2311=1,"✓","")</f>
        <v/>
      </c>
      <c r="K2311" s="4" t="str">
        <f aca="false">IF(AND(M2311=0,P2311=0),"▶ NEXT","")</f>
        <v/>
      </c>
      <c r="L2311" s="4" t="n">
        <f aca="false">INDEX('Master List'!$F$2:$F$2594,O2311)</f>
        <v>1</v>
      </c>
      <c r="M2311" s="4" t="n">
        <f aca="false">INDEX('Master List'!$G$2:$G$2594,O2311)</f>
        <v>0</v>
      </c>
      <c r="N2311" s="4" t="str">
        <f aca="false">IF(K2311="","",A2311)</f>
        <v/>
      </c>
      <c r="O2311" s="4" t="n">
        <v>553</v>
      </c>
      <c r="P2311" s="4" t="n">
        <f aca="false">IF(A2311=A2310,P2310+1-M2310,0)</f>
        <v>8</v>
      </c>
    </row>
    <row r="2312" customFormat="false" ht="15" hidden="false" customHeight="false" outlineLevel="0" collapsed="false">
      <c r="A2312" s="30" t="s">
        <v>4227</v>
      </c>
      <c r="B2312" s="30" t="s">
        <v>53</v>
      </c>
      <c r="C2312" s="30" t="s">
        <v>105</v>
      </c>
      <c r="D2312" s="30" t="s">
        <v>158</v>
      </c>
      <c r="E2312" s="4" t="n">
        <v>10</v>
      </c>
      <c r="F2312" s="4" t="s">
        <v>1327</v>
      </c>
      <c r="G2312" s="4" t="s">
        <v>3595</v>
      </c>
      <c r="H2312" s="4" t="n">
        <v>1981</v>
      </c>
      <c r="I2312" s="4" t="s">
        <v>158</v>
      </c>
      <c r="J2312" s="25" t="str">
        <f aca="false">IF(M2312=1,"✓","")</f>
        <v/>
      </c>
      <c r="K2312" s="4" t="str">
        <f aca="false">IF(AND(M2312=0,P2312=0),"▶ NEXT","")</f>
        <v/>
      </c>
      <c r="L2312" s="4" t="n">
        <f aca="false">INDEX('Master List'!$F$2:$F$2594,O2312)</f>
        <v>1</v>
      </c>
      <c r="M2312" s="4" t="n">
        <f aca="false">INDEX('Master List'!$G$2:$G$2594,O2312)</f>
        <v>0</v>
      </c>
      <c r="N2312" s="4" t="str">
        <f aca="false">IF(K2312="","",A2312)</f>
        <v/>
      </c>
      <c r="O2312" s="4" t="n">
        <v>1559</v>
      </c>
      <c r="P2312" s="4" t="n">
        <f aca="false">IF(A2312=A2311,P2311+1-M2311,0)</f>
        <v>9</v>
      </c>
    </row>
    <row r="2313" customFormat="false" ht="15" hidden="false" customHeight="false" outlineLevel="0" collapsed="false">
      <c r="A2313" s="30" t="s">
        <v>4228</v>
      </c>
      <c r="B2313" s="30" t="s">
        <v>53</v>
      </c>
      <c r="C2313" s="30" t="s">
        <v>105</v>
      </c>
      <c r="D2313" s="30" t="s">
        <v>215</v>
      </c>
      <c r="E2313" s="4" t="n">
        <v>1</v>
      </c>
      <c r="F2313" s="4" t="s">
        <v>144</v>
      </c>
      <c r="G2313" s="7" t="s">
        <v>456</v>
      </c>
      <c r="H2313" s="4" t="n">
        <v>1956</v>
      </c>
      <c r="I2313" s="4" t="s">
        <v>215</v>
      </c>
      <c r="J2313" s="25" t="str">
        <f aca="false">IF(M2313=1,"✓","")</f>
        <v>✓</v>
      </c>
      <c r="K2313" s="4" t="str">
        <f aca="false">IF(AND(M2313=0,P2313=0),"▶ NEXT","")</f>
        <v/>
      </c>
      <c r="L2313" s="4" t="n">
        <f aca="false">INDEX('Master List'!$F$2:$F$2594,O2313)</f>
        <v>3</v>
      </c>
      <c r="M2313" s="4" t="n">
        <f aca="false">INDEX('Master List'!$G$2:$G$2594,O2313)</f>
        <v>1</v>
      </c>
      <c r="N2313" s="4" t="str">
        <f aca="false">IF(K2313="","",A2313)</f>
        <v/>
      </c>
      <c r="O2313" s="4" t="n">
        <v>1422</v>
      </c>
      <c r="P2313" s="4" t="n">
        <f aca="false">IF(A2313=A2312,P2312+1-M2312,0)</f>
        <v>0</v>
      </c>
    </row>
    <row r="2314" customFormat="false" ht="15" hidden="false" customHeight="false" outlineLevel="0" collapsed="false">
      <c r="A2314" s="30" t="s">
        <v>4228</v>
      </c>
      <c r="B2314" s="30" t="s">
        <v>53</v>
      </c>
      <c r="C2314" s="30" t="s">
        <v>105</v>
      </c>
      <c r="D2314" s="30" t="s">
        <v>215</v>
      </c>
      <c r="E2314" s="4" t="n">
        <v>2</v>
      </c>
      <c r="F2314" s="4" t="s">
        <v>144</v>
      </c>
      <c r="G2314" s="7" t="s">
        <v>457</v>
      </c>
      <c r="H2314" s="4" t="n">
        <v>1959</v>
      </c>
      <c r="I2314" s="4" t="s">
        <v>215</v>
      </c>
      <c r="J2314" s="25" t="str">
        <f aca="false">IF(M2314=1,"✓","")</f>
        <v>✓</v>
      </c>
      <c r="K2314" s="4" t="str">
        <f aca="false">IF(AND(M2314=0,P2314=0),"▶ NEXT","")</f>
        <v/>
      </c>
      <c r="L2314" s="4" t="n">
        <f aca="false">INDEX('Master List'!$F$2:$F$2594,O2314)</f>
        <v>3</v>
      </c>
      <c r="M2314" s="4" t="n">
        <f aca="false">INDEX('Master List'!$G$2:$G$2594,O2314)</f>
        <v>1</v>
      </c>
      <c r="N2314" s="4" t="str">
        <f aca="false">IF(K2314="","",A2314)</f>
        <v/>
      </c>
      <c r="O2314" s="4" t="n">
        <v>1762</v>
      </c>
      <c r="P2314" s="4" t="n">
        <f aca="false">IF(A2314=A2313,P2313+1-M2313,0)</f>
        <v>0</v>
      </c>
    </row>
    <row r="2315" customFormat="false" ht="15" hidden="false" customHeight="false" outlineLevel="0" collapsed="false">
      <c r="A2315" s="30" t="s">
        <v>4228</v>
      </c>
      <c r="B2315" s="30" t="s">
        <v>53</v>
      </c>
      <c r="C2315" s="30" t="s">
        <v>105</v>
      </c>
      <c r="D2315" s="30" t="s">
        <v>215</v>
      </c>
      <c r="E2315" s="4" t="n">
        <v>3</v>
      </c>
      <c r="F2315" s="4" t="s">
        <v>213</v>
      </c>
      <c r="G2315" s="4" t="s">
        <v>214</v>
      </c>
      <c r="H2315" s="4" t="n">
        <v>1951</v>
      </c>
      <c r="I2315" s="4" t="s">
        <v>215</v>
      </c>
      <c r="J2315" s="25" t="str">
        <f aca="false">IF(M2315=1,"✓","")</f>
        <v/>
      </c>
      <c r="K2315" s="4" t="str">
        <f aca="false">IF(AND(M2315=0,P2315=0),"▶ NEXT","")</f>
        <v>▶ NEXT</v>
      </c>
      <c r="L2315" s="4" t="n">
        <f aca="false">INDEX('Master List'!$F$2:$F$2594,O2315)</f>
        <v>6</v>
      </c>
      <c r="M2315" s="4" t="n">
        <f aca="false">INDEX('Master List'!$G$2:$G$2594,O2315)</f>
        <v>0</v>
      </c>
      <c r="N2315" s="4" t="str">
        <f aca="false">IF(K2315="","",A2315)</f>
        <v>N192</v>
      </c>
      <c r="O2315" s="4" t="n">
        <v>628</v>
      </c>
      <c r="P2315" s="4" t="n">
        <f aca="false">IF(A2315=A2314,P2314+1-M2314,0)</f>
        <v>0</v>
      </c>
    </row>
    <row r="2316" customFormat="false" ht="15" hidden="false" customHeight="false" outlineLevel="0" collapsed="false">
      <c r="A2316" s="30" t="s">
        <v>4228</v>
      </c>
      <c r="B2316" s="30" t="s">
        <v>53</v>
      </c>
      <c r="C2316" s="30" t="s">
        <v>105</v>
      </c>
      <c r="D2316" s="30" t="s">
        <v>215</v>
      </c>
      <c r="E2316" s="4" t="n">
        <v>4</v>
      </c>
      <c r="F2316" s="4" t="s">
        <v>213</v>
      </c>
      <c r="G2316" s="4" t="s">
        <v>336</v>
      </c>
      <c r="H2316" s="4" t="n">
        <v>1966</v>
      </c>
      <c r="I2316" s="4" t="s">
        <v>215</v>
      </c>
      <c r="J2316" s="25" t="str">
        <f aca="false">IF(M2316=1,"✓","")</f>
        <v/>
      </c>
      <c r="K2316" s="4" t="str">
        <f aca="false">IF(AND(M2316=0,P2316=0),"▶ NEXT","")</f>
        <v/>
      </c>
      <c r="L2316" s="4" t="n">
        <f aca="false">INDEX('Master List'!$F$2:$F$2594,O2316)</f>
        <v>5</v>
      </c>
      <c r="M2316" s="4" t="n">
        <f aca="false">INDEX('Master List'!$G$2:$G$2594,O2316)</f>
        <v>0</v>
      </c>
      <c r="N2316" s="4" t="str">
        <f aca="false">IF(K2316="","",A2316)</f>
        <v/>
      </c>
      <c r="O2316" s="4" t="n">
        <v>149</v>
      </c>
      <c r="P2316" s="4" t="n">
        <f aca="false">IF(A2316=A2315,P2315+1-M2315,0)</f>
        <v>1</v>
      </c>
    </row>
    <row r="2317" customFormat="false" ht="15" hidden="false" customHeight="false" outlineLevel="0" collapsed="false">
      <c r="A2317" s="30" t="s">
        <v>4228</v>
      </c>
      <c r="B2317" s="30" t="s">
        <v>53</v>
      </c>
      <c r="C2317" s="30" t="s">
        <v>105</v>
      </c>
      <c r="D2317" s="30" t="s">
        <v>215</v>
      </c>
      <c r="E2317" s="4" t="n">
        <v>5</v>
      </c>
      <c r="F2317" s="4" t="s">
        <v>213</v>
      </c>
      <c r="G2317" s="4" t="s">
        <v>993</v>
      </c>
      <c r="H2317" s="4" t="n">
        <v>1967</v>
      </c>
      <c r="I2317" s="4" t="s">
        <v>215</v>
      </c>
      <c r="J2317" s="25" t="str">
        <f aca="false">IF(M2317=1,"✓","")</f>
        <v/>
      </c>
      <c r="K2317" s="4" t="str">
        <f aca="false">IF(AND(M2317=0,P2317=0),"▶ NEXT","")</f>
        <v/>
      </c>
      <c r="L2317" s="4" t="n">
        <f aca="false">INDEX('Master List'!$F$2:$F$2594,O2317)</f>
        <v>2</v>
      </c>
      <c r="M2317" s="4" t="n">
        <f aca="false">INDEX('Master List'!$G$2:$G$2594,O2317)</f>
        <v>0</v>
      </c>
      <c r="N2317" s="4" t="str">
        <f aca="false">IF(K2317="","",A2317)</f>
        <v/>
      </c>
      <c r="O2317" s="4" t="n">
        <v>1543</v>
      </c>
      <c r="P2317" s="4" t="n">
        <f aca="false">IF(A2317=A2316,P2316+1-M2316,0)</f>
        <v>2</v>
      </c>
    </row>
    <row r="2318" customFormat="false" ht="15" hidden="false" customHeight="false" outlineLevel="0" collapsed="false">
      <c r="A2318" s="30" t="s">
        <v>4228</v>
      </c>
      <c r="B2318" s="30" t="s">
        <v>53</v>
      </c>
      <c r="C2318" s="30" t="s">
        <v>105</v>
      </c>
      <c r="D2318" s="30" t="s">
        <v>215</v>
      </c>
      <c r="E2318" s="4" t="n">
        <v>6</v>
      </c>
      <c r="F2318" s="4" t="s">
        <v>213</v>
      </c>
      <c r="G2318" s="4" t="s">
        <v>2249</v>
      </c>
      <c r="H2318" s="4" t="n">
        <v>1974</v>
      </c>
      <c r="I2318" s="4" t="s">
        <v>215</v>
      </c>
      <c r="J2318" s="25" t="str">
        <f aca="false">IF(M2318=1,"✓","")</f>
        <v/>
      </c>
      <c r="K2318" s="4" t="str">
        <f aca="false">IF(AND(M2318=0,P2318=0),"▶ NEXT","")</f>
        <v/>
      </c>
      <c r="L2318" s="4" t="n">
        <f aca="false">INDEX('Master List'!$F$2:$F$2594,O2318)</f>
        <v>1</v>
      </c>
      <c r="M2318" s="4" t="n">
        <f aca="false">INDEX('Master List'!$G$2:$G$2594,O2318)</f>
        <v>0</v>
      </c>
      <c r="N2318" s="4" t="str">
        <f aca="false">IF(K2318="","",A2318)</f>
        <v/>
      </c>
      <c r="O2318" s="4" t="n">
        <v>1288</v>
      </c>
      <c r="P2318" s="4" t="n">
        <f aca="false">IF(A2318=A2317,P2317+1-M2317,0)</f>
        <v>3</v>
      </c>
    </row>
    <row r="2319" customFormat="false" ht="15" hidden="false" customHeight="false" outlineLevel="0" collapsed="false">
      <c r="A2319" s="30" t="s">
        <v>4228</v>
      </c>
      <c r="B2319" s="30" t="s">
        <v>53</v>
      </c>
      <c r="C2319" s="30" t="s">
        <v>105</v>
      </c>
      <c r="D2319" s="30" t="s">
        <v>215</v>
      </c>
      <c r="E2319" s="4" t="n">
        <v>7</v>
      </c>
      <c r="F2319" s="4" t="s">
        <v>213</v>
      </c>
      <c r="G2319" s="4" t="s">
        <v>1368</v>
      </c>
      <c r="H2319" s="4" t="n">
        <v>1983</v>
      </c>
      <c r="I2319" s="4" t="s">
        <v>215</v>
      </c>
      <c r="J2319" s="25" t="str">
        <f aca="false">IF(M2319=1,"✓","")</f>
        <v/>
      </c>
      <c r="K2319" s="4" t="str">
        <f aca="false">IF(AND(M2319=0,P2319=0),"▶ NEXT","")</f>
        <v/>
      </c>
      <c r="L2319" s="4" t="n">
        <f aca="false">INDEX('Master List'!$F$2:$F$2594,O2319)</f>
        <v>2</v>
      </c>
      <c r="M2319" s="4" t="n">
        <f aca="false">INDEX('Master List'!$G$2:$G$2594,O2319)</f>
        <v>0</v>
      </c>
      <c r="N2319" s="4" t="str">
        <f aca="false">IF(K2319="","",A2319)</f>
        <v/>
      </c>
      <c r="O2319" s="4" t="n">
        <v>127</v>
      </c>
      <c r="P2319" s="4" t="n">
        <f aca="false">IF(A2319=A2318,P2318+1-M2318,0)</f>
        <v>4</v>
      </c>
    </row>
    <row r="2320" customFormat="false" ht="15" hidden="false" customHeight="false" outlineLevel="0" collapsed="false">
      <c r="A2320" s="30" t="s">
        <v>4228</v>
      </c>
      <c r="B2320" s="30" t="s">
        <v>53</v>
      </c>
      <c r="C2320" s="30" t="s">
        <v>105</v>
      </c>
      <c r="D2320" s="30" t="s">
        <v>215</v>
      </c>
      <c r="E2320" s="4" t="n">
        <v>8</v>
      </c>
      <c r="F2320" s="4" t="s">
        <v>1327</v>
      </c>
      <c r="G2320" s="4" t="s">
        <v>3418</v>
      </c>
      <c r="H2320" s="4" t="n">
        <v>1962</v>
      </c>
      <c r="I2320" s="4" t="s">
        <v>215</v>
      </c>
      <c r="J2320" s="25" t="str">
        <f aca="false">IF(M2320=1,"✓","")</f>
        <v/>
      </c>
      <c r="K2320" s="4" t="str">
        <f aca="false">IF(AND(M2320=0,P2320=0),"▶ NEXT","")</f>
        <v/>
      </c>
      <c r="L2320" s="4" t="n">
        <f aca="false">INDEX('Master List'!$F$2:$F$2594,O2320)</f>
        <v>1</v>
      </c>
      <c r="M2320" s="4" t="n">
        <f aca="false">INDEX('Master List'!$G$2:$G$2594,O2320)</f>
        <v>0</v>
      </c>
      <c r="N2320" s="4" t="str">
        <f aca="false">IF(K2320="","",A2320)</f>
        <v/>
      </c>
      <c r="O2320" s="4" t="n">
        <v>2365</v>
      </c>
      <c r="P2320" s="4" t="n">
        <f aca="false">IF(A2320=A2319,P2319+1-M2319,0)</f>
        <v>5</v>
      </c>
    </row>
    <row r="2321" customFormat="false" ht="15" hidden="false" customHeight="false" outlineLevel="0" collapsed="false">
      <c r="A2321" s="30" t="s">
        <v>4228</v>
      </c>
      <c r="B2321" s="30" t="s">
        <v>53</v>
      </c>
      <c r="C2321" s="30" t="s">
        <v>105</v>
      </c>
      <c r="D2321" s="30" t="s">
        <v>215</v>
      </c>
      <c r="E2321" s="4" t="n">
        <v>9</v>
      </c>
      <c r="F2321" s="4" t="s">
        <v>1327</v>
      </c>
      <c r="G2321" s="4" t="s">
        <v>3345</v>
      </c>
      <c r="H2321" s="4" t="n">
        <v>1945</v>
      </c>
      <c r="I2321" s="4" t="s">
        <v>215</v>
      </c>
      <c r="J2321" s="25" t="str">
        <f aca="false">IF(M2321=1,"✓","")</f>
        <v/>
      </c>
      <c r="K2321" s="4" t="str">
        <f aca="false">IF(AND(M2321=0,P2321=0),"▶ NEXT","")</f>
        <v/>
      </c>
      <c r="L2321" s="4" t="n">
        <f aca="false">INDEX('Master List'!$F$2:$F$2594,O2321)</f>
        <v>1</v>
      </c>
      <c r="M2321" s="4" t="n">
        <f aca="false">INDEX('Master List'!$G$2:$G$2594,O2321)</f>
        <v>0</v>
      </c>
      <c r="N2321" s="4" t="str">
        <f aca="false">IF(K2321="","",A2321)</f>
        <v/>
      </c>
      <c r="O2321" s="4" t="n">
        <v>556</v>
      </c>
      <c r="P2321" s="4" t="n">
        <f aca="false">IF(A2321=A2320,P2320+1-M2320,0)</f>
        <v>6</v>
      </c>
    </row>
    <row r="2322" customFormat="false" ht="15" hidden="false" customHeight="false" outlineLevel="0" collapsed="false">
      <c r="A2322" s="30" t="s">
        <v>4229</v>
      </c>
      <c r="B2322" s="30" t="s">
        <v>53</v>
      </c>
      <c r="C2322" s="30" t="s">
        <v>105</v>
      </c>
      <c r="D2322" s="30" t="s">
        <v>234</v>
      </c>
      <c r="E2322" s="4" t="n">
        <v>1</v>
      </c>
      <c r="F2322" s="4" t="s">
        <v>144</v>
      </c>
      <c r="G2322" s="7" t="s">
        <v>233</v>
      </c>
      <c r="H2322" s="4" t="n">
        <v>1939</v>
      </c>
      <c r="I2322" s="4" t="s">
        <v>234</v>
      </c>
      <c r="J2322" s="25" t="str">
        <f aca="false">IF(M2322=1,"✓","")</f>
        <v/>
      </c>
      <c r="K2322" s="4" t="str">
        <f aca="false">IF(AND(M2322=0,P2322=0),"▶ NEXT","")</f>
        <v>▶ NEXT</v>
      </c>
      <c r="L2322" s="4" t="n">
        <f aca="false">INDEX('Master List'!$F$2:$F$2594,O2322)</f>
        <v>5</v>
      </c>
      <c r="M2322" s="4" t="n">
        <f aca="false">INDEX('Master List'!$G$2:$G$2594,O2322)</f>
        <v>0</v>
      </c>
      <c r="N2322" s="4" t="str">
        <f aca="false">IF(K2322="","",A2322)</f>
        <v>N193</v>
      </c>
      <c r="O2322" s="4" t="n">
        <v>1943</v>
      </c>
      <c r="P2322" s="4" t="n">
        <f aca="false">IF(A2322=A2321,P2321+1-M2321,0)</f>
        <v>0</v>
      </c>
    </row>
    <row r="2323" customFormat="false" ht="15" hidden="false" customHeight="false" outlineLevel="0" collapsed="false">
      <c r="A2323" s="30" t="s">
        <v>4229</v>
      </c>
      <c r="B2323" s="30" t="s">
        <v>53</v>
      </c>
      <c r="C2323" s="30" t="s">
        <v>105</v>
      </c>
      <c r="D2323" s="30" t="s">
        <v>234</v>
      </c>
      <c r="E2323" s="4" t="n">
        <v>2</v>
      </c>
      <c r="F2323" s="4" t="s">
        <v>144</v>
      </c>
      <c r="G2323" s="7" t="s">
        <v>451</v>
      </c>
      <c r="H2323" s="4" t="n">
        <v>1937</v>
      </c>
      <c r="I2323" s="4" t="s">
        <v>234</v>
      </c>
      <c r="J2323" s="25" t="str">
        <f aca="false">IF(M2323=1,"✓","")</f>
        <v/>
      </c>
      <c r="K2323" s="4" t="str">
        <f aca="false">IF(AND(M2323=0,P2323=0),"▶ NEXT","")</f>
        <v/>
      </c>
      <c r="L2323" s="4" t="n">
        <f aca="false">INDEX('Master List'!$F$2:$F$2594,O2323)</f>
        <v>3</v>
      </c>
      <c r="M2323" s="4" t="n">
        <f aca="false">INDEX('Master List'!$G$2:$G$2594,O2323)</f>
        <v>0</v>
      </c>
      <c r="N2323" s="4" t="str">
        <f aca="false">IF(K2323="","",A2323)</f>
        <v/>
      </c>
      <c r="O2323" s="4" t="n">
        <v>942</v>
      </c>
      <c r="P2323" s="4" t="n">
        <f aca="false">IF(A2323=A2322,P2322+1-M2322,0)</f>
        <v>1</v>
      </c>
    </row>
    <row r="2324" customFormat="false" ht="15" hidden="false" customHeight="false" outlineLevel="0" collapsed="false">
      <c r="A2324" s="30" t="s">
        <v>4229</v>
      </c>
      <c r="B2324" s="30" t="s">
        <v>53</v>
      </c>
      <c r="C2324" s="30" t="s">
        <v>105</v>
      </c>
      <c r="D2324" s="30" t="s">
        <v>234</v>
      </c>
      <c r="E2324" s="4" t="n">
        <v>3</v>
      </c>
      <c r="F2324" s="4" t="s">
        <v>213</v>
      </c>
      <c r="G2324" s="4" t="s">
        <v>1299</v>
      </c>
      <c r="H2324" s="4" t="n">
        <v>1931</v>
      </c>
      <c r="I2324" s="4" t="s">
        <v>234</v>
      </c>
      <c r="J2324" s="25" t="str">
        <f aca="false">IF(M2324=1,"✓","")</f>
        <v/>
      </c>
      <c r="K2324" s="4" t="str">
        <f aca="false">IF(AND(M2324=0,P2324=0),"▶ NEXT","")</f>
        <v/>
      </c>
      <c r="L2324" s="4" t="n">
        <f aca="false">INDEX('Master List'!$F$2:$F$2594,O2324)</f>
        <v>2</v>
      </c>
      <c r="M2324" s="4" t="n">
        <f aca="false">INDEX('Master List'!$G$2:$G$2594,O2324)</f>
        <v>0</v>
      </c>
      <c r="N2324" s="4" t="str">
        <f aca="false">IF(K2324="","",A2324)</f>
        <v/>
      </c>
      <c r="O2324" s="4" t="n">
        <v>441</v>
      </c>
      <c r="P2324" s="4" t="n">
        <f aca="false">IF(A2324=A2323,P2323+1-M2323,0)</f>
        <v>2</v>
      </c>
    </row>
    <row r="2325" customFormat="false" ht="15" hidden="false" customHeight="false" outlineLevel="0" collapsed="false">
      <c r="A2325" s="30" t="s">
        <v>4229</v>
      </c>
      <c r="B2325" s="30" t="s">
        <v>53</v>
      </c>
      <c r="C2325" s="30" t="s">
        <v>105</v>
      </c>
      <c r="D2325" s="30" t="s">
        <v>234</v>
      </c>
      <c r="E2325" s="4" t="n">
        <v>4</v>
      </c>
      <c r="F2325" s="4" t="s">
        <v>213</v>
      </c>
      <c r="G2325" s="4" t="s">
        <v>1305</v>
      </c>
      <c r="H2325" s="4" t="n">
        <v>1932</v>
      </c>
      <c r="I2325" s="4" t="s">
        <v>234</v>
      </c>
      <c r="J2325" s="25" t="str">
        <f aca="false">IF(M2325=1,"✓","")</f>
        <v/>
      </c>
      <c r="K2325" s="4" t="str">
        <f aca="false">IF(AND(M2325=0,P2325=0),"▶ NEXT","")</f>
        <v/>
      </c>
      <c r="L2325" s="4" t="n">
        <f aca="false">INDEX('Master List'!$F$2:$F$2594,O2325)</f>
        <v>2</v>
      </c>
      <c r="M2325" s="4" t="n">
        <f aca="false">INDEX('Master List'!$G$2:$G$2594,O2325)</f>
        <v>0</v>
      </c>
      <c r="N2325" s="4" t="str">
        <f aca="false">IF(K2325="","",A2325)</f>
        <v/>
      </c>
      <c r="O2325" s="4" t="n">
        <v>322</v>
      </c>
      <c r="P2325" s="4" t="n">
        <f aca="false">IF(A2325=A2324,P2324+1-M2324,0)</f>
        <v>3</v>
      </c>
    </row>
    <row r="2326" customFormat="false" ht="15" hidden="false" customHeight="false" outlineLevel="0" collapsed="false">
      <c r="A2326" s="30" t="s">
        <v>4229</v>
      </c>
      <c r="B2326" s="30" t="s">
        <v>53</v>
      </c>
      <c r="C2326" s="30" t="s">
        <v>105</v>
      </c>
      <c r="D2326" s="30" t="s">
        <v>234</v>
      </c>
      <c r="E2326" s="4" t="n">
        <v>5</v>
      </c>
      <c r="F2326" s="4" t="s">
        <v>213</v>
      </c>
      <c r="G2326" s="4" t="s">
        <v>1763</v>
      </c>
      <c r="H2326" s="4" t="n">
        <v>1936</v>
      </c>
      <c r="I2326" s="4" t="s">
        <v>234</v>
      </c>
      <c r="J2326" s="25" t="str">
        <f aca="false">IF(M2326=1,"✓","")</f>
        <v/>
      </c>
      <c r="K2326" s="4" t="str">
        <f aca="false">IF(AND(M2326=0,P2326=0),"▶ NEXT","")</f>
        <v/>
      </c>
      <c r="L2326" s="4" t="n">
        <f aca="false">INDEX('Master List'!$F$2:$F$2594,O2326)</f>
        <v>1</v>
      </c>
      <c r="M2326" s="4" t="n">
        <f aca="false">INDEX('Master List'!$G$2:$G$2594,O2326)</f>
        <v>0</v>
      </c>
      <c r="N2326" s="4" t="str">
        <f aca="false">IF(K2326="","",A2326)</f>
        <v/>
      </c>
      <c r="O2326" s="4" t="n">
        <v>573</v>
      </c>
      <c r="P2326" s="4" t="n">
        <f aca="false">IF(A2326=A2325,P2325+1-M2325,0)</f>
        <v>4</v>
      </c>
    </row>
    <row r="2327" customFormat="false" ht="15" hidden="false" customHeight="false" outlineLevel="0" collapsed="false">
      <c r="A2327" s="30" t="s">
        <v>4229</v>
      </c>
      <c r="B2327" s="30" t="s">
        <v>53</v>
      </c>
      <c r="C2327" s="30" t="s">
        <v>105</v>
      </c>
      <c r="D2327" s="30" t="s">
        <v>234</v>
      </c>
      <c r="E2327" s="4" t="n">
        <v>6</v>
      </c>
      <c r="F2327" s="4" t="s">
        <v>213</v>
      </c>
      <c r="G2327" s="4" t="s">
        <v>1764</v>
      </c>
      <c r="H2327" s="4" t="n">
        <v>1936</v>
      </c>
      <c r="I2327" s="4" t="s">
        <v>234</v>
      </c>
      <c r="J2327" s="25" t="str">
        <f aca="false">IF(M2327=1,"✓","")</f>
        <v/>
      </c>
      <c r="K2327" s="4" t="str">
        <f aca="false">IF(AND(M2327=0,P2327=0),"▶ NEXT","")</f>
        <v/>
      </c>
      <c r="L2327" s="4" t="n">
        <f aca="false">INDEX('Master List'!$F$2:$F$2594,O2327)</f>
        <v>1</v>
      </c>
      <c r="M2327" s="4" t="n">
        <f aca="false">INDEX('Master List'!$G$2:$G$2594,O2327)</f>
        <v>0</v>
      </c>
      <c r="N2327" s="4" t="str">
        <f aca="false">IF(K2327="","",A2327)</f>
        <v/>
      </c>
      <c r="O2327" s="4" t="n">
        <v>536</v>
      </c>
      <c r="P2327" s="4" t="n">
        <f aca="false">IF(A2327=A2326,P2326+1-M2326,0)</f>
        <v>5</v>
      </c>
    </row>
    <row r="2328" customFormat="false" ht="15" hidden="false" customHeight="false" outlineLevel="0" collapsed="false">
      <c r="A2328" s="30" t="s">
        <v>4229</v>
      </c>
      <c r="B2328" s="30" t="s">
        <v>53</v>
      </c>
      <c r="C2328" s="30" t="s">
        <v>105</v>
      </c>
      <c r="D2328" s="30" t="s">
        <v>234</v>
      </c>
      <c r="E2328" s="4" t="n">
        <v>7</v>
      </c>
      <c r="F2328" s="4" t="s">
        <v>213</v>
      </c>
      <c r="G2328" s="4" t="s">
        <v>1885</v>
      </c>
      <c r="H2328" s="4" t="n">
        <v>1951</v>
      </c>
      <c r="I2328" s="4" t="s">
        <v>234</v>
      </c>
      <c r="J2328" s="25" t="str">
        <f aca="false">IF(M2328=1,"✓","")</f>
        <v/>
      </c>
      <c r="K2328" s="4" t="str">
        <f aca="false">IF(AND(M2328=0,P2328=0),"▶ NEXT","")</f>
        <v/>
      </c>
      <c r="L2328" s="4" t="n">
        <f aca="false">INDEX('Master List'!$F$2:$F$2594,O2328)</f>
        <v>1</v>
      </c>
      <c r="M2328" s="4" t="n">
        <f aca="false">INDEX('Master List'!$G$2:$G$2594,O2328)</f>
        <v>0</v>
      </c>
      <c r="N2328" s="4" t="str">
        <f aca="false">IF(K2328="","",A2328)</f>
        <v/>
      </c>
      <c r="O2328" s="4" t="n">
        <v>1910</v>
      </c>
      <c r="P2328" s="4" t="n">
        <f aca="false">IF(A2328=A2327,P2327+1-M2327,0)</f>
        <v>6</v>
      </c>
    </row>
    <row r="2329" customFormat="false" ht="15" hidden="false" customHeight="false" outlineLevel="0" collapsed="false">
      <c r="A2329" s="30" t="s">
        <v>4229</v>
      </c>
      <c r="B2329" s="30" t="s">
        <v>53</v>
      </c>
      <c r="C2329" s="30" t="s">
        <v>105</v>
      </c>
      <c r="D2329" s="30" t="s">
        <v>234</v>
      </c>
      <c r="E2329" s="4" t="n">
        <v>8</v>
      </c>
      <c r="F2329" s="4" t="s">
        <v>213</v>
      </c>
      <c r="G2329" s="4" t="s">
        <v>1927</v>
      </c>
      <c r="H2329" s="4" t="n">
        <v>1955</v>
      </c>
      <c r="I2329" s="4" t="s">
        <v>234</v>
      </c>
      <c r="J2329" s="25" t="str">
        <f aca="false">IF(M2329=1,"✓","")</f>
        <v/>
      </c>
      <c r="K2329" s="4" t="str">
        <f aca="false">IF(AND(M2329=0,P2329=0),"▶ NEXT","")</f>
        <v/>
      </c>
      <c r="L2329" s="4" t="n">
        <f aca="false">INDEX('Master List'!$F$2:$F$2594,O2329)</f>
        <v>1</v>
      </c>
      <c r="M2329" s="4" t="n">
        <f aca="false">INDEX('Master List'!$G$2:$G$2594,O2329)</f>
        <v>0</v>
      </c>
      <c r="N2329" s="4" t="str">
        <f aca="false">IF(K2329="","",A2329)</f>
        <v/>
      </c>
      <c r="O2329" s="4" t="n">
        <v>850</v>
      </c>
      <c r="P2329" s="4" t="n">
        <f aca="false">IF(A2329=A2328,P2328+1-M2328,0)</f>
        <v>7</v>
      </c>
    </row>
    <row r="2330" customFormat="false" ht="15" hidden="false" customHeight="false" outlineLevel="0" collapsed="false">
      <c r="A2330" s="30" t="s">
        <v>4229</v>
      </c>
      <c r="B2330" s="30" t="s">
        <v>53</v>
      </c>
      <c r="C2330" s="30" t="s">
        <v>105</v>
      </c>
      <c r="D2330" s="30" t="s">
        <v>234</v>
      </c>
      <c r="E2330" s="4" t="n">
        <v>9</v>
      </c>
      <c r="F2330" s="4" t="s">
        <v>1327</v>
      </c>
      <c r="G2330" s="4" t="s">
        <v>3364</v>
      </c>
      <c r="H2330" s="4" t="n">
        <v>1952</v>
      </c>
      <c r="I2330" s="4" t="s">
        <v>234</v>
      </c>
      <c r="J2330" s="25" t="str">
        <f aca="false">IF(M2330=1,"✓","")</f>
        <v/>
      </c>
      <c r="K2330" s="4" t="str">
        <f aca="false">IF(AND(M2330=0,P2330=0),"▶ NEXT","")</f>
        <v/>
      </c>
      <c r="L2330" s="4" t="n">
        <f aca="false">INDEX('Master List'!$F$2:$F$2594,O2330)</f>
        <v>1</v>
      </c>
      <c r="M2330" s="4" t="n">
        <f aca="false">INDEX('Master List'!$G$2:$G$2594,O2330)</f>
        <v>0</v>
      </c>
      <c r="N2330" s="4" t="str">
        <f aca="false">IF(K2330="","",A2330)</f>
        <v/>
      </c>
      <c r="O2330" s="4" t="n">
        <v>917</v>
      </c>
      <c r="P2330" s="4" t="n">
        <f aca="false">IF(A2330=A2329,P2329+1-M2329,0)</f>
        <v>8</v>
      </c>
    </row>
    <row r="2331" customFormat="false" ht="15" hidden="false" customHeight="false" outlineLevel="0" collapsed="false">
      <c r="A2331" s="30" t="s">
        <v>4229</v>
      </c>
      <c r="B2331" s="30" t="s">
        <v>53</v>
      </c>
      <c r="C2331" s="30" t="s">
        <v>105</v>
      </c>
      <c r="D2331" s="30" t="s">
        <v>234</v>
      </c>
      <c r="E2331" s="4" t="n">
        <v>10</v>
      </c>
      <c r="F2331" s="4" t="s">
        <v>1327</v>
      </c>
      <c r="G2331" s="4" t="s">
        <v>3346</v>
      </c>
      <c r="H2331" s="4" t="n">
        <v>1945</v>
      </c>
      <c r="I2331" s="4" t="s">
        <v>234</v>
      </c>
      <c r="J2331" s="25" t="str">
        <f aca="false">IF(M2331=1,"✓","")</f>
        <v/>
      </c>
      <c r="K2331" s="4" t="str">
        <f aca="false">IF(AND(M2331=0,P2331=0),"▶ NEXT","")</f>
        <v/>
      </c>
      <c r="L2331" s="4" t="n">
        <f aca="false">INDEX('Master List'!$F$2:$F$2594,O2331)</f>
        <v>1</v>
      </c>
      <c r="M2331" s="4" t="n">
        <f aca="false">INDEX('Master List'!$G$2:$G$2594,O2331)</f>
        <v>0</v>
      </c>
      <c r="N2331" s="4" t="str">
        <f aca="false">IF(K2331="","",A2331)</f>
        <v/>
      </c>
      <c r="O2331" s="4" t="n">
        <v>2124</v>
      </c>
      <c r="P2331" s="4" t="n">
        <f aca="false">IF(A2331=A2330,P2330+1-M2330,0)</f>
        <v>9</v>
      </c>
    </row>
    <row r="2332" customFormat="false" ht="15" hidden="false" customHeight="false" outlineLevel="0" collapsed="false">
      <c r="A2332" s="30" t="s">
        <v>4230</v>
      </c>
      <c r="B2332" s="30" t="s">
        <v>53</v>
      </c>
      <c r="C2332" s="30" t="s">
        <v>105</v>
      </c>
      <c r="D2332" s="30" t="s">
        <v>210</v>
      </c>
      <c r="E2332" s="4" t="n">
        <v>1</v>
      </c>
      <c r="F2332" s="4" t="s">
        <v>144</v>
      </c>
      <c r="G2332" s="7" t="s">
        <v>768</v>
      </c>
      <c r="H2332" s="4" t="n">
        <v>1962</v>
      </c>
      <c r="I2332" s="4" t="s">
        <v>210</v>
      </c>
      <c r="J2332" s="25" t="str">
        <f aca="false">IF(M2332=1,"✓","")</f>
        <v/>
      </c>
      <c r="K2332" s="4" t="str">
        <f aca="false">IF(AND(M2332=0,P2332=0),"▶ NEXT","")</f>
        <v>▶ NEXT</v>
      </c>
      <c r="L2332" s="4" t="n">
        <f aca="false">INDEX('Master List'!$F$2:$F$2594,O2332)</f>
        <v>2</v>
      </c>
      <c r="M2332" s="4" t="n">
        <f aca="false">INDEX('Master List'!$G$2:$G$2594,O2332)</f>
        <v>0</v>
      </c>
      <c r="N2332" s="4" t="str">
        <f aca="false">IF(K2332="","",A2332)</f>
        <v>N194</v>
      </c>
      <c r="O2332" s="4" t="n">
        <v>1185</v>
      </c>
      <c r="P2332" s="4" t="n">
        <f aca="false">IF(A2332=A2331,P2331+1-M2331,0)</f>
        <v>0</v>
      </c>
    </row>
    <row r="2333" customFormat="false" ht="15" hidden="false" customHeight="false" outlineLevel="0" collapsed="false">
      <c r="A2333" s="30" t="s">
        <v>4230</v>
      </c>
      <c r="B2333" s="30" t="s">
        <v>53</v>
      </c>
      <c r="C2333" s="30" t="s">
        <v>105</v>
      </c>
      <c r="D2333" s="30" t="s">
        <v>210</v>
      </c>
      <c r="E2333" s="4" t="n">
        <v>2</v>
      </c>
      <c r="F2333" s="4" t="s">
        <v>144</v>
      </c>
      <c r="G2333" s="7" t="s">
        <v>468</v>
      </c>
      <c r="H2333" s="4" t="n">
        <v>1966</v>
      </c>
      <c r="I2333" s="4" t="s">
        <v>210</v>
      </c>
      <c r="J2333" s="25" t="str">
        <f aca="false">IF(M2333=1,"✓","")</f>
        <v/>
      </c>
      <c r="K2333" s="4" t="str">
        <f aca="false">IF(AND(M2333=0,P2333=0),"▶ NEXT","")</f>
        <v/>
      </c>
      <c r="L2333" s="4" t="n">
        <f aca="false">INDEX('Master List'!$F$2:$F$2594,O2333)</f>
        <v>3</v>
      </c>
      <c r="M2333" s="4" t="n">
        <f aca="false">INDEX('Master List'!$G$2:$G$2594,O2333)</f>
        <v>0</v>
      </c>
      <c r="N2333" s="4" t="str">
        <f aca="false">IF(K2333="","",A2333)</f>
        <v/>
      </c>
      <c r="O2333" s="4" t="n">
        <v>102</v>
      </c>
      <c r="P2333" s="4" t="n">
        <f aca="false">IF(A2333=A2332,P2332+1-M2332,0)</f>
        <v>1</v>
      </c>
    </row>
    <row r="2334" customFormat="false" ht="15" hidden="false" customHeight="false" outlineLevel="0" collapsed="false">
      <c r="A2334" s="30" t="s">
        <v>4230</v>
      </c>
      <c r="B2334" s="30" t="s">
        <v>53</v>
      </c>
      <c r="C2334" s="30" t="s">
        <v>105</v>
      </c>
      <c r="D2334" s="30" t="s">
        <v>210</v>
      </c>
      <c r="E2334" s="4" t="n">
        <v>3</v>
      </c>
      <c r="F2334" s="4" t="s">
        <v>144</v>
      </c>
      <c r="G2334" s="7" t="s">
        <v>542</v>
      </c>
      <c r="H2334" s="4" t="n">
        <v>1972</v>
      </c>
      <c r="I2334" s="4" t="s">
        <v>210</v>
      </c>
      <c r="J2334" s="25" t="str">
        <f aca="false">IF(M2334=1,"✓","")</f>
        <v/>
      </c>
      <c r="K2334" s="4" t="str">
        <f aca="false">IF(AND(M2334=0,P2334=0),"▶ NEXT","")</f>
        <v/>
      </c>
      <c r="L2334" s="4" t="n">
        <f aca="false">INDEX('Master List'!$F$2:$F$2594,O2334)</f>
        <v>3</v>
      </c>
      <c r="M2334" s="4" t="n">
        <f aca="false">INDEX('Master List'!$G$2:$G$2594,O2334)</f>
        <v>0</v>
      </c>
      <c r="N2334" s="4" t="str">
        <f aca="false">IF(K2334="","",A2334)</f>
        <v/>
      </c>
      <c r="O2334" s="4" t="n">
        <v>2104</v>
      </c>
      <c r="P2334" s="4" t="n">
        <f aca="false">IF(A2334=A2333,P2333+1-M2333,0)</f>
        <v>2</v>
      </c>
    </row>
    <row r="2335" customFormat="false" ht="15" hidden="false" customHeight="false" outlineLevel="0" collapsed="false">
      <c r="A2335" s="30" t="s">
        <v>4230</v>
      </c>
      <c r="B2335" s="30" t="s">
        <v>53</v>
      </c>
      <c r="C2335" s="30" t="s">
        <v>105</v>
      </c>
      <c r="D2335" s="30" t="s">
        <v>210</v>
      </c>
      <c r="E2335" s="4" t="n">
        <v>4</v>
      </c>
      <c r="F2335" s="4" t="s">
        <v>144</v>
      </c>
      <c r="G2335" s="7" t="s">
        <v>229</v>
      </c>
      <c r="H2335" s="4" t="n">
        <v>1975</v>
      </c>
      <c r="I2335" s="4" t="s">
        <v>210</v>
      </c>
      <c r="J2335" s="25" t="str">
        <f aca="false">IF(M2335=1,"✓","")</f>
        <v/>
      </c>
      <c r="K2335" s="4" t="str">
        <f aca="false">IF(AND(M2335=0,P2335=0),"▶ NEXT","")</f>
        <v/>
      </c>
      <c r="L2335" s="4" t="n">
        <f aca="false">INDEX('Master List'!$F$2:$F$2594,O2335)</f>
        <v>6</v>
      </c>
      <c r="M2335" s="4" t="n">
        <f aca="false">INDEX('Master List'!$G$2:$G$2594,O2335)</f>
        <v>0</v>
      </c>
      <c r="N2335" s="4" t="str">
        <f aca="false">IF(K2335="","",A2335)</f>
        <v/>
      </c>
      <c r="O2335" s="4" t="n">
        <v>1512</v>
      </c>
      <c r="P2335" s="4" t="n">
        <f aca="false">IF(A2335=A2334,P2334+1-M2334,0)</f>
        <v>3</v>
      </c>
    </row>
    <row r="2336" customFormat="false" ht="15" hidden="false" customHeight="false" outlineLevel="0" collapsed="false">
      <c r="A2336" s="30" t="s">
        <v>4230</v>
      </c>
      <c r="B2336" s="30" t="s">
        <v>53</v>
      </c>
      <c r="C2336" s="30" t="s">
        <v>105</v>
      </c>
      <c r="D2336" s="30" t="s">
        <v>210</v>
      </c>
      <c r="E2336" s="4" t="n">
        <v>5</v>
      </c>
      <c r="F2336" s="4" t="s">
        <v>144</v>
      </c>
      <c r="G2336" s="7" t="s">
        <v>209</v>
      </c>
      <c r="H2336" s="4" t="n">
        <v>1979</v>
      </c>
      <c r="I2336" s="4" t="s">
        <v>210</v>
      </c>
      <c r="J2336" s="25" t="str">
        <f aca="false">IF(M2336=1,"✓","")</f>
        <v>✓</v>
      </c>
      <c r="K2336" s="4" t="str">
        <f aca="false">IF(AND(M2336=0,P2336=0),"▶ NEXT","")</f>
        <v/>
      </c>
      <c r="L2336" s="4" t="n">
        <f aca="false">INDEX('Master List'!$F$2:$F$2594,O2336)</f>
        <v>7</v>
      </c>
      <c r="M2336" s="4" t="n">
        <f aca="false">INDEX('Master List'!$G$2:$G$2594,O2336)</f>
        <v>1</v>
      </c>
      <c r="N2336" s="4" t="str">
        <f aca="false">IF(K2336="","",A2336)</f>
        <v/>
      </c>
      <c r="O2336" s="4" t="n">
        <v>2145</v>
      </c>
      <c r="P2336" s="4" t="n">
        <f aca="false">IF(A2336=A2335,P2335+1-M2335,0)</f>
        <v>4</v>
      </c>
    </row>
    <row r="2337" customFormat="false" ht="15" hidden="false" customHeight="false" outlineLevel="0" collapsed="false">
      <c r="A2337" s="30" t="s">
        <v>4230</v>
      </c>
      <c r="B2337" s="30" t="s">
        <v>53</v>
      </c>
      <c r="C2337" s="30" t="s">
        <v>105</v>
      </c>
      <c r="D2337" s="30" t="s">
        <v>210</v>
      </c>
      <c r="E2337" s="4" t="n">
        <v>6</v>
      </c>
      <c r="F2337" s="4" t="s">
        <v>213</v>
      </c>
      <c r="G2337" s="4" t="s">
        <v>2388</v>
      </c>
      <c r="H2337" s="4" t="n">
        <v>1983</v>
      </c>
      <c r="I2337" s="4" t="s">
        <v>210</v>
      </c>
      <c r="J2337" s="25" t="str">
        <f aca="false">IF(M2337=1,"✓","")</f>
        <v/>
      </c>
      <c r="K2337" s="4" t="str">
        <f aca="false">IF(AND(M2337=0,P2337=0),"▶ NEXT","")</f>
        <v/>
      </c>
      <c r="L2337" s="4" t="n">
        <f aca="false">INDEX('Master List'!$F$2:$F$2594,O2337)</f>
        <v>1</v>
      </c>
      <c r="M2337" s="4" t="n">
        <f aca="false">INDEX('Master List'!$G$2:$G$2594,O2337)</f>
        <v>0</v>
      </c>
      <c r="N2337" s="4" t="str">
        <f aca="false">IF(K2337="","",A2337)</f>
        <v/>
      </c>
      <c r="O2337" s="4" t="n">
        <v>1634</v>
      </c>
      <c r="P2337" s="4" t="n">
        <f aca="false">IF(A2337=A2336,P2336+1-M2336,0)</f>
        <v>4</v>
      </c>
    </row>
    <row r="2338" customFormat="false" ht="15" hidden="false" customHeight="false" outlineLevel="0" collapsed="false">
      <c r="A2338" s="30" t="s">
        <v>4230</v>
      </c>
      <c r="B2338" s="30" t="s">
        <v>53</v>
      </c>
      <c r="C2338" s="30" t="s">
        <v>105</v>
      </c>
      <c r="D2338" s="30" t="s">
        <v>210</v>
      </c>
      <c r="E2338" s="4" t="n">
        <v>7</v>
      </c>
      <c r="F2338" s="4" t="s">
        <v>213</v>
      </c>
      <c r="G2338" s="4" t="s">
        <v>1080</v>
      </c>
      <c r="H2338" s="4" t="n">
        <v>1986</v>
      </c>
      <c r="I2338" s="4" t="s">
        <v>210</v>
      </c>
      <c r="J2338" s="25" t="str">
        <f aca="false">IF(M2338=1,"✓","")</f>
        <v/>
      </c>
      <c r="K2338" s="4" t="str">
        <f aca="false">IF(AND(M2338=0,P2338=0),"▶ NEXT","")</f>
        <v/>
      </c>
      <c r="L2338" s="4" t="n">
        <f aca="false">INDEX('Master List'!$F$2:$F$2594,O2338)</f>
        <v>2</v>
      </c>
      <c r="M2338" s="4" t="n">
        <f aca="false">INDEX('Master List'!$G$2:$G$2594,O2338)</f>
        <v>0</v>
      </c>
      <c r="N2338" s="4" t="str">
        <f aca="false">IF(K2338="","",A2338)</f>
        <v/>
      </c>
      <c r="O2338" s="4" t="n">
        <v>1953</v>
      </c>
      <c r="P2338" s="4" t="n">
        <f aca="false">IF(A2338=A2337,P2337+1-M2337,0)</f>
        <v>5</v>
      </c>
    </row>
    <row r="2339" customFormat="false" ht="15" hidden="false" customHeight="false" outlineLevel="0" collapsed="false">
      <c r="A2339" s="30" t="s">
        <v>4231</v>
      </c>
      <c r="B2339" s="30" t="s">
        <v>53</v>
      </c>
      <c r="C2339" s="30" t="s">
        <v>105</v>
      </c>
      <c r="D2339" s="30" t="s">
        <v>1042</v>
      </c>
      <c r="E2339" s="4" t="n">
        <v>1</v>
      </c>
      <c r="F2339" s="4" t="s">
        <v>144</v>
      </c>
      <c r="G2339" s="7" t="s">
        <v>1554</v>
      </c>
      <c r="H2339" s="4" t="n">
        <v>1993</v>
      </c>
      <c r="I2339" s="4" t="s">
        <v>1042</v>
      </c>
      <c r="J2339" s="25" t="str">
        <f aca="false">IF(M2339=1,"✓","")</f>
        <v/>
      </c>
      <c r="K2339" s="4" t="str">
        <f aca="false">IF(AND(M2339=0,P2339=0),"▶ NEXT","")</f>
        <v>▶ NEXT</v>
      </c>
      <c r="L2339" s="4" t="n">
        <f aca="false">INDEX('Master List'!$F$2:$F$2594,O2339)</f>
        <v>1</v>
      </c>
      <c r="M2339" s="4" t="n">
        <f aca="false">INDEX('Master List'!$G$2:$G$2594,O2339)</f>
        <v>0</v>
      </c>
      <c r="N2339" s="4" t="str">
        <f aca="false">IF(K2339="","",A2339)</f>
        <v>N195</v>
      </c>
      <c r="O2339" s="4" t="n">
        <v>2290</v>
      </c>
      <c r="P2339" s="4" t="n">
        <f aca="false">IF(A2339=A2338,P2338+1-M2338,0)</f>
        <v>0</v>
      </c>
    </row>
    <row r="2340" customFormat="false" ht="15" hidden="false" customHeight="false" outlineLevel="0" collapsed="false">
      <c r="A2340" s="30" t="s">
        <v>4231</v>
      </c>
      <c r="B2340" s="30" t="s">
        <v>53</v>
      </c>
      <c r="C2340" s="30" t="s">
        <v>105</v>
      </c>
      <c r="D2340" s="30" t="s">
        <v>1042</v>
      </c>
      <c r="E2340" s="4" t="n">
        <v>2</v>
      </c>
      <c r="F2340" s="4" t="s">
        <v>144</v>
      </c>
      <c r="G2340" s="7" t="s">
        <v>1542</v>
      </c>
      <c r="H2340" s="4" t="n">
        <v>1991</v>
      </c>
      <c r="I2340" s="4" t="s">
        <v>1042</v>
      </c>
      <c r="J2340" s="25" t="str">
        <f aca="false">IF(M2340=1,"✓","")</f>
        <v/>
      </c>
      <c r="K2340" s="4" t="str">
        <f aca="false">IF(AND(M2340=0,P2340=0),"▶ NEXT","")</f>
        <v/>
      </c>
      <c r="L2340" s="4" t="n">
        <f aca="false">INDEX('Master List'!$F$2:$F$2594,O2340)</f>
        <v>1</v>
      </c>
      <c r="M2340" s="4" t="n">
        <f aca="false">INDEX('Master List'!$G$2:$G$2594,O2340)</f>
        <v>0</v>
      </c>
      <c r="N2340" s="4" t="str">
        <f aca="false">IF(K2340="","",A2340)</f>
        <v/>
      </c>
      <c r="O2340" s="4" t="n">
        <v>664</v>
      </c>
      <c r="P2340" s="4" t="n">
        <f aca="false">IF(A2340=A2339,P2339+1-M2339,0)</f>
        <v>1</v>
      </c>
    </row>
    <row r="2341" customFormat="false" ht="15" hidden="false" customHeight="false" outlineLevel="0" collapsed="false">
      <c r="A2341" s="30" t="s">
        <v>4231</v>
      </c>
      <c r="B2341" s="30" t="s">
        <v>53</v>
      </c>
      <c r="C2341" s="30" t="s">
        <v>105</v>
      </c>
      <c r="D2341" s="30" t="s">
        <v>1042</v>
      </c>
      <c r="E2341" s="4" t="n">
        <v>3</v>
      </c>
      <c r="F2341" s="4" t="s">
        <v>213</v>
      </c>
      <c r="G2341" s="4" t="s">
        <v>1041</v>
      </c>
      <c r="H2341" s="4" t="n">
        <v>1979</v>
      </c>
      <c r="I2341" s="4" t="s">
        <v>1042</v>
      </c>
      <c r="J2341" s="25" t="str">
        <f aca="false">IF(M2341=1,"✓","")</f>
        <v/>
      </c>
      <c r="K2341" s="4" t="str">
        <f aca="false">IF(AND(M2341=0,P2341=0),"▶ NEXT","")</f>
        <v/>
      </c>
      <c r="L2341" s="4" t="n">
        <f aca="false">INDEX('Master List'!$F$2:$F$2594,O2341)</f>
        <v>2</v>
      </c>
      <c r="M2341" s="4" t="n">
        <f aca="false">INDEX('Master List'!$G$2:$G$2594,O2341)</f>
        <v>0</v>
      </c>
      <c r="N2341" s="4" t="str">
        <f aca="false">IF(K2341="","",A2341)</f>
        <v/>
      </c>
      <c r="O2341" s="4" t="n">
        <v>384</v>
      </c>
      <c r="P2341" s="4" t="n">
        <f aca="false">IF(A2341=A2340,P2340+1-M2340,0)</f>
        <v>2</v>
      </c>
    </row>
    <row r="2342" customFormat="false" ht="15" hidden="false" customHeight="false" outlineLevel="0" collapsed="false">
      <c r="A2342" s="30" t="s">
        <v>4231</v>
      </c>
      <c r="B2342" s="30" t="s">
        <v>53</v>
      </c>
      <c r="C2342" s="30" t="s">
        <v>105</v>
      </c>
      <c r="D2342" s="30" t="s">
        <v>1042</v>
      </c>
      <c r="E2342" s="4" t="n">
        <v>4</v>
      </c>
      <c r="F2342" s="4" t="s">
        <v>213</v>
      </c>
      <c r="G2342" s="4" t="s">
        <v>2459</v>
      </c>
      <c r="H2342" s="4" t="n">
        <v>1987</v>
      </c>
      <c r="I2342" s="4" t="s">
        <v>1042</v>
      </c>
      <c r="J2342" s="25" t="str">
        <f aca="false">IF(M2342=1,"✓","")</f>
        <v/>
      </c>
      <c r="K2342" s="4" t="str">
        <f aca="false">IF(AND(M2342=0,P2342=0),"▶ NEXT","")</f>
        <v/>
      </c>
      <c r="L2342" s="4" t="n">
        <f aca="false">INDEX('Master List'!$F$2:$F$2594,O2342)</f>
        <v>1</v>
      </c>
      <c r="M2342" s="4" t="n">
        <f aca="false">INDEX('Master List'!$G$2:$G$2594,O2342)</f>
        <v>0</v>
      </c>
      <c r="N2342" s="4" t="str">
        <f aca="false">IF(K2342="","",A2342)</f>
        <v/>
      </c>
      <c r="O2342" s="4" t="n">
        <v>285</v>
      </c>
      <c r="P2342" s="4" t="n">
        <f aca="false">IF(A2342=A2341,P2341+1-M2341,0)</f>
        <v>3</v>
      </c>
    </row>
    <row r="2343" customFormat="false" ht="15" hidden="false" customHeight="false" outlineLevel="0" collapsed="false">
      <c r="A2343" s="30" t="s">
        <v>4231</v>
      </c>
      <c r="B2343" s="30" t="s">
        <v>53</v>
      </c>
      <c r="C2343" s="30" t="s">
        <v>105</v>
      </c>
      <c r="D2343" s="30" t="s">
        <v>1042</v>
      </c>
      <c r="E2343" s="4" t="n">
        <v>5</v>
      </c>
      <c r="F2343" s="4" t="s">
        <v>213</v>
      </c>
      <c r="G2343" s="4" t="s">
        <v>2474</v>
      </c>
      <c r="H2343" s="4" t="n">
        <v>1988</v>
      </c>
      <c r="I2343" s="4" t="s">
        <v>1042</v>
      </c>
      <c r="J2343" s="25" t="str">
        <f aca="false">IF(M2343=1,"✓","")</f>
        <v/>
      </c>
      <c r="K2343" s="4" t="str">
        <f aca="false">IF(AND(M2343=0,P2343=0),"▶ NEXT","")</f>
        <v/>
      </c>
      <c r="L2343" s="4" t="n">
        <f aca="false">INDEX('Master List'!$F$2:$F$2594,O2343)</f>
        <v>1</v>
      </c>
      <c r="M2343" s="4" t="n">
        <f aca="false">INDEX('Master List'!$G$2:$G$2594,O2343)</f>
        <v>0</v>
      </c>
      <c r="N2343" s="4" t="str">
        <f aca="false">IF(K2343="","",A2343)</f>
        <v/>
      </c>
      <c r="O2343" s="4" t="n">
        <v>2059</v>
      </c>
      <c r="P2343" s="4" t="n">
        <f aca="false">IF(A2343=A2342,P2342+1-M2342,0)</f>
        <v>4</v>
      </c>
    </row>
    <row r="2344" customFormat="false" ht="15" hidden="false" customHeight="false" outlineLevel="0" collapsed="false">
      <c r="A2344" s="30" t="s">
        <v>4231</v>
      </c>
      <c r="B2344" s="30" t="s">
        <v>53</v>
      </c>
      <c r="C2344" s="30" t="s">
        <v>105</v>
      </c>
      <c r="D2344" s="30" t="s">
        <v>1042</v>
      </c>
      <c r="E2344" s="4" t="n">
        <v>6</v>
      </c>
      <c r="F2344" s="4" t="s">
        <v>213</v>
      </c>
      <c r="G2344" s="4" t="s">
        <v>2475</v>
      </c>
      <c r="H2344" s="4" t="n">
        <v>1988</v>
      </c>
      <c r="I2344" s="4" t="s">
        <v>1042</v>
      </c>
      <c r="J2344" s="25" t="str">
        <f aca="false">IF(M2344=1,"✓","")</f>
        <v/>
      </c>
      <c r="K2344" s="4" t="str">
        <f aca="false">IF(AND(M2344=0,P2344=0),"▶ NEXT","")</f>
        <v/>
      </c>
      <c r="L2344" s="4" t="n">
        <f aca="false">INDEX('Master List'!$F$2:$F$2594,O2344)</f>
        <v>1</v>
      </c>
      <c r="M2344" s="4" t="n">
        <f aca="false">INDEX('Master List'!$G$2:$G$2594,O2344)</f>
        <v>0</v>
      </c>
      <c r="N2344" s="4" t="str">
        <f aca="false">IF(K2344="","",A2344)</f>
        <v/>
      </c>
      <c r="O2344" s="4" t="n">
        <v>2060</v>
      </c>
      <c r="P2344" s="4" t="n">
        <f aca="false">IF(A2344=A2343,P2343+1-M2343,0)</f>
        <v>5</v>
      </c>
    </row>
    <row r="2345" customFormat="false" ht="15" hidden="false" customHeight="false" outlineLevel="0" collapsed="false">
      <c r="A2345" s="30" t="s">
        <v>4231</v>
      </c>
      <c r="B2345" s="30" t="s">
        <v>53</v>
      </c>
      <c r="C2345" s="30" t="s">
        <v>105</v>
      </c>
      <c r="D2345" s="30" t="s">
        <v>1042</v>
      </c>
      <c r="E2345" s="4" t="n">
        <v>7</v>
      </c>
      <c r="F2345" s="4" t="s">
        <v>213</v>
      </c>
      <c r="G2345" s="4" t="s">
        <v>2498</v>
      </c>
      <c r="H2345" s="4" t="n">
        <v>1989</v>
      </c>
      <c r="I2345" s="4" t="s">
        <v>1042</v>
      </c>
      <c r="J2345" s="25" t="str">
        <f aca="false">IF(M2345=1,"✓","")</f>
        <v/>
      </c>
      <c r="K2345" s="4" t="str">
        <f aca="false">IF(AND(M2345=0,P2345=0),"▶ NEXT","")</f>
        <v/>
      </c>
      <c r="L2345" s="4" t="n">
        <f aca="false">INDEX('Master List'!$F$2:$F$2594,O2345)</f>
        <v>1</v>
      </c>
      <c r="M2345" s="4" t="n">
        <f aca="false">INDEX('Master List'!$G$2:$G$2594,O2345)</f>
        <v>0</v>
      </c>
      <c r="N2345" s="4" t="str">
        <f aca="false">IF(K2345="","",A2345)</f>
        <v/>
      </c>
      <c r="O2345" s="4" t="n">
        <v>608</v>
      </c>
      <c r="P2345" s="4" t="n">
        <f aca="false">IF(A2345=A2344,P2344+1-M2344,0)</f>
        <v>6</v>
      </c>
    </row>
    <row r="2346" customFormat="false" ht="15" hidden="false" customHeight="false" outlineLevel="0" collapsed="false">
      <c r="A2346" s="30" t="s">
        <v>4231</v>
      </c>
      <c r="B2346" s="30" t="s">
        <v>53</v>
      </c>
      <c r="C2346" s="30" t="s">
        <v>105</v>
      </c>
      <c r="D2346" s="30" t="s">
        <v>1042</v>
      </c>
      <c r="E2346" s="4" t="n">
        <v>8</v>
      </c>
      <c r="F2346" s="4" t="s">
        <v>213</v>
      </c>
      <c r="G2346" s="4" t="s">
        <v>2589</v>
      </c>
      <c r="H2346" s="4" t="n">
        <v>1994</v>
      </c>
      <c r="I2346" s="4" t="s">
        <v>1042</v>
      </c>
      <c r="J2346" s="25" t="str">
        <f aca="false">IF(M2346=1,"✓","")</f>
        <v/>
      </c>
      <c r="K2346" s="4" t="str">
        <f aca="false">IF(AND(M2346=0,P2346=0),"▶ NEXT","")</f>
        <v/>
      </c>
      <c r="L2346" s="4" t="n">
        <f aca="false">INDEX('Master List'!$F$2:$F$2594,O2346)</f>
        <v>1</v>
      </c>
      <c r="M2346" s="4" t="n">
        <f aca="false">INDEX('Master List'!$G$2:$G$2594,O2346)</f>
        <v>0</v>
      </c>
      <c r="N2346" s="4" t="str">
        <f aca="false">IF(K2346="","",A2346)</f>
        <v/>
      </c>
      <c r="O2346" s="4" t="n">
        <v>2292</v>
      </c>
      <c r="P2346" s="4" t="n">
        <f aca="false">IF(A2346=A2345,P2345+1-M2345,0)</f>
        <v>7</v>
      </c>
    </row>
    <row r="2347" customFormat="false" ht="15" hidden="false" customHeight="false" outlineLevel="0" collapsed="false">
      <c r="A2347" s="30" t="s">
        <v>4231</v>
      </c>
      <c r="B2347" s="30" t="s">
        <v>53</v>
      </c>
      <c r="C2347" s="30" t="s">
        <v>105</v>
      </c>
      <c r="D2347" s="30" t="s">
        <v>1042</v>
      </c>
      <c r="E2347" s="4" t="n">
        <v>9</v>
      </c>
      <c r="F2347" s="4" t="s">
        <v>213</v>
      </c>
      <c r="G2347" s="4" t="s">
        <v>2590</v>
      </c>
      <c r="H2347" s="4" t="n">
        <v>1994</v>
      </c>
      <c r="I2347" s="4" t="s">
        <v>1042</v>
      </c>
      <c r="J2347" s="25" t="str">
        <f aca="false">IF(M2347=1,"✓","")</f>
        <v/>
      </c>
      <c r="K2347" s="4" t="str">
        <f aca="false">IF(AND(M2347=0,P2347=0),"▶ NEXT","")</f>
        <v/>
      </c>
      <c r="L2347" s="4" t="n">
        <f aca="false">INDEX('Master List'!$F$2:$F$2594,O2347)</f>
        <v>1</v>
      </c>
      <c r="M2347" s="4" t="n">
        <f aca="false">INDEX('Master List'!$G$2:$G$2594,O2347)</f>
        <v>0</v>
      </c>
      <c r="N2347" s="4" t="str">
        <f aca="false">IF(K2347="","",A2347)</f>
        <v/>
      </c>
      <c r="O2347" s="4" t="n">
        <v>2291</v>
      </c>
      <c r="P2347" s="4" t="n">
        <f aca="false">IF(A2347=A2346,P2346+1-M2346,0)</f>
        <v>8</v>
      </c>
    </row>
    <row r="2348" customFormat="false" ht="15" hidden="false" customHeight="false" outlineLevel="0" collapsed="false">
      <c r="A2348" s="30" t="s">
        <v>4232</v>
      </c>
      <c r="B2348" s="30" t="s">
        <v>53</v>
      </c>
      <c r="C2348" s="30" t="s">
        <v>105</v>
      </c>
      <c r="D2348" s="30" t="s">
        <v>292</v>
      </c>
      <c r="E2348" s="4" t="n">
        <v>1</v>
      </c>
      <c r="F2348" s="4" t="s">
        <v>144</v>
      </c>
      <c r="G2348" s="7" t="s">
        <v>291</v>
      </c>
      <c r="H2348" s="4" t="n">
        <v>1972</v>
      </c>
      <c r="I2348" s="4" t="s">
        <v>292</v>
      </c>
      <c r="J2348" s="25" t="str">
        <f aca="false">IF(M2348=1,"✓","")</f>
        <v/>
      </c>
      <c r="K2348" s="4" t="str">
        <f aca="false">IF(AND(M2348=0,P2348=0),"▶ NEXT","")</f>
        <v>▶ NEXT</v>
      </c>
      <c r="L2348" s="4" t="n">
        <f aca="false">INDEX('Master List'!$F$2:$F$2594,O2348)</f>
        <v>4</v>
      </c>
      <c r="M2348" s="4" t="n">
        <f aca="false">INDEX('Master List'!$G$2:$G$2594,O2348)</f>
        <v>0</v>
      </c>
      <c r="N2348" s="4" t="str">
        <f aca="false">IF(K2348="","",A2348)</f>
        <v>N196</v>
      </c>
      <c r="O2348" s="4" t="n">
        <v>56</v>
      </c>
      <c r="P2348" s="4" t="n">
        <f aca="false">IF(A2348=A2347,P2347+1-M2347,0)</f>
        <v>0</v>
      </c>
    </row>
    <row r="2349" customFormat="false" ht="15" hidden="false" customHeight="false" outlineLevel="0" collapsed="false">
      <c r="A2349" s="30" t="s">
        <v>4232</v>
      </c>
      <c r="B2349" s="30" t="s">
        <v>53</v>
      </c>
      <c r="C2349" s="30" t="s">
        <v>105</v>
      </c>
      <c r="D2349" s="30" t="s">
        <v>292</v>
      </c>
      <c r="E2349" s="4" t="n">
        <v>2</v>
      </c>
      <c r="F2349" s="4" t="s">
        <v>144</v>
      </c>
      <c r="G2349" s="7" t="s">
        <v>857</v>
      </c>
      <c r="H2349" s="4" t="n">
        <v>2005</v>
      </c>
      <c r="I2349" s="4" t="s">
        <v>292</v>
      </c>
      <c r="J2349" s="25" t="str">
        <f aca="false">IF(M2349=1,"✓","")</f>
        <v/>
      </c>
      <c r="K2349" s="4" t="str">
        <f aca="false">IF(AND(M2349=0,P2349=0),"▶ NEXT","")</f>
        <v/>
      </c>
      <c r="L2349" s="4" t="n">
        <f aca="false">INDEX('Master List'!$F$2:$F$2594,O2349)</f>
        <v>2</v>
      </c>
      <c r="M2349" s="4" t="n">
        <f aca="false">INDEX('Master List'!$G$2:$G$2594,O2349)</f>
        <v>0</v>
      </c>
      <c r="N2349" s="4" t="str">
        <f aca="false">IF(K2349="","",A2349)</f>
        <v/>
      </c>
      <c r="O2349" s="4" t="n">
        <v>969</v>
      </c>
      <c r="P2349" s="4" t="n">
        <f aca="false">IF(A2349=A2348,P2348+1-M2348,0)</f>
        <v>1</v>
      </c>
    </row>
    <row r="2350" customFormat="false" ht="15" hidden="false" customHeight="false" outlineLevel="0" collapsed="false">
      <c r="A2350" s="30" t="s">
        <v>4232</v>
      </c>
      <c r="B2350" s="30" t="s">
        <v>53</v>
      </c>
      <c r="C2350" s="30" t="s">
        <v>105</v>
      </c>
      <c r="D2350" s="30" t="s">
        <v>292</v>
      </c>
      <c r="E2350" s="4" t="n">
        <v>3</v>
      </c>
      <c r="F2350" s="4" t="s">
        <v>213</v>
      </c>
      <c r="G2350" s="4" t="s">
        <v>2161</v>
      </c>
      <c r="H2350" s="4" t="n">
        <v>1970</v>
      </c>
      <c r="I2350" s="4" t="s">
        <v>292</v>
      </c>
      <c r="J2350" s="25" t="str">
        <f aca="false">IF(M2350=1,"✓","")</f>
        <v/>
      </c>
      <c r="K2350" s="4" t="str">
        <f aca="false">IF(AND(M2350=0,P2350=0),"▶ NEXT","")</f>
        <v/>
      </c>
      <c r="L2350" s="4" t="n">
        <f aca="false">INDEX('Master List'!$F$2:$F$2594,O2350)</f>
        <v>1</v>
      </c>
      <c r="M2350" s="4" t="n">
        <f aca="false">INDEX('Master List'!$G$2:$G$2594,O2350)</f>
        <v>0</v>
      </c>
      <c r="N2350" s="4" t="str">
        <f aca="false">IF(K2350="","",A2350)</f>
        <v/>
      </c>
      <c r="O2350" s="4" t="n">
        <v>750</v>
      </c>
      <c r="P2350" s="4" t="n">
        <f aca="false">IF(A2350=A2349,P2349+1-M2349,0)</f>
        <v>2</v>
      </c>
    </row>
    <row r="2351" customFormat="false" ht="15" hidden="false" customHeight="false" outlineLevel="0" collapsed="false">
      <c r="A2351" s="30" t="s">
        <v>4232</v>
      </c>
      <c r="B2351" s="30" t="s">
        <v>53</v>
      </c>
      <c r="C2351" s="30" t="s">
        <v>105</v>
      </c>
      <c r="D2351" s="30" t="s">
        <v>292</v>
      </c>
      <c r="E2351" s="4" t="n">
        <v>4</v>
      </c>
      <c r="F2351" s="4" t="s">
        <v>213</v>
      </c>
      <c r="G2351" s="4" t="s">
        <v>2183</v>
      </c>
      <c r="H2351" s="4" t="n">
        <v>1971</v>
      </c>
      <c r="I2351" s="4" t="s">
        <v>292</v>
      </c>
      <c r="J2351" s="25" t="str">
        <f aca="false">IF(M2351=1,"✓","")</f>
        <v/>
      </c>
      <c r="K2351" s="4" t="str">
        <f aca="false">IF(AND(M2351=0,P2351=0),"▶ NEXT","")</f>
        <v/>
      </c>
      <c r="L2351" s="4" t="n">
        <f aca="false">INDEX('Master List'!$F$2:$F$2594,O2351)</f>
        <v>1</v>
      </c>
      <c r="M2351" s="4" t="n">
        <f aca="false">INDEX('Master List'!$G$2:$G$2594,O2351)</f>
        <v>0</v>
      </c>
      <c r="N2351" s="4" t="str">
        <f aca="false">IF(K2351="","",A2351)</f>
        <v/>
      </c>
      <c r="O2351" s="4" t="n">
        <v>1289</v>
      </c>
      <c r="P2351" s="4" t="n">
        <f aca="false">IF(A2351=A2350,P2350+1-M2350,0)</f>
        <v>3</v>
      </c>
    </row>
    <row r="2352" customFormat="false" ht="15" hidden="false" customHeight="false" outlineLevel="0" collapsed="false">
      <c r="A2352" s="30" t="s">
        <v>4232</v>
      </c>
      <c r="B2352" s="30" t="s">
        <v>53</v>
      </c>
      <c r="C2352" s="30" t="s">
        <v>105</v>
      </c>
      <c r="D2352" s="30" t="s">
        <v>292</v>
      </c>
      <c r="E2352" s="4" t="n">
        <v>5</v>
      </c>
      <c r="F2352" s="4" t="s">
        <v>213</v>
      </c>
      <c r="G2352" s="4" t="s">
        <v>1024</v>
      </c>
      <c r="H2352" s="4" t="n">
        <v>1974</v>
      </c>
      <c r="I2352" s="4" t="s">
        <v>292</v>
      </c>
      <c r="J2352" s="25" t="str">
        <f aca="false">IF(M2352=1,"✓","")</f>
        <v/>
      </c>
      <c r="K2352" s="4" t="str">
        <f aca="false">IF(AND(M2352=0,P2352=0),"▶ NEXT","")</f>
        <v/>
      </c>
      <c r="L2352" s="4" t="n">
        <f aca="false">INDEX('Master List'!$F$2:$F$2594,O2352)</f>
        <v>2</v>
      </c>
      <c r="M2352" s="4" t="n">
        <f aca="false">INDEX('Master List'!$G$2:$G$2594,O2352)</f>
        <v>0</v>
      </c>
      <c r="N2352" s="4" t="str">
        <f aca="false">IF(K2352="","",A2352)</f>
        <v/>
      </c>
      <c r="O2352" s="4" t="n">
        <v>733</v>
      </c>
      <c r="P2352" s="4" t="n">
        <f aca="false">IF(A2352=A2351,P2351+1-M2351,0)</f>
        <v>4</v>
      </c>
    </row>
    <row r="2353" customFormat="false" ht="15" hidden="false" customHeight="false" outlineLevel="0" collapsed="false">
      <c r="A2353" s="30" t="s">
        <v>4232</v>
      </c>
      <c r="B2353" s="30" t="s">
        <v>53</v>
      </c>
      <c r="C2353" s="30" t="s">
        <v>105</v>
      </c>
      <c r="D2353" s="30" t="s">
        <v>292</v>
      </c>
      <c r="E2353" s="4" t="n">
        <v>6</v>
      </c>
      <c r="F2353" s="4" t="s">
        <v>213</v>
      </c>
      <c r="G2353" s="4" t="s">
        <v>1357</v>
      </c>
      <c r="H2353" s="4" t="n">
        <v>1977</v>
      </c>
      <c r="I2353" s="4" t="s">
        <v>292</v>
      </c>
      <c r="J2353" s="25" t="str">
        <f aca="false">IF(M2353=1,"✓","")</f>
        <v/>
      </c>
      <c r="K2353" s="4" t="str">
        <f aca="false">IF(AND(M2353=0,P2353=0),"▶ NEXT","")</f>
        <v/>
      </c>
      <c r="L2353" s="4" t="n">
        <f aca="false">INDEX('Master List'!$F$2:$F$2594,O2353)</f>
        <v>2</v>
      </c>
      <c r="M2353" s="4" t="n">
        <f aca="false">INDEX('Master List'!$G$2:$G$2594,O2353)</f>
        <v>0</v>
      </c>
      <c r="N2353" s="4" t="str">
        <f aca="false">IF(K2353="","",A2353)</f>
        <v/>
      </c>
      <c r="O2353" s="4" t="n">
        <v>2188</v>
      </c>
      <c r="P2353" s="4" t="n">
        <f aca="false">IF(A2353=A2352,P2352+1-M2352,0)</f>
        <v>5</v>
      </c>
    </row>
    <row r="2354" customFormat="false" ht="15" hidden="false" customHeight="false" outlineLevel="0" collapsed="false">
      <c r="A2354" s="30" t="s">
        <v>4232</v>
      </c>
      <c r="B2354" s="30" t="s">
        <v>53</v>
      </c>
      <c r="C2354" s="30" t="s">
        <v>105</v>
      </c>
      <c r="D2354" s="30" t="s">
        <v>292</v>
      </c>
      <c r="E2354" s="4" t="n">
        <v>7</v>
      </c>
      <c r="F2354" s="4" t="s">
        <v>213</v>
      </c>
      <c r="G2354" s="4" t="s">
        <v>2329</v>
      </c>
      <c r="H2354" s="4" t="n">
        <v>1979</v>
      </c>
      <c r="I2354" s="4" t="s">
        <v>292</v>
      </c>
      <c r="J2354" s="25" t="str">
        <f aca="false">IF(M2354=1,"✓","")</f>
        <v/>
      </c>
      <c r="K2354" s="4" t="str">
        <f aca="false">IF(AND(M2354=0,P2354=0),"▶ NEXT","")</f>
        <v/>
      </c>
      <c r="L2354" s="4" t="n">
        <f aca="false">INDEX('Master List'!$F$2:$F$2594,O2354)</f>
        <v>1</v>
      </c>
      <c r="M2354" s="4" t="n">
        <f aca="false">INDEX('Master List'!$G$2:$G$2594,O2354)</f>
        <v>0</v>
      </c>
      <c r="N2354" s="4" t="str">
        <f aca="false">IF(K2354="","",A2354)</f>
        <v/>
      </c>
      <c r="O2354" s="4" t="n">
        <v>1633</v>
      </c>
      <c r="P2354" s="4" t="n">
        <f aca="false">IF(A2354=A2353,P2353+1-M2353,0)</f>
        <v>6</v>
      </c>
    </row>
    <row r="2355" customFormat="false" ht="15" hidden="false" customHeight="false" outlineLevel="0" collapsed="false">
      <c r="A2355" s="30" t="s">
        <v>4232</v>
      </c>
      <c r="B2355" s="30" t="s">
        <v>53</v>
      </c>
      <c r="C2355" s="30" t="s">
        <v>105</v>
      </c>
      <c r="D2355" s="30" t="s">
        <v>292</v>
      </c>
      <c r="E2355" s="4" t="n">
        <v>8</v>
      </c>
      <c r="F2355" s="4" t="s">
        <v>213</v>
      </c>
      <c r="G2355" s="4" t="s">
        <v>710</v>
      </c>
      <c r="H2355" s="4" t="n">
        <v>1982</v>
      </c>
      <c r="I2355" s="4" t="s">
        <v>292</v>
      </c>
      <c r="J2355" s="25" t="str">
        <f aca="false">IF(M2355=1,"✓","")</f>
        <v/>
      </c>
      <c r="K2355" s="4" t="str">
        <f aca="false">IF(AND(M2355=0,P2355=0),"▶ NEXT","")</f>
        <v/>
      </c>
      <c r="L2355" s="4" t="n">
        <f aca="false">INDEX('Master List'!$F$2:$F$2594,O2355)</f>
        <v>3</v>
      </c>
      <c r="M2355" s="4" t="n">
        <f aca="false">INDEX('Master List'!$G$2:$G$2594,O2355)</f>
        <v>0</v>
      </c>
      <c r="N2355" s="4" t="str">
        <f aca="false">IF(K2355="","",A2355)</f>
        <v/>
      </c>
      <c r="O2355" s="4" t="n">
        <v>814</v>
      </c>
      <c r="P2355" s="4" t="n">
        <f aca="false">IF(A2355=A2354,P2354+1-M2354,0)</f>
        <v>7</v>
      </c>
    </row>
    <row r="2356" customFormat="false" ht="15" hidden="false" customHeight="false" outlineLevel="0" collapsed="false">
      <c r="A2356" s="30" t="s">
        <v>4232</v>
      </c>
      <c r="B2356" s="30" t="s">
        <v>53</v>
      </c>
      <c r="C2356" s="30" t="s">
        <v>105</v>
      </c>
      <c r="D2356" s="30" t="s">
        <v>292</v>
      </c>
      <c r="E2356" s="4" t="n">
        <v>9</v>
      </c>
      <c r="F2356" s="4" t="s">
        <v>213</v>
      </c>
      <c r="G2356" s="4" t="s">
        <v>2545</v>
      </c>
      <c r="H2356" s="4" t="n">
        <v>1992</v>
      </c>
      <c r="I2356" s="4" t="s">
        <v>292</v>
      </c>
      <c r="J2356" s="25" t="str">
        <f aca="false">IF(M2356=1,"✓","")</f>
        <v/>
      </c>
      <c r="K2356" s="4" t="str">
        <f aca="false">IF(AND(M2356=0,P2356=0),"▶ NEXT","")</f>
        <v/>
      </c>
      <c r="L2356" s="4" t="n">
        <f aca="false">INDEX('Master List'!$F$2:$F$2594,O2356)</f>
        <v>1</v>
      </c>
      <c r="M2356" s="4" t="n">
        <f aca="false">INDEX('Master List'!$G$2:$G$2594,O2356)</f>
        <v>0</v>
      </c>
      <c r="N2356" s="4" t="str">
        <f aca="false">IF(K2356="","",A2356)</f>
        <v/>
      </c>
      <c r="O2356" s="4" t="n">
        <v>1323</v>
      </c>
      <c r="P2356" s="4" t="n">
        <f aca="false">IF(A2356=A2355,P2355+1-M2355,0)</f>
        <v>8</v>
      </c>
    </row>
    <row r="2357" customFormat="false" ht="15" hidden="false" customHeight="false" outlineLevel="0" collapsed="false">
      <c r="A2357" s="30" t="s">
        <v>4232</v>
      </c>
      <c r="B2357" s="30" t="s">
        <v>53</v>
      </c>
      <c r="C2357" s="30" t="s">
        <v>105</v>
      </c>
      <c r="D2357" s="30" t="s">
        <v>292</v>
      </c>
      <c r="E2357" s="4" t="n">
        <v>10</v>
      </c>
      <c r="F2357" s="4" t="s">
        <v>213</v>
      </c>
      <c r="G2357" s="4" t="s">
        <v>2675</v>
      </c>
      <c r="H2357" s="4" t="n">
        <v>1997</v>
      </c>
      <c r="I2357" s="4" t="s">
        <v>292</v>
      </c>
      <c r="J2357" s="25" t="str">
        <f aca="false">IF(M2357=1,"✓","")</f>
        <v/>
      </c>
      <c r="K2357" s="4" t="str">
        <f aca="false">IF(AND(M2357=0,P2357=0),"▶ NEXT","")</f>
        <v/>
      </c>
      <c r="L2357" s="4" t="n">
        <f aca="false">INDEX('Master List'!$F$2:$F$2594,O2357)</f>
        <v>1</v>
      </c>
      <c r="M2357" s="4" t="n">
        <f aca="false">INDEX('Master List'!$G$2:$G$2594,O2357)</f>
        <v>0</v>
      </c>
      <c r="N2357" s="4" t="str">
        <f aca="false">IF(K2357="","",A2357)</f>
        <v/>
      </c>
      <c r="O2357" s="4" t="n">
        <v>1350</v>
      </c>
      <c r="P2357" s="4" t="n">
        <f aca="false">IF(A2357=A2356,P2356+1-M2356,0)</f>
        <v>9</v>
      </c>
    </row>
    <row r="2358" customFormat="false" ht="15" hidden="false" customHeight="false" outlineLevel="0" collapsed="false">
      <c r="A2358" s="30" t="s">
        <v>4232</v>
      </c>
      <c r="B2358" s="30" t="s">
        <v>53</v>
      </c>
      <c r="C2358" s="30" t="s">
        <v>105</v>
      </c>
      <c r="D2358" s="30" t="s">
        <v>292</v>
      </c>
      <c r="E2358" s="4" t="n">
        <v>11</v>
      </c>
      <c r="F2358" s="4" t="s">
        <v>213</v>
      </c>
      <c r="G2358" s="4" t="s">
        <v>2885</v>
      </c>
      <c r="H2358" s="4" t="n">
        <v>2007</v>
      </c>
      <c r="I2358" s="4" t="s">
        <v>292</v>
      </c>
      <c r="J2358" s="25" t="str">
        <f aca="false">IF(M2358=1,"✓","")</f>
        <v/>
      </c>
      <c r="K2358" s="4" t="str">
        <f aca="false">IF(AND(M2358=0,P2358=0),"▶ NEXT","")</f>
        <v/>
      </c>
      <c r="L2358" s="4" t="n">
        <f aca="false">INDEX('Master List'!$F$2:$F$2594,O2358)</f>
        <v>1</v>
      </c>
      <c r="M2358" s="4" t="n">
        <f aca="false">INDEX('Master List'!$G$2:$G$2594,O2358)</f>
        <v>0</v>
      </c>
      <c r="N2358" s="4" t="str">
        <f aca="false">IF(K2358="","",A2358)</f>
        <v/>
      </c>
      <c r="O2358" s="4" t="n">
        <v>729</v>
      </c>
      <c r="P2358" s="4" t="n">
        <f aca="false">IF(A2358=A2357,P2357+1-M2357,0)</f>
        <v>10</v>
      </c>
    </row>
    <row r="2359" customFormat="false" ht="15" hidden="false" customHeight="false" outlineLevel="0" collapsed="false">
      <c r="A2359" s="30" t="s">
        <v>4232</v>
      </c>
      <c r="B2359" s="30" t="s">
        <v>53</v>
      </c>
      <c r="C2359" s="30" t="s">
        <v>105</v>
      </c>
      <c r="D2359" s="30" t="s">
        <v>292</v>
      </c>
      <c r="E2359" s="4" t="n">
        <v>12</v>
      </c>
      <c r="F2359" s="4" t="s">
        <v>213</v>
      </c>
      <c r="G2359" s="4" t="s">
        <v>2928</v>
      </c>
      <c r="H2359" s="4" t="n">
        <v>2009</v>
      </c>
      <c r="I2359" s="4" t="s">
        <v>292</v>
      </c>
      <c r="J2359" s="25" t="str">
        <f aca="false">IF(M2359=1,"✓","")</f>
        <v>✓</v>
      </c>
      <c r="K2359" s="4" t="str">
        <f aca="false">IF(AND(M2359=0,P2359=0),"▶ NEXT","")</f>
        <v/>
      </c>
      <c r="L2359" s="4" t="n">
        <f aca="false">INDEX('Master List'!$F$2:$F$2594,O2359)</f>
        <v>1</v>
      </c>
      <c r="M2359" s="4" t="n">
        <f aca="false">INDEX('Master List'!$G$2:$G$2594,O2359)</f>
        <v>1</v>
      </c>
      <c r="N2359" s="4" t="str">
        <f aca="false">IF(K2359="","",A2359)</f>
        <v/>
      </c>
      <c r="O2359" s="4" t="n">
        <v>169</v>
      </c>
      <c r="P2359" s="4" t="n">
        <f aca="false">IF(A2359=A2358,P2358+1-M2358,0)</f>
        <v>11</v>
      </c>
    </row>
    <row r="2360" customFormat="false" ht="15" hidden="false" customHeight="false" outlineLevel="0" collapsed="false">
      <c r="A2360" s="30" t="s">
        <v>4232</v>
      </c>
      <c r="B2360" s="30" t="s">
        <v>53</v>
      </c>
      <c r="C2360" s="30" t="s">
        <v>105</v>
      </c>
      <c r="D2360" s="30" t="s">
        <v>292</v>
      </c>
      <c r="E2360" s="4" t="n">
        <v>13</v>
      </c>
      <c r="F2360" s="4" t="s">
        <v>1327</v>
      </c>
      <c r="G2360" s="4" t="s">
        <v>3555</v>
      </c>
      <c r="H2360" s="4" t="n">
        <v>1976</v>
      </c>
      <c r="I2360" s="4" t="s">
        <v>292</v>
      </c>
      <c r="J2360" s="25" t="str">
        <f aca="false">IF(M2360=1,"✓","")</f>
        <v/>
      </c>
      <c r="K2360" s="4" t="str">
        <f aca="false">IF(AND(M2360=0,P2360=0),"▶ NEXT","")</f>
        <v/>
      </c>
      <c r="L2360" s="4" t="n">
        <f aca="false">INDEX('Master List'!$F$2:$F$2594,O2360)</f>
        <v>1</v>
      </c>
      <c r="M2360" s="4" t="n">
        <f aca="false">INDEX('Master List'!$G$2:$G$2594,O2360)</f>
        <v>0</v>
      </c>
      <c r="N2360" s="4" t="str">
        <f aca="false">IF(K2360="","",A2360)</f>
        <v/>
      </c>
      <c r="O2360" s="4" t="n">
        <v>1007</v>
      </c>
      <c r="P2360" s="4" t="n">
        <f aca="false">IF(A2360=A2359,P2359+1-M2359,0)</f>
        <v>11</v>
      </c>
    </row>
    <row r="2361" customFormat="false" ht="15" hidden="false" customHeight="false" outlineLevel="0" collapsed="false">
      <c r="A2361" s="30" t="s">
        <v>4232</v>
      </c>
      <c r="B2361" s="30" t="s">
        <v>53</v>
      </c>
      <c r="C2361" s="30" t="s">
        <v>105</v>
      </c>
      <c r="D2361" s="30" t="s">
        <v>292</v>
      </c>
      <c r="E2361" s="4" t="n">
        <v>14</v>
      </c>
      <c r="F2361" s="4" t="s">
        <v>1327</v>
      </c>
      <c r="G2361" s="4" t="s">
        <v>3607</v>
      </c>
      <c r="H2361" s="4" t="n">
        <v>1982</v>
      </c>
      <c r="I2361" s="4" t="s">
        <v>3608</v>
      </c>
      <c r="J2361" s="25" t="str">
        <f aca="false">IF(M2361=1,"✓","")</f>
        <v/>
      </c>
      <c r="K2361" s="4" t="str">
        <f aca="false">IF(AND(M2361=0,P2361=0),"▶ NEXT","")</f>
        <v/>
      </c>
      <c r="L2361" s="4" t="n">
        <f aca="false">INDEX('Master List'!$F$2:$F$2594,O2361)</f>
        <v>1</v>
      </c>
      <c r="M2361" s="4" t="n">
        <f aca="false">INDEX('Master List'!$G$2:$G$2594,O2361)</f>
        <v>0</v>
      </c>
      <c r="N2361" s="4" t="str">
        <f aca="false">IF(K2361="","",A2361)</f>
        <v/>
      </c>
      <c r="O2361" s="4" t="n">
        <v>368</v>
      </c>
      <c r="P2361" s="4" t="n">
        <f aca="false">IF(A2361=A2360,P2360+1-M2360,0)</f>
        <v>12</v>
      </c>
    </row>
    <row r="2362" customFormat="false" ht="15" hidden="false" customHeight="false" outlineLevel="0" collapsed="false">
      <c r="A2362" s="30" t="s">
        <v>4233</v>
      </c>
      <c r="B2362" s="30" t="s">
        <v>53</v>
      </c>
      <c r="C2362" s="30" t="s">
        <v>105</v>
      </c>
      <c r="D2362" s="30" t="s">
        <v>312</v>
      </c>
      <c r="E2362" s="4" t="n">
        <v>1</v>
      </c>
      <c r="F2362" s="4" t="s">
        <v>144</v>
      </c>
      <c r="G2362" s="7" t="s">
        <v>311</v>
      </c>
      <c r="H2362" s="4" t="n">
        <v>1974</v>
      </c>
      <c r="I2362" s="4" t="s">
        <v>312</v>
      </c>
      <c r="J2362" s="25" t="str">
        <f aca="false">IF(M2362=1,"✓","")</f>
        <v/>
      </c>
      <c r="K2362" s="4" t="str">
        <f aca="false">IF(AND(M2362=0,P2362=0),"▶ NEXT","")</f>
        <v>▶ NEXT</v>
      </c>
      <c r="L2362" s="4" t="n">
        <f aca="false">INDEX('Master List'!$F$2:$F$2594,O2362)</f>
        <v>4</v>
      </c>
      <c r="M2362" s="4" t="n">
        <f aca="false">INDEX('Master List'!$G$2:$G$2594,O2362)</f>
        <v>0</v>
      </c>
      <c r="N2362" s="4" t="str">
        <f aca="false">IF(K2362="","",A2362)</f>
        <v>N197</v>
      </c>
      <c r="O2362" s="4" t="n">
        <v>62</v>
      </c>
      <c r="P2362" s="4" t="n">
        <f aca="false">IF(A2362=A2361,P2361+1-M2361,0)</f>
        <v>0</v>
      </c>
    </row>
    <row r="2363" customFormat="false" ht="15" hidden="false" customHeight="false" outlineLevel="0" collapsed="false">
      <c r="A2363" s="30" t="s">
        <v>4233</v>
      </c>
      <c r="B2363" s="30" t="s">
        <v>53</v>
      </c>
      <c r="C2363" s="30" t="s">
        <v>105</v>
      </c>
      <c r="D2363" s="30" t="s">
        <v>312</v>
      </c>
      <c r="E2363" s="4" t="n">
        <v>2</v>
      </c>
      <c r="F2363" s="4" t="s">
        <v>144</v>
      </c>
      <c r="G2363" s="7" t="s">
        <v>807</v>
      </c>
      <c r="H2363" s="4" t="n">
        <v>1979</v>
      </c>
      <c r="I2363" s="4" t="s">
        <v>312</v>
      </c>
      <c r="J2363" s="25" t="str">
        <f aca="false">IF(M2363=1,"✓","")</f>
        <v/>
      </c>
      <c r="K2363" s="4" t="str">
        <f aca="false">IF(AND(M2363=0,P2363=0),"▶ NEXT","")</f>
        <v/>
      </c>
      <c r="L2363" s="4" t="n">
        <f aca="false">INDEX('Master List'!$F$2:$F$2594,O2363)</f>
        <v>2</v>
      </c>
      <c r="M2363" s="4" t="n">
        <f aca="false">INDEX('Master List'!$G$2:$G$2594,O2363)</f>
        <v>0</v>
      </c>
      <c r="N2363" s="4" t="str">
        <f aca="false">IF(K2363="","",A2363)</f>
        <v/>
      </c>
      <c r="O2363" s="4" t="n">
        <v>1451</v>
      </c>
      <c r="P2363" s="4" t="n">
        <f aca="false">IF(A2363=A2362,P2362+1-M2362,0)</f>
        <v>1</v>
      </c>
    </row>
    <row r="2364" customFormat="false" ht="15" hidden="false" customHeight="false" outlineLevel="0" collapsed="false">
      <c r="A2364" s="30" t="s">
        <v>4233</v>
      </c>
      <c r="B2364" s="30" t="s">
        <v>53</v>
      </c>
      <c r="C2364" s="30" t="s">
        <v>105</v>
      </c>
      <c r="D2364" s="30" t="s">
        <v>312</v>
      </c>
      <c r="E2364" s="4" t="n">
        <v>3</v>
      </c>
      <c r="F2364" s="4" t="s">
        <v>213</v>
      </c>
      <c r="G2364" s="4" t="s">
        <v>2145</v>
      </c>
      <c r="H2364" s="4" t="n">
        <v>1969</v>
      </c>
      <c r="I2364" s="4" t="s">
        <v>312</v>
      </c>
      <c r="J2364" s="25" t="str">
        <f aca="false">IF(M2364=1,"✓","")</f>
        <v/>
      </c>
      <c r="K2364" s="4" t="str">
        <f aca="false">IF(AND(M2364=0,P2364=0),"▶ NEXT","")</f>
        <v/>
      </c>
      <c r="L2364" s="4" t="n">
        <f aca="false">INDEX('Master List'!$F$2:$F$2594,O2364)</f>
        <v>1</v>
      </c>
      <c r="M2364" s="4" t="n">
        <f aca="false">INDEX('Master List'!$G$2:$G$2594,O2364)</f>
        <v>0</v>
      </c>
      <c r="N2364" s="4" t="str">
        <f aca="false">IF(K2364="","",A2364)</f>
        <v/>
      </c>
      <c r="O2364" s="4" t="n">
        <v>1233</v>
      </c>
      <c r="P2364" s="4" t="n">
        <f aca="false">IF(A2364=A2363,P2363+1-M2363,0)</f>
        <v>2</v>
      </c>
    </row>
    <row r="2365" customFormat="false" ht="15" hidden="false" customHeight="false" outlineLevel="0" collapsed="false">
      <c r="A2365" s="30" t="s">
        <v>4233</v>
      </c>
      <c r="B2365" s="30" t="s">
        <v>53</v>
      </c>
      <c r="C2365" s="30" t="s">
        <v>105</v>
      </c>
      <c r="D2365" s="30" t="s">
        <v>312</v>
      </c>
      <c r="E2365" s="4" t="n">
        <v>4</v>
      </c>
      <c r="F2365" s="4" t="s">
        <v>213</v>
      </c>
      <c r="G2365" s="4" t="s">
        <v>1012</v>
      </c>
      <c r="H2365" s="4" t="n">
        <v>1971</v>
      </c>
      <c r="I2365" s="4" t="s">
        <v>312</v>
      </c>
      <c r="J2365" s="25" t="str">
        <f aca="false">IF(M2365=1,"✓","")</f>
        <v/>
      </c>
      <c r="K2365" s="4" t="str">
        <f aca="false">IF(AND(M2365=0,P2365=0),"▶ NEXT","")</f>
        <v/>
      </c>
      <c r="L2365" s="4" t="n">
        <f aca="false">INDEX('Master List'!$F$2:$F$2594,O2365)</f>
        <v>2</v>
      </c>
      <c r="M2365" s="4" t="n">
        <f aca="false">INDEX('Master List'!$G$2:$G$2594,O2365)</f>
        <v>0</v>
      </c>
      <c r="N2365" s="4" t="str">
        <f aca="false">IF(K2365="","",A2365)</f>
        <v/>
      </c>
      <c r="O2365" s="4" t="n">
        <v>1483</v>
      </c>
      <c r="P2365" s="4" t="n">
        <f aca="false">IF(A2365=A2364,P2364+1-M2364,0)</f>
        <v>3</v>
      </c>
    </row>
    <row r="2366" customFormat="false" ht="15" hidden="false" customHeight="false" outlineLevel="0" collapsed="false">
      <c r="A2366" s="30" t="s">
        <v>4233</v>
      </c>
      <c r="B2366" s="30" t="s">
        <v>53</v>
      </c>
      <c r="C2366" s="30" t="s">
        <v>105</v>
      </c>
      <c r="D2366" s="30" t="s">
        <v>312</v>
      </c>
      <c r="E2366" s="4" t="n">
        <v>5</v>
      </c>
      <c r="F2366" s="4" t="s">
        <v>213</v>
      </c>
      <c r="G2366" s="4" t="s">
        <v>1015</v>
      </c>
      <c r="H2366" s="4" t="n">
        <v>1972</v>
      </c>
      <c r="I2366" s="4" t="s">
        <v>312</v>
      </c>
      <c r="J2366" s="25" t="str">
        <f aca="false">IF(M2366=1,"✓","")</f>
        <v/>
      </c>
      <c r="K2366" s="4" t="str">
        <f aca="false">IF(AND(M2366=0,P2366=0),"▶ NEXT","")</f>
        <v/>
      </c>
      <c r="L2366" s="4" t="n">
        <f aca="false">INDEX('Master List'!$F$2:$F$2594,O2366)</f>
        <v>2</v>
      </c>
      <c r="M2366" s="4" t="n">
        <f aca="false">INDEX('Master List'!$G$2:$G$2594,O2366)</f>
        <v>0</v>
      </c>
      <c r="N2366" s="4" t="str">
        <f aca="false">IF(K2366="","",A2366)</f>
        <v/>
      </c>
      <c r="O2366" s="4" t="n">
        <v>262</v>
      </c>
      <c r="P2366" s="4" t="n">
        <f aca="false">IF(A2366=A2365,P2365+1-M2365,0)</f>
        <v>4</v>
      </c>
    </row>
    <row r="2367" customFormat="false" ht="15" hidden="false" customHeight="false" outlineLevel="0" collapsed="false">
      <c r="A2367" s="30" t="s">
        <v>4233</v>
      </c>
      <c r="B2367" s="30" t="s">
        <v>53</v>
      </c>
      <c r="C2367" s="30" t="s">
        <v>105</v>
      </c>
      <c r="D2367" s="30" t="s">
        <v>312</v>
      </c>
      <c r="E2367" s="4" t="n">
        <v>6</v>
      </c>
      <c r="F2367" s="4" t="s">
        <v>213</v>
      </c>
      <c r="G2367" s="4" t="s">
        <v>2270</v>
      </c>
      <c r="H2367" s="4" t="n">
        <v>1975</v>
      </c>
      <c r="I2367" s="4" t="s">
        <v>312</v>
      </c>
      <c r="J2367" s="25" t="str">
        <f aca="false">IF(M2367=1,"✓","")</f>
        <v/>
      </c>
      <c r="K2367" s="4" t="str">
        <f aca="false">IF(AND(M2367=0,P2367=0),"▶ NEXT","")</f>
        <v/>
      </c>
      <c r="L2367" s="4" t="n">
        <f aca="false">INDEX('Master List'!$F$2:$F$2594,O2367)</f>
        <v>1</v>
      </c>
      <c r="M2367" s="4" t="n">
        <f aca="false">INDEX('Master List'!$G$2:$G$2594,O2367)</f>
        <v>0</v>
      </c>
      <c r="N2367" s="4" t="str">
        <f aca="false">IF(K2367="","",A2367)</f>
        <v/>
      </c>
      <c r="O2367" s="4" t="n">
        <v>842</v>
      </c>
      <c r="P2367" s="4" t="n">
        <f aca="false">IF(A2367=A2366,P2366+1-M2366,0)</f>
        <v>5</v>
      </c>
    </row>
    <row r="2368" customFormat="false" ht="15" hidden="false" customHeight="false" outlineLevel="0" collapsed="false">
      <c r="A2368" s="30" t="s">
        <v>4233</v>
      </c>
      <c r="B2368" s="30" t="s">
        <v>53</v>
      </c>
      <c r="C2368" s="30" t="s">
        <v>105</v>
      </c>
      <c r="D2368" s="30" t="s">
        <v>312</v>
      </c>
      <c r="E2368" s="4" t="n">
        <v>7</v>
      </c>
      <c r="F2368" s="4" t="s">
        <v>213</v>
      </c>
      <c r="G2368" s="4" t="s">
        <v>2312</v>
      </c>
      <c r="H2368" s="4" t="n">
        <v>1978</v>
      </c>
      <c r="I2368" s="4" t="s">
        <v>312</v>
      </c>
      <c r="J2368" s="25" t="str">
        <f aca="false">IF(M2368=1,"✓","")</f>
        <v/>
      </c>
      <c r="K2368" s="4" t="str">
        <f aca="false">IF(AND(M2368=0,P2368=0),"▶ NEXT","")</f>
        <v/>
      </c>
      <c r="L2368" s="4" t="n">
        <f aca="false">INDEX('Master List'!$F$2:$F$2594,O2368)</f>
        <v>1</v>
      </c>
      <c r="M2368" s="4" t="n">
        <f aca="false">INDEX('Master List'!$G$2:$G$2594,O2368)</f>
        <v>0</v>
      </c>
      <c r="N2368" s="4" t="str">
        <f aca="false">IF(K2368="","",A2368)</f>
        <v/>
      </c>
      <c r="O2368" s="4" t="n">
        <v>1125</v>
      </c>
      <c r="P2368" s="4" t="n">
        <f aca="false">IF(A2368=A2367,P2367+1-M2367,0)</f>
        <v>6</v>
      </c>
    </row>
    <row r="2369" customFormat="false" ht="15" hidden="false" customHeight="false" outlineLevel="0" collapsed="false">
      <c r="A2369" s="30" t="s">
        <v>4233</v>
      </c>
      <c r="B2369" s="30" t="s">
        <v>53</v>
      </c>
      <c r="C2369" s="30" t="s">
        <v>105</v>
      </c>
      <c r="D2369" s="30" t="s">
        <v>312</v>
      </c>
      <c r="E2369" s="4" t="n">
        <v>8</v>
      </c>
      <c r="F2369" s="4" t="s">
        <v>213</v>
      </c>
      <c r="G2369" s="4" t="s">
        <v>2366</v>
      </c>
      <c r="H2369" s="4" t="n">
        <v>1982</v>
      </c>
      <c r="I2369" s="4" t="s">
        <v>312</v>
      </c>
      <c r="J2369" s="25" t="str">
        <f aca="false">IF(M2369=1,"✓","")</f>
        <v/>
      </c>
      <c r="K2369" s="4" t="str">
        <f aca="false">IF(AND(M2369=0,P2369=0),"▶ NEXT","")</f>
        <v/>
      </c>
      <c r="L2369" s="4" t="n">
        <f aca="false">INDEX('Master List'!$F$2:$F$2594,O2369)</f>
        <v>1</v>
      </c>
      <c r="M2369" s="4" t="n">
        <f aca="false">INDEX('Master List'!$G$2:$G$2594,O2369)</f>
        <v>0</v>
      </c>
      <c r="N2369" s="4" t="str">
        <f aca="false">IF(K2369="","",A2369)</f>
        <v/>
      </c>
      <c r="O2369" s="4" t="n">
        <v>2428</v>
      </c>
      <c r="P2369" s="4" t="n">
        <f aca="false">IF(A2369=A2368,P2368+1-M2368,0)</f>
        <v>7</v>
      </c>
    </row>
    <row r="2370" customFormat="false" ht="15" hidden="false" customHeight="false" outlineLevel="0" collapsed="false">
      <c r="A2370" s="30" t="s">
        <v>4233</v>
      </c>
      <c r="B2370" s="30" t="s">
        <v>53</v>
      </c>
      <c r="C2370" s="30" t="s">
        <v>105</v>
      </c>
      <c r="D2370" s="30" t="s">
        <v>312</v>
      </c>
      <c r="E2370" s="4" t="n">
        <v>9</v>
      </c>
      <c r="F2370" s="4" t="s">
        <v>213</v>
      </c>
      <c r="G2370" s="4" t="s">
        <v>1324</v>
      </c>
      <c r="H2370" s="4" t="n">
        <v>1981</v>
      </c>
      <c r="I2370" s="4" t="s">
        <v>312</v>
      </c>
      <c r="J2370" s="25" t="str">
        <f aca="false">IF(M2370=1,"✓","")</f>
        <v/>
      </c>
      <c r="K2370" s="4" t="str">
        <f aca="false">IF(AND(M2370=0,P2370=0),"▶ NEXT","")</f>
        <v/>
      </c>
      <c r="L2370" s="4" t="n">
        <f aca="false">INDEX('Master List'!$F$2:$F$2594,O2370)</f>
        <v>1</v>
      </c>
      <c r="M2370" s="4" t="n">
        <f aca="false">INDEX('Master List'!$G$2:$G$2594,O2370)</f>
        <v>0</v>
      </c>
      <c r="N2370" s="4" t="str">
        <f aca="false">IF(K2370="","",A2370)</f>
        <v/>
      </c>
      <c r="O2370" s="4" t="n">
        <v>1368</v>
      </c>
      <c r="P2370" s="4" t="n">
        <f aca="false">IF(A2370=A2369,P2369+1-M2369,0)</f>
        <v>8</v>
      </c>
    </row>
    <row r="2371" customFormat="false" ht="15" hidden="false" customHeight="false" outlineLevel="0" collapsed="false">
      <c r="A2371" s="30" t="s">
        <v>4233</v>
      </c>
      <c r="B2371" s="30" t="s">
        <v>53</v>
      </c>
      <c r="C2371" s="30" t="s">
        <v>105</v>
      </c>
      <c r="D2371" s="30" t="s">
        <v>312</v>
      </c>
      <c r="E2371" s="4" t="n">
        <v>10</v>
      </c>
      <c r="F2371" s="4" t="s">
        <v>1327</v>
      </c>
      <c r="G2371" s="4" t="s">
        <v>3521</v>
      </c>
      <c r="H2371" s="4" t="n">
        <v>1973</v>
      </c>
      <c r="I2371" s="4" t="s">
        <v>312</v>
      </c>
      <c r="J2371" s="25" t="str">
        <f aca="false">IF(M2371=1,"✓","")</f>
        <v/>
      </c>
      <c r="K2371" s="4" t="str">
        <f aca="false">IF(AND(M2371=0,P2371=0),"▶ NEXT","")</f>
        <v/>
      </c>
      <c r="L2371" s="4" t="n">
        <f aca="false">INDEX('Master List'!$F$2:$F$2594,O2371)</f>
        <v>1</v>
      </c>
      <c r="M2371" s="4" t="n">
        <f aca="false">INDEX('Master List'!$G$2:$G$2594,O2371)</f>
        <v>0</v>
      </c>
      <c r="N2371" s="4" t="str">
        <f aca="false">IF(K2371="","",A2371)</f>
        <v/>
      </c>
      <c r="O2371" s="4" t="n">
        <v>2555</v>
      </c>
      <c r="P2371" s="4" t="n">
        <f aca="false">IF(A2371=A2370,P2370+1-M2370,0)</f>
        <v>9</v>
      </c>
    </row>
    <row r="2372" customFormat="false" ht="15" hidden="false" customHeight="false" outlineLevel="0" collapsed="false">
      <c r="A2372" s="30" t="s">
        <v>4233</v>
      </c>
      <c r="B2372" s="30" t="s">
        <v>53</v>
      </c>
      <c r="C2372" s="30" t="s">
        <v>105</v>
      </c>
      <c r="D2372" s="30" t="s">
        <v>312</v>
      </c>
      <c r="E2372" s="4" t="n">
        <v>11</v>
      </c>
      <c r="F2372" s="4" t="s">
        <v>1327</v>
      </c>
      <c r="G2372" s="4" t="s">
        <v>3609</v>
      </c>
      <c r="H2372" s="4" t="n">
        <v>1982</v>
      </c>
      <c r="I2372" s="4" t="s">
        <v>312</v>
      </c>
      <c r="J2372" s="25" t="str">
        <f aca="false">IF(M2372=1,"✓","")</f>
        <v/>
      </c>
      <c r="K2372" s="4" t="str">
        <f aca="false">IF(AND(M2372=0,P2372=0),"▶ NEXT","")</f>
        <v/>
      </c>
      <c r="L2372" s="4" t="n">
        <f aca="false">INDEX('Master List'!$F$2:$F$2594,O2372)</f>
        <v>1</v>
      </c>
      <c r="M2372" s="4" t="n">
        <f aca="false">INDEX('Master List'!$G$2:$G$2594,O2372)</f>
        <v>0</v>
      </c>
      <c r="N2372" s="4" t="str">
        <f aca="false">IF(K2372="","",A2372)</f>
        <v/>
      </c>
      <c r="O2372" s="4" t="n">
        <v>1842</v>
      </c>
      <c r="P2372" s="4" t="n">
        <f aca="false">IF(A2372=A2371,P2371+1-M2371,0)</f>
        <v>10</v>
      </c>
    </row>
    <row r="2373" customFormat="false" ht="15" hidden="false" customHeight="false" outlineLevel="0" collapsed="false">
      <c r="A2373" s="30" t="s">
        <v>4234</v>
      </c>
      <c r="B2373" s="30" t="s">
        <v>53</v>
      </c>
      <c r="C2373" s="30" t="s">
        <v>105</v>
      </c>
      <c r="D2373" s="30" t="s">
        <v>402</v>
      </c>
      <c r="E2373" s="4" t="n">
        <v>1</v>
      </c>
      <c r="F2373" s="4" t="s">
        <v>144</v>
      </c>
      <c r="G2373" s="7" t="s">
        <v>669</v>
      </c>
      <c r="H2373" s="4" t="n">
        <v>1972</v>
      </c>
      <c r="I2373" s="4" t="s">
        <v>402</v>
      </c>
      <c r="J2373" s="25" t="str">
        <f aca="false">IF(M2373=1,"✓","")</f>
        <v/>
      </c>
      <c r="K2373" s="4" t="str">
        <f aca="false">IF(AND(M2373=0,P2373=0),"▶ NEXT","")</f>
        <v>▶ NEXT</v>
      </c>
      <c r="L2373" s="4" t="n">
        <f aca="false">INDEX('Master List'!$F$2:$F$2594,O2373)</f>
        <v>3</v>
      </c>
      <c r="M2373" s="4" t="n">
        <f aca="false">INDEX('Master List'!$G$2:$G$2594,O2373)</f>
        <v>0</v>
      </c>
      <c r="N2373" s="4" t="str">
        <f aca="false">IF(K2373="","",A2373)</f>
        <v>N198</v>
      </c>
      <c r="O2373" s="4" t="n">
        <v>636</v>
      </c>
      <c r="P2373" s="4" t="n">
        <f aca="false">IF(A2373=A2372,P2372+1-M2372,0)</f>
        <v>0</v>
      </c>
    </row>
    <row r="2374" customFormat="false" ht="15" hidden="false" customHeight="false" outlineLevel="0" collapsed="false">
      <c r="A2374" s="30" t="s">
        <v>4234</v>
      </c>
      <c r="B2374" s="30" t="s">
        <v>53</v>
      </c>
      <c r="C2374" s="30" t="s">
        <v>105</v>
      </c>
      <c r="D2374" s="30" t="s">
        <v>402</v>
      </c>
      <c r="E2374" s="4" t="n">
        <v>2</v>
      </c>
      <c r="F2374" s="4" t="s">
        <v>144</v>
      </c>
      <c r="G2374" s="7" t="s">
        <v>662</v>
      </c>
      <c r="H2374" s="4" t="n">
        <v>1961</v>
      </c>
      <c r="I2374" s="4" t="s">
        <v>402</v>
      </c>
      <c r="J2374" s="25" t="str">
        <f aca="false">IF(M2374=1,"✓","")</f>
        <v/>
      </c>
      <c r="K2374" s="4" t="str">
        <f aca="false">IF(AND(M2374=0,P2374=0),"▶ NEXT","")</f>
        <v/>
      </c>
      <c r="L2374" s="4" t="n">
        <f aca="false">INDEX('Master List'!$F$2:$F$2594,O2374)</f>
        <v>2</v>
      </c>
      <c r="M2374" s="4" t="n">
        <f aca="false">INDEX('Master List'!$G$2:$G$2594,O2374)</f>
        <v>0</v>
      </c>
      <c r="N2374" s="4" t="str">
        <f aca="false">IF(K2374="","",A2374)</f>
        <v/>
      </c>
      <c r="O2374" s="4" t="n">
        <v>2437</v>
      </c>
      <c r="P2374" s="4" t="n">
        <f aca="false">IF(A2374=A2373,P2373+1-M2373,0)</f>
        <v>1</v>
      </c>
    </row>
    <row r="2375" customFormat="false" ht="15" hidden="false" customHeight="false" outlineLevel="0" collapsed="false">
      <c r="A2375" s="30" t="s">
        <v>4234</v>
      </c>
      <c r="B2375" s="30" t="s">
        <v>53</v>
      </c>
      <c r="C2375" s="30" t="s">
        <v>105</v>
      </c>
      <c r="D2375" s="30" t="s">
        <v>402</v>
      </c>
      <c r="E2375" s="4" t="n">
        <v>3</v>
      </c>
      <c r="F2375" s="4" t="s">
        <v>213</v>
      </c>
      <c r="G2375" s="4" t="s">
        <v>401</v>
      </c>
      <c r="H2375" s="4" t="n">
        <v>1929</v>
      </c>
      <c r="I2375" s="4" t="s">
        <v>402</v>
      </c>
      <c r="J2375" s="25" t="str">
        <f aca="false">IF(M2375=1,"✓","")</f>
        <v/>
      </c>
      <c r="K2375" s="4" t="str">
        <f aca="false">IF(AND(M2375=0,P2375=0),"▶ NEXT","")</f>
        <v/>
      </c>
      <c r="L2375" s="4" t="n">
        <f aca="false">INDEX('Master List'!$F$2:$F$2594,O2375)</f>
        <v>3</v>
      </c>
      <c r="M2375" s="4" t="n">
        <f aca="false">INDEX('Master List'!$G$2:$G$2594,O2375)</f>
        <v>0</v>
      </c>
      <c r="N2375" s="4" t="str">
        <f aca="false">IF(K2375="","",A2375)</f>
        <v/>
      </c>
      <c r="O2375" s="4" t="n">
        <v>2397</v>
      </c>
      <c r="P2375" s="4" t="n">
        <f aca="false">IF(A2375=A2374,P2374+1-M2374,0)</f>
        <v>2</v>
      </c>
    </row>
    <row r="2376" customFormat="false" ht="15" hidden="false" customHeight="false" outlineLevel="0" collapsed="false">
      <c r="A2376" s="30" t="s">
        <v>4234</v>
      </c>
      <c r="B2376" s="30" t="s">
        <v>53</v>
      </c>
      <c r="C2376" s="30" t="s">
        <v>105</v>
      </c>
      <c r="D2376" s="30" t="s">
        <v>402</v>
      </c>
      <c r="E2376" s="4" t="n">
        <v>4</v>
      </c>
      <c r="F2376" s="4" t="s">
        <v>213</v>
      </c>
      <c r="G2376" s="4" t="s">
        <v>905</v>
      </c>
      <c r="H2376" s="4" t="n">
        <v>1930</v>
      </c>
      <c r="I2376" s="4" t="s">
        <v>402</v>
      </c>
      <c r="J2376" s="25" t="str">
        <f aca="false">IF(M2376=1,"✓","")</f>
        <v/>
      </c>
      <c r="K2376" s="4" t="str">
        <f aca="false">IF(AND(M2376=0,P2376=0),"▶ NEXT","")</f>
        <v/>
      </c>
      <c r="L2376" s="4" t="n">
        <f aca="false">INDEX('Master List'!$F$2:$F$2594,O2376)</f>
        <v>2</v>
      </c>
      <c r="M2376" s="4" t="n">
        <f aca="false">INDEX('Master List'!$G$2:$G$2594,O2376)</f>
        <v>0</v>
      </c>
      <c r="N2376" s="4" t="str">
        <f aca="false">IF(K2376="","",A2376)</f>
        <v/>
      </c>
      <c r="O2376" s="4" t="n">
        <v>54</v>
      </c>
      <c r="P2376" s="4" t="n">
        <f aca="false">IF(A2376=A2375,P2375+1-M2375,0)</f>
        <v>3</v>
      </c>
    </row>
    <row r="2377" customFormat="false" ht="15" hidden="false" customHeight="false" outlineLevel="0" collapsed="false">
      <c r="A2377" s="30" t="s">
        <v>4234</v>
      </c>
      <c r="B2377" s="30" t="s">
        <v>53</v>
      </c>
      <c r="C2377" s="30" t="s">
        <v>105</v>
      </c>
      <c r="D2377" s="30" t="s">
        <v>402</v>
      </c>
      <c r="E2377" s="4" t="n">
        <v>5</v>
      </c>
      <c r="F2377" s="4" t="s">
        <v>213</v>
      </c>
      <c r="G2377" s="4" t="s">
        <v>741</v>
      </c>
      <c r="H2377" s="4" t="n">
        <v>1950</v>
      </c>
      <c r="I2377" s="4" t="s">
        <v>402</v>
      </c>
      <c r="J2377" s="25" t="str">
        <f aca="false">IF(M2377=1,"✓","")</f>
        <v/>
      </c>
      <c r="K2377" s="4" t="str">
        <f aca="false">IF(AND(M2377=0,P2377=0),"▶ NEXT","")</f>
        <v/>
      </c>
      <c r="L2377" s="4" t="n">
        <f aca="false">INDEX('Master List'!$F$2:$F$2594,O2377)</f>
        <v>2</v>
      </c>
      <c r="M2377" s="4" t="n">
        <f aca="false">INDEX('Master List'!$G$2:$G$2594,O2377)</f>
        <v>0</v>
      </c>
      <c r="N2377" s="4" t="str">
        <f aca="false">IF(K2377="","",A2377)</f>
        <v/>
      </c>
      <c r="O2377" s="4" t="n">
        <v>1383</v>
      </c>
      <c r="P2377" s="4" t="n">
        <f aca="false">IF(A2377=A2376,P2376+1-M2376,0)</f>
        <v>4</v>
      </c>
    </row>
    <row r="2378" customFormat="false" ht="15" hidden="false" customHeight="false" outlineLevel="0" collapsed="false">
      <c r="A2378" s="30" t="s">
        <v>4234</v>
      </c>
      <c r="B2378" s="30" t="s">
        <v>53</v>
      </c>
      <c r="C2378" s="30" t="s">
        <v>105</v>
      </c>
      <c r="D2378" s="30" t="s">
        <v>402</v>
      </c>
      <c r="E2378" s="4" t="n">
        <v>6</v>
      </c>
      <c r="F2378" s="4" t="s">
        <v>213</v>
      </c>
      <c r="G2378" s="4" t="s">
        <v>1900</v>
      </c>
      <c r="H2378" s="4" t="n">
        <v>1953</v>
      </c>
      <c r="I2378" s="4" t="s">
        <v>402</v>
      </c>
      <c r="J2378" s="25" t="str">
        <f aca="false">IF(M2378=1,"✓","")</f>
        <v/>
      </c>
      <c r="K2378" s="4" t="str">
        <f aca="false">IF(AND(M2378=0,P2378=0),"▶ NEXT","")</f>
        <v/>
      </c>
      <c r="L2378" s="4" t="n">
        <f aca="false">INDEX('Master List'!$F$2:$F$2594,O2378)</f>
        <v>1</v>
      </c>
      <c r="M2378" s="4" t="n">
        <f aca="false">INDEX('Master List'!$G$2:$G$2594,O2378)</f>
        <v>0</v>
      </c>
      <c r="N2378" s="4" t="str">
        <f aca="false">IF(K2378="","",A2378)</f>
        <v/>
      </c>
      <c r="O2378" s="4" t="n">
        <v>715</v>
      </c>
      <c r="P2378" s="4" t="n">
        <f aca="false">IF(A2378=A2377,P2377+1-M2377,0)</f>
        <v>5</v>
      </c>
    </row>
    <row r="2379" customFormat="false" ht="15" hidden="false" customHeight="false" outlineLevel="0" collapsed="false">
      <c r="A2379" s="30" t="s">
        <v>4234</v>
      </c>
      <c r="B2379" s="30" t="s">
        <v>53</v>
      </c>
      <c r="C2379" s="30" t="s">
        <v>105</v>
      </c>
      <c r="D2379" s="30" t="s">
        <v>402</v>
      </c>
      <c r="E2379" s="4" t="n">
        <v>7</v>
      </c>
      <c r="F2379" s="4" t="s">
        <v>213</v>
      </c>
      <c r="G2379" s="4" t="s">
        <v>584</v>
      </c>
      <c r="H2379" s="4" t="n">
        <v>1962</v>
      </c>
      <c r="I2379" s="4" t="s">
        <v>402</v>
      </c>
      <c r="J2379" s="25" t="str">
        <f aca="false">IF(M2379=1,"✓","")</f>
        <v/>
      </c>
      <c r="K2379" s="4" t="str">
        <f aca="false">IF(AND(M2379=0,P2379=0),"▶ NEXT","")</f>
        <v/>
      </c>
      <c r="L2379" s="4" t="n">
        <f aca="false">INDEX('Master List'!$F$2:$F$2594,O2379)</f>
        <v>3</v>
      </c>
      <c r="M2379" s="4" t="n">
        <f aca="false">INDEX('Master List'!$G$2:$G$2594,O2379)</f>
        <v>0</v>
      </c>
      <c r="N2379" s="4" t="str">
        <f aca="false">IF(K2379="","",A2379)</f>
        <v/>
      </c>
      <c r="O2379" s="4" t="n">
        <v>765</v>
      </c>
      <c r="P2379" s="4" t="n">
        <f aca="false">IF(A2379=A2378,P2378+1-M2378,0)</f>
        <v>6</v>
      </c>
    </row>
    <row r="2380" customFormat="false" ht="15" hidden="false" customHeight="false" outlineLevel="0" collapsed="false">
      <c r="A2380" s="30" t="s">
        <v>4234</v>
      </c>
      <c r="B2380" s="30" t="s">
        <v>53</v>
      </c>
      <c r="C2380" s="30" t="s">
        <v>105</v>
      </c>
      <c r="D2380" s="30" t="s">
        <v>402</v>
      </c>
      <c r="E2380" s="4" t="n">
        <v>8</v>
      </c>
      <c r="F2380" s="4" t="s">
        <v>213</v>
      </c>
      <c r="G2380" s="4" t="s">
        <v>2109</v>
      </c>
      <c r="H2380" s="4" t="n">
        <v>1967</v>
      </c>
      <c r="I2380" s="4" t="s">
        <v>402</v>
      </c>
      <c r="J2380" s="25" t="str">
        <f aca="false">IF(M2380=1,"✓","")</f>
        <v/>
      </c>
      <c r="K2380" s="4" t="str">
        <f aca="false">IF(AND(M2380=0,P2380=0),"▶ NEXT","")</f>
        <v/>
      </c>
      <c r="L2380" s="4" t="n">
        <f aca="false">INDEX('Master List'!$F$2:$F$2594,O2380)</f>
        <v>1</v>
      </c>
      <c r="M2380" s="4" t="n">
        <f aca="false">INDEX('Master List'!$G$2:$G$2594,O2380)</f>
        <v>0</v>
      </c>
      <c r="N2380" s="4" t="str">
        <f aca="false">IF(K2380="","",A2380)</f>
        <v/>
      </c>
      <c r="O2380" s="4" t="n">
        <v>220</v>
      </c>
      <c r="P2380" s="4" t="n">
        <f aca="false">IF(A2380=A2379,P2379+1-M2379,0)</f>
        <v>7</v>
      </c>
    </row>
    <row r="2381" customFormat="false" ht="15" hidden="false" customHeight="false" outlineLevel="0" collapsed="false">
      <c r="A2381" s="30" t="s">
        <v>4234</v>
      </c>
      <c r="B2381" s="30" t="s">
        <v>53</v>
      </c>
      <c r="C2381" s="30" t="s">
        <v>105</v>
      </c>
      <c r="D2381" s="30" t="s">
        <v>402</v>
      </c>
      <c r="E2381" s="4" t="n">
        <v>9</v>
      </c>
      <c r="F2381" s="4" t="s">
        <v>213</v>
      </c>
      <c r="G2381" s="4" t="s">
        <v>2162</v>
      </c>
      <c r="H2381" s="4" t="n">
        <v>1970</v>
      </c>
      <c r="I2381" s="4" t="s">
        <v>402</v>
      </c>
      <c r="J2381" s="25" t="str">
        <f aca="false">IF(M2381=1,"✓","")</f>
        <v/>
      </c>
      <c r="K2381" s="4" t="str">
        <f aca="false">IF(AND(M2381=0,P2381=0),"▶ NEXT","")</f>
        <v/>
      </c>
      <c r="L2381" s="4" t="n">
        <f aca="false">INDEX('Master List'!$F$2:$F$2594,O2381)</f>
        <v>1</v>
      </c>
      <c r="M2381" s="4" t="n">
        <f aca="false">INDEX('Master List'!$G$2:$G$2594,O2381)</f>
        <v>0</v>
      </c>
      <c r="N2381" s="4" t="str">
        <f aca="false">IF(K2381="","",A2381)</f>
        <v/>
      </c>
      <c r="O2381" s="4" t="n">
        <v>2370</v>
      </c>
      <c r="P2381" s="4" t="n">
        <f aca="false">IF(A2381=A2380,P2380+1-M2380,0)</f>
        <v>8</v>
      </c>
    </row>
    <row r="2382" customFormat="false" ht="15" hidden="false" customHeight="false" outlineLevel="0" collapsed="false">
      <c r="A2382" s="30" t="s">
        <v>4234</v>
      </c>
      <c r="B2382" s="30" t="s">
        <v>53</v>
      </c>
      <c r="C2382" s="30" t="s">
        <v>105</v>
      </c>
      <c r="D2382" s="30" t="s">
        <v>402</v>
      </c>
      <c r="E2382" s="4" t="n">
        <v>10</v>
      </c>
      <c r="F2382" s="4" t="s">
        <v>213</v>
      </c>
      <c r="G2382" s="4" t="s">
        <v>2300</v>
      </c>
      <c r="H2382" s="4" t="n">
        <v>1977</v>
      </c>
      <c r="I2382" s="4" t="s">
        <v>402</v>
      </c>
      <c r="J2382" s="25" t="str">
        <f aca="false">IF(M2382=1,"✓","")</f>
        <v/>
      </c>
      <c r="K2382" s="4" t="str">
        <f aca="false">IF(AND(M2382=0,P2382=0),"▶ NEXT","")</f>
        <v/>
      </c>
      <c r="L2382" s="4" t="n">
        <f aca="false">INDEX('Master List'!$F$2:$F$2594,O2382)</f>
        <v>1</v>
      </c>
      <c r="M2382" s="4" t="n">
        <f aca="false">INDEX('Master List'!$G$2:$G$2594,O2382)</f>
        <v>0</v>
      </c>
      <c r="N2382" s="4" t="str">
        <f aca="false">IF(K2382="","",A2382)</f>
        <v/>
      </c>
      <c r="O2382" s="4" t="n">
        <v>2261</v>
      </c>
      <c r="P2382" s="4" t="n">
        <f aca="false">IF(A2382=A2381,P2381+1-M2381,0)</f>
        <v>9</v>
      </c>
    </row>
    <row r="2383" customFormat="false" ht="15" hidden="false" customHeight="false" outlineLevel="0" collapsed="false">
      <c r="A2383" s="30" t="s">
        <v>4234</v>
      </c>
      <c r="B2383" s="30" t="s">
        <v>53</v>
      </c>
      <c r="C2383" s="30" t="s">
        <v>105</v>
      </c>
      <c r="D2383" s="30" t="s">
        <v>402</v>
      </c>
      <c r="E2383" s="4" t="n">
        <v>11</v>
      </c>
      <c r="F2383" s="4" t="s">
        <v>1327</v>
      </c>
      <c r="G2383" s="4" t="s">
        <v>3432</v>
      </c>
      <c r="H2383" s="4" t="n">
        <v>1965</v>
      </c>
      <c r="I2383" s="4" t="s">
        <v>402</v>
      </c>
      <c r="J2383" s="25" t="str">
        <f aca="false">IF(M2383=1,"✓","")</f>
        <v/>
      </c>
      <c r="K2383" s="4" t="str">
        <f aca="false">IF(AND(M2383=0,P2383=0),"▶ NEXT","")</f>
        <v/>
      </c>
      <c r="L2383" s="4" t="n">
        <f aca="false">INDEX('Master List'!$F$2:$F$2594,O2383)</f>
        <v>1</v>
      </c>
      <c r="M2383" s="4" t="n">
        <f aca="false">INDEX('Master List'!$G$2:$G$2594,O2383)</f>
        <v>0</v>
      </c>
      <c r="N2383" s="4" t="str">
        <f aca="false">IF(K2383="","",A2383)</f>
        <v/>
      </c>
      <c r="O2383" s="4" t="n">
        <v>2075</v>
      </c>
      <c r="P2383" s="4" t="n">
        <f aca="false">IF(A2383=A2382,P2382+1-M2382,0)</f>
        <v>10</v>
      </c>
    </row>
    <row r="2384" customFormat="false" ht="15" hidden="false" customHeight="false" outlineLevel="0" collapsed="false">
      <c r="A2384" s="30" t="s">
        <v>4234</v>
      </c>
      <c r="B2384" s="30" t="s">
        <v>53</v>
      </c>
      <c r="C2384" s="30" t="s">
        <v>105</v>
      </c>
      <c r="D2384" s="30" t="s">
        <v>402</v>
      </c>
      <c r="E2384" s="4" t="n">
        <v>12</v>
      </c>
      <c r="F2384" s="4" t="s">
        <v>1327</v>
      </c>
      <c r="G2384" s="4" t="s">
        <v>3425</v>
      </c>
      <c r="H2384" s="4" t="n">
        <v>1964</v>
      </c>
      <c r="I2384" s="4" t="s">
        <v>402</v>
      </c>
      <c r="J2384" s="25" t="str">
        <f aca="false">IF(M2384=1,"✓","")</f>
        <v/>
      </c>
      <c r="K2384" s="4" t="str">
        <f aca="false">IF(AND(M2384=0,P2384=0),"▶ NEXT","")</f>
        <v/>
      </c>
      <c r="L2384" s="4" t="n">
        <f aca="false">INDEX('Master List'!$F$2:$F$2594,O2384)</f>
        <v>1</v>
      </c>
      <c r="M2384" s="4" t="n">
        <f aca="false">INDEX('Master List'!$G$2:$G$2594,O2384)</f>
        <v>0</v>
      </c>
      <c r="N2384" s="4" t="str">
        <f aca="false">IF(K2384="","",A2384)</f>
        <v/>
      </c>
      <c r="O2384" s="4" t="n">
        <v>627</v>
      </c>
      <c r="P2384" s="4" t="n">
        <f aca="false">IF(A2384=A2383,P2383+1-M2383,0)</f>
        <v>11</v>
      </c>
    </row>
    <row r="2385" customFormat="false" ht="15" hidden="false" customHeight="false" outlineLevel="0" collapsed="false">
      <c r="A2385" s="30" t="s">
        <v>4235</v>
      </c>
      <c r="B2385" s="30" t="s">
        <v>53</v>
      </c>
      <c r="C2385" s="30" t="s">
        <v>105</v>
      </c>
      <c r="D2385" s="30" t="s">
        <v>1087</v>
      </c>
      <c r="E2385" s="4" t="n">
        <v>1</v>
      </c>
      <c r="F2385" s="4" t="s">
        <v>144</v>
      </c>
      <c r="G2385" s="7" t="s">
        <v>1575</v>
      </c>
      <c r="H2385" s="4" t="n">
        <v>1999</v>
      </c>
      <c r="I2385" s="4" t="s">
        <v>1087</v>
      </c>
      <c r="J2385" s="25" t="str">
        <f aca="false">IF(M2385=1,"✓","")</f>
        <v/>
      </c>
      <c r="K2385" s="4" t="str">
        <f aca="false">IF(AND(M2385=0,P2385=0),"▶ NEXT","")</f>
        <v>▶ NEXT</v>
      </c>
      <c r="L2385" s="4" t="n">
        <f aca="false">INDEX('Master List'!$F$2:$F$2594,O2385)</f>
        <v>1</v>
      </c>
      <c r="M2385" s="4" t="n">
        <f aca="false">INDEX('Master List'!$G$2:$G$2594,O2385)</f>
        <v>0</v>
      </c>
      <c r="N2385" s="4" t="str">
        <f aca="false">IF(K2385="","",A2385)</f>
        <v>N199</v>
      </c>
      <c r="O2385" s="4" t="n">
        <v>70</v>
      </c>
      <c r="P2385" s="4" t="n">
        <f aca="false">IF(A2385=A2384,P2384+1-M2384,0)</f>
        <v>0</v>
      </c>
    </row>
    <row r="2386" customFormat="false" ht="15" hidden="false" customHeight="false" outlineLevel="0" collapsed="false">
      <c r="A2386" s="30" t="s">
        <v>4235</v>
      </c>
      <c r="B2386" s="30" t="s">
        <v>53</v>
      </c>
      <c r="C2386" s="30" t="s">
        <v>105</v>
      </c>
      <c r="D2386" s="30" t="s">
        <v>1087</v>
      </c>
      <c r="E2386" s="4" t="n">
        <v>2</v>
      </c>
      <c r="F2386" s="4" t="s">
        <v>144</v>
      </c>
      <c r="G2386" s="7" t="s">
        <v>1582</v>
      </c>
      <c r="H2386" s="4" t="n">
        <v>2002</v>
      </c>
      <c r="I2386" s="4" t="s">
        <v>1087</v>
      </c>
      <c r="J2386" s="25" t="str">
        <f aca="false">IF(M2386=1,"✓","")</f>
        <v/>
      </c>
      <c r="K2386" s="4" t="str">
        <f aca="false">IF(AND(M2386=0,P2386=0),"▶ NEXT","")</f>
        <v/>
      </c>
      <c r="L2386" s="4" t="n">
        <f aca="false">INDEX('Master List'!$F$2:$F$2594,O2386)</f>
        <v>1</v>
      </c>
      <c r="M2386" s="4" t="n">
        <f aca="false">INDEX('Master List'!$G$2:$G$2594,O2386)</f>
        <v>0</v>
      </c>
      <c r="N2386" s="4" t="str">
        <f aca="false">IF(K2386="","",A2386)</f>
        <v/>
      </c>
      <c r="O2386" s="4" t="n">
        <v>2236</v>
      </c>
      <c r="P2386" s="4" t="n">
        <f aca="false">IF(A2386=A2385,P2385+1-M2385,0)</f>
        <v>1</v>
      </c>
    </row>
    <row r="2387" customFormat="false" ht="15" hidden="false" customHeight="false" outlineLevel="0" collapsed="false">
      <c r="A2387" s="30" t="s">
        <v>4235</v>
      </c>
      <c r="B2387" s="30" t="s">
        <v>53</v>
      </c>
      <c r="C2387" s="30" t="s">
        <v>105</v>
      </c>
      <c r="D2387" s="30" t="s">
        <v>1087</v>
      </c>
      <c r="E2387" s="4" t="n">
        <v>3</v>
      </c>
      <c r="F2387" s="4" t="s">
        <v>213</v>
      </c>
      <c r="G2387" s="4" t="s">
        <v>1086</v>
      </c>
      <c r="H2387" s="4" t="n">
        <v>1988</v>
      </c>
      <c r="I2387" s="4" t="s">
        <v>1087</v>
      </c>
      <c r="J2387" s="25" t="str">
        <f aca="false">IF(M2387=1,"✓","")</f>
        <v/>
      </c>
      <c r="K2387" s="4" t="str">
        <f aca="false">IF(AND(M2387=0,P2387=0),"▶ NEXT","")</f>
        <v/>
      </c>
      <c r="L2387" s="4" t="n">
        <f aca="false">INDEX('Master List'!$F$2:$F$2594,O2387)</f>
        <v>2</v>
      </c>
      <c r="M2387" s="4" t="n">
        <f aca="false">INDEX('Master List'!$G$2:$G$2594,O2387)</f>
        <v>0</v>
      </c>
      <c r="N2387" s="4" t="str">
        <f aca="false">IF(K2387="","",A2387)</f>
        <v/>
      </c>
      <c r="O2387" s="4" t="n">
        <v>2548</v>
      </c>
      <c r="P2387" s="4" t="n">
        <f aca="false">IF(A2387=A2386,P2386+1-M2386,0)</f>
        <v>2</v>
      </c>
    </row>
    <row r="2388" customFormat="false" ht="15" hidden="false" customHeight="false" outlineLevel="0" collapsed="false">
      <c r="A2388" s="30" t="s">
        <v>4235</v>
      </c>
      <c r="B2388" s="30" t="s">
        <v>53</v>
      </c>
      <c r="C2388" s="30" t="s">
        <v>105</v>
      </c>
      <c r="D2388" s="30" t="s">
        <v>1087</v>
      </c>
      <c r="E2388" s="4" t="n">
        <v>4</v>
      </c>
      <c r="F2388" s="4" t="s">
        <v>213</v>
      </c>
      <c r="G2388" s="4" t="s">
        <v>2460</v>
      </c>
      <c r="H2388" s="4" t="n">
        <v>1987</v>
      </c>
      <c r="I2388" s="4" t="s">
        <v>1087</v>
      </c>
      <c r="J2388" s="25" t="str">
        <f aca="false">IF(M2388=1,"✓","")</f>
        <v/>
      </c>
      <c r="K2388" s="4" t="str">
        <f aca="false">IF(AND(M2388=0,P2388=0),"▶ NEXT","")</f>
        <v/>
      </c>
      <c r="L2388" s="4" t="n">
        <f aca="false">INDEX('Master List'!$F$2:$F$2594,O2388)</f>
        <v>1</v>
      </c>
      <c r="M2388" s="4" t="n">
        <f aca="false">INDEX('Master List'!$G$2:$G$2594,O2388)</f>
        <v>0</v>
      </c>
      <c r="N2388" s="4" t="str">
        <f aca="false">IF(K2388="","",A2388)</f>
        <v/>
      </c>
      <c r="O2388" s="4" t="n">
        <v>1312</v>
      </c>
      <c r="P2388" s="4" t="n">
        <f aca="false">IF(A2388=A2387,P2387+1-M2387,0)</f>
        <v>3</v>
      </c>
    </row>
    <row r="2389" customFormat="false" ht="15" hidden="false" customHeight="false" outlineLevel="0" collapsed="false">
      <c r="A2389" s="30" t="s">
        <v>4235</v>
      </c>
      <c r="B2389" s="30" t="s">
        <v>53</v>
      </c>
      <c r="C2389" s="30" t="s">
        <v>105</v>
      </c>
      <c r="D2389" s="30" t="s">
        <v>1087</v>
      </c>
      <c r="E2389" s="4" t="n">
        <v>5</v>
      </c>
      <c r="F2389" s="4" t="s">
        <v>213</v>
      </c>
      <c r="G2389" s="4" t="s">
        <v>2676</v>
      </c>
      <c r="H2389" s="4" t="n">
        <v>1997</v>
      </c>
      <c r="I2389" s="4" t="s">
        <v>1087</v>
      </c>
      <c r="J2389" s="25" t="str">
        <f aca="false">IF(M2389=1,"✓","")</f>
        <v/>
      </c>
      <c r="K2389" s="4" t="str">
        <f aca="false">IF(AND(M2389=0,P2389=0),"▶ NEXT","")</f>
        <v/>
      </c>
      <c r="L2389" s="4" t="n">
        <f aca="false">INDEX('Master List'!$F$2:$F$2594,O2389)</f>
        <v>1</v>
      </c>
      <c r="M2389" s="4" t="n">
        <f aca="false">INDEX('Master List'!$G$2:$G$2594,O2389)</f>
        <v>0</v>
      </c>
      <c r="N2389" s="4" t="str">
        <f aca="false">IF(K2389="","",A2389)</f>
        <v/>
      </c>
      <c r="O2389" s="4" t="n">
        <v>1357</v>
      </c>
      <c r="P2389" s="4" t="n">
        <f aca="false">IF(A2389=A2388,P2388+1-M2388,0)</f>
        <v>4</v>
      </c>
    </row>
    <row r="2390" customFormat="false" ht="15" hidden="false" customHeight="false" outlineLevel="0" collapsed="false">
      <c r="A2390" s="30" t="s">
        <v>4235</v>
      </c>
      <c r="B2390" s="30" t="s">
        <v>53</v>
      </c>
      <c r="C2390" s="30" t="s">
        <v>105</v>
      </c>
      <c r="D2390" s="30" t="s">
        <v>1087</v>
      </c>
      <c r="E2390" s="4" t="n">
        <v>6</v>
      </c>
      <c r="F2390" s="4" t="s">
        <v>213</v>
      </c>
      <c r="G2390" s="4" t="s">
        <v>2823</v>
      </c>
      <c r="H2390" s="4" t="n">
        <v>2004</v>
      </c>
      <c r="I2390" s="4" t="s">
        <v>1087</v>
      </c>
      <c r="J2390" s="25" t="str">
        <f aca="false">IF(M2390=1,"✓","")</f>
        <v/>
      </c>
      <c r="K2390" s="4" t="str">
        <f aca="false">IF(AND(M2390=0,P2390=0),"▶ NEXT","")</f>
        <v/>
      </c>
      <c r="L2390" s="4" t="n">
        <f aca="false">INDEX('Master List'!$F$2:$F$2594,O2390)</f>
        <v>1</v>
      </c>
      <c r="M2390" s="4" t="n">
        <f aca="false">INDEX('Master List'!$G$2:$G$2594,O2390)</f>
        <v>0</v>
      </c>
      <c r="N2390" s="4" t="str">
        <f aca="false">IF(K2390="","",A2390)</f>
        <v/>
      </c>
      <c r="O2390" s="4" t="n">
        <v>168</v>
      </c>
      <c r="P2390" s="4" t="n">
        <f aca="false">IF(A2390=A2389,P2389+1-M2389,0)</f>
        <v>5</v>
      </c>
    </row>
    <row r="2391" customFormat="false" ht="15" hidden="false" customHeight="false" outlineLevel="0" collapsed="false">
      <c r="A2391" s="30" t="s">
        <v>4235</v>
      </c>
      <c r="B2391" s="30" t="s">
        <v>53</v>
      </c>
      <c r="C2391" s="30" t="s">
        <v>105</v>
      </c>
      <c r="D2391" s="30" t="s">
        <v>1087</v>
      </c>
      <c r="E2391" s="4" t="n">
        <v>7</v>
      </c>
      <c r="F2391" s="4" t="s">
        <v>213</v>
      </c>
      <c r="G2391" s="4" t="s">
        <v>2860</v>
      </c>
      <c r="H2391" s="4" t="n">
        <v>2006</v>
      </c>
      <c r="I2391" s="4" t="s">
        <v>1087</v>
      </c>
      <c r="J2391" s="25" t="str">
        <f aca="false">IF(M2391=1,"✓","")</f>
        <v/>
      </c>
      <c r="K2391" s="4" t="str">
        <f aca="false">IF(AND(M2391=0,P2391=0),"▶ NEXT","")</f>
        <v/>
      </c>
      <c r="L2391" s="4" t="n">
        <f aca="false">INDEX('Master List'!$F$2:$F$2594,O2391)</f>
        <v>1</v>
      </c>
      <c r="M2391" s="4" t="n">
        <f aca="false">INDEX('Master List'!$G$2:$G$2594,O2391)</f>
        <v>0</v>
      </c>
      <c r="N2391" s="4" t="str">
        <f aca="false">IF(K2391="","",A2391)</f>
        <v/>
      </c>
      <c r="O2391" s="4" t="n">
        <v>2443</v>
      </c>
      <c r="P2391" s="4" t="n">
        <f aca="false">IF(A2391=A2390,P2390+1-M2390,0)</f>
        <v>6</v>
      </c>
    </row>
    <row r="2392" customFormat="false" ht="15" hidden="false" customHeight="false" outlineLevel="0" collapsed="false">
      <c r="A2392" s="30" t="s">
        <v>4235</v>
      </c>
      <c r="B2392" s="30" t="s">
        <v>53</v>
      </c>
      <c r="C2392" s="30" t="s">
        <v>105</v>
      </c>
      <c r="D2392" s="30" t="s">
        <v>1087</v>
      </c>
      <c r="E2392" s="4" t="n">
        <v>8</v>
      </c>
      <c r="F2392" s="4" t="s">
        <v>213</v>
      </c>
      <c r="G2392" s="4" t="s">
        <v>2976</v>
      </c>
      <c r="H2392" s="4" t="n">
        <v>2011</v>
      </c>
      <c r="I2392" s="4" t="s">
        <v>1087</v>
      </c>
      <c r="J2392" s="25" t="str">
        <f aca="false">IF(M2392=1,"✓","")</f>
        <v/>
      </c>
      <c r="K2392" s="4" t="str">
        <f aca="false">IF(AND(M2392=0,P2392=0),"▶ NEXT","")</f>
        <v/>
      </c>
      <c r="L2392" s="4" t="n">
        <f aca="false">INDEX('Master List'!$F$2:$F$2594,O2392)</f>
        <v>1</v>
      </c>
      <c r="M2392" s="4" t="n">
        <f aca="false">INDEX('Master List'!$G$2:$G$2594,O2392)</f>
        <v>0</v>
      </c>
      <c r="N2392" s="4" t="str">
        <f aca="false">IF(K2392="","",A2392)</f>
        <v/>
      </c>
      <c r="O2392" s="4" t="n">
        <v>2085</v>
      </c>
      <c r="P2392" s="4" t="n">
        <f aca="false">IF(A2392=A2391,P2391+1-M2391,0)</f>
        <v>7</v>
      </c>
    </row>
    <row r="2393" customFormat="false" ht="15" hidden="false" customHeight="false" outlineLevel="0" collapsed="false">
      <c r="A2393" s="30" t="s">
        <v>4235</v>
      </c>
      <c r="B2393" s="30" t="s">
        <v>53</v>
      </c>
      <c r="C2393" s="30" t="s">
        <v>105</v>
      </c>
      <c r="D2393" s="30" t="s">
        <v>1087</v>
      </c>
      <c r="E2393" s="4" t="n">
        <v>9</v>
      </c>
      <c r="F2393" s="4" t="s">
        <v>213</v>
      </c>
      <c r="G2393" s="4" t="s">
        <v>3178</v>
      </c>
      <c r="H2393" s="4" t="n">
        <v>2019</v>
      </c>
      <c r="I2393" s="4" t="s">
        <v>1087</v>
      </c>
      <c r="J2393" s="25" t="str">
        <f aca="false">IF(M2393=1,"✓","")</f>
        <v/>
      </c>
      <c r="K2393" s="4" t="str">
        <f aca="false">IF(AND(M2393=0,P2393=0),"▶ NEXT","")</f>
        <v/>
      </c>
      <c r="L2393" s="4" t="n">
        <f aca="false">INDEX('Master List'!$F$2:$F$2594,O2393)</f>
        <v>1</v>
      </c>
      <c r="M2393" s="4" t="n">
        <f aca="false">INDEX('Master List'!$G$2:$G$2594,O2393)</f>
        <v>0</v>
      </c>
      <c r="N2393" s="4" t="str">
        <f aca="false">IF(K2393="","",A2393)</f>
        <v/>
      </c>
      <c r="O2393" s="4" t="n">
        <v>1705</v>
      </c>
      <c r="P2393" s="4" t="n">
        <f aca="false">IF(A2393=A2392,P2392+1-M2392,0)</f>
        <v>8</v>
      </c>
    </row>
    <row r="2394" customFormat="false" ht="15" hidden="false" customHeight="false" outlineLevel="0" collapsed="false">
      <c r="A2394" s="30" t="s">
        <v>4235</v>
      </c>
      <c r="B2394" s="30" t="s">
        <v>53</v>
      </c>
      <c r="C2394" s="30" t="s">
        <v>105</v>
      </c>
      <c r="D2394" s="30" t="s">
        <v>1087</v>
      </c>
      <c r="E2394" s="4" t="n">
        <v>10</v>
      </c>
      <c r="F2394" s="4" t="s">
        <v>1327</v>
      </c>
      <c r="G2394" s="4" t="s">
        <v>3625</v>
      </c>
      <c r="H2394" s="4" t="n">
        <v>1984</v>
      </c>
      <c r="I2394" s="4" t="s">
        <v>1087</v>
      </c>
      <c r="J2394" s="25" t="str">
        <f aca="false">IF(M2394=1,"✓","")</f>
        <v/>
      </c>
      <c r="K2394" s="4" t="str">
        <f aca="false">IF(AND(M2394=0,P2394=0),"▶ NEXT","")</f>
        <v/>
      </c>
      <c r="L2394" s="4" t="n">
        <f aca="false">INDEX('Master List'!$F$2:$F$2594,O2394)</f>
        <v>1</v>
      </c>
      <c r="M2394" s="4" t="n">
        <f aca="false">INDEX('Master List'!$G$2:$G$2594,O2394)</f>
        <v>0</v>
      </c>
      <c r="N2394" s="4" t="str">
        <f aca="false">IF(K2394="","",A2394)</f>
        <v/>
      </c>
      <c r="O2394" s="4" t="n">
        <v>2486</v>
      </c>
      <c r="P2394" s="4" t="n">
        <f aca="false">IF(A2394=A2393,P2393+1-M2393,0)</f>
        <v>9</v>
      </c>
    </row>
    <row r="2395" customFormat="false" ht="15" hidden="false" customHeight="false" outlineLevel="0" collapsed="false">
      <c r="A2395" s="30" t="s">
        <v>4236</v>
      </c>
      <c r="B2395" s="30" t="s">
        <v>53</v>
      </c>
      <c r="C2395" s="30" t="s">
        <v>105</v>
      </c>
      <c r="D2395" s="30" t="s">
        <v>185</v>
      </c>
      <c r="E2395" s="4" t="n">
        <v>1</v>
      </c>
      <c r="F2395" s="4" t="s">
        <v>144</v>
      </c>
      <c r="G2395" s="7" t="s">
        <v>184</v>
      </c>
      <c r="H2395" s="4" t="n">
        <v>1975</v>
      </c>
      <c r="I2395" s="4" t="s">
        <v>185</v>
      </c>
      <c r="J2395" s="25" t="str">
        <f aca="false">IF(M2395=1,"✓","")</f>
        <v/>
      </c>
      <c r="K2395" s="4" t="str">
        <f aca="false">IF(AND(M2395=0,P2395=0),"▶ NEXT","")</f>
        <v>▶ NEXT</v>
      </c>
      <c r="L2395" s="4" t="n">
        <f aca="false">INDEX('Master List'!$F$2:$F$2594,O2395)</f>
        <v>8</v>
      </c>
      <c r="M2395" s="4" t="n">
        <f aca="false">INDEX('Master List'!$G$2:$G$2594,O2395)</f>
        <v>0</v>
      </c>
      <c r="N2395" s="4" t="str">
        <f aca="false">IF(K2395="","",A2395)</f>
        <v>N200</v>
      </c>
      <c r="O2395" s="4" t="n">
        <v>1201</v>
      </c>
      <c r="P2395" s="4" t="n">
        <f aca="false">IF(A2395=A2394,P2394+1-M2394,0)</f>
        <v>0</v>
      </c>
    </row>
    <row r="2396" customFormat="false" ht="15" hidden="false" customHeight="false" outlineLevel="0" collapsed="false">
      <c r="A2396" s="30" t="s">
        <v>4236</v>
      </c>
      <c r="B2396" s="30" t="s">
        <v>53</v>
      </c>
      <c r="C2396" s="30" t="s">
        <v>105</v>
      </c>
      <c r="D2396" s="30" t="s">
        <v>185</v>
      </c>
      <c r="E2396" s="4" t="n">
        <v>2</v>
      </c>
      <c r="F2396" s="4" t="s">
        <v>144</v>
      </c>
      <c r="G2396" s="7" t="s">
        <v>1031</v>
      </c>
      <c r="H2396" s="4" t="n">
        <v>1976</v>
      </c>
      <c r="I2396" s="4" t="s">
        <v>185</v>
      </c>
      <c r="J2396" s="25" t="str">
        <f aca="false">IF(M2396=1,"✓","")</f>
        <v/>
      </c>
      <c r="K2396" s="4" t="str">
        <f aca="false">IF(AND(M2396=0,P2396=0),"▶ NEXT","")</f>
        <v/>
      </c>
      <c r="L2396" s="4" t="n">
        <f aca="false">INDEX('Master List'!$F$2:$F$2594,O2396)</f>
        <v>2</v>
      </c>
      <c r="M2396" s="4" t="n">
        <f aca="false">INDEX('Master List'!$G$2:$G$2594,O2396)</f>
        <v>0</v>
      </c>
      <c r="N2396" s="4" t="str">
        <f aca="false">IF(K2396="","",A2396)</f>
        <v/>
      </c>
      <c r="O2396" s="4" t="n">
        <v>1598</v>
      </c>
      <c r="P2396" s="4" t="n">
        <f aca="false">IF(A2396=A2395,P2395+1-M2395,0)</f>
        <v>1</v>
      </c>
    </row>
    <row r="2397" customFormat="false" ht="15" hidden="false" customHeight="false" outlineLevel="0" collapsed="false">
      <c r="A2397" s="30" t="s">
        <v>4236</v>
      </c>
      <c r="B2397" s="30" t="s">
        <v>53</v>
      </c>
      <c r="C2397" s="30" t="s">
        <v>105</v>
      </c>
      <c r="D2397" s="30" t="s">
        <v>185</v>
      </c>
      <c r="E2397" s="4" t="n">
        <v>3</v>
      </c>
      <c r="F2397" s="4" t="s">
        <v>213</v>
      </c>
      <c r="G2397" s="4" t="s">
        <v>2129</v>
      </c>
      <c r="H2397" s="4" t="n">
        <v>1968</v>
      </c>
      <c r="I2397" s="4" t="s">
        <v>185</v>
      </c>
      <c r="J2397" s="25" t="str">
        <f aca="false">IF(M2397=1,"✓","")</f>
        <v/>
      </c>
      <c r="K2397" s="4" t="str">
        <f aca="false">IF(AND(M2397=0,P2397=0),"▶ NEXT","")</f>
        <v/>
      </c>
      <c r="L2397" s="4" t="n">
        <f aca="false">INDEX('Master List'!$F$2:$F$2594,O2397)</f>
        <v>1</v>
      </c>
      <c r="M2397" s="4" t="n">
        <f aca="false">INDEX('Master List'!$G$2:$G$2594,O2397)</f>
        <v>0</v>
      </c>
      <c r="N2397" s="4" t="str">
        <f aca="false">IF(K2397="","",A2397)</f>
        <v/>
      </c>
      <c r="O2397" s="4" t="n">
        <v>1975</v>
      </c>
      <c r="P2397" s="4" t="n">
        <f aca="false">IF(A2397=A2396,P2396+1-M2396,0)</f>
        <v>2</v>
      </c>
    </row>
    <row r="2398" customFormat="false" ht="15" hidden="false" customHeight="false" outlineLevel="0" collapsed="false">
      <c r="A2398" s="30" t="s">
        <v>4236</v>
      </c>
      <c r="B2398" s="30" t="s">
        <v>53</v>
      </c>
      <c r="C2398" s="30" t="s">
        <v>105</v>
      </c>
      <c r="D2398" s="30" t="s">
        <v>185</v>
      </c>
      <c r="E2398" s="4" t="n">
        <v>4</v>
      </c>
      <c r="F2398" s="4" t="s">
        <v>213</v>
      </c>
      <c r="G2398" s="4" t="s">
        <v>2230</v>
      </c>
      <c r="H2398" s="4" t="n">
        <v>1973</v>
      </c>
      <c r="I2398" s="4" t="s">
        <v>185</v>
      </c>
      <c r="J2398" s="25" t="str">
        <f aca="false">IF(M2398=1,"✓","")</f>
        <v/>
      </c>
      <c r="K2398" s="4" t="str">
        <f aca="false">IF(AND(M2398=0,P2398=0),"▶ NEXT","")</f>
        <v/>
      </c>
      <c r="L2398" s="4" t="n">
        <f aca="false">INDEX('Master List'!$F$2:$F$2594,O2398)</f>
        <v>1</v>
      </c>
      <c r="M2398" s="4" t="n">
        <f aca="false">INDEX('Master List'!$G$2:$G$2594,O2398)</f>
        <v>0</v>
      </c>
      <c r="N2398" s="4" t="str">
        <f aca="false">IF(K2398="","",A2398)</f>
        <v/>
      </c>
      <c r="O2398" s="4" t="n">
        <v>1067</v>
      </c>
      <c r="P2398" s="4" t="n">
        <f aca="false">IF(A2398=A2397,P2397+1-M2397,0)</f>
        <v>3</v>
      </c>
    </row>
    <row r="2399" customFormat="false" ht="15" hidden="false" customHeight="false" outlineLevel="0" collapsed="false">
      <c r="A2399" s="30" t="s">
        <v>4236</v>
      </c>
      <c r="B2399" s="30" t="s">
        <v>53</v>
      </c>
      <c r="C2399" s="30" t="s">
        <v>105</v>
      </c>
      <c r="D2399" s="30" t="s">
        <v>185</v>
      </c>
      <c r="E2399" s="4" t="n">
        <v>5</v>
      </c>
      <c r="F2399" s="4" t="s">
        <v>213</v>
      </c>
      <c r="G2399" s="4" t="s">
        <v>2250</v>
      </c>
      <c r="H2399" s="4" t="n">
        <v>1974</v>
      </c>
      <c r="I2399" s="4" t="s">
        <v>185</v>
      </c>
      <c r="J2399" s="25" t="str">
        <f aca="false">IF(M2399=1,"✓","")</f>
        <v/>
      </c>
      <c r="K2399" s="4" t="str">
        <f aca="false">IF(AND(M2399=0,P2399=0),"▶ NEXT","")</f>
        <v/>
      </c>
      <c r="L2399" s="4" t="n">
        <f aca="false">INDEX('Master List'!$F$2:$F$2594,O2399)</f>
        <v>1</v>
      </c>
      <c r="M2399" s="4" t="n">
        <f aca="false">INDEX('Master List'!$G$2:$G$2594,O2399)</f>
        <v>0</v>
      </c>
      <c r="N2399" s="4" t="str">
        <f aca="false">IF(K2399="","",A2399)</f>
        <v/>
      </c>
      <c r="O2399" s="4" t="n">
        <v>1200</v>
      </c>
      <c r="P2399" s="4" t="n">
        <f aca="false">IF(A2399=A2398,P2398+1-M2398,0)</f>
        <v>4</v>
      </c>
    </row>
    <row r="2400" customFormat="false" ht="15" hidden="false" customHeight="false" outlineLevel="0" collapsed="false">
      <c r="A2400" s="30" t="s">
        <v>4236</v>
      </c>
      <c r="B2400" s="30" t="s">
        <v>53</v>
      </c>
      <c r="C2400" s="30" t="s">
        <v>105</v>
      </c>
      <c r="D2400" s="30" t="s">
        <v>185</v>
      </c>
      <c r="E2400" s="4" t="n">
        <v>6</v>
      </c>
      <c r="F2400" s="4" t="s">
        <v>213</v>
      </c>
      <c r="G2400" s="4" t="s">
        <v>2313</v>
      </c>
      <c r="H2400" s="4" t="n">
        <v>1978</v>
      </c>
      <c r="I2400" s="4" t="s">
        <v>185</v>
      </c>
      <c r="J2400" s="25" t="str">
        <f aca="false">IF(M2400=1,"✓","")</f>
        <v/>
      </c>
      <c r="K2400" s="4" t="str">
        <f aca="false">IF(AND(M2400=0,P2400=0),"▶ NEXT","")</f>
        <v/>
      </c>
      <c r="L2400" s="4" t="n">
        <f aca="false">INDEX('Master List'!$F$2:$F$2594,O2400)</f>
        <v>1</v>
      </c>
      <c r="M2400" s="4" t="n">
        <f aca="false">INDEX('Master List'!$G$2:$G$2594,O2400)</f>
        <v>0</v>
      </c>
      <c r="N2400" s="4" t="str">
        <f aca="false">IF(K2400="","",A2400)</f>
        <v/>
      </c>
      <c r="O2400" s="4" t="n">
        <v>1884</v>
      </c>
      <c r="P2400" s="4" t="n">
        <f aca="false">IF(A2400=A2399,P2399+1-M2399,0)</f>
        <v>5</v>
      </c>
    </row>
    <row r="2401" customFormat="false" ht="15" hidden="false" customHeight="false" outlineLevel="0" collapsed="false">
      <c r="A2401" s="30" t="s">
        <v>4236</v>
      </c>
      <c r="B2401" s="30" t="s">
        <v>53</v>
      </c>
      <c r="C2401" s="30" t="s">
        <v>105</v>
      </c>
      <c r="D2401" s="30" t="s">
        <v>185</v>
      </c>
      <c r="E2401" s="4" t="n">
        <v>7</v>
      </c>
      <c r="F2401" s="4" t="s">
        <v>213</v>
      </c>
      <c r="G2401" s="4" t="s">
        <v>2367</v>
      </c>
      <c r="H2401" s="4" t="n">
        <v>1982</v>
      </c>
      <c r="I2401" s="4" t="s">
        <v>185</v>
      </c>
      <c r="J2401" s="25" t="str">
        <f aca="false">IF(M2401=1,"✓","")</f>
        <v/>
      </c>
      <c r="K2401" s="4" t="str">
        <f aca="false">IF(AND(M2401=0,P2401=0),"▶ NEXT","")</f>
        <v/>
      </c>
      <c r="L2401" s="4" t="n">
        <f aca="false">INDEX('Master List'!$F$2:$F$2594,O2401)</f>
        <v>1</v>
      </c>
      <c r="M2401" s="4" t="n">
        <f aca="false">INDEX('Master List'!$G$2:$G$2594,O2401)</f>
        <v>0</v>
      </c>
      <c r="N2401" s="4" t="str">
        <f aca="false">IF(K2401="","",A2401)</f>
        <v/>
      </c>
      <c r="O2401" s="4" t="n">
        <v>2351</v>
      </c>
      <c r="P2401" s="4" t="n">
        <f aca="false">IF(A2401=A2400,P2400+1-M2400,0)</f>
        <v>6</v>
      </c>
    </row>
    <row r="2402" customFormat="false" ht="15" hidden="false" customHeight="false" outlineLevel="0" collapsed="false">
      <c r="A2402" s="30" t="s">
        <v>4236</v>
      </c>
      <c r="B2402" s="30" t="s">
        <v>53</v>
      </c>
      <c r="C2402" s="30" t="s">
        <v>105</v>
      </c>
      <c r="D2402" s="30" t="s">
        <v>185</v>
      </c>
      <c r="E2402" s="4" t="n">
        <v>8</v>
      </c>
      <c r="F2402" s="4" t="s">
        <v>213</v>
      </c>
      <c r="G2402" s="4" t="s">
        <v>2437</v>
      </c>
      <c r="H2402" s="4" t="n">
        <v>1986</v>
      </c>
      <c r="I2402" s="4" t="s">
        <v>185</v>
      </c>
      <c r="J2402" s="25" t="str">
        <f aca="false">IF(M2402=1,"✓","")</f>
        <v/>
      </c>
      <c r="K2402" s="4" t="str">
        <f aca="false">IF(AND(M2402=0,P2402=0),"▶ NEXT","")</f>
        <v/>
      </c>
      <c r="L2402" s="4" t="n">
        <f aca="false">INDEX('Master List'!$F$2:$F$2594,O2402)</f>
        <v>1</v>
      </c>
      <c r="M2402" s="4" t="n">
        <f aca="false">INDEX('Master List'!$G$2:$G$2594,O2402)</f>
        <v>0</v>
      </c>
      <c r="N2402" s="4" t="str">
        <f aca="false">IF(K2402="","",A2402)</f>
        <v/>
      </c>
      <c r="O2402" s="4" t="n">
        <v>918</v>
      </c>
      <c r="P2402" s="4" t="n">
        <f aca="false">IF(A2402=A2401,P2401+1-M2401,0)</f>
        <v>7</v>
      </c>
    </row>
    <row r="2403" customFormat="false" ht="15" hidden="false" customHeight="false" outlineLevel="0" collapsed="false">
      <c r="A2403" s="30" t="s">
        <v>4236</v>
      </c>
      <c r="B2403" s="30" t="s">
        <v>53</v>
      </c>
      <c r="C2403" s="30" t="s">
        <v>105</v>
      </c>
      <c r="D2403" s="30" t="s">
        <v>185</v>
      </c>
      <c r="E2403" s="4" t="n">
        <v>9</v>
      </c>
      <c r="F2403" s="4" t="s">
        <v>213</v>
      </c>
      <c r="G2403" s="4" t="s">
        <v>2572</v>
      </c>
      <c r="H2403" s="4" t="n">
        <v>1993</v>
      </c>
      <c r="I2403" s="4" t="s">
        <v>185</v>
      </c>
      <c r="J2403" s="25" t="str">
        <f aca="false">IF(M2403=1,"✓","")</f>
        <v/>
      </c>
      <c r="K2403" s="4" t="str">
        <f aca="false">IF(AND(M2403=0,P2403=0),"▶ NEXT","")</f>
        <v/>
      </c>
      <c r="L2403" s="4" t="n">
        <f aca="false">INDEX('Master List'!$F$2:$F$2594,O2403)</f>
        <v>1</v>
      </c>
      <c r="M2403" s="4" t="n">
        <f aca="false">INDEX('Master List'!$G$2:$G$2594,O2403)</f>
        <v>0</v>
      </c>
      <c r="N2403" s="4" t="str">
        <f aca="false">IF(K2403="","",A2403)</f>
        <v/>
      </c>
      <c r="O2403" s="4" t="n">
        <v>551</v>
      </c>
      <c r="P2403" s="4" t="n">
        <f aca="false">IF(A2403=A2402,P2402+1-M2402,0)</f>
        <v>8</v>
      </c>
    </row>
    <row r="2404" customFormat="false" ht="15" hidden="false" customHeight="false" outlineLevel="0" collapsed="false">
      <c r="A2404" s="30" t="s">
        <v>4236</v>
      </c>
      <c r="B2404" s="30" t="s">
        <v>53</v>
      </c>
      <c r="C2404" s="30" t="s">
        <v>105</v>
      </c>
      <c r="D2404" s="30" t="s">
        <v>185</v>
      </c>
      <c r="E2404" s="4" t="n">
        <v>10</v>
      </c>
      <c r="F2404" s="4" t="s">
        <v>1327</v>
      </c>
      <c r="G2404" s="4" t="s">
        <v>3828</v>
      </c>
      <c r="H2404" s="4" t="n">
        <v>2015</v>
      </c>
      <c r="I2404" s="4" t="s">
        <v>185</v>
      </c>
      <c r="J2404" s="25" t="str">
        <f aca="false">IF(M2404=1,"✓","")</f>
        <v/>
      </c>
      <c r="K2404" s="4" t="str">
        <f aca="false">IF(AND(M2404=0,P2404=0),"▶ NEXT","")</f>
        <v/>
      </c>
      <c r="L2404" s="4" t="n">
        <f aca="false">INDEX('Master List'!$F$2:$F$2594,O2404)</f>
        <v>1</v>
      </c>
      <c r="M2404" s="4" t="n">
        <f aca="false">INDEX('Master List'!$G$2:$G$2594,O2404)</f>
        <v>0</v>
      </c>
      <c r="N2404" s="4" t="str">
        <f aca="false">IF(K2404="","",A2404)</f>
        <v/>
      </c>
      <c r="O2404" s="4" t="n">
        <v>1623</v>
      </c>
      <c r="P2404" s="4" t="n">
        <f aca="false">IF(A2404=A2403,P2403+1-M2403,0)</f>
        <v>9</v>
      </c>
    </row>
    <row r="2405" customFormat="false" ht="15" hidden="false" customHeight="false" outlineLevel="0" collapsed="false">
      <c r="A2405" s="30" t="s">
        <v>4236</v>
      </c>
      <c r="B2405" s="30" t="s">
        <v>53</v>
      </c>
      <c r="C2405" s="30" t="s">
        <v>105</v>
      </c>
      <c r="D2405" s="30" t="s">
        <v>185</v>
      </c>
      <c r="E2405" s="4" t="n">
        <v>11</v>
      </c>
      <c r="F2405" s="4" t="s">
        <v>1327</v>
      </c>
      <c r="G2405" s="4" t="s">
        <v>3720</v>
      </c>
      <c r="H2405" s="4" t="n">
        <v>2000</v>
      </c>
      <c r="I2405" s="4" t="s">
        <v>185</v>
      </c>
      <c r="J2405" s="25" t="str">
        <f aca="false">IF(M2405=1,"✓","")</f>
        <v/>
      </c>
      <c r="K2405" s="4" t="str">
        <f aca="false">IF(AND(M2405=0,P2405=0),"▶ NEXT","")</f>
        <v/>
      </c>
      <c r="L2405" s="4" t="n">
        <f aca="false">INDEX('Master List'!$F$2:$F$2594,O2405)</f>
        <v>1</v>
      </c>
      <c r="M2405" s="4" t="n">
        <f aca="false">INDEX('Master List'!$G$2:$G$2594,O2405)</f>
        <v>0</v>
      </c>
      <c r="N2405" s="4" t="str">
        <f aca="false">IF(K2405="","",A2405)</f>
        <v/>
      </c>
      <c r="O2405" s="4" t="n">
        <v>394</v>
      </c>
      <c r="P2405" s="4" t="n">
        <f aca="false">IF(A2405=A2404,P2404+1-M2404,0)</f>
        <v>10</v>
      </c>
    </row>
    <row r="2406" customFormat="false" ht="15" hidden="false" customHeight="false" outlineLevel="0" collapsed="false">
      <c r="A2406" s="30" t="s">
        <v>4237</v>
      </c>
      <c r="B2406" s="30" t="s">
        <v>53</v>
      </c>
      <c r="C2406" s="30" t="s">
        <v>105</v>
      </c>
      <c r="D2406" s="30" t="s">
        <v>262</v>
      </c>
      <c r="E2406" s="4" t="n">
        <v>1</v>
      </c>
      <c r="F2406" s="4" t="s">
        <v>144</v>
      </c>
      <c r="G2406" s="7" t="s">
        <v>261</v>
      </c>
      <c r="H2406" s="4" t="n">
        <v>1999</v>
      </c>
      <c r="I2406" s="4" t="s">
        <v>262</v>
      </c>
      <c r="J2406" s="25" t="str">
        <f aca="false">IF(M2406=1,"✓","")</f>
        <v/>
      </c>
      <c r="K2406" s="4" t="str">
        <f aca="false">IF(AND(M2406=0,P2406=0),"▶ NEXT","")</f>
        <v>▶ NEXT</v>
      </c>
      <c r="L2406" s="4" t="n">
        <f aca="false">INDEX('Master List'!$F$2:$F$2594,O2406)</f>
        <v>5</v>
      </c>
      <c r="M2406" s="4" t="n">
        <f aca="false">INDEX('Master List'!$G$2:$G$2594,O2406)</f>
        <v>0</v>
      </c>
      <c r="N2406" s="4" t="str">
        <f aca="false">IF(K2406="","",A2406)</f>
        <v>N201</v>
      </c>
      <c r="O2406" s="4" t="n">
        <v>206</v>
      </c>
      <c r="P2406" s="4" t="n">
        <f aca="false">IF(A2406=A2405,P2405+1-M2405,0)</f>
        <v>0</v>
      </c>
    </row>
    <row r="2407" customFormat="false" ht="15" hidden="false" customHeight="false" outlineLevel="0" collapsed="false">
      <c r="A2407" s="30" t="s">
        <v>4237</v>
      </c>
      <c r="B2407" s="30" t="s">
        <v>53</v>
      </c>
      <c r="C2407" s="30" t="s">
        <v>105</v>
      </c>
      <c r="D2407" s="30" t="s">
        <v>262</v>
      </c>
      <c r="E2407" s="4" t="n">
        <v>2</v>
      </c>
      <c r="F2407" s="4" t="s">
        <v>144</v>
      </c>
      <c r="G2407" s="7" t="s">
        <v>1606</v>
      </c>
      <c r="H2407" s="4" t="n">
        <v>2008</v>
      </c>
      <c r="I2407" s="4" t="s">
        <v>262</v>
      </c>
      <c r="J2407" s="25" t="str">
        <f aca="false">IF(M2407=1,"✓","")</f>
        <v/>
      </c>
      <c r="K2407" s="4" t="str">
        <f aca="false">IF(AND(M2407=0,P2407=0),"▶ NEXT","")</f>
        <v/>
      </c>
      <c r="L2407" s="4" t="n">
        <f aca="false">INDEX('Master List'!$F$2:$F$2594,O2407)</f>
        <v>1</v>
      </c>
      <c r="M2407" s="4" t="n">
        <f aca="false">INDEX('Master List'!$G$2:$G$2594,O2407)</f>
        <v>0</v>
      </c>
      <c r="N2407" s="4" t="str">
        <f aca="false">IF(K2407="","",A2407)</f>
        <v/>
      </c>
      <c r="O2407" s="4" t="n">
        <v>20</v>
      </c>
      <c r="P2407" s="4" t="n">
        <f aca="false">IF(A2407=A2406,P2406+1-M2406,0)</f>
        <v>1</v>
      </c>
    </row>
    <row r="2408" customFormat="false" ht="15" hidden="false" customHeight="false" outlineLevel="0" collapsed="false">
      <c r="A2408" s="30" t="s">
        <v>4237</v>
      </c>
      <c r="B2408" s="30" t="s">
        <v>53</v>
      </c>
      <c r="C2408" s="30" t="s">
        <v>105</v>
      </c>
      <c r="D2408" s="30" t="s">
        <v>262</v>
      </c>
      <c r="E2408" s="4" t="n">
        <v>3</v>
      </c>
      <c r="F2408" s="4" t="s">
        <v>213</v>
      </c>
      <c r="G2408" s="4" t="s">
        <v>2476</v>
      </c>
      <c r="H2408" s="4" t="n">
        <v>1988</v>
      </c>
      <c r="I2408" s="4" t="s">
        <v>262</v>
      </c>
      <c r="J2408" s="25" t="str">
        <f aca="false">IF(M2408=1,"✓","")</f>
        <v/>
      </c>
      <c r="K2408" s="4" t="str">
        <f aca="false">IF(AND(M2408=0,P2408=0),"▶ NEXT","")</f>
        <v/>
      </c>
      <c r="L2408" s="4" t="n">
        <f aca="false">INDEX('Master List'!$F$2:$F$2594,O2408)</f>
        <v>1</v>
      </c>
      <c r="M2408" s="4" t="n">
        <f aca="false">INDEX('Master List'!$G$2:$G$2594,O2408)</f>
        <v>0</v>
      </c>
      <c r="N2408" s="4" t="str">
        <f aca="false">IF(K2408="","",A2408)</f>
        <v/>
      </c>
      <c r="O2408" s="4" t="n">
        <v>452</v>
      </c>
      <c r="P2408" s="4" t="n">
        <f aca="false">IF(A2408=A2407,P2407+1-M2407,0)</f>
        <v>2</v>
      </c>
    </row>
    <row r="2409" customFormat="false" ht="15" hidden="false" customHeight="false" outlineLevel="0" collapsed="false">
      <c r="A2409" s="30" t="s">
        <v>4237</v>
      </c>
      <c r="B2409" s="30" t="s">
        <v>53</v>
      </c>
      <c r="C2409" s="30" t="s">
        <v>105</v>
      </c>
      <c r="D2409" s="30" t="s">
        <v>262</v>
      </c>
      <c r="E2409" s="4" t="n">
        <v>4</v>
      </c>
      <c r="F2409" s="4" t="s">
        <v>213</v>
      </c>
      <c r="G2409" s="4" t="s">
        <v>2591</v>
      </c>
      <c r="H2409" s="4" t="n">
        <v>1994</v>
      </c>
      <c r="I2409" s="4" t="s">
        <v>262</v>
      </c>
      <c r="J2409" s="25" t="str">
        <f aca="false">IF(M2409=1,"✓","")</f>
        <v/>
      </c>
      <c r="K2409" s="4" t="str">
        <f aca="false">IF(AND(M2409=0,P2409=0),"▶ NEXT","")</f>
        <v/>
      </c>
      <c r="L2409" s="4" t="n">
        <f aca="false">INDEX('Master List'!$F$2:$F$2594,O2409)</f>
        <v>1</v>
      </c>
      <c r="M2409" s="4" t="n">
        <f aca="false">INDEX('Master List'!$G$2:$G$2594,O2409)</f>
        <v>0</v>
      </c>
      <c r="N2409" s="4" t="str">
        <f aca="false">IF(K2409="","",A2409)</f>
        <v/>
      </c>
      <c r="O2409" s="4" t="n">
        <v>1101</v>
      </c>
      <c r="P2409" s="4" t="n">
        <f aca="false">IF(A2409=A2408,P2408+1-M2408,0)</f>
        <v>3</v>
      </c>
    </row>
    <row r="2410" customFormat="false" ht="15" hidden="false" customHeight="false" outlineLevel="0" collapsed="false">
      <c r="A2410" s="30" t="s">
        <v>4237</v>
      </c>
      <c r="B2410" s="30" t="s">
        <v>53</v>
      </c>
      <c r="C2410" s="30" t="s">
        <v>105</v>
      </c>
      <c r="D2410" s="30" t="s">
        <v>262</v>
      </c>
      <c r="E2410" s="4" t="n">
        <v>5</v>
      </c>
      <c r="F2410" s="4" t="s">
        <v>213</v>
      </c>
      <c r="G2410" s="4" t="s">
        <v>2643</v>
      </c>
      <c r="H2410" s="4" t="n">
        <v>1996</v>
      </c>
      <c r="I2410" s="4" t="s">
        <v>262</v>
      </c>
      <c r="J2410" s="25" t="str">
        <f aca="false">IF(M2410=1,"✓","")</f>
        <v/>
      </c>
      <c r="K2410" s="4" t="str">
        <f aca="false">IF(AND(M2410=0,P2410=0),"▶ NEXT","")</f>
        <v/>
      </c>
      <c r="L2410" s="4" t="n">
        <f aca="false">INDEX('Master List'!$F$2:$F$2594,O2410)</f>
        <v>1</v>
      </c>
      <c r="M2410" s="4" t="n">
        <f aca="false">INDEX('Master List'!$G$2:$G$2594,O2410)</f>
        <v>0</v>
      </c>
      <c r="N2410" s="4" t="str">
        <f aca="false">IF(K2410="","",A2410)</f>
        <v/>
      </c>
      <c r="O2410" s="4" t="n">
        <v>1592</v>
      </c>
      <c r="P2410" s="4" t="n">
        <f aca="false">IF(A2410=A2409,P2409+1-M2409,0)</f>
        <v>4</v>
      </c>
    </row>
    <row r="2411" customFormat="false" ht="15" hidden="false" customHeight="false" outlineLevel="0" collapsed="false">
      <c r="A2411" s="30" t="s">
        <v>4237</v>
      </c>
      <c r="B2411" s="30" t="s">
        <v>53</v>
      </c>
      <c r="C2411" s="30" t="s">
        <v>105</v>
      </c>
      <c r="D2411" s="30" t="s">
        <v>262</v>
      </c>
      <c r="E2411" s="4" t="n">
        <v>6</v>
      </c>
      <c r="F2411" s="4" t="s">
        <v>213</v>
      </c>
      <c r="G2411" s="4" t="s">
        <v>2783</v>
      </c>
      <c r="H2411" s="4" t="n">
        <v>2002</v>
      </c>
      <c r="I2411" s="4" t="s">
        <v>262</v>
      </c>
      <c r="J2411" s="25" t="str">
        <f aca="false">IF(M2411=1,"✓","")</f>
        <v/>
      </c>
      <c r="K2411" s="4" t="str">
        <f aca="false">IF(AND(M2411=0,P2411=0),"▶ NEXT","")</f>
        <v/>
      </c>
      <c r="L2411" s="4" t="n">
        <f aca="false">INDEX('Master List'!$F$2:$F$2594,O2411)</f>
        <v>1</v>
      </c>
      <c r="M2411" s="4" t="n">
        <f aca="false">INDEX('Master List'!$G$2:$G$2594,O2411)</f>
        <v>0</v>
      </c>
      <c r="N2411" s="4" t="str">
        <f aca="false">IF(K2411="","",A2411)</f>
        <v/>
      </c>
      <c r="O2411" s="4" t="n">
        <v>856</v>
      </c>
      <c r="P2411" s="4" t="n">
        <f aca="false">IF(A2411=A2410,P2410+1-M2410,0)</f>
        <v>5</v>
      </c>
    </row>
    <row r="2412" customFormat="false" ht="15" hidden="false" customHeight="false" outlineLevel="0" collapsed="false">
      <c r="A2412" s="30" t="s">
        <v>4237</v>
      </c>
      <c r="B2412" s="30" t="s">
        <v>53</v>
      </c>
      <c r="C2412" s="30" t="s">
        <v>105</v>
      </c>
      <c r="D2412" s="30" t="s">
        <v>262</v>
      </c>
      <c r="E2412" s="4" t="n">
        <v>7</v>
      </c>
      <c r="F2412" s="4" t="s">
        <v>213</v>
      </c>
      <c r="G2412" s="4" t="s">
        <v>2929</v>
      </c>
      <c r="H2412" s="4" t="n">
        <v>2009</v>
      </c>
      <c r="I2412" s="4" t="s">
        <v>262</v>
      </c>
      <c r="J2412" s="25" t="str">
        <f aca="false">IF(M2412=1,"✓","")</f>
        <v/>
      </c>
      <c r="K2412" s="4" t="str">
        <f aca="false">IF(AND(M2412=0,P2412=0),"▶ NEXT","")</f>
        <v/>
      </c>
      <c r="L2412" s="4" t="n">
        <f aca="false">INDEX('Master List'!$F$2:$F$2594,O2412)</f>
        <v>1</v>
      </c>
      <c r="M2412" s="4" t="n">
        <f aca="false">INDEX('Master List'!$G$2:$G$2594,O2412)</f>
        <v>0</v>
      </c>
      <c r="N2412" s="4" t="str">
        <f aca="false">IF(K2412="","",A2412)</f>
        <v/>
      </c>
      <c r="O2412" s="4" t="n">
        <v>2504</v>
      </c>
      <c r="P2412" s="4" t="n">
        <f aca="false">IF(A2412=A2411,P2411+1-M2411,0)</f>
        <v>6</v>
      </c>
    </row>
    <row r="2413" customFormat="false" ht="15" hidden="false" customHeight="false" outlineLevel="0" collapsed="false">
      <c r="A2413" s="30" t="s">
        <v>4237</v>
      </c>
      <c r="B2413" s="30" t="s">
        <v>53</v>
      </c>
      <c r="C2413" s="30" t="s">
        <v>105</v>
      </c>
      <c r="D2413" s="30" t="s">
        <v>262</v>
      </c>
      <c r="E2413" s="4" t="n">
        <v>8</v>
      </c>
      <c r="F2413" s="4" t="s">
        <v>213</v>
      </c>
      <c r="G2413" s="4" t="s">
        <v>3035</v>
      </c>
      <c r="H2413" s="4" t="n">
        <v>2013</v>
      </c>
      <c r="I2413" s="4" t="s">
        <v>262</v>
      </c>
      <c r="J2413" s="25" t="str">
        <f aca="false">IF(M2413=1,"✓","")</f>
        <v/>
      </c>
      <c r="K2413" s="4" t="str">
        <f aca="false">IF(AND(M2413=0,P2413=0),"▶ NEXT","")</f>
        <v/>
      </c>
      <c r="L2413" s="4" t="n">
        <f aca="false">INDEX('Master List'!$F$2:$F$2594,O2413)</f>
        <v>1</v>
      </c>
      <c r="M2413" s="4" t="n">
        <f aca="false">INDEX('Master List'!$G$2:$G$2594,O2413)</f>
        <v>0</v>
      </c>
      <c r="N2413" s="4" t="str">
        <f aca="false">IF(K2413="","",A2413)</f>
        <v/>
      </c>
      <c r="O2413" s="4" t="n">
        <v>193</v>
      </c>
      <c r="P2413" s="4" t="n">
        <f aca="false">IF(A2413=A2412,P2412+1-M2412,0)</f>
        <v>7</v>
      </c>
    </row>
    <row r="2414" customFormat="false" ht="15" hidden="false" customHeight="false" outlineLevel="0" collapsed="false">
      <c r="A2414" s="30" t="s">
        <v>4237</v>
      </c>
      <c r="B2414" s="30" t="s">
        <v>53</v>
      </c>
      <c r="C2414" s="30" t="s">
        <v>105</v>
      </c>
      <c r="D2414" s="30" t="s">
        <v>262</v>
      </c>
      <c r="E2414" s="4" t="n">
        <v>9</v>
      </c>
      <c r="F2414" s="4" t="s">
        <v>213</v>
      </c>
      <c r="G2414" s="4" t="s">
        <v>1418</v>
      </c>
      <c r="H2414" s="4" t="n">
        <v>2018</v>
      </c>
      <c r="I2414" s="4" t="s">
        <v>262</v>
      </c>
      <c r="J2414" s="25" t="str">
        <f aca="false">IF(M2414=1,"✓","")</f>
        <v/>
      </c>
      <c r="K2414" s="4" t="str">
        <f aca="false">IF(AND(M2414=0,P2414=0),"▶ NEXT","")</f>
        <v/>
      </c>
      <c r="L2414" s="4" t="n">
        <f aca="false">INDEX('Master List'!$F$2:$F$2594,O2414)</f>
        <v>2</v>
      </c>
      <c r="M2414" s="4" t="n">
        <f aca="false">INDEX('Master List'!$G$2:$G$2594,O2414)</f>
        <v>0</v>
      </c>
      <c r="N2414" s="4" t="str">
        <f aca="false">IF(K2414="","",A2414)</f>
        <v/>
      </c>
      <c r="O2414" s="4" t="n">
        <v>1034</v>
      </c>
      <c r="P2414" s="4" t="n">
        <f aca="false">IF(A2414=A2413,P2413+1-M2413,0)</f>
        <v>8</v>
      </c>
    </row>
    <row r="2415" customFormat="false" ht="15" hidden="false" customHeight="false" outlineLevel="0" collapsed="false">
      <c r="A2415" s="30" t="s">
        <v>4237</v>
      </c>
      <c r="B2415" s="30" t="s">
        <v>53</v>
      </c>
      <c r="C2415" s="30" t="s">
        <v>105</v>
      </c>
      <c r="D2415" s="30" t="s">
        <v>262</v>
      </c>
      <c r="E2415" s="4" t="n">
        <v>10</v>
      </c>
      <c r="F2415" s="4" t="s">
        <v>1327</v>
      </c>
      <c r="G2415" s="4" t="s">
        <v>1393</v>
      </c>
      <c r="H2415" s="4" t="n">
        <v>2001</v>
      </c>
      <c r="I2415" s="4" t="s">
        <v>262</v>
      </c>
      <c r="J2415" s="25" t="str">
        <f aca="false">IF(M2415=1,"✓","")</f>
        <v/>
      </c>
      <c r="K2415" s="4" t="str">
        <f aca="false">IF(AND(M2415=0,P2415=0),"▶ NEXT","")</f>
        <v/>
      </c>
      <c r="L2415" s="4" t="n">
        <f aca="false">INDEX('Master List'!$F$2:$F$2594,O2415)</f>
        <v>2</v>
      </c>
      <c r="M2415" s="4" t="n">
        <f aca="false">INDEX('Master List'!$G$2:$G$2594,O2415)</f>
        <v>0</v>
      </c>
      <c r="N2415" s="4" t="str">
        <f aca="false">IF(K2415="","",A2415)</f>
        <v/>
      </c>
      <c r="O2415" s="4" t="n">
        <v>2376</v>
      </c>
      <c r="P2415" s="4" t="n">
        <f aca="false">IF(A2415=A2414,P2414+1-M2414,0)</f>
        <v>9</v>
      </c>
    </row>
    <row r="2416" customFormat="false" ht="15" hidden="false" customHeight="false" outlineLevel="0" collapsed="false">
      <c r="A2416" s="30" t="s">
        <v>4237</v>
      </c>
      <c r="B2416" s="30" t="s">
        <v>53</v>
      </c>
      <c r="C2416" s="30" t="s">
        <v>105</v>
      </c>
      <c r="D2416" s="30" t="s">
        <v>262</v>
      </c>
      <c r="E2416" s="4" t="n">
        <v>11</v>
      </c>
      <c r="F2416" s="4" t="s">
        <v>1327</v>
      </c>
      <c r="G2416" s="4" t="s">
        <v>3744</v>
      </c>
      <c r="H2416" s="4" t="n">
        <v>2004</v>
      </c>
      <c r="I2416" s="4" t="s">
        <v>262</v>
      </c>
      <c r="J2416" s="25" t="str">
        <f aca="false">IF(M2416=1,"✓","")</f>
        <v/>
      </c>
      <c r="K2416" s="4" t="str">
        <f aca="false">IF(AND(M2416=0,P2416=0),"▶ NEXT","")</f>
        <v/>
      </c>
      <c r="L2416" s="4" t="n">
        <f aca="false">INDEX('Master List'!$F$2:$F$2594,O2416)</f>
        <v>1</v>
      </c>
      <c r="M2416" s="4" t="n">
        <f aca="false">INDEX('Master List'!$G$2:$G$2594,O2416)</f>
        <v>0</v>
      </c>
      <c r="N2416" s="4" t="str">
        <f aca="false">IF(K2416="","",A2416)</f>
        <v/>
      </c>
      <c r="O2416" s="4" t="n">
        <v>1159</v>
      </c>
      <c r="P2416" s="4" t="n">
        <f aca="false">IF(A2416=A2415,P2415+1-M2415,0)</f>
        <v>10</v>
      </c>
    </row>
    <row r="2417" customFormat="false" ht="15" hidden="false" customHeight="false" outlineLevel="0" collapsed="false">
      <c r="A2417" s="30" t="s">
        <v>4238</v>
      </c>
      <c r="B2417" s="30" t="s">
        <v>53</v>
      </c>
      <c r="C2417" s="30" t="s">
        <v>105</v>
      </c>
      <c r="D2417" s="30" t="s">
        <v>516</v>
      </c>
      <c r="E2417" s="4" t="n">
        <v>1</v>
      </c>
      <c r="F2417" s="4" t="s">
        <v>144</v>
      </c>
      <c r="G2417" s="7" t="s">
        <v>515</v>
      </c>
      <c r="H2417" s="4" t="n">
        <v>2005</v>
      </c>
      <c r="I2417" s="4" t="s">
        <v>516</v>
      </c>
      <c r="J2417" s="25" t="str">
        <f aca="false">IF(M2417=1,"✓","")</f>
        <v/>
      </c>
      <c r="K2417" s="4" t="str">
        <f aca="false">IF(AND(M2417=0,P2417=0),"▶ NEXT","")</f>
        <v>▶ NEXT</v>
      </c>
      <c r="L2417" s="4" t="n">
        <f aca="false">INDEX('Master List'!$F$2:$F$2594,O2417)</f>
        <v>3</v>
      </c>
      <c r="M2417" s="4" t="n">
        <f aca="false">INDEX('Master List'!$G$2:$G$2594,O2417)</f>
        <v>0</v>
      </c>
      <c r="N2417" s="4" t="str">
        <f aca="false">IF(K2417="","",A2417)</f>
        <v>N202</v>
      </c>
      <c r="O2417" s="4" t="n">
        <v>379</v>
      </c>
      <c r="P2417" s="4" t="n">
        <f aca="false">IF(A2417=A2416,P2416+1-M2416,0)</f>
        <v>0</v>
      </c>
    </row>
    <row r="2418" customFormat="false" ht="15" hidden="false" customHeight="false" outlineLevel="0" collapsed="false">
      <c r="A2418" s="30" t="s">
        <v>4238</v>
      </c>
      <c r="B2418" s="30" t="s">
        <v>53</v>
      </c>
      <c r="C2418" s="30" t="s">
        <v>105</v>
      </c>
      <c r="D2418" s="30" t="s">
        <v>516</v>
      </c>
      <c r="E2418" s="4" t="n">
        <v>2</v>
      </c>
      <c r="F2418" s="4" t="s">
        <v>144</v>
      </c>
      <c r="G2418" s="7" t="s">
        <v>868</v>
      </c>
      <c r="H2418" s="4" t="n">
        <v>2009</v>
      </c>
      <c r="I2418" s="4" t="s">
        <v>516</v>
      </c>
      <c r="J2418" s="25" t="str">
        <f aca="false">IF(M2418=1,"✓","")</f>
        <v/>
      </c>
      <c r="K2418" s="4" t="str">
        <f aca="false">IF(AND(M2418=0,P2418=0),"▶ NEXT","")</f>
        <v/>
      </c>
      <c r="L2418" s="4" t="n">
        <f aca="false">INDEX('Master List'!$F$2:$F$2594,O2418)</f>
        <v>2</v>
      </c>
      <c r="M2418" s="4" t="n">
        <f aca="false">INDEX('Master List'!$G$2:$G$2594,O2418)</f>
        <v>0</v>
      </c>
      <c r="N2418" s="4" t="str">
        <f aca="false">IF(K2418="","",A2418)</f>
        <v/>
      </c>
      <c r="O2418" s="4" t="n">
        <v>2506</v>
      </c>
      <c r="P2418" s="4" t="n">
        <f aca="false">IF(A2418=A2417,P2417+1-M2417,0)</f>
        <v>1</v>
      </c>
    </row>
    <row r="2419" customFormat="false" ht="15" hidden="false" customHeight="false" outlineLevel="0" collapsed="false">
      <c r="A2419" s="30" t="s">
        <v>4238</v>
      </c>
      <c r="B2419" s="30" t="s">
        <v>53</v>
      </c>
      <c r="C2419" s="30" t="s">
        <v>105</v>
      </c>
      <c r="D2419" s="30" t="s">
        <v>516</v>
      </c>
      <c r="E2419" s="4" t="n">
        <v>3</v>
      </c>
      <c r="F2419" s="4" t="s">
        <v>213</v>
      </c>
      <c r="G2419" s="4" t="s">
        <v>1092</v>
      </c>
      <c r="H2419" s="4" t="n">
        <v>1989</v>
      </c>
      <c r="I2419" s="4" t="s">
        <v>516</v>
      </c>
      <c r="J2419" s="25" t="str">
        <f aca="false">IF(M2419=1,"✓","")</f>
        <v/>
      </c>
      <c r="K2419" s="4" t="str">
        <f aca="false">IF(AND(M2419=0,P2419=0),"▶ NEXT","")</f>
        <v/>
      </c>
      <c r="L2419" s="4" t="n">
        <f aca="false">INDEX('Master List'!$F$2:$F$2594,O2419)</f>
        <v>2</v>
      </c>
      <c r="M2419" s="4" t="n">
        <f aca="false">INDEX('Master List'!$G$2:$G$2594,O2419)</f>
        <v>0</v>
      </c>
      <c r="N2419" s="4" t="str">
        <f aca="false">IF(K2419="","",A2419)</f>
        <v/>
      </c>
      <c r="O2419" s="4" t="n">
        <v>2024</v>
      </c>
      <c r="P2419" s="4" t="n">
        <f aca="false">IF(A2419=A2418,P2418+1-M2418,0)</f>
        <v>2</v>
      </c>
    </row>
    <row r="2420" customFormat="false" ht="15" hidden="false" customHeight="false" outlineLevel="0" collapsed="false">
      <c r="A2420" s="30" t="s">
        <v>4238</v>
      </c>
      <c r="B2420" s="30" t="s">
        <v>53</v>
      </c>
      <c r="C2420" s="30" t="s">
        <v>105</v>
      </c>
      <c r="D2420" s="30" t="s">
        <v>516</v>
      </c>
      <c r="E2420" s="4" t="n">
        <v>4</v>
      </c>
      <c r="F2420" s="4" t="s">
        <v>213</v>
      </c>
      <c r="G2420" s="4" t="s">
        <v>2546</v>
      </c>
      <c r="H2420" s="4" t="n">
        <v>1992</v>
      </c>
      <c r="I2420" s="4" t="s">
        <v>516</v>
      </c>
      <c r="J2420" s="25" t="str">
        <f aca="false">IF(M2420=1,"✓","")</f>
        <v/>
      </c>
      <c r="K2420" s="4" t="str">
        <f aca="false">IF(AND(M2420=0,P2420=0),"▶ NEXT","")</f>
        <v/>
      </c>
      <c r="L2420" s="4" t="n">
        <f aca="false">INDEX('Master List'!$F$2:$F$2594,O2420)</f>
        <v>1</v>
      </c>
      <c r="M2420" s="4" t="n">
        <f aca="false">INDEX('Master List'!$G$2:$G$2594,O2420)</f>
        <v>0</v>
      </c>
      <c r="N2420" s="4" t="str">
        <f aca="false">IF(K2420="","",A2420)</f>
        <v/>
      </c>
      <c r="O2420" s="4" t="n">
        <v>225</v>
      </c>
      <c r="P2420" s="4" t="n">
        <f aca="false">IF(A2420=A2419,P2419+1-M2419,0)</f>
        <v>3</v>
      </c>
    </row>
    <row r="2421" customFormat="false" ht="15" hidden="false" customHeight="false" outlineLevel="0" collapsed="false">
      <c r="A2421" s="30" t="s">
        <v>4238</v>
      </c>
      <c r="B2421" s="30" t="s">
        <v>53</v>
      </c>
      <c r="C2421" s="30" t="s">
        <v>105</v>
      </c>
      <c r="D2421" s="30" t="s">
        <v>516</v>
      </c>
      <c r="E2421" s="4" t="n">
        <v>5</v>
      </c>
      <c r="F2421" s="4" t="s">
        <v>213</v>
      </c>
      <c r="G2421" s="4" t="s">
        <v>1389</v>
      </c>
      <c r="H2421" s="4" t="n">
        <v>1994</v>
      </c>
      <c r="I2421" s="4" t="s">
        <v>516</v>
      </c>
      <c r="J2421" s="25" t="str">
        <f aca="false">IF(M2421=1,"✓","")</f>
        <v/>
      </c>
      <c r="K2421" s="4" t="str">
        <f aca="false">IF(AND(M2421=0,P2421=0),"▶ NEXT","")</f>
        <v/>
      </c>
      <c r="L2421" s="4" t="n">
        <f aca="false">INDEX('Master List'!$F$2:$F$2594,O2421)</f>
        <v>2</v>
      </c>
      <c r="M2421" s="4" t="n">
        <f aca="false">INDEX('Master List'!$G$2:$G$2594,O2421)</f>
        <v>0</v>
      </c>
      <c r="N2421" s="4" t="str">
        <f aca="false">IF(K2421="","",A2421)</f>
        <v/>
      </c>
      <c r="O2421" s="4" t="n">
        <v>30</v>
      </c>
      <c r="P2421" s="4" t="n">
        <f aca="false">IF(A2421=A2420,P2420+1-M2420,0)</f>
        <v>4</v>
      </c>
    </row>
    <row r="2422" customFormat="false" ht="15" hidden="false" customHeight="false" outlineLevel="0" collapsed="false">
      <c r="A2422" s="30" t="s">
        <v>4238</v>
      </c>
      <c r="B2422" s="30" t="s">
        <v>53</v>
      </c>
      <c r="C2422" s="30" t="s">
        <v>105</v>
      </c>
      <c r="D2422" s="30" t="s">
        <v>516</v>
      </c>
      <c r="E2422" s="4" t="n">
        <v>6</v>
      </c>
      <c r="F2422" s="4" t="s">
        <v>213</v>
      </c>
      <c r="G2422" s="4" t="s">
        <v>1117</v>
      </c>
      <c r="H2422" s="4" t="n">
        <v>1997</v>
      </c>
      <c r="I2422" s="4" t="s">
        <v>516</v>
      </c>
      <c r="J2422" s="25" t="str">
        <f aca="false">IF(M2422=1,"✓","")</f>
        <v>✓</v>
      </c>
      <c r="K2422" s="4" t="str">
        <f aca="false">IF(AND(M2422=0,P2422=0),"▶ NEXT","")</f>
        <v/>
      </c>
      <c r="L2422" s="4" t="n">
        <f aca="false">INDEX('Master List'!$F$2:$F$2594,O2422)</f>
        <v>2</v>
      </c>
      <c r="M2422" s="4" t="n">
        <f aca="false">INDEX('Master List'!$G$2:$G$2594,O2422)</f>
        <v>1</v>
      </c>
      <c r="N2422" s="4" t="str">
        <f aca="false">IF(K2422="","",A2422)</f>
        <v/>
      </c>
      <c r="O2422" s="4" t="n">
        <v>871</v>
      </c>
      <c r="P2422" s="4" t="n">
        <f aca="false">IF(A2422=A2421,P2421+1-M2421,0)</f>
        <v>5</v>
      </c>
    </row>
    <row r="2423" customFormat="false" ht="15" hidden="false" customHeight="false" outlineLevel="0" collapsed="false">
      <c r="A2423" s="30" t="s">
        <v>4238</v>
      </c>
      <c r="B2423" s="30" t="s">
        <v>53</v>
      </c>
      <c r="C2423" s="30" t="s">
        <v>105</v>
      </c>
      <c r="D2423" s="30" t="s">
        <v>516</v>
      </c>
      <c r="E2423" s="4" t="n">
        <v>7</v>
      </c>
      <c r="F2423" s="4" t="s">
        <v>213</v>
      </c>
      <c r="G2423" s="4" t="s">
        <v>1142</v>
      </c>
      <c r="H2423" s="4" t="n">
        <v>2000</v>
      </c>
      <c r="I2423" s="4" t="s">
        <v>516</v>
      </c>
      <c r="J2423" s="25" t="str">
        <f aca="false">IF(M2423=1,"✓","")</f>
        <v/>
      </c>
      <c r="K2423" s="4" t="str">
        <f aca="false">IF(AND(M2423=0,P2423=0),"▶ NEXT","")</f>
        <v/>
      </c>
      <c r="L2423" s="4" t="n">
        <f aca="false">INDEX('Master List'!$F$2:$F$2594,O2423)</f>
        <v>2</v>
      </c>
      <c r="M2423" s="4" t="n">
        <f aca="false">INDEX('Master List'!$G$2:$G$2594,O2423)</f>
        <v>0</v>
      </c>
      <c r="N2423" s="4" t="str">
        <f aca="false">IF(K2423="","",A2423)</f>
        <v/>
      </c>
      <c r="O2423" s="4" t="n">
        <v>489</v>
      </c>
      <c r="P2423" s="4" t="n">
        <f aca="false">IF(A2423=A2422,P2422+1-M2422,0)</f>
        <v>5</v>
      </c>
    </row>
    <row r="2424" customFormat="false" ht="15" hidden="false" customHeight="false" outlineLevel="0" collapsed="false">
      <c r="A2424" s="30" t="s">
        <v>4238</v>
      </c>
      <c r="B2424" s="30" t="s">
        <v>53</v>
      </c>
      <c r="C2424" s="30" t="s">
        <v>105</v>
      </c>
      <c r="D2424" s="30" t="s">
        <v>516</v>
      </c>
      <c r="E2424" s="4" t="n">
        <v>8</v>
      </c>
      <c r="F2424" s="4" t="s">
        <v>213</v>
      </c>
      <c r="G2424" s="4" t="s">
        <v>1143</v>
      </c>
      <c r="H2424" s="4" t="n">
        <v>2001</v>
      </c>
      <c r="I2424" s="4" t="s">
        <v>516</v>
      </c>
      <c r="J2424" s="25" t="str">
        <f aca="false">IF(M2424=1,"✓","")</f>
        <v/>
      </c>
      <c r="K2424" s="4" t="str">
        <f aca="false">IF(AND(M2424=0,P2424=0),"▶ NEXT","")</f>
        <v/>
      </c>
      <c r="L2424" s="4" t="n">
        <f aca="false">INDEX('Master List'!$F$2:$F$2594,O2424)</f>
        <v>2</v>
      </c>
      <c r="M2424" s="4" t="n">
        <f aca="false">INDEX('Master List'!$G$2:$G$2594,O2424)</f>
        <v>0</v>
      </c>
      <c r="N2424" s="4" t="str">
        <f aca="false">IF(K2424="","",A2424)</f>
        <v/>
      </c>
      <c r="O2424" s="4" t="n">
        <v>1761</v>
      </c>
      <c r="P2424" s="4" t="n">
        <f aca="false">IF(A2424=A2423,P2423+1-M2423,0)</f>
        <v>6</v>
      </c>
    </row>
    <row r="2425" customFormat="false" ht="15" hidden="false" customHeight="false" outlineLevel="0" collapsed="false">
      <c r="A2425" s="30" t="s">
        <v>4238</v>
      </c>
      <c r="B2425" s="30" t="s">
        <v>53</v>
      </c>
      <c r="C2425" s="30" t="s">
        <v>105</v>
      </c>
      <c r="D2425" s="30" t="s">
        <v>516</v>
      </c>
      <c r="E2425" s="4" t="n">
        <v>9</v>
      </c>
      <c r="F2425" s="4" t="s">
        <v>213</v>
      </c>
      <c r="G2425" s="4" t="s">
        <v>1203</v>
      </c>
      <c r="H2425" s="4" t="n">
        <v>2012</v>
      </c>
      <c r="I2425" s="4" t="s">
        <v>516</v>
      </c>
      <c r="J2425" s="25" t="str">
        <f aca="false">IF(M2425=1,"✓","")</f>
        <v/>
      </c>
      <c r="K2425" s="4" t="str">
        <f aca="false">IF(AND(M2425=0,P2425=0),"▶ NEXT","")</f>
        <v/>
      </c>
      <c r="L2425" s="4" t="n">
        <f aca="false">INDEX('Master List'!$F$2:$F$2594,O2425)</f>
        <v>2</v>
      </c>
      <c r="M2425" s="4" t="n">
        <f aca="false">INDEX('Master List'!$G$2:$G$2594,O2425)</f>
        <v>0</v>
      </c>
      <c r="N2425" s="4" t="str">
        <f aca="false">IF(K2425="","",A2425)</f>
        <v/>
      </c>
      <c r="O2425" s="4" t="n">
        <v>96</v>
      </c>
      <c r="P2425" s="4" t="n">
        <f aca="false">IF(A2425=A2424,P2424+1-M2424,0)</f>
        <v>7</v>
      </c>
    </row>
    <row r="2426" customFormat="false" ht="15" hidden="false" customHeight="false" outlineLevel="0" collapsed="false">
      <c r="A2426" s="30" t="s">
        <v>4238</v>
      </c>
      <c r="B2426" s="30" t="s">
        <v>53</v>
      </c>
      <c r="C2426" s="30" t="s">
        <v>105</v>
      </c>
      <c r="D2426" s="30" t="s">
        <v>516</v>
      </c>
      <c r="E2426" s="4" t="n">
        <v>10</v>
      </c>
      <c r="F2426" s="4" t="s">
        <v>1327</v>
      </c>
      <c r="G2426" s="4" t="s">
        <v>3840</v>
      </c>
      <c r="H2426" s="4" t="n">
        <v>2017</v>
      </c>
      <c r="I2426" s="4" t="s">
        <v>516</v>
      </c>
      <c r="J2426" s="25" t="str">
        <f aca="false">IF(M2426=1,"✓","")</f>
        <v/>
      </c>
      <c r="K2426" s="4" t="str">
        <f aca="false">IF(AND(M2426=0,P2426=0),"▶ NEXT","")</f>
        <v/>
      </c>
      <c r="L2426" s="4" t="n">
        <f aca="false">INDEX('Master List'!$F$2:$F$2594,O2426)</f>
        <v>1</v>
      </c>
      <c r="M2426" s="4" t="n">
        <f aca="false">INDEX('Master List'!$G$2:$G$2594,O2426)</f>
        <v>0</v>
      </c>
      <c r="N2426" s="4" t="str">
        <f aca="false">IF(K2426="","",A2426)</f>
        <v/>
      </c>
      <c r="O2426" s="4" t="n">
        <v>988</v>
      </c>
      <c r="P2426" s="4" t="n">
        <f aca="false">IF(A2426=A2425,P2425+1-M2425,0)</f>
        <v>8</v>
      </c>
    </row>
    <row r="2427" customFormat="false" ht="15" hidden="false" customHeight="false" outlineLevel="0" collapsed="false">
      <c r="A2427" s="30" t="s">
        <v>4239</v>
      </c>
      <c r="B2427" s="30" t="s">
        <v>53</v>
      </c>
      <c r="C2427" s="30" t="s">
        <v>105</v>
      </c>
      <c r="D2427" s="30" t="s">
        <v>4240</v>
      </c>
      <c r="E2427" s="4" t="n">
        <v>1</v>
      </c>
      <c r="F2427" s="4" t="s">
        <v>144</v>
      </c>
      <c r="G2427" s="7" t="s">
        <v>1154</v>
      </c>
      <c r="H2427" s="4" t="n">
        <v>2002</v>
      </c>
      <c r="I2427" s="4" t="s">
        <v>1155</v>
      </c>
      <c r="J2427" s="25" t="str">
        <f aca="false">IF(M2427=1,"✓","")</f>
        <v/>
      </c>
      <c r="K2427" s="4" t="str">
        <f aca="false">IF(AND(M2427=0,P2427=0),"▶ NEXT","")</f>
        <v>▶ NEXT</v>
      </c>
      <c r="L2427" s="4" t="n">
        <f aca="false">INDEX('Master List'!$F$2:$F$2594,O2427)</f>
        <v>2</v>
      </c>
      <c r="M2427" s="4" t="n">
        <f aca="false">INDEX('Master List'!$G$2:$G$2594,O2427)</f>
        <v>0</v>
      </c>
      <c r="N2427" s="4" t="str">
        <f aca="false">IF(K2427="","",A2427)</f>
        <v>N203</v>
      </c>
      <c r="O2427" s="4" t="n">
        <v>1435</v>
      </c>
      <c r="P2427" s="4" t="n">
        <f aca="false">IF(A2427=A2426,P2426+1-M2426,0)</f>
        <v>0</v>
      </c>
    </row>
    <row r="2428" customFormat="false" ht="15" hidden="false" customHeight="false" outlineLevel="0" collapsed="false">
      <c r="A2428" s="30" t="s">
        <v>4239</v>
      </c>
      <c r="B2428" s="30" t="s">
        <v>53</v>
      </c>
      <c r="C2428" s="30" t="s">
        <v>105</v>
      </c>
      <c r="D2428" s="30" t="s">
        <v>4240</v>
      </c>
      <c r="E2428" s="4" t="n">
        <v>2</v>
      </c>
      <c r="F2428" s="4" t="s">
        <v>144</v>
      </c>
      <c r="G2428" s="7" t="s">
        <v>630</v>
      </c>
      <c r="H2428" s="4" t="n">
        <v>2000</v>
      </c>
      <c r="I2428" s="4" t="s">
        <v>631</v>
      </c>
      <c r="J2428" s="25" t="str">
        <f aca="false">IF(M2428=1,"✓","")</f>
        <v/>
      </c>
      <c r="K2428" s="4" t="str">
        <f aca="false">IF(AND(M2428=0,P2428=0),"▶ NEXT","")</f>
        <v/>
      </c>
      <c r="L2428" s="4" t="n">
        <f aca="false">INDEX('Master List'!$F$2:$F$2594,O2428)</f>
        <v>3</v>
      </c>
      <c r="M2428" s="4" t="n">
        <f aca="false">INDEX('Master List'!$G$2:$G$2594,O2428)</f>
        <v>0</v>
      </c>
      <c r="N2428" s="4" t="str">
        <f aca="false">IF(K2428="","",A2428)</f>
        <v/>
      </c>
      <c r="O2428" s="4" t="n">
        <v>2113</v>
      </c>
      <c r="P2428" s="4" t="n">
        <f aca="false">IF(A2428=A2427,P2427+1-M2427,0)</f>
        <v>1</v>
      </c>
    </row>
    <row r="2429" customFormat="false" ht="15" hidden="false" customHeight="false" outlineLevel="0" collapsed="false">
      <c r="A2429" s="30" t="s">
        <v>4239</v>
      </c>
      <c r="B2429" s="30" t="s">
        <v>53</v>
      </c>
      <c r="C2429" s="30" t="s">
        <v>105</v>
      </c>
      <c r="D2429" s="30" t="s">
        <v>4240</v>
      </c>
      <c r="E2429" s="4" t="n">
        <v>3</v>
      </c>
      <c r="F2429" s="4" t="s">
        <v>213</v>
      </c>
      <c r="G2429" s="4" t="s">
        <v>2477</v>
      </c>
      <c r="H2429" s="4" t="n">
        <v>1988</v>
      </c>
      <c r="I2429" s="4" t="s">
        <v>1155</v>
      </c>
      <c r="J2429" s="25" t="str">
        <f aca="false">IF(M2429=1,"✓","")</f>
        <v/>
      </c>
      <c r="K2429" s="4" t="str">
        <f aca="false">IF(AND(M2429=0,P2429=0),"▶ NEXT","")</f>
        <v/>
      </c>
      <c r="L2429" s="4" t="n">
        <f aca="false">INDEX('Master List'!$F$2:$F$2594,O2429)</f>
        <v>1</v>
      </c>
      <c r="M2429" s="4" t="n">
        <f aca="false">INDEX('Master List'!$G$2:$G$2594,O2429)</f>
        <v>0</v>
      </c>
      <c r="N2429" s="4" t="str">
        <f aca="false">IF(K2429="","",A2429)</f>
        <v/>
      </c>
      <c r="O2429" s="4" t="n">
        <v>128</v>
      </c>
      <c r="P2429" s="4" t="n">
        <f aca="false">IF(A2429=A2428,P2428+1-M2428,0)</f>
        <v>2</v>
      </c>
    </row>
    <row r="2430" customFormat="false" ht="15" hidden="false" customHeight="false" outlineLevel="0" collapsed="false">
      <c r="A2430" s="30" t="s">
        <v>4239</v>
      </c>
      <c r="B2430" s="30" t="s">
        <v>53</v>
      </c>
      <c r="C2430" s="30" t="s">
        <v>105</v>
      </c>
      <c r="D2430" s="30" t="s">
        <v>4240</v>
      </c>
      <c r="E2430" s="4" t="n">
        <v>4</v>
      </c>
      <c r="F2430" s="4" t="s">
        <v>213</v>
      </c>
      <c r="G2430" s="4" t="s">
        <v>2438</v>
      </c>
      <c r="H2430" s="4" t="n">
        <v>1986</v>
      </c>
      <c r="I2430" s="4" t="s">
        <v>1155</v>
      </c>
      <c r="J2430" s="25" t="str">
        <f aca="false">IF(M2430=1,"✓","")</f>
        <v/>
      </c>
      <c r="K2430" s="4" t="str">
        <f aca="false">IF(AND(M2430=0,P2430=0),"▶ NEXT","")</f>
        <v/>
      </c>
      <c r="L2430" s="4" t="n">
        <f aca="false">INDEX('Master List'!$F$2:$F$2594,O2430)</f>
        <v>1</v>
      </c>
      <c r="M2430" s="4" t="n">
        <f aca="false">INDEX('Master List'!$G$2:$G$2594,O2430)</f>
        <v>0</v>
      </c>
      <c r="N2430" s="4" t="str">
        <f aca="false">IF(K2430="","",A2430)</f>
        <v/>
      </c>
      <c r="O2430" s="4" t="n">
        <v>2030</v>
      </c>
      <c r="P2430" s="4" t="n">
        <f aca="false">IF(A2430=A2429,P2429+1-M2429,0)</f>
        <v>3</v>
      </c>
    </row>
    <row r="2431" customFormat="false" ht="15" hidden="false" customHeight="false" outlineLevel="0" collapsed="false">
      <c r="A2431" s="30" t="s">
        <v>4239</v>
      </c>
      <c r="B2431" s="30" t="s">
        <v>53</v>
      </c>
      <c r="C2431" s="30" t="s">
        <v>105</v>
      </c>
      <c r="D2431" s="30" t="s">
        <v>4240</v>
      </c>
      <c r="E2431" s="4" t="n">
        <v>5</v>
      </c>
      <c r="F2431" s="4" t="s">
        <v>213</v>
      </c>
      <c r="G2431" s="4" t="s">
        <v>2513</v>
      </c>
      <c r="H2431" s="4" t="n">
        <v>1990</v>
      </c>
      <c r="I2431" s="4" t="s">
        <v>1155</v>
      </c>
      <c r="J2431" s="25" t="str">
        <f aca="false">IF(M2431=1,"✓","")</f>
        <v/>
      </c>
      <c r="K2431" s="4" t="str">
        <f aca="false">IF(AND(M2431=0,P2431=0),"▶ NEXT","")</f>
        <v/>
      </c>
      <c r="L2431" s="4" t="n">
        <f aca="false">INDEX('Master List'!$F$2:$F$2594,O2431)</f>
        <v>1</v>
      </c>
      <c r="M2431" s="4" t="n">
        <f aca="false">INDEX('Master List'!$G$2:$G$2594,O2431)</f>
        <v>0</v>
      </c>
      <c r="N2431" s="4" t="str">
        <f aca="false">IF(K2431="","",A2431)</f>
        <v/>
      </c>
      <c r="O2431" s="4" t="n">
        <v>1461</v>
      </c>
      <c r="P2431" s="4" t="n">
        <f aca="false">IF(A2431=A2430,P2430+1-M2430,0)</f>
        <v>4</v>
      </c>
    </row>
    <row r="2432" customFormat="false" ht="15" hidden="false" customHeight="false" outlineLevel="0" collapsed="false">
      <c r="A2432" s="30" t="s">
        <v>4239</v>
      </c>
      <c r="B2432" s="30" t="s">
        <v>53</v>
      </c>
      <c r="C2432" s="30" t="s">
        <v>105</v>
      </c>
      <c r="D2432" s="30" t="s">
        <v>4240</v>
      </c>
      <c r="E2432" s="4" t="n">
        <v>6</v>
      </c>
      <c r="F2432" s="4" t="s">
        <v>213</v>
      </c>
      <c r="G2432" s="4" t="s">
        <v>2644</v>
      </c>
      <c r="H2432" s="4" t="n">
        <v>1996</v>
      </c>
      <c r="I2432" s="4" t="s">
        <v>1155</v>
      </c>
      <c r="J2432" s="25" t="str">
        <f aca="false">IF(M2432=1,"✓","")</f>
        <v/>
      </c>
      <c r="K2432" s="4" t="str">
        <f aca="false">IF(AND(M2432=0,P2432=0),"▶ NEXT","")</f>
        <v/>
      </c>
      <c r="L2432" s="4" t="n">
        <f aca="false">INDEX('Master List'!$F$2:$F$2594,O2432)</f>
        <v>1</v>
      </c>
      <c r="M2432" s="4" t="n">
        <f aca="false">INDEX('Master List'!$G$2:$G$2594,O2432)</f>
        <v>0</v>
      </c>
      <c r="N2432" s="4" t="str">
        <f aca="false">IF(K2432="","",A2432)</f>
        <v/>
      </c>
      <c r="O2432" s="4" t="n">
        <v>678</v>
      </c>
      <c r="P2432" s="4" t="n">
        <f aca="false">IF(A2432=A2431,P2431+1-M2431,0)</f>
        <v>5</v>
      </c>
    </row>
    <row r="2433" customFormat="false" ht="15" hidden="false" customHeight="false" outlineLevel="0" collapsed="false">
      <c r="A2433" s="30" t="s">
        <v>4239</v>
      </c>
      <c r="B2433" s="30" t="s">
        <v>53</v>
      </c>
      <c r="C2433" s="30" t="s">
        <v>105</v>
      </c>
      <c r="D2433" s="30" t="s">
        <v>4240</v>
      </c>
      <c r="E2433" s="4" t="n">
        <v>7</v>
      </c>
      <c r="F2433" s="4" t="s">
        <v>213</v>
      </c>
      <c r="G2433" s="4" t="s">
        <v>2977</v>
      </c>
      <c r="H2433" s="4" t="n">
        <v>2011</v>
      </c>
      <c r="I2433" s="4" t="s">
        <v>1155</v>
      </c>
      <c r="J2433" s="25" t="str">
        <f aca="false">IF(M2433=1,"✓","")</f>
        <v/>
      </c>
      <c r="K2433" s="4" t="str">
        <f aca="false">IF(AND(M2433=0,P2433=0),"▶ NEXT","")</f>
        <v/>
      </c>
      <c r="L2433" s="4" t="n">
        <f aca="false">INDEX('Master List'!$F$2:$F$2594,O2433)</f>
        <v>1</v>
      </c>
      <c r="M2433" s="4" t="n">
        <f aca="false">INDEX('Master List'!$G$2:$G$2594,O2433)</f>
        <v>0</v>
      </c>
      <c r="N2433" s="4" t="str">
        <f aca="false">IF(K2433="","",A2433)</f>
        <v/>
      </c>
      <c r="O2433" s="4" t="n">
        <v>1003</v>
      </c>
      <c r="P2433" s="4" t="n">
        <f aca="false">IF(A2433=A2432,P2432+1-M2432,0)</f>
        <v>6</v>
      </c>
    </row>
    <row r="2434" customFormat="false" ht="15" hidden="false" customHeight="false" outlineLevel="0" collapsed="false">
      <c r="A2434" s="30" t="s">
        <v>4239</v>
      </c>
      <c r="B2434" s="30" t="s">
        <v>53</v>
      </c>
      <c r="C2434" s="30" t="s">
        <v>105</v>
      </c>
      <c r="D2434" s="30" t="s">
        <v>4240</v>
      </c>
      <c r="E2434" s="4" t="n">
        <v>8</v>
      </c>
      <c r="F2434" s="4" t="s">
        <v>213</v>
      </c>
      <c r="G2434" s="4" t="s">
        <v>1424</v>
      </c>
      <c r="H2434" s="4" t="n">
        <v>2023</v>
      </c>
      <c r="I2434" s="4" t="s">
        <v>1155</v>
      </c>
      <c r="J2434" s="25" t="str">
        <f aca="false">IF(M2434=1,"✓","")</f>
        <v/>
      </c>
      <c r="K2434" s="4" t="str">
        <f aca="false">IF(AND(M2434=0,P2434=0),"▶ NEXT","")</f>
        <v/>
      </c>
      <c r="L2434" s="4" t="n">
        <f aca="false">INDEX('Master List'!$F$2:$F$2594,O2434)</f>
        <v>2</v>
      </c>
      <c r="M2434" s="4" t="n">
        <f aca="false">INDEX('Master List'!$G$2:$G$2594,O2434)</f>
        <v>0</v>
      </c>
      <c r="N2434" s="4" t="str">
        <f aca="false">IF(K2434="","",A2434)</f>
        <v/>
      </c>
      <c r="O2434" s="4" t="n">
        <v>779</v>
      </c>
      <c r="P2434" s="4" t="n">
        <f aca="false">IF(A2434=A2433,P2433+1-M2433,0)</f>
        <v>7</v>
      </c>
    </row>
    <row r="2435" customFormat="false" ht="15" hidden="false" customHeight="false" outlineLevel="0" collapsed="false">
      <c r="A2435" s="30" t="s">
        <v>4239</v>
      </c>
      <c r="B2435" s="30" t="s">
        <v>53</v>
      </c>
      <c r="C2435" s="30" t="s">
        <v>105</v>
      </c>
      <c r="D2435" s="30" t="s">
        <v>4240</v>
      </c>
      <c r="E2435" s="4" t="n">
        <v>9</v>
      </c>
      <c r="F2435" s="4" t="s">
        <v>213</v>
      </c>
      <c r="G2435" s="4" t="s">
        <v>1404</v>
      </c>
      <c r="H2435" s="4" t="n">
        <v>2007</v>
      </c>
      <c r="I2435" s="4" t="s">
        <v>631</v>
      </c>
      <c r="J2435" s="25" t="str">
        <f aca="false">IF(M2435=1,"✓","")</f>
        <v/>
      </c>
      <c r="K2435" s="4" t="str">
        <f aca="false">IF(AND(M2435=0,P2435=0),"▶ NEXT","")</f>
        <v/>
      </c>
      <c r="L2435" s="4" t="n">
        <f aca="false">INDEX('Master List'!$F$2:$F$2594,O2435)</f>
        <v>2</v>
      </c>
      <c r="M2435" s="4" t="n">
        <f aca="false">INDEX('Master List'!$G$2:$G$2594,O2435)</f>
        <v>0</v>
      </c>
      <c r="N2435" s="4" t="str">
        <f aca="false">IF(K2435="","",A2435)</f>
        <v/>
      </c>
      <c r="O2435" s="4" t="n">
        <v>2572</v>
      </c>
      <c r="P2435" s="4" t="n">
        <f aca="false">IF(A2435=A2434,P2434+1-M2434,0)</f>
        <v>8</v>
      </c>
    </row>
    <row r="2436" customFormat="false" ht="15" hidden="false" customHeight="false" outlineLevel="0" collapsed="false">
      <c r="A2436" s="30" t="s">
        <v>4239</v>
      </c>
      <c r="B2436" s="30" t="s">
        <v>53</v>
      </c>
      <c r="C2436" s="30" t="s">
        <v>105</v>
      </c>
      <c r="D2436" s="30" t="s">
        <v>4240</v>
      </c>
      <c r="E2436" s="4" t="n">
        <v>10</v>
      </c>
      <c r="F2436" s="4" t="s">
        <v>213</v>
      </c>
      <c r="G2436" s="4" t="s">
        <v>3059</v>
      </c>
      <c r="H2436" s="4" t="n">
        <v>2014</v>
      </c>
      <c r="I2436" s="4" t="s">
        <v>631</v>
      </c>
      <c r="J2436" s="25" t="str">
        <f aca="false">IF(M2436=1,"✓","")</f>
        <v/>
      </c>
      <c r="K2436" s="4" t="str">
        <f aca="false">IF(AND(M2436=0,P2436=0),"▶ NEXT","")</f>
        <v/>
      </c>
      <c r="L2436" s="4" t="n">
        <f aca="false">INDEX('Master List'!$F$2:$F$2594,O2436)</f>
        <v>1</v>
      </c>
      <c r="M2436" s="4" t="n">
        <f aca="false">INDEX('Master List'!$G$2:$G$2594,O2436)</f>
        <v>0</v>
      </c>
      <c r="N2436" s="4" t="str">
        <f aca="false">IF(K2436="","",A2436)</f>
        <v/>
      </c>
      <c r="O2436" s="4" t="n">
        <v>1767</v>
      </c>
      <c r="P2436" s="4" t="n">
        <f aca="false">IF(A2436=A2435,P2435+1-M2435,0)</f>
        <v>9</v>
      </c>
    </row>
    <row r="2437" customFormat="false" ht="15" hidden="false" customHeight="false" outlineLevel="0" collapsed="false">
      <c r="A2437" s="30" t="s">
        <v>4239</v>
      </c>
      <c r="B2437" s="30" t="s">
        <v>53</v>
      </c>
      <c r="C2437" s="30" t="s">
        <v>105</v>
      </c>
      <c r="D2437" s="30" t="s">
        <v>4240</v>
      </c>
      <c r="E2437" s="4" t="n">
        <v>11</v>
      </c>
      <c r="F2437" s="4" t="s">
        <v>1327</v>
      </c>
      <c r="G2437" s="4" t="s">
        <v>3651</v>
      </c>
      <c r="H2437" s="4" t="n">
        <v>1989</v>
      </c>
      <c r="I2437" s="4" t="s">
        <v>1155</v>
      </c>
      <c r="J2437" s="25" t="str">
        <f aca="false">IF(M2437=1,"✓","")</f>
        <v/>
      </c>
      <c r="K2437" s="4" t="str">
        <f aca="false">IF(AND(M2437=0,P2437=0),"▶ NEXT","")</f>
        <v/>
      </c>
      <c r="L2437" s="4" t="n">
        <f aca="false">INDEX('Master List'!$F$2:$F$2594,O2437)</f>
        <v>1</v>
      </c>
      <c r="M2437" s="4" t="n">
        <f aca="false">INDEX('Master List'!$G$2:$G$2594,O2437)</f>
        <v>0</v>
      </c>
      <c r="N2437" s="4" t="str">
        <f aca="false">IF(K2437="","",A2437)</f>
        <v/>
      </c>
      <c r="O2437" s="4" t="n">
        <v>1318</v>
      </c>
      <c r="P2437" s="4" t="n">
        <f aca="false">IF(A2437=A2436,P2436+1-M2436,0)</f>
        <v>10</v>
      </c>
    </row>
    <row r="2438" customFormat="false" ht="15" hidden="false" customHeight="false" outlineLevel="0" collapsed="false">
      <c r="A2438" s="30" t="s">
        <v>4241</v>
      </c>
      <c r="B2438" s="30" t="s">
        <v>53</v>
      </c>
      <c r="C2438" s="30" t="s">
        <v>105</v>
      </c>
      <c r="D2438" s="30" t="s">
        <v>4242</v>
      </c>
      <c r="E2438" s="4" t="n">
        <v>1</v>
      </c>
      <c r="F2438" s="4" t="s">
        <v>144</v>
      </c>
      <c r="G2438" s="7" t="s">
        <v>873</v>
      </c>
      <c r="H2438" s="4" t="n">
        <v>2015</v>
      </c>
      <c r="I2438" s="4" t="s">
        <v>874</v>
      </c>
      <c r="J2438" s="25" t="str">
        <f aca="false">IF(M2438=1,"✓","")</f>
        <v>✓</v>
      </c>
      <c r="K2438" s="4" t="str">
        <f aca="false">IF(AND(M2438=0,P2438=0),"▶ NEXT","")</f>
        <v/>
      </c>
      <c r="L2438" s="4" t="n">
        <f aca="false">INDEX('Master List'!$F$2:$F$2594,O2438)</f>
        <v>2</v>
      </c>
      <c r="M2438" s="4" t="n">
        <f aca="false">INDEX('Master List'!$G$2:$G$2594,O2438)</f>
        <v>1</v>
      </c>
      <c r="N2438" s="4" t="str">
        <f aca="false">IF(K2438="","",A2438)</f>
        <v/>
      </c>
      <c r="O2438" s="4" t="n">
        <v>1362</v>
      </c>
      <c r="P2438" s="4" t="n">
        <f aca="false">IF(A2438=A2437,P2437+1-M2437,0)</f>
        <v>0</v>
      </c>
    </row>
    <row r="2439" customFormat="false" ht="15" hidden="false" customHeight="false" outlineLevel="0" collapsed="false">
      <c r="A2439" s="30" t="s">
        <v>4241</v>
      </c>
      <c r="B2439" s="30" t="s">
        <v>53</v>
      </c>
      <c r="C2439" s="30" t="s">
        <v>105</v>
      </c>
      <c r="D2439" s="30" t="s">
        <v>4242</v>
      </c>
      <c r="E2439" s="4" t="n">
        <v>2</v>
      </c>
      <c r="F2439" s="4" t="s">
        <v>144</v>
      </c>
      <c r="G2439" s="7" t="s">
        <v>1609</v>
      </c>
      <c r="H2439" s="4" t="n">
        <v>2009</v>
      </c>
      <c r="I2439" s="4" t="s">
        <v>874</v>
      </c>
      <c r="J2439" s="25" t="str">
        <f aca="false">IF(M2439=1,"✓","")</f>
        <v>✓</v>
      </c>
      <c r="K2439" s="4" t="str">
        <f aca="false">IF(AND(M2439=0,P2439=0),"▶ NEXT","")</f>
        <v/>
      </c>
      <c r="L2439" s="4" t="n">
        <f aca="false">INDEX('Master List'!$F$2:$F$2594,O2439)</f>
        <v>1</v>
      </c>
      <c r="M2439" s="4" t="n">
        <f aca="false">INDEX('Master List'!$G$2:$G$2594,O2439)</f>
        <v>1</v>
      </c>
      <c r="N2439" s="4" t="str">
        <f aca="false">IF(K2439="","",A2439)</f>
        <v/>
      </c>
      <c r="O2439" s="4" t="n">
        <v>653</v>
      </c>
      <c r="P2439" s="4" t="n">
        <f aca="false">IF(A2439=A2438,P2438+1-M2438,0)</f>
        <v>0</v>
      </c>
    </row>
    <row r="2440" customFormat="false" ht="15" hidden="false" customHeight="false" outlineLevel="0" collapsed="false">
      <c r="A2440" s="30" t="s">
        <v>4241</v>
      </c>
      <c r="B2440" s="30" t="s">
        <v>53</v>
      </c>
      <c r="C2440" s="30" t="s">
        <v>105</v>
      </c>
      <c r="D2440" s="30" t="s">
        <v>4242</v>
      </c>
      <c r="E2440" s="4" t="n">
        <v>3</v>
      </c>
      <c r="F2440" s="4" t="s">
        <v>213</v>
      </c>
      <c r="G2440" s="4" t="s">
        <v>2953</v>
      </c>
      <c r="H2440" s="4" t="n">
        <v>2010</v>
      </c>
      <c r="I2440" s="4" t="s">
        <v>2954</v>
      </c>
      <c r="J2440" s="25" t="str">
        <f aca="false">IF(M2440=1,"✓","")</f>
        <v/>
      </c>
      <c r="K2440" s="4" t="str">
        <f aca="false">IF(AND(M2440=0,P2440=0),"▶ NEXT","")</f>
        <v>▶ NEXT</v>
      </c>
      <c r="L2440" s="4" t="n">
        <f aca="false">INDEX('Master List'!$F$2:$F$2594,O2440)</f>
        <v>1</v>
      </c>
      <c r="M2440" s="4" t="n">
        <f aca="false">INDEX('Master List'!$G$2:$G$2594,O2440)</f>
        <v>0</v>
      </c>
      <c r="N2440" s="4" t="str">
        <f aca="false">IF(K2440="","",A2440)</f>
        <v>N204</v>
      </c>
      <c r="O2440" s="4" t="n">
        <v>148</v>
      </c>
      <c r="P2440" s="4" t="n">
        <f aca="false">IF(A2440=A2439,P2439+1-M2439,0)</f>
        <v>0</v>
      </c>
    </row>
    <row r="2441" customFormat="false" ht="15" hidden="false" customHeight="false" outlineLevel="0" collapsed="false">
      <c r="A2441" s="30" t="s">
        <v>4241</v>
      </c>
      <c r="B2441" s="30" t="s">
        <v>53</v>
      </c>
      <c r="C2441" s="30" t="s">
        <v>105</v>
      </c>
      <c r="D2441" s="30" t="s">
        <v>4242</v>
      </c>
      <c r="E2441" s="4" t="n">
        <v>4</v>
      </c>
      <c r="F2441" s="4" t="s">
        <v>213</v>
      </c>
      <c r="G2441" s="4" t="s">
        <v>2978</v>
      </c>
      <c r="H2441" s="4" t="n">
        <v>2011</v>
      </c>
      <c r="I2441" s="4" t="s">
        <v>874</v>
      </c>
      <c r="J2441" s="25" t="str">
        <f aca="false">IF(M2441=1,"✓","")</f>
        <v/>
      </c>
      <c r="K2441" s="4" t="str">
        <f aca="false">IF(AND(M2441=0,P2441=0),"▶ NEXT","")</f>
        <v/>
      </c>
      <c r="L2441" s="4" t="n">
        <f aca="false">INDEX('Master List'!$F$2:$F$2594,O2441)</f>
        <v>1</v>
      </c>
      <c r="M2441" s="4" t="n">
        <f aca="false">INDEX('Master List'!$G$2:$G$2594,O2441)</f>
        <v>0</v>
      </c>
      <c r="N2441" s="4" t="str">
        <f aca="false">IF(K2441="","",A2441)</f>
        <v/>
      </c>
      <c r="O2441" s="4" t="n">
        <v>83</v>
      </c>
      <c r="P2441" s="4" t="n">
        <f aca="false">IF(A2441=A2440,P2440+1-M2440,0)</f>
        <v>1</v>
      </c>
    </row>
    <row r="2442" customFormat="false" ht="15" hidden="false" customHeight="false" outlineLevel="0" collapsed="false">
      <c r="A2442" s="30" t="s">
        <v>4241</v>
      </c>
      <c r="B2442" s="30" t="s">
        <v>53</v>
      </c>
      <c r="C2442" s="30" t="s">
        <v>105</v>
      </c>
      <c r="D2442" s="30" t="s">
        <v>4242</v>
      </c>
      <c r="E2442" s="4" t="n">
        <v>5</v>
      </c>
      <c r="F2442" s="4" t="s">
        <v>213</v>
      </c>
      <c r="G2442" s="4" t="s">
        <v>3127</v>
      </c>
      <c r="H2442" s="4" t="n">
        <v>2017</v>
      </c>
      <c r="I2442" s="4" t="s">
        <v>874</v>
      </c>
      <c r="J2442" s="25" t="str">
        <f aca="false">IF(M2442=1,"✓","")</f>
        <v>✓</v>
      </c>
      <c r="K2442" s="4" t="str">
        <f aca="false">IF(AND(M2442=0,P2442=0),"▶ NEXT","")</f>
        <v/>
      </c>
      <c r="L2442" s="4" t="n">
        <f aca="false">INDEX('Master List'!$F$2:$F$2594,O2442)</f>
        <v>1</v>
      </c>
      <c r="M2442" s="4" t="n">
        <f aca="false">INDEX('Master List'!$G$2:$G$2594,O2442)</f>
        <v>1</v>
      </c>
      <c r="N2442" s="4" t="str">
        <f aca="false">IF(K2442="","",A2442)</f>
        <v/>
      </c>
      <c r="O2442" s="4" t="n">
        <v>1254</v>
      </c>
      <c r="P2442" s="4" t="n">
        <f aca="false">IF(A2442=A2441,P2441+1-M2441,0)</f>
        <v>2</v>
      </c>
    </row>
    <row r="2443" customFormat="false" ht="15" hidden="false" customHeight="false" outlineLevel="0" collapsed="false">
      <c r="A2443" s="30" t="s">
        <v>4241</v>
      </c>
      <c r="B2443" s="30" t="s">
        <v>53</v>
      </c>
      <c r="C2443" s="30" t="s">
        <v>105</v>
      </c>
      <c r="D2443" s="30" t="s">
        <v>4242</v>
      </c>
      <c r="E2443" s="4" t="n">
        <v>6</v>
      </c>
      <c r="F2443" s="4" t="s">
        <v>213</v>
      </c>
      <c r="G2443" s="4" t="s">
        <v>3154</v>
      </c>
      <c r="H2443" s="4" t="n">
        <v>2018</v>
      </c>
      <c r="I2443" s="4" t="s">
        <v>874</v>
      </c>
      <c r="J2443" s="25" t="str">
        <f aca="false">IF(M2443=1,"✓","")</f>
        <v/>
      </c>
      <c r="K2443" s="4" t="str">
        <f aca="false">IF(AND(M2443=0,P2443=0),"▶ NEXT","")</f>
        <v/>
      </c>
      <c r="L2443" s="4" t="n">
        <f aca="false">INDEX('Master List'!$F$2:$F$2594,O2443)</f>
        <v>1</v>
      </c>
      <c r="M2443" s="4" t="n">
        <f aca="false">INDEX('Master List'!$G$2:$G$2594,O2443)</f>
        <v>0</v>
      </c>
      <c r="N2443" s="4" t="str">
        <f aca="false">IF(K2443="","",A2443)</f>
        <v/>
      </c>
      <c r="O2443" s="4" t="n">
        <v>795</v>
      </c>
      <c r="P2443" s="4" t="n">
        <f aca="false">IF(A2443=A2442,P2442+1-M2442,0)</f>
        <v>2</v>
      </c>
    </row>
    <row r="2444" customFormat="false" ht="15" hidden="false" customHeight="false" outlineLevel="0" collapsed="false">
      <c r="A2444" s="30" t="s">
        <v>4241</v>
      </c>
      <c r="B2444" s="30" t="s">
        <v>53</v>
      </c>
      <c r="C2444" s="30" t="s">
        <v>105</v>
      </c>
      <c r="D2444" s="30" t="s">
        <v>4242</v>
      </c>
      <c r="E2444" s="4" t="n">
        <v>7</v>
      </c>
      <c r="F2444" s="4" t="s">
        <v>213</v>
      </c>
      <c r="G2444" s="4" t="s">
        <v>3239</v>
      </c>
      <c r="H2444" s="4" t="n">
        <v>2023</v>
      </c>
      <c r="I2444" s="4" t="s">
        <v>874</v>
      </c>
      <c r="J2444" s="25" t="str">
        <f aca="false">IF(M2444=1,"✓","")</f>
        <v/>
      </c>
      <c r="K2444" s="4" t="str">
        <f aca="false">IF(AND(M2444=0,P2444=0),"▶ NEXT","")</f>
        <v/>
      </c>
      <c r="L2444" s="4" t="n">
        <f aca="false">INDEX('Master List'!$F$2:$F$2594,O2444)</f>
        <v>1</v>
      </c>
      <c r="M2444" s="4" t="n">
        <f aca="false">INDEX('Master List'!$G$2:$G$2594,O2444)</f>
        <v>0</v>
      </c>
      <c r="N2444" s="4" t="str">
        <f aca="false">IF(K2444="","",A2444)</f>
        <v/>
      </c>
      <c r="O2444" s="4" t="n">
        <v>1795</v>
      </c>
      <c r="P2444" s="4" t="n">
        <f aca="false">IF(A2444=A2443,P2443+1-M2443,0)</f>
        <v>3</v>
      </c>
    </row>
    <row r="2445" customFormat="false" ht="15" hidden="false" customHeight="false" outlineLevel="0" collapsed="false">
      <c r="A2445" s="30" t="s">
        <v>4241</v>
      </c>
      <c r="B2445" s="30" t="s">
        <v>53</v>
      </c>
      <c r="C2445" s="30" t="s">
        <v>105</v>
      </c>
      <c r="D2445" s="30" t="s">
        <v>4242</v>
      </c>
      <c r="E2445" s="4" t="n">
        <v>8</v>
      </c>
      <c r="F2445" s="4" t="s">
        <v>1327</v>
      </c>
      <c r="G2445" s="4" t="s">
        <v>3829</v>
      </c>
      <c r="H2445" s="4" t="n">
        <v>2015</v>
      </c>
      <c r="I2445" s="4" t="s">
        <v>2954</v>
      </c>
      <c r="J2445" s="25" t="str">
        <f aca="false">IF(M2445=1,"✓","")</f>
        <v/>
      </c>
      <c r="K2445" s="4" t="str">
        <f aca="false">IF(AND(M2445=0,P2445=0),"▶ NEXT","")</f>
        <v/>
      </c>
      <c r="L2445" s="4" t="n">
        <f aca="false">INDEX('Master List'!$F$2:$F$2594,O2445)</f>
        <v>1</v>
      </c>
      <c r="M2445" s="4" t="n">
        <f aca="false">INDEX('Master List'!$G$2:$G$2594,O2445)</f>
        <v>0</v>
      </c>
      <c r="N2445" s="4" t="str">
        <f aca="false">IF(K2445="","",A2445)</f>
        <v/>
      </c>
      <c r="O2445" s="4" t="n">
        <v>439</v>
      </c>
      <c r="P2445" s="4" t="n">
        <f aca="false">IF(A2445=A2444,P2444+1-M2444,0)</f>
        <v>4</v>
      </c>
    </row>
    <row r="2446" customFormat="false" ht="15" hidden="false" customHeight="false" outlineLevel="0" collapsed="false">
      <c r="A2446" s="30" t="s">
        <v>4243</v>
      </c>
      <c r="B2446" s="30" t="s">
        <v>53</v>
      </c>
      <c r="C2446" s="30" t="s">
        <v>106</v>
      </c>
      <c r="D2446" s="30" t="s">
        <v>156</v>
      </c>
      <c r="E2446" s="4" t="n">
        <v>1</v>
      </c>
      <c r="F2446" s="4" t="s">
        <v>144</v>
      </c>
      <c r="G2446" s="7" t="s">
        <v>155</v>
      </c>
      <c r="H2446" s="4" t="n">
        <v>1954</v>
      </c>
      <c r="I2446" s="4" t="s">
        <v>156</v>
      </c>
      <c r="J2446" s="25" t="str">
        <f aca="false">IF(M2446=1,"✓","")</f>
        <v/>
      </c>
      <c r="K2446" s="4" t="str">
        <f aca="false">IF(AND(M2446=0,P2446=0),"▶ NEXT","")</f>
        <v>▶ NEXT</v>
      </c>
      <c r="L2446" s="4" t="n">
        <f aca="false">INDEX('Master List'!$F$2:$F$2594,O2446)</f>
        <v>8</v>
      </c>
      <c r="M2446" s="4" t="n">
        <f aca="false">INDEX('Master List'!$G$2:$G$2594,O2446)</f>
        <v>0</v>
      </c>
      <c r="N2446" s="4" t="str">
        <f aca="false">IF(K2446="","",A2446)</f>
        <v>N205</v>
      </c>
      <c r="O2446" s="4" t="n">
        <v>2021</v>
      </c>
      <c r="P2446" s="4" t="n">
        <f aca="false">IF(A2446=A2445,P2445+1-M2445,0)</f>
        <v>0</v>
      </c>
    </row>
    <row r="2447" customFormat="false" ht="15" hidden="false" customHeight="false" outlineLevel="0" collapsed="false">
      <c r="A2447" s="30" t="s">
        <v>4243</v>
      </c>
      <c r="B2447" s="30" t="s">
        <v>53</v>
      </c>
      <c r="C2447" s="30" t="s">
        <v>106</v>
      </c>
      <c r="D2447" s="30" t="s">
        <v>156</v>
      </c>
      <c r="E2447" s="4" t="n">
        <v>2</v>
      </c>
      <c r="F2447" s="4" t="s">
        <v>144</v>
      </c>
      <c r="G2447" s="7" t="s">
        <v>235</v>
      </c>
      <c r="H2447" s="4" t="n">
        <v>1952</v>
      </c>
      <c r="I2447" s="4" t="s">
        <v>156</v>
      </c>
      <c r="J2447" s="25" t="str">
        <f aca="false">IF(M2447=1,"✓","")</f>
        <v>✓</v>
      </c>
      <c r="K2447" s="4" t="str">
        <f aca="false">IF(AND(M2447=0,P2447=0),"▶ NEXT","")</f>
        <v/>
      </c>
      <c r="L2447" s="4" t="n">
        <f aca="false">INDEX('Master List'!$F$2:$F$2594,O2447)</f>
        <v>5</v>
      </c>
      <c r="M2447" s="4" t="n">
        <f aca="false">INDEX('Master List'!$G$2:$G$2594,O2447)</f>
        <v>1</v>
      </c>
      <c r="N2447" s="4" t="str">
        <f aca="false">IF(K2447="","",A2447)</f>
        <v/>
      </c>
      <c r="O2447" s="4" t="n">
        <v>1118</v>
      </c>
      <c r="P2447" s="4" t="n">
        <f aca="false">IF(A2447=A2446,P2446+1-M2446,0)</f>
        <v>1</v>
      </c>
    </row>
    <row r="2448" customFormat="false" ht="15" hidden="false" customHeight="false" outlineLevel="0" collapsed="false">
      <c r="A2448" s="30" t="s">
        <v>4243</v>
      </c>
      <c r="B2448" s="30" t="s">
        <v>53</v>
      </c>
      <c r="C2448" s="30" t="s">
        <v>106</v>
      </c>
      <c r="D2448" s="30" t="s">
        <v>156</v>
      </c>
      <c r="E2448" s="4" t="n">
        <v>3</v>
      </c>
      <c r="F2448" s="4" t="s">
        <v>213</v>
      </c>
      <c r="G2448" s="4" t="s">
        <v>1858</v>
      </c>
      <c r="H2448" s="4" t="n">
        <v>1948</v>
      </c>
      <c r="I2448" s="4" t="s">
        <v>156</v>
      </c>
      <c r="J2448" s="25" t="str">
        <f aca="false">IF(M2448=1,"✓","")</f>
        <v/>
      </c>
      <c r="K2448" s="4" t="str">
        <f aca="false">IF(AND(M2448=0,P2448=0),"▶ NEXT","")</f>
        <v/>
      </c>
      <c r="L2448" s="4" t="n">
        <f aca="false">INDEX('Master List'!$F$2:$F$2594,O2448)</f>
        <v>1</v>
      </c>
      <c r="M2448" s="4" t="n">
        <f aca="false">INDEX('Master List'!$G$2:$G$2594,O2448)</f>
        <v>0</v>
      </c>
      <c r="N2448" s="4" t="str">
        <f aca="false">IF(K2448="","",A2448)</f>
        <v/>
      </c>
      <c r="O2448" s="4" t="n">
        <v>683</v>
      </c>
      <c r="P2448" s="4" t="n">
        <f aca="false">IF(A2448=A2447,P2447+1-M2447,0)</f>
        <v>1</v>
      </c>
    </row>
    <row r="2449" customFormat="false" ht="15" hidden="false" customHeight="false" outlineLevel="0" collapsed="false">
      <c r="A2449" s="30" t="s">
        <v>4243</v>
      </c>
      <c r="B2449" s="30" t="s">
        <v>53</v>
      </c>
      <c r="C2449" s="30" t="s">
        <v>106</v>
      </c>
      <c r="D2449" s="30" t="s">
        <v>156</v>
      </c>
      <c r="E2449" s="4" t="n">
        <v>4</v>
      </c>
      <c r="F2449" s="4" t="s">
        <v>213</v>
      </c>
      <c r="G2449" s="4" t="s">
        <v>351</v>
      </c>
      <c r="H2449" s="4" t="n">
        <v>1949</v>
      </c>
      <c r="I2449" s="4" t="s">
        <v>156</v>
      </c>
      <c r="J2449" s="25" t="str">
        <f aca="false">IF(M2449=1,"✓","")</f>
        <v/>
      </c>
      <c r="K2449" s="4" t="str">
        <f aca="false">IF(AND(M2449=0,P2449=0),"▶ NEXT","")</f>
        <v/>
      </c>
      <c r="L2449" s="4" t="n">
        <f aca="false">INDEX('Master List'!$F$2:$F$2594,O2449)</f>
        <v>4</v>
      </c>
      <c r="M2449" s="4" t="n">
        <f aca="false">INDEX('Master List'!$G$2:$G$2594,O2449)</f>
        <v>0</v>
      </c>
      <c r="N2449" s="4" t="str">
        <f aca="false">IF(K2449="","",A2449)</f>
        <v/>
      </c>
      <c r="O2449" s="4" t="n">
        <v>2179</v>
      </c>
      <c r="P2449" s="4" t="n">
        <f aca="false">IF(A2449=A2448,P2448+1-M2448,0)</f>
        <v>2</v>
      </c>
    </row>
    <row r="2450" customFormat="false" ht="15" hidden="false" customHeight="false" outlineLevel="0" collapsed="false">
      <c r="A2450" s="30" t="s">
        <v>4243</v>
      </c>
      <c r="B2450" s="30" t="s">
        <v>53</v>
      </c>
      <c r="C2450" s="30" t="s">
        <v>106</v>
      </c>
      <c r="D2450" s="30" t="s">
        <v>156</v>
      </c>
      <c r="E2450" s="4" t="n">
        <v>5</v>
      </c>
      <c r="F2450" s="4" t="s">
        <v>213</v>
      </c>
      <c r="G2450" s="4" t="s">
        <v>220</v>
      </c>
      <c r="H2450" s="4" t="n">
        <v>1950</v>
      </c>
      <c r="I2450" s="4" t="s">
        <v>156</v>
      </c>
      <c r="J2450" s="25" t="str">
        <f aca="false">IF(M2450=1,"✓","")</f>
        <v>✓</v>
      </c>
      <c r="K2450" s="4" t="str">
        <f aca="false">IF(AND(M2450=0,P2450=0),"▶ NEXT","")</f>
        <v/>
      </c>
      <c r="L2450" s="4" t="n">
        <f aca="false">INDEX('Master List'!$F$2:$F$2594,O2450)</f>
        <v>6</v>
      </c>
      <c r="M2450" s="4" t="n">
        <f aca="false">INDEX('Master List'!$G$2:$G$2594,O2450)</f>
        <v>1</v>
      </c>
      <c r="N2450" s="4" t="str">
        <f aca="false">IF(K2450="","",A2450)</f>
        <v/>
      </c>
      <c r="O2450" s="4" t="n">
        <v>1860</v>
      </c>
      <c r="P2450" s="4" t="n">
        <f aca="false">IF(A2450=A2449,P2449+1-M2449,0)</f>
        <v>3</v>
      </c>
    </row>
    <row r="2451" customFormat="false" ht="15" hidden="false" customHeight="false" outlineLevel="0" collapsed="false">
      <c r="A2451" s="30" t="s">
        <v>4243</v>
      </c>
      <c r="B2451" s="30" t="s">
        <v>53</v>
      </c>
      <c r="C2451" s="30" t="s">
        <v>106</v>
      </c>
      <c r="D2451" s="30" t="s">
        <v>156</v>
      </c>
      <c r="E2451" s="4" t="n">
        <v>6</v>
      </c>
      <c r="F2451" s="4" t="s">
        <v>213</v>
      </c>
      <c r="G2451" s="4" t="s">
        <v>578</v>
      </c>
      <c r="H2451" s="4" t="n">
        <v>1957</v>
      </c>
      <c r="I2451" s="4" t="s">
        <v>156</v>
      </c>
      <c r="J2451" s="25" t="str">
        <f aca="false">IF(M2451=1,"✓","")</f>
        <v>✓</v>
      </c>
      <c r="K2451" s="4" t="str">
        <f aca="false">IF(AND(M2451=0,P2451=0),"▶ NEXT","")</f>
        <v/>
      </c>
      <c r="L2451" s="4" t="n">
        <f aca="false">INDEX('Master List'!$F$2:$F$2594,O2451)</f>
        <v>3</v>
      </c>
      <c r="M2451" s="4" t="n">
        <f aca="false">INDEX('Master List'!$G$2:$G$2594,O2451)</f>
        <v>1</v>
      </c>
      <c r="N2451" s="4" t="str">
        <f aca="false">IF(K2451="","",A2451)</f>
        <v/>
      </c>
      <c r="O2451" s="4" t="n">
        <v>2298</v>
      </c>
      <c r="P2451" s="4" t="n">
        <f aca="false">IF(A2451=A2450,P2450+1-M2450,0)</f>
        <v>3</v>
      </c>
    </row>
    <row r="2452" customFormat="false" ht="15" hidden="false" customHeight="false" outlineLevel="0" collapsed="false">
      <c r="A2452" s="30" t="s">
        <v>4243</v>
      </c>
      <c r="B2452" s="30" t="s">
        <v>53</v>
      </c>
      <c r="C2452" s="30" t="s">
        <v>106</v>
      </c>
      <c r="D2452" s="30" t="s">
        <v>156</v>
      </c>
      <c r="E2452" s="4" t="n">
        <v>7</v>
      </c>
      <c r="F2452" s="4" t="s">
        <v>213</v>
      </c>
      <c r="G2452" s="4" t="s">
        <v>949</v>
      </c>
      <c r="H2452" s="4" t="n">
        <v>1958</v>
      </c>
      <c r="I2452" s="4" t="s">
        <v>156</v>
      </c>
      <c r="J2452" s="25" t="str">
        <f aca="false">IF(M2452=1,"✓","")</f>
        <v/>
      </c>
      <c r="K2452" s="4" t="str">
        <f aca="false">IF(AND(M2452=0,P2452=0),"▶ NEXT","")</f>
        <v/>
      </c>
      <c r="L2452" s="4" t="n">
        <f aca="false">INDEX('Master List'!$F$2:$F$2594,O2452)</f>
        <v>2</v>
      </c>
      <c r="M2452" s="4" t="n">
        <f aca="false">INDEX('Master List'!$G$2:$G$2594,O2452)</f>
        <v>0</v>
      </c>
      <c r="N2452" s="4" t="str">
        <f aca="false">IF(K2452="","",A2452)</f>
        <v/>
      </c>
      <c r="O2452" s="4" t="n">
        <v>1030</v>
      </c>
      <c r="P2452" s="4" t="n">
        <f aca="false">IF(A2452=A2451,P2451+1-M2451,0)</f>
        <v>3</v>
      </c>
    </row>
    <row r="2453" customFormat="false" ht="15" hidden="false" customHeight="false" outlineLevel="0" collapsed="false">
      <c r="A2453" s="30" t="s">
        <v>4243</v>
      </c>
      <c r="B2453" s="30" t="s">
        <v>53</v>
      </c>
      <c r="C2453" s="30" t="s">
        <v>106</v>
      </c>
      <c r="D2453" s="30" t="s">
        <v>156</v>
      </c>
      <c r="E2453" s="4" t="n">
        <v>8</v>
      </c>
      <c r="F2453" s="4" t="s">
        <v>213</v>
      </c>
      <c r="G2453" s="4" t="s">
        <v>955</v>
      </c>
      <c r="H2453" s="4" t="n">
        <v>1960</v>
      </c>
      <c r="I2453" s="4" t="s">
        <v>156</v>
      </c>
      <c r="J2453" s="25" t="str">
        <f aca="false">IF(M2453=1,"✓","")</f>
        <v/>
      </c>
      <c r="K2453" s="4" t="str">
        <f aca="false">IF(AND(M2453=0,P2453=0),"▶ NEXT","")</f>
        <v/>
      </c>
      <c r="L2453" s="4" t="n">
        <f aca="false">INDEX('Master List'!$F$2:$F$2594,O2453)</f>
        <v>2</v>
      </c>
      <c r="M2453" s="4" t="n">
        <f aca="false">INDEX('Master List'!$G$2:$G$2594,O2453)</f>
        <v>0</v>
      </c>
      <c r="N2453" s="4" t="str">
        <f aca="false">IF(K2453="","",A2453)</f>
        <v/>
      </c>
      <c r="O2453" s="4" t="n">
        <v>171</v>
      </c>
      <c r="P2453" s="4" t="n">
        <f aca="false">IF(A2453=A2452,P2452+1-M2452,0)</f>
        <v>4</v>
      </c>
    </row>
    <row r="2454" customFormat="false" ht="15" hidden="false" customHeight="false" outlineLevel="0" collapsed="false">
      <c r="A2454" s="30" t="s">
        <v>4243</v>
      </c>
      <c r="B2454" s="30" t="s">
        <v>53</v>
      </c>
      <c r="C2454" s="30" t="s">
        <v>106</v>
      </c>
      <c r="D2454" s="30" t="s">
        <v>156</v>
      </c>
      <c r="E2454" s="4" t="n">
        <v>9</v>
      </c>
      <c r="F2454" s="4" t="s">
        <v>213</v>
      </c>
      <c r="G2454" s="4" t="s">
        <v>459</v>
      </c>
      <c r="H2454" s="4" t="n">
        <v>1961</v>
      </c>
      <c r="I2454" s="4" t="s">
        <v>156</v>
      </c>
      <c r="J2454" s="25" t="str">
        <f aca="false">IF(M2454=1,"✓","")</f>
        <v/>
      </c>
      <c r="K2454" s="4" t="str">
        <f aca="false">IF(AND(M2454=0,P2454=0),"▶ NEXT","")</f>
        <v/>
      </c>
      <c r="L2454" s="4" t="n">
        <f aca="false">INDEX('Master List'!$F$2:$F$2594,O2454)</f>
        <v>3</v>
      </c>
      <c r="M2454" s="4" t="n">
        <f aca="false">INDEX('Master List'!$G$2:$G$2594,O2454)</f>
        <v>0</v>
      </c>
      <c r="N2454" s="4" t="str">
        <f aca="false">IF(K2454="","",A2454)</f>
        <v/>
      </c>
      <c r="O2454" s="4" t="n">
        <v>2570</v>
      </c>
      <c r="P2454" s="4" t="n">
        <f aca="false">IF(A2454=A2453,P2453+1-M2453,0)</f>
        <v>5</v>
      </c>
    </row>
    <row r="2455" customFormat="false" ht="15" hidden="false" customHeight="false" outlineLevel="0" collapsed="false">
      <c r="A2455" s="30" t="s">
        <v>4243</v>
      </c>
      <c r="B2455" s="30" t="s">
        <v>53</v>
      </c>
      <c r="C2455" s="30" t="s">
        <v>106</v>
      </c>
      <c r="D2455" s="30" t="s">
        <v>156</v>
      </c>
      <c r="E2455" s="4" t="n">
        <v>10</v>
      </c>
      <c r="F2455" s="4" t="s">
        <v>213</v>
      </c>
      <c r="G2455" s="4" t="s">
        <v>966</v>
      </c>
      <c r="H2455" s="4" t="n">
        <v>1963</v>
      </c>
      <c r="I2455" s="4" t="s">
        <v>156</v>
      </c>
      <c r="J2455" s="25" t="str">
        <f aca="false">IF(M2455=1,"✓","")</f>
        <v>✓</v>
      </c>
      <c r="K2455" s="4" t="str">
        <f aca="false">IF(AND(M2455=0,P2455=0),"▶ NEXT","")</f>
        <v/>
      </c>
      <c r="L2455" s="4" t="n">
        <f aca="false">INDEX('Master List'!$F$2:$F$2594,O2455)</f>
        <v>2</v>
      </c>
      <c r="M2455" s="4" t="n">
        <f aca="false">INDEX('Master List'!$G$2:$G$2594,O2455)</f>
        <v>1</v>
      </c>
      <c r="N2455" s="4" t="str">
        <f aca="false">IF(K2455="","",A2455)</f>
        <v/>
      </c>
      <c r="O2455" s="4" t="n">
        <v>1032</v>
      </c>
      <c r="P2455" s="4" t="n">
        <f aca="false">IF(A2455=A2454,P2454+1-M2454,0)</f>
        <v>6</v>
      </c>
    </row>
    <row r="2456" customFormat="false" ht="15" hidden="false" customHeight="false" outlineLevel="0" collapsed="false">
      <c r="A2456" s="30" t="s">
        <v>4243</v>
      </c>
      <c r="B2456" s="30" t="s">
        <v>53</v>
      </c>
      <c r="C2456" s="30" t="s">
        <v>106</v>
      </c>
      <c r="D2456" s="30" t="s">
        <v>156</v>
      </c>
      <c r="E2456" s="4" t="n">
        <v>11</v>
      </c>
      <c r="F2456" s="4" t="s">
        <v>213</v>
      </c>
      <c r="G2456" s="4" t="s">
        <v>2071</v>
      </c>
      <c r="H2456" s="4" t="n">
        <v>1965</v>
      </c>
      <c r="I2456" s="4" t="s">
        <v>156</v>
      </c>
      <c r="J2456" s="25" t="str">
        <f aca="false">IF(M2456=1,"✓","")</f>
        <v/>
      </c>
      <c r="K2456" s="4" t="str">
        <f aca="false">IF(AND(M2456=0,P2456=0),"▶ NEXT","")</f>
        <v/>
      </c>
      <c r="L2456" s="4" t="n">
        <f aca="false">INDEX('Master List'!$F$2:$F$2594,O2456)</f>
        <v>1</v>
      </c>
      <c r="M2456" s="4" t="n">
        <f aca="false">INDEX('Master List'!$G$2:$G$2594,O2456)</f>
        <v>0</v>
      </c>
      <c r="N2456" s="4" t="str">
        <f aca="false">IF(K2456="","",A2456)</f>
        <v/>
      </c>
      <c r="O2456" s="4" t="n">
        <v>1872</v>
      </c>
      <c r="P2456" s="4" t="n">
        <f aca="false">IF(A2456=A2455,P2455+1-M2455,0)</f>
        <v>6</v>
      </c>
    </row>
    <row r="2457" customFormat="false" ht="15" hidden="false" customHeight="false" outlineLevel="0" collapsed="false">
      <c r="A2457" s="30" t="s">
        <v>4243</v>
      </c>
      <c r="B2457" s="30" t="s">
        <v>53</v>
      </c>
      <c r="C2457" s="30" t="s">
        <v>106</v>
      </c>
      <c r="D2457" s="30" t="s">
        <v>156</v>
      </c>
      <c r="E2457" s="4" t="n">
        <v>12</v>
      </c>
      <c r="F2457" s="4" t="s">
        <v>213</v>
      </c>
      <c r="G2457" s="4" t="s">
        <v>2271</v>
      </c>
      <c r="H2457" s="4" t="n">
        <v>1975</v>
      </c>
      <c r="I2457" s="4" t="s">
        <v>156</v>
      </c>
      <c r="J2457" s="25" t="str">
        <f aca="false">IF(M2457=1,"✓","")</f>
        <v>✓</v>
      </c>
      <c r="K2457" s="4" t="str">
        <f aca="false">IF(AND(M2457=0,P2457=0),"▶ NEXT","")</f>
        <v/>
      </c>
      <c r="L2457" s="4" t="n">
        <f aca="false">INDEX('Master List'!$F$2:$F$2594,O2457)</f>
        <v>1</v>
      </c>
      <c r="M2457" s="4" t="n">
        <f aca="false">INDEX('Master List'!$G$2:$G$2594,O2457)</f>
        <v>1</v>
      </c>
      <c r="N2457" s="4" t="str">
        <f aca="false">IF(K2457="","",A2457)</f>
        <v/>
      </c>
      <c r="O2457" s="4" t="n">
        <v>612</v>
      </c>
      <c r="P2457" s="4" t="n">
        <f aca="false">IF(A2457=A2456,P2456+1-M2456,0)</f>
        <v>7</v>
      </c>
    </row>
    <row r="2458" customFormat="false" ht="15" hidden="false" customHeight="false" outlineLevel="0" collapsed="false">
      <c r="A2458" s="30" t="s">
        <v>4243</v>
      </c>
      <c r="B2458" s="30" t="s">
        <v>53</v>
      </c>
      <c r="C2458" s="30" t="s">
        <v>106</v>
      </c>
      <c r="D2458" s="30" t="s">
        <v>156</v>
      </c>
      <c r="E2458" s="4" t="n">
        <v>13</v>
      </c>
      <c r="F2458" s="4" t="s">
        <v>213</v>
      </c>
      <c r="G2458" s="4" t="s">
        <v>2344</v>
      </c>
      <c r="H2458" s="4" t="n">
        <v>1980</v>
      </c>
      <c r="I2458" s="4" t="s">
        <v>156</v>
      </c>
      <c r="J2458" s="25" t="str">
        <f aca="false">IF(M2458=1,"✓","")</f>
        <v/>
      </c>
      <c r="K2458" s="4" t="str">
        <f aca="false">IF(AND(M2458=0,P2458=0),"▶ NEXT","")</f>
        <v/>
      </c>
      <c r="L2458" s="4" t="n">
        <f aca="false">INDEX('Master List'!$F$2:$F$2594,O2458)</f>
        <v>1</v>
      </c>
      <c r="M2458" s="4" t="n">
        <f aca="false">INDEX('Master List'!$G$2:$G$2594,O2458)</f>
        <v>0</v>
      </c>
      <c r="N2458" s="4" t="str">
        <f aca="false">IF(K2458="","",A2458)</f>
        <v/>
      </c>
      <c r="O2458" s="4" t="n">
        <v>1230</v>
      </c>
      <c r="P2458" s="4" t="n">
        <f aca="false">IF(A2458=A2457,P2457+1-M2457,0)</f>
        <v>7</v>
      </c>
    </row>
    <row r="2459" customFormat="false" ht="15" hidden="false" customHeight="false" outlineLevel="0" collapsed="false">
      <c r="A2459" s="30" t="s">
        <v>4243</v>
      </c>
      <c r="B2459" s="30" t="s">
        <v>53</v>
      </c>
      <c r="C2459" s="30" t="s">
        <v>106</v>
      </c>
      <c r="D2459" s="30" t="s">
        <v>156</v>
      </c>
      <c r="E2459" s="4" t="n">
        <v>14</v>
      </c>
      <c r="F2459" s="4" t="s">
        <v>213</v>
      </c>
      <c r="G2459" s="4" t="s">
        <v>1071</v>
      </c>
      <c r="H2459" s="4" t="n">
        <v>1985</v>
      </c>
      <c r="I2459" s="4" t="s">
        <v>156</v>
      </c>
      <c r="J2459" s="25" t="str">
        <f aca="false">IF(M2459=1,"✓","")</f>
        <v/>
      </c>
      <c r="K2459" s="4" t="str">
        <f aca="false">IF(AND(M2459=0,P2459=0),"▶ NEXT","")</f>
        <v/>
      </c>
      <c r="L2459" s="4" t="n">
        <f aca="false">INDEX('Master List'!$F$2:$F$2594,O2459)</f>
        <v>2</v>
      </c>
      <c r="M2459" s="4" t="n">
        <f aca="false">INDEX('Master List'!$G$2:$G$2594,O2459)</f>
        <v>0</v>
      </c>
      <c r="N2459" s="4" t="str">
        <f aca="false">IF(K2459="","",A2459)</f>
        <v/>
      </c>
      <c r="O2459" s="4" t="n">
        <v>1859</v>
      </c>
      <c r="P2459" s="4" t="n">
        <f aca="false">IF(A2459=A2458,P2458+1-M2458,0)</f>
        <v>8</v>
      </c>
    </row>
    <row r="2460" customFormat="false" ht="15" hidden="false" customHeight="false" outlineLevel="0" collapsed="false">
      <c r="A2460" s="30" t="s">
        <v>4243</v>
      </c>
      <c r="B2460" s="30" t="s">
        <v>53</v>
      </c>
      <c r="C2460" s="30" t="s">
        <v>106</v>
      </c>
      <c r="D2460" s="30" t="s">
        <v>156</v>
      </c>
      <c r="E2460" s="4" t="n">
        <v>15</v>
      </c>
      <c r="F2460" s="4" t="s">
        <v>1327</v>
      </c>
      <c r="G2460" s="4" t="s">
        <v>3479</v>
      </c>
      <c r="H2460" s="4" t="n">
        <v>1970</v>
      </c>
      <c r="I2460" s="4" t="s">
        <v>156</v>
      </c>
      <c r="J2460" s="25" t="str">
        <f aca="false">IF(M2460=1,"✓","")</f>
        <v>✓</v>
      </c>
      <c r="K2460" s="4" t="str">
        <f aca="false">IF(AND(M2460=0,P2460=0),"▶ NEXT","")</f>
        <v/>
      </c>
      <c r="L2460" s="4" t="n">
        <f aca="false">INDEX('Master List'!$F$2:$F$2594,O2460)</f>
        <v>1</v>
      </c>
      <c r="M2460" s="4" t="n">
        <f aca="false">INDEX('Master List'!$G$2:$G$2594,O2460)</f>
        <v>1</v>
      </c>
      <c r="N2460" s="4" t="str">
        <f aca="false">IF(K2460="","",A2460)</f>
        <v/>
      </c>
      <c r="O2460" s="4" t="n">
        <v>649</v>
      </c>
      <c r="P2460" s="4" t="n">
        <f aca="false">IF(A2460=A2459,P2459+1-M2459,0)</f>
        <v>9</v>
      </c>
    </row>
    <row r="2461" customFormat="false" ht="15" hidden="false" customHeight="false" outlineLevel="0" collapsed="false">
      <c r="A2461" s="30" t="s">
        <v>4243</v>
      </c>
      <c r="B2461" s="30" t="s">
        <v>53</v>
      </c>
      <c r="C2461" s="30" t="s">
        <v>106</v>
      </c>
      <c r="D2461" s="30" t="s">
        <v>156</v>
      </c>
      <c r="E2461" s="4" t="n">
        <v>16</v>
      </c>
      <c r="F2461" s="4" t="s">
        <v>1327</v>
      </c>
      <c r="G2461" s="4" t="s">
        <v>1377</v>
      </c>
      <c r="H2461" s="4" t="n">
        <v>1990</v>
      </c>
      <c r="I2461" s="4" t="s">
        <v>156</v>
      </c>
      <c r="J2461" s="25" t="str">
        <f aca="false">IF(M2461=1,"✓","")</f>
        <v/>
      </c>
      <c r="K2461" s="4" t="str">
        <f aca="false">IF(AND(M2461=0,P2461=0),"▶ NEXT","")</f>
        <v/>
      </c>
      <c r="L2461" s="4" t="n">
        <f aca="false">INDEX('Master List'!$F$2:$F$2594,O2461)</f>
        <v>2</v>
      </c>
      <c r="M2461" s="4" t="n">
        <f aca="false">INDEX('Master List'!$G$2:$G$2594,O2461)</f>
        <v>0</v>
      </c>
      <c r="N2461" s="4" t="str">
        <f aca="false">IF(K2461="","",A2461)</f>
        <v/>
      </c>
      <c r="O2461" s="4" t="n">
        <v>675</v>
      </c>
      <c r="P2461" s="4" t="n">
        <f aca="false">IF(A2461=A2460,P2460+1-M2460,0)</f>
        <v>9</v>
      </c>
    </row>
    <row r="2462" customFormat="false" ht="15" hidden="false" customHeight="false" outlineLevel="0" collapsed="false">
      <c r="A2462" s="30" t="s">
        <v>4244</v>
      </c>
      <c r="B2462" s="30" t="s">
        <v>53</v>
      </c>
      <c r="C2462" s="30" t="s">
        <v>106</v>
      </c>
      <c r="D2462" s="30" t="s">
        <v>146</v>
      </c>
      <c r="E2462" s="4" t="n">
        <v>1</v>
      </c>
      <c r="F2462" s="4" t="s">
        <v>144</v>
      </c>
      <c r="G2462" s="7" t="s">
        <v>145</v>
      </c>
      <c r="H2462" s="4" t="n">
        <v>1953</v>
      </c>
      <c r="I2462" s="4" t="s">
        <v>146</v>
      </c>
      <c r="J2462" s="25" t="str">
        <f aca="false">IF(M2462=1,"✓","")</f>
        <v/>
      </c>
      <c r="K2462" s="4" t="str">
        <f aca="false">IF(AND(M2462=0,P2462=0),"▶ NEXT","")</f>
        <v>▶ NEXT</v>
      </c>
      <c r="L2462" s="4" t="n">
        <f aca="false">INDEX('Master List'!$F$2:$F$2594,O2462)</f>
        <v>10</v>
      </c>
      <c r="M2462" s="4" t="n">
        <f aca="false">INDEX('Master List'!$G$2:$G$2594,O2462)</f>
        <v>0</v>
      </c>
      <c r="N2462" s="4" t="str">
        <f aca="false">IF(K2462="","",A2462)</f>
        <v>N206</v>
      </c>
      <c r="O2462" s="4" t="n">
        <v>2328</v>
      </c>
      <c r="P2462" s="4" t="n">
        <f aca="false">IF(A2462=A2461,P2461+1-M2461,0)</f>
        <v>0</v>
      </c>
    </row>
    <row r="2463" customFormat="false" ht="15" hidden="false" customHeight="false" outlineLevel="0" collapsed="false">
      <c r="A2463" s="30" t="s">
        <v>4244</v>
      </c>
      <c r="B2463" s="30" t="s">
        <v>53</v>
      </c>
      <c r="C2463" s="30" t="s">
        <v>106</v>
      </c>
      <c r="D2463" s="30" t="s">
        <v>146</v>
      </c>
      <c r="E2463" s="4" t="n">
        <v>2</v>
      </c>
      <c r="F2463" s="4" t="s">
        <v>144</v>
      </c>
      <c r="G2463" s="7" t="s">
        <v>350</v>
      </c>
      <c r="H2463" s="4" t="n">
        <v>1949</v>
      </c>
      <c r="I2463" s="4" t="s">
        <v>146</v>
      </c>
      <c r="J2463" s="25" t="str">
        <f aca="false">IF(M2463=1,"✓","")</f>
        <v/>
      </c>
      <c r="K2463" s="4" t="str">
        <f aca="false">IF(AND(M2463=0,P2463=0),"▶ NEXT","")</f>
        <v/>
      </c>
      <c r="L2463" s="4" t="n">
        <f aca="false">INDEX('Master List'!$F$2:$F$2594,O2463)</f>
        <v>4</v>
      </c>
      <c r="M2463" s="4" t="n">
        <f aca="false">INDEX('Master List'!$G$2:$G$2594,O2463)</f>
        <v>0</v>
      </c>
      <c r="N2463" s="4" t="str">
        <f aca="false">IF(K2463="","",A2463)</f>
        <v/>
      </c>
      <c r="O2463" s="4" t="n">
        <v>1308</v>
      </c>
      <c r="P2463" s="4" t="n">
        <f aca="false">IF(A2463=A2462,P2462+1-M2462,0)</f>
        <v>1</v>
      </c>
    </row>
    <row r="2464" customFormat="false" ht="15" hidden="false" customHeight="false" outlineLevel="0" collapsed="false">
      <c r="A2464" s="30" t="s">
        <v>4244</v>
      </c>
      <c r="B2464" s="30" t="s">
        <v>53</v>
      </c>
      <c r="C2464" s="30" t="s">
        <v>106</v>
      </c>
      <c r="D2464" s="30" t="s">
        <v>146</v>
      </c>
      <c r="E2464" s="4" t="n">
        <v>3</v>
      </c>
      <c r="F2464" s="4" t="s">
        <v>213</v>
      </c>
      <c r="G2464" s="4" t="s">
        <v>1302</v>
      </c>
      <c r="H2464" s="4" t="n">
        <v>1932</v>
      </c>
      <c r="I2464" s="4" t="s">
        <v>146</v>
      </c>
      <c r="J2464" s="25" t="str">
        <f aca="false">IF(M2464=1,"✓","")</f>
        <v/>
      </c>
      <c r="K2464" s="4" t="str">
        <f aca="false">IF(AND(M2464=0,P2464=0),"▶ NEXT","")</f>
        <v/>
      </c>
      <c r="L2464" s="4" t="n">
        <f aca="false">INDEX('Master List'!$F$2:$F$2594,O2464)</f>
        <v>2</v>
      </c>
      <c r="M2464" s="4" t="n">
        <f aca="false">INDEX('Master List'!$G$2:$G$2594,O2464)</f>
        <v>0</v>
      </c>
      <c r="N2464" s="4" t="str">
        <f aca="false">IF(K2464="","",A2464)</f>
        <v/>
      </c>
      <c r="O2464" s="4" t="n">
        <v>1111</v>
      </c>
      <c r="P2464" s="4" t="n">
        <f aca="false">IF(A2464=A2463,P2463+1-M2463,0)</f>
        <v>2</v>
      </c>
    </row>
    <row r="2465" customFormat="false" ht="15" hidden="false" customHeight="false" outlineLevel="0" collapsed="false">
      <c r="A2465" s="30" t="s">
        <v>4244</v>
      </c>
      <c r="B2465" s="30" t="s">
        <v>53</v>
      </c>
      <c r="C2465" s="30" t="s">
        <v>106</v>
      </c>
      <c r="D2465" s="30" t="s">
        <v>146</v>
      </c>
      <c r="E2465" s="4" t="n">
        <v>4</v>
      </c>
      <c r="F2465" s="4" t="s">
        <v>213</v>
      </c>
      <c r="G2465" s="4" t="s">
        <v>934</v>
      </c>
      <c r="H2465" s="4" t="n">
        <v>1951</v>
      </c>
      <c r="I2465" s="4" t="s">
        <v>146</v>
      </c>
      <c r="J2465" s="25" t="str">
        <f aca="false">IF(M2465=1,"✓","")</f>
        <v/>
      </c>
      <c r="K2465" s="4" t="str">
        <f aca="false">IF(AND(M2465=0,P2465=0),"▶ NEXT","")</f>
        <v/>
      </c>
      <c r="L2465" s="4" t="n">
        <f aca="false">INDEX('Master List'!$F$2:$F$2594,O2465)</f>
        <v>2</v>
      </c>
      <c r="M2465" s="4" t="n">
        <f aca="false">INDEX('Master List'!$G$2:$G$2594,O2465)</f>
        <v>0</v>
      </c>
      <c r="N2465" s="4" t="str">
        <f aca="false">IF(K2465="","",A2465)</f>
        <v/>
      </c>
      <c r="O2465" s="4" t="n">
        <v>698</v>
      </c>
      <c r="P2465" s="4" t="n">
        <f aca="false">IF(A2465=A2464,P2464+1-M2464,0)</f>
        <v>3</v>
      </c>
    </row>
    <row r="2466" customFormat="false" ht="15" hidden="false" customHeight="false" outlineLevel="0" collapsed="false">
      <c r="A2466" s="30" t="s">
        <v>4244</v>
      </c>
      <c r="B2466" s="30" t="s">
        <v>53</v>
      </c>
      <c r="C2466" s="30" t="s">
        <v>106</v>
      </c>
      <c r="D2466" s="30" t="s">
        <v>146</v>
      </c>
      <c r="E2466" s="4" t="n">
        <v>5</v>
      </c>
      <c r="F2466" s="4" t="s">
        <v>213</v>
      </c>
      <c r="G2466" s="4" t="s">
        <v>1948</v>
      </c>
      <c r="H2466" s="4" t="n">
        <v>1957</v>
      </c>
      <c r="I2466" s="4" t="s">
        <v>146</v>
      </c>
      <c r="J2466" s="25" t="str">
        <f aca="false">IF(M2466=1,"✓","")</f>
        <v/>
      </c>
      <c r="K2466" s="4" t="str">
        <f aca="false">IF(AND(M2466=0,P2466=0),"▶ NEXT","")</f>
        <v/>
      </c>
      <c r="L2466" s="4" t="n">
        <f aca="false">INDEX('Master List'!$F$2:$F$2594,O2466)</f>
        <v>1</v>
      </c>
      <c r="M2466" s="4" t="n">
        <f aca="false">INDEX('Master List'!$G$2:$G$2594,O2466)</f>
        <v>0</v>
      </c>
      <c r="N2466" s="4" t="str">
        <f aca="false">IF(K2466="","",A2466)</f>
        <v/>
      </c>
      <c r="O2466" s="4" t="n">
        <v>2329</v>
      </c>
      <c r="P2466" s="4" t="n">
        <f aca="false">IF(A2466=A2465,P2465+1-M2465,0)</f>
        <v>4</v>
      </c>
    </row>
    <row r="2467" customFormat="false" ht="15" hidden="false" customHeight="false" outlineLevel="0" collapsed="false">
      <c r="A2467" s="30" t="s">
        <v>4244</v>
      </c>
      <c r="B2467" s="30" t="s">
        <v>53</v>
      </c>
      <c r="C2467" s="30" t="s">
        <v>106</v>
      </c>
      <c r="D2467" s="30" t="s">
        <v>146</v>
      </c>
      <c r="E2467" s="4" t="n">
        <v>6</v>
      </c>
      <c r="F2467" s="4" t="s">
        <v>213</v>
      </c>
      <c r="G2467" s="4" t="s">
        <v>757</v>
      </c>
      <c r="H2467" s="4" t="n">
        <v>1959</v>
      </c>
      <c r="I2467" s="4" t="s">
        <v>146</v>
      </c>
      <c r="J2467" s="25" t="str">
        <f aca="false">IF(M2467=1,"✓","")</f>
        <v/>
      </c>
      <c r="K2467" s="4" t="str">
        <f aca="false">IF(AND(M2467=0,P2467=0),"▶ NEXT","")</f>
        <v/>
      </c>
      <c r="L2467" s="4" t="n">
        <f aca="false">INDEX('Master List'!$F$2:$F$2594,O2467)</f>
        <v>2</v>
      </c>
      <c r="M2467" s="4" t="n">
        <f aca="false">INDEX('Master List'!$G$2:$G$2594,O2467)</f>
        <v>0</v>
      </c>
      <c r="N2467" s="4" t="str">
        <f aca="false">IF(K2467="","",A2467)</f>
        <v/>
      </c>
      <c r="O2467" s="4" t="n">
        <v>822</v>
      </c>
      <c r="P2467" s="4" t="n">
        <f aca="false">IF(A2467=A2466,P2466+1-M2466,0)</f>
        <v>5</v>
      </c>
    </row>
    <row r="2468" customFormat="false" ht="15" hidden="false" customHeight="false" outlineLevel="0" collapsed="false">
      <c r="A2468" s="30" t="s">
        <v>4244</v>
      </c>
      <c r="B2468" s="30" t="s">
        <v>53</v>
      </c>
      <c r="C2468" s="30" t="s">
        <v>106</v>
      </c>
      <c r="D2468" s="30" t="s">
        <v>146</v>
      </c>
      <c r="E2468" s="4" t="n">
        <v>7</v>
      </c>
      <c r="F2468" s="4" t="s">
        <v>213</v>
      </c>
      <c r="G2468" s="4" t="s">
        <v>1967</v>
      </c>
      <c r="H2468" s="4" t="n">
        <v>1959</v>
      </c>
      <c r="I2468" s="4" t="s">
        <v>146</v>
      </c>
      <c r="J2468" s="25" t="str">
        <f aca="false">IF(M2468=1,"✓","")</f>
        <v/>
      </c>
      <c r="K2468" s="4" t="str">
        <f aca="false">IF(AND(M2468=0,P2468=0),"▶ NEXT","")</f>
        <v/>
      </c>
      <c r="L2468" s="4" t="n">
        <f aca="false">INDEX('Master List'!$F$2:$F$2594,O2468)</f>
        <v>1</v>
      </c>
      <c r="M2468" s="4" t="n">
        <f aca="false">INDEX('Master List'!$G$2:$G$2594,O2468)</f>
        <v>0</v>
      </c>
      <c r="N2468" s="4" t="str">
        <f aca="false">IF(K2468="","",A2468)</f>
        <v/>
      </c>
      <c r="O2468" s="4" t="n">
        <v>925</v>
      </c>
      <c r="P2468" s="4" t="n">
        <f aca="false">IF(A2468=A2467,P2467+1-M2467,0)</f>
        <v>6</v>
      </c>
    </row>
    <row r="2469" customFormat="false" ht="15" hidden="false" customHeight="false" outlineLevel="0" collapsed="false">
      <c r="A2469" s="30" t="s">
        <v>4244</v>
      </c>
      <c r="B2469" s="30" t="s">
        <v>53</v>
      </c>
      <c r="C2469" s="30" t="s">
        <v>106</v>
      </c>
      <c r="D2469" s="30" t="s">
        <v>146</v>
      </c>
      <c r="E2469" s="4" t="n">
        <v>8</v>
      </c>
      <c r="F2469" s="4" t="s">
        <v>213</v>
      </c>
      <c r="G2469" s="4" t="s">
        <v>1982</v>
      </c>
      <c r="H2469" s="4" t="n">
        <v>1960</v>
      </c>
      <c r="I2469" s="4" t="s">
        <v>146</v>
      </c>
      <c r="J2469" s="25" t="str">
        <f aca="false">IF(M2469=1,"✓","")</f>
        <v/>
      </c>
      <c r="K2469" s="4" t="str">
        <f aca="false">IF(AND(M2469=0,P2469=0),"▶ NEXT","")</f>
        <v/>
      </c>
      <c r="L2469" s="4" t="n">
        <f aca="false">INDEX('Master List'!$F$2:$F$2594,O2469)</f>
        <v>1</v>
      </c>
      <c r="M2469" s="4" t="n">
        <f aca="false">INDEX('Master List'!$G$2:$G$2594,O2469)</f>
        <v>0</v>
      </c>
      <c r="N2469" s="4" t="str">
        <f aca="false">IF(K2469="","",A2469)</f>
        <v/>
      </c>
      <c r="O2469" s="4" t="n">
        <v>1306</v>
      </c>
      <c r="P2469" s="4" t="n">
        <f aca="false">IF(A2469=A2468,P2468+1-M2468,0)</f>
        <v>7</v>
      </c>
    </row>
    <row r="2470" customFormat="false" ht="15" hidden="false" customHeight="false" outlineLevel="0" collapsed="false">
      <c r="A2470" s="30" t="s">
        <v>4244</v>
      </c>
      <c r="B2470" s="30" t="s">
        <v>53</v>
      </c>
      <c r="C2470" s="30" t="s">
        <v>106</v>
      </c>
      <c r="D2470" s="30" t="s">
        <v>146</v>
      </c>
      <c r="E2470" s="4" t="n">
        <v>9</v>
      </c>
      <c r="F2470" s="4" t="s">
        <v>213</v>
      </c>
      <c r="G2470" s="4" t="s">
        <v>702</v>
      </c>
      <c r="H2470" s="4" t="n">
        <v>1962</v>
      </c>
      <c r="I2470" s="4" t="s">
        <v>146</v>
      </c>
      <c r="J2470" s="25" t="str">
        <f aca="false">IF(M2470=1,"✓","")</f>
        <v/>
      </c>
      <c r="K2470" s="4" t="str">
        <f aca="false">IF(AND(M2470=0,P2470=0),"▶ NEXT","")</f>
        <v/>
      </c>
      <c r="L2470" s="4" t="n">
        <f aca="false">INDEX('Master List'!$F$2:$F$2594,O2470)</f>
        <v>3</v>
      </c>
      <c r="M2470" s="4" t="n">
        <f aca="false">INDEX('Master List'!$G$2:$G$2594,O2470)</f>
        <v>0</v>
      </c>
      <c r="N2470" s="4" t="str">
        <f aca="false">IF(K2470="","",A2470)</f>
        <v/>
      </c>
      <c r="O2470" s="4" t="n">
        <v>152</v>
      </c>
      <c r="P2470" s="4" t="n">
        <f aca="false">IF(A2470=A2469,P2469+1-M2469,0)</f>
        <v>8</v>
      </c>
    </row>
    <row r="2471" customFormat="false" ht="15" hidden="false" customHeight="false" outlineLevel="0" collapsed="false">
      <c r="A2471" s="30" t="s">
        <v>4244</v>
      </c>
      <c r="B2471" s="30" t="s">
        <v>53</v>
      </c>
      <c r="C2471" s="30" t="s">
        <v>106</v>
      </c>
      <c r="D2471" s="30" t="s">
        <v>146</v>
      </c>
      <c r="E2471" s="4" t="n">
        <v>10</v>
      </c>
      <c r="F2471" s="4" t="s">
        <v>1327</v>
      </c>
      <c r="G2471" s="4" t="s">
        <v>3321</v>
      </c>
      <c r="H2471" s="4" t="n">
        <v>1936</v>
      </c>
      <c r="I2471" s="4" t="s">
        <v>146</v>
      </c>
      <c r="J2471" s="25" t="str">
        <f aca="false">IF(M2471=1,"✓","")</f>
        <v/>
      </c>
      <c r="K2471" s="4" t="str">
        <f aca="false">IF(AND(M2471=0,P2471=0),"▶ NEXT","")</f>
        <v/>
      </c>
      <c r="L2471" s="4" t="n">
        <f aca="false">INDEX('Master List'!$F$2:$F$2594,O2471)</f>
        <v>1</v>
      </c>
      <c r="M2471" s="4" t="n">
        <f aca="false">INDEX('Master List'!$G$2:$G$2594,O2471)</f>
        <v>0</v>
      </c>
      <c r="N2471" s="4" t="str">
        <f aca="false">IF(K2471="","",A2471)</f>
        <v/>
      </c>
      <c r="O2471" s="4" t="n">
        <v>1686</v>
      </c>
      <c r="P2471" s="4" t="n">
        <f aca="false">IF(A2471=A2470,P2470+1-M2470,0)</f>
        <v>9</v>
      </c>
    </row>
    <row r="2472" customFormat="false" ht="15" hidden="false" customHeight="false" outlineLevel="0" collapsed="false">
      <c r="A2472" s="30" t="s">
        <v>4244</v>
      </c>
      <c r="B2472" s="30" t="s">
        <v>53</v>
      </c>
      <c r="C2472" s="30" t="s">
        <v>106</v>
      </c>
      <c r="D2472" s="30" t="s">
        <v>146</v>
      </c>
      <c r="E2472" s="4" t="n">
        <v>11</v>
      </c>
      <c r="F2472" s="4" t="s">
        <v>1327</v>
      </c>
      <c r="G2472" s="4" t="s">
        <v>3341</v>
      </c>
      <c r="H2472" s="4" t="n">
        <v>1942</v>
      </c>
      <c r="I2472" s="4" t="s">
        <v>146</v>
      </c>
      <c r="J2472" s="25" t="str">
        <f aca="false">IF(M2472=1,"✓","")</f>
        <v/>
      </c>
      <c r="K2472" s="4" t="str">
        <f aca="false">IF(AND(M2472=0,P2472=0),"▶ NEXT","")</f>
        <v/>
      </c>
      <c r="L2472" s="4" t="n">
        <f aca="false">INDEX('Master List'!$F$2:$F$2594,O2472)</f>
        <v>1</v>
      </c>
      <c r="M2472" s="4" t="n">
        <f aca="false">INDEX('Master List'!$G$2:$G$2594,O2472)</f>
        <v>0</v>
      </c>
      <c r="N2472" s="4" t="str">
        <f aca="false">IF(K2472="","",A2472)</f>
        <v/>
      </c>
      <c r="O2472" s="4" t="n">
        <v>2268</v>
      </c>
      <c r="P2472" s="4" t="n">
        <f aca="false">IF(A2472=A2471,P2471+1-M2471,0)</f>
        <v>10</v>
      </c>
    </row>
    <row r="2473" customFormat="false" ht="15" hidden="false" customHeight="false" outlineLevel="0" collapsed="false">
      <c r="A2473" s="30" t="s">
        <v>4245</v>
      </c>
      <c r="B2473" s="30" t="s">
        <v>53</v>
      </c>
      <c r="C2473" s="30" t="s">
        <v>106</v>
      </c>
      <c r="D2473" s="30" t="s">
        <v>4246</v>
      </c>
      <c r="E2473" s="4" t="n">
        <v>1</v>
      </c>
      <c r="F2473" s="4" t="s">
        <v>144</v>
      </c>
      <c r="G2473" s="7" t="s">
        <v>285</v>
      </c>
      <c r="H2473" s="4" t="n">
        <v>1953</v>
      </c>
      <c r="I2473" s="4" t="s">
        <v>286</v>
      </c>
      <c r="J2473" s="25" t="str">
        <f aca="false">IF(M2473=1,"✓","")</f>
        <v/>
      </c>
      <c r="K2473" s="4" t="str">
        <f aca="false">IF(AND(M2473=0,P2473=0),"▶ NEXT","")</f>
        <v>▶ NEXT</v>
      </c>
      <c r="L2473" s="4" t="n">
        <f aca="false">INDEX('Master List'!$F$2:$F$2594,O2473)</f>
        <v>5</v>
      </c>
      <c r="M2473" s="4" t="n">
        <f aca="false">INDEX('Master List'!$G$2:$G$2594,O2473)</f>
        <v>0</v>
      </c>
      <c r="N2473" s="4" t="str">
        <f aca="false">IF(K2473="","",A2473)</f>
        <v>N207</v>
      </c>
      <c r="O2473" s="4" t="n">
        <v>2393</v>
      </c>
      <c r="P2473" s="4" t="n">
        <f aca="false">IF(A2473=A2472,P2472+1-M2472,0)</f>
        <v>0</v>
      </c>
    </row>
    <row r="2474" customFormat="false" ht="15" hidden="false" customHeight="false" outlineLevel="0" collapsed="false">
      <c r="A2474" s="30" t="s">
        <v>4245</v>
      </c>
      <c r="B2474" s="30" t="s">
        <v>53</v>
      </c>
      <c r="C2474" s="30" t="s">
        <v>106</v>
      </c>
      <c r="D2474" s="30" t="s">
        <v>4246</v>
      </c>
      <c r="E2474" s="4" t="n">
        <v>2</v>
      </c>
      <c r="F2474" s="4" t="s">
        <v>144</v>
      </c>
      <c r="G2474" s="7" t="s">
        <v>758</v>
      </c>
      <c r="H2474" s="4" t="n">
        <v>1960</v>
      </c>
      <c r="I2474" s="4" t="s">
        <v>759</v>
      </c>
      <c r="J2474" s="25" t="str">
        <f aca="false">IF(M2474=1,"✓","")</f>
        <v/>
      </c>
      <c r="K2474" s="4" t="str">
        <f aca="false">IF(AND(M2474=0,P2474=0),"▶ NEXT","")</f>
        <v/>
      </c>
      <c r="L2474" s="4" t="n">
        <f aca="false">INDEX('Master List'!$F$2:$F$2594,O2474)</f>
        <v>2</v>
      </c>
      <c r="M2474" s="4" t="n">
        <f aca="false">INDEX('Master List'!$G$2:$G$2594,O2474)</f>
        <v>0</v>
      </c>
      <c r="N2474" s="4" t="str">
        <f aca="false">IF(K2474="","",A2474)</f>
        <v/>
      </c>
      <c r="O2474" s="4" t="n">
        <v>2492</v>
      </c>
      <c r="P2474" s="4" t="n">
        <f aca="false">IF(A2474=A2473,P2473+1-M2473,0)</f>
        <v>1</v>
      </c>
    </row>
    <row r="2475" customFormat="false" ht="15" hidden="false" customHeight="false" outlineLevel="0" collapsed="false">
      <c r="A2475" s="30" t="s">
        <v>4245</v>
      </c>
      <c r="B2475" s="30" t="s">
        <v>53</v>
      </c>
      <c r="C2475" s="30" t="s">
        <v>106</v>
      </c>
      <c r="D2475" s="30" t="s">
        <v>4246</v>
      </c>
      <c r="E2475" s="4" t="n">
        <v>3</v>
      </c>
      <c r="F2475" s="4" t="s">
        <v>213</v>
      </c>
      <c r="G2475" s="4" t="s">
        <v>1308</v>
      </c>
      <c r="H2475" s="4" t="n">
        <v>1936</v>
      </c>
      <c r="I2475" s="4" t="s">
        <v>286</v>
      </c>
      <c r="J2475" s="25" t="str">
        <f aca="false">IF(M2475=1,"✓","")</f>
        <v/>
      </c>
      <c r="K2475" s="4" t="str">
        <f aca="false">IF(AND(M2475=0,P2475=0),"▶ NEXT","")</f>
        <v/>
      </c>
      <c r="L2475" s="4" t="n">
        <f aca="false">INDEX('Master List'!$F$2:$F$2594,O2475)</f>
        <v>2</v>
      </c>
      <c r="M2475" s="4" t="n">
        <f aca="false">INDEX('Master List'!$G$2:$G$2594,O2475)</f>
        <v>0</v>
      </c>
      <c r="N2475" s="4" t="str">
        <f aca="false">IF(K2475="","",A2475)</f>
        <v/>
      </c>
      <c r="O2475" s="4" t="n">
        <v>2083</v>
      </c>
      <c r="P2475" s="4" t="n">
        <f aca="false">IF(A2475=A2474,P2474+1-M2474,0)</f>
        <v>2</v>
      </c>
    </row>
    <row r="2476" customFormat="false" ht="15" hidden="false" customHeight="false" outlineLevel="0" collapsed="false">
      <c r="A2476" s="30" t="s">
        <v>4245</v>
      </c>
      <c r="B2476" s="30" t="s">
        <v>53</v>
      </c>
      <c r="C2476" s="30" t="s">
        <v>106</v>
      </c>
      <c r="D2476" s="30" t="s">
        <v>4246</v>
      </c>
      <c r="E2476" s="4" t="n">
        <v>4</v>
      </c>
      <c r="F2476" s="4" t="s">
        <v>213</v>
      </c>
      <c r="G2476" s="4" t="s">
        <v>1310</v>
      </c>
      <c r="H2476" s="4" t="n">
        <v>1939</v>
      </c>
      <c r="I2476" s="4" t="s">
        <v>286</v>
      </c>
      <c r="J2476" s="25" t="str">
        <f aca="false">IF(M2476=1,"✓","")</f>
        <v/>
      </c>
      <c r="K2476" s="4" t="str">
        <f aca="false">IF(AND(M2476=0,P2476=0),"▶ NEXT","")</f>
        <v/>
      </c>
      <c r="L2476" s="4" t="n">
        <f aca="false">INDEX('Master List'!$F$2:$F$2594,O2476)</f>
        <v>2</v>
      </c>
      <c r="M2476" s="4" t="n">
        <f aca="false">INDEX('Master List'!$G$2:$G$2594,O2476)</f>
        <v>0</v>
      </c>
      <c r="N2476" s="4" t="str">
        <f aca="false">IF(K2476="","",A2476)</f>
        <v/>
      </c>
      <c r="O2476" s="4" t="n">
        <v>2168</v>
      </c>
      <c r="P2476" s="4" t="n">
        <f aca="false">IF(A2476=A2475,P2475+1-M2475,0)</f>
        <v>3</v>
      </c>
    </row>
    <row r="2477" customFormat="false" ht="15" hidden="false" customHeight="false" outlineLevel="0" collapsed="false">
      <c r="A2477" s="30" t="s">
        <v>4245</v>
      </c>
      <c r="B2477" s="30" t="s">
        <v>53</v>
      </c>
      <c r="C2477" s="30" t="s">
        <v>106</v>
      </c>
      <c r="D2477" s="30" t="s">
        <v>4246</v>
      </c>
      <c r="E2477" s="4" t="n">
        <v>5</v>
      </c>
      <c r="F2477" s="4" t="s">
        <v>213</v>
      </c>
      <c r="G2477" s="4" t="s">
        <v>700</v>
      </c>
      <c r="H2477" s="4" t="n">
        <v>1952</v>
      </c>
      <c r="I2477" s="4" t="s">
        <v>286</v>
      </c>
      <c r="J2477" s="25" t="str">
        <f aca="false">IF(M2477=1,"✓","")</f>
        <v/>
      </c>
      <c r="K2477" s="4" t="str">
        <f aca="false">IF(AND(M2477=0,P2477=0),"▶ NEXT","")</f>
        <v/>
      </c>
      <c r="L2477" s="4" t="n">
        <f aca="false">INDEX('Master List'!$F$2:$F$2594,O2477)</f>
        <v>3</v>
      </c>
      <c r="M2477" s="4" t="n">
        <f aca="false">INDEX('Master List'!$G$2:$G$2594,O2477)</f>
        <v>0</v>
      </c>
      <c r="N2477" s="4" t="str">
        <f aca="false">IF(K2477="","",A2477)</f>
        <v/>
      </c>
      <c r="O2477" s="4" t="n">
        <v>1334</v>
      </c>
      <c r="P2477" s="4" t="n">
        <f aca="false">IF(A2477=A2476,P2476+1-M2476,0)</f>
        <v>4</v>
      </c>
    </row>
    <row r="2478" customFormat="false" ht="15" hidden="false" customHeight="false" outlineLevel="0" collapsed="false">
      <c r="A2478" s="30" t="s">
        <v>4245</v>
      </c>
      <c r="B2478" s="30" t="s">
        <v>53</v>
      </c>
      <c r="C2478" s="30" t="s">
        <v>106</v>
      </c>
      <c r="D2478" s="30" t="s">
        <v>4246</v>
      </c>
      <c r="E2478" s="4" t="n">
        <v>6</v>
      </c>
      <c r="F2478" s="4" t="s">
        <v>213</v>
      </c>
      <c r="G2478" s="4" t="s">
        <v>575</v>
      </c>
      <c r="H2478" s="4" t="n">
        <v>1954</v>
      </c>
      <c r="I2478" s="4" t="s">
        <v>286</v>
      </c>
      <c r="J2478" s="25" t="str">
        <f aca="false">IF(M2478=1,"✓","")</f>
        <v/>
      </c>
      <c r="K2478" s="4" t="str">
        <f aca="false">IF(AND(M2478=0,P2478=0),"▶ NEXT","")</f>
        <v/>
      </c>
      <c r="L2478" s="4" t="n">
        <f aca="false">INDEX('Master List'!$F$2:$F$2594,O2478)</f>
        <v>3</v>
      </c>
      <c r="M2478" s="4" t="n">
        <f aca="false">INDEX('Master List'!$G$2:$G$2594,O2478)</f>
        <v>0</v>
      </c>
      <c r="N2478" s="4" t="str">
        <f aca="false">IF(K2478="","",A2478)</f>
        <v/>
      </c>
      <c r="O2478" s="4" t="n">
        <v>1970</v>
      </c>
      <c r="P2478" s="4" t="n">
        <f aca="false">IF(A2478=A2477,P2477+1-M2477,0)</f>
        <v>5</v>
      </c>
    </row>
    <row r="2479" customFormat="false" ht="15" hidden="false" customHeight="false" outlineLevel="0" collapsed="false">
      <c r="A2479" s="30" t="s">
        <v>4245</v>
      </c>
      <c r="B2479" s="30" t="s">
        <v>53</v>
      </c>
      <c r="C2479" s="30" t="s">
        <v>106</v>
      </c>
      <c r="D2479" s="30" t="s">
        <v>4246</v>
      </c>
      <c r="E2479" s="4" t="n">
        <v>7</v>
      </c>
      <c r="F2479" s="4" t="s">
        <v>213</v>
      </c>
      <c r="G2479" s="4" t="s">
        <v>1935</v>
      </c>
      <c r="H2479" s="4" t="n">
        <v>1956</v>
      </c>
      <c r="I2479" s="4" t="s">
        <v>286</v>
      </c>
      <c r="J2479" s="25" t="str">
        <f aca="false">IF(M2479=1,"✓","")</f>
        <v/>
      </c>
      <c r="K2479" s="4" t="str">
        <f aca="false">IF(AND(M2479=0,P2479=0),"▶ NEXT","")</f>
        <v/>
      </c>
      <c r="L2479" s="4" t="n">
        <f aca="false">INDEX('Master List'!$F$2:$F$2594,O2479)</f>
        <v>1</v>
      </c>
      <c r="M2479" s="4" t="n">
        <f aca="false">INDEX('Master List'!$G$2:$G$2594,O2479)</f>
        <v>0</v>
      </c>
      <c r="N2479" s="4" t="str">
        <f aca="false">IF(K2479="","",A2479)</f>
        <v/>
      </c>
      <c r="O2479" s="4" t="n">
        <v>2183</v>
      </c>
      <c r="P2479" s="4" t="n">
        <f aca="false">IF(A2479=A2478,P2478+1-M2478,0)</f>
        <v>6</v>
      </c>
    </row>
    <row r="2480" customFormat="false" ht="15" hidden="false" customHeight="false" outlineLevel="0" collapsed="false">
      <c r="A2480" s="30" t="s">
        <v>4245</v>
      </c>
      <c r="B2480" s="30" t="s">
        <v>53</v>
      </c>
      <c r="C2480" s="30" t="s">
        <v>106</v>
      </c>
      <c r="D2480" s="30" t="s">
        <v>4246</v>
      </c>
      <c r="E2480" s="4" t="n">
        <v>8</v>
      </c>
      <c r="F2480" s="4" t="s">
        <v>213</v>
      </c>
      <c r="G2480" s="4" t="s">
        <v>1886</v>
      </c>
      <c r="H2480" s="4" t="n">
        <v>1951</v>
      </c>
      <c r="I2480" s="4" t="s">
        <v>759</v>
      </c>
      <c r="J2480" s="25" t="str">
        <f aca="false">IF(M2480=1,"✓","")</f>
        <v/>
      </c>
      <c r="K2480" s="4" t="str">
        <f aca="false">IF(AND(M2480=0,P2480=0),"▶ NEXT","")</f>
        <v/>
      </c>
      <c r="L2480" s="4" t="n">
        <f aca="false">INDEX('Master List'!$F$2:$F$2594,O2480)</f>
        <v>1</v>
      </c>
      <c r="M2480" s="4" t="n">
        <f aca="false">INDEX('Master List'!$G$2:$G$2594,O2480)</f>
        <v>0</v>
      </c>
      <c r="N2480" s="4" t="str">
        <f aca="false">IF(K2480="","",A2480)</f>
        <v/>
      </c>
      <c r="O2480" s="4" t="n">
        <v>1885</v>
      </c>
      <c r="P2480" s="4" t="n">
        <f aca="false">IF(A2480=A2479,P2479+1-M2479,0)</f>
        <v>7</v>
      </c>
    </row>
    <row r="2481" customFormat="false" ht="15" hidden="false" customHeight="false" outlineLevel="0" collapsed="false">
      <c r="A2481" s="30" t="s">
        <v>4245</v>
      </c>
      <c r="B2481" s="30" t="s">
        <v>53</v>
      </c>
      <c r="C2481" s="30" t="s">
        <v>106</v>
      </c>
      <c r="D2481" s="30" t="s">
        <v>4246</v>
      </c>
      <c r="E2481" s="4" t="n">
        <v>9</v>
      </c>
      <c r="F2481" s="4" t="s">
        <v>213</v>
      </c>
      <c r="G2481" s="4" t="s">
        <v>1910</v>
      </c>
      <c r="H2481" s="4" t="n">
        <v>1954</v>
      </c>
      <c r="I2481" s="4" t="s">
        <v>759</v>
      </c>
      <c r="J2481" s="25" t="str">
        <f aca="false">IF(M2481=1,"✓","")</f>
        <v/>
      </c>
      <c r="K2481" s="4" t="str">
        <f aca="false">IF(AND(M2481=0,P2481=0),"▶ NEXT","")</f>
        <v/>
      </c>
      <c r="L2481" s="4" t="n">
        <f aca="false">INDEX('Master List'!$F$2:$F$2594,O2481)</f>
        <v>1</v>
      </c>
      <c r="M2481" s="4" t="n">
        <f aca="false">INDEX('Master List'!$G$2:$G$2594,O2481)</f>
        <v>0</v>
      </c>
      <c r="N2481" s="4" t="str">
        <f aca="false">IF(K2481="","",A2481)</f>
        <v/>
      </c>
      <c r="O2481" s="4" t="n">
        <v>2123</v>
      </c>
      <c r="P2481" s="4" t="n">
        <f aca="false">IF(A2481=A2480,P2480+1-M2480,0)</f>
        <v>8</v>
      </c>
    </row>
    <row r="2482" customFormat="false" ht="15" hidden="false" customHeight="false" outlineLevel="0" collapsed="false">
      <c r="A2482" s="30" t="s">
        <v>4245</v>
      </c>
      <c r="B2482" s="30" t="s">
        <v>53</v>
      </c>
      <c r="C2482" s="30" t="s">
        <v>106</v>
      </c>
      <c r="D2482" s="30" t="s">
        <v>4246</v>
      </c>
      <c r="E2482" s="4" t="n">
        <v>10</v>
      </c>
      <c r="F2482" s="4" t="s">
        <v>213</v>
      </c>
      <c r="G2482" s="4" t="s">
        <v>945</v>
      </c>
      <c r="H2482" s="4" t="n">
        <v>1955</v>
      </c>
      <c r="I2482" s="4" t="s">
        <v>759</v>
      </c>
      <c r="J2482" s="25" t="str">
        <f aca="false">IF(M2482=1,"✓","")</f>
        <v/>
      </c>
      <c r="K2482" s="4" t="str">
        <f aca="false">IF(AND(M2482=0,P2482=0),"▶ NEXT","")</f>
        <v/>
      </c>
      <c r="L2482" s="4" t="n">
        <f aca="false">INDEX('Master List'!$F$2:$F$2594,O2482)</f>
        <v>2</v>
      </c>
      <c r="M2482" s="4" t="n">
        <f aca="false">INDEX('Master List'!$G$2:$G$2594,O2482)</f>
        <v>0</v>
      </c>
      <c r="N2482" s="4" t="str">
        <f aca="false">IF(K2482="","",A2482)</f>
        <v/>
      </c>
      <c r="O2482" s="4" t="n">
        <v>821</v>
      </c>
      <c r="P2482" s="4" t="n">
        <f aca="false">IF(A2482=A2481,P2481+1-M2481,0)</f>
        <v>9</v>
      </c>
    </row>
    <row r="2483" customFormat="false" ht="15" hidden="false" customHeight="false" outlineLevel="0" collapsed="false">
      <c r="A2483" s="30" t="s">
        <v>4245</v>
      </c>
      <c r="B2483" s="30" t="s">
        <v>53</v>
      </c>
      <c r="C2483" s="30" t="s">
        <v>106</v>
      </c>
      <c r="D2483" s="30" t="s">
        <v>4246</v>
      </c>
      <c r="E2483" s="4" t="n">
        <v>11</v>
      </c>
      <c r="F2483" s="4" t="s">
        <v>1327</v>
      </c>
      <c r="G2483" s="4" t="s">
        <v>3386</v>
      </c>
      <c r="H2483" s="4" t="n">
        <v>1956</v>
      </c>
      <c r="I2483" s="4" t="s">
        <v>759</v>
      </c>
      <c r="J2483" s="25" t="str">
        <f aca="false">IF(M2483=1,"✓","")</f>
        <v/>
      </c>
      <c r="K2483" s="4" t="str">
        <f aca="false">IF(AND(M2483=0,P2483=0),"▶ NEXT","")</f>
        <v/>
      </c>
      <c r="L2483" s="4" t="n">
        <f aca="false">INDEX('Master List'!$F$2:$F$2594,O2483)</f>
        <v>1</v>
      </c>
      <c r="M2483" s="4" t="n">
        <f aca="false">INDEX('Master List'!$G$2:$G$2594,O2483)</f>
        <v>0</v>
      </c>
      <c r="N2483" s="4" t="str">
        <f aca="false">IF(K2483="","",A2483)</f>
        <v/>
      </c>
      <c r="O2483" s="4" t="n">
        <v>826</v>
      </c>
      <c r="P2483" s="4" t="n">
        <f aca="false">IF(A2483=A2482,P2482+1-M2482,0)</f>
        <v>10</v>
      </c>
    </row>
    <row r="2484" customFormat="false" ht="15" hidden="false" customHeight="false" outlineLevel="0" collapsed="false">
      <c r="A2484" s="30" t="s">
        <v>4245</v>
      </c>
      <c r="B2484" s="30" t="s">
        <v>53</v>
      </c>
      <c r="C2484" s="30" t="s">
        <v>106</v>
      </c>
      <c r="D2484" s="30" t="s">
        <v>4246</v>
      </c>
      <c r="E2484" s="4" t="n">
        <v>12</v>
      </c>
      <c r="F2484" s="4" t="s">
        <v>1327</v>
      </c>
      <c r="G2484" s="4" t="s">
        <v>3451</v>
      </c>
      <c r="H2484" s="4" t="n">
        <v>1967</v>
      </c>
      <c r="I2484" s="4" t="s">
        <v>759</v>
      </c>
      <c r="J2484" s="25" t="str">
        <f aca="false">IF(M2484=1,"✓","")</f>
        <v/>
      </c>
      <c r="K2484" s="4" t="str">
        <f aca="false">IF(AND(M2484=0,P2484=0),"▶ NEXT","")</f>
        <v/>
      </c>
      <c r="L2484" s="4" t="n">
        <f aca="false">INDEX('Master List'!$F$2:$F$2594,O2484)</f>
        <v>1</v>
      </c>
      <c r="M2484" s="4" t="n">
        <f aca="false">INDEX('Master List'!$G$2:$G$2594,O2484)</f>
        <v>0</v>
      </c>
      <c r="N2484" s="4" t="str">
        <f aca="false">IF(K2484="","",A2484)</f>
        <v/>
      </c>
      <c r="O2484" s="4" t="n">
        <v>1987</v>
      </c>
      <c r="P2484" s="4" t="n">
        <f aca="false">IF(A2484=A2483,P2483+1-M2483,0)</f>
        <v>11</v>
      </c>
    </row>
    <row r="2485" customFormat="false" ht="15" hidden="false" customHeight="false" outlineLevel="0" collapsed="false">
      <c r="A2485" s="30" t="s">
        <v>4247</v>
      </c>
      <c r="B2485" s="30" t="s">
        <v>53</v>
      </c>
      <c r="C2485" s="30" t="s">
        <v>106</v>
      </c>
      <c r="D2485" s="30" t="s">
        <v>4248</v>
      </c>
      <c r="E2485" s="4" t="n">
        <v>1</v>
      </c>
      <c r="F2485" s="4" t="s">
        <v>144</v>
      </c>
      <c r="G2485" s="7" t="s">
        <v>381</v>
      </c>
      <c r="H2485" s="4" t="n">
        <v>2001</v>
      </c>
      <c r="I2485" s="4" t="s">
        <v>382</v>
      </c>
      <c r="J2485" s="25" t="str">
        <f aca="false">IF(M2485=1,"✓","")</f>
        <v/>
      </c>
      <c r="K2485" s="4" t="str">
        <f aca="false">IF(AND(M2485=0,P2485=0),"▶ NEXT","")</f>
        <v>▶ NEXT</v>
      </c>
      <c r="L2485" s="4" t="n">
        <f aca="false">INDEX('Master List'!$F$2:$F$2594,O2485)</f>
        <v>4</v>
      </c>
      <c r="M2485" s="4" t="n">
        <f aca="false">INDEX('Master List'!$G$2:$G$2594,O2485)</f>
        <v>0</v>
      </c>
      <c r="N2485" s="4" t="str">
        <f aca="false">IF(K2485="","",A2485)</f>
        <v>N208</v>
      </c>
      <c r="O2485" s="4" t="n">
        <v>2136</v>
      </c>
      <c r="P2485" s="4" t="n">
        <f aca="false">IF(A2485=A2484,P2484+1-M2484,0)</f>
        <v>0</v>
      </c>
    </row>
    <row r="2486" customFormat="false" ht="15" hidden="false" customHeight="false" outlineLevel="0" collapsed="false">
      <c r="A2486" s="30" t="s">
        <v>4247</v>
      </c>
      <c r="B2486" s="30" t="s">
        <v>53</v>
      </c>
      <c r="C2486" s="30" t="s">
        <v>106</v>
      </c>
      <c r="D2486" s="30" t="s">
        <v>4248</v>
      </c>
      <c r="E2486" s="4" t="n">
        <v>2</v>
      </c>
      <c r="F2486" s="4" t="s">
        <v>144</v>
      </c>
      <c r="G2486" s="7" t="s">
        <v>424</v>
      </c>
      <c r="H2486" s="4" t="n">
        <v>1988</v>
      </c>
      <c r="I2486" s="4" t="s">
        <v>382</v>
      </c>
      <c r="J2486" s="25" t="str">
        <f aca="false">IF(M2486=1,"✓","")</f>
        <v/>
      </c>
      <c r="K2486" s="4" t="str">
        <f aca="false">IF(AND(M2486=0,P2486=0),"▶ NEXT","")</f>
        <v/>
      </c>
      <c r="L2486" s="4" t="n">
        <f aca="false">INDEX('Master List'!$F$2:$F$2594,O2486)</f>
        <v>3</v>
      </c>
      <c r="M2486" s="4" t="n">
        <f aca="false">INDEX('Master List'!$G$2:$G$2594,O2486)</f>
        <v>0</v>
      </c>
      <c r="N2486" s="4" t="str">
        <f aca="false">IF(K2486="","",A2486)</f>
        <v/>
      </c>
      <c r="O2486" s="4" t="n">
        <v>1574</v>
      </c>
      <c r="P2486" s="4" t="n">
        <f aca="false">IF(A2486=A2485,P2485+1-M2485,0)</f>
        <v>1</v>
      </c>
    </row>
    <row r="2487" customFormat="false" ht="15" hidden="false" customHeight="false" outlineLevel="0" collapsed="false">
      <c r="A2487" s="30" t="s">
        <v>4247</v>
      </c>
      <c r="B2487" s="30" t="s">
        <v>53</v>
      </c>
      <c r="C2487" s="30" t="s">
        <v>106</v>
      </c>
      <c r="D2487" s="30" t="s">
        <v>4248</v>
      </c>
      <c r="E2487" s="4" t="n">
        <v>3</v>
      </c>
      <c r="F2487" s="4" t="s">
        <v>213</v>
      </c>
      <c r="G2487" s="4" t="s">
        <v>2406</v>
      </c>
      <c r="H2487" s="4" t="n">
        <v>1984</v>
      </c>
      <c r="I2487" s="4" t="s">
        <v>382</v>
      </c>
      <c r="J2487" s="25" t="str">
        <f aca="false">IF(M2487=1,"✓","")</f>
        <v/>
      </c>
      <c r="K2487" s="4" t="str">
        <f aca="false">IF(AND(M2487=0,P2487=0),"▶ NEXT","")</f>
        <v/>
      </c>
      <c r="L2487" s="4" t="n">
        <f aca="false">INDEX('Master List'!$F$2:$F$2594,O2487)</f>
        <v>1</v>
      </c>
      <c r="M2487" s="4" t="n">
        <f aca="false">INDEX('Master List'!$G$2:$G$2594,O2487)</f>
        <v>0</v>
      </c>
      <c r="N2487" s="4" t="str">
        <f aca="false">IF(K2487="","",A2487)</f>
        <v/>
      </c>
      <c r="O2487" s="4" t="n">
        <v>1588</v>
      </c>
      <c r="P2487" s="4" t="n">
        <f aca="false">IF(A2487=A2486,P2486+1-M2486,0)</f>
        <v>2</v>
      </c>
    </row>
    <row r="2488" customFormat="false" ht="15" hidden="false" customHeight="false" outlineLevel="0" collapsed="false">
      <c r="A2488" s="30" t="s">
        <v>4247</v>
      </c>
      <c r="B2488" s="30" t="s">
        <v>53</v>
      </c>
      <c r="C2488" s="30" t="s">
        <v>106</v>
      </c>
      <c r="D2488" s="30" t="s">
        <v>4248</v>
      </c>
      <c r="E2488" s="4" t="n">
        <v>4</v>
      </c>
      <c r="F2488" s="4" t="s">
        <v>213</v>
      </c>
      <c r="G2488" s="4" t="s">
        <v>2439</v>
      </c>
      <c r="H2488" s="4" t="n">
        <v>1986</v>
      </c>
      <c r="I2488" s="4" t="s">
        <v>382</v>
      </c>
      <c r="J2488" s="25" t="str">
        <f aca="false">IF(M2488=1,"✓","")</f>
        <v/>
      </c>
      <c r="K2488" s="4" t="str">
        <f aca="false">IF(AND(M2488=0,P2488=0),"▶ NEXT","")</f>
        <v/>
      </c>
      <c r="L2488" s="4" t="n">
        <f aca="false">INDEX('Master List'!$F$2:$F$2594,O2488)</f>
        <v>1</v>
      </c>
      <c r="M2488" s="4" t="n">
        <f aca="false">INDEX('Master List'!$G$2:$G$2594,O2488)</f>
        <v>0</v>
      </c>
      <c r="N2488" s="4" t="str">
        <f aca="false">IF(K2488="","",A2488)</f>
        <v/>
      </c>
      <c r="O2488" s="4" t="n">
        <v>407</v>
      </c>
      <c r="P2488" s="4" t="n">
        <f aca="false">IF(A2488=A2487,P2487+1-M2487,0)</f>
        <v>3</v>
      </c>
    </row>
    <row r="2489" customFormat="false" ht="15" hidden="false" customHeight="false" outlineLevel="0" collapsed="false">
      <c r="A2489" s="30" t="s">
        <v>4247</v>
      </c>
      <c r="B2489" s="30" t="s">
        <v>53</v>
      </c>
      <c r="C2489" s="30" t="s">
        <v>106</v>
      </c>
      <c r="D2489" s="30" t="s">
        <v>4248</v>
      </c>
      <c r="E2489" s="4" t="n">
        <v>5</v>
      </c>
      <c r="F2489" s="4" t="s">
        <v>213</v>
      </c>
      <c r="G2489" s="4" t="s">
        <v>1098</v>
      </c>
      <c r="H2489" s="4" t="n">
        <v>1989</v>
      </c>
      <c r="I2489" s="4" t="s">
        <v>382</v>
      </c>
      <c r="J2489" s="25" t="str">
        <f aca="false">IF(M2489=1,"✓","")</f>
        <v/>
      </c>
      <c r="K2489" s="4" t="str">
        <f aca="false">IF(AND(M2489=0,P2489=0),"▶ NEXT","")</f>
        <v/>
      </c>
      <c r="L2489" s="4" t="n">
        <f aca="false">INDEX('Master List'!$F$2:$F$2594,O2489)</f>
        <v>2</v>
      </c>
      <c r="M2489" s="4" t="n">
        <f aca="false">INDEX('Master List'!$G$2:$G$2594,O2489)</f>
        <v>0</v>
      </c>
      <c r="N2489" s="4" t="str">
        <f aca="false">IF(K2489="","",A2489)</f>
        <v/>
      </c>
      <c r="O2489" s="4" t="n">
        <v>1239</v>
      </c>
      <c r="P2489" s="4" t="n">
        <f aca="false">IF(A2489=A2488,P2488+1-M2488,0)</f>
        <v>4</v>
      </c>
    </row>
    <row r="2490" customFormat="false" ht="15" hidden="false" customHeight="false" outlineLevel="0" collapsed="false">
      <c r="A2490" s="30" t="s">
        <v>4247</v>
      </c>
      <c r="B2490" s="30" t="s">
        <v>53</v>
      </c>
      <c r="C2490" s="30" t="s">
        <v>106</v>
      </c>
      <c r="D2490" s="30" t="s">
        <v>4248</v>
      </c>
      <c r="E2490" s="4" t="n">
        <v>6</v>
      </c>
      <c r="F2490" s="4" t="s">
        <v>213</v>
      </c>
      <c r="G2490" s="4" t="s">
        <v>2547</v>
      </c>
      <c r="H2490" s="4" t="n">
        <v>1992</v>
      </c>
      <c r="I2490" s="4" t="s">
        <v>382</v>
      </c>
      <c r="J2490" s="25" t="str">
        <f aca="false">IF(M2490=1,"✓","")</f>
        <v/>
      </c>
      <c r="K2490" s="4" t="str">
        <f aca="false">IF(AND(M2490=0,P2490=0),"▶ NEXT","")</f>
        <v/>
      </c>
      <c r="L2490" s="4" t="n">
        <f aca="false">INDEX('Master List'!$F$2:$F$2594,O2490)</f>
        <v>1</v>
      </c>
      <c r="M2490" s="4" t="n">
        <f aca="false">INDEX('Master List'!$G$2:$G$2594,O2490)</f>
        <v>0</v>
      </c>
      <c r="N2490" s="4" t="str">
        <f aca="false">IF(K2490="","",A2490)</f>
        <v/>
      </c>
      <c r="O2490" s="4" t="n">
        <v>1797</v>
      </c>
      <c r="P2490" s="4" t="n">
        <f aca="false">IF(A2490=A2489,P2489+1-M2489,0)</f>
        <v>5</v>
      </c>
    </row>
    <row r="2491" customFormat="false" ht="15" hidden="false" customHeight="false" outlineLevel="0" collapsed="false">
      <c r="A2491" s="30" t="s">
        <v>4247</v>
      </c>
      <c r="B2491" s="30" t="s">
        <v>53</v>
      </c>
      <c r="C2491" s="30" t="s">
        <v>106</v>
      </c>
      <c r="D2491" s="30" t="s">
        <v>4248</v>
      </c>
      <c r="E2491" s="4" t="n">
        <v>7</v>
      </c>
      <c r="F2491" s="4" t="s">
        <v>213</v>
      </c>
      <c r="G2491" s="4" t="s">
        <v>2677</v>
      </c>
      <c r="H2491" s="4" t="n">
        <v>1997</v>
      </c>
      <c r="I2491" s="4" t="s">
        <v>382</v>
      </c>
      <c r="J2491" s="25" t="str">
        <f aca="false">IF(M2491=1,"✓","")</f>
        <v/>
      </c>
      <c r="K2491" s="4" t="str">
        <f aca="false">IF(AND(M2491=0,P2491=0),"▶ NEXT","")</f>
        <v/>
      </c>
      <c r="L2491" s="4" t="n">
        <f aca="false">INDEX('Master List'!$F$2:$F$2594,O2491)</f>
        <v>1</v>
      </c>
      <c r="M2491" s="4" t="n">
        <f aca="false">INDEX('Master List'!$G$2:$G$2594,O2491)</f>
        <v>0</v>
      </c>
      <c r="N2491" s="4" t="str">
        <f aca="false">IF(K2491="","",A2491)</f>
        <v/>
      </c>
      <c r="O2491" s="4" t="n">
        <v>1818</v>
      </c>
      <c r="P2491" s="4" t="n">
        <f aca="false">IF(A2491=A2490,P2490+1-M2490,0)</f>
        <v>6</v>
      </c>
    </row>
    <row r="2492" customFormat="false" ht="15" hidden="false" customHeight="false" outlineLevel="0" collapsed="false">
      <c r="A2492" s="30" t="s">
        <v>4247</v>
      </c>
      <c r="B2492" s="30" t="s">
        <v>53</v>
      </c>
      <c r="C2492" s="30" t="s">
        <v>106</v>
      </c>
      <c r="D2492" s="30" t="s">
        <v>4248</v>
      </c>
      <c r="E2492" s="4" t="n">
        <v>8</v>
      </c>
      <c r="F2492" s="4" t="s">
        <v>213</v>
      </c>
      <c r="G2492" s="4" t="s">
        <v>2824</v>
      </c>
      <c r="H2492" s="4" t="n">
        <v>2004</v>
      </c>
      <c r="I2492" s="4" t="s">
        <v>382</v>
      </c>
      <c r="J2492" s="25" t="str">
        <f aca="false">IF(M2492=1,"✓","")</f>
        <v/>
      </c>
      <c r="K2492" s="4" t="str">
        <f aca="false">IF(AND(M2492=0,P2492=0),"▶ NEXT","")</f>
        <v/>
      </c>
      <c r="L2492" s="4" t="n">
        <f aca="false">INDEX('Master List'!$F$2:$F$2594,O2492)</f>
        <v>1</v>
      </c>
      <c r="M2492" s="4" t="n">
        <f aca="false">INDEX('Master List'!$G$2:$G$2594,O2492)</f>
        <v>0</v>
      </c>
      <c r="N2492" s="4" t="str">
        <f aca="false">IF(K2492="","",A2492)</f>
        <v/>
      </c>
      <c r="O2492" s="4" t="n">
        <v>1080</v>
      </c>
      <c r="P2492" s="4" t="n">
        <f aca="false">IF(A2492=A2491,P2491+1-M2491,0)</f>
        <v>7</v>
      </c>
    </row>
    <row r="2493" customFormat="false" ht="15" hidden="false" customHeight="false" outlineLevel="0" collapsed="false">
      <c r="A2493" s="30" t="s">
        <v>4247</v>
      </c>
      <c r="B2493" s="30" t="s">
        <v>53</v>
      </c>
      <c r="C2493" s="30" t="s">
        <v>106</v>
      </c>
      <c r="D2493" s="30" t="s">
        <v>4248</v>
      </c>
      <c r="E2493" s="4" t="n">
        <v>9</v>
      </c>
      <c r="F2493" s="4" t="s">
        <v>213</v>
      </c>
      <c r="G2493" s="4" t="s">
        <v>3036</v>
      </c>
      <c r="H2493" s="4" t="n">
        <v>2013</v>
      </c>
      <c r="I2493" s="4" t="s">
        <v>382</v>
      </c>
      <c r="J2493" s="25" t="str">
        <f aca="false">IF(M2493=1,"✓","")</f>
        <v/>
      </c>
      <c r="K2493" s="4" t="str">
        <f aca="false">IF(AND(M2493=0,P2493=0),"▶ NEXT","")</f>
        <v/>
      </c>
      <c r="L2493" s="4" t="n">
        <f aca="false">INDEX('Master List'!$F$2:$F$2594,O2493)</f>
        <v>1</v>
      </c>
      <c r="M2493" s="4" t="n">
        <f aca="false">INDEX('Master List'!$G$2:$G$2594,O2493)</f>
        <v>0</v>
      </c>
      <c r="N2493" s="4" t="str">
        <f aca="false">IF(K2493="","",A2493)</f>
        <v/>
      </c>
      <c r="O2493" s="4" t="n">
        <v>2521</v>
      </c>
      <c r="P2493" s="4" t="n">
        <f aca="false">IF(A2493=A2492,P2492+1-M2492,0)</f>
        <v>8</v>
      </c>
    </row>
    <row r="2494" customFormat="false" ht="15" hidden="false" customHeight="false" outlineLevel="0" collapsed="false">
      <c r="A2494" s="30" t="s">
        <v>4247</v>
      </c>
      <c r="B2494" s="30" t="s">
        <v>53</v>
      </c>
      <c r="C2494" s="30" t="s">
        <v>106</v>
      </c>
      <c r="D2494" s="30" t="s">
        <v>4248</v>
      </c>
      <c r="E2494" s="4" t="n">
        <v>10</v>
      </c>
      <c r="F2494" s="4" t="s">
        <v>213</v>
      </c>
      <c r="G2494" s="4" t="s">
        <v>3240</v>
      </c>
      <c r="H2494" s="4" t="n">
        <v>2023</v>
      </c>
      <c r="I2494" s="4" t="s">
        <v>382</v>
      </c>
      <c r="J2494" s="25" t="str">
        <f aca="false">IF(M2494=1,"✓","")</f>
        <v/>
      </c>
      <c r="K2494" s="4" t="str">
        <f aca="false">IF(AND(M2494=0,P2494=0),"▶ NEXT","")</f>
        <v/>
      </c>
      <c r="L2494" s="4" t="n">
        <f aca="false">INDEX('Master List'!$F$2:$F$2594,O2494)</f>
        <v>1</v>
      </c>
      <c r="M2494" s="4" t="n">
        <f aca="false">INDEX('Master List'!$G$2:$G$2594,O2494)</f>
        <v>0</v>
      </c>
      <c r="N2494" s="4" t="str">
        <f aca="false">IF(K2494="","",A2494)</f>
        <v/>
      </c>
      <c r="O2494" s="4" t="n">
        <v>329</v>
      </c>
      <c r="P2494" s="4" t="n">
        <f aca="false">IF(A2494=A2493,P2493+1-M2493,0)</f>
        <v>9</v>
      </c>
    </row>
    <row r="2495" customFormat="false" ht="15" hidden="false" customHeight="false" outlineLevel="0" collapsed="false">
      <c r="A2495" s="30" t="s">
        <v>4247</v>
      </c>
      <c r="B2495" s="30" t="s">
        <v>53</v>
      </c>
      <c r="C2495" s="30" t="s">
        <v>106</v>
      </c>
      <c r="D2495" s="30" t="s">
        <v>4248</v>
      </c>
      <c r="E2495" s="4" t="n">
        <v>11</v>
      </c>
      <c r="F2495" s="4" t="s">
        <v>213</v>
      </c>
      <c r="G2495" s="4" t="s">
        <v>2532</v>
      </c>
      <c r="H2495" s="4" t="n">
        <v>1991</v>
      </c>
      <c r="I2495" s="4" t="s">
        <v>611</v>
      </c>
      <c r="J2495" s="25" t="str">
        <f aca="false">IF(M2495=1,"✓","")</f>
        <v/>
      </c>
      <c r="K2495" s="4" t="str">
        <f aca="false">IF(AND(M2495=0,P2495=0),"▶ NEXT","")</f>
        <v/>
      </c>
      <c r="L2495" s="4" t="n">
        <f aca="false">INDEX('Master List'!$F$2:$F$2594,O2495)</f>
        <v>1</v>
      </c>
      <c r="M2495" s="4" t="n">
        <f aca="false">INDEX('Master List'!$G$2:$G$2594,O2495)</f>
        <v>0</v>
      </c>
      <c r="N2495" s="4" t="str">
        <f aca="false">IF(K2495="","",A2495)</f>
        <v/>
      </c>
      <c r="O2495" s="4" t="n">
        <v>1687</v>
      </c>
      <c r="P2495" s="4" t="n">
        <f aca="false">IF(A2495=A2494,P2494+1-M2494,0)</f>
        <v>10</v>
      </c>
    </row>
    <row r="2496" customFormat="false" ht="15" hidden="false" customHeight="false" outlineLevel="0" collapsed="false">
      <c r="A2496" s="30" t="s">
        <v>4247</v>
      </c>
      <c r="B2496" s="30" t="s">
        <v>53</v>
      </c>
      <c r="C2496" s="30" t="s">
        <v>106</v>
      </c>
      <c r="D2496" s="30" t="s">
        <v>4248</v>
      </c>
      <c r="E2496" s="4" t="n">
        <v>12</v>
      </c>
      <c r="F2496" s="4" t="s">
        <v>213</v>
      </c>
      <c r="G2496" s="4" t="s">
        <v>2592</v>
      </c>
      <c r="H2496" s="4" t="n">
        <v>1994</v>
      </c>
      <c r="I2496" s="4" t="s">
        <v>611</v>
      </c>
      <c r="J2496" s="25" t="str">
        <f aca="false">IF(M2496=1,"✓","")</f>
        <v/>
      </c>
      <c r="K2496" s="4" t="str">
        <f aca="false">IF(AND(M2496=0,P2496=0),"▶ NEXT","")</f>
        <v/>
      </c>
      <c r="L2496" s="4" t="n">
        <f aca="false">INDEX('Master List'!$F$2:$F$2594,O2496)</f>
        <v>1</v>
      </c>
      <c r="M2496" s="4" t="n">
        <f aca="false">INDEX('Master List'!$G$2:$G$2594,O2496)</f>
        <v>0</v>
      </c>
      <c r="N2496" s="4" t="str">
        <f aca="false">IF(K2496="","",A2496)</f>
        <v/>
      </c>
      <c r="O2496" s="4" t="n">
        <v>1791</v>
      </c>
      <c r="P2496" s="4" t="n">
        <f aca="false">IF(A2496=A2495,P2495+1-M2495,0)</f>
        <v>11</v>
      </c>
    </row>
    <row r="2497" customFormat="false" ht="15" hidden="false" customHeight="false" outlineLevel="0" collapsed="false">
      <c r="A2497" s="30" t="s">
        <v>4247</v>
      </c>
      <c r="B2497" s="30" t="s">
        <v>53</v>
      </c>
      <c r="C2497" s="30" t="s">
        <v>106</v>
      </c>
      <c r="D2497" s="30" t="s">
        <v>4248</v>
      </c>
      <c r="E2497" s="4" t="n">
        <v>13</v>
      </c>
      <c r="F2497" s="4" t="s">
        <v>1327</v>
      </c>
      <c r="G2497" s="4" t="s">
        <v>3580</v>
      </c>
      <c r="H2497" s="4" t="n">
        <v>1979</v>
      </c>
      <c r="I2497" s="4" t="s">
        <v>382</v>
      </c>
      <c r="J2497" s="25" t="str">
        <f aca="false">IF(M2497=1,"✓","")</f>
        <v/>
      </c>
      <c r="K2497" s="4" t="str">
        <f aca="false">IF(AND(M2497=0,P2497=0),"▶ NEXT","")</f>
        <v/>
      </c>
      <c r="L2497" s="4" t="n">
        <f aca="false">INDEX('Master List'!$F$2:$F$2594,O2497)</f>
        <v>1</v>
      </c>
      <c r="M2497" s="4" t="n">
        <f aca="false">INDEX('Master List'!$G$2:$G$2594,O2497)</f>
        <v>0</v>
      </c>
      <c r="N2497" s="4" t="str">
        <f aca="false">IF(K2497="","",A2497)</f>
        <v/>
      </c>
      <c r="O2497" s="4" t="n">
        <v>409</v>
      </c>
      <c r="P2497" s="4" t="n">
        <f aca="false">IF(A2497=A2496,P2496+1-M2496,0)</f>
        <v>12</v>
      </c>
    </row>
    <row r="2498" customFormat="false" ht="15" hidden="false" customHeight="false" outlineLevel="0" collapsed="false">
      <c r="A2498" s="30" t="s">
        <v>4247</v>
      </c>
      <c r="B2498" s="30" t="s">
        <v>53</v>
      </c>
      <c r="C2498" s="30" t="s">
        <v>106</v>
      </c>
      <c r="D2498" s="30" t="s">
        <v>4248</v>
      </c>
      <c r="E2498" s="4" t="n">
        <v>14</v>
      </c>
      <c r="F2498" s="4" t="s">
        <v>1327</v>
      </c>
      <c r="G2498" s="4" t="s">
        <v>3692</v>
      </c>
      <c r="H2498" s="4" t="n">
        <v>1995</v>
      </c>
      <c r="I2498" s="4" t="s">
        <v>3693</v>
      </c>
      <c r="J2498" s="25" t="str">
        <f aca="false">IF(M2498=1,"✓","")</f>
        <v/>
      </c>
      <c r="K2498" s="4" t="str">
        <f aca="false">IF(AND(M2498=0,P2498=0),"▶ NEXT","")</f>
        <v/>
      </c>
      <c r="L2498" s="4" t="n">
        <f aca="false">INDEX('Master List'!$F$2:$F$2594,O2498)</f>
        <v>1</v>
      </c>
      <c r="M2498" s="4" t="n">
        <f aca="false">INDEX('Master List'!$G$2:$G$2594,O2498)</f>
        <v>0</v>
      </c>
      <c r="N2498" s="4" t="str">
        <f aca="false">IF(K2498="","",A2498)</f>
        <v/>
      </c>
      <c r="O2498" s="4" t="n">
        <v>2499</v>
      </c>
      <c r="P2498" s="4" t="n">
        <f aca="false">IF(A2498=A2497,P2497+1-M2497,0)</f>
        <v>13</v>
      </c>
    </row>
    <row r="2499" customFormat="false" ht="15" hidden="false" customHeight="false" outlineLevel="0" collapsed="false">
      <c r="A2499" s="30" t="s">
        <v>4249</v>
      </c>
      <c r="B2499" s="30" t="s">
        <v>53</v>
      </c>
      <c r="C2499" s="30" t="s">
        <v>106</v>
      </c>
      <c r="D2499" s="30" t="s">
        <v>193</v>
      </c>
      <c r="E2499" s="4" t="n">
        <v>1</v>
      </c>
      <c r="F2499" s="4" t="s">
        <v>144</v>
      </c>
      <c r="G2499" s="7" t="s">
        <v>192</v>
      </c>
      <c r="H2499" s="4" t="n">
        <v>1994</v>
      </c>
      <c r="I2499" s="4" t="s">
        <v>193</v>
      </c>
      <c r="J2499" s="25" t="str">
        <f aca="false">IF(M2499=1,"✓","")</f>
        <v/>
      </c>
      <c r="K2499" s="4" t="str">
        <f aca="false">IF(AND(M2499=0,P2499=0),"▶ NEXT","")</f>
        <v>▶ NEXT</v>
      </c>
      <c r="L2499" s="4" t="n">
        <f aca="false">INDEX('Master List'!$F$2:$F$2594,O2499)</f>
        <v>7</v>
      </c>
      <c r="M2499" s="4" t="n">
        <f aca="false">INDEX('Master List'!$G$2:$G$2594,O2499)</f>
        <v>0</v>
      </c>
      <c r="N2499" s="4" t="str">
        <f aca="false">IF(K2499="","",A2499)</f>
        <v>N209</v>
      </c>
      <c r="O2499" s="4" t="n">
        <v>458</v>
      </c>
      <c r="P2499" s="4" t="n">
        <f aca="false">IF(A2499=A2498,P2498+1-M2498,0)</f>
        <v>0</v>
      </c>
    </row>
    <row r="2500" customFormat="false" ht="15" hidden="false" customHeight="false" outlineLevel="0" collapsed="false">
      <c r="A2500" s="30" t="s">
        <v>4249</v>
      </c>
      <c r="B2500" s="30" t="s">
        <v>53</v>
      </c>
      <c r="C2500" s="30" t="s">
        <v>106</v>
      </c>
      <c r="D2500" s="30" t="s">
        <v>193</v>
      </c>
      <c r="E2500" s="4" t="n">
        <v>2</v>
      </c>
      <c r="F2500" s="4" t="s">
        <v>144</v>
      </c>
      <c r="G2500" s="7" t="s">
        <v>230</v>
      </c>
      <c r="H2500" s="4" t="n">
        <v>2000</v>
      </c>
      <c r="I2500" s="4" t="s">
        <v>193</v>
      </c>
      <c r="J2500" s="25" t="str">
        <f aca="false">IF(M2500=1,"✓","")</f>
        <v>✓</v>
      </c>
      <c r="K2500" s="4" t="str">
        <f aca="false">IF(AND(M2500=0,P2500=0),"▶ NEXT","")</f>
        <v/>
      </c>
      <c r="L2500" s="4" t="n">
        <f aca="false">INDEX('Master List'!$F$2:$F$2594,O2500)</f>
        <v>5</v>
      </c>
      <c r="M2500" s="4" t="n">
        <f aca="false">INDEX('Master List'!$G$2:$G$2594,O2500)</f>
        <v>1</v>
      </c>
      <c r="N2500" s="4" t="str">
        <f aca="false">IF(K2500="","",A2500)</f>
        <v/>
      </c>
      <c r="O2500" s="4" t="n">
        <v>1129</v>
      </c>
      <c r="P2500" s="4" t="n">
        <f aca="false">IF(A2500=A2499,P2499+1-M2499,0)</f>
        <v>1</v>
      </c>
    </row>
    <row r="2501" customFormat="false" ht="15" hidden="false" customHeight="false" outlineLevel="0" collapsed="false">
      <c r="A2501" s="30" t="s">
        <v>4249</v>
      </c>
      <c r="B2501" s="30" t="s">
        <v>53</v>
      </c>
      <c r="C2501" s="30" t="s">
        <v>106</v>
      </c>
      <c r="D2501" s="30" t="s">
        <v>193</v>
      </c>
      <c r="E2501" s="4" t="n">
        <v>3</v>
      </c>
      <c r="F2501" s="4" t="s">
        <v>213</v>
      </c>
      <c r="G2501" s="4" t="s">
        <v>2478</v>
      </c>
      <c r="H2501" s="4" t="n">
        <v>1988</v>
      </c>
      <c r="I2501" s="4" t="s">
        <v>193</v>
      </c>
      <c r="J2501" s="25" t="str">
        <f aca="false">IF(M2501=1,"✓","")</f>
        <v/>
      </c>
      <c r="K2501" s="4" t="str">
        <f aca="false">IF(AND(M2501=0,P2501=0),"▶ NEXT","")</f>
        <v/>
      </c>
      <c r="L2501" s="4" t="n">
        <f aca="false">INDEX('Master List'!$F$2:$F$2594,O2501)</f>
        <v>1</v>
      </c>
      <c r="M2501" s="4" t="n">
        <f aca="false">INDEX('Master List'!$G$2:$G$2594,O2501)</f>
        <v>0</v>
      </c>
      <c r="N2501" s="4" t="str">
        <f aca="false">IF(K2501="","",A2501)</f>
        <v/>
      </c>
      <c r="O2501" s="4" t="n">
        <v>133</v>
      </c>
      <c r="P2501" s="4" t="n">
        <f aca="false">IF(A2501=A2500,P2500+1-M2500,0)</f>
        <v>1</v>
      </c>
    </row>
    <row r="2502" customFormat="false" ht="15" hidden="false" customHeight="false" outlineLevel="0" collapsed="false">
      <c r="A2502" s="30" t="s">
        <v>4249</v>
      </c>
      <c r="B2502" s="30" t="s">
        <v>53</v>
      </c>
      <c r="C2502" s="30" t="s">
        <v>106</v>
      </c>
      <c r="D2502" s="30" t="s">
        <v>193</v>
      </c>
      <c r="E2502" s="4" t="n">
        <v>4</v>
      </c>
      <c r="F2502" s="4" t="s">
        <v>213</v>
      </c>
      <c r="G2502" s="4" t="s">
        <v>1099</v>
      </c>
      <c r="H2502" s="4" t="n">
        <v>1990</v>
      </c>
      <c r="I2502" s="4" t="s">
        <v>193</v>
      </c>
      <c r="J2502" s="25" t="str">
        <f aca="false">IF(M2502=1,"✓","")</f>
        <v/>
      </c>
      <c r="K2502" s="4" t="str">
        <f aca="false">IF(AND(M2502=0,P2502=0),"▶ NEXT","")</f>
        <v/>
      </c>
      <c r="L2502" s="4" t="n">
        <f aca="false">INDEX('Master List'!$F$2:$F$2594,O2502)</f>
        <v>2</v>
      </c>
      <c r="M2502" s="4" t="n">
        <f aca="false">INDEX('Master List'!$G$2:$G$2594,O2502)</f>
        <v>0</v>
      </c>
      <c r="N2502" s="4" t="str">
        <f aca="false">IF(K2502="","",A2502)</f>
        <v/>
      </c>
      <c r="O2502" s="4" t="n">
        <v>579</v>
      </c>
      <c r="P2502" s="4" t="n">
        <f aca="false">IF(A2502=A2501,P2501+1-M2501,0)</f>
        <v>2</v>
      </c>
    </row>
    <row r="2503" customFormat="false" ht="15" hidden="false" customHeight="false" outlineLevel="0" collapsed="false">
      <c r="A2503" s="30" t="s">
        <v>4249</v>
      </c>
      <c r="B2503" s="30" t="s">
        <v>53</v>
      </c>
      <c r="C2503" s="30" t="s">
        <v>106</v>
      </c>
      <c r="D2503" s="30" t="s">
        <v>193</v>
      </c>
      <c r="E2503" s="4" t="n">
        <v>5</v>
      </c>
      <c r="F2503" s="4" t="s">
        <v>213</v>
      </c>
      <c r="G2503" s="4" t="s">
        <v>1106</v>
      </c>
      <c r="H2503" s="4" t="n">
        <v>1994</v>
      </c>
      <c r="I2503" s="4" t="s">
        <v>193</v>
      </c>
      <c r="J2503" s="25" t="str">
        <f aca="false">IF(M2503=1,"✓","")</f>
        <v/>
      </c>
      <c r="K2503" s="4" t="str">
        <f aca="false">IF(AND(M2503=0,P2503=0),"▶ NEXT","")</f>
        <v/>
      </c>
      <c r="L2503" s="4" t="n">
        <f aca="false">INDEX('Master List'!$F$2:$F$2594,O2503)</f>
        <v>2</v>
      </c>
      <c r="M2503" s="4" t="n">
        <f aca="false">INDEX('Master List'!$G$2:$G$2594,O2503)</f>
        <v>0</v>
      </c>
      <c r="N2503" s="4" t="str">
        <f aca="false">IF(K2503="","",A2503)</f>
        <v/>
      </c>
      <c r="O2503" s="4" t="n">
        <v>138</v>
      </c>
      <c r="P2503" s="4" t="n">
        <f aca="false">IF(A2503=A2502,P2502+1-M2502,0)</f>
        <v>3</v>
      </c>
    </row>
    <row r="2504" customFormat="false" ht="15" hidden="false" customHeight="false" outlineLevel="0" collapsed="false">
      <c r="A2504" s="30" t="s">
        <v>4249</v>
      </c>
      <c r="B2504" s="30" t="s">
        <v>53</v>
      </c>
      <c r="C2504" s="30" t="s">
        <v>106</v>
      </c>
      <c r="D2504" s="30" t="s">
        <v>193</v>
      </c>
      <c r="E2504" s="4" t="n">
        <v>6</v>
      </c>
      <c r="F2504" s="4" t="s">
        <v>213</v>
      </c>
      <c r="G2504" s="4" t="s">
        <v>619</v>
      </c>
      <c r="H2504" s="4" t="n">
        <v>1995</v>
      </c>
      <c r="I2504" s="4" t="s">
        <v>193</v>
      </c>
      <c r="J2504" s="25" t="str">
        <f aca="false">IF(M2504=1,"✓","")</f>
        <v/>
      </c>
      <c r="K2504" s="4" t="str">
        <f aca="false">IF(AND(M2504=0,P2504=0),"▶ NEXT","")</f>
        <v/>
      </c>
      <c r="L2504" s="4" t="n">
        <f aca="false">INDEX('Master List'!$F$2:$F$2594,O2504)</f>
        <v>3</v>
      </c>
      <c r="M2504" s="4" t="n">
        <f aca="false">INDEX('Master List'!$G$2:$G$2594,O2504)</f>
        <v>0</v>
      </c>
      <c r="N2504" s="4" t="str">
        <f aca="false">IF(K2504="","",A2504)</f>
        <v/>
      </c>
      <c r="O2504" s="4" t="n">
        <v>778</v>
      </c>
      <c r="P2504" s="4" t="n">
        <f aca="false">IF(A2504=A2503,P2503+1-M2503,0)</f>
        <v>4</v>
      </c>
    </row>
    <row r="2505" customFormat="false" ht="15" hidden="false" customHeight="false" outlineLevel="0" collapsed="false">
      <c r="A2505" s="30" t="s">
        <v>4249</v>
      </c>
      <c r="B2505" s="30" t="s">
        <v>53</v>
      </c>
      <c r="C2505" s="30" t="s">
        <v>106</v>
      </c>
      <c r="D2505" s="30" t="s">
        <v>193</v>
      </c>
      <c r="E2505" s="4" t="n">
        <v>7</v>
      </c>
      <c r="F2505" s="4" t="s">
        <v>213</v>
      </c>
      <c r="G2505" s="4" t="s">
        <v>621</v>
      </c>
      <c r="H2505" s="4" t="n">
        <v>1997</v>
      </c>
      <c r="I2505" s="4" t="s">
        <v>193</v>
      </c>
      <c r="J2505" s="25" t="str">
        <f aca="false">IF(M2505=1,"✓","")</f>
        <v/>
      </c>
      <c r="K2505" s="4" t="str">
        <f aca="false">IF(AND(M2505=0,P2505=0),"▶ NEXT","")</f>
        <v/>
      </c>
      <c r="L2505" s="4" t="n">
        <f aca="false">INDEX('Master List'!$F$2:$F$2594,O2505)</f>
        <v>3</v>
      </c>
      <c r="M2505" s="4" t="n">
        <f aca="false">INDEX('Master List'!$G$2:$G$2594,O2505)</f>
        <v>0</v>
      </c>
      <c r="N2505" s="4" t="str">
        <f aca="false">IF(K2505="","",A2505)</f>
        <v/>
      </c>
      <c r="O2505" s="4" t="n">
        <v>990</v>
      </c>
      <c r="P2505" s="4" t="n">
        <f aca="false">IF(A2505=A2504,P2504+1-M2504,0)</f>
        <v>5</v>
      </c>
    </row>
    <row r="2506" customFormat="false" ht="15" hidden="false" customHeight="false" outlineLevel="0" collapsed="false">
      <c r="A2506" s="30" t="s">
        <v>4249</v>
      </c>
      <c r="B2506" s="30" t="s">
        <v>53</v>
      </c>
      <c r="C2506" s="30" t="s">
        <v>106</v>
      </c>
      <c r="D2506" s="30" t="s">
        <v>193</v>
      </c>
      <c r="E2506" s="4" t="n">
        <v>8</v>
      </c>
      <c r="F2506" s="4" t="s">
        <v>213</v>
      </c>
      <c r="G2506" s="4" t="s">
        <v>2825</v>
      </c>
      <c r="H2506" s="4" t="n">
        <v>2004</v>
      </c>
      <c r="I2506" s="4" t="s">
        <v>193</v>
      </c>
      <c r="J2506" s="25" t="str">
        <f aca="false">IF(M2506=1,"✓","")</f>
        <v>✓</v>
      </c>
      <c r="K2506" s="4" t="str">
        <f aca="false">IF(AND(M2506=0,P2506=0),"▶ NEXT","")</f>
        <v/>
      </c>
      <c r="L2506" s="4" t="n">
        <f aca="false">INDEX('Master List'!$F$2:$F$2594,O2506)</f>
        <v>1</v>
      </c>
      <c r="M2506" s="4" t="n">
        <f aca="false">INDEX('Master List'!$G$2:$G$2594,O2506)</f>
        <v>1</v>
      </c>
      <c r="N2506" s="4" t="str">
        <f aca="false">IF(K2506="","",A2506)</f>
        <v/>
      </c>
      <c r="O2506" s="4" t="n">
        <v>13</v>
      </c>
      <c r="P2506" s="4" t="n">
        <f aca="false">IF(A2506=A2505,P2505+1-M2505,0)</f>
        <v>6</v>
      </c>
    </row>
    <row r="2507" customFormat="false" ht="15" hidden="false" customHeight="false" outlineLevel="0" collapsed="false">
      <c r="A2507" s="30" t="s">
        <v>4249</v>
      </c>
      <c r="B2507" s="30" t="s">
        <v>53</v>
      </c>
      <c r="C2507" s="30" t="s">
        <v>106</v>
      </c>
      <c r="D2507" s="30" t="s">
        <v>193</v>
      </c>
      <c r="E2507" s="4" t="n">
        <v>9</v>
      </c>
      <c r="F2507" s="4" t="s">
        <v>1327</v>
      </c>
      <c r="G2507" s="4" t="s">
        <v>3766</v>
      </c>
      <c r="H2507" s="4" t="n">
        <v>2007</v>
      </c>
      <c r="I2507" s="4" t="s">
        <v>193</v>
      </c>
      <c r="J2507" s="25" t="str">
        <f aca="false">IF(M2507=1,"✓","")</f>
        <v/>
      </c>
      <c r="K2507" s="4" t="str">
        <f aca="false">IF(AND(M2507=0,P2507=0),"▶ NEXT","")</f>
        <v/>
      </c>
      <c r="L2507" s="4" t="n">
        <f aca="false">INDEX('Master List'!$F$2:$F$2594,O2507)</f>
        <v>1</v>
      </c>
      <c r="M2507" s="4" t="n">
        <f aca="false">INDEX('Master List'!$G$2:$G$2594,O2507)</f>
        <v>0</v>
      </c>
      <c r="N2507" s="4" t="str">
        <f aca="false">IF(K2507="","",A2507)</f>
        <v/>
      </c>
      <c r="O2507" s="4" t="n">
        <v>1566</v>
      </c>
      <c r="P2507" s="4" t="n">
        <f aca="false">IF(A2507=A2506,P2506+1-M2506,0)</f>
        <v>6</v>
      </c>
    </row>
    <row r="2508" customFormat="false" ht="15" hidden="false" customHeight="false" outlineLevel="0" collapsed="false">
      <c r="A2508" s="30" t="s">
        <v>4249</v>
      </c>
      <c r="B2508" s="30" t="s">
        <v>53</v>
      </c>
      <c r="C2508" s="30" t="s">
        <v>106</v>
      </c>
      <c r="D2508" s="30" t="s">
        <v>193</v>
      </c>
      <c r="E2508" s="4" t="n">
        <v>10</v>
      </c>
      <c r="F2508" s="4" t="s">
        <v>1327</v>
      </c>
      <c r="G2508" s="4" t="s">
        <v>3814</v>
      </c>
      <c r="H2508" s="4" t="n">
        <v>2013</v>
      </c>
      <c r="I2508" s="4" t="s">
        <v>193</v>
      </c>
      <c r="J2508" s="25" t="str">
        <f aca="false">IF(M2508=1,"✓","")</f>
        <v/>
      </c>
      <c r="K2508" s="4" t="str">
        <f aca="false">IF(AND(M2508=0,P2508=0),"▶ NEXT","")</f>
        <v/>
      </c>
      <c r="L2508" s="4" t="n">
        <f aca="false">INDEX('Master List'!$F$2:$F$2594,O2508)</f>
        <v>1</v>
      </c>
      <c r="M2508" s="4" t="n">
        <f aca="false">INDEX('Master List'!$G$2:$G$2594,O2508)</f>
        <v>0</v>
      </c>
      <c r="N2508" s="4" t="str">
        <f aca="false">IF(K2508="","",A2508)</f>
        <v/>
      </c>
      <c r="O2508" s="4" t="n">
        <v>944</v>
      </c>
      <c r="P2508" s="4" t="n">
        <f aca="false">IF(A2508=A2507,P2507+1-M2507,0)</f>
        <v>7</v>
      </c>
    </row>
    <row r="2509" customFormat="false" ht="15" hidden="false" customHeight="false" outlineLevel="0" collapsed="false">
      <c r="A2509" s="30" t="s">
        <v>4250</v>
      </c>
      <c r="B2509" s="30" t="s">
        <v>53</v>
      </c>
      <c r="C2509" s="30" t="s">
        <v>106</v>
      </c>
      <c r="D2509" s="30" t="s">
        <v>4251</v>
      </c>
      <c r="E2509" s="4" t="n">
        <v>1</v>
      </c>
      <c r="F2509" s="4" t="s">
        <v>144</v>
      </c>
      <c r="G2509" s="7" t="s">
        <v>275</v>
      </c>
      <c r="H2509" s="4" t="n">
        <v>2003</v>
      </c>
      <c r="I2509" s="4" t="s">
        <v>276</v>
      </c>
      <c r="J2509" s="25" t="str">
        <f aca="false">IF(M2509=1,"✓","")</f>
        <v/>
      </c>
      <c r="K2509" s="4" t="str">
        <f aca="false">IF(AND(M2509=0,P2509=0),"▶ NEXT","")</f>
        <v>▶ NEXT</v>
      </c>
      <c r="L2509" s="4" t="n">
        <f aca="false">INDEX('Master List'!$F$2:$F$2594,O2509)</f>
        <v>5</v>
      </c>
      <c r="M2509" s="4" t="n">
        <f aca="false">INDEX('Master List'!$G$2:$G$2594,O2509)</f>
        <v>0</v>
      </c>
      <c r="N2509" s="4" t="str">
        <f aca="false">IF(K2509="","",A2509)</f>
        <v>N210</v>
      </c>
      <c r="O2509" s="4" t="n">
        <v>1478</v>
      </c>
      <c r="P2509" s="4" t="n">
        <f aca="false">IF(A2509=A2508,P2508+1-M2508,0)</f>
        <v>0</v>
      </c>
    </row>
    <row r="2510" customFormat="false" ht="15" hidden="false" customHeight="false" outlineLevel="0" collapsed="false">
      <c r="A2510" s="30" t="s">
        <v>4250</v>
      </c>
      <c r="B2510" s="30" t="s">
        <v>53</v>
      </c>
      <c r="C2510" s="30" t="s">
        <v>106</v>
      </c>
      <c r="D2510" s="30" t="s">
        <v>4251</v>
      </c>
      <c r="E2510" s="4" t="n">
        <v>2</v>
      </c>
      <c r="F2510" s="4" t="s">
        <v>144</v>
      </c>
      <c r="G2510" s="7" t="s">
        <v>684</v>
      </c>
      <c r="H2510" s="4" t="n">
        <v>2003</v>
      </c>
      <c r="I2510" s="4" t="s">
        <v>685</v>
      </c>
      <c r="J2510" s="25" t="str">
        <f aca="false">IF(M2510=1,"✓","")</f>
        <v/>
      </c>
      <c r="K2510" s="4" t="str">
        <f aca="false">IF(AND(M2510=0,P2510=0),"▶ NEXT","")</f>
        <v/>
      </c>
      <c r="L2510" s="4" t="n">
        <f aca="false">INDEX('Master List'!$F$2:$F$2594,O2510)</f>
        <v>2</v>
      </c>
      <c r="M2510" s="4" t="n">
        <f aca="false">INDEX('Master List'!$G$2:$G$2594,O2510)</f>
        <v>0</v>
      </c>
      <c r="N2510" s="4" t="str">
        <f aca="false">IF(K2510="","",A2510)</f>
        <v/>
      </c>
      <c r="O2510" s="4" t="n">
        <v>1658</v>
      </c>
      <c r="P2510" s="4" t="n">
        <f aca="false">IF(A2510=A2509,P2509+1-M2509,0)</f>
        <v>1</v>
      </c>
    </row>
    <row r="2511" customFormat="false" ht="15" hidden="false" customHeight="false" outlineLevel="0" collapsed="false">
      <c r="A2511" s="30" t="s">
        <v>4250</v>
      </c>
      <c r="B2511" s="30" t="s">
        <v>53</v>
      </c>
      <c r="C2511" s="30" t="s">
        <v>106</v>
      </c>
      <c r="D2511" s="30" t="s">
        <v>4251</v>
      </c>
      <c r="E2511" s="4" t="n">
        <v>3</v>
      </c>
      <c r="F2511" s="4" t="s">
        <v>213</v>
      </c>
      <c r="G2511" s="4" t="s">
        <v>2724</v>
      </c>
      <c r="H2511" s="4" t="n">
        <v>2000</v>
      </c>
      <c r="I2511" s="4" t="s">
        <v>276</v>
      </c>
      <c r="J2511" s="25" t="str">
        <f aca="false">IF(M2511=1,"✓","")</f>
        <v/>
      </c>
      <c r="K2511" s="4" t="str">
        <f aca="false">IF(AND(M2511=0,P2511=0),"▶ NEXT","")</f>
        <v/>
      </c>
      <c r="L2511" s="4" t="n">
        <f aca="false">INDEX('Master List'!$F$2:$F$2594,O2511)</f>
        <v>1</v>
      </c>
      <c r="M2511" s="4" t="n">
        <f aca="false">INDEX('Master List'!$G$2:$G$2594,O2511)</f>
        <v>0</v>
      </c>
      <c r="N2511" s="4" t="str">
        <f aca="false">IF(K2511="","",A2511)</f>
        <v/>
      </c>
      <c r="O2511" s="4" t="n">
        <v>188</v>
      </c>
      <c r="P2511" s="4" t="n">
        <f aca="false">IF(A2511=A2510,P2510+1-M2510,0)</f>
        <v>2</v>
      </c>
    </row>
    <row r="2512" customFormat="false" ht="15" hidden="false" customHeight="false" outlineLevel="0" collapsed="false">
      <c r="A2512" s="30" t="s">
        <v>4250</v>
      </c>
      <c r="B2512" s="30" t="s">
        <v>53</v>
      </c>
      <c r="C2512" s="30" t="s">
        <v>106</v>
      </c>
      <c r="D2512" s="30" t="s">
        <v>4251</v>
      </c>
      <c r="E2512" s="4" t="n">
        <v>4</v>
      </c>
      <c r="F2512" s="4" t="s">
        <v>213</v>
      </c>
      <c r="G2512" s="4" t="s">
        <v>638</v>
      </c>
      <c r="H2512" s="4" t="n">
        <v>2006</v>
      </c>
      <c r="I2512" s="4" t="s">
        <v>276</v>
      </c>
      <c r="J2512" s="25" t="str">
        <f aca="false">IF(M2512=1,"✓","")</f>
        <v/>
      </c>
      <c r="K2512" s="4" t="str">
        <f aca="false">IF(AND(M2512=0,P2512=0),"▶ NEXT","")</f>
        <v/>
      </c>
      <c r="L2512" s="4" t="n">
        <f aca="false">INDEX('Master List'!$F$2:$F$2594,O2512)</f>
        <v>3</v>
      </c>
      <c r="M2512" s="4" t="n">
        <f aca="false">INDEX('Master List'!$G$2:$G$2594,O2512)</f>
        <v>0</v>
      </c>
      <c r="N2512" s="4" t="str">
        <f aca="false">IF(K2512="","",A2512)</f>
        <v/>
      </c>
      <c r="O2512" s="4" t="n">
        <v>1063</v>
      </c>
      <c r="P2512" s="4" t="n">
        <f aca="false">IF(A2512=A2511,P2511+1-M2511,0)</f>
        <v>3</v>
      </c>
    </row>
    <row r="2513" customFormat="false" ht="15" hidden="false" customHeight="false" outlineLevel="0" collapsed="false">
      <c r="A2513" s="30" t="s">
        <v>4250</v>
      </c>
      <c r="B2513" s="30" t="s">
        <v>53</v>
      </c>
      <c r="C2513" s="30" t="s">
        <v>106</v>
      </c>
      <c r="D2513" s="30" t="s">
        <v>4251</v>
      </c>
      <c r="E2513" s="4" t="n">
        <v>5</v>
      </c>
      <c r="F2513" s="4" t="s">
        <v>213</v>
      </c>
      <c r="G2513" s="4" t="s">
        <v>1192</v>
      </c>
      <c r="H2513" s="4" t="n">
        <v>2009</v>
      </c>
      <c r="I2513" s="4" t="s">
        <v>276</v>
      </c>
      <c r="J2513" s="25" t="str">
        <f aca="false">IF(M2513=1,"✓","")</f>
        <v/>
      </c>
      <c r="K2513" s="4" t="str">
        <f aca="false">IF(AND(M2513=0,P2513=0),"▶ NEXT","")</f>
        <v/>
      </c>
      <c r="L2513" s="4" t="n">
        <f aca="false">INDEX('Master List'!$F$2:$F$2594,O2513)</f>
        <v>2</v>
      </c>
      <c r="M2513" s="4" t="n">
        <f aca="false">INDEX('Master List'!$G$2:$G$2594,O2513)</f>
        <v>0</v>
      </c>
      <c r="N2513" s="4" t="str">
        <f aca="false">IF(K2513="","",A2513)</f>
        <v/>
      </c>
      <c r="O2513" s="4" t="n">
        <v>1538</v>
      </c>
      <c r="P2513" s="4" t="n">
        <f aca="false">IF(A2513=A2512,P2512+1-M2512,0)</f>
        <v>4</v>
      </c>
    </row>
    <row r="2514" customFormat="false" ht="15" hidden="false" customHeight="false" outlineLevel="0" collapsed="false">
      <c r="A2514" s="30" t="s">
        <v>4250</v>
      </c>
      <c r="B2514" s="30" t="s">
        <v>53</v>
      </c>
      <c r="C2514" s="30" t="s">
        <v>106</v>
      </c>
      <c r="D2514" s="30" t="s">
        <v>4251</v>
      </c>
      <c r="E2514" s="4" t="n">
        <v>6</v>
      </c>
      <c r="F2514" s="4" t="s">
        <v>213</v>
      </c>
      <c r="G2514" s="4" t="s">
        <v>1208</v>
      </c>
      <c r="H2514" s="4" t="n">
        <v>2013</v>
      </c>
      <c r="I2514" s="4" t="s">
        <v>276</v>
      </c>
      <c r="J2514" s="25" t="str">
        <f aca="false">IF(M2514=1,"✓","")</f>
        <v>✓</v>
      </c>
      <c r="K2514" s="4" t="str">
        <f aca="false">IF(AND(M2514=0,P2514=0),"▶ NEXT","")</f>
        <v/>
      </c>
      <c r="L2514" s="4" t="n">
        <f aca="false">INDEX('Master List'!$F$2:$F$2594,O2514)</f>
        <v>2</v>
      </c>
      <c r="M2514" s="4" t="n">
        <f aca="false">INDEX('Master List'!$G$2:$G$2594,O2514)</f>
        <v>1</v>
      </c>
      <c r="N2514" s="4" t="str">
        <f aca="false">IF(K2514="","",A2514)</f>
        <v/>
      </c>
      <c r="O2514" s="4" t="n">
        <v>2101</v>
      </c>
      <c r="P2514" s="4" t="n">
        <f aca="false">IF(A2514=A2513,P2513+1-M2513,0)</f>
        <v>5</v>
      </c>
    </row>
    <row r="2515" customFormat="false" ht="15" hidden="false" customHeight="false" outlineLevel="0" collapsed="false">
      <c r="A2515" s="30" t="s">
        <v>4250</v>
      </c>
      <c r="B2515" s="30" t="s">
        <v>53</v>
      </c>
      <c r="C2515" s="30" t="s">
        <v>106</v>
      </c>
      <c r="D2515" s="30" t="s">
        <v>4251</v>
      </c>
      <c r="E2515" s="4" t="n">
        <v>7</v>
      </c>
      <c r="F2515" s="4" t="s">
        <v>213</v>
      </c>
      <c r="G2515" s="4" t="s">
        <v>297</v>
      </c>
      <c r="H2515" s="4" t="n">
        <v>2019</v>
      </c>
      <c r="I2515" s="4" t="s">
        <v>276</v>
      </c>
      <c r="J2515" s="25" t="str">
        <f aca="false">IF(M2515=1,"✓","")</f>
        <v>✓</v>
      </c>
      <c r="K2515" s="4" t="str">
        <f aca="false">IF(AND(M2515=0,P2515=0),"▶ NEXT","")</f>
        <v/>
      </c>
      <c r="L2515" s="4" t="n">
        <f aca="false">INDEX('Master List'!$F$2:$F$2594,O2515)</f>
        <v>5</v>
      </c>
      <c r="M2515" s="4" t="n">
        <f aca="false">INDEX('Master List'!$G$2:$G$2594,O2515)</f>
        <v>1</v>
      </c>
      <c r="N2515" s="4" t="str">
        <f aca="false">IF(K2515="","",A2515)</f>
        <v/>
      </c>
      <c r="O2515" s="4" t="n">
        <v>1720</v>
      </c>
      <c r="P2515" s="4" t="n">
        <f aca="false">IF(A2515=A2514,P2514+1-M2514,0)</f>
        <v>5</v>
      </c>
    </row>
    <row r="2516" customFormat="false" ht="15" hidden="false" customHeight="false" outlineLevel="0" collapsed="false">
      <c r="A2516" s="30" t="s">
        <v>4250</v>
      </c>
      <c r="B2516" s="30" t="s">
        <v>53</v>
      </c>
      <c r="C2516" s="30" t="s">
        <v>106</v>
      </c>
      <c r="D2516" s="30" t="s">
        <v>4251</v>
      </c>
      <c r="E2516" s="4" t="n">
        <v>8</v>
      </c>
      <c r="F2516" s="4" t="s">
        <v>213</v>
      </c>
      <c r="G2516" s="4" t="s">
        <v>1141</v>
      </c>
      <c r="H2516" s="4" t="n">
        <v>2000</v>
      </c>
      <c r="I2516" s="4" t="s">
        <v>685</v>
      </c>
      <c r="J2516" s="25" t="str">
        <f aca="false">IF(M2516=1,"✓","")</f>
        <v/>
      </c>
      <c r="K2516" s="4" t="str">
        <f aca="false">IF(AND(M2516=0,P2516=0),"▶ NEXT","")</f>
        <v/>
      </c>
      <c r="L2516" s="4" t="n">
        <f aca="false">INDEX('Master List'!$F$2:$F$2594,O2516)</f>
        <v>2</v>
      </c>
      <c r="M2516" s="4" t="n">
        <f aca="false">INDEX('Master List'!$G$2:$G$2594,O2516)</f>
        <v>0</v>
      </c>
      <c r="N2516" s="4" t="str">
        <f aca="false">IF(K2516="","",A2516)</f>
        <v/>
      </c>
      <c r="O2516" s="4" t="n">
        <v>1215</v>
      </c>
      <c r="P2516" s="4" t="n">
        <f aca="false">IF(A2516=A2515,P2515+1-M2515,0)</f>
        <v>5</v>
      </c>
    </row>
    <row r="2517" customFormat="false" ht="15" hidden="false" customHeight="false" outlineLevel="0" collapsed="false">
      <c r="A2517" s="30" t="s">
        <v>4250</v>
      </c>
      <c r="B2517" s="30" t="s">
        <v>53</v>
      </c>
      <c r="C2517" s="30" t="s">
        <v>106</v>
      </c>
      <c r="D2517" s="30" t="s">
        <v>4251</v>
      </c>
      <c r="E2517" s="4" t="n">
        <v>9</v>
      </c>
      <c r="F2517" s="4" t="s">
        <v>213</v>
      </c>
      <c r="G2517" s="4" t="s">
        <v>1158</v>
      </c>
      <c r="H2517" s="4" t="n">
        <v>2002</v>
      </c>
      <c r="I2517" s="4" t="s">
        <v>685</v>
      </c>
      <c r="J2517" s="25" t="str">
        <f aca="false">IF(M2517=1,"✓","")</f>
        <v/>
      </c>
      <c r="K2517" s="4" t="str">
        <f aca="false">IF(AND(M2517=0,P2517=0),"▶ NEXT","")</f>
        <v/>
      </c>
      <c r="L2517" s="4" t="n">
        <f aca="false">INDEX('Master List'!$F$2:$F$2594,O2517)</f>
        <v>2</v>
      </c>
      <c r="M2517" s="4" t="n">
        <f aca="false">INDEX('Master List'!$G$2:$G$2594,O2517)</f>
        <v>0</v>
      </c>
      <c r="N2517" s="4" t="str">
        <f aca="false">IF(K2517="","",A2517)</f>
        <v/>
      </c>
      <c r="O2517" s="4" t="n">
        <v>2222</v>
      </c>
      <c r="P2517" s="4" t="n">
        <f aca="false">IF(A2517=A2516,P2516+1-M2516,0)</f>
        <v>6</v>
      </c>
    </row>
    <row r="2518" customFormat="false" ht="15" hidden="false" customHeight="false" outlineLevel="0" collapsed="false">
      <c r="A2518" s="30" t="s">
        <v>4250</v>
      </c>
      <c r="B2518" s="30" t="s">
        <v>53</v>
      </c>
      <c r="C2518" s="30" t="s">
        <v>106</v>
      </c>
      <c r="D2518" s="30" t="s">
        <v>4251</v>
      </c>
      <c r="E2518" s="4" t="n">
        <v>10</v>
      </c>
      <c r="F2518" s="4" t="s">
        <v>213</v>
      </c>
      <c r="G2518" s="4" t="s">
        <v>1167</v>
      </c>
      <c r="H2518" s="4" t="n">
        <v>2005</v>
      </c>
      <c r="I2518" s="4" t="s">
        <v>685</v>
      </c>
      <c r="J2518" s="25" t="str">
        <f aca="false">IF(M2518=1,"✓","")</f>
        <v/>
      </c>
      <c r="K2518" s="4" t="str">
        <f aca="false">IF(AND(M2518=0,P2518=0),"▶ NEXT","")</f>
        <v/>
      </c>
      <c r="L2518" s="4" t="n">
        <f aca="false">INDEX('Master List'!$F$2:$F$2594,O2518)</f>
        <v>2</v>
      </c>
      <c r="M2518" s="4" t="n">
        <f aca="false">INDEX('Master List'!$G$2:$G$2594,O2518)</f>
        <v>0</v>
      </c>
      <c r="N2518" s="4" t="str">
        <f aca="false">IF(K2518="","",A2518)</f>
        <v/>
      </c>
      <c r="O2518" s="4" t="n">
        <v>1283</v>
      </c>
      <c r="P2518" s="4" t="n">
        <f aca="false">IF(A2518=A2517,P2517+1-M2517,0)</f>
        <v>7</v>
      </c>
    </row>
    <row r="2519" customFormat="false" ht="15" hidden="false" customHeight="false" outlineLevel="0" collapsed="false">
      <c r="A2519" s="30" t="s">
        <v>4250</v>
      </c>
      <c r="B2519" s="30" t="s">
        <v>53</v>
      </c>
      <c r="C2519" s="30" t="s">
        <v>106</v>
      </c>
      <c r="D2519" s="30" t="s">
        <v>4251</v>
      </c>
      <c r="E2519" s="4" t="n">
        <v>11</v>
      </c>
      <c r="F2519" s="4" t="s">
        <v>213</v>
      </c>
      <c r="G2519" s="4" t="s">
        <v>1228</v>
      </c>
      <c r="H2519" s="4" t="n">
        <v>2016</v>
      </c>
      <c r="I2519" s="4" t="s">
        <v>685</v>
      </c>
      <c r="J2519" s="25" t="str">
        <f aca="false">IF(M2519=1,"✓","")</f>
        <v/>
      </c>
      <c r="K2519" s="4" t="str">
        <f aca="false">IF(AND(M2519=0,P2519=0),"▶ NEXT","")</f>
        <v/>
      </c>
      <c r="L2519" s="4" t="n">
        <f aca="false">INDEX('Master List'!$F$2:$F$2594,O2519)</f>
        <v>2</v>
      </c>
      <c r="M2519" s="4" t="n">
        <f aca="false">INDEX('Master List'!$G$2:$G$2594,O2519)</f>
        <v>0</v>
      </c>
      <c r="N2519" s="4" t="str">
        <f aca="false">IF(K2519="","",A2519)</f>
        <v/>
      </c>
      <c r="O2519" s="4" t="n">
        <v>983</v>
      </c>
      <c r="P2519" s="4" t="n">
        <f aca="false">IF(A2519=A2518,P2518+1-M2518,0)</f>
        <v>8</v>
      </c>
    </row>
    <row r="2520" customFormat="false" ht="15" hidden="false" customHeight="false" outlineLevel="0" collapsed="false">
      <c r="A2520" s="30" t="s">
        <v>4250</v>
      </c>
      <c r="B2520" s="30" t="s">
        <v>53</v>
      </c>
      <c r="C2520" s="30" t="s">
        <v>106</v>
      </c>
      <c r="D2520" s="30" t="s">
        <v>4251</v>
      </c>
      <c r="E2520" s="4" t="n">
        <v>12</v>
      </c>
      <c r="F2520" s="4" t="s">
        <v>213</v>
      </c>
      <c r="G2520" s="4" t="s">
        <v>1263</v>
      </c>
      <c r="H2520" s="4" t="n">
        <v>2022</v>
      </c>
      <c r="I2520" s="4" t="s">
        <v>685</v>
      </c>
      <c r="J2520" s="25" t="str">
        <f aca="false">IF(M2520=1,"✓","")</f>
        <v/>
      </c>
      <c r="K2520" s="4" t="str">
        <f aca="false">IF(AND(M2520=0,P2520=0),"▶ NEXT","")</f>
        <v/>
      </c>
      <c r="L2520" s="4" t="n">
        <f aca="false">INDEX('Master List'!$F$2:$F$2594,O2520)</f>
        <v>2</v>
      </c>
      <c r="M2520" s="4" t="n">
        <f aca="false">INDEX('Master List'!$G$2:$G$2594,O2520)</f>
        <v>0</v>
      </c>
      <c r="N2520" s="4" t="str">
        <f aca="false">IF(K2520="","",A2520)</f>
        <v/>
      </c>
      <c r="O2520" s="4" t="n">
        <v>600</v>
      </c>
      <c r="P2520" s="4" t="n">
        <f aca="false">IF(A2520=A2519,P2519+1-M2519,0)</f>
        <v>9</v>
      </c>
    </row>
    <row r="2521" customFormat="false" ht="15" hidden="false" customHeight="false" outlineLevel="0" collapsed="false">
      <c r="A2521" s="30" t="s">
        <v>4250</v>
      </c>
      <c r="B2521" s="30" t="s">
        <v>53</v>
      </c>
      <c r="C2521" s="30" t="s">
        <v>106</v>
      </c>
      <c r="D2521" s="30" t="s">
        <v>4251</v>
      </c>
      <c r="E2521" s="4" t="n">
        <v>13</v>
      </c>
      <c r="F2521" s="4" t="s">
        <v>1327</v>
      </c>
      <c r="G2521" s="4" t="s">
        <v>3782</v>
      </c>
      <c r="H2521" s="4" t="n">
        <v>2009</v>
      </c>
      <c r="I2521" s="4" t="s">
        <v>685</v>
      </c>
      <c r="J2521" s="25" t="str">
        <f aca="false">IF(M2521=1,"✓","")</f>
        <v/>
      </c>
      <c r="K2521" s="4" t="str">
        <f aca="false">IF(AND(M2521=0,P2521=0),"▶ NEXT","")</f>
        <v/>
      </c>
      <c r="L2521" s="4" t="n">
        <f aca="false">INDEX('Master List'!$F$2:$F$2594,O2521)</f>
        <v>1</v>
      </c>
      <c r="M2521" s="4" t="n">
        <f aca="false">INDEX('Master List'!$G$2:$G$2594,O2521)</f>
        <v>0</v>
      </c>
      <c r="N2521" s="4" t="str">
        <f aca="false">IF(K2521="","",A2521)</f>
        <v/>
      </c>
      <c r="O2521" s="4" t="n">
        <v>2282</v>
      </c>
      <c r="P2521" s="4" t="n">
        <f aca="false">IF(A2521=A2520,P2520+1-M2520,0)</f>
        <v>10</v>
      </c>
    </row>
    <row r="2522" customFormat="false" ht="15" hidden="false" customHeight="false" outlineLevel="0" collapsed="false">
      <c r="A2522" s="30" t="s">
        <v>4250</v>
      </c>
      <c r="B2522" s="30" t="s">
        <v>53</v>
      </c>
      <c r="C2522" s="30" t="s">
        <v>106</v>
      </c>
      <c r="D2522" s="30" t="s">
        <v>4251</v>
      </c>
      <c r="E2522" s="4" t="n">
        <v>14</v>
      </c>
      <c r="F2522" s="4" t="s">
        <v>1327</v>
      </c>
      <c r="G2522" s="4" t="s">
        <v>3841</v>
      </c>
      <c r="H2522" s="4" t="n">
        <v>2017</v>
      </c>
      <c r="I2522" s="4" t="s">
        <v>276</v>
      </c>
      <c r="J2522" s="25" t="str">
        <f aca="false">IF(M2522=1,"✓","")</f>
        <v>✓</v>
      </c>
      <c r="K2522" s="4" t="str">
        <f aca="false">IF(AND(M2522=0,P2522=0),"▶ NEXT","")</f>
        <v/>
      </c>
      <c r="L2522" s="4" t="n">
        <f aca="false">INDEX('Master List'!$F$2:$F$2594,O2522)</f>
        <v>1</v>
      </c>
      <c r="M2522" s="4" t="n">
        <f aca="false">INDEX('Master List'!$G$2:$G$2594,O2522)</f>
        <v>1</v>
      </c>
      <c r="N2522" s="4" t="str">
        <f aca="false">IF(K2522="","",A2522)</f>
        <v/>
      </c>
      <c r="O2522" s="4" t="n">
        <v>1655</v>
      </c>
      <c r="P2522" s="4" t="n">
        <f aca="false">IF(A2522=A2521,P2521+1-M2521,0)</f>
        <v>11</v>
      </c>
    </row>
    <row r="2523" customFormat="false" ht="15" hidden="false" customHeight="false" outlineLevel="0" collapsed="false">
      <c r="A2523" s="30" t="s">
        <v>4252</v>
      </c>
      <c r="B2523" s="30" t="s">
        <v>53</v>
      </c>
      <c r="C2523" s="30" t="s">
        <v>106</v>
      </c>
      <c r="D2523" s="30" t="s">
        <v>1628</v>
      </c>
      <c r="E2523" s="4" t="n">
        <v>1</v>
      </c>
      <c r="F2523" s="4" t="s">
        <v>144</v>
      </c>
      <c r="G2523" s="7" t="s">
        <v>1627</v>
      </c>
      <c r="H2523" s="4" t="n">
        <v>2015</v>
      </c>
      <c r="I2523" s="4" t="s">
        <v>1628</v>
      </c>
      <c r="J2523" s="25" t="str">
        <f aca="false">IF(M2523=1,"✓","")</f>
        <v/>
      </c>
      <c r="K2523" s="4" t="str">
        <f aca="false">IF(AND(M2523=0,P2523=0),"▶ NEXT","")</f>
        <v>▶ NEXT</v>
      </c>
      <c r="L2523" s="4" t="n">
        <f aca="false">INDEX('Master List'!$F$2:$F$2594,O2523)</f>
        <v>1</v>
      </c>
      <c r="M2523" s="4" t="n">
        <f aca="false">INDEX('Master List'!$G$2:$G$2594,O2523)</f>
        <v>0</v>
      </c>
      <c r="N2523" s="4" t="str">
        <f aca="false">IF(K2523="","",A2523)</f>
        <v>N211</v>
      </c>
      <c r="O2523" s="4" t="n">
        <v>1906</v>
      </c>
      <c r="P2523" s="4" t="n">
        <f aca="false">IF(A2523=A2522,P2522+1-M2522,0)</f>
        <v>0</v>
      </c>
    </row>
    <row r="2524" customFormat="false" ht="15" hidden="false" customHeight="false" outlineLevel="0" collapsed="false">
      <c r="A2524" s="30" t="s">
        <v>4252</v>
      </c>
      <c r="B2524" s="30" t="s">
        <v>53</v>
      </c>
      <c r="C2524" s="30" t="s">
        <v>106</v>
      </c>
      <c r="D2524" s="30" t="s">
        <v>1628</v>
      </c>
      <c r="E2524" s="4" t="n">
        <v>2</v>
      </c>
      <c r="F2524" s="4" t="s">
        <v>144</v>
      </c>
      <c r="G2524" s="7" t="s">
        <v>1636</v>
      </c>
      <c r="H2524" s="4" t="n">
        <v>2017</v>
      </c>
      <c r="I2524" s="4" t="s">
        <v>1628</v>
      </c>
      <c r="J2524" s="25" t="str">
        <f aca="false">IF(M2524=1,"✓","")</f>
        <v/>
      </c>
      <c r="K2524" s="4" t="str">
        <f aca="false">IF(AND(M2524=0,P2524=0),"▶ NEXT","")</f>
        <v/>
      </c>
      <c r="L2524" s="4" t="n">
        <f aca="false">INDEX('Master List'!$F$2:$F$2594,O2524)</f>
        <v>1</v>
      </c>
      <c r="M2524" s="4" t="n">
        <f aca="false">INDEX('Master List'!$G$2:$G$2594,O2524)</f>
        <v>0</v>
      </c>
      <c r="N2524" s="4" t="str">
        <f aca="false">IF(K2524="","",A2524)</f>
        <v/>
      </c>
      <c r="O2524" s="4" t="n">
        <v>1665</v>
      </c>
      <c r="P2524" s="4" t="n">
        <f aca="false">IF(A2524=A2523,P2523+1-M2523,0)</f>
        <v>1</v>
      </c>
    </row>
    <row r="2525" customFormat="false" ht="15" hidden="false" customHeight="false" outlineLevel="0" collapsed="false">
      <c r="A2525" s="30" t="s">
        <v>4252</v>
      </c>
      <c r="B2525" s="30" t="s">
        <v>53</v>
      </c>
      <c r="C2525" s="30" t="s">
        <v>106</v>
      </c>
      <c r="D2525" s="30" t="s">
        <v>1628</v>
      </c>
      <c r="E2525" s="4" t="n">
        <v>3</v>
      </c>
      <c r="F2525" s="4" t="s">
        <v>213</v>
      </c>
      <c r="G2525" s="4" t="s">
        <v>2645</v>
      </c>
      <c r="H2525" s="4" t="n">
        <v>1996</v>
      </c>
      <c r="I2525" s="4" t="s">
        <v>1628</v>
      </c>
      <c r="J2525" s="25" t="str">
        <f aca="false">IF(M2525=1,"✓","")</f>
        <v/>
      </c>
      <c r="K2525" s="4" t="str">
        <f aca="false">IF(AND(M2525=0,P2525=0),"▶ NEXT","")</f>
        <v/>
      </c>
      <c r="L2525" s="4" t="n">
        <f aca="false">INDEX('Master List'!$F$2:$F$2594,O2525)</f>
        <v>1</v>
      </c>
      <c r="M2525" s="4" t="n">
        <f aca="false">INDEX('Master List'!$G$2:$G$2594,O2525)</f>
        <v>0</v>
      </c>
      <c r="N2525" s="4" t="str">
        <f aca="false">IF(K2525="","",A2525)</f>
        <v/>
      </c>
      <c r="O2525" s="4" t="n">
        <v>570</v>
      </c>
      <c r="P2525" s="4" t="n">
        <f aca="false">IF(A2525=A2524,P2524+1-M2524,0)</f>
        <v>2</v>
      </c>
    </row>
    <row r="2526" customFormat="false" ht="15" hidden="false" customHeight="false" outlineLevel="0" collapsed="false">
      <c r="A2526" s="30" t="s">
        <v>4252</v>
      </c>
      <c r="B2526" s="30" t="s">
        <v>53</v>
      </c>
      <c r="C2526" s="30" t="s">
        <v>106</v>
      </c>
      <c r="D2526" s="30" t="s">
        <v>1628</v>
      </c>
      <c r="E2526" s="4" t="n">
        <v>4</v>
      </c>
      <c r="F2526" s="4" t="s">
        <v>213</v>
      </c>
      <c r="G2526" s="4" t="s">
        <v>2826</v>
      </c>
      <c r="H2526" s="4" t="n">
        <v>2004</v>
      </c>
      <c r="I2526" s="4" t="s">
        <v>1628</v>
      </c>
      <c r="J2526" s="25" t="str">
        <f aca="false">IF(M2526=1,"✓","")</f>
        <v/>
      </c>
      <c r="K2526" s="4" t="str">
        <f aca="false">IF(AND(M2526=0,P2526=0),"▶ NEXT","")</f>
        <v/>
      </c>
      <c r="L2526" s="4" t="n">
        <f aca="false">INDEX('Master List'!$F$2:$F$2594,O2526)</f>
        <v>1</v>
      </c>
      <c r="M2526" s="4" t="n">
        <f aca="false">INDEX('Master List'!$G$2:$G$2594,O2526)</f>
        <v>0</v>
      </c>
      <c r="N2526" s="4" t="str">
        <f aca="false">IF(K2526="","",A2526)</f>
        <v/>
      </c>
      <c r="O2526" s="4" t="n">
        <v>2544</v>
      </c>
      <c r="P2526" s="4" t="n">
        <f aca="false">IF(A2526=A2525,P2525+1-M2525,0)</f>
        <v>3</v>
      </c>
    </row>
    <row r="2527" customFormat="false" ht="15" hidden="false" customHeight="false" outlineLevel="0" collapsed="false">
      <c r="A2527" s="30" t="s">
        <v>4252</v>
      </c>
      <c r="B2527" s="30" t="s">
        <v>53</v>
      </c>
      <c r="C2527" s="30" t="s">
        <v>106</v>
      </c>
      <c r="D2527" s="30" t="s">
        <v>1628</v>
      </c>
      <c r="E2527" s="4" t="n">
        <v>5</v>
      </c>
      <c r="F2527" s="4" t="s">
        <v>213</v>
      </c>
      <c r="G2527" s="4" t="s">
        <v>2861</v>
      </c>
      <c r="H2527" s="4" t="n">
        <v>2006</v>
      </c>
      <c r="I2527" s="4" t="s">
        <v>1628</v>
      </c>
      <c r="J2527" s="25" t="str">
        <f aca="false">IF(M2527=1,"✓","")</f>
        <v/>
      </c>
      <c r="K2527" s="4" t="str">
        <f aca="false">IF(AND(M2527=0,P2527=0),"▶ NEXT","")</f>
        <v/>
      </c>
      <c r="L2527" s="4" t="n">
        <f aca="false">INDEX('Master List'!$F$2:$F$2594,O2527)</f>
        <v>1</v>
      </c>
      <c r="M2527" s="4" t="n">
        <f aca="false">INDEX('Master List'!$G$2:$G$2594,O2527)</f>
        <v>0</v>
      </c>
      <c r="N2527" s="4" t="str">
        <f aca="false">IF(K2527="","",A2527)</f>
        <v/>
      </c>
      <c r="O2527" s="4" t="n">
        <v>2545</v>
      </c>
      <c r="P2527" s="4" t="n">
        <f aca="false">IF(A2527=A2526,P2526+1-M2526,0)</f>
        <v>4</v>
      </c>
    </row>
    <row r="2528" customFormat="false" ht="15" hidden="false" customHeight="false" outlineLevel="0" collapsed="false">
      <c r="A2528" s="30" t="s">
        <v>4252</v>
      </c>
      <c r="B2528" s="30" t="s">
        <v>53</v>
      </c>
      <c r="C2528" s="30" t="s">
        <v>106</v>
      </c>
      <c r="D2528" s="30" t="s">
        <v>1628</v>
      </c>
      <c r="E2528" s="4" t="n">
        <v>6</v>
      </c>
      <c r="F2528" s="4" t="s">
        <v>213</v>
      </c>
      <c r="G2528" s="4" t="s">
        <v>2955</v>
      </c>
      <c r="H2528" s="4" t="n">
        <v>2010</v>
      </c>
      <c r="I2528" s="4" t="s">
        <v>1628</v>
      </c>
      <c r="J2528" s="25" t="str">
        <f aca="false">IF(M2528=1,"✓","")</f>
        <v/>
      </c>
      <c r="K2528" s="4" t="str">
        <f aca="false">IF(AND(M2528=0,P2528=0),"▶ NEXT","")</f>
        <v/>
      </c>
      <c r="L2528" s="4" t="n">
        <f aca="false">INDEX('Master List'!$F$2:$F$2594,O2528)</f>
        <v>1</v>
      </c>
      <c r="M2528" s="4" t="n">
        <f aca="false">INDEX('Master List'!$G$2:$G$2594,O2528)</f>
        <v>0</v>
      </c>
      <c r="N2528" s="4" t="str">
        <f aca="false">IF(K2528="","",A2528)</f>
        <v/>
      </c>
      <c r="O2528" s="4" t="n">
        <v>975</v>
      </c>
      <c r="P2528" s="4" t="n">
        <f aca="false">IF(A2528=A2527,P2527+1-M2527,0)</f>
        <v>5</v>
      </c>
    </row>
    <row r="2529" customFormat="false" ht="15" hidden="false" customHeight="false" outlineLevel="0" collapsed="false">
      <c r="A2529" s="30" t="s">
        <v>4252</v>
      </c>
      <c r="B2529" s="30" t="s">
        <v>53</v>
      </c>
      <c r="C2529" s="30" t="s">
        <v>106</v>
      </c>
      <c r="D2529" s="30" t="s">
        <v>1628</v>
      </c>
      <c r="E2529" s="4" t="n">
        <v>7</v>
      </c>
      <c r="F2529" s="4" t="s">
        <v>213</v>
      </c>
      <c r="G2529" s="4" t="s">
        <v>3128</v>
      </c>
      <c r="H2529" s="4" t="n">
        <v>2017</v>
      </c>
      <c r="I2529" s="4" t="s">
        <v>1628</v>
      </c>
      <c r="J2529" s="25" t="str">
        <f aca="false">IF(M2529=1,"✓","")</f>
        <v/>
      </c>
      <c r="K2529" s="4" t="str">
        <f aca="false">IF(AND(M2529=0,P2529=0),"▶ NEXT","")</f>
        <v/>
      </c>
      <c r="L2529" s="4" t="n">
        <f aca="false">INDEX('Master List'!$F$2:$F$2594,O2529)</f>
        <v>1</v>
      </c>
      <c r="M2529" s="4" t="n">
        <f aca="false">INDEX('Master List'!$G$2:$G$2594,O2529)</f>
        <v>0</v>
      </c>
      <c r="N2529" s="4" t="str">
        <f aca="false">IF(K2529="","",A2529)</f>
        <v/>
      </c>
      <c r="O2529" s="4" t="n">
        <v>571</v>
      </c>
      <c r="P2529" s="4" t="n">
        <f aca="false">IF(A2529=A2528,P2528+1-M2528,0)</f>
        <v>6</v>
      </c>
    </row>
    <row r="2530" customFormat="false" ht="15" hidden="false" customHeight="false" outlineLevel="0" collapsed="false">
      <c r="A2530" s="30" t="s">
        <v>4252</v>
      </c>
      <c r="B2530" s="30" t="s">
        <v>53</v>
      </c>
      <c r="C2530" s="30" t="s">
        <v>106</v>
      </c>
      <c r="D2530" s="30" t="s">
        <v>1628</v>
      </c>
      <c r="E2530" s="4" t="n">
        <v>8</v>
      </c>
      <c r="F2530" s="4" t="s">
        <v>213</v>
      </c>
      <c r="G2530" s="4" t="s">
        <v>3196</v>
      </c>
      <c r="H2530" s="4" t="n">
        <v>2020</v>
      </c>
      <c r="I2530" s="4" t="s">
        <v>1628</v>
      </c>
      <c r="J2530" s="25" t="str">
        <f aca="false">IF(M2530=1,"✓","")</f>
        <v/>
      </c>
      <c r="K2530" s="4" t="str">
        <f aca="false">IF(AND(M2530=0,P2530=0),"▶ NEXT","")</f>
        <v/>
      </c>
      <c r="L2530" s="4" t="n">
        <f aca="false">INDEX('Master List'!$F$2:$F$2594,O2530)</f>
        <v>1</v>
      </c>
      <c r="M2530" s="4" t="n">
        <f aca="false">INDEX('Master List'!$G$2:$G$2594,O2530)</f>
        <v>0</v>
      </c>
      <c r="N2530" s="4" t="str">
        <f aca="false">IF(K2530="","",A2530)</f>
        <v/>
      </c>
      <c r="O2530" s="4" t="n">
        <v>2547</v>
      </c>
      <c r="P2530" s="4" t="n">
        <f aca="false">IF(A2530=A2529,P2529+1-M2529,0)</f>
        <v>7</v>
      </c>
    </row>
    <row r="2531" customFormat="false" ht="15" hidden="false" customHeight="false" outlineLevel="0" collapsed="false">
      <c r="A2531" s="30" t="s">
        <v>4252</v>
      </c>
      <c r="B2531" s="30" t="s">
        <v>53</v>
      </c>
      <c r="C2531" s="30" t="s">
        <v>106</v>
      </c>
      <c r="D2531" s="30" t="s">
        <v>1628</v>
      </c>
      <c r="E2531" s="4" t="n">
        <v>9</v>
      </c>
      <c r="F2531" s="4" t="s">
        <v>1327</v>
      </c>
      <c r="G2531" s="4" t="s">
        <v>3805</v>
      </c>
      <c r="H2531" s="4" t="n">
        <v>2012</v>
      </c>
      <c r="I2531" s="4" t="s">
        <v>1628</v>
      </c>
      <c r="J2531" s="25" t="str">
        <f aca="false">IF(M2531=1,"✓","")</f>
        <v/>
      </c>
      <c r="K2531" s="4" t="str">
        <f aca="false">IF(AND(M2531=0,P2531=0),"▶ NEXT","")</f>
        <v/>
      </c>
      <c r="L2531" s="4" t="n">
        <f aca="false">INDEX('Master List'!$F$2:$F$2594,O2531)</f>
        <v>1</v>
      </c>
      <c r="M2531" s="4" t="n">
        <f aca="false">INDEX('Master List'!$G$2:$G$2594,O2531)</f>
        <v>0</v>
      </c>
      <c r="N2531" s="4" t="str">
        <f aca="false">IF(K2531="","",A2531)</f>
        <v/>
      </c>
      <c r="O2531" s="4" t="n">
        <v>1126</v>
      </c>
      <c r="P2531" s="4" t="n">
        <f aca="false">IF(A2531=A2530,P2530+1-M2530,0)</f>
        <v>8</v>
      </c>
    </row>
    <row r="2532" customFormat="false" ht="15" hidden="false" customHeight="false" outlineLevel="0" collapsed="false">
      <c r="A2532" s="30" t="s">
        <v>4253</v>
      </c>
      <c r="B2532" s="30" t="s">
        <v>53</v>
      </c>
      <c r="C2532" s="30" t="s">
        <v>106</v>
      </c>
      <c r="D2532" s="30" t="s">
        <v>203</v>
      </c>
      <c r="E2532" s="4" t="n">
        <v>1</v>
      </c>
      <c r="F2532" s="4" t="s">
        <v>144</v>
      </c>
      <c r="G2532" s="7" t="s">
        <v>202</v>
      </c>
      <c r="H2532" s="4" t="n">
        <v>1990</v>
      </c>
      <c r="I2532" s="4" t="s">
        <v>203</v>
      </c>
      <c r="J2532" s="25" t="str">
        <f aca="false">IF(M2532=1,"✓","")</f>
        <v/>
      </c>
      <c r="K2532" s="4" t="str">
        <f aca="false">IF(AND(M2532=0,P2532=0),"▶ NEXT","")</f>
        <v>▶ NEXT</v>
      </c>
      <c r="L2532" s="4" t="n">
        <f aca="false">INDEX('Master List'!$F$2:$F$2594,O2532)</f>
        <v>7</v>
      </c>
      <c r="M2532" s="4" t="n">
        <f aca="false">INDEX('Master List'!$G$2:$G$2594,O2532)</f>
        <v>0</v>
      </c>
      <c r="N2532" s="4" t="str">
        <f aca="false">IF(K2532="","",A2532)</f>
        <v>N212</v>
      </c>
      <c r="O2532" s="4" t="n">
        <v>480</v>
      </c>
      <c r="P2532" s="4" t="n">
        <f aca="false">IF(A2532=A2531,P2531+1-M2531,0)</f>
        <v>0</v>
      </c>
    </row>
    <row r="2533" customFormat="false" ht="15" hidden="false" customHeight="false" outlineLevel="0" collapsed="false">
      <c r="A2533" s="30" t="s">
        <v>4253</v>
      </c>
      <c r="B2533" s="30" t="s">
        <v>53</v>
      </c>
      <c r="C2533" s="30" t="s">
        <v>106</v>
      </c>
      <c r="D2533" s="30" t="s">
        <v>203</v>
      </c>
      <c r="E2533" s="4" t="n">
        <v>2</v>
      </c>
      <c r="F2533" s="4" t="s">
        <v>144</v>
      </c>
      <c r="G2533" s="7" t="s">
        <v>321</v>
      </c>
      <c r="H2533" s="4" t="n">
        <v>1997</v>
      </c>
      <c r="I2533" s="4" t="s">
        <v>203</v>
      </c>
      <c r="J2533" s="25" t="str">
        <f aca="false">IF(M2533=1,"✓","")</f>
        <v>✓</v>
      </c>
      <c r="K2533" s="4" t="str">
        <f aca="false">IF(AND(M2533=0,P2533=0),"▶ NEXT","")</f>
        <v/>
      </c>
      <c r="L2533" s="4" t="n">
        <f aca="false">INDEX('Master List'!$F$2:$F$2594,O2533)</f>
        <v>4</v>
      </c>
      <c r="M2533" s="4" t="n">
        <f aca="false">INDEX('Master List'!$G$2:$G$2594,O2533)</f>
        <v>1</v>
      </c>
      <c r="N2533" s="4" t="str">
        <f aca="false">IF(K2533="","",A2533)</f>
        <v/>
      </c>
      <c r="O2533" s="4" t="n">
        <v>2245</v>
      </c>
      <c r="P2533" s="4" t="n">
        <f aca="false">IF(A2533=A2532,P2532+1-M2532,0)</f>
        <v>1</v>
      </c>
    </row>
    <row r="2534" customFormat="false" ht="15" hidden="false" customHeight="false" outlineLevel="0" collapsed="false">
      <c r="A2534" s="30" t="s">
        <v>4253</v>
      </c>
      <c r="B2534" s="30" t="s">
        <v>53</v>
      </c>
      <c r="C2534" s="30" t="s">
        <v>106</v>
      </c>
      <c r="D2534" s="30" t="s">
        <v>203</v>
      </c>
      <c r="E2534" s="4" t="n">
        <v>3</v>
      </c>
      <c r="F2534" s="4" t="s">
        <v>213</v>
      </c>
      <c r="G2534" s="4" t="s">
        <v>1082</v>
      </c>
      <c r="H2534" s="4" t="n">
        <v>1987</v>
      </c>
      <c r="I2534" s="4" t="s">
        <v>203</v>
      </c>
      <c r="J2534" s="25" t="str">
        <f aca="false">IF(M2534=1,"✓","")</f>
        <v/>
      </c>
      <c r="K2534" s="4" t="str">
        <f aca="false">IF(AND(M2534=0,P2534=0),"▶ NEXT","")</f>
        <v/>
      </c>
      <c r="L2534" s="4" t="n">
        <f aca="false">INDEX('Master List'!$F$2:$F$2594,O2534)</f>
        <v>2</v>
      </c>
      <c r="M2534" s="4" t="n">
        <f aca="false">INDEX('Master List'!$G$2:$G$2594,O2534)</f>
        <v>0</v>
      </c>
      <c r="N2534" s="4" t="str">
        <f aca="false">IF(K2534="","",A2534)</f>
        <v/>
      </c>
      <c r="O2534" s="4" t="n">
        <v>2496</v>
      </c>
      <c r="P2534" s="4" t="n">
        <f aca="false">IF(A2534=A2533,P2533+1-M2533,0)</f>
        <v>1</v>
      </c>
    </row>
    <row r="2535" customFormat="false" ht="15" hidden="false" customHeight="false" outlineLevel="0" collapsed="false">
      <c r="A2535" s="30" t="s">
        <v>4253</v>
      </c>
      <c r="B2535" s="30" t="s">
        <v>53</v>
      </c>
      <c r="C2535" s="30" t="s">
        <v>106</v>
      </c>
      <c r="D2535" s="30" t="s">
        <v>203</v>
      </c>
      <c r="E2535" s="4" t="n">
        <v>4</v>
      </c>
      <c r="F2535" s="4" t="s">
        <v>213</v>
      </c>
      <c r="G2535" s="4" t="s">
        <v>1102</v>
      </c>
      <c r="H2535" s="4" t="n">
        <v>1992</v>
      </c>
      <c r="I2535" s="4" t="s">
        <v>203</v>
      </c>
      <c r="J2535" s="25" t="str">
        <f aca="false">IF(M2535=1,"✓","")</f>
        <v/>
      </c>
      <c r="K2535" s="4" t="str">
        <f aca="false">IF(AND(M2535=0,P2535=0),"▶ NEXT","")</f>
        <v/>
      </c>
      <c r="L2535" s="4" t="n">
        <f aca="false">INDEX('Master List'!$F$2:$F$2594,O2535)</f>
        <v>2</v>
      </c>
      <c r="M2535" s="4" t="n">
        <f aca="false">INDEX('Master List'!$G$2:$G$2594,O2535)</f>
        <v>0</v>
      </c>
      <c r="N2535" s="4" t="str">
        <f aca="false">IF(K2535="","",A2535)</f>
        <v/>
      </c>
      <c r="O2535" s="4" t="n">
        <v>1331</v>
      </c>
      <c r="P2535" s="4" t="n">
        <f aca="false">IF(A2535=A2534,P2534+1-M2534,0)</f>
        <v>2</v>
      </c>
    </row>
    <row r="2536" customFormat="false" ht="15" hidden="false" customHeight="false" outlineLevel="0" collapsed="false">
      <c r="A2536" s="30" t="s">
        <v>4253</v>
      </c>
      <c r="B2536" s="30" t="s">
        <v>53</v>
      </c>
      <c r="C2536" s="30" t="s">
        <v>106</v>
      </c>
      <c r="D2536" s="30" t="s">
        <v>203</v>
      </c>
      <c r="E2536" s="4" t="n">
        <v>5</v>
      </c>
      <c r="F2536" s="4" t="s">
        <v>213</v>
      </c>
      <c r="G2536" s="4" t="s">
        <v>1107</v>
      </c>
      <c r="H2536" s="4" t="n">
        <v>1994</v>
      </c>
      <c r="I2536" s="4" t="s">
        <v>203</v>
      </c>
      <c r="J2536" s="25" t="str">
        <f aca="false">IF(M2536=1,"✓","")</f>
        <v/>
      </c>
      <c r="K2536" s="4" t="str">
        <f aca="false">IF(AND(M2536=0,P2536=0),"▶ NEXT","")</f>
        <v/>
      </c>
      <c r="L2536" s="4" t="n">
        <f aca="false">INDEX('Master List'!$F$2:$F$2594,O2536)</f>
        <v>2</v>
      </c>
      <c r="M2536" s="4" t="n">
        <f aca="false">INDEX('Master List'!$G$2:$G$2594,O2536)</f>
        <v>0</v>
      </c>
      <c r="N2536" s="4" t="str">
        <f aca="false">IF(K2536="","",A2536)</f>
        <v/>
      </c>
      <c r="O2536" s="4" t="n">
        <v>2300</v>
      </c>
      <c r="P2536" s="4" t="n">
        <f aca="false">IF(A2536=A2535,P2535+1-M2535,0)</f>
        <v>3</v>
      </c>
    </row>
    <row r="2537" customFormat="false" ht="15" hidden="false" customHeight="false" outlineLevel="0" collapsed="false">
      <c r="A2537" s="30" t="s">
        <v>4253</v>
      </c>
      <c r="B2537" s="30" t="s">
        <v>53</v>
      </c>
      <c r="C2537" s="30" t="s">
        <v>106</v>
      </c>
      <c r="D2537" s="30" t="s">
        <v>203</v>
      </c>
      <c r="E2537" s="4" t="n">
        <v>6</v>
      </c>
      <c r="F2537" s="4" t="s">
        <v>213</v>
      </c>
      <c r="G2537" s="4" t="s">
        <v>1125</v>
      </c>
      <c r="H2537" s="4" t="n">
        <v>1999</v>
      </c>
      <c r="I2537" s="4" t="s">
        <v>203</v>
      </c>
      <c r="J2537" s="25" t="str">
        <f aca="false">IF(M2537=1,"✓","")</f>
        <v/>
      </c>
      <c r="K2537" s="4" t="str">
        <f aca="false">IF(AND(M2537=0,P2537=0),"▶ NEXT","")</f>
        <v/>
      </c>
      <c r="L2537" s="4" t="n">
        <f aca="false">INDEX('Master List'!$F$2:$F$2594,O2537)</f>
        <v>2</v>
      </c>
      <c r="M2537" s="4" t="n">
        <f aca="false">INDEX('Master List'!$G$2:$G$2594,O2537)</f>
        <v>0</v>
      </c>
      <c r="N2537" s="4" t="str">
        <f aca="false">IF(K2537="","",A2537)</f>
        <v/>
      </c>
      <c r="O2537" s="4" t="n">
        <v>2523</v>
      </c>
      <c r="P2537" s="4" t="n">
        <f aca="false">IF(A2537=A2536,P2536+1-M2536,0)</f>
        <v>4</v>
      </c>
    </row>
    <row r="2538" customFormat="false" ht="15" hidden="false" customHeight="false" outlineLevel="0" collapsed="false">
      <c r="A2538" s="30" t="s">
        <v>4253</v>
      </c>
      <c r="B2538" s="30" t="s">
        <v>53</v>
      </c>
      <c r="C2538" s="30" t="s">
        <v>106</v>
      </c>
      <c r="D2538" s="30" t="s">
        <v>203</v>
      </c>
      <c r="E2538" s="4" t="n">
        <v>7</v>
      </c>
      <c r="F2538" s="4" t="s">
        <v>213</v>
      </c>
      <c r="G2538" s="4" t="s">
        <v>2784</v>
      </c>
      <c r="H2538" s="4" t="n">
        <v>2002</v>
      </c>
      <c r="I2538" s="4" t="s">
        <v>203</v>
      </c>
      <c r="J2538" s="25" t="str">
        <f aca="false">IF(M2538=1,"✓","")</f>
        <v/>
      </c>
      <c r="K2538" s="4" t="str">
        <f aca="false">IF(AND(M2538=0,P2538=0),"▶ NEXT","")</f>
        <v/>
      </c>
      <c r="L2538" s="4" t="n">
        <f aca="false">INDEX('Master List'!$F$2:$F$2594,O2538)</f>
        <v>1</v>
      </c>
      <c r="M2538" s="4" t="n">
        <f aca="false">INDEX('Master List'!$G$2:$G$2594,O2538)</f>
        <v>0</v>
      </c>
      <c r="N2538" s="4" t="str">
        <f aca="false">IF(K2538="","",A2538)</f>
        <v/>
      </c>
      <c r="O2538" s="4" t="n">
        <v>2250</v>
      </c>
      <c r="P2538" s="4" t="n">
        <f aca="false">IF(A2538=A2537,P2537+1-M2537,0)</f>
        <v>5</v>
      </c>
    </row>
    <row r="2539" customFormat="false" ht="15" hidden="false" customHeight="false" outlineLevel="0" collapsed="false">
      <c r="A2539" s="30" t="s">
        <v>4253</v>
      </c>
      <c r="B2539" s="30" t="s">
        <v>53</v>
      </c>
      <c r="C2539" s="30" t="s">
        <v>106</v>
      </c>
      <c r="D2539" s="30" t="s">
        <v>203</v>
      </c>
      <c r="E2539" s="4" t="n">
        <v>8</v>
      </c>
      <c r="F2539" s="4" t="s">
        <v>213</v>
      </c>
      <c r="G2539" s="4" t="s">
        <v>639</v>
      </c>
      <c r="H2539" s="4" t="n">
        <v>2010</v>
      </c>
      <c r="I2539" s="4" t="s">
        <v>203</v>
      </c>
      <c r="J2539" s="25" t="str">
        <f aca="false">IF(M2539=1,"✓","")</f>
        <v/>
      </c>
      <c r="K2539" s="4" t="str">
        <f aca="false">IF(AND(M2539=0,P2539=0),"▶ NEXT","")</f>
        <v/>
      </c>
      <c r="L2539" s="4" t="n">
        <f aca="false">INDEX('Master List'!$F$2:$F$2594,O2539)</f>
        <v>3</v>
      </c>
      <c r="M2539" s="4" t="n">
        <f aca="false">INDEX('Master List'!$G$2:$G$2594,O2539)</f>
        <v>0</v>
      </c>
      <c r="N2539" s="4" t="str">
        <f aca="false">IF(K2539="","",A2539)</f>
        <v/>
      </c>
      <c r="O2539" s="4" t="n">
        <v>424</v>
      </c>
      <c r="P2539" s="4" t="n">
        <f aca="false">IF(A2539=A2538,P2538+1-M2538,0)</f>
        <v>6</v>
      </c>
    </row>
    <row r="2540" customFormat="false" ht="15" hidden="false" customHeight="false" outlineLevel="0" collapsed="false">
      <c r="A2540" s="30" t="s">
        <v>4253</v>
      </c>
      <c r="B2540" s="30" t="s">
        <v>53</v>
      </c>
      <c r="C2540" s="30" t="s">
        <v>106</v>
      </c>
      <c r="D2540" s="30" t="s">
        <v>203</v>
      </c>
      <c r="E2540" s="4" t="n">
        <v>9</v>
      </c>
      <c r="F2540" s="4" t="s">
        <v>213</v>
      </c>
      <c r="G2540" s="4" t="s">
        <v>3005</v>
      </c>
      <c r="H2540" s="4" t="n">
        <v>2012</v>
      </c>
      <c r="I2540" s="4" t="s">
        <v>203</v>
      </c>
      <c r="J2540" s="25" t="str">
        <f aca="false">IF(M2540=1,"✓","")</f>
        <v/>
      </c>
      <c r="K2540" s="4" t="str">
        <f aca="false">IF(AND(M2540=0,P2540=0),"▶ NEXT","")</f>
        <v/>
      </c>
      <c r="L2540" s="4" t="n">
        <f aca="false">INDEX('Master List'!$F$2:$F$2594,O2540)</f>
        <v>1</v>
      </c>
      <c r="M2540" s="4" t="n">
        <f aca="false">INDEX('Master List'!$G$2:$G$2594,O2540)</f>
        <v>0</v>
      </c>
      <c r="N2540" s="4" t="str">
        <f aca="false">IF(K2540="","",A2540)</f>
        <v/>
      </c>
      <c r="O2540" s="4" t="n">
        <v>1339</v>
      </c>
      <c r="P2540" s="4" t="n">
        <f aca="false">IF(A2540=A2539,P2539+1-M2539,0)</f>
        <v>7</v>
      </c>
    </row>
    <row r="2541" customFormat="false" ht="15" hidden="false" customHeight="false" outlineLevel="0" collapsed="false">
      <c r="A2541" s="30" t="s">
        <v>4253</v>
      </c>
      <c r="B2541" s="30" t="s">
        <v>53</v>
      </c>
      <c r="C2541" s="30" t="s">
        <v>106</v>
      </c>
      <c r="D2541" s="30" t="s">
        <v>203</v>
      </c>
      <c r="E2541" s="4" t="n">
        <v>10</v>
      </c>
      <c r="F2541" s="4" t="s">
        <v>1327</v>
      </c>
      <c r="G2541" s="4" t="s">
        <v>3652</v>
      </c>
      <c r="H2541" s="4" t="n">
        <v>1989</v>
      </c>
      <c r="I2541" s="4" t="s">
        <v>203</v>
      </c>
      <c r="J2541" s="25" t="str">
        <f aca="false">IF(M2541=1,"✓","")</f>
        <v/>
      </c>
      <c r="K2541" s="4" t="str">
        <f aca="false">IF(AND(M2541=0,P2541=0),"▶ NEXT","")</f>
        <v/>
      </c>
      <c r="L2541" s="4" t="n">
        <f aca="false">INDEX('Master List'!$F$2:$F$2594,O2541)</f>
        <v>1</v>
      </c>
      <c r="M2541" s="4" t="n">
        <f aca="false">INDEX('Master List'!$G$2:$G$2594,O2541)</f>
        <v>0</v>
      </c>
      <c r="N2541" s="4" t="str">
        <f aca="false">IF(K2541="","",A2541)</f>
        <v/>
      </c>
      <c r="O2541" s="4" t="n">
        <v>1058</v>
      </c>
      <c r="P2541" s="4" t="n">
        <f aca="false">IF(A2541=A2540,P2540+1-M2540,0)</f>
        <v>8</v>
      </c>
    </row>
    <row r="2542" customFormat="false" ht="15" hidden="false" customHeight="false" outlineLevel="0" collapsed="false">
      <c r="A2542" s="30" t="s">
        <v>4253</v>
      </c>
      <c r="B2542" s="30" t="s">
        <v>53</v>
      </c>
      <c r="C2542" s="30" t="s">
        <v>106</v>
      </c>
      <c r="D2542" s="30" t="s">
        <v>203</v>
      </c>
      <c r="E2542" s="4" t="n">
        <v>11</v>
      </c>
      <c r="F2542" s="4" t="s">
        <v>1327</v>
      </c>
      <c r="G2542" s="4" t="s">
        <v>3842</v>
      </c>
      <c r="H2542" s="4" t="n">
        <v>2017</v>
      </c>
      <c r="I2542" s="4" t="s">
        <v>203</v>
      </c>
      <c r="J2542" s="25" t="str">
        <f aca="false">IF(M2542=1,"✓","")</f>
        <v/>
      </c>
      <c r="K2542" s="4" t="str">
        <f aca="false">IF(AND(M2542=0,P2542=0),"▶ NEXT","")</f>
        <v/>
      </c>
      <c r="L2542" s="4" t="n">
        <f aca="false">INDEX('Master List'!$F$2:$F$2594,O2542)</f>
        <v>1</v>
      </c>
      <c r="M2542" s="4" t="n">
        <f aca="false">INDEX('Master List'!$G$2:$G$2594,O2542)</f>
        <v>0</v>
      </c>
      <c r="N2542" s="4" t="str">
        <f aca="false">IF(K2542="","",A2542)</f>
        <v/>
      </c>
      <c r="O2542" s="4" t="n">
        <v>14</v>
      </c>
      <c r="P2542" s="4" t="n">
        <f aca="false">IF(A2542=A2541,P2541+1-M2541,0)</f>
        <v>9</v>
      </c>
    </row>
    <row r="2543" customFormat="false" ht="15" hidden="false" customHeight="false" outlineLevel="0" collapsed="false">
      <c r="A2543" s="30" t="s">
        <v>4254</v>
      </c>
      <c r="B2543" s="30" t="s">
        <v>53</v>
      </c>
      <c r="C2543" s="30" t="s">
        <v>106</v>
      </c>
      <c r="D2543" s="30" t="s">
        <v>4255</v>
      </c>
      <c r="E2543" s="4" t="n">
        <v>1</v>
      </c>
      <c r="F2543" s="4" t="s">
        <v>144</v>
      </c>
      <c r="G2543" s="7" t="s">
        <v>222</v>
      </c>
      <c r="H2543" s="4" t="n">
        <v>2000</v>
      </c>
      <c r="I2543" s="4" t="s">
        <v>223</v>
      </c>
      <c r="J2543" s="25" t="str">
        <f aca="false">IF(M2543=1,"✓","")</f>
        <v/>
      </c>
      <c r="K2543" s="4" t="str">
        <f aca="false">IF(AND(M2543=0,P2543=0),"▶ NEXT","")</f>
        <v>▶ NEXT</v>
      </c>
      <c r="L2543" s="4" t="n">
        <f aca="false">INDEX('Master List'!$F$2:$F$2594,O2543)</f>
        <v>6</v>
      </c>
      <c r="M2543" s="4" t="n">
        <f aca="false">INDEX('Master List'!$G$2:$G$2594,O2543)</f>
        <v>0</v>
      </c>
      <c r="N2543" s="4" t="str">
        <f aca="false">IF(K2543="","",A2543)</f>
        <v>N213</v>
      </c>
      <c r="O2543" s="4" t="n">
        <v>2569</v>
      </c>
      <c r="P2543" s="4" t="n">
        <f aca="false">IF(A2543=A2542,P2542+1-M2542,0)</f>
        <v>0</v>
      </c>
    </row>
    <row r="2544" customFormat="false" ht="15" hidden="false" customHeight="false" outlineLevel="0" collapsed="false">
      <c r="A2544" s="30" t="s">
        <v>4254</v>
      </c>
      <c r="B2544" s="30" t="s">
        <v>53</v>
      </c>
      <c r="C2544" s="30" t="s">
        <v>106</v>
      </c>
      <c r="D2544" s="30" t="s">
        <v>4255</v>
      </c>
      <c r="E2544" s="4" t="n">
        <v>2</v>
      </c>
      <c r="F2544" s="4" t="s">
        <v>144</v>
      </c>
      <c r="G2544" s="7" t="s">
        <v>613</v>
      </c>
      <c r="H2544" s="4" t="n">
        <v>1991</v>
      </c>
      <c r="I2544" s="4" t="s">
        <v>223</v>
      </c>
      <c r="J2544" s="25" t="str">
        <f aca="false">IF(M2544=1,"✓","")</f>
        <v/>
      </c>
      <c r="K2544" s="4" t="str">
        <f aca="false">IF(AND(M2544=0,P2544=0),"▶ NEXT","")</f>
        <v/>
      </c>
      <c r="L2544" s="4" t="n">
        <f aca="false">INDEX('Master List'!$F$2:$F$2594,O2544)</f>
        <v>3</v>
      </c>
      <c r="M2544" s="4" t="n">
        <f aca="false">INDEX('Master List'!$G$2:$G$2594,O2544)</f>
        <v>0</v>
      </c>
      <c r="N2544" s="4" t="str">
        <f aca="false">IF(K2544="","",A2544)</f>
        <v/>
      </c>
      <c r="O2544" s="4" t="n">
        <v>350</v>
      </c>
      <c r="P2544" s="4" t="n">
        <f aca="false">IF(A2544=A2543,P2543+1-M2543,0)</f>
        <v>1</v>
      </c>
    </row>
    <row r="2545" customFormat="false" ht="15" hidden="false" customHeight="false" outlineLevel="0" collapsed="false">
      <c r="A2545" s="30" t="s">
        <v>4254</v>
      </c>
      <c r="B2545" s="30" t="s">
        <v>53</v>
      </c>
      <c r="C2545" s="30" t="s">
        <v>106</v>
      </c>
      <c r="D2545" s="30" t="s">
        <v>4255</v>
      </c>
      <c r="E2545" s="4" t="n">
        <v>3</v>
      </c>
      <c r="F2545" s="4" t="s">
        <v>213</v>
      </c>
      <c r="G2545" s="4" t="s">
        <v>491</v>
      </c>
      <c r="H2545" s="4" t="n">
        <v>1989</v>
      </c>
      <c r="I2545" s="4" t="s">
        <v>492</v>
      </c>
      <c r="J2545" s="25" t="str">
        <f aca="false">IF(M2545=1,"✓","")</f>
        <v/>
      </c>
      <c r="K2545" s="4" t="str">
        <f aca="false">IF(AND(M2545=0,P2545=0),"▶ NEXT","")</f>
        <v/>
      </c>
      <c r="L2545" s="4" t="n">
        <f aca="false">INDEX('Master List'!$F$2:$F$2594,O2545)</f>
        <v>3</v>
      </c>
      <c r="M2545" s="4" t="n">
        <f aca="false">INDEX('Master List'!$G$2:$G$2594,O2545)</f>
        <v>0</v>
      </c>
      <c r="N2545" s="4" t="str">
        <f aca="false">IF(K2545="","",A2545)</f>
        <v/>
      </c>
      <c r="O2545" s="4" t="n">
        <v>466</v>
      </c>
      <c r="P2545" s="4" t="n">
        <f aca="false">IF(A2545=A2544,P2544+1-M2544,0)</f>
        <v>2</v>
      </c>
    </row>
    <row r="2546" customFormat="false" ht="15" hidden="false" customHeight="false" outlineLevel="0" collapsed="false">
      <c r="A2546" s="30" t="s">
        <v>4254</v>
      </c>
      <c r="B2546" s="30" t="s">
        <v>53</v>
      </c>
      <c r="C2546" s="30" t="s">
        <v>106</v>
      </c>
      <c r="D2546" s="30" t="s">
        <v>4255</v>
      </c>
      <c r="E2546" s="4" t="n">
        <v>4</v>
      </c>
      <c r="F2546" s="4" t="s">
        <v>213</v>
      </c>
      <c r="G2546" s="4" t="s">
        <v>2685</v>
      </c>
      <c r="H2546" s="4" t="n">
        <v>1998</v>
      </c>
      <c r="I2546" s="4" t="s">
        <v>492</v>
      </c>
      <c r="J2546" s="25" t="str">
        <f aca="false">IF(M2546=1,"✓","")</f>
        <v/>
      </c>
      <c r="K2546" s="4" t="str">
        <f aca="false">IF(AND(M2546=0,P2546=0),"▶ NEXT","")</f>
        <v/>
      </c>
      <c r="L2546" s="4" t="n">
        <f aca="false">INDEX('Master List'!$F$2:$F$2594,O2546)</f>
        <v>1</v>
      </c>
      <c r="M2546" s="4" t="n">
        <f aca="false">INDEX('Master List'!$G$2:$G$2594,O2546)</f>
        <v>0</v>
      </c>
      <c r="N2546" s="4" t="str">
        <f aca="false">IF(K2546="","",A2546)</f>
        <v/>
      </c>
      <c r="O2546" s="4" t="n">
        <v>825</v>
      </c>
      <c r="P2546" s="4" t="n">
        <f aca="false">IF(A2546=A2545,P2545+1-M2545,0)</f>
        <v>3</v>
      </c>
    </row>
    <row r="2547" customFormat="false" ht="15" hidden="false" customHeight="false" outlineLevel="0" collapsed="false">
      <c r="A2547" s="30" t="s">
        <v>4254</v>
      </c>
      <c r="B2547" s="30" t="s">
        <v>53</v>
      </c>
      <c r="C2547" s="30" t="s">
        <v>106</v>
      </c>
      <c r="D2547" s="30" t="s">
        <v>4255</v>
      </c>
      <c r="E2547" s="4" t="n">
        <v>5</v>
      </c>
      <c r="F2547" s="4" t="s">
        <v>213</v>
      </c>
      <c r="G2547" s="4" t="s">
        <v>1394</v>
      </c>
      <c r="H2547" s="4" t="n">
        <v>2001</v>
      </c>
      <c r="I2547" s="4" t="s">
        <v>492</v>
      </c>
      <c r="J2547" s="25" t="str">
        <f aca="false">IF(M2547=1,"✓","")</f>
        <v/>
      </c>
      <c r="K2547" s="4" t="str">
        <f aca="false">IF(AND(M2547=0,P2547=0),"▶ NEXT","")</f>
        <v/>
      </c>
      <c r="L2547" s="4" t="n">
        <f aca="false">INDEX('Master List'!$F$2:$F$2594,O2547)</f>
        <v>2</v>
      </c>
      <c r="M2547" s="4" t="n">
        <f aca="false">INDEX('Master List'!$G$2:$G$2594,O2547)</f>
        <v>0</v>
      </c>
      <c r="N2547" s="4" t="str">
        <f aca="false">IF(K2547="","",A2547)</f>
        <v/>
      </c>
      <c r="O2547" s="4" t="n">
        <v>1503</v>
      </c>
      <c r="P2547" s="4" t="n">
        <f aca="false">IF(A2547=A2546,P2546+1-M2546,0)</f>
        <v>4</v>
      </c>
    </row>
    <row r="2548" customFormat="false" ht="15" hidden="false" customHeight="false" outlineLevel="0" collapsed="false">
      <c r="A2548" s="30" t="s">
        <v>4254</v>
      </c>
      <c r="B2548" s="30" t="s">
        <v>53</v>
      </c>
      <c r="C2548" s="30" t="s">
        <v>106</v>
      </c>
      <c r="D2548" s="30" t="s">
        <v>4255</v>
      </c>
      <c r="E2548" s="4" t="n">
        <v>6</v>
      </c>
      <c r="F2548" s="4" t="s">
        <v>213</v>
      </c>
      <c r="G2548" s="4" t="s">
        <v>2840</v>
      </c>
      <c r="H2548" s="4" t="n">
        <v>2005</v>
      </c>
      <c r="I2548" s="4" t="s">
        <v>492</v>
      </c>
      <c r="J2548" s="25" t="str">
        <f aca="false">IF(M2548=1,"✓","")</f>
        <v/>
      </c>
      <c r="K2548" s="4" t="str">
        <f aca="false">IF(AND(M2548=0,P2548=0),"▶ NEXT","")</f>
        <v/>
      </c>
      <c r="L2548" s="4" t="n">
        <f aca="false">INDEX('Master List'!$F$2:$F$2594,O2548)</f>
        <v>1</v>
      </c>
      <c r="M2548" s="4" t="n">
        <f aca="false">INDEX('Master List'!$G$2:$G$2594,O2548)</f>
        <v>0</v>
      </c>
      <c r="N2548" s="4" t="str">
        <f aca="false">IF(K2548="","",A2548)</f>
        <v/>
      </c>
      <c r="O2548" s="4" t="n">
        <v>2297</v>
      </c>
      <c r="P2548" s="4" t="n">
        <f aca="false">IF(A2548=A2547,P2547+1-M2547,0)</f>
        <v>5</v>
      </c>
    </row>
    <row r="2549" customFormat="false" ht="15" hidden="false" customHeight="false" outlineLevel="0" collapsed="false">
      <c r="A2549" s="30" t="s">
        <v>4254</v>
      </c>
      <c r="B2549" s="30" t="s">
        <v>53</v>
      </c>
      <c r="C2549" s="30" t="s">
        <v>106</v>
      </c>
      <c r="D2549" s="30" t="s">
        <v>4255</v>
      </c>
      <c r="E2549" s="4" t="n">
        <v>7</v>
      </c>
      <c r="F2549" s="4" t="s">
        <v>213</v>
      </c>
      <c r="G2549" s="4" t="s">
        <v>2593</v>
      </c>
      <c r="H2549" s="4" t="n">
        <v>1994</v>
      </c>
      <c r="I2549" s="4" t="s">
        <v>223</v>
      </c>
      <c r="J2549" s="25" t="str">
        <f aca="false">IF(M2549=1,"✓","")</f>
        <v/>
      </c>
      <c r="K2549" s="4" t="str">
        <f aca="false">IF(AND(M2549=0,P2549=0),"▶ NEXT","")</f>
        <v/>
      </c>
      <c r="L2549" s="4" t="n">
        <f aca="false">INDEX('Master List'!$F$2:$F$2594,O2549)</f>
        <v>1</v>
      </c>
      <c r="M2549" s="4" t="n">
        <f aca="false">INDEX('Master List'!$G$2:$G$2594,O2549)</f>
        <v>0</v>
      </c>
      <c r="N2549" s="4" t="str">
        <f aca="false">IF(K2549="","",A2549)</f>
        <v/>
      </c>
      <c r="O2549" s="4" t="n">
        <v>514</v>
      </c>
      <c r="P2549" s="4" t="n">
        <f aca="false">IF(A2549=A2548,P2548+1-M2548,0)</f>
        <v>6</v>
      </c>
    </row>
    <row r="2550" customFormat="false" ht="15" hidden="false" customHeight="false" outlineLevel="0" collapsed="false">
      <c r="A2550" s="30" t="s">
        <v>4254</v>
      </c>
      <c r="B2550" s="30" t="s">
        <v>53</v>
      </c>
      <c r="C2550" s="30" t="s">
        <v>106</v>
      </c>
      <c r="D2550" s="30" t="s">
        <v>4255</v>
      </c>
      <c r="E2550" s="4" t="n">
        <v>8</v>
      </c>
      <c r="F2550" s="4" t="s">
        <v>213</v>
      </c>
      <c r="G2550" s="4" t="s">
        <v>2548</v>
      </c>
      <c r="H2550" s="4" t="n">
        <v>1992</v>
      </c>
      <c r="I2550" s="4" t="s">
        <v>1165</v>
      </c>
      <c r="J2550" s="25" t="str">
        <f aca="false">IF(M2550=1,"✓","")</f>
        <v/>
      </c>
      <c r="K2550" s="4" t="str">
        <f aca="false">IF(AND(M2550=0,P2550=0),"▶ NEXT","")</f>
        <v/>
      </c>
      <c r="L2550" s="4" t="n">
        <f aca="false">INDEX('Master List'!$F$2:$F$2594,O2550)</f>
        <v>1</v>
      </c>
      <c r="M2550" s="4" t="n">
        <f aca="false">INDEX('Master List'!$G$2:$G$2594,O2550)</f>
        <v>0</v>
      </c>
      <c r="N2550" s="4" t="str">
        <f aca="false">IF(K2550="","",A2550)</f>
        <v/>
      </c>
      <c r="O2550" s="4" t="n">
        <v>1869</v>
      </c>
      <c r="P2550" s="4" t="n">
        <f aca="false">IF(A2550=A2549,P2549+1-M2549,0)</f>
        <v>7</v>
      </c>
    </row>
    <row r="2551" customFormat="false" ht="15" hidden="false" customHeight="false" outlineLevel="0" collapsed="false">
      <c r="A2551" s="30" t="s">
        <v>4254</v>
      </c>
      <c r="B2551" s="30" t="s">
        <v>53</v>
      </c>
      <c r="C2551" s="30" t="s">
        <v>106</v>
      </c>
      <c r="D2551" s="30" t="s">
        <v>4255</v>
      </c>
      <c r="E2551" s="4" t="n">
        <v>9</v>
      </c>
      <c r="F2551" s="4" t="s">
        <v>213</v>
      </c>
      <c r="G2551" s="4" t="s">
        <v>1885</v>
      </c>
      <c r="H2551" s="4" t="n">
        <v>1997</v>
      </c>
      <c r="I2551" s="4" t="s">
        <v>1165</v>
      </c>
      <c r="J2551" s="25" t="str">
        <f aca="false">IF(M2551=1,"✓","")</f>
        <v/>
      </c>
      <c r="K2551" s="4" t="str">
        <f aca="false">IF(AND(M2551=0,P2551=0),"▶ NEXT","")</f>
        <v/>
      </c>
      <c r="L2551" s="4" t="n">
        <f aca="false">INDEX('Master List'!$F$2:$F$2594,O2551)</f>
        <v>1</v>
      </c>
      <c r="M2551" s="4" t="n">
        <f aca="false">INDEX('Master List'!$G$2:$G$2594,O2551)</f>
        <v>0</v>
      </c>
      <c r="N2551" s="4" t="str">
        <f aca="false">IF(K2551="","",A2551)</f>
        <v/>
      </c>
      <c r="O2551" s="4" t="n">
        <v>1911</v>
      </c>
      <c r="P2551" s="4" t="n">
        <f aca="false">IF(A2551=A2550,P2550+1-M2550,0)</f>
        <v>8</v>
      </c>
    </row>
    <row r="2552" customFormat="false" ht="15" hidden="false" customHeight="false" outlineLevel="0" collapsed="false">
      <c r="A2552" s="30" t="s">
        <v>4254</v>
      </c>
      <c r="B2552" s="30" t="s">
        <v>53</v>
      </c>
      <c r="C2552" s="30" t="s">
        <v>106</v>
      </c>
      <c r="D2552" s="30" t="s">
        <v>4255</v>
      </c>
      <c r="E2552" s="4" t="n">
        <v>10</v>
      </c>
      <c r="F2552" s="4" t="s">
        <v>213</v>
      </c>
      <c r="G2552" s="4" t="s">
        <v>2755</v>
      </c>
      <c r="H2552" s="4" t="n">
        <v>2001</v>
      </c>
      <c r="I2552" s="4" t="s">
        <v>1165</v>
      </c>
      <c r="J2552" s="25" t="str">
        <f aca="false">IF(M2552=1,"✓","")</f>
        <v/>
      </c>
      <c r="K2552" s="4" t="str">
        <f aca="false">IF(AND(M2552=0,P2552=0),"▶ NEXT","")</f>
        <v/>
      </c>
      <c r="L2552" s="4" t="n">
        <f aca="false">INDEX('Master List'!$F$2:$F$2594,O2552)</f>
        <v>1</v>
      </c>
      <c r="M2552" s="4" t="n">
        <f aca="false">INDEX('Master List'!$G$2:$G$2594,O2552)</f>
        <v>0</v>
      </c>
      <c r="N2552" s="4" t="str">
        <f aca="false">IF(K2552="","",A2552)</f>
        <v/>
      </c>
      <c r="O2552" s="4" t="n">
        <v>2489</v>
      </c>
      <c r="P2552" s="4" t="n">
        <f aca="false">IF(A2552=A2551,P2551+1-M2551,0)</f>
        <v>9</v>
      </c>
    </row>
    <row r="2553" customFormat="false" ht="15" hidden="false" customHeight="false" outlineLevel="0" collapsed="false">
      <c r="A2553" s="30" t="s">
        <v>4254</v>
      </c>
      <c r="B2553" s="30" t="s">
        <v>53</v>
      </c>
      <c r="C2553" s="30" t="s">
        <v>106</v>
      </c>
      <c r="D2553" s="30" t="s">
        <v>4255</v>
      </c>
      <c r="E2553" s="4" t="n">
        <v>11</v>
      </c>
      <c r="F2553" s="4" t="s">
        <v>213</v>
      </c>
      <c r="G2553" s="4" t="s">
        <v>3037</v>
      </c>
      <c r="H2553" s="4" t="n">
        <v>2013</v>
      </c>
      <c r="I2553" s="4" t="s">
        <v>1165</v>
      </c>
      <c r="J2553" s="25" t="str">
        <f aca="false">IF(M2553=1,"✓","")</f>
        <v/>
      </c>
      <c r="K2553" s="4" t="str">
        <f aca="false">IF(AND(M2553=0,P2553=0),"▶ NEXT","")</f>
        <v/>
      </c>
      <c r="L2553" s="4" t="n">
        <f aca="false">INDEX('Master List'!$F$2:$F$2594,O2553)</f>
        <v>1</v>
      </c>
      <c r="M2553" s="4" t="n">
        <f aca="false">INDEX('Master List'!$G$2:$G$2594,O2553)</f>
        <v>0</v>
      </c>
      <c r="N2553" s="4" t="str">
        <f aca="false">IF(K2553="","",A2553)</f>
        <v/>
      </c>
      <c r="O2553" s="4" t="n">
        <v>2180</v>
      </c>
      <c r="P2553" s="4" t="n">
        <f aca="false">IF(A2553=A2552,P2552+1-M2552,0)</f>
        <v>10</v>
      </c>
    </row>
    <row r="2554" customFormat="false" ht="15" hidden="false" customHeight="false" outlineLevel="0" collapsed="false">
      <c r="A2554" s="30" t="s">
        <v>4254</v>
      </c>
      <c r="B2554" s="30" t="s">
        <v>53</v>
      </c>
      <c r="C2554" s="30" t="s">
        <v>106</v>
      </c>
      <c r="D2554" s="30" t="s">
        <v>4255</v>
      </c>
      <c r="E2554" s="4" t="n">
        <v>12</v>
      </c>
      <c r="F2554" s="4" t="s">
        <v>1327</v>
      </c>
      <c r="G2554" s="4" t="s">
        <v>3705</v>
      </c>
      <c r="H2554" s="4" t="n">
        <v>1998</v>
      </c>
      <c r="I2554" s="4" t="s">
        <v>1165</v>
      </c>
      <c r="J2554" s="25" t="str">
        <f aca="false">IF(M2554=1,"✓","")</f>
        <v/>
      </c>
      <c r="K2554" s="4" t="str">
        <f aca="false">IF(AND(M2554=0,P2554=0),"▶ NEXT","")</f>
        <v/>
      </c>
      <c r="L2554" s="4" t="n">
        <f aca="false">INDEX('Master List'!$F$2:$F$2594,O2554)</f>
        <v>1</v>
      </c>
      <c r="M2554" s="4" t="n">
        <f aca="false">INDEX('Master List'!$G$2:$G$2594,O2554)</f>
        <v>0</v>
      </c>
      <c r="N2554" s="4" t="str">
        <f aca="false">IF(K2554="","",A2554)</f>
        <v/>
      </c>
      <c r="O2554" s="4" t="n">
        <v>1049</v>
      </c>
      <c r="P2554" s="4" t="n">
        <f aca="false">IF(A2554=A2553,P2553+1-M2553,0)</f>
        <v>11</v>
      </c>
    </row>
    <row r="2555" customFormat="false" ht="15" hidden="false" customHeight="false" outlineLevel="0" collapsed="false">
      <c r="A2555" s="30" t="s">
        <v>4256</v>
      </c>
      <c r="B2555" s="30" t="s">
        <v>53</v>
      </c>
      <c r="C2555" s="30" t="s">
        <v>106</v>
      </c>
      <c r="D2555" s="30" t="s">
        <v>253</v>
      </c>
      <c r="E2555" s="4" t="n">
        <v>1</v>
      </c>
      <c r="F2555" s="4" t="s">
        <v>144</v>
      </c>
      <c r="G2555" s="7" t="s">
        <v>252</v>
      </c>
      <c r="H2555" s="4" t="n">
        <v>1955</v>
      </c>
      <c r="I2555" s="4" t="s">
        <v>253</v>
      </c>
      <c r="J2555" s="25" t="str">
        <f aca="false">IF(M2555=1,"✓","")</f>
        <v/>
      </c>
      <c r="K2555" s="4" t="str">
        <f aca="false">IF(AND(M2555=0,P2555=0),"▶ NEXT","")</f>
        <v>▶ NEXT</v>
      </c>
      <c r="L2555" s="4" t="n">
        <f aca="false">INDEX('Master List'!$F$2:$F$2594,O2555)</f>
        <v>5</v>
      </c>
      <c r="M2555" s="4" t="n">
        <f aca="false">INDEX('Master List'!$G$2:$G$2594,O2555)</f>
        <v>0</v>
      </c>
      <c r="N2555" s="4" t="str">
        <f aca="false">IF(K2555="","",A2555)</f>
        <v>N214</v>
      </c>
      <c r="O2555" s="4" t="n">
        <v>1734</v>
      </c>
      <c r="P2555" s="4" t="n">
        <f aca="false">IF(A2555=A2554,P2554+1-M2554,0)</f>
        <v>0</v>
      </c>
    </row>
    <row r="2556" customFormat="false" ht="15" hidden="false" customHeight="false" outlineLevel="0" collapsed="false">
      <c r="A2556" s="30" t="s">
        <v>4256</v>
      </c>
      <c r="B2556" s="30" t="s">
        <v>53</v>
      </c>
      <c r="C2556" s="30" t="s">
        <v>106</v>
      </c>
      <c r="D2556" s="30" t="s">
        <v>253</v>
      </c>
      <c r="E2556" s="4" t="n">
        <v>2</v>
      </c>
      <c r="F2556" s="4" t="s">
        <v>144</v>
      </c>
      <c r="G2556" s="7" t="s">
        <v>749</v>
      </c>
      <c r="H2556" s="4" t="n">
        <v>1956</v>
      </c>
      <c r="I2556" s="4" t="s">
        <v>253</v>
      </c>
      <c r="J2556" s="25" t="str">
        <f aca="false">IF(M2556=1,"✓","")</f>
        <v/>
      </c>
      <c r="K2556" s="4" t="str">
        <f aca="false">IF(AND(M2556=0,P2556=0),"▶ NEXT","")</f>
        <v/>
      </c>
      <c r="L2556" s="4" t="n">
        <f aca="false">INDEX('Master List'!$F$2:$F$2594,O2556)</f>
        <v>2</v>
      </c>
      <c r="M2556" s="4" t="n">
        <f aca="false">INDEX('Master List'!$G$2:$G$2594,O2556)</f>
        <v>0</v>
      </c>
      <c r="N2556" s="4" t="str">
        <f aca="false">IF(K2556="","",A2556)</f>
        <v/>
      </c>
      <c r="O2556" s="4" t="n">
        <v>119</v>
      </c>
      <c r="P2556" s="4" t="n">
        <f aca="false">IF(A2556=A2555,P2555+1-M2555,0)</f>
        <v>1</v>
      </c>
    </row>
    <row r="2557" customFormat="false" ht="15" hidden="false" customHeight="false" outlineLevel="0" collapsed="false">
      <c r="A2557" s="30" t="s">
        <v>4256</v>
      </c>
      <c r="B2557" s="30" t="s">
        <v>53</v>
      </c>
      <c r="C2557" s="30" t="s">
        <v>106</v>
      </c>
      <c r="D2557" s="30" t="s">
        <v>253</v>
      </c>
      <c r="E2557" s="4" t="n">
        <v>3</v>
      </c>
      <c r="F2557" s="4" t="s">
        <v>144</v>
      </c>
      <c r="G2557" s="7" t="s">
        <v>756</v>
      </c>
      <c r="H2557" s="4" t="n">
        <v>1959</v>
      </c>
      <c r="I2557" s="4" t="s">
        <v>253</v>
      </c>
      <c r="J2557" s="25" t="str">
        <f aca="false">IF(M2557=1,"✓","")</f>
        <v/>
      </c>
      <c r="K2557" s="4" t="str">
        <f aca="false">IF(AND(M2557=0,P2557=0),"▶ NEXT","")</f>
        <v/>
      </c>
      <c r="L2557" s="4" t="n">
        <f aca="false">INDEX('Master List'!$F$2:$F$2594,O2557)</f>
        <v>2</v>
      </c>
      <c r="M2557" s="4" t="n">
        <f aca="false">INDEX('Master List'!$G$2:$G$2594,O2557)</f>
        <v>0</v>
      </c>
      <c r="N2557" s="4" t="str">
        <f aca="false">IF(K2557="","",A2557)</f>
        <v/>
      </c>
      <c r="O2557" s="4" t="n">
        <v>2554</v>
      </c>
      <c r="P2557" s="4" t="n">
        <f aca="false">IF(A2557=A2556,P2556+1-M2556,0)</f>
        <v>2</v>
      </c>
    </row>
    <row r="2558" customFormat="false" ht="15" hidden="false" customHeight="false" outlineLevel="0" collapsed="false">
      <c r="A2558" s="30" t="s">
        <v>4256</v>
      </c>
      <c r="B2558" s="30" t="s">
        <v>53</v>
      </c>
      <c r="C2558" s="30" t="s">
        <v>106</v>
      </c>
      <c r="D2558" s="30" t="s">
        <v>253</v>
      </c>
      <c r="E2558" s="4" t="n">
        <v>4</v>
      </c>
      <c r="F2558" s="4" t="s">
        <v>213</v>
      </c>
      <c r="G2558" s="4" t="s">
        <v>948</v>
      </c>
      <c r="H2558" s="4" t="n">
        <v>1958</v>
      </c>
      <c r="I2558" s="4" t="s">
        <v>253</v>
      </c>
      <c r="J2558" s="25" t="str">
        <f aca="false">IF(M2558=1,"✓","")</f>
        <v/>
      </c>
      <c r="K2558" s="4" t="str">
        <f aca="false">IF(AND(M2558=0,P2558=0),"▶ NEXT","")</f>
        <v/>
      </c>
      <c r="L2558" s="4" t="n">
        <f aca="false">INDEX('Master List'!$F$2:$F$2594,O2558)</f>
        <v>2</v>
      </c>
      <c r="M2558" s="4" t="n">
        <f aca="false">INDEX('Master List'!$G$2:$G$2594,O2558)</f>
        <v>0</v>
      </c>
      <c r="N2558" s="4" t="str">
        <f aca="false">IF(K2558="","",A2558)</f>
        <v/>
      </c>
      <c r="O2558" s="4" t="n">
        <v>1562</v>
      </c>
      <c r="P2558" s="4" t="n">
        <f aca="false">IF(A2558=A2557,P2557+1-M2557,0)</f>
        <v>3</v>
      </c>
    </row>
    <row r="2559" customFormat="false" ht="15" hidden="false" customHeight="false" outlineLevel="0" collapsed="false">
      <c r="A2559" s="30" t="s">
        <v>4256</v>
      </c>
      <c r="B2559" s="30" t="s">
        <v>53</v>
      </c>
      <c r="C2559" s="30" t="s">
        <v>106</v>
      </c>
      <c r="D2559" s="30" t="s">
        <v>253</v>
      </c>
      <c r="E2559" s="4" t="n">
        <v>5</v>
      </c>
      <c r="F2559" s="4" t="s">
        <v>213</v>
      </c>
      <c r="G2559" s="4" t="s">
        <v>1983</v>
      </c>
      <c r="H2559" s="4" t="n">
        <v>1960</v>
      </c>
      <c r="I2559" s="4" t="s">
        <v>253</v>
      </c>
      <c r="J2559" s="25" t="str">
        <f aca="false">IF(M2559=1,"✓","")</f>
        <v/>
      </c>
      <c r="K2559" s="4" t="str">
        <f aca="false">IF(AND(M2559=0,P2559=0),"▶ NEXT","")</f>
        <v/>
      </c>
      <c r="L2559" s="4" t="n">
        <f aca="false">INDEX('Master List'!$F$2:$F$2594,O2559)</f>
        <v>1</v>
      </c>
      <c r="M2559" s="4" t="n">
        <f aca="false">INDEX('Master List'!$G$2:$G$2594,O2559)</f>
        <v>0</v>
      </c>
      <c r="N2559" s="4" t="str">
        <f aca="false">IF(K2559="","",A2559)</f>
        <v/>
      </c>
      <c r="O2559" s="4" t="n">
        <v>619</v>
      </c>
      <c r="P2559" s="4" t="n">
        <f aca="false">IF(A2559=A2558,P2558+1-M2558,0)</f>
        <v>4</v>
      </c>
    </row>
    <row r="2560" customFormat="false" ht="15" hidden="false" customHeight="false" outlineLevel="0" collapsed="false">
      <c r="A2560" s="30" t="s">
        <v>4256</v>
      </c>
      <c r="B2560" s="30" t="s">
        <v>53</v>
      </c>
      <c r="C2560" s="30" t="s">
        <v>106</v>
      </c>
      <c r="D2560" s="30" t="s">
        <v>253</v>
      </c>
      <c r="E2560" s="4" t="n">
        <v>6</v>
      </c>
      <c r="F2560" s="4" t="s">
        <v>213</v>
      </c>
      <c r="G2560" s="4" t="s">
        <v>769</v>
      </c>
      <c r="H2560" s="4" t="n">
        <v>1964</v>
      </c>
      <c r="I2560" s="4" t="s">
        <v>253</v>
      </c>
      <c r="J2560" s="25" t="str">
        <f aca="false">IF(M2560=1,"✓","")</f>
        <v/>
      </c>
      <c r="K2560" s="4" t="str">
        <f aca="false">IF(AND(M2560=0,P2560=0),"▶ NEXT","")</f>
        <v/>
      </c>
      <c r="L2560" s="4" t="n">
        <f aca="false">INDEX('Master List'!$F$2:$F$2594,O2560)</f>
        <v>2</v>
      </c>
      <c r="M2560" s="4" t="n">
        <f aca="false">INDEX('Master List'!$G$2:$G$2594,O2560)</f>
        <v>0</v>
      </c>
      <c r="N2560" s="4" t="str">
        <f aca="false">IF(K2560="","",A2560)</f>
        <v/>
      </c>
      <c r="O2560" s="4" t="n">
        <v>432</v>
      </c>
      <c r="P2560" s="4" t="n">
        <f aca="false">IF(A2560=A2559,P2559+1-M2559,0)</f>
        <v>5</v>
      </c>
    </row>
    <row r="2561" customFormat="false" ht="15" hidden="false" customHeight="false" outlineLevel="0" collapsed="false">
      <c r="A2561" s="30" t="s">
        <v>4256</v>
      </c>
      <c r="B2561" s="30" t="s">
        <v>53</v>
      </c>
      <c r="C2561" s="30" t="s">
        <v>106</v>
      </c>
      <c r="D2561" s="30" t="s">
        <v>253</v>
      </c>
      <c r="E2561" s="4" t="n">
        <v>7</v>
      </c>
      <c r="F2561" s="4" t="s">
        <v>213</v>
      </c>
      <c r="G2561" s="4" t="s">
        <v>2038</v>
      </c>
      <c r="H2561" s="4" t="n">
        <v>1963</v>
      </c>
      <c r="I2561" s="4" t="s">
        <v>253</v>
      </c>
      <c r="J2561" s="25" t="str">
        <f aca="false">IF(M2561=1,"✓","")</f>
        <v/>
      </c>
      <c r="K2561" s="4" t="str">
        <f aca="false">IF(AND(M2561=0,P2561=0),"▶ NEXT","")</f>
        <v/>
      </c>
      <c r="L2561" s="4" t="n">
        <f aca="false">INDEX('Master List'!$F$2:$F$2594,O2561)</f>
        <v>1</v>
      </c>
      <c r="M2561" s="4" t="n">
        <f aca="false">INDEX('Master List'!$G$2:$G$2594,O2561)</f>
        <v>0</v>
      </c>
      <c r="N2561" s="4" t="str">
        <f aca="false">IF(K2561="","",A2561)</f>
        <v/>
      </c>
      <c r="O2561" s="4" t="n">
        <v>239</v>
      </c>
      <c r="P2561" s="4" t="n">
        <f aca="false">IF(A2561=A2560,P2560+1-M2560,0)</f>
        <v>6</v>
      </c>
    </row>
    <row r="2562" customFormat="false" ht="15" hidden="false" customHeight="false" outlineLevel="0" collapsed="false">
      <c r="A2562" s="30" t="s">
        <v>4256</v>
      </c>
      <c r="B2562" s="30" t="s">
        <v>53</v>
      </c>
      <c r="C2562" s="30" t="s">
        <v>106</v>
      </c>
      <c r="D2562" s="30" t="s">
        <v>253</v>
      </c>
      <c r="E2562" s="4" t="n">
        <v>8</v>
      </c>
      <c r="F2562" s="4" t="s">
        <v>213</v>
      </c>
      <c r="G2562" s="4" t="s">
        <v>1008</v>
      </c>
      <c r="H2562" s="4" t="n">
        <v>1970</v>
      </c>
      <c r="I2562" s="4" t="s">
        <v>253</v>
      </c>
      <c r="J2562" s="25" t="str">
        <f aca="false">IF(M2562=1,"✓","")</f>
        <v/>
      </c>
      <c r="K2562" s="4" t="str">
        <f aca="false">IF(AND(M2562=0,P2562=0),"▶ NEXT","")</f>
        <v/>
      </c>
      <c r="L2562" s="4" t="n">
        <f aca="false">INDEX('Master List'!$F$2:$F$2594,O2562)</f>
        <v>2</v>
      </c>
      <c r="M2562" s="4" t="n">
        <f aca="false">INDEX('Master List'!$G$2:$G$2594,O2562)</f>
        <v>0</v>
      </c>
      <c r="N2562" s="4" t="str">
        <f aca="false">IF(K2562="","",A2562)</f>
        <v/>
      </c>
      <c r="O2562" s="4" t="n">
        <v>578</v>
      </c>
      <c r="P2562" s="4" t="n">
        <f aca="false">IF(A2562=A2561,P2561+1-M2561,0)</f>
        <v>7</v>
      </c>
    </row>
    <row r="2563" customFormat="false" ht="15" hidden="false" customHeight="false" outlineLevel="0" collapsed="false">
      <c r="A2563" s="30" t="s">
        <v>4256</v>
      </c>
      <c r="B2563" s="30" t="s">
        <v>53</v>
      </c>
      <c r="C2563" s="30" t="s">
        <v>106</v>
      </c>
      <c r="D2563" s="30" t="s">
        <v>253</v>
      </c>
      <c r="E2563" s="4" t="n">
        <v>9</v>
      </c>
      <c r="F2563" s="4" t="s">
        <v>213</v>
      </c>
      <c r="G2563" s="4" t="s">
        <v>2163</v>
      </c>
      <c r="H2563" s="4" t="n">
        <v>1970</v>
      </c>
      <c r="I2563" s="4" t="s">
        <v>253</v>
      </c>
      <c r="J2563" s="25" t="str">
        <f aca="false">IF(M2563=1,"✓","")</f>
        <v/>
      </c>
      <c r="K2563" s="4" t="str">
        <f aca="false">IF(AND(M2563=0,P2563=0),"▶ NEXT","")</f>
        <v/>
      </c>
      <c r="L2563" s="4" t="n">
        <f aca="false">INDEX('Master List'!$F$2:$F$2594,O2563)</f>
        <v>1</v>
      </c>
      <c r="M2563" s="4" t="n">
        <f aca="false">INDEX('Master List'!$G$2:$G$2594,O2563)</f>
        <v>0</v>
      </c>
      <c r="N2563" s="4" t="str">
        <f aca="false">IF(K2563="","",A2563)</f>
        <v/>
      </c>
      <c r="O2563" s="4" t="n">
        <v>46</v>
      </c>
      <c r="P2563" s="4" t="n">
        <f aca="false">IF(A2563=A2562,P2562+1-M2562,0)</f>
        <v>8</v>
      </c>
    </row>
    <row r="2564" customFormat="false" ht="15" hidden="false" customHeight="false" outlineLevel="0" collapsed="false">
      <c r="A2564" s="30" t="s">
        <v>4256</v>
      </c>
      <c r="B2564" s="30" t="s">
        <v>53</v>
      </c>
      <c r="C2564" s="30" t="s">
        <v>106</v>
      </c>
      <c r="D2564" s="30" t="s">
        <v>253</v>
      </c>
      <c r="E2564" s="4" t="n">
        <v>10</v>
      </c>
      <c r="F2564" s="4" t="s">
        <v>213</v>
      </c>
      <c r="G2564" s="4" t="s">
        <v>2184</v>
      </c>
      <c r="H2564" s="4" t="n">
        <v>1971</v>
      </c>
      <c r="I2564" s="4" t="s">
        <v>253</v>
      </c>
      <c r="J2564" s="25" t="str">
        <f aca="false">IF(M2564=1,"✓","")</f>
        <v/>
      </c>
      <c r="K2564" s="4" t="str">
        <f aca="false">IF(AND(M2564=0,P2564=0),"▶ NEXT","")</f>
        <v/>
      </c>
      <c r="L2564" s="4" t="n">
        <f aca="false">INDEX('Master List'!$F$2:$F$2594,O2564)</f>
        <v>1</v>
      </c>
      <c r="M2564" s="4" t="n">
        <f aca="false">INDEX('Master List'!$G$2:$G$2594,O2564)</f>
        <v>0</v>
      </c>
      <c r="N2564" s="4" t="str">
        <f aca="false">IF(K2564="","",A2564)</f>
        <v/>
      </c>
      <c r="O2564" s="4" t="n">
        <v>509</v>
      </c>
      <c r="P2564" s="4" t="n">
        <f aca="false">IF(A2564=A2563,P2563+1-M2563,0)</f>
        <v>9</v>
      </c>
    </row>
    <row r="2565" customFormat="false" ht="15" hidden="false" customHeight="false" outlineLevel="0" collapsed="false">
      <c r="A2565" s="30" t="s">
        <v>4256</v>
      </c>
      <c r="B2565" s="30" t="s">
        <v>53</v>
      </c>
      <c r="C2565" s="30" t="s">
        <v>106</v>
      </c>
      <c r="D2565" s="30" t="s">
        <v>253</v>
      </c>
      <c r="E2565" s="4" t="n">
        <v>11</v>
      </c>
      <c r="F2565" s="4" t="s">
        <v>213</v>
      </c>
      <c r="G2565" s="4" t="s">
        <v>2290</v>
      </c>
      <c r="H2565" s="4" t="n">
        <v>1976</v>
      </c>
      <c r="I2565" s="4" t="s">
        <v>253</v>
      </c>
      <c r="J2565" s="25" t="str">
        <f aca="false">IF(M2565=1,"✓","")</f>
        <v/>
      </c>
      <c r="K2565" s="4" t="str">
        <f aca="false">IF(AND(M2565=0,P2565=0),"▶ NEXT","")</f>
        <v/>
      </c>
      <c r="L2565" s="4" t="n">
        <f aca="false">INDEX('Master List'!$F$2:$F$2594,O2565)</f>
        <v>1</v>
      </c>
      <c r="M2565" s="4" t="n">
        <f aca="false">INDEX('Master List'!$G$2:$G$2594,O2565)</f>
        <v>0</v>
      </c>
      <c r="N2565" s="4" t="str">
        <f aca="false">IF(K2565="","",A2565)</f>
        <v/>
      </c>
      <c r="O2565" s="4" t="n">
        <v>1491</v>
      </c>
      <c r="P2565" s="4" t="n">
        <f aca="false">IF(A2565=A2564,P2564+1-M2564,0)</f>
        <v>10</v>
      </c>
    </row>
    <row r="2566" customFormat="false" ht="15" hidden="false" customHeight="false" outlineLevel="0" collapsed="false">
      <c r="A2566" s="30" t="s">
        <v>4256</v>
      </c>
      <c r="B2566" s="30" t="s">
        <v>53</v>
      </c>
      <c r="C2566" s="30" t="s">
        <v>106</v>
      </c>
      <c r="D2566" s="30" t="s">
        <v>253</v>
      </c>
      <c r="E2566" s="4" t="n">
        <v>12</v>
      </c>
      <c r="F2566" s="4" t="s">
        <v>1327</v>
      </c>
      <c r="G2566" s="4" t="s">
        <v>3443</v>
      </c>
      <c r="H2566" s="4" t="n">
        <v>1966</v>
      </c>
      <c r="I2566" s="4" t="s">
        <v>253</v>
      </c>
      <c r="J2566" s="25" t="str">
        <f aca="false">IF(M2566=1,"✓","")</f>
        <v/>
      </c>
      <c r="K2566" s="4" t="str">
        <f aca="false">IF(AND(M2566=0,P2566=0),"▶ NEXT","")</f>
        <v/>
      </c>
      <c r="L2566" s="4" t="n">
        <f aca="false">INDEX('Master List'!$F$2:$F$2594,O2566)</f>
        <v>1</v>
      </c>
      <c r="M2566" s="4" t="n">
        <f aca="false">INDEX('Master List'!$G$2:$G$2594,O2566)</f>
        <v>0</v>
      </c>
      <c r="N2566" s="4" t="str">
        <f aca="false">IF(K2566="","",A2566)</f>
        <v/>
      </c>
      <c r="O2566" s="4" t="n">
        <v>1589</v>
      </c>
      <c r="P2566" s="4" t="n">
        <f aca="false">IF(A2566=A2565,P2565+1-M2565,0)</f>
        <v>11</v>
      </c>
    </row>
    <row r="2567" customFormat="false" ht="15" hidden="false" customHeight="false" outlineLevel="0" collapsed="false">
      <c r="A2567" s="30" t="s">
        <v>4256</v>
      </c>
      <c r="B2567" s="30" t="s">
        <v>53</v>
      </c>
      <c r="C2567" s="30" t="s">
        <v>106</v>
      </c>
      <c r="D2567" s="30" t="s">
        <v>253</v>
      </c>
      <c r="E2567" s="4" t="n">
        <v>13</v>
      </c>
      <c r="F2567" s="4" t="s">
        <v>1327</v>
      </c>
      <c r="G2567" s="4" t="s">
        <v>3522</v>
      </c>
      <c r="H2567" s="4" t="n">
        <v>1973</v>
      </c>
      <c r="I2567" s="4" t="s">
        <v>253</v>
      </c>
      <c r="J2567" s="25" t="str">
        <f aca="false">IF(M2567=1,"✓","")</f>
        <v/>
      </c>
      <c r="K2567" s="4" t="str">
        <f aca="false">IF(AND(M2567=0,P2567=0),"▶ NEXT","")</f>
        <v/>
      </c>
      <c r="L2567" s="4" t="n">
        <f aca="false">INDEX('Master List'!$F$2:$F$2594,O2567)</f>
        <v>1</v>
      </c>
      <c r="M2567" s="4" t="n">
        <f aca="false">INDEX('Master List'!$G$2:$G$2594,O2567)</f>
        <v>0</v>
      </c>
      <c r="N2567" s="4" t="str">
        <f aca="false">IF(K2567="","",A2567)</f>
        <v/>
      </c>
      <c r="O2567" s="4" t="n">
        <v>637</v>
      </c>
      <c r="P2567" s="4" t="n">
        <f aca="false">IF(A2567=A2566,P2566+1-M2566,0)</f>
        <v>12</v>
      </c>
    </row>
    <row r="2568" customFormat="false" ht="15" hidden="false" customHeight="false" outlineLevel="0" collapsed="false">
      <c r="A2568" s="30" t="s">
        <v>4257</v>
      </c>
      <c r="B2568" s="30" t="s">
        <v>53</v>
      </c>
      <c r="C2568" s="30" t="s">
        <v>106</v>
      </c>
      <c r="D2568" s="30" t="s">
        <v>4258</v>
      </c>
      <c r="E2568" s="4" t="n">
        <v>1</v>
      </c>
      <c r="F2568" s="4" t="s">
        <v>144</v>
      </c>
      <c r="G2568" s="7" t="s">
        <v>517</v>
      </c>
      <c r="H2568" s="4" t="n">
        <v>2010</v>
      </c>
      <c r="I2568" s="4" t="s">
        <v>444</v>
      </c>
      <c r="J2568" s="25" t="str">
        <f aca="false">IF(M2568=1,"✓","")</f>
        <v/>
      </c>
      <c r="K2568" s="4" t="str">
        <f aca="false">IF(AND(M2568=0,P2568=0),"▶ NEXT","")</f>
        <v>▶ NEXT</v>
      </c>
      <c r="L2568" s="4" t="n">
        <f aca="false">INDEX('Master List'!$F$2:$F$2594,O2568)</f>
        <v>3</v>
      </c>
      <c r="M2568" s="4" t="n">
        <f aca="false">INDEX('Master List'!$G$2:$G$2594,O2568)</f>
        <v>0</v>
      </c>
      <c r="N2568" s="4" t="str">
        <f aca="false">IF(K2568="","",A2568)</f>
        <v>N215</v>
      </c>
      <c r="O2568" s="4" t="n">
        <v>2399</v>
      </c>
      <c r="P2568" s="4" t="n">
        <f aca="false">IF(A2568=A2567,P2567+1-M2567,0)</f>
        <v>0</v>
      </c>
    </row>
    <row r="2569" customFormat="false" ht="15" hidden="false" customHeight="false" outlineLevel="0" collapsed="false">
      <c r="A2569" s="30" t="s">
        <v>4257</v>
      </c>
      <c r="B2569" s="30" t="s">
        <v>53</v>
      </c>
      <c r="C2569" s="30" t="s">
        <v>106</v>
      </c>
      <c r="D2569" s="30" t="s">
        <v>4258</v>
      </c>
      <c r="E2569" s="4" t="n">
        <v>2</v>
      </c>
      <c r="F2569" s="4" t="s">
        <v>144</v>
      </c>
      <c r="G2569" s="7" t="s">
        <v>858</v>
      </c>
      <c r="H2569" s="4" t="n">
        <v>2006</v>
      </c>
      <c r="I2569" s="4" t="s">
        <v>859</v>
      </c>
      <c r="J2569" s="25" t="str">
        <f aca="false">IF(M2569=1,"✓","")</f>
        <v/>
      </c>
      <c r="K2569" s="4" t="str">
        <f aca="false">IF(AND(M2569=0,P2569=0),"▶ NEXT","")</f>
        <v/>
      </c>
      <c r="L2569" s="4" t="n">
        <f aca="false">INDEX('Master List'!$F$2:$F$2594,O2569)</f>
        <v>2</v>
      </c>
      <c r="M2569" s="4" t="n">
        <f aca="false">INDEX('Master List'!$G$2:$G$2594,O2569)</f>
        <v>0</v>
      </c>
      <c r="N2569" s="4" t="str">
        <f aca="false">IF(K2569="","",A2569)</f>
        <v/>
      </c>
      <c r="O2569" s="4" t="n">
        <v>2157</v>
      </c>
      <c r="P2569" s="4" t="n">
        <f aca="false">IF(A2569=A2568,P2568+1-M2568,0)</f>
        <v>1</v>
      </c>
    </row>
    <row r="2570" customFormat="false" ht="15" hidden="false" customHeight="false" outlineLevel="0" collapsed="false">
      <c r="A2570" s="30" t="s">
        <v>4257</v>
      </c>
      <c r="B2570" s="30" t="s">
        <v>53</v>
      </c>
      <c r="C2570" s="30" t="s">
        <v>106</v>
      </c>
      <c r="D2570" s="30" t="s">
        <v>4258</v>
      </c>
      <c r="E2570" s="4" t="n">
        <v>3</v>
      </c>
      <c r="F2570" s="4" t="s">
        <v>213</v>
      </c>
      <c r="G2570" s="4" t="s">
        <v>1159</v>
      </c>
      <c r="H2570" s="4" t="n">
        <v>2002</v>
      </c>
      <c r="I2570" s="4" t="s">
        <v>444</v>
      </c>
      <c r="J2570" s="25" t="str">
        <f aca="false">IF(M2570=1,"✓","")</f>
        <v/>
      </c>
      <c r="K2570" s="4" t="str">
        <f aca="false">IF(AND(M2570=0,P2570=0),"▶ NEXT","")</f>
        <v/>
      </c>
      <c r="L2570" s="4" t="n">
        <f aca="false">INDEX('Master List'!$F$2:$F$2594,O2570)</f>
        <v>2</v>
      </c>
      <c r="M2570" s="4" t="n">
        <f aca="false">INDEX('Master List'!$G$2:$G$2594,O2570)</f>
        <v>0</v>
      </c>
      <c r="N2570" s="4" t="str">
        <f aca="false">IF(K2570="","",A2570)</f>
        <v/>
      </c>
      <c r="O2570" s="4" t="n">
        <v>287</v>
      </c>
      <c r="P2570" s="4" t="n">
        <f aca="false">IF(A2570=A2569,P2569+1-M2569,0)</f>
        <v>2</v>
      </c>
    </row>
    <row r="2571" customFormat="false" ht="15" hidden="false" customHeight="false" outlineLevel="0" collapsed="false">
      <c r="A2571" s="30" t="s">
        <v>4257</v>
      </c>
      <c r="B2571" s="30" t="s">
        <v>53</v>
      </c>
      <c r="C2571" s="30" t="s">
        <v>106</v>
      </c>
      <c r="D2571" s="30" t="s">
        <v>4258</v>
      </c>
      <c r="E2571" s="4" t="n">
        <v>4</v>
      </c>
      <c r="F2571" s="4" t="s">
        <v>213</v>
      </c>
      <c r="G2571" s="4" t="s">
        <v>443</v>
      </c>
      <c r="H2571" s="4" t="n">
        <v>2004</v>
      </c>
      <c r="I2571" s="4" t="s">
        <v>444</v>
      </c>
      <c r="J2571" s="25" t="str">
        <f aca="false">IF(M2571=1,"✓","")</f>
        <v/>
      </c>
      <c r="K2571" s="4" t="str">
        <f aca="false">IF(AND(M2571=0,P2571=0),"▶ NEXT","")</f>
        <v/>
      </c>
      <c r="L2571" s="4" t="n">
        <f aca="false">INDEX('Master List'!$F$2:$F$2594,O2571)</f>
        <v>4</v>
      </c>
      <c r="M2571" s="4" t="n">
        <f aca="false">INDEX('Master List'!$G$2:$G$2594,O2571)</f>
        <v>0</v>
      </c>
      <c r="N2571" s="4" t="str">
        <f aca="false">IF(K2571="","",A2571)</f>
        <v/>
      </c>
      <c r="O2571" s="4" t="n">
        <v>2374</v>
      </c>
      <c r="P2571" s="4" t="n">
        <f aca="false">IF(A2571=A2570,P2570+1-M2570,0)</f>
        <v>3</v>
      </c>
    </row>
    <row r="2572" customFormat="false" ht="15" hidden="false" customHeight="false" outlineLevel="0" collapsed="false">
      <c r="A2572" s="30" t="s">
        <v>4257</v>
      </c>
      <c r="B2572" s="30" t="s">
        <v>53</v>
      </c>
      <c r="C2572" s="30" t="s">
        <v>106</v>
      </c>
      <c r="D2572" s="30" t="s">
        <v>4258</v>
      </c>
      <c r="E2572" s="4" t="n">
        <v>5</v>
      </c>
      <c r="F2572" s="4" t="s">
        <v>213</v>
      </c>
      <c r="G2572" s="4" t="s">
        <v>1172</v>
      </c>
      <c r="H2572" s="4" t="n">
        <v>2006</v>
      </c>
      <c r="I2572" s="4" t="s">
        <v>444</v>
      </c>
      <c r="J2572" s="25" t="str">
        <f aca="false">IF(M2572=1,"✓","")</f>
        <v/>
      </c>
      <c r="K2572" s="4" t="str">
        <f aca="false">IF(AND(M2572=0,P2572=0),"▶ NEXT","")</f>
        <v/>
      </c>
      <c r="L2572" s="4" t="n">
        <f aca="false">INDEX('Master List'!$F$2:$F$2594,O2572)</f>
        <v>2</v>
      </c>
      <c r="M2572" s="4" t="n">
        <f aca="false">INDEX('Master List'!$G$2:$G$2594,O2572)</f>
        <v>0</v>
      </c>
      <c r="N2572" s="4" t="str">
        <f aca="false">IF(K2572="","",A2572)</f>
        <v/>
      </c>
      <c r="O2572" s="4" t="n">
        <v>2224</v>
      </c>
      <c r="P2572" s="4" t="n">
        <f aca="false">IF(A2572=A2571,P2571+1-M2571,0)</f>
        <v>4</v>
      </c>
    </row>
    <row r="2573" customFormat="false" ht="15" hidden="false" customHeight="false" outlineLevel="0" collapsed="false">
      <c r="A2573" s="30" t="s">
        <v>4257</v>
      </c>
      <c r="B2573" s="30" t="s">
        <v>53</v>
      </c>
      <c r="C2573" s="30" t="s">
        <v>106</v>
      </c>
      <c r="D2573" s="30" t="s">
        <v>4258</v>
      </c>
      <c r="E2573" s="4" t="n">
        <v>6</v>
      </c>
      <c r="F2573" s="4" t="s">
        <v>213</v>
      </c>
      <c r="G2573" s="4" t="s">
        <v>3081</v>
      </c>
      <c r="H2573" s="4" t="n">
        <v>2015</v>
      </c>
      <c r="I2573" s="4" t="s">
        <v>444</v>
      </c>
      <c r="J2573" s="25" t="str">
        <f aca="false">IF(M2573=1,"✓","")</f>
        <v/>
      </c>
      <c r="K2573" s="4" t="str">
        <f aca="false">IF(AND(M2573=0,P2573=0),"▶ NEXT","")</f>
        <v/>
      </c>
      <c r="L2573" s="4" t="n">
        <f aca="false">INDEX('Master List'!$F$2:$F$2594,O2573)</f>
        <v>1</v>
      </c>
      <c r="M2573" s="4" t="n">
        <f aca="false">INDEX('Master List'!$G$2:$G$2594,O2573)</f>
        <v>0</v>
      </c>
      <c r="N2573" s="4" t="str">
        <f aca="false">IF(K2573="","",A2573)</f>
        <v/>
      </c>
      <c r="O2573" s="4" t="n">
        <v>420</v>
      </c>
      <c r="P2573" s="4" t="n">
        <f aca="false">IF(A2573=A2572,P2572+1-M2572,0)</f>
        <v>5</v>
      </c>
    </row>
    <row r="2574" customFormat="false" ht="15" hidden="false" customHeight="false" outlineLevel="0" collapsed="false">
      <c r="A2574" s="30" t="s">
        <v>4257</v>
      </c>
      <c r="B2574" s="30" t="s">
        <v>53</v>
      </c>
      <c r="C2574" s="30" t="s">
        <v>106</v>
      </c>
      <c r="D2574" s="30" t="s">
        <v>4258</v>
      </c>
      <c r="E2574" s="4" t="n">
        <v>7</v>
      </c>
      <c r="F2574" s="4" t="s">
        <v>213</v>
      </c>
      <c r="G2574" s="4" t="s">
        <v>1261</v>
      </c>
      <c r="H2574" s="4" t="n">
        <v>2021</v>
      </c>
      <c r="I2574" s="4" t="s">
        <v>444</v>
      </c>
      <c r="J2574" s="25" t="str">
        <f aca="false">IF(M2574=1,"✓","")</f>
        <v/>
      </c>
      <c r="K2574" s="4" t="str">
        <f aca="false">IF(AND(M2574=0,P2574=0),"▶ NEXT","")</f>
        <v/>
      </c>
      <c r="L2574" s="4" t="n">
        <f aca="false">INDEX('Master List'!$F$2:$F$2594,O2574)</f>
        <v>2</v>
      </c>
      <c r="M2574" s="4" t="n">
        <f aca="false">INDEX('Master List'!$G$2:$G$2594,O2574)</f>
        <v>0</v>
      </c>
      <c r="N2574" s="4" t="str">
        <f aca="false">IF(K2574="","",A2574)</f>
        <v/>
      </c>
      <c r="O2574" s="4" t="n">
        <v>1477</v>
      </c>
      <c r="P2574" s="4" t="n">
        <f aca="false">IF(A2574=A2573,P2573+1-M2573,0)</f>
        <v>6</v>
      </c>
    </row>
    <row r="2575" customFormat="false" ht="15" hidden="false" customHeight="false" outlineLevel="0" collapsed="false">
      <c r="A2575" s="30" t="s">
        <v>4257</v>
      </c>
      <c r="B2575" s="30" t="s">
        <v>53</v>
      </c>
      <c r="C2575" s="30" t="s">
        <v>106</v>
      </c>
      <c r="D2575" s="30" t="s">
        <v>4258</v>
      </c>
      <c r="E2575" s="4" t="n">
        <v>8</v>
      </c>
      <c r="F2575" s="4" t="s">
        <v>213</v>
      </c>
      <c r="G2575" s="4" t="s">
        <v>2678</v>
      </c>
      <c r="H2575" s="4" t="n">
        <v>1997</v>
      </c>
      <c r="I2575" s="4" t="s">
        <v>859</v>
      </c>
      <c r="J2575" s="25" t="str">
        <f aca="false">IF(M2575=1,"✓","")</f>
        <v/>
      </c>
      <c r="K2575" s="4" t="str">
        <f aca="false">IF(AND(M2575=0,P2575=0),"▶ NEXT","")</f>
        <v/>
      </c>
      <c r="L2575" s="4" t="n">
        <f aca="false">INDEX('Master List'!$F$2:$F$2594,O2575)</f>
        <v>1</v>
      </c>
      <c r="M2575" s="4" t="n">
        <f aca="false">INDEX('Master List'!$G$2:$G$2594,O2575)</f>
        <v>0</v>
      </c>
      <c r="N2575" s="4" t="str">
        <f aca="false">IF(K2575="","",A2575)</f>
        <v/>
      </c>
      <c r="O2575" s="4" t="n">
        <v>2562</v>
      </c>
      <c r="P2575" s="4" t="n">
        <f aca="false">IF(A2575=A2574,P2574+1-M2574,0)</f>
        <v>7</v>
      </c>
    </row>
    <row r="2576" customFormat="false" ht="15" hidden="false" customHeight="false" outlineLevel="0" collapsed="false">
      <c r="A2576" s="30" t="s">
        <v>4257</v>
      </c>
      <c r="B2576" s="30" t="s">
        <v>53</v>
      </c>
      <c r="C2576" s="30" t="s">
        <v>106</v>
      </c>
      <c r="D2576" s="30" t="s">
        <v>4258</v>
      </c>
      <c r="E2576" s="4" t="n">
        <v>9</v>
      </c>
      <c r="F2576" s="4" t="s">
        <v>213</v>
      </c>
      <c r="G2576" s="4" t="s">
        <v>1140</v>
      </c>
      <c r="H2576" s="4" t="n">
        <v>2000</v>
      </c>
      <c r="I2576" s="4" t="s">
        <v>859</v>
      </c>
      <c r="J2576" s="25" t="str">
        <f aca="false">IF(M2576=1,"✓","")</f>
        <v/>
      </c>
      <c r="K2576" s="4" t="str">
        <f aca="false">IF(AND(M2576=0,P2576=0),"▶ NEXT","")</f>
        <v/>
      </c>
      <c r="L2576" s="4" t="n">
        <f aca="false">INDEX('Master List'!$F$2:$F$2594,O2576)</f>
        <v>2</v>
      </c>
      <c r="M2576" s="4" t="n">
        <f aca="false">INDEX('Master List'!$G$2:$G$2594,O2576)</f>
        <v>0</v>
      </c>
      <c r="N2576" s="4" t="str">
        <f aca="false">IF(K2576="","",A2576)</f>
        <v/>
      </c>
      <c r="O2576" s="4" t="n">
        <v>1777</v>
      </c>
      <c r="P2576" s="4" t="n">
        <f aca="false">IF(A2576=A2575,P2575+1-M2575,0)</f>
        <v>8</v>
      </c>
    </row>
    <row r="2577" customFormat="false" ht="15" hidden="false" customHeight="false" outlineLevel="0" collapsed="false">
      <c r="A2577" s="30" t="s">
        <v>4257</v>
      </c>
      <c r="B2577" s="30" t="s">
        <v>53</v>
      </c>
      <c r="C2577" s="30" t="s">
        <v>106</v>
      </c>
      <c r="D2577" s="30" t="s">
        <v>4258</v>
      </c>
      <c r="E2577" s="4" t="n">
        <v>10</v>
      </c>
      <c r="F2577" s="4" t="s">
        <v>213</v>
      </c>
      <c r="G2577" s="4" t="s">
        <v>2785</v>
      </c>
      <c r="H2577" s="4" t="n">
        <v>2002</v>
      </c>
      <c r="I2577" s="4" t="s">
        <v>859</v>
      </c>
      <c r="J2577" s="25" t="str">
        <f aca="false">IF(M2577=1,"✓","")</f>
        <v/>
      </c>
      <c r="K2577" s="4" t="str">
        <f aca="false">IF(AND(M2577=0,P2577=0),"▶ NEXT","")</f>
        <v/>
      </c>
      <c r="L2577" s="4" t="n">
        <f aca="false">INDEX('Master List'!$F$2:$F$2594,O2577)</f>
        <v>1</v>
      </c>
      <c r="M2577" s="4" t="n">
        <f aca="false">INDEX('Master List'!$G$2:$G$2594,O2577)</f>
        <v>0</v>
      </c>
      <c r="N2577" s="4" t="str">
        <f aca="false">IF(K2577="","",A2577)</f>
        <v/>
      </c>
      <c r="O2577" s="4" t="n">
        <v>2411</v>
      </c>
      <c r="P2577" s="4" t="n">
        <f aca="false">IF(A2577=A2576,P2576+1-M2576,0)</f>
        <v>9</v>
      </c>
    </row>
    <row r="2578" customFormat="false" ht="15" hidden="false" customHeight="false" outlineLevel="0" collapsed="false">
      <c r="A2578" s="30" t="s">
        <v>4257</v>
      </c>
      <c r="B2578" s="30" t="s">
        <v>53</v>
      </c>
      <c r="C2578" s="30" t="s">
        <v>106</v>
      </c>
      <c r="D2578" s="30" t="s">
        <v>4258</v>
      </c>
      <c r="E2578" s="4" t="n">
        <v>11</v>
      </c>
      <c r="F2578" s="4" t="s">
        <v>213</v>
      </c>
      <c r="G2578" s="4" t="s">
        <v>2827</v>
      </c>
      <c r="H2578" s="4" t="n">
        <v>2004</v>
      </c>
      <c r="I2578" s="4" t="s">
        <v>859</v>
      </c>
      <c r="J2578" s="25" t="str">
        <f aca="false">IF(M2578=1,"✓","")</f>
        <v/>
      </c>
      <c r="K2578" s="4" t="str">
        <f aca="false">IF(AND(M2578=0,P2578=0),"▶ NEXT","")</f>
        <v/>
      </c>
      <c r="L2578" s="4" t="n">
        <f aca="false">INDEX('Master List'!$F$2:$F$2594,O2578)</f>
        <v>1</v>
      </c>
      <c r="M2578" s="4" t="n">
        <f aca="false">INDEX('Master List'!$G$2:$G$2594,O2578)</f>
        <v>0</v>
      </c>
      <c r="N2578" s="4" t="str">
        <f aca="false">IF(K2578="","",A2578)</f>
        <v/>
      </c>
      <c r="O2578" s="4" t="n">
        <v>2553</v>
      </c>
      <c r="P2578" s="4" t="n">
        <f aca="false">IF(A2578=A2577,P2577+1-M2577,0)</f>
        <v>10</v>
      </c>
    </row>
    <row r="2579" customFormat="false" ht="15" hidden="false" customHeight="false" outlineLevel="0" collapsed="false">
      <c r="A2579" s="30" t="s">
        <v>4257</v>
      </c>
      <c r="B2579" s="30" t="s">
        <v>53</v>
      </c>
      <c r="C2579" s="30" t="s">
        <v>106</v>
      </c>
      <c r="D2579" s="30" t="s">
        <v>4258</v>
      </c>
      <c r="E2579" s="4" t="n">
        <v>12</v>
      </c>
      <c r="F2579" s="4" t="s">
        <v>213</v>
      </c>
      <c r="G2579" s="4" t="s">
        <v>1206</v>
      </c>
      <c r="H2579" s="4" t="n">
        <v>2013</v>
      </c>
      <c r="I2579" s="4" t="s">
        <v>859</v>
      </c>
      <c r="J2579" s="25" t="str">
        <f aca="false">IF(M2579=1,"✓","")</f>
        <v/>
      </c>
      <c r="K2579" s="4" t="str">
        <f aca="false">IF(AND(M2579=0,P2579=0),"▶ NEXT","")</f>
        <v/>
      </c>
      <c r="L2579" s="4" t="n">
        <f aca="false">INDEX('Master List'!$F$2:$F$2594,O2579)</f>
        <v>2</v>
      </c>
      <c r="M2579" s="4" t="n">
        <f aca="false">INDEX('Master List'!$G$2:$G$2594,O2579)</f>
        <v>0</v>
      </c>
      <c r="N2579" s="4" t="str">
        <f aca="false">IF(K2579="","",A2579)</f>
        <v/>
      </c>
      <c r="O2579" s="4" t="n">
        <v>2345</v>
      </c>
      <c r="P2579" s="4" t="n">
        <f aca="false">IF(A2579=A2578,P2578+1-M2578,0)</f>
        <v>11</v>
      </c>
    </row>
    <row r="2580" customFormat="false" ht="15" hidden="false" customHeight="false" outlineLevel="0" collapsed="false">
      <c r="A2580" s="30" t="s">
        <v>4257</v>
      </c>
      <c r="B2580" s="30" t="s">
        <v>53</v>
      </c>
      <c r="C2580" s="30" t="s">
        <v>106</v>
      </c>
      <c r="D2580" s="30" t="s">
        <v>4258</v>
      </c>
      <c r="E2580" s="4" t="n">
        <v>13</v>
      </c>
      <c r="F2580" s="4" t="s">
        <v>213</v>
      </c>
      <c r="G2580" s="4" t="s">
        <v>3082</v>
      </c>
      <c r="H2580" s="4" t="n">
        <v>2015</v>
      </c>
      <c r="I2580" s="4" t="s">
        <v>859</v>
      </c>
      <c r="J2580" s="25" t="str">
        <f aca="false">IF(M2580=1,"✓","")</f>
        <v/>
      </c>
      <c r="K2580" s="4" t="str">
        <f aca="false">IF(AND(M2580=0,P2580=0),"▶ NEXT","")</f>
        <v/>
      </c>
      <c r="L2580" s="4" t="n">
        <f aca="false">INDEX('Master List'!$F$2:$F$2594,O2580)</f>
        <v>1</v>
      </c>
      <c r="M2580" s="4" t="n">
        <f aca="false">INDEX('Master List'!$G$2:$G$2594,O2580)</f>
        <v>0</v>
      </c>
      <c r="N2580" s="4" t="str">
        <f aca="false">IF(K2580="","",A2580)</f>
        <v/>
      </c>
      <c r="O2580" s="4" t="n">
        <v>1545</v>
      </c>
      <c r="P2580" s="4" t="n">
        <f aca="false">IF(A2580=A2579,P2579+1-M2579,0)</f>
        <v>12</v>
      </c>
    </row>
    <row r="2581" customFormat="false" ht="15" hidden="false" customHeight="false" outlineLevel="0" collapsed="false">
      <c r="A2581" s="30" t="s">
        <v>4257</v>
      </c>
      <c r="B2581" s="30" t="s">
        <v>53</v>
      </c>
      <c r="C2581" s="30" t="s">
        <v>106</v>
      </c>
      <c r="D2581" s="30" t="s">
        <v>4258</v>
      </c>
      <c r="E2581" s="4" t="n">
        <v>14</v>
      </c>
      <c r="F2581" s="4" t="s">
        <v>1327</v>
      </c>
      <c r="G2581" s="4" t="s">
        <v>3848</v>
      </c>
      <c r="H2581" s="4" t="n">
        <v>2018</v>
      </c>
      <c r="I2581" s="4" t="s">
        <v>859</v>
      </c>
      <c r="J2581" s="25" t="str">
        <f aca="false">IF(M2581=1,"✓","")</f>
        <v/>
      </c>
      <c r="K2581" s="4" t="str">
        <f aca="false">IF(AND(M2581=0,P2581=0),"▶ NEXT","")</f>
        <v/>
      </c>
      <c r="L2581" s="4" t="n">
        <f aca="false">INDEX('Master List'!$F$2:$F$2594,O2581)</f>
        <v>1</v>
      </c>
      <c r="M2581" s="4" t="n">
        <f aca="false">INDEX('Master List'!$G$2:$G$2594,O2581)</f>
        <v>0</v>
      </c>
      <c r="N2581" s="4" t="str">
        <f aca="false">IF(K2581="","",A2581)</f>
        <v/>
      </c>
      <c r="O2581" s="4" t="n">
        <v>135</v>
      </c>
      <c r="P2581" s="4" t="n">
        <f aca="false">IF(A2581=A2580,P2580+1-M2580,0)</f>
        <v>13</v>
      </c>
    </row>
    <row r="2582" customFormat="false" ht="15" hidden="false" customHeight="false" outlineLevel="0" collapsed="false">
      <c r="A2582" s="30" t="s">
        <v>4259</v>
      </c>
      <c r="B2582" s="30" t="s">
        <v>53</v>
      </c>
      <c r="C2582" s="30" t="s">
        <v>107</v>
      </c>
      <c r="D2582" s="30" t="s">
        <v>395</v>
      </c>
      <c r="E2582" s="4" t="n">
        <v>1</v>
      </c>
      <c r="F2582" s="4" t="s">
        <v>144</v>
      </c>
      <c r="G2582" s="7" t="s">
        <v>665</v>
      </c>
      <c r="H2582" s="4" t="n">
        <v>1966</v>
      </c>
      <c r="I2582" s="4" t="s">
        <v>395</v>
      </c>
      <c r="J2582" s="25" t="str">
        <f aca="false">IF(M2582=1,"✓","")</f>
        <v/>
      </c>
      <c r="K2582" s="4" t="str">
        <f aca="false">IF(AND(M2582=0,P2582=0),"▶ NEXT","")</f>
        <v>▶ NEXT</v>
      </c>
      <c r="L2582" s="4" t="n">
        <f aca="false">INDEX('Master List'!$F$2:$F$2594,O2582)</f>
        <v>2</v>
      </c>
      <c r="M2582" s="4" t="n">
        <f aca="false">INDEX('Master List'!$G$2:$G$2594,O2582)</f>
        <v>0</v>
      </c>
      <c r="N2582" s="4" t="str">
        <f aca="false">IF(K2582="","",A2582)</f>
        <v>N216</v>
      </c>
      <c r="O2582" s="4" t="n">
        <v>928</v>
      </c>
      <c r="P2582" s="4" t="n">
        <f aca="false">IF(A2582=A2581,P2581+1-M2581,0)</f>
        <v>0</v>
      </c>
    </row>
    <row r="2583" customFormat="false" ht="15" hidden="false" customHeight="false" outlineLevel="0" collapsed="false">
      <c r="A2583" s="30" t="s">
        <v>4259</v>
      </c>
      <c r="B2583" s="30" t="s">
        <v>53</v>
      </c>
      <c r="C2583" s="30" t="s">
        <v>107</v>
      </c>
      <c r="D2583" s="30" t="s">
        <v>395</v>
      </c>
      <c r="E2583" s="4" t="n">
        <v>2</v>
      </c>
      <c r="F2583" s="4" t="s">
        <v>144</v>
      </c>
      <c r="G2583" s="7" t="s">
        <v>473</v>
      </c>
      <c r="H2583" s="4" t="n">
        <v>1968</v>
      </c>
      <c r="I2583" s="4" t="s">
        <v>395</v>
      </c>
      <c r="J2583" s="25" t="str">
        <f aca="false">IF(M2583=1,"✓","")</f>
        <v>✓</v>
      </c>
      <c r="K2583" s="4" t="str">
        <f aca="false">IF(AND(M2583=0,P2583=0),"▶ NEXT","")</f>
        <v/>
      </c>
      <c r="L2583" s="4" t="n">
        <f aca="false">INDEX('Master List'!$F$2:$F$2594,O2583)</f>
        <v>3</v>
      </c>
      <c r="M2583" s="4" t="n">
        <f aca="false">INDEX('Master List'!$G$2:$G$2594,O2583)</f>
        <v>1</v>
      </c>
      <c r="N2583" s="4" t="str">
        <f aca="false">IF(K2583="","",A2583)</f>
        <v/>
      </c>
      <c r="O2583" s="4" t="n">
        <v>1673</v>
      </c>
      <c r="P2583" s="4" t="n">
        <f aca="false">IF(A2583=A2582,P2582+1-M2582,0)</f>
        <v>1</v>
      </c>
    </row>
    <row r="2584" customFormat="false" ht="15" hidden="false" customHeight="false" outlineLevel="0" collapsed="false">
      <c r="A2584" s="30" t="s">
        <v>4259</v>
      </c>
      <c r="B2584" s="30" t="s">
        <v>53</v>
      </c>
      <c r="C2584" s="30" t="s">
        <v>107</v>
      </c>
      <c r="D2584" s="30" t="s">
        <v>395</v>
      </c>
      <c r="E2584" s="4" t="n">
        <v>3</v>
      </c>
      <c r="F2584" s="4" t="s">
        <v>213</v>
      </c>
      <c r="G2584" s="4" t="s">
        <v>467</v>
      </c>
      <c r="H2584" s="4" t="n">
        <v>1964</v>
      </c>
      <c r="I2584" s="4" t="s">
        <v>395</v>
      </c>
      <c r="J2584" s="25" t="str">
        <f aca="false">IF(M2584=1,"✓","")</f>
        <v>✓</v>
      </c>
      <c r="K2584" s="4" t="str">
        <f aca="false">IF(AND(M2584=0,P2584=0),"▶ NEXT","")</f>
        <v/>
      </c>
      <c r="L2584" s="4" t="n">
        <f aca="false">INDEX('Master List'!$F$2:$F$2594,O2584)</f>
        <v>3</v>
      </c>
      <c r="M2584" s="4" t="n">
        <f aca="false">INDEX('Master List'!$G$2:$G$2594,O2584)</f>
        <v>1</v>
      </c>
      <c r="N2584" s="4" t="str">
        <f aca="false">IF(K2584="","",A2584)</f>
        <v/>
      </c>
      <c r="O2584" s="4" t="n">
        <v>812</v>
      </c>
      <c r="P2584" s="4" t="n">
        <f aca="false">IF(A2584=A2583,P2583+1-M2583,0)</f>
        <v>1</v>
      </c>
    </row>
    <row r="2585" customFormat="false" ht="15" hidden="false" customHeight="false" outlineLevel="0" collapsed="false">
      <c r="A2585" s="30" t="s">
        <v>4259</v>
      </c>
      <c r="B2585" s="30" t="s">
        <v>53</v>
      </c>
      <c r="C2585" s="30" t="s">
        <v>107</v>
      </c>
      <c r="D2585" s="30" t="s">
        <v>395</v>
      </c>
      <c r="E2585" s="4" t="n">
        <v>4</v>
      </c>
      <c r="F2585" s="4" t="s">
        <v>213</v>
      </c>
      <c r="G2585" s="4" t="s">
        <v>983</v>
      </c>
      <c r="H2585" s="4" t="n">
        <v>1965</v>
      </c>
      <c r="I2585" s="4" t="s">
        <v>395</v>
      </c>
      <c r="J2585" s="25" t="str">
        <f aca="false">IF(M2585=1,"✓","")</f>
        <v>✓</v>
      </c>
      <c r="K2585" s="4" t="str">
        <f aca="false">IF(AND(M2585=0,P2585=0),"▶ NEXT","")</f>
        <v/>
      </c>
      <c r="L2585" s="4" t="n">
        <f aca="false">INDEX('Master List'!$F$2:$F$2594,O2585)</f>
        <v>2</v>
      </c>
      <c r="M2585" s="4" t="n">
        <f aca="false">INDEX('Master List'!$G$2:$G$2594,O2585)</f>
        <v>1</v>
      </c>
      <c r="N2585" s="4" t="str">
        <f aca="false">IF(K2585="","",A2585)</f>
        <v/>
      </c>
      <c r="O2585" s="4" t="n">
        <v>831</v>
      </c>
      <c r="P2585" s="4" t="n">
        <f aca="false">IF(A2585=A2584,P2584+1-M2584,0)</f>
        <v>1</v>
      </c>
    </row>
    <row r="2586" customFormat="false" ht="15" hidden="false" customHeight="false" outlineLevel="0" collapsed="false">
      <c r="A2586" s="30" t="s">
        <v>4259</v>
      </c>
      <c r="B2586" s="30" t="s">
        <v>53</v>
      </c>
      <c r="C2586" s="30" t="s">
        <v>107</v>
      </c>
      <c r="D2586" s="30" t="s">
        <v>395</v>
      </c>
      <c r="E2586" s="4" t="n">
        <v>5</v>
      </c>
      <c r="F2586" s="4" t="s">
        <v>213</v>
      </c>
      <c r="G2586" s="4" t="s">
        <v>1011</v>
      </c>
      <c r="H2586" s="4" t="n">
        <v>1971</v>
      </c>
      <c r="I2586" s="4" t="s">
        <v>395</v>
      </c>
      <c r="J2586" s="25" t="str">
        <f aca="false">IF(M2586=1,"✓","")</f>
        <v/>
      </c>
      <c r="K2586" s="4" t="str">
        <f aca="false">IF(AND(M2586=0,P2586=0),"▶ NEXT","")</f>
        <v/>
      </c>
      <c r="L2586" s="4" t="n">
        <f aca="false">INDEX('Master List'!$F$2:$F$2594,O2586)</f>
        <v>2</v>
      </c>
      <c r="M2586" s="4" t="n">
        <f aca="false">INDEX('Master List'!$G$2:$G$2594,O2586)</f>
        <v>0</v>
      </c>
      <c r="N2586" s="4" t="str">
        <f aca="false">IF(K2586="","",A2586)</f>
        <v/>
      </c>
      <c r="O2586" s="4" t="n">
        <v>687</v>
      </c>
      <c r="P2586" s="4" t="n">
        <f aca="false">IF(A2586=A2585,P2585+1-M2585,0)</f>
        <v>1</v>
      </c>
    </row>
    <row r="2587" customFormat="false" ht="15" hidden="false" customHeight="false" outlineLevel="0" collapsed="false">
      <c r="A2587" s="30" t="s">
        <v>4259</v>
      </c>
      <c r="B2587" s="30" t="s">
        <v>53</v>
      </c>
      <c r="C2587" s="30" t="s">
        <v>107</v>
      </c>
      <c r="D2587" s="30" t="s">
        <v>395</v>
      </c>
      <c r="E2587" s="4" t="n">
        <v>6</v>
      </c>
      <c r="F2587" s="4" t="s">
        <v>213</v>
      </c>
      <c r="G2587" s="4" t="s">
        <v>394</v>
      </c>
      <c r="H2587" s="4" t="n">
        <v>1984</v>
      </c>
      <c r="I2587" s="4" t="s">
        <v>395</v>
      </c>
      <c r="J2587" s="25" t="str">
        <f aca="false">IF(M2587=1,"✓","")</f>
        <v/>
      </c>
      <c r="K2587" s="4" t="str">
        <f aca="false">IF(AND(M2587=0,P2587=0),"▶ NEXT","")</f>
        <v/>
      </c>
      <c r="L2587" s="4" t="n">
        <f aca="false">INDEX('Master List'!$F$2:$F$2594,O2587)</f>
        <v>4</v>
      </c>
      <c r="M2587" s="4" t="n">
        <f aca="false">INDEX('Master List'!$G$2:$G$2594,O2587)</f>
        <v>0</v>
      </c>
      <c r="N2587" s="4" t="str">
        <f aca="false">IF(K2587="","",A2587)</f>
        <v/>
      </c>
      <c r="O2587" s="4" t="n">
        <v>1669</v>
      </c>
      <c r="P2587" s="4" t="n">
        <f aca="false">IF(A2587=A2586,P2586+1-M2586,0)</f>
        <v>2</v>
      </c>
    </row>
    <row r="2588" customFormat="false" ht="15" hidden="false" customHeight="false" outlineLevel="0" collapsed="false">
      <c r="A2588" s="30" t="s">
        <v>4260</v>
      </c>
      <c r="B2588" s="30" t="s">
        <v>53</v>
      </c>
      <c r="C2588" s="30" t="s">
        <v>107</v>
      </c>
      <c r="D2588" s="30" t="s">
        <v>255</v>
      </c>
      <c r="E2588" s="4" t="n">
        <v>1</v>
      </c>
      <c r="F2588" s="4" t="s">
        <v>144</v>
      </c>
      <c r="G2588" s="7" t="s">
        <v>254</v>
      </c>
      <c r="H2588" s="4" t="n">
        <v>1962</v>
      </c>
      <c r="I2588" s="4" t="s">
        <v>255</v>
      </c>
      <c r="J2588" s="25" t="str">
        <f aca="false">IF(M2588=1,"✓","")</f>
        <v/>
      </c>
      <c r="K2588" s="4" t="str">
        <f aca="false">IF(AND(M2588=0,P2588=0),"▶ NEXT","")</f>
        <v>▶ NEXT</v>
      </c>
      <c r="L2588" s="4" t="n">
        <f aca="false">INDEX('Master List'!$F$2:$F$2594,O2588)</f>
        <v>5</v>
      </c>
      <c r="M2588" s="4" t="n">
        <f aca="false">INDEX('Master List'!$G$2:$G$2594,O2588)</f>
        <v>0</v>
      </c>
      <c r="N2588" s="4" t="str">
        <f aca="false">IF(K2588="","",A2588)</f>
        <v>N217</v>
      </c>
      <c r="O2588" s="4" t="n">
        <v>1313</v>
      </c>
      <c r="P2588" s="4" t="n">
        <f aca="false">IF(A2588=A2587,P2587+1-M2587,0)</f>
        <v>0</v>
      </c>
    </row>
    <row r="2589" customFormat="false" ht="15" hidden="false" customHeight="false" outlineLevel="0" collapsed="false">
      <c r="A2589" s="30" t="s">
        <v>4260</v>
      </c>
      <c r="B2589" s="30" t="s">
        <v>53</v>
      </c>
      <c r="C2589" s="30" t="s">
        <v>107</v>
      </c>
      <c r="D2589" s="30" t="s">
        <v>255</v>
      </c>
      <c r="E2589" s="4" t="n">
        <v>2</v>
      </c>
      <c r="F2589" s="4" t="s">
        <v>144</v>
      </c>
      <c r="G2589" s="7" t="s">
        <v>404</v>
      </c>
      <c r="H2589" s="4" t="n">
        <v>1945</v>
      </c>
      <c r="I2589" s="4" t="s">
        <v>255</v>
      </c>
      <c r="J2589" s="25" t="str">
        <f aca="false">IF(M2589=1,"✓","")</f>
        <v/>
      </c>
      <c r="K2589" s="4" t="str">
        <f aca="false">IF(AND(M2589=0,P2589=0),"▶ NEXT","")</f>
        <v/>
      </c>
      <c r="L2589" s="4" t="n">
        <f aca="false">INDEX('Master List'!$F$2:$F$2594,O2589)</f>
        <v>3</v>
      </c>
      <c r="M2589" s="4" t="n">
        <f aca="false">INDEX('Master List'!$G$2:$G$2594,O2589)</f>
        <v>0</v>
      </c>
      <c r="N2589" s="4" t="str">
        <f aca="false">IF(K2589="","",A2589)</f>
        <v/>
      </c>
      <c r="O2589" s="4" t="n">
        <v>349</v>
      </c>
      <c r="P2589" s="4" t="n">
        <f aca="false">IF(A2589=A2588,P2588+1-M2588,0)</f>
        <v>1</v>
      </c>
    </row>
    <row r="2590" customFormat="false" ht="15" hidden="false" customHeight="false" outlineLevel="0" collapsed="false">
      <c r="A2590" s="30" t="s">
        <v>4260</v>
      </c>
      <c r="B2590" s="30" t="s">
        <v>53</v>
      </c>
      <c r="C2590" s="30" t="s">
        <v>107</v>
      </c>
      <c r="D2590" s="30" t="s">
        <v>255</v>
      </c>
      <c r="E2590" s="4" t="n">
        <v>3</v>
      </c>
      <c r="F2590" s="4" t="s">
        <v>213</v>
      </c>
      <c r="G2590" s="4" t="s">
        <v>926</v>
      </c>
      <c r="H2590" s="4" t="n">
        <v>1946</v>
      </c>
      <c r="I2590" s="4" t="s">
        <v>255</v>
      </c>
      <c r="J2590" s="25" t="str">
        <f aca="false">IF(M2590=1,"✓","")</f>
        <v/>
      </c>
      <c r="K2590" s="4" t="str">
        <f aca="false">IF(AND(M2590=0,P2590=0),"▶ NEXT","")</f>
        <v/>
      </c>
      <c r="L2590" s="4" t="n">
        <f aca="false">INDEX('Master List'!$F$2:$F$2594,O2590)</f>
        <v>2</v>
      </c>
      <c r="M2590" s="4" t="n">
        <f aca="false">INDEX('Master List'!$G$2:$G$2594,O2590)</f>
        <v>0</v>
      </c>
      <c r="N2590" s="4" t="str">
        <f aca="false">IF(K2590="","",A2590)</f>
        <v/>
      </c>
      <c r="O2590" s="4" t="n">
        <v>953</v>
      </c>
      <c r="P2590" s="4" t="n">
        <f aca="false">IF(A2590=A2589,P2589+1-M2589,0)</f>
        <v>2</v>
      </c>
    </row>
    <row r="2591" customFormat="false" ht="15" hidden="false" customHeight="false" outlineLevel="0" collapsed="false">
      <c r="A2591" s="30" t="s">
        <v>4260</v>
      </c>
      <c r="B2591" s="30" t="s">
        <v>53</v>
      </c>
      <c r="C2591" s="30" t="s">
        <v>107</v>
      </c>
      <c r="D2591" s="30" t="s">
        <v>255</v>
      </c>
      <c r="E2591" s="4" t="n">
        <v>4</v>
      </c>
      <c r="F2591" s="4" t="s">
        <v>213</v>
      </c>
      <c r="G2591" s="4" t="s">
        <v>1859</v>
      </c>
      <c r="H2591" s="4" t="n">
        <v>1948</v>
      </c>
      <c r="I2591" s="4" t="s">
        <v>255</v>
      </c>
      <c r="J2591" s="25" t="str">
        <f aca="false">IF(M2591=1,"✓","")</f>
        <v/>
      </c>
      <c r="K2591" s="4" t="str">
        <f aca="false">IF(AND(M2591=0,P2591=0),"▶ NEXT","")</f>
        <v/>
      </c>
      <c r="L2591" s="4" t="n">
        <f aca="false">INDEX('Master List'!$F$2:$F$2594,O2591)</f>
        <v>1</v>
      </c>
      <c r="M2591" s="4" t="n">
        <f aca="false">INDEX('Master List'!$G$2:$G$2594,O2591)</f>
        <v>0</v>
      </c>
      <c r="N2591" s="4" t="str">
        <f aca="false">IF(K2591="","",A2591)</f>
        <v/>
      </c>
      <c r="O2591" s="4" t="n">
        <v>1659</v>
      </c>
      <c r="P2591" s="4" t="n">
        <f aca="false">IF(A2591=A2590,P2590+1-M2590,0)</f>
        <v>3</v>
      </c>
    </row>
    <row r="2592" customFormat="false" ht="15" hidden="false" customHeight="false" outlineLevel="0" collapsed="false">
      <c r="A2592" s="30" t="s">
        <v>4260</v>
      </c>
      <c r="B2592" s="30" t="s">
        <v>53</v>
      </c>
      <c r="C2592" s="30" t="s">
        <v>107</v>
      </c>
      <c r="D2592" s="30" t="s">
        <v>255</v>
      </c>
      <c r="E2592" s="4" t="n">
        <v>5</v>
      </c>
      <c r="F2592" s="4" t="s">
        <v>213</v>
      </c>
      <c r="G2592" s="4" t="s">
        <v>1911</v>
      </c>
      <c r="H2592" s="4" t="n">
        <v>1954</v>
      </c>
      <c r="I2592" s="4" t="s">
        <v>255</v>
      </c>
      <c r="J2592" s="25" t="str">
        <f aca="false">IF(M2592=1,"✓","")</f>
        <v/>
      </c>
      <c r="K2592" s="4" t="str">
        <f aca="false">IF(AND(M2592=0,P2592=0),"▶ NEXT","")</f>
        <v/>
      </c>
      <c r="L2592" s="4" t="n">
        <f aca="false">INDEX('Master List'!$F$2:$F$2594,O2592)</f>
        <v>1</v>
      </c>
      <c r="M2592" s="4" t="n">
        <f aca="false">INDEX('Master List'!$G$2:$G$2594,O2592)</f>
        <v>0</v>
      </c>
      <c r="N2592" s="4" t="str">
        <f aca="false">IF(K2592="","",A2592)</f>
        <v/>
      </c>
      <c r="O2592" s="4" t="n">
        <v>1047</v>
      </c>
      <c r="P2592" s="4" t="n">
        <f aca="false">IF(A2592=A2591,P2591+1-M2591,0)</f>
        <v>4</v>
      </c>
    </row>
    <row r="2593" customFormat="false" ht="15" hidden="false" customHeight="false" outlineLevel="0" collapsed="false">
      <c r="A2593" s="30" t="s">
        <v>4260</v>
      </c>
      <c r="B2593" s="30" t="s">
        <v>53</v>
      </c>
      <c r="C2593" s="30" t="s">
        <v>107</v>
      </c>
      <c r="D2593" s="30" t="s">
        <v>255</v>
      </c>
      <c r="E2593" s="4" t="n">
        <v>6</v>
      </c>
      <c r="F2593" s="4" t="s">
        <v>213</v>
      </c>
      <c r="G2593" s="4" t="s">
        <v>579</v>
      </c>
      <c r="H2593" s="4" t="n">
        <v>1957</v>
      </c>
      <c r="I2593" s="4" t="s">
        <v>255</v>
      </c>
      <c r="J2593" s="25" t="str">
        <f aca="false">IF(M2593=1,"✓","")</f>
        <v/>
      </c>
      <c r="K2593" s="4" t="str">
        <f aca="false">IF(AND(M2593=0,P2593=0),"▶ NEXT","")</f>
        <v/>
      </c>
      <c r="L2593" s="4" t="n">
        <f aca="false">INDEX('Master List'!$F$2:$F$2594,O2593)</f>
        <v>3</v>
      </c>
      <c r="M2593" s="4" t="n">
        <f aca="false">INDEX('Master List'!$G$2:$G$2594,O2593)</f>
        <v>0</v>
      </c>
      <c r="N2593" s="4" t="str">
        <f aca="false">IF(K2593="","",A2593)</f>
        <v/>
      </c>
      <c r="O2593" s="4" t="n">
        <v>348</v>
      </c>
      <c r="P2593" s="4" t="n">
        <f aca="false">IF(A2593=A2592,P2592+1-M2592,0)</f>
        <v>5</v>
      </c>
    </row>
    <row r="2594" customFormat="false" ht="15" hidden="false" customHeight="false" outlineLevel="0" collapsed="false">
      <c r="A2594" s="30" t="s">
        <v>4260</v>
      </c>
      <c r="B2594" s="30" t="s">
        <v>53</v>
      </c>
      <c r="C2594" s="30" t="s">
        <v>107</v>
      </c>
      <c r="D2594" s="30" t="s">
        <v>255</v>
      </c>
      <c r="E2594" s="4" t="n">
        <v>7</v>
      </c>
      <c r="F2594" s="4" t="s">
        <v>213</v>
      </c>
      <c r="G2594" s="4" t="s">
        <v>2072</v>
      </c>
      <c r="H2594" s="4" t="n">
        <v>1965</v>
      </c>
      <c r="I2594" s="4" t="s">
        <v>255</v>
      </c>
      <c r="J2594" s="25" t="str">
        <f aca="false">IF(M2594=1,"✓","")</f>
        <v/>
      </c>
      <c r="K2594" s="4" t="str">
        <f aca="false">IF(AND(M2594=0,P2594=0),"▶ NEXT","")</f>
        <v/>
      </c>
      <c r="L2594" s="4" t="n">
        <f aca="false">INDEX('Master List'!$F$2:$F$2594,O2594)</f>
        <v>1</v>
      </c>
      <c r="M2594" s="4" t="n">
        <f aca="false">INDEX('Master List'!$G$2:$G$2594,O2594)</f>
        <v>0</v>
      </c>
      <c r="N2594" s="4" t="str">
        <f aca="false">IF(K2594="","",A2594)</f>
        <v/>
      </c>
      <c r="O2594" s="4" t="n">
        <v>648</v>
      </c>
      <c r="P2594" s="4" t="n">
        <f aca="false">IF(A2594=A2593,P2593+1-M2593,0)</f>
        <v>6</v>
      </c>
    </row>
    <row r="2595" customFormat="false" ht="15" hidden="false" customHeight="false" outlineLevel="0" collapsed="false">
      <c r="A2595" s="30" t="s">
        <v>4260</v>
      </c>
      <c r="B2595" s="30" t="s">
        <v>53</v>
      </c>
      <c r="C2595" s="30" t="s">
        <v>107</v>
      </c>
      <c r="D2595" s="30" t="s">
        <v>255</v>
      </c>
      <c r="E2595" s="4" t="n">
        <v>8</v>
      </c>
      <c r="F2595" s="4" t="s">
        <v>1327</v>
      </c>
      <c r="G2595" s="4" t="s">
        <v>3480</v>
      </c>
      <c r="H2595" s="4" t="n">
        <v>1970</v>
      </c>
      <c r="I2595" s="4" t="s">
        <v>255</v>
      </c>
      <c r="J2595" s="25" t="str">
        <f aca="false">IF(M2595=1,"✓","")</f>
        <v/>
      </c>
      <c r="K2595" s="4" t="str">
        <f aca="false">IF(AND(M2595=0,P2595=0),"▶ NEXT","")</f>
        <v/>
      </c>
      <c r="L2595" s="4" t="n">
        <f aca="false">INDEX('Master List'!$F$2:$F$2594,O2595)</f>
        <v>1</v>
      </c>
      <c r="M2595" s="4" t="n">
        <f aca="false">INDEX('Master List'!$G$2:$G$2594,O2595)</f>
        <v>0</v>
      </c>
      <c r="N2595" s="4" t="str">
        <f aca="false">IF(K2595="","",A2595)</f>
        <v/>
      </c>
      <c r="O2595" s="4" t="n">
        <v>1950</v>
      </c>
      <c r="P2595" s="4" t="n">
        <f aca="false">IF(A2595=A2594,P2594+1-M2594,0)</f>
        <v>7</v>
      </c>
    </row>
    <row r="2596" customFormat="false" ht="15" hidden="false" customHeight="false" outlineLevel="0" collapsed="false">
      <c r="A2596" s="30" t="s">
        <v>4260</v>
      </c>
      <c r="B2596" s="30" t="s">
        <v>53</v>
      </c>
      <c r="C2596" s="30" t="s">
        <v>107</v>
      </c>
      <c r="D2596" s="30" t="s">
        <v>255</v>
      </c>
      <c r="E2596" s="4" t="n">
        <v>9</v>
      </c>
      <c r="F2596" s="4" t="s">
        <v>1327</v>
      </c>
      <c r="G2596" s="4" t="s">
        <v>3626</v>
      </c>
      <c r="H2596" s="4" t="n">
        <v>1984</v>
      </c>
      <c r="I2596" s="4" t="s">
        <v>255</v>
      </c>
      <c r="J2596" s="25" t="str">
        <f aca="false">IF(M2596=1,"✓","")</f>
        <v/>
      </c>
      <c r="K2596" s="4" t="str">
        <f aca="false">IF(AND(M2596=0,P2596=0),"▶ NEXT","")</f>
        <v/>
      </c>
      <c r="L2596" s="4" t="n">
        <f aca="false">INDEX('Master List'!$F$2:$F$2594,O2596)</f>
        <v>1</v>
      </c>
      <c r="M2596" s="4" t="n">
        <f aca="false">INDEX('Master List'!$G$2:$G$2594,O2596)</f>
        <v>0</v>
      </c>
      <c r="N2596" s="4" t="str">
        <f aca="false">IF(K2596="","",A2596)</f>
        <v/>
      </c>
      <c r="O2596" s="4" t="n">
        <v>1726</v>
      </c>
      <c r="P2596" s="4" t="n">
        <f aca="false">IF(A2596=A2595,P2595+1-M2595,0)</f>
        <v>8</v>
      </c>
    </row>
    <row r="2597" customFormat="false" ht="15" hidden="false" customHeight="false" outlineLevel="0" collapsed="false">
      <c r="A2597" s="30" t="s">
        <v>4261</v>
      </c>
      <c r="B2597" s="30" t="s">
        <v>53</v>
      </c>
      <c r="C2597" s="30" t="s">
        <v>107</v>
      </c>
      <c r="D2597" s="30" t="s">
        <v>4262</v>
      </c>
      <c r="E2597" s="4" t="n">
        <v>1</v>
      </c>
      <c r="F2597" s="4" t="s">
        <v>144</v>
      </c>
      <c r="G2597" s="7" t="s">
        <v>341</v>
      </c>
      <c r="H2597" s="4" t="n">
        <v>2000</v>
      </c>
      <c r="I2597" s="4" t="s">
        <v>342</v>
      </c>
      <c r="J2597" s="25" t="str">
        <f aca="false">IF(M2597=1,"✓","")</f>
        <v>✓</v>
      </c>
      <c r="K2597" s="4" t="str">
        <f aca="false">IF(AND(M2597=0,P2597=0),"▶ NEXT","")</f>
        <v/>
      </c>
      <c r="L2597" s="4" t="n">
        <f aca="false">INDEX('Master List'!$F$2:$F$2594,O2597)</f>
        <v>4</v>
      </c>
      <c r="M2597" s="4" t="n">
        <f aca="false">INDEX('Master List'!$G$2:$G$2594,O2597)</f>
        <v>1</v>
      </c>
      <c r="N2597" s="4" t="str">
        <f aca="false">IF(K2597="","",A2597)</f>
        <v/>
      </c>
      <c r="O2597" s="4" t="n">
        <v>1475</v>
      </c>
      <c r="P2597" s="4" t="n">
        <f aca="false">IF(A2597=A2596,P2596+1-M2596,0)</f>
        <v>0</v>
      </c>
    </row>
    <row r="2598" customFormat="false" ht="15" hidden="false" customHeight="false" outlineLevel="0" collapsed="false">
      <c r="A2598" s="30" t="s">
        <v>4261</v>
      </c>
      <c r="B2598" s="30" t="s">
        <v>53</v>
      </c>
      <c r="C2598" s="30" t="s">
        <v>107</v>
      </c>
      <c r="D2598" s="30" t="s">
        <v>4262</v>
      </c>
      <c r="E2598" s="4" t="n">
        <v>2</v>
      </c>
      <c r="F2598" s="4" t="s">
        <v>144</v>
      </c>
      <c r="G2598" s="7" t="s">
        <v>326</v>
      </c>
      <c r="H2598" s="4" t="n">
        <v>2016</v>
      </c>
      <c r="I2598" s="4" t="s">
        <v>327</v>
      </c>
      <c r="J2598" s="25" t="str">
        <f aca="false">IF(M2598=1,"✓","")</f>
        <v>✓</v>
      </c>
      <c r="K2598" s="4" t="str">
        <f aca="false">IF(AND(M2598=0,P2598=0),"▶ NEXT","")</f>
        <v/>
      </c>
      <c r="L2598" s="4" t="n">
        <f aca="false">INDEX('Master List'!$F$2:$F$2594,O2598)</f>
        <v>4</v>
      </c>
      <c r="M2598" s="4" t="n">
        <f aca="false">INDEX('Master List'!$G$2:$G$2594,O2598)</f>
        <v>1</v>
      </c>
      <c r="N2598" s="4" t="str">
        <f aca="false">IF(K2598="","",A2598)</f>
        <v/>
      </c>
      <c r="O2598" s="4" t="n">
        <v>130</v>
      </c>
      <c r="P2598" s="4" t="n">
        <f aca="false">IF(A2598=A2597,P2597+1-M2597,0)</f>
        <v>0</v>
      </c>
    </row>
    <row r="2599" customFormat="false" ht="15" hidden="false" customHeight="false" outlineLevel="0" collapsed="false">
      <c r="A2599" s="30" t="s">
        <v>4261</v>
      </c>
      <c r="B2599" s="30" t="s">
        <v>53</v>
      </c>
      <c r="C2599" s="30" t="s">
        <v>107</v>
      </c>
      <c r="D2599" s="30" t="s">
        <v>4262</v>
      </c>
      <c r="E2599" s="4" t="n">
        <v>3</v>
      </c>
      <c r="F2599" s="4" t="s">
        <v>213</v>
      </c>
      <c r="G2599" s="4" t="s">
        <v>1124</v>
      </c>
      <c r="H2599" s="4" t="n">
        <v>1998</v>
      </c>
      <c r="I2599" s="4" t="s">
        <v>342</v>
      </c>
      <c r="J2599" s="25" t="str">
        <f aca="false">IF(M2599=1,"✓","")</f>
        <v>✓</v>
      </c>
      <c r="K2599" s="4" t="str">
        <f aca="false">IF(AND(M2599=0,P2599=0),"▶ NEXT","")</f>
        <v/>
      </c>
      <c r="L2599" s="4" t="n">
        <f aca="false">INDEX('Master List'!$F$2:$F$2594,O2599)</f>
        <v>2</v>
      </c>
      <c r="M2599" s="4" t="n">
        <f aca="false">INDEX('Master List'!$G$2:$G$2594,O2599)</f>
        <v>1</v>
      </c>
      <c r="N2599" s="4" t="str">
        <f aca="false">IF(K2599="","",A2599)</f>
        <v/>
      </c>
      <c r="O2599" s="4" t="n">
        <v>829</v>
      </c>
      <c r="P2599" s="4" t="n">
        <f aca="false">IF(A2599=A2598,P2598+1-M2598,0)</f>
        <v>0</v>
      </c>
    </row>
    <row r="2600" customFormat="false" ht="15" hidden="false" customHeight="false" outlineLevel="0" collapsed="false">
      <c r="A2600" s="30" t="s">
        <v>4261</v>
      </c>
      <c r="B2600" s="30" t="s">
        <v>53</v>
      </c>
      <c r="C2600" s="30" t="s">
        <v>107</v>
      </c>
      <c r="D2600" s="30" t="s">
        <v>4262</v>
      </c>
      <c r="E2600" s="4" t="n">
        <v>4</v>
      </c>
      <c r="F2600" s="4" t="s">
        <v>213</v>
      </c>
      <c r="G2600" s="4" t="s">
        <v>1176</v>
      </c>
      <c r="H2600" s="4" t="n">
        <v>2006</v>
      </c>
      <c r="I2600" s="4" t="s">
        <v>342</v>
      </c>
      <c r="J2600" s="25" t="str">
        <f aca="false">IF(M2600=1,"✓","")</f>
        <v>✓</v>
      </c>
      <c r="K2600" s="4" t="str">
        <f aca="false">IF(AND(M2600=0,P2600=0),"▶ NEXT","")</f>
        <v/>
      </c>
      <c r="L2600" s="4" t="n">
        <f aca="false">INDEX('Master List'!$F$2:$F$2594,O2600)</f>
        <v>2</v>
      </c>
      <c r="M2600" s="4" t="n">
        <f aca="false">INDEX('Master List'!$G$2:$G$2594,O2600)</f>
        <v>1</v>
      </c>
      <c r="N2600" s="4" t="str">
        <f aca="false">IF(K2600="","",A2600)</f>
        <v/>
      </c>
      <c r="O2600" s="4" t="n">
        <v>1809</v>
      </c>
      <c r="P2600" s="4" t="n">
        <f aca="false">IF(A2600=A2599,P2599+1-M2599,0)</f>
        <v>0</v>
      </c>
    </row>
    <row r="2601" customFormat="false" ht="15" hidden="false" customHeight="false" outlineLevel="0" collapsed="false">
      <c r="A2601" s="30" t="s">
        <v>4261</v>
      </c>
      <c r="B2601" s="30" t="s">
        <v>53</v>
      </c>
      <c r="C2601" s="30" t="s">
        <v>107</v>
      </c>
      <c r="D2601" s="30" t="s">
        <v>4262</v>
      </c>
      <c r="E2601" s="4" t="n">
        <v>5</v>
      </c>
      <c r="F2601" s="4" t="s">
        <v>213</v>
      </c>
      <c r="G2601" s="4" t="s">
        <v>1185</v>
      </c>
      <c r="H2601" s="4" t="n">
        <v>2008</v>
      </c>
      <c r="I2601" s="4" t="s">
        <v>342</v>
      </c>
      <c r="J2601" s="25" t="str">
        <f aca="false">IF(M2601=1,"✓","")</f>
        <v/>
      </c>
      <c r="K2601" s="4" t="str">
        <f aca="false">IF(AND(M2601=0,P2601=0),"▶ NEXT","")</f>
        <v>▶ NEXT</v>
      </c>
      <c r="L2601" s="4" t="n">
        <f aca="false">INDEX('Master List'!$F$2:$F$2594,O2601)</f>
        <v>2</v>
      </c>
      <c r="M2601" s="4" t="n">
        <f aca="false">INDEX('Master List'!$G$2:$G$2594,O2601)</f>
        <v>0</v>
      </c>
      <c r="N2601" s="4" t="str">
        <f aca="false">IF(K2601="","",A2601)</f>
        <v>N218</v>
      </c>
      <c r="O2601" s="4" t="n">
        <v>563</v>
      </c>
      <c r="P2601" s="4" t="n">
        <f aca="false">IF(A2601=A2600,P2600+1-M2600,0)</f>
        <v>0</v>
      </c>
    </row>
    <row r="2602" customFormat="false" ht="15" hidden="false" customHeight="false" outlineLevel="0" collapsed="false">
      <c r="A2602" s="30" t="s">
        <v>4261</v>
      </c>
      <c r="B2602" s="30" t="s">
        <v>53</v>
      </c>
      <c r="C2602" s="30" t="s">
        <v>107</v>
      </c>
      <c r="D2602" s="30" t="s">
        <v>4262</v>
      </c>
      <c r="E2602" s="4" t="n">
        <v>6</v>
      </c>
      <c r="F2602" s="4" t="s">
        <v>213</v>
      </c>
      <c r="G2602" s="4" t="s">
        <v>1197</v>
      </c>
      <c r="H2602" s="4" t="n">
        <v>2010</v>
      </c>
      <c r="I2602" s="4" t="s">
        <v>342</v>
      </c>
      <c r="J2602" s="25" t="str">
        <f aca="false">IF(M2602=1,"✓","")</f>
        <v>✓</v>
      </c>
      <c r="K2602" s="4" t="str">
        <f aca="false">IF(AND(M2602=0,P2602=0),"▶ NEXT","")</f>
        <v/>
      </c>
      <c r="L2602" s="4" t="n">
        <f aca="false">INDEX('Master List'!$F$2:$F$2594,O2602)</f>
        <v>2</v>
      </c>
      <c r="M2602" s="4" t="n">
        <f aca="false">INDEX('Master List'!$G$2:$G$2594,O2602)</f>
        <v>1</v>
      </c>
      <c r="N2602" s="4" t="str">
        <f aca="false">IF(K2602="","",A2602)</f>
        <v/>
      </c>
      <c r="O2602" s="4" t="n">
        <v>1133</v>
      </c>
      <c r="P2602" s="4" t="n">
        <f aca="false">IF(A2602=A2601,P2601+1-M2601,0)</f>
        <v>1</v>
      </c>
    </row>
    <row r="2603" customFormat="false" ht="15" hidden="false" customHeight="false" outlineLevel="0" collapsed="false">
      <c r="A2603" s="30" t="s">
        <v>4261</v>
      </c>
      <c r="B2603" s="30" t="s">
        <v>53</v>
      </c>
      <c r="C2603" s="30" t="s">
        <v>107</v>
      </c>
      <c r="D2603" s="30" t="s">
        <v>4262</v>
      </c>
      <c r="E2603" s="4" t="n">
        <v>7</v>
      </c>
      <c r="F2603" s="4" t="s">
        <v>213</v>
      </c>
      <c r="G2603" s="4" t="s">
        <v>1216</v>
      </c>
      <c r="H2603" s="4" t="n">
        <v>2014</v>
      </c>
      <c r="I2603" s="4" t="s">
        <v>342</v>
      </c>
      <c r="J2603" s="25" t="str">
        <f aca="false">IF(M2603=1,"✓","")</f>
        <v/>
      </c>
      <c r="K2603" s="4" t="str">
        <f aca="false">IF(AND(M2603=0,P2603=0),"▶ NEXT","")</f>
        <v/>
      </c>
      <c r="L2603" s="4" t="n">
        <f aca="false">INDEX('Master List'!$F$2:$F$2594,O2603)</f>
        <v>2</v>
      </c>
      <c r="M2603" s="4" t="n">
        <f aca="false">INDEX('Master List'!$G$2:$G$2594,O2603)</f>
        <v>0</v>
      </c>
      <c r="N2603" s="4" t="str">
        <f aca="false">IF(K2603="","",A2603)</f>
        <v/>
      </c>
      <c r="O2603" s="4" t="n">
        <v>1156</v>
      </c>
      <c r="P2603" s="4" t="n">
        <f aca="false">IF(A2603=A2602,P2602+1-M2602,0)</f>
        <v>1</v>
      </c>
    </row>
    <row r="2604" customFormat="false" ht="15" hidden="false" customHeight="false" outlineLevel="0" collapsed="false">
      <c r="A2604" s="30" t="s">
        <v>4261</v>
      </c>
      <c r="B2604" s="30" t="s">
        <v>53</v>
      </c>
      <c r="C2604" s="30" t="s">
        <v>107</v>
      </c>
      <c r="D2604" s="30" t="s">
        <v>4262</v>
      </c>
      <c r="E2604" s="4" t="n">
        <v>8</v>
      </c>
      <c r="F2604" s="4" t="s">
        <v>213</v>
      </c>
      <c r="G2604" s="4" t="s">
        <v>1235</v>
      </c>
      <c r="H2604" s="4" t="n">
        <v>2017</v>
      </c>
      <c r="I2604" s="4" t="s">
        <v>342</v>
      </c>
      <c r="J2604" s="25" t="str">
        <f aca="false">IF(M2604=1,"✓","")</f>
        <v/>
      </c>
      <c r="K2604" s="4" t="str">
        <f aca="false">IF(AND(M2604=0,P2604=0),"▶ NEXT","")</f>
        <v/>
      </c>
      <c r="L2604" s="4" t="n">
        <f aca="false">INDEX('Master List'!$F$2:$F$2594,O2604)</f>
        <v>2</v>
      </c>
      <c r="M2604" s="4" t="n">
        <f aca="false">INDEX('Master List'!$G$2:$G$2594,O2604)</f>
        <v>0</v>
      </c>
      <c r="N2604" s="4" t="str">
        <f aca="false">IF(K2604="","",A2604)</f>
        <v/>
      </c>
      <c r="O2604" s="4" t="n">
        <v>695</v>
      </c>
      <c r="P2604" s="4" t="n">
        <f aca="false">IF(A2604=A2603,P2603+1-M2603,0)</f>
        <v>2</v>
      </c>
    </row>
    <row r="2605" customFormat="false" ht="15" hidden="false" customHeight="false" outlineLevel="0" collapsed="false">
      <c r="A2605" s="30" t="s">
        <v>4261</v>
      </c>
      <c r="B2605" s="30" t="s">
        <v>53</v>
      </c>
      <c r="C2605" s="30" t="s">
        <v>107</v>
      </c>
      <c r="D2605" s="30" t="s">
        <v>4262</v>
      </c>
      <c r="E2605" s="4" t="n">
        <v>9</v>
      </c>
      <c r="F2605" s="4" t="s">
        <v>213</v>
      </c>
      <c r="G2605" s="4" t="s">
        <v>556</v>
      </c>
      <c r="H2605" s="4" t="n">
        <v>2023</v>
      </c>
      <c r="I2605" s="4" t="s">
        <v>342</v>
      </c>
      <c r="J2605" s="25" t="str">
        <f aca="false">IF(M2605=1,"✓","")</f>
        <v>✓</v>
      </c>
      <c r="K2605" s="4" t="str">
        <f aca="false">IF(AND(M2605=0,P2605=0),"▶ NEXT","")</f>
        <v/>
      </c>
      <c r="L2605" s="4" t="n">
        <f aca="false">INDEX('Master List'!$F$2:$F$2594,O2605)</f>
        <v>3</v>
      </c>
      <c r="M2605" s="4" t="n">
        <f aca="false">INDEX('Master List'!$G$2:$G$2594,O2605)</f>
        <v>1</v>
      </c>
      <c r="N2605" s="4" t="str">
        <f aca="false">IF(K2605="","",A2605)</f>
        <v/>
      </c>
      <c r="O2605" s="4" t="n">
        <v>1689</v>
      </c>
      <c r="P2605" s="4" t="n">
        <f aca="false">IF(A2605=A2604,P2604+1-M2604,0)</f>
        <v>3</v>
      </c>
    </row>
    <row r="2606" customFormat="false" ht="15" hidden="false" customHeight="false" outlineLevel="0" collapsed="false">
      <c r="A2606" s="30" t="s">
        <v>4261</v>
      </c>
      <c r="B2606" s="30" t="s">
        <v>53</v>
      </c>
      <c r="C2606" s="30" t="s">
        <v>107</v>
      </c>
      <c r="D2606" s="30" t="s">
        <v>4262</v>
      </c>
      <c r="E2606" s="4" t="n">
        <v>10</v>
      </c>
      <c r="F2606" s="4" t="s">
        <v>213</v>
      </c>
      <c r="G2606" s="4" t="s">
        <v>1196</v>
      </c>
      <c r="H2606" s="4" t="n">
        <v>2010</v>
      </c>
      <c r="I2606" s="4" t="s">
        <v>327</v>
      </c>
      <c r="J2606" s="25" t="str">
        <f aca="false">IF(M2606=1,"✓","")</f>
        <v/>
      </c>
      <c r="K2606" s="4" t="str">
        <f aca="false">IF(AND(M2606=0,P2606=0),"▶ NEXT","")</f>
        <v/>
      </c>
      <c r="L2606" s="4" t="n">
        <f aca="false">INDEX('Master List'!$F$2:$F$2594,O2606)</f>
        <v>2</v>
      </c>
      <c r="M2606" s="4" t="n">
        <f aca="false">INDEX('Master List'!$G$2:$G$2594,O2606)</f>
        <v>0</v>
      </c>
      <c r="N2606" s="4" t="str">
        <f aca="false">IF(K2606="","",A2606)</f>
        <v/>
      </c>
      <c r="O2606" s="4" t="n">
        <v>1132</v>
      </c>
      <c r="P2606" s="4" t="n">
        <f aca="false">IF(A2606=A2605,P2605+1-M2605,0)</f>
        <v>3</v>
      </c>
    </row>
    <row r="2607" customFormat="false" ht="15" hidden="false" customHeight="false" outlineLevel="0" collapsed="false">
      <c r="A2607" s="30" t="s">
        <v>4261</v>
      </c>
      <c r="B2607" s="30" t="s">
        <v>53</v>
      </c>
      <c r="C2607" s="30" t="s">
        <v>107</v>
      </c>
      <c r="D2607" s="30" t="s">
        <v>4262</v>
      </c>
      <c r="E2607" s="4" t="n">
        <v>11</v>
      </c>
      <c r="F2607" s="4" t="s">
        <v>213</v>
      </c>
      <c r="G2607" s="4" t="s">
        <v>1209</v>
      </c>
      <c r="H2607" s="4" t="n">
        <v>2013</v>
      </c>
      <c r="I2607" s="4" t="s">
        <v>327</v>
      </c>
      <c r="J2607" s="25" t="str">
        <f aca="false">IF(M2607=1,"✓","")</f>
        <v>✓</v>
      </c>
      <c r="K2607" s="4" t="str">
        <f aca="false">IF(AND(M2607=0,P2607=0),"▶ NEXT","")</f>
        <v/>
      </c>
      <c r="L2607" s="4" t="n">
        <f aca="false">INDEX('Master List'!$F$2:$F$2594,O2607)</f>
        <v>2</v>
      </c>
      <c r="M2607" s="4" t="n">
        <f aca="false">INDEX('Master List'!$G$2:$G$2594,O2607)</f>
        <v>1</v>
      </c>
      <c r="N2607" s="4" t="str">
        <f aca="false">IF(K2607="","",A2607)</f>
        <v/>
      </c>
      <c r="O2607" s="4" t="n">
        <v>1819</v>
      </c>
      <c r="P2607" s="4" t="n">
        <f aca="false">IF(A2607=A2606,P2606+1-M2606,0)</f>
        <v>4</v>
      </c>
    </row>
    <row r="2608" customFormat="false" ht="15" hidden="false" customHeight="false" outlineLevel="0" collapsed="false">
      <c r="A2608" s="30" t="s">
        <v>4261</v>
      </c>
      <c r="B2608" s="30" t="s">
        <v>53</v>
      </c>
      <c r="C2608" s="30" t="s">
        <v>107</v>
      </c>
      <c r="D2608" s="30" t="s">
        <v>4262</v>
      </c>
      <c r="E2608" s="4" t="n">
        <v>12</v>
      </c>
      <c r="F2608" s="4" t="s">
        <v>213</v>
      </c>
      <c r="G2608" s="4" t="s">
        <v>445</v>
      </c>
      <c r="H2608" s="4" t="n">
        <v>2013</v>
      </c>
      <c r="I2608" s="4" t="s">
        <v>327</v>
      </c>
      <c r="J2608" s="25" t="str">
        <f aca="false">IF(M2608=1,"✓","")</f>
        <v>✓</v>
      </c>
      <c r="K2608" s="4" t="str">
        <f aca="false">IF(AND(M2608=0,P2608=0),"▶ NEXT","")</f>
        <v/>
      </c>
      <c r="L2608" s="4" t="n">
        <f aca="false">INDEX('Master List'!$F$2:$F$2594,O2608)</f>
        <v>4</v>
      </c>
      <c r="M2608" s="4" t="n">
        <f aca="false">INDEX('Master List'!$G$2:$G$2594,O2608)</f>
        <v>1</v>
      </c>
      <c r="N2608" s="4" t="str">
        <f aca="false">IF(K2608="","",A2608)</f>
        <v/>
      </c>
      <c r="O2608" s="4" t="n">
        <v>732</v>
      </c>
      <c r="P2608" s="4" t="n">
        <f aca="false">IF(A2608=A2607,P2607+1-M2607,0)</f>
        <v>4</v>
      </c>
    </row>
    <row r="2609" customFormat="false" ht="15" hidden="false" customHeight="false" outlineLevel="0" collapsed="false">
      <c r="A2609" s="30" t="s">
        <v>4261</v>
      </c>
      <c r="B2609" s="30" t="s">
        <v>53</v>
      </c>
      <c r="C2609" s="30" t="s">
        <v>107</v>
      </c>
      <c r="D2609" s="30" t="s">
        <v>4262</v>
      </c>
      <c r="E2609" s="4" t="n">
        <v>13</v>
      </c>
      <c r="F2609" s="4" t="s">
        <v>213</v>
      </c>
      <c r="G2609" s="4" t="s">
        <v>1225</v>
      </c>
      <c r="H2609" s="4" t="n">
        <v>2015</v>
      </c>
      <c r="I2609" s="4" t="s">
        <v>327</v>
      </c>
      <c r="J2609" s="25" t="str">
        <f aca="false">IF(M2609=1,"✓","")</f>
        <v/>
      </c>
      <c r="K2609" s="4" t="str">
        <f aca="false">IF(AND(M2609=0,P2609=0),"▶ NEXT","")</f>
        <v/>
      </c>
      <c r="L2609" s="4" t="n">
        <f aca="false">INDEX('Master List'!$F$2:$F$2594,O2609)</f>
        <v>2</v>
      </c>
      <c r="M2609" s="4" t="n">
        <f aca="false">INDEX('Master List'!$G$2:$G$2594,O2609)</f>
        <v>0</v>
      </c>
      <c r="N2609" s="4" t="str">
        <f aca="false">IF(K2609="","",A2609)</f>
        <v/>
      </c>
      <c r="O2609" s="4" t="n">
        <v>2064</v>
      </c>
      <c r="P2609" s="4" t="n">
        <f aca="false">IF(A2609=A2608,P2608+1-M2608,0)</f>
        <v>4</v>
      </c>
    </row>
    <row r="2610" customFormat="false" ht="15" hidden="false" customHeight="false" outlineLevel="0" collapsed="false">
      <c r="A2610" s="30" t="s">
        <v>4261</v>
      </c>
      <c r="B2610" s="30" t="s">
        <v>53</v>
      </c>
      <c r="C2610" s="30" t="s">
        <v>107</v>
      </c>
      <c r="D2610" s="30" t="s">
        <v>4262</v>
      </c>
      <c r="E2610" s="4" t="n">
        <v>14</v>
      </c>
      <c r="F2610" s="4" t="s">
        <v>213</v>
      </c>
      <c r="G2610" s="4" t="s">
        <v>1231</v>
      </c>
      <c r="H2610" s="4" t="n">
        <v>2017</v>
      </c>
      <c r="I2610" s="4" t="s">
        <v>327</v>
      </c>
      <c r="J2610" s="25" t="str">
        <f aca="false">IF(M2610=1,"✓","")</f>
        <v>✓</v>
      </c>
      <c r="K2610" s="4" t="str">
        <f aca="false">IF(AND(M2610=0,P2610=0),"▶ NEXT","")</f>
        <v/>
      </c>
      <c r="L2610" s="4" t="n">
        <f aca="false">INDEX('Master List'!$F$2:$F$2594,O2610)</f>
        <v>2</v>
      </c>
      <c r="M2610" s="4" t="n">
        <f aca="false">INDEX('Master List'!$G$2:$G$2594,O2610)</f>
        <v>1</v>
      </c>
      <c r="N2610" s="4" t="str">
        <f aca="false">IF(K2610="","",A2610)</f>
        <v/>
      </c>
      <c r="O2610" s="4" t="n">
        <v>280</v>
      </c>
      <c r="P2610" s="4" t="n">
        <f aca="false">IF(A2610=A2609,P2609+1-M2609,0)</f>
        <v>5</v>
      </c>
    </row>
    <row r="2611" customFormat="false" ht="15" hidden="false" customHeight="false" outlineLevel="0" collapsed="false">
      <c r="A2611" s="30" t="s">
        <v>4261</v>
      </c>
      <c r="B2611" s="30" t="s">
        <v>53</v>
      </c>
      <c r="C2611" s="30" t="s">
        <v>107</v>
      </c>
      <c r="D2611" s="30" t="s">
        <v>4262</v>
      </c>
      <c r="E2611" s="4" t="n">
        <v>15</v>
      </c>
      <c r="F2611" s="4" t="s">
        <v>1327</v>
      </c>
      <c r="G2611" s="4" t="s">
        <v>3783</v>
      </c>
      <c r="H2611" s="4" t="n">
        <v>2009</v>
      </c>
      <c r="I2611" s="4" t="s">
        <v>327</v>
      </c>
      <c r="J2611" s="25" t="str">
        <f aca="false">IF(M2611=1,"✓","")</f>
        <v/>
      </c>
      <c r="K2611" s="4" t="str">
        <f aca="false">IF(AND(M2611=0,P2611=0),"▶ NEXT","")</f>
        <v/>
      </c>
      <c r="L2611" s="4" t="n">
        <f aca="false">INDEX('Master List'!$F$2:$F$2594,O2611)</f>
        <v>1</v>
      </c>
      <c r="M2611" s="4" t="n">
        <f aca="false">INDEX('Master List'!$G$2:$G$2594,O2611)</f>
        <v>0</v>
      </c>
      <c r="N2611" s="4" t="str">
        <f aca="false">IF(K2611="","",A2611)</f>
        <v/>
      </c>
      <c r="O2611" s="4" t="n">
        <v>1790</v>
      </c>
      <c r="P2611" s="4" t="n">
        <f aca="false">IF(A2611=A2610,P2610+1-M2610,0)</f>
        <v>5</v>
      </c>
    </row>
    <row r="2612" customFormat="false" ht="15" hidden="false" customHeight="false" outlineLevel="0" collapsed="false">
      <c r="A2612" s="30" t="s">
        <v>4261</v>
      </c>
      <c r="B2612" s="30" t="s">
        <v>53</v>
      </c>
      <c r="C2612" s="30" t="s">
        <v>107</v>
      </c>
      <c r="D2612" s="30" t="s">
        <v>4262</v>
      </c>
      <c r="E2612" s="4" t="n">
        <v>16</v>
      </c>
      <c r="F2612" s="4" t="s">
        <v>1327</v>
      </c>
      <c r="G2612" s="4" t="s">
        <v>3700</v>
      </c>
      <c r="H2612" s="4" t="n">
        <v>2002</v>
      </c>
      <c r="I2612" s="4" t="s">
        <v>342</v>
      </c>
      <c r="J2612" s="25" t="str">
        <f aca="false">IF(M2612=1,"✓","")</f>
        <v/>
      </c>
      <c r="K2612" s="4" t="str">
        <f aca="false">IF(AND(M2612=0,P2612=0),"▶ NEXT","")</f>
        <v/>
      </c>
      <c r="L2612" s="4" t="n">
        <f aca="false">INDEX('Master List'!$F$2:$F$2594,O2612)</f>
        <v>1</v>
      </c>
      <c r="M2612" s="4" t="n">
        <f aca="false">INDEX('Master List'!$G$2:$G$2594,O2612)</f>
        <v>0</v>
      </c>
      <c r="N2612" s="4" t="str">
        <f aca="false">IF(K2612="","",A2612)</f>
        <v/>
      </c>
      <c r="O2612" s="4" t="n">
        <v>1154</v>
      </c>
      <c r="P2612" s="4" t="n">
        <f aca="false">IF(A2612=A2611,P2611+1-M2611,0)</f>
        <v>6</v>
      </c>
    </row>
    <row r="2613" customFormat="false" ht="15" hidden="false" customHeight="false" outlineLevel="0" collapsed="false">
      <c r="A2613" s="30" t="s">
        <v>4263</v>
      </c>
      <c r="B2613" s="30" t="s">
        <v>53</v>
      </c>
      <c r="C2613" s="30" t="s">
        <v>107</v>
      </c>
      <c r="D2613" s="30" t="s">
        <v>208</v>
      </c>
      <c r="E2613" s="4" t="n">
        <v>1</v>
      </c>
      <c r="F2613" s="4" t="s">
        <v>144</v>
      </c>
      <c r="G2613" s="7" t="s">
        <v>207</v>
      </c>
      <c r="H2613" s="4" t="n">
        <v>1994</v>
      </c>
      <c r="I2613" s="4" t="s">
        <v>208</v>
      </c>
      <c r="J2613" s="25" t="str">
        <f aca="false">IF(M2613=1,"✓","")</f>
        <v>✓</v>
      </c>
      <c r="K2613" s="4" t="str">
        <f aca="false">IF(AND(M2613=0,P2613=0),"▶ NEXT","")</f>
        <v/>
      </c>
      <c r="L2613" s="4" t="n">
        <f aca="false">INDEX('Master List'!$F$2:$F$2594,O2613)</f>
        <v>6</v>
      </c>
      <c r="M2613" s="4" t="n">
        <f aca="false">INDEX('Master List'!$G$2:$G$2594,O2613)</f>
        <v>1</v>
      </c>
      <c r="N2613" s="4" t="str">
        <f aca="false">IF(K2613="","",A2613)</f>
        <v/>
      </c>
      <c r="O2613" s="4" t="n">
        <v>1830</v>
      </c>
      <c r="P2613" s="4" t="n">
        <f aca="false">IF(A2613=A2612,P2612+1-M2612,0)</f>
        <v>0</v>
      </c>
    </row>
    <row r="2614" customFormat="false" ht="15" hidden="false" customHeight="false" outlineLevel="0" collapsed="false">
      <c r="A2614" s="30" t="s">
        <v>4263</v>
      </c>
      <c r="B2614" s="30" t="s">
        <v>53</v>
      </c>
      <c r="C2614" s="30" t="s">
        <v>107</v>
      </c>
      <c r="D2614" s="30" t="s">
        <v>208</v>
      </c>
      <c r="E2614" s="4" t="n">
        <v>2</v>
      </c>
      <c r="F2614" s="4" t="s">
        <v>144</v>
      </c>
      <c r="G2614" s="7" t="s">
        <v>258</v>
      </c>
      <c r="H2614" s="4" t="n">
        <v>1992</v>
      </c>
      <c r="I2614" s="4" t="s">
        <v>208</v>
      </c>
      <c r="J2614" s="25" t="str">
        <f aca="false">IF(M2614=1,"✓","")</f>
        <v>✓</v>
      </c>
      <c r="K2614" s="4" t="str">
        <f aca="false">IF(AND(M2614=0,P2614=0),"▶ NEXT","")</f>
        <v/>
      </c>
      <c r="L2614" s="4" t="n">
        <f aca="false">INDEX('Master List'!$F$2:$F$2594,O2614)</f>
        <v>5</v>
      </c>
      <c r="M2614" s="4" t="n">
        <f aca="false">INDEX('Master List'!$G$2:$G$2594,O2614)</f>
        <v>1</v>
      </c>
      <c r="N2614" s="4" t="str">
        <f aca="false">IF(K2614="","",A2614)</f>
        <v/>
      </c>
      <c r="O2614" s="4" t="n">
        <v>1892</v>
      </c>
      <c r="P2614" s="4" t="n">
        <f aca="false">IF(A2614=A2613,P2613+1-M2613,0)</f>
        <v>0</v>
      </c>
    </row>
    <row r="2615" customFormat="false" ht="15" hidden="false" customHeight="false" outlineLevel="0" collapsed="false">
      <c r="A2615" s="30" t="s">
        <v>4263</v>
      </c>
      <c r="B2615" s="30" t="s">
        <v>53</v>
      </c>
      <c r="C2615" s="30" t="s">
        <v>107</v>
      </c>
      <c r="D2615" s="30" t="s">
        <v>208</v>
      </c>
      <c r="E2615" s="4" t="n">
        <v>3</v>
      </c>
      <c r="F2615" s="4" t="s">
        <v>213</v>
      </c>
      <c r="G2615" s="4" t="s">
        <v>1121</v>
      </c>
      <c r="H2615" s="4" t="n">
        <v>1997</v>
      </c>
      <c r="I2615" s="4" t="s">
        <v>208</v>
      </c>
      <c r="J2615" s="25" t="str">
        <f aca="false">IF(M2615=1,"✓","")</f>
        <v>✓</v>
      </c>
      <c r="K2615" s="4" t="str">
        <f aca="false">IF(AND(M2615=0,P2615=0),"▶ NEXT","")</f>
        <v/>
      </c>
      <c r="L2615" s="4" t="n">
        <f aca="false">INDEX('Master List'!$F$2:$F$2594,O2615)</f>
        <v>2</v>
      </c>
      <c r="M2615" s="4" t="n">
        <f aca="false">INDEX('Master List'!$G$2:$G$2594,O2615)</f>
        <v>1</v>
      </c>
      <c r="N2615" s="4" t="str">
        <f aca="false">IF(K2615="","",A2615)</f>
        <v/>
      </c>
      <c r="O2615" s="4" t="n">
        <v>1190</v>
      </c>
      <c r="P2615" s="4" t="n">
        <f aca="false">IF(A2615=A2614,P2614+1-M2614,0)</f>
        <v>0</v>
      </c>
    </row>
    <row r="2616" customFormat="false" ht="15" hidden="false" customHeight="false" outlineLevel="0" collapsed="false">
      <c r="A2616" s="30" t="s">
        <v>4263</v>
      </c>
      <c r="B2616" s="30" t="s">
        <v>53</v>
      </c>
      <c r="C2616" s="30" t="s">
        <v>107</v>
      </c>
      <c r="D2616" s="30" t="s">
        <v>208</v>
      </c>
      <c r="E2616" s="4" t="n">
        <v>4</v>
      </c>
      <c r="F2616" s="4" t="s">
        <v>213</v>
      </c>
      <c r="G2616" s="4" t="s">
        <v>2808</v>
      </c>
      <c r="H2616" s="4" t="n">
        <v>2003</v>
      </c>
      <c r="I2616" s="4" t="s">
        <v>208</v>
      </c>
      <c r="J2616" s="25" t="str">
        <f aca="false">IF(M2616=1,"✓","")</f>
        <v>✓</v>
      </c>
      <c r="K2616" s="4" t="str">
        <f aca="false">IF(AND(M2616=0,P2616=0),"▶ NEXT","")</f>
        <v/>
      </c>
      <c r="L2616" s="4" t="n">
        <f aca="false">INDEX('Master List'!$F$2:$F$2594,O2616)</f>
        <v>1</v>
      </c>
      <c r="M2616" s="4" t="n">
        <f aca="false">INDEX('Master List'!$G$2:$G$2594,O2616)</f>
        <v>1</v>
      </c>
      <c r="N2616" s="4" t="str">
        <f aca="false">IF(K2616="","",A2616)</f>
        <v/>
      </c>
      <c r="O2616" s="4" t="n">
        <v>1242</v>
      </c>
      <c r="P2616" s="4" t="n">
        <f aca="false">IF(A2616=A2615,P2615+1-M2615,0)</f>
        <v>0</v>
      </c>
    </row>
    <row r="2617" customFormat="false" ht="15" hidden="false" customHeight="false" outlineLevel="0" collapsed="false">
      <c r="A2617" s="30" t="s">
        <v>4263</v>
      </c>
      <c r="B2617" s="30" t="s">
        <v>53</v>
      </c>
      <c r="C2617" s="30" t="s">
        <v>107</v>
      </c>
      <c r="D2617" s="30" t="s">
        <v>208</v>
      </c>
      <c r="E2617" s="4" t="n">
        <v>5</v>
      </c>
      <c r="F2617" s="4" t="s">
        <v>213</v>
      </c>
      <c r="G2617" s="4" t="s">
        <v>2828</v>
      </c>
      <c r="H2617" s="4" t="n">
        <v>2004</v>
      </c>
      <c r="I2617" s="4" t="s">
        <v>208</v>
      </c>
      <c r="J2617" s="25" t="str">
        <f aca="false">IF(M2617=1,"✓","")</f>
        <v>✓</v>
      </c>
      <c r="K2617" s="4" t="str">
        <f aca="false">IF(AND(M2617=0,P2617=0),"▶ NEXT","")</f>
        <v/>
      </c>
      <c r="L2617" s="4" t="n">
        <f aca="false">INDEX('Master List'!$F$2:$F$2594,O2617)</f>
        <v>1</v>
      </c>
      <c r="M2617" s="4" t="n">
        <f aca="false">INDEX('Master List'!$G$2:$G$2594,O2617)</f>
        <v>1</v>
      </c>
      <c r="N2617" s="4" t="str">
        <f aca="false">IF(K2617="","",A2617)</f>
        <v/>
      </c>
      <c r="O2617" s="4" t="n">
        <v>1243</v>
      </c>
      <c r="P2617" s="4" t="n">
        <f aca="false">IF(A2617=A2616,P2616+1-M2616,0)</f>
        <v>0</v>
      </c>
    </row>
    <row r="2618" customFormat="false" ht="15" hidden="false" customHeight="false" outlineLevel="0" collapsed="false">
      <c r="A2618" s="30" t="s">
        <v>4263</v>
      </c>
      <c r="B2618" s="30" t="s">
        <v>53</v>
      </c>
      <c r="C2618" s="30" t="s">
        <v>107</v>
      </c>
      <c r="D2618" s="30" t="s">
        <v>208</v>
      </c>
      <c r="E2618" s="4" t="n">
        <v>6</v>
      </c>
      <c r="F2618" s="4" t="s">
        <v>213</v>
      </c>
      <c r="G2618" s="4" t="s">
        <v>2930</v>
      </c>
      <c r="H2618" s="4" t="n">
        <v>2009</v>
      </c>
      <c r="I2618" s="4" t="s">
        <v>208</v>
      </c>
      <c r="J2618" s="25" t="str">
        <f aca="false">IF(M2618=1,"✓","")</f>
        <v>✓</v>
      </c>
      <c r="K2618" s="4" t="str">
        <f aca="false">IF(AND(M2618=0,P2618=0),"▶ NEXT","")</f>
        <v/>
      </c>
      <c r="L2618" s="4" t="n">
        <f aca="false">INDEX('Master List'!$F$2:$F$2594,O2618)</f>
        <v>1</v>
      </c>
      <c r="M2618" s="4" t="n">
        <f aca="false">INDEX('Master List'!$G$2:$G$2594,O2618)</f>
        <v>1</v>
      </c>
      <c r="N2618" s="4" t="str">
        <f aca="false">IF(K2618="","",A2618)</f>
        <v/>
      </c>
      <c r="O2618" s="4" t="n">
        <v>1139</v>
      </c>
      <c r="P2618" s="4" t="n">
        <f aca="false">IF(A2618=A2617,P2617+1-M2617,0)</f>
        <v>0</v>
      </c>
    </row>
    <row r="2619" customFormat="false" ht="15" hidden="false" customHeight="false" outlineLevel="0" collapsed="false">
      <c r="A2619" s="30" t="s">
        <v>4263</v>
      </c>
      <c r="B2619" s="30" t="s">
        <v>53</v>
      </c>
      <c r="C2619" s="30" t="s">
        <v>107</v>
      </c>
      <c r="D2619" s="30" t="s">
        <v>208</v>
      </c>
      <c r="E2619" s="4" t="n">
        <v>7</v>
      </c>
      <c r="F2619" s="4" t="s">
        <v>213</v>
      </c>
      <c r="G2619" s="4" t="s">
        <v>3006</v>
      </c>
      <c r="H2619" s="4" t="n">
        <v>2012</v>
      </c>
      <c r="I2619" s="4" t="s">
        <v>208</v>
      </c>
      <c r="J2619" s="25" t="str">
        <f aca="false">IF(M2619=1,"✓","")</f>
        <v>✓</v>
      </c>
      <c r="K2619" s="4" t="str">
        <f aca="false">IF(AND(M2619=0,P2619=0),"▶ NEXT","")</f>
        <v/>
      </c>
      <c r="L2619" s="4" t="n">
        <f aca="false">INDEX('Master List'!$F$2:$F$2594,O2619)</f>
        <v>1</v>
      </c>
      <c r="M2619" s="4" t="n">
        <f aca="false">INDEX('Master List'!$G$2:$G$2594,O2619)</f>
        <v>1</v>
      </c>
      <c r="N2619" s="4" t="str">
        <f aca="false">IF(K2619="","",A2619)</f>
        <v/>
      </c>
      <c r="O2619" s="4" t="n">
        <v>644</v>
      </c>
      <c r="P2619" s="4" t="n">
        <f aca="false">IF(A2619=A2618,P2618+1-M2618,0)</f>
        <v>0</v>
      </c>
    </row>
    <row r="2620" customFormat="false" ht="15" hidden="false" customHeight="false" outlineLevel="0" collapsed="false">
      <c r="A2620" s="30" t="s">
        <v>4263</v>
      </c>
      <c r="B2620" s="30" t="s">
        <v>53</v>
      </c>
      <c r="C2620" s="30" t="s">
        <v>107</v>
      </c>
      <c r="D2620" s="30" t="s">
        <v>208</v>
      </c>
      <c r="E2620" s="4" t="n">
        <v>8</v>
      </c>
      <c r="F2620" s="4" t="s">
        <v>213</v>
      </c>
      <c r="G2620" s="4" t="s">
        <v>1226</v>
      </c>
      <c r="H2620" s="4" t="n">
        <v>2015</v>
      </c>
      <c r="I2620" s="4" t="s">
        <v>208</v>
      </c>
      <c r="J2620" s="25" t="str">
        <f aca="false">IF(M2620=1,"✓","")</f>
        <v>✓</v>
      </c>
      <c r="K2620" s="4" t="str">
        <f aca="false">IF(AND(M2620=0,P2620=0),"▶ NEXT","")</f>
        <v/>
      </c>
      <c r="L2620" s="4" t="n">
        <f aca="false">INDEX('Master List'!$F$2:$F$2594,O2620)</f>
        <v>2</v>
      </c>
      <c r="M2620" s="4" t="n">
        <f aca="false">INDEX('Master List'!$G$2:$G$2594,O2620)</f>
        <v>1</v>
      </c>
      <c r="N2620" s="4" t="str">
        <f aca="false">IF(K2620="","",A2620)</f>
        <v/>
      </c>
      <c r="O2620" s="4" t="n">
        <v>1001</v>
      </c>
      <c r="P2620" s="4" t="n">
        <f aca="false">IF(A2620=A2619,P2619+1-M2619,0)</f>
        <v>0</v>
      </c>
    </row>
    <row r="2621" customFormat="false" ht="15" hidden="false" customHeight="false" outlineLevel="0" collapsed="false">
      <c r="A2621" s="30" t="s">
        <v>4263</v>
      </c>
      <c r="B2621" s="30" t="s">
        <v>53</v>
      </c>
      <c r="C2621" s="30" t="s">
        <v>107</v>
      </c>
      <c r="D2621" s="30" t="s">
        <v>208</v>
      </c>
      <c r="E2621" s="4" t="n">
        <v>9</v>
      </c>
      <c r="F2621" s="4" t="s">
        <v>213</v>
      </c>
      <c r="G2621" s="4" t="s">
        <v>3179</v>
      </c>
      <c r="H2621" s="4" t="n">
        <v>2019</v>
      </c>
      <c r="I2621" s="4" t="s">
        <v>208</v>
      </c>
      <c r="J2621" s="25" t="str">
        <f aca="false">IF(M2621=1,"✓","")</f>
        <v>✓</v>
      </c>
      <c r="K2621" s="4" t="str">
        <f aca="false">IF(AND(M2621=0,P2621=0),"▶ NEXT","")</f>
        <v/>
      </c>
      <c r="L2621" s="4" t="n">
        <f aca="false">INDEX('Master List'!$F$2:$F$2594,O2621)</f>
        <v>1</v>
      </c>
      <c r="M2621" s="4" t="n">
        <f aca="false">INDEX('Master List'!$G$2:$G$2594,O2621)</f>
        <v>1</v>
      </c>
      <c r="N2621" s="4" t="str">
        <f aca="false">IF(K2621="","",A2621)</f>
        <v/>
      </c>
      <c r="O2621" s="4" t="n">
        <v>1672</v>
      </c>
      <c r="P2621" s="4" t="n">
        <f aca="false">IF(A2621=A2620,P2620+1-M2620,0)</f>
        <v>0</v>
      </c>
    </row>
    <row r="2622" customFormat="false" ht="15" hidden="false" customHeight="false" outlineLevel="0" collapsed="false">
      <c r="A2622" s="30" t="s">
        <v>4263</v>
      </c>
      <c r="B2622" s="30" t="s">
        <v>53</v>
      </c>
      <c r="C2622" s="30" t="s">
        <v>107</v>
      </c>
      <c r="D2622" s="30" t="s">
        <v>208</v>
      </c>
      <c r="E2622" s="4" t="n">
        <v>10</v>
      </c>
      <c r="F2622" s="4" t="s">
        <v>1327</v>
      </c>
      <c r="G2622" s="4" t="s">
        <v>3767</v>
      </c>
      <c r="H2622" s="4" t="n">
        <v>2007</v>
      </c>
      <c r="I2622" s="4" t="s">
        <v>208</v>
      </c>
      <c r="J2622" s="25" t="str">
        <f aca="false">IF(M2622=1,"✓","")</f>
        <v>✓</v>
      </c>
      <c r="K2622" s="4" t="str">
        <f aca="false">IF(AND(M2622=0,P2622=0),"▶ NEXT","")</f>
        <v/>
      </c>
      <c r="L2622" s="4" t="n">
        <f aca="false">INDEX('Master List'!$F$2:$F$2594,O2622)</f>
        <v>1</v>
      </c>
      <c r="M2622" s="4" t="n">
        <f aca="false">INDEX('Master List'!$G$2:$G$2594,O2622)</f>
        <v>1</v>
      </c>
      <c r="N2622" s="4" t="str">
        <f aca="false">IF(K2622="","",A2622)</f>
        <v/>
      </c>
      <c r="O2622" s="4" t="n">
        <v>595</v>
      </c>
      <c r="P2622" s="4" t="n">
        <f aca="false">IF(A2622=A2621,P2621+1-M2621,0)</f>
        <v>0</v>
      </c>
    </row>
    <row r="2623" customFormat="false" ht="15" hidden="false" customHeight="false" outlineLevel="0" collapsed="false">
      <c r="A2623" s="30" t="s">
        <v>4264</v>
      </c>
      <c r="B2623" s="30" t="s">
        <v>53</v>
      </c>
      <c r="C2623" s="30" t="s">
        <v>107</v>
      </c>
      <c r="D2623" s="30" t="s">
        <v>4265</v>
      </c>
      <c r="E2623" s="4" t="n">
        <v>1</v>
      </c>
      <c r="F2623" s="4" t="s">
        <v>144</v>
      </c>
      <c r="G2623" s="7" t="s">
        <v>289</v>
      </c>
      <c r="H2623" s="4" t="n">
        <v>1967</v>
      </c>
      <c r="I2623" s="4" t="s">
        <v>290</v>
      </c>
      <c r="J2623" s="25" t="str">
        <f aca="false">IF(M2623=1,"✓","")</f>
        <v/>
      </c>
      <c r="K2623" s="4" t="str">
        <f aca="false">IF(AND(M2623=0,P2623=0),"▶ NEXT","")</f>
        <v>▶ NEXT</v>
      </c>
      <c r="L2623" s="4" t="n">
        <f aca="false">INDEX('Master List'!$F$2:$F$2594,O2623)</f>
        <v>4</v>
      </c>
      <c r="M2623" s="4" t="n">
        <f aca="false">INDEX('Master List'!$G$2:$G$2594,O2623)</f>
        <v>0</v>
      </c>
      <c r="N2623" s="4" t="str">
        <f aca="false">IF(K2623="","",A2623)</f>
        <v>N220</v>
      </c>
      <c r="O2623" s="4" t="n">
        <v>1964</v>
      </c>
      <c r="P2623" s="4" t="n">
        <f aca="false">IF(A2623=A2622,P2622+1-M2622,0)</f>
        <v>0</v>
      </c>
    </row>
    <row r="2624" customFormat="false" ht="15" hidden="false" customHeight="false" outlineLevel="0" collapsed="false">
      <c r="A2624" s="30" t="s">
        <v>4264</v>
      </c>
      <c r="B2624" s="30" t="s">
        <v>53</v>
      </c>
      <c r="C2624" s="30" t="s">
        <v>107</v>
      </c>
      <c r="D2624" s="30" t="s">
        <v>4265</v>
      </c>
      <c r="E2624" s="4" t="n">
        <v>2</v>
      </c>
      <c r="F2624" s="4" t="s">
        <v>144</v>
      </c>
      <c r="G2624" s="7" t="s">
        <v>295</v>
      </c>
      <c r="H2624" s="4" t="n">
        <v>1995</v>
      </c>
      <c r="I2624" s="4" t="s">
        <v>296</v>
      </c>
      <c r="J2624" s="25" t="str">
        <f aca="false">IF(M2624=1,"✓","")</f>
        <v>✓</v>
      </c>
      <c r="K2624" s="4" t="str">
        <f aca="false">IF(AND(M2624=0,P2624=0),"▶ NEXT","")</f>
        <v/>
      </c>
      <c r="L2624" s="4" t="n">
        <f aca="false">INDEX('Master List'!$F$2:$F$2594,O2624)</f>
        <v>4</v>
      </c>
      <c r="M2624" s="4" t="n">
        <f aca="false">INDEX('Master List'!$G$2:$G$2594,O2624)</f>
        <v>1</v>
      </c>
      <c r="N2624" s="4" t="str">
        <f aca="false">IF(K2624="","",A2624)</f>
        <v/>
      </c>
      <c r="O2624" s="4" t="n">
        <v>1011</v>
      </c>
      <c r="P2624" s="4" t="n">
        <f aca="false">IF(A2624=A2623,P2623+1-M2623,0)</f>
        <v>1</v>
      </c>
    </row>
    <row r="2625" customFormat="false" ht="15" hidden="false" customHeight="false" outlineLevel="0" collapsed="false">
      <c r="A2625" s="30" t="s">
        <v>4264</v>
      </c>
      <c r="B2625" s="30" t="s">
        <v>53</v>
      </c>
      <c r="C2625" s="30" t="s">
        <v>107</v>
      </c>
      <c r="D2625" s="30" t="s">
        <v>4265</v>
      </c>
      <c r="E2625" s="4" t="n">
        <v>3</v>
      </c>
      <c r="F2625" s="4" t="s">
        <v>213</v>
      </c>
      <c r="G2625" s="4" t="s">
        <v>577</v>
      </c>
      <c r="H2625" s="4" t="n">
        <v>1956</v>
      </c>
      <c r="I2625" s="4" t="s">
        <v>290</v>
      </c>
      <c r="J2625" s="25" t="str">
        <f aca="false">IF(M2625=1,"✓","")</f>
        <v/>
      </c>
      <c r="K2625" s="4" t="str">
        <f aca="false">IF(AND(M2625=0,P2625=0),"▶ NEXT","")</f>
        <v/>
      </c>
      <c r="L2625" s="4" t="n">
        <f aca="false">INDEX('Master List'!$F$2:$F$2594,O2625)</f>
        <v>3</v>
      </c>
      <c r="M2625" s="4" t="n">
        <f aca="false">INDEX('Master List'!$G$2:$G$2594,O2625)</f>
        <v>0</v>
      </c>
      <c r="N2625" s="4" t="str">
        <f aca="false">IF(K2625="","",A2625)</f>
        <v/>
      </c>
      <c r="O2625" s="4" t="n">
        <v>305</v>
      </c>
      <c r="P2625" s="4" t="n">
        <f aca="false">IF(A2625=A2624,P2624+1-M2624,0)</f>
        <v>1</v>
      </c>
    </row>
    <row r="2626" customFormat="false" ht="15" hidden="false" customHeight="false" outlineLevel="0" collapsed="false">
      <c r="A2626" s="30" t="s">
        <v>4264</v>
      </c>
      <c r="B2626" s="30" t="s">
        <v>53</v>
      </c>
      <c r="C2626" s="30" t="s">
        <v>107</v>
      </c>
      <c r="D2626" s="30" t="s">
        <v>4265</v>
      </c>
      <c r="E2626" s="4" t="n">
        <v>4</v>
      </c>
      <c r="F2626" s="4" t="s">
        <v>213</v>
      </c>
      <c r="G2626" s="4" t="s">
        <v>2014</v>
      </c>
      <c r="H2626" s="4" t="n">
        <v>1962</v>
      </c>
      <c r="I2626" s="4" t="s">
        <v>290</v>
      </c>
      <c r="J2626" s="25" t="str">
        <f aca="false">IF(M2626=1,"✓","")</f>
        <v/>
      </c>
      <c r="K2626" s="4" t="str">
        <f aca="false">IF(AND(M2626=0,P2626=0),"▶ NEXT","")</f>
        <v/>
      </c>
      <c r="L2626" s="4" t="n">
        <f aca="false">INDEX('Master List'!$F$2:$F$2594,O2626)</f>
        <v>1</v>
      </c>
      <c r="M2626" s="4" t="n">
        <f aca="false">INDEX('Master List'!$G$2:$G$2594,O2626)</f>
        <v>0</v>
      </c>
      <c r="N2626" s="4" t="str">
        <f aca="false">IF(K2626="","",A2626)</f>
        <v/>
      </c>
      <c r="O2626" s="4" t="n">
        <v>665</v>
      </c>
      <c r="P2626" s="4" t="n">
        <f aca="false">IF(A2626=A2625,P2625+1-M2625,0)</f>
        <v>2</v>
      </c>
    </row>
    <row r="2627" customFormat="false" ht="15" hidden="false" customHeight="false" outlineLevel="0" collapsed="false">
      <c r="A2627" s="30" t="s">
        <v>4264</v>
      </c>
      <c r="B2627" s="30" t="s">
        <v>53</v>
      </c>
      <c r="C2627" s="30" t="s">
        <v>107</v>
      </c>
      <c r="D2627" s="30" t="s">
        <v>4265</v>
      </c>
      <c r="E2627" s="4" t="n">
        <v>5</v>
      </c>
      <c r="F2627" s="4" t="s">
        <v>213</v>
      </c>
      <c r="G2627" s="4" t="s">
        <v>590</v>
      </c>
      <c r="H2627" s="4" t="n">
        <v>1969</v>
      </c>
      <c r="I2627" s="4" t="s">
        <v>290</v>
      </c>
      <c r="J2627" s="25" t="str">
        <f aca="false">IF(M2627=1,"✓","")</f>
        <v/>
      </c>
      <c r="K2627" s="4" t="str">
        <f aca="false">IF(AND(M2627=0,P2627=0),"▶ NEXT","")</f>
        <v/>
      </c>
      <c r="L2627" s="4" t="n">
        <f aca="false">INDEX('Master List'!$F$2:$F$2594,O2627)</f>
        <v>3</v>
      </c>
      <c r="M2627" s="4" t="n">
        <f aca="false">INDEX('Master List'!$G$2:$G$2594,O2627)</f>
        <v>0</v>
      </c>
      <c r="N2627" s="4" t="str">
        <f aca="false">IF(K2627="","",A2627)</f>
        <v/>
      </c>
      <c r="O2627" s="4" t="n">
        <v>129</v>
      </c>
      <c r="P2627" s="4" t="n">
        <f aca="false">IF(A2627=A2626,P2626+1-M2626,0)</f>
        <v>3</v>
      </c>
    </row>
    <row r="2628" customFormat="false" ht="15" hidden="false" customHeight="false" outlineLevel="0" collapsed="false">
      <c r="A2628" s="30" t="s">
        <v>4264</v>
      </c>
      <c r="B2628" s="30" t="s">
        <v>53</v>
      </c>
      <c r="C2628" s="30" t="s">
        <v>107</v>
      </c>
      <c r="D2628" s="30" t="s">
        <v>4265</v>
      </c>
      <c r="E2628" s="4" t="n">
        <v>6</v>
      </c>
      <c r="F2628" s="4" t="s">
        <v>213</v>
      </c>
      <c r="G2628" s="4" t="s">
        <v>386</v>
      </c>
      <c r="H2628" s="4" t="n">
        <v>1970</v>
      </c>
      <c r="I2628" s="4" t="s">
        <v>290</v>
      </c>
      <c r="J2628" s="25" t="str">
        <f aca="false">IF(M2628=1,"✓","")</f>
        <v/>
      </c>
      <c r="K2628" s="4" t="str">
        <f aca="false">IF(AND(M2628=0,P2628=0),"▶ NEXT","")</f>
        <v/>
      </c>
      <c r="L2628" s="4" t="n">
        <f aca="false">INDEX('Master List'!$F$2:$F$2594,O2628)</f>
        <v>4</v>
      </c>
      <c r="M2628" s="4" t="n">
        <f aca="false">INDEX('Master List'!$G$2:$G$2594,O2628)</f>
        <v>0</v>
      </c>
      <c r="N2628" s="4" t="str">
        <f aca="false">IF(K2628="","",A2628)</f>
        <v/>
      </c>
      <c r="O2628" s="4" t="n">
        <v>422</v>
      </c>
      <c r="P2628" s="4" t="n">
        <f aca="false">IF(A2628=A2627,P2627+1-M2627,0)</f>
        <v>4</v>
      </c>
    </row>
    <row r="2629" customFormat="false" ht="15" hidden="false" customHeight="false" outlineLevel="0" collapsed="false">
      <c r="A2629" s="30" t="s">
        <v>4264</v>
      </c>
      <c r="B2629" s="30" t="s">
        <v>53</v>
      </c>
      <c r="C2629" s="30" t="s">
        <v>107</v>
      </c>
      <c r="D2629" s="30" t="s">
        <v>4265</v>
      </c>
      <c r="E2629" s="4" t="n">
        <v>7</v>
      </c>
      <c r="F2629" s="4" t="s">
        <v>213</v>
      </c>
      <c r="G2629" s="4" t="s">
        <v>559</v>
      </c>
      <c r="H2629" s="4" t="n">
        <v>1981</v>
      </c>
      <c r="I2629" s="4" t="s">
        <v>296</v>
      </c>
      <c r="J2629" s="25" t="str">
        <f aca="false">IF(M2629=1,"✓","")</f>
        <v/>
      </c>
      <c r="K2629" s="4" t="str">
        <f aca="false">IF(AND(M2629=0,P2629=0),"▶ NEXT","")</f>
        <v/>
      </c>
      <c r="L2629" s="4" t="n">
        <f aca="false">INDEX('Master List'!$F$2:$F$2594,O2629)</f>
        <v>4</v>
      </c>
      <c r="M2629" s="4" t="n">
        <f aca="false">INDEX('Master List'!$G$2:$G$2594,O2629)</f>
        <v>0</v>
      </c>
      <c r="N2629" s="4" t="str">
        <f aca="false">IF(K2629="","",A2629)</f>
        <v/>
      </c>
      <c r="O2629" s="4" t="n">
        <v>2274</v>
      </c>
      <c r="P2629" s="4" t="n">
        <f aca="false">IF(A2629=A2628,P2628+1-M2628,0)</f>
        <v>5</v>
      </c>
    </row>
    <row r="2630" customFormat="false" ht="15" hidden="false" customHeight="false" outlineLevel="0" collapsed="false">
      <c r="A2630" s="30" t="s">
        <v>4264</v>
      </c>
      <c r="B2630" s="30" t="s">
        <v>53</v>
      </c>
      <c r="C2630" s="30" t="s">
        <v>107</v>
      </c>
      <c r="D2630" s="30" t="s">
        <v>4265</v>
      </c>
      <c r="E2630" s="4" t="n">
        <v>8</v>
      </c>
      <c r="F2630" s="4" t="s">
        <v>213</v>
      </c>
      <c r="G2630" s="4" t="s">
        <v>1076</v>
      </c>
      <c r="H2630" s="4" t="n">
        <v>1986</v>
      </c>
      <c r="I2630" s="4" t="s">
        <v>296</v>
      </c>
      <c r="J2630" s="25" t="str">
        <f aca="false">IF(M2630=1,"✓","")</f>
        <v/>
      </c>
      <c r="K2630" s="4" t="str">
        <f aca="false">IF(AND(M2630=0,P2630=0),"▶ NEXT","")</f>
        <v/>
      </c>
      <c r="L2630" s="4" t="n">
        <f aca="false">INDEX('Master List'!$F$2:$F$2594,O2630)</f>
        <v>2</v>
      </c>
      <c r="M2630" s="4" t="n">
        <f aca="false">INDEX('Master List'!$G$2:$G$2594,O2630)</f>
        <v>0</v>
      </c>
      <c r="N2630" s="4" t="str">
        <f aca="false">IF(K2630="","",A2630)</f>
        <v/>
      </c>
      <c r="O2630" s="4" t="n">
        <v>1439</v>
      </c>
      <c r="P2630" s="4" t="n">
        <f aca="false">IF(A2630=A2629,P2629+1-M2629,0)</f>
        <v>6</v>
      </c>
    </row>
    <row r="2631" customFormat="false" ht="15" hidden="false" customHeight="false" outlineLevel="0" collapsed="false">
      <c r="A2631" s="30" t="s">
        <v>4264</v>
      </c>
      <c r="B2631" s="30" t="s">
        <v>53</v>
      </c>
      <c r="C2631" s="30" t="s">
        <v>107</v>
      </c>
      <c r="D2631" s="30" t="s">
        <v>4265</v>
      </c>
      <c r="E2631" s="4" t="n">
        <v>9</v>
      </c>
      <c r="F2631" s="4" t="s">
        <v>213</v>
      </c>
      <c r="G2631" s="4" t="s">
        <v>1130</v>
      </c>
      <c r="H2631" s="4" t="n">
        <v>1999</v>
      </c>
      <c r="I2631" s="4" t="s">
        <v>296</v>
      </c>
      <c r="J2631" s="25" t="str">
        <f aca="false">IF(M2631=1,"✓","")</f>
        <v/>
      </c>
      <c r="K2631" s="4" t="str">
        <f aca="false">IF(AND(M2631=0,P2631=0),"▶ NEXT","")</f>
        <v/>
      </c>
      <c r="L2631" s="4" t="n">
        <f aca="false">INDEX('Master List'!$F$2:$F$2594,O2631)</f>
        <v>2</v>
      </c>
      <c r="M2631" s="4" t="n">
        <f aca="false">INDEX('Master List'!$G$2:$G$2594,O2631)</f>
        <v>0</v>
      </c>
      <c r="N2631" s="4" t="str">
        <f aca="false">IF(K2631="","",A2631)</f>
        <v/>
      </c>
      <c r="O2631" s="4" t="n">
        <v>1152</v>
      </c>
      <c r="P2631" s="4" t="n">
        <f aca="false">IF(A2631=A2630,P2630+1-M2630,0)</f>
        <v>7</v>
      </c>
    </row>
    <row r="2632" customFormat="false" ht="15" hidden="false" customHeight="false" outlineLevel="0" collapsed="false">
      <c r="A2632" s="30" t="s">
        <v>4264</v>
      </c>
      <c r="B2632" s="30" t="s">
        <v>53</v>
      </c>
      <c r="C2632" s="30" t="s">
        <v>107</v>
      </c>
      <c r="D2632" s="30" t="s">
        <v>4265</v>
      </c>
      <c r="E2632" s="4" t="n">
        <v>10</v>
      </c>
      <c r="F2632" s="4" t="s">
        <v>213</v>
      </c>
      <c r="G2632" s="4" t="s">
        <v>514</v>
      </c>
      <c r="H2632" s="4" t="n">
        <v>2004</v>
      </c>
      <c r="I2632" s="4" t="s">
        <v>296</v>
      </c>
      <c r="J2632" s="25" t="str">
        <f aca="false">IF(M2632=1,"✓","")</f>
        <v>✓</v>
      </c>
      <c r="K2632" s="4" t="str">
        <f aca="false">IF(AND(M2632=0,P2632=0),"▶ NEXT","")</f>
        <v/>
      </c>
      <c r="L2632" s="4" t="n">
        <f aca="false">INDEX('Master List'!$F$2:$F$2594,O2632)</f>
        <v>3</v>
      </c>
      <c r="M2632" s="4" t="n">
        <f aca="false">INDEX('Master List'!$G$2:$G$2594,O2632)</f>
        <v>1</v>
      </c>
      <c r="N2632" s="4" t="str">
        <f aca="false">IF(K2632="","",A2632)</f>
        <v/>
      </c>
      <c r="O2632" s="4" t="n">
        <v>495</v>
      </c>
      <c r="P2632" s="4" t="n">
        <f aca="false">IF(A2632=A2631,P2631+1-M2631,0)</f>
        <v>8</v>
      </c>
    </row>
    <row r="2633" customFormat="false" ht="15" hidden="false" customHeight="false" outlineLevel="0" collapsed="false">
      <c r="A2633" s="30" t="s">
        <v>4264</v>
      </c>
      <c r="B2633" s="30" t="s">
        <v>53</v>
      </c>
      <c r="C2633" s="30" t="s">
        <v>107</v>
      </c>
      <c r="D2633" s="30" t="s">
        <v>4265</v>
      </c>
      <c r="E2633" s="4" t="n">
        <v>11</v>
      </c>
      <c r="F2633" s="4" t="s">
        <v>1327</v>
      </c>
      <c r="G2633" s="4" t="s">
        <v>1177</v>
      </c>
      <c r="H2633" s="4" t="n">
        <v>2006</v>
      </c>
      <c r="I2633" s="4" t="s">
        <v>296</v>
      </c>
      <c r="J2633" s="25" t="str">
        <f aca="false">IF(M2633=1,"✓","")</f>
        <v>✓</v>
      </c>
      <c r="K2633" s="4" t="str">
        <f aca="false">IF(AND(M2633=0,P2633=0),"▶ NEXT","")</f>
        <v/>
      </c>
      <c r="L2633" s="4" t="n">
        <f aca="false">INDEX('Master List'!$F$2:$F$2594,O2633)</f>
        <v>2</v>
      </c>
      <c r="M2633" s="4" t="n">
        <f aca="false">INDEX('Master List'!$G$2:$G$2594,O2633)</f>
        <v>1</v>
      </c>
      <c r="N2633" s="4" t="str">
        <f aca="false">IF(K2633="","",A2633)</f>
        <v/>
      </c>
      <c r="O2633" s="4" t="n">
        <v>1488</v>
      </c>
      <c r="P2633" s="4" t="n">
        <f aca="false">IF(A2633=A2632,P2632+1-M2632,0)</f>
        <v>8</v>
      </c>
    </row>
    <row r="2634" customFormat="false" ht="15" hidden="false" customHeight="false" outlineLevel="0" collapsed="false">
      <c r="A2634" s="30" t="s">
        <v>4264</v>
      </c>
      <c r="B2634" s="30" t="s">
        <v>53</v>
      </c>
      <c r="C2634" s="30" t="s">
        <v>107</v>
      </c>
      <c r="D2634" s="30" t="s">
        <v>4265</v>
      </c>
      <c r="E2634" s="4" t="n">
        <v>12</v>
      </c>
      <c r="F2634" s="4" t="s">
        <v>1327</v>
      </c>
      <c r="G2634" s="4" t="s">
        <v>3409</v>
      </c>
      <c r="H2634" s="4" t="n">
        <v>1961</v>
      </c>
      <c r="I2634" s="4" t="s">
        <v>290</v>
      </c>
      <c r="J2634" s="25" t="str">
        <f aca="false">IF(M2634=1,"✓","")</f>
        <v/>
      </c>
      <c r="K2634" s="4" t="str">
        <f aca="false">IF(AND(M2634=0,P2634=0),"▶ NEXT","")</f>
        <v/>
      </c>
      <c r="L2634" s="4" t="n">
        <f aca="false">INDEX('Master List'!$F$2:$F$2594,O2634)</f>
        <v>1</v>
      </c>
      <c r="M2634" s="4" t="n">
        <f aca="false">INDEX('Master List'!$G$2:$G$2594,O2634)</f>
        <v>0</v>
      </c>
      <c r="N2634" s="4" t="str">
        <f aca="false">IF(K2634="","",A2634)</f>
        <v/>
      </c>
      <c r="O2634" s="4" t="n">
        <v>1319</v>
      </c>
      <c r="P2634" s="4" t="n">
        <f aca="false">IF(A2634=A2633,P2633+1-M2633,0)</f>
        <v>8</v>
      </c>
    </row>
    <row r="2635" customFormat="false" ht="15" hidden="false" customHeight="false" outlineLevel="0" collapsed="false">
      <c r="A2635" s="30" t="s">
        <v>4266</v>
      </c>
      <c r="B2635" s="30" t="s">
        <v>53</v>
      </c>
      <c r="C2635" s="30" t="s">
        <v>107</v>
      </c>
      <c r="D2635" s="30" t="s">
        <v>4267</v>
      </c>
      <c r="E2635" s="4" t="n">
        <v>1</v>
      </c>
      <c r="F2635" s="4" t="s">
        <v>144</v>
      </c>
      <c r="G2635" s="7" t="s">
        <v>417</v>
      </c>
      <c r="H2635" s="4" t="n">
        <v>1967</v>
      </c>
      <c r="I2635" s="4" t="s">
        <v>357</v>
      </c>
      <c r="J2635" s="25" t="str">
        <f aca="false">IF(M2635=1,"✓","")</f>
        <v>✓</v>
      </c>
      <c r="K2635" s="4" t="str">
        <f aca="false">IF(AND(M2635=0,P2635=0),"▶ NEXT","")</f>
        <v/>
      </c>
      <c r="L2635" s="4" t="n">
        <f aca="false">INDEX('Master List'!$F$2:$F$2594,O2635)</f>
        <v>3</v>
      </c>
      <c r="M2635" s="4" t="n">
        <f aca="false">INDEX('Master List'!$G$2:$G$2594,O2635)</f>
        <v>1</v>
      </c>
      <c r="N2635" s="4" t="str">
        <f aca="false">IF(K2635="","",A2635)</f>
        <v/>
      </c>
      <c r="O2635" s="4" t="n">
        <v>939</v>
      </c>
      <c r="P2635" s="4" t="n">
        <f aca="false">IF(A2635=A2634,P2634+1-M2634,0)</f>
        <v>0</v>
      </c>
    </row>
    <row r="2636" customFormat="false" ht="15" hidden="false" customHeight="false" outlineLevel="0" collapsed="false">
      <c r="A2636" s="30" t="s">
        <v>4266</v>
      </c>
      <c r="B2636" s="30" t="s">
        <v>53</v>
      </c>
      <c r="C2636" s="30" t="s">
        <v>107</v>
      </c>
      <c r="D2636" s="30" t="s">
        <v>4267</v>
      </c>
      <c r="E2636" s="4" t="n">
        <v>2</v>
      </c>
      <c r="F2636" s="4" t="s">
        <v>144</v>
      </c>
      <c r="G2636" s="7" t="s">
        <v>356</v>
      </c>
      <c r="H2636" s="4" t="n">
        <v>1966</v>
      </c>
      <c r="I2636" s="4" t="s">
        <v>357</v>
      </c>
      <c r="J2636" s="25" t="str">
        <f aca="false">IF(M2636=1,"✓","")</f>
        <v/>
      </c>
      <c r="K2636" s="4" t="str">
        <f aca="false">IF(AND(M2636=0,P2636=0),"▶ NEXT","")</f>
        <v>▶ NEXT</v>
      </c>
      <c r="L2636" s="4" t="n">
        <f aca="false">INDEX('Master List'!$F$2:$F$2594,O2636)</f>
        <v>4</v>
      </c>
      <c r="M2636" s="4" t="n">
        <f aca="false">INDEX('Master List'!$G$2:$G$2594,O2636)</f>
        <v>0</v>
      </c>
      <c r="N2636" s="4" t="str">
        <f aca="false">IF(K2636="","",A2636)</f>
        <v>N221</v>
      </c>
      <c r="O2636" s="4" t="n">
        <v>2509</v>
      </c>
      <c r="P2636" s="4" t="n">
        <f aca="false">IF(A2636=A2635,P2635+1-M2635,0)</f>
        <v>0</v>
      </c>
    </row>
    <row r="2637" customFormat="false" ht="15" hidden="false" customHeight="false" outlineLevel="0" collapsed="false">
      <c r="A2637" s="30" t="s">
        <v>4266</v>
      </c>
      <c r="B2637" s="30" t="s">
        <v>53</v>
      </c>
      <c r="C2637" s="30" t="s">
        <v>107</v>
      </c>
      <c r="D2637" s="30" t="s">
        <v>4267</v>
      </c>
      <c r="E2637" s="4" t="n">
        <v>3</v>
      </c>
      <c r="F2637" s="4" t="s">
        <v>213</v>
      </c>
      <c r="G2637" s="4" t="s">
        <v>1009</v>
      </c>
      <c r="H2637" s="4" t="n">
        <v>1970</v>
      </c>
      <c r="I2637" s="4" t="s">
        <v>357</v>
      </c>
      <c r="J2637" s="25" t="str">
        <f aca="false">IF(M2637=1,"✓","")</f>
        <v/>
      </c>
      <c r="K2637" s="4" t="str">
        <f aca="false">IF(AND(M2637=0,P2637=0),"▶ NEXT","")</f>
        <v/>
      </c>
      <c r="L2637" s="4" t="n">
        <f aca="false">INDEX('Master List'!$F$2:$F$2594,O2637)</f>
        <v>2</v>
      </c>
      <c r="M2637" s="4" t="n">
        <f aca="false">INDEX('Master List'!$G$2:$G$2594,O2637)</f>
        <v>0</v>
      </c>
      <c r="N2637" s="4" t="str">
        <f aca="false">IF(K2637="","",A2637)</f>
        <v/>
      </c>
      <c r="O2637" s="4" t="n">
        <v>412</v>
      </c>
      <c r="P2637" s="4" t="n">
        <f aca="false">IF(A2637=A2636,P2636+1-M2636,0)</f>
        <v>1</v>
      </c>
    </row>
    <row r="2638" customFormat="false" ht="15" hidden="false" customHeight="false" outlineLevel="0" collapsed="false">
      <c r="A2638" s="30" t="s">
        <v>4266</v>
      </c>
      <c r="B2638" s="30" t="s">
        <v>53</v>
      </c>
      <c r="C2638" s="30" t="s">
        <v>107</v>
      </c>
      <c r="D2638" s="30" t="s">
        <v>4267</v>
      </c>
      <c r="E2638" s="4" t="n">
        <v>4</v>
      </c>
      <c r="F2638" s="4" t="s">
        <v>213</v>
      </c>
      <c r="G2638" s="4" t="s">
        <v>2185</v>
      </c>
      <c r="H2638" s="4" t="n">
        <v>1971</v>
      </c>
      <c r="I2638" s="4" t="s">
        <v>357</v>
      </c>
      <c r="J2638" s="25" t="str">
        <f aca="false">IF(M2638=1,"✓","")</f>
        <v/>
      </c>
      <c r="K2638" s="4" t="str">
        <f aca="false">IF(AND(M2638=0,P2638=0),"▶ NEXT","")</f>
        <v/>
      </c>
      <c r="L2638" s="4" t="n">
        <f aca="false">INDEX('Master List'!$F$2:$F$2594,O2638)</f>
        <v>1</v>
      </c>
      <c r="M2638" s="4" t="n">
        <f aca="false">INDEX('Master List'!$G$2:$G$2594,O2638)</f>
        <v>0</v>
      </c>
      <c r="N2638" s="4" t="str">
        <f aca="false">IF(K2638="","",A2638)</f>
        <v/>
      </c>
      <c r="O2638" s="4" t="n">
        <v>399</v>
      </c>
      <c r="P2638" s="4" t="n">
        <f aca="false">IF(A2638=A2637,P2637+1-M2637,0)</f>
        <v>2</v>
      </c>
    </row>
    <row r="2639" customFormat="false" ht="15" hidden="false" customHeight="false" outlineLevel="0" collapsed="false">
      <c r="A2639" s="30" t="s">
        <v>4266</v>
      </c>
      <c r="B2639" s="30" t="s">
        <v>53</v>
      </c>
      <c r="C2639" s="30" t="s">
        <v>107</v>
      </c>
      <c r="D2639" s="30" t="s">
        <v>4267</v>
      </c>
      <c r="E2639" s="4" t="n">
        <v>5</v>
      </c>
      <c r="F2639" s="4" t="s">
        <v>213</v>
      </c>
      <c r="G2639" s="4" t="s">
        <v>2389</v>
      </c>
      <c r="H2639" s="4" t="n">
        <v>1983</v>
      </c>
      <c r="I2639" s="4" t="s">
        <v>357</v>
      </c>
      <c r="J2639" s="25" t="str">
        <f aca="false">IF(M2639=1,"✓","")</f>
        <v/>
      </c>
      <c r="K2639" s="4" t="str">
        <f aca="false">IF(AND(M2639=0,P2639=0),"▶ NEXT","")</f>
        <v/>
      </c>
      <c r="L2639" s="4" t="n">
        <f aca="false">INDEX('Master List'!$F$2:$F$2594,O2639)</f>
        <v>1</v>
      </c>
      <c r="M2639" s="4" t="n">
        <f aca="false">INDEX('Master List'!$G$2:$G$2594,O2639)</f>
        <v>0</v>
      </c>
      <c r="N2639" s="4" t="str">
        <f aca="false">IF(K2639="","",A2639)</f>
        <v/>
      </c>
      <c r="O2639" s="4" t="n">
        <v>2073</v>
      </c>
      <c r="P2639" s="4" t="n">
        <f aca="false">IF(A2639=A2638,P2638+1-M2638,0)</f>
        <v>3</v>
      </c>
    </row>
    <row r="2640" customFormat="false" ht="15" hidden="false" customHeight="false" outlineLevel="0" collapsed="false">
      <c r="A2640" s="30" t="s">
        <v>4266</v>
      </c>
      <c r="B2640" s="30" t="s">
        <v>53</v>
      </c>
      <c r="C2640" s="30" t="s">
        <v>107</v>
      </c>
      <c r="D2640" s="30" t="s">
        <v>4267</v>
      </c>
      <c r="E2640" s="4" t="n">
        <v>6</v>
      </c>
      <c r="F2640" s="4" t="s">
        <v>213</v>
      </c>
      <c r="G2640" s="4" t="s">
        <v>2479</v>
      </c>
      <c r="H2640" s="4" t="n">
        <v>1988</v>
      </c>
      <c r="I2640" s="4" t="s">
        <v>357</v>
      </c>
      <c r="J2640" s="25" t="str">
        <f aca="false">IF(M2640=1,"✓","")</f>
        <v/>
      </c>
      <c r="K2640" s="4" t="str">
        <f aca="false">IF(AND(M2640=0,P2640=0),"▶ NEXT","")</f>
        <v/>
      </c>
      <c r="L2640" s="4" t="n">
        <f aca="false">INDEX('Master List'!$F$2:$F$2594,O2640)</f>
        <v>1</v>
      </c>
      <c r="M2640" s="4" t="n">
        <f aca="false">INDEX('Master List'!$G$2:$G$2594,O2640)</f>
        <v>0</v>
      </c>
      <c r="N2640" s="4" t="str">
        <f aca="false">IF(K2640="","",A2640)</f>
        <v/>
      </c>
      <c r="O2640" s="4" t="n">
        <v>2552</v>
      </c>
      <c r="P2640" s="4" t="n">
        <f aca="false">IF(A2640=A2639,P2639+1-M2639,0)</f>
        <v>4</v>
      </c>
    </row>
    <row r="2641" customFormat="false" ht="15" hidden="false" customHeight="false" outlineLevel="0" collapsed="false">
      <c r="A2641" s="30" t="s">
        <v>4266</v>
      </c>
      <c r="B2641" s="30" t="s">
        <v>53</v>
      </c>
      <c r="C2641" s="30" t="s">
        <v>107</v>
      </c>
      <c r="D2641" s="30" t="s">
        <v>4267</v>
      </c>
      <c r="E2641" s="4" t="n">
        <v>7</v>
      </c>
      <c r="F2641" s="4" t="s">
        <v>213</v>
      </c>
      <c r="G2641" s="4" t="s">
        <v>2646</v>
      </c>
      <c r="H2641" s="4" t="n">
        <v>1996</v>
      </c>
      <c r="I2641" s="4" t="s">
        <v>357</v>
      </c>
      <c r="J2641" s="25" t="str">
        <f aca="false">IF(M2641=1,"✓","")</f>
        <v>✓</v>
      </c>
      <c r="K2641" s="4" t="str">
        <f aca="false">IF(AND(M2641=0,P2641=0),"▶ NEXT","")</f>
        <v/>
      </c>
      <c r="L2641" s="4" t="n">
        <f aca="false">INDEX('Master List'!$F$2:$F$2594,O2641)</f>
        <v>1</v>
      </c>
      <c r="M2641" s="4" t="n">
        <f aca="false">INDEX('Master List'!$G$2:$G$2594,O2641)</f>
        <v>1</v>
      </c>
      <c r="N2641" s="4" t="str">
        <f aca="false">IF(K2641="","",A2641)</f>
        <v/>
      </c>
      <c r="O2641" s="4" t="n">
        <v>255</v>
      </c>
      <c r="P2641" s="4" t="n">
        <f aca="false">IF(A2641=A2640,P2640+1-M2640,0)</f>
        <v>5</v>
      </c>
    </row>
    <row r="2642" customFormat="false" ht="15" hidden="false" customHeight="false" outlineLevel="0" collapsed="false">
      <c r="A2642" s="30" t="s">
        <v>4266</v>
      </c>
      <c r="B2642" s="30" t="s">
        <v>53</v>
      </c>
      <c r="C2642" s="30" t="s">
        <v>107</v>
      </c>
      <c r="D2642" s="30" t="s">
        <v>4267</v>
      </c>
      <c r="E2642" s="4" t="n">
        <v>8</v>
      </c>
      <c r="F2642" s="4" t="s">
        <v>213</v>
      </c>
      <c r="G2642" s="4" t="s">
        <v>2186</v>
      </c>
      <c r="H2642" s="4" t="n">
        <v>1971</v>
      </c>
      <c r="I2642" s="4" t="s">
        <v>707</v>
      </c>
      <c r="J2642" s="25" t="str">
        <f aca="false">IF(M2642=1,"✓","")</f>
        <v/>
      </c>
      <c r="K2642" s="4" t="str">
        <f aca="false">IF(AND(M2642=0,P2642=0),"▶ NEXT","")</f>
        <v/>
      </c>
      <c r="L2642" s="4" t="n">
        <f aca="false">INDEX('Master List'!$F$2:$F$2594,O2642)</f>
        <v>1</v>
      </c>
      <c r="M2642" s="4" t="n">
        <f aca="false">INDEX('Master List'!$G$2:$G$2594,O2642)</f>
        <v>0</v>
      </c>
      <c r="N2642" s="4" t="str">
        <f aca="false">IF(K2642="","",A2642)</f>
        <v/>
      </c>
      <c r="O2642" s="4" t="n">
        <v>1596</v>
      </c>
      <c r="P2642" s="4" t="n">
        <f aca="false">IF(A2642=A2641,P2641+1-M2641,0)</f>
        <v>5</v>
      </c>
    </row>
    <row r="2643" customFormat="false" ht="15" hidden="false" customHeight="false" outlineLevel="0" collapsed="false">
      <c r="A2643" s="30" t="s">
        <v>4266</v>
      </c>
      <c r="B2643" s="30" t="s">
        <v>53</v>
      </c>
      <c r="C2643" s="30" t="s">
        <v>107</v>
      </c>
      <c r="D2643" s="30" t="s">
        <v>4267</v>
      </c>
      <c r="E2643" s="4" t="n">
        <v>9</v>
      </c>
      <c r="F2643" s="4" t="s">
        <v>213</v>
      </c>
      <c r="G2643" s="4" t="s">
        <v>706</v>
      </c>
      <c r="H2643" s="4" t="n">
        <v>1972</v>
      </c>
      <c r="I2643" s="4" t="s">
        <v>707</v>
      </c>
      <c r="J2643" s="25" t="str">
        <f aca="false">IF(M2643=1,"✓","")</f>
        <v/>
      </c>
      <c r="K2643" s="4" t="str">
        <f aca="false">IF(AND(M2643=0,P2643=0),"▶ NEXT","")</f>
        <v/>
      </c>
      <c r="L2643" s="4" t="n">
        <f aca="false">INDEX('Master List'!$F$2:$F$2594,O2643)</f>
        <v>3</v>
      </c>
      <c r="M2643" s="4" t="n">
        <f aca="false">INDEX('Master List'!$G$2:$G$2594,O2643)</f>
        <v>0</v>
      </c>
      <c r="N2643" s="4" t="str">
        <f aca="false">IF(K2643="","",A2643)</f>
        <v/>
      </c>
      <c r="O2643" s="4" t="n">
        <v>1008</v>
      </c>
      <c r="P2643" s="4" t="n">
        <f aca="false">IF(A2643=A2642,P2642+1-M2642,0)</f>
        <v>6</v>
      </c>
    </row>
    <row r="2644" customFormat="false" ht="15" hidden="false" customHeight="false" outlineLevel="0" collapsed="false">
      <c r="A2644" s="30" t="s">
        <v>4266</v>
      </c>
      <c r="B2644" s="30" t="s">
        <v>53</v>
      </c>
      <c r="C2644" s="30" t="s">
        <v>107</v>
      </c>
      <c r="D2644" s="30" t="s">
        <v>4267</v>
      </c>
      <c r="E2644" s="4" t="n">
        <v>10</v>
      </c>
      <c r="F2644" s="4" t="s">
        <v>213</v>
      </c>
      <c r="G2644" s="4" t="s">
        <v>1356</v>
      </c>
      <c r="H2644" s="4" t="n">
        <v>1976</v>
      </c>
      <c r="I2644" s="4" t="s">
        <v>707</v>
      </c>
      <c r="J2644" s="25" t="str">
        <f aca="false">IF(M2644=1,"✓","")</f>
        <v>✓</v>
      </c>
      <c r="K2644" s="4" t="str">
        <f aca="false">IF(AND(M2644=0,P2644=0),"▶ NEXT","")</f>
        <v/>
      </c>
      <c r="L2644" s="4" t="n">
        <f aca="false">INDEX('Master List'!$F$2:$F$2594,O2644)</f>
        <v>2</v>
      </c>
      <c r="M2644" s="4" t="n">
        <f aca="false">INDEX('Master List'!$G$2:$G$2594,O2644)</f>
        <v>1</v>
      </c>
      <c r="N2644" s="4" t="str">
        <f aca="false">IF(K2644="","",A2644)</f>
        <v/>
      </c>
      <c r="O2644" s="4" t="n">
        <v>1498</v>
      </c>
      <c r="P2644" s="4" t="n">
        <f aca="false">IF(A2644=A2643,P2643+1-M2643,0)</f>
        <v>7</v>
      </c>
    </row>
    <row r="2645" customFormat="false" ht="15" hidden="false" customHeight="false" outlineLevel="0" collapsed="false">
      <c r="A2645" s="30" t="s">
        <v>4266</v>
      </c>
      <c r="B2645" s="30" t="s">
        <v>53</v>
      </c>
      <c r="C2645" s="30" t="s">
        <v>107</v>
      </c>
      <c r="D2645" s="30" t="s">
        <v>4267</v>
      </c>
      <c r="E2645" s="4" t="n">
        <v>11</v>
      </c>
      <c r="F2645" s="4" t="s">
        <v>1327</v>
      </c>
      <c r="G2645" s="4" t="s">
        <v>3745</v>
      </c>
      <c r="H2645" s="4" t="n">
        <v>2004</v>
      </c>
      <c r="I2645" s="4" t="s">
        <v>357</v>
      </c>
      <c r="J2645" s="25" t="str">
        <f aca="false">IF(M2645=1,"✓","")</f>
        <v/>
      </c>
      <c r="K2645" s="4" t="str">
        <f aca="false">IF(AND(M2645=0,P2645=0),"▶ NEXT","")</f>
        <v/>
      </c>
      <c r="L2645" s="4" t="n">
        <f aca="false">INDEX('Master List'!$F$2:$F$2594,O2645)</f>
        <v>1</v>
      </c>
      <c r="M2645" s="4" t="n">
        <f aca="false">INDEX('Master List'!$G$2:$G$2594,O2645)</f>
        <v>0</v>
      </c>
      <c r="N2645" s="4" t="str">
        <f aca="false">IF(K2645="","",A2645)</f>
        <v/>
      </c>
      <c r="O2645" s="4" t="n">
        <v>483</v>
      </c>
      <c r="P2645" s="4" t="n">
        <f aca="false">IF(A2645=A2644,P2644+1-M2644,0)</f>
        <v>7</v>
      </c>
    </row>
    <row r="2646" customFormat="false" ht="15" hidden="false" customHeight="false" outlineLevel="0" collapsed="false">
      <c r="A2646" s="30" t="s">
        <v>4266</v>
      </c>
      <c r="B2646" s="30" t="s">
        <v>53</v>
      </c>
      <c r="C2646" s="30" t="s">
        <v>107</v>
      </c>
      <c r="D2646" s="30" t="s">
        <v>4267</v>
      </c>
      <c r="E2646" s="4" t="n">
        <v>12</v>
      </c>
      <c r="F2646" s="4" t="s">
        <v>1327</v>
      </c>
      <c r="G2646" s="4" t="s">
        <v>3643</v>
      </c>
      <c r="H2646" s="4" t="n">
        <v>1987</v>
      </c>
      <c r="I2646" s="4" t="s">
        <v>707</v>
      </c>
      <c r="J2646" s="25" t="str">
        <f aca="false">IF(M2646=1,"✓","")</f>
        <v/>
      </c>
      <c r="K2646" s="4" t="str">
        <f aca="false">IF(AND(M2646=0,P2646=0),"▶ NEXT","")</f>
        <v/>
      </c>
      <c r="L2646" s="4" t="n">
        <f aca="false">INDEX('Master List'!$F$2:$F$2594,O2646)</f>
        <v>1</v>
      </c>
      <c r="M2646" s="4" t="n">
        <f aca="false">INDEX('Master List'!$G$2:$G$2594,O2646)</f>
        <v>0</v>
      </c>
      <c r="N2646" s="4" t="str">
        <f aca="false">IF(K2646="","",A2646)</f>
        <v/>
      </c>
      <c r="O2646" s="4" t="n">
        <v>1168</v>
      </c>
      <c r="P2646" s="4" t="n">
        <f aca="false">IF(A2646=A2645,P2645+1-M2645,0)</f>
        <v>8</v>
      </c>
    </row>
    <row r="2647" customFormat="false" ht="15" hidden="false" customHeight="false" outlineLevel="0" collapsed="false">
      <c r="A2647" s="30" t="s">
        <v>4268</v>
      </c>
      <c r="B2647" s="30" t="s">
        <v>53</v>
      </c>
      <c r="C2647" s="30" t="s">
        <v>107</v>
      </c>
      <c r="D2647" s="30" t="s">
        <v>801</v>
      </c>
      <c r="E2647" s="4" t="n">
        <v>1</v>
      </c>
      <c r="F2647" s="4" t="s">
        <v>144</v>
      </c>
      <c r="G2647" s="7" t="s">
        <v>800</v>
      </c>
      <c r="H2647" s="4" t="n">
        <v>1974</v>
      </c>
      <c r="I2647" s="4" t="s">
        <v>801</v>
      </c>
      <c r="J2647" s="25" t="str">
        <f aca="false">IF(M2647=1,"✓","")</f>
        <v/>
      </c>
      <c r="K2647" s="4" t="str">
        <f aca="false">IF(AND(M2647=0,P2647=0),"▶ NEXT","")</f>
        <v>▶ NEXT</v>
      </c>
      <c r="L2647" s="4" t="n">
        <f aca="false">INDEX('Master List'!$F$2:$F$2594,O2647)</f>
        <v>2</v>
      </c>
      <c r="M2647" s="4" t="n">
        <f aca="false">INDEX('Master List'!$G$2:$G$2594,O2647)</f>
        <v>0</v>
      </c>
      <c r="N2647" s="4" t="str">
        <f aca="false">IF(K2647="","",A2647)</f>
        <v>N222</v>
      </c>
      <c r="O2647" s="4" t="n">
        <v>2546</v>
      </c>
      <c r="P2647" s="4" t="n">
        <f aca="false">IF(A2647=A2646,P2646+1-M2646,0)</f>
        <v>0</v>
      </c>
    </row>
    <row r="2648" customFormat="false" ht="15" hidden="false" customHeight="false" outlineLevel="0" collapsed="false">
      <c r="A2648" s="30" t="s">
        <v>4268</v>
      </c>
      <c r="B2648" s="30" t="s">
        <v>53</v>
      </c>
      <c r="C2648" s="30" t="s">
        <v>107</v>
      </c>
      <c r="D2648" s="30" t="s">
        <v>801</v>
      </c>
      <c r="E2648" s="4" t="n">
        <v>2</v>
      </c>
      <c r="F2648" s="4" t="s">
        <v>144</v>
      </c>
      <c r="G2648" s="7" t="s">
        <v>1002</v>
      </c>
      <c r="H2648" s="4" t="n">
        <v>1968</v>
      </c>
      <c r="I2648" s="4" t="s">
        <v>801</v>
      </c>
      <c r="J2648" s="25" t="str">
        <f aca="false">IF(M2648=1,"✓","")</f>
        <v/>
      </c>
      <c r="K2648" s="4" t="str">
        <f aca="false">IF(AND(M2648=0,P2648=0),"▶ NEXT","")</f>
        <v/>
      </c>
      <c r="L2648" s="4" t="n">
        <f aca="false">INDEX('Master List'!$F$2:$F$2594,O2648)</f>
        <v>2</v>
      </c>
      <c r="M2648" s="4" t="n">
        <f aca="false">INDEX('Master List'!$G$2:$G$2594,O2648)</f>
        <v>0</v>
      </c>
      <c r="N2648" s="4" t="str">
        <f aca="false">IF(K2648="","",A2648)</f>
        <v/>
      </c>
      <c r="O2648" s="4" t="n">
        <v>773</v>
      </c>
      <c r="P2648" s="4" t="n">
        <f aca="false">IF(A2648=A2647,P2647+1-M2647,0)</f>
        <v>1</v>
      </c>
    </row>
    <row r="2649" customFormat="false" ht="15" hidden="false" customHeight="false" outlineLevel="0" collapsed="false">
      <c r="A2649" s="30" t="s">
        <v>4268</v>
      </c>
      <c r="B2649" s="30" t="s">
        <v>53</v>
      </c>
      <c r="C2649" s="30" t="s">
        <v>107</v>
      </c>
      <c r="D2649" s="30" t="s">
        <v>801</v>
      </c>
      <c r="E2649" s="4" t="n">
        <v>3</v>
      </c>
      <c r="F2649" s="4" t="s">
        <v>213</v>
      </c>
      <c r="G2649" s="4" t="s">
        <v>895</v>
      </c>
      <c r="H2649" s="4" t="n">
        <v>1958</v>
      </c>
      <c r="I2649" s="4" t="s">
        <v>801</v>
      </c>
      <c r="J2649" s="25" t="str">
        <f aca="false">IF(M2649=1,"✓","")</f>
        <v/>
      </c>
      <c r="K2649" s="4" t="str">
        <f aca="false">IF(AND(M2649=0,P2649=0),"▶ NEXT","")</f>
        <v/>
      </c>
      <c r="L2649" s="4" t="n">
        <f aca="false">INDEX('Master List'!$F$2:$F$2594,O2649)</f>
        <v>3</v>
      </c>
      <c r="M2649" s="4" t="n">
        <f aca="false">INDEX('Master List'!$G$2:$G$2594,O2649)</f>
        <v>0</v>
      </c>
      <c r="N2649" s="4" t="str">
        <f aca="false">IF(K2649="","",A2649)</f>
        <v/>
      </c>
      <c r="O2649" s="4" t="n">
        <v>2029</v>
      </c>
      <c r="P2649" s="4" t="n">
        <f aca="false">IF(A2649=A2648,P2648+1-M2648,0)</f>
        <v>2</v>
      </c>
    </row>
    <row r="2650" customFormat="false" ht="15" hidden="false" customHeight="false" outlineLevel="0" collapsed="false">
      <c r="A2650" s="30" t="s">
        <v>4268</v>
      </c>
      <c r="B2650" s="30" t="s">
        <v>53</v>
      </c>
      <c r="C2650" s="30" t="s">
        <v>107</v>
      </c>
      <c r="D2650" s="30" t="s">
        <v>801</v>
      </c>
      <c r="E2650" s="4" t="n">
        <v>4</v>
      </c>
      <c r="F2650" s="4" t="s">
        <v>213</v>
      </c>
      <c r="G2650" s="4" t="s">
        <v>2164</v>
      </c>
      <c r="H2650" s="4" t="n">
        <v>1970</v>
      </c>
      <c r="I2650" s="4" t="s">
        <v>801</v>
      </c>
      <c r="J2650" s="25" t="str">
        <f aca="false">IF(M2650=1,"✓","")</f>
        <v/>
      </c>
      <c r="K2650" s="4" t="str">
        <f aca="false">IF(AND(M2650=0,P2650=0),"▶ NEXT","")</f>
        <v/>
      </c>
      <c r="L2650" s="4" t="n">
        <f aca="false">INDEX('Master List'!$F$2:$F$2594,O2650)</f>
        <v>1</v>
      </c>
      <c r="M2650" s="4" t="n">
        <f aca="false">INDEX('Master List'!$G$2:$G$2594,O2650)</f>
        <v>0</v>
      </c>
      <c r="N2650" s="4" t="str">
        <f aca="false">IF(K2650="","",A2650)</f>
        <v/>
      </c>
      <c r="O2650" s="4" t="n">
        <v>1092</v>
      </c>
      <c r="P2650" s="4" t="n">
        <f aca="false">IF(A2650=A2649,P2649+1-M2649,0)</f>
        <v>3</v>
      </c>
    </row>
    <row r="2651" customFormat="false" ht="15" hidden="false" customHeight="false" outlineLevel="0" collapsed="false">
      <c r="A2651" s="30" t="s">
        <v>4268</v>
      </c>
      <c r="B2651" s="30" t="s">
        <v>53</v>
      </c>
      <c r="C2651" s="30" t="s">
        <v>107</v>
      </c>
      <c r="D2651" s="30" t="s">
        <v>801</v>
      </c>
      <c r="E2651" s="4" t="n">
        <v>5</v>
      </c>
      <c r="F2651" s="4" t="s">
        <v>213</v>
      </c>
      <c r="G2651" s="4" t="s">
        <v>2187</v>
      </c>
      <c r="H2651" s="4" t="n">
        <v>1971</v>
      </c>
      <c r="I2651" s="4" t="s">
        <v>801</v>
      </c>
      <c r="J2651" s="25" t="str">
        <f aca="false">IF(M2651=1,"✓","")</f>
        <v/>
      </c>
      <c r="K2651" s="4" t="str">
        <f aca="false">IF(AND(M2651=0,P2651=0),"▶ NEXT","")</f>
        <v/>
      </c>
      <c r="L2651" s="4" t="n">
        <f aca="false">INDEX('Master List'!$F$2:$F$2594,O2651)</f>
        <v>1</v>
      </c>
      <c r="M2651" s="4" t="n">
        <f aca="false">INDEX('Master List'!$G$2:$G$2594,O2651)</f>
        <v>0</v>
      </c>
      <c r="N2651" s="4" t="str">
        <f aca="false">IF(K2651="","",A2651)</f>
        <v/>
      </c>
      <c r="O2651" s="4" t="n">
        <v>1508</v>
      </c>
      <c r="P2651" s="4" t="n">
        <f aca="false">IF(A2651=A2650,P2650+1-M2650,0)</f>
        <v>4</v>
      </c>
    </row>
    <row r="2652" customFormat="false" ht="15" hidden="false" customHeight="false" outlineLevel="0" collapsed="false">
      <c r="A2652" s="30" t="s">
        <v>4268</v>
      </c>
      <c r="B2652" s="30" t="s">
        <v>53</v>
      </c>
      <c r="C2652" s="30" t="s">
        <v>107</v>
      </c>
      <c r="D2652" s="30" t="s">
        <v>801</v>
      </c>
      <c r="E2652" s="4" t="n">
        <v>6</v>
      </c>
      <c r="F2652" s="4" t="s">
        <v>213</v>
      </c>
      <c r="G2652" s="4" t="s">
        <v>2291</v>
      </c>
      <c r="H2652" s="4" t="n">
        <v>1976</v>
      </c>
      <c r="I2652" s="4" t="s">
        <v>801</v>
      </c>
      <c r="J2652" s="25" t="str">
        <f aca="false">IF(M2652=1,"✓","")</f>
        <v/>
      </c>
      <c r="K2652" s="4" t="str">
        <f aca="false">IF(AND(M2652=0,P2652=0),"▶ NEXT","")</f>
        <v/>
      </c>
      <c r="L2652" s="4" t="n">
        <f aca="false">INDEX('Master List'!$F$2:$F$2594,O2652)</f>
        <v>1</v>
      </c>
      <c r="M2652" s="4" t="n">
        <f aca="false">INDEX('Master List'!$G$2:$G$2594,O2652)</f>
        <v>0</v>
      </c>
      <c r="N2652" s="4" t="str">
        <f aca="false">IF(K2652="","",A2652)</f>
        <v/>
      </c>
      <c r="O2652" s="4" t="n">
        <v>1253</v>
      </c>
      <c r="P2652" s="4" t="n">
        <f aca="false">IF(A2652=A2651,P2651+1-M2651,0)</f>
        <v>5</v>
      </c>
    </row>
    <row r="2653" customFormat="false" ht="15" hidden="false" customHeight="false" outlineLevel="0" collapsed="false">
      <c r="A2653" s="30" t="s">
        <v>4268</v>
      </c>
      <c r="B2653" s="30" t="s">
        <v>53</v>
      </c>
      <c r="C2653" s="30" t="s">
        <v>107</v>
      </c>
      <c r="D2653" s="30" t="s">
        <v>801</v>
      </c>
      <c r="E2653" s="4" t="n">
        <v>7</v>
      </c>
      <c r="F2653" s="4" t="s">
        <v>213</v>
      </c>
      <c r="G2653" s="4" t="s">
        <v>1037</v>
      </c>
      <c r="H2653" s="4" t="n">
        <v>1977</v>
      </c>
      <c r="I2653" s="4" t="s">
        <v>801</v>
      </c>
      <c r="J2653" s="25" t="str">
        <f aca="false">IF(M2653=1,"✓","")</f>
        <v/>
      </c>
      <c r="K2653" s="4" t="str">
        <f aca="false">IF(AND(M2653=0,P2653=0),"▶ NEXT","")</f>
        <v/>
      </c>
      <c r="L2653" s="4" t="n">
        <f aca="false">INDEX('Master List'!$F$2:$F$2594,O2653)</f>
        <v>2</v>
      </c>
      <c r="M2653" s="4" t="n">
        <f aca="false">INDEX('Master List'!$G$2:$G$2594,O2653)</f>
        <v>0</v>
      </c>
      <c r="N2653" s="4" t="str">
        <f aca="false">IF(K2653="","",A2653)</f>
        <v/>
      </c>
      <c r="O2653" s="4" t="n">
        <v>1688</v>
      </c>
      <c r="P2653" s="4" t="n">
        <f aca="false">IF(A2653=A2652,P2652+1-M2652,0)</f>
        <v>6</v>
      </c>
    </row>
    <row r="2654" customFormat="false" ht="15" hidden="false" customHeight="false" outlineLevel="0" collapsed="false">
      <c r="A2654" s="30" t="s">
        <v>4268</v>
      </c>
      <c r="B2654" s="30" t="s">
        <v>53</v>
      </c>
      <c r="C2654" s="30" t="s">
        <v>107</v>
      </c>
      <c r="D2654" s="30" t="s">
        <v>801</v>
      </c>
      <c r="E2654" s="4" t="n">
        <v>8</v>
      </c>
      <c r="F2654" s="4" t="s">
        <v>213</v>
      </c>
      <c r="G2654" s="4" t="s">
        <v>2407</v>
      </c>
      <c r="H2654" s="4" t="n">
        <v>1984</v>
      </c>
      <c r="I2654" s="4" t="s">
        <v>801</v>
      </c>
      <c r="J2654" s="25" t="str">
        <f aca="false">IF(M2654=1,"✓","")</f>
        <v/>
      </c>
      <c r="K2654" s="4" t="str">
        <f aca="false">IF(AND(M2654=0,P2654=0),"▶ NEXT","")</f>
        <v/>
      </c>
      <c r="L2654" s="4" t="n">
        <f aca="false">INDEX('Master List'!$F$2:$F$2594,O2654)</f>
        <v>1</v>
      </c>
      <c r="M2654" s="4" t="n">
        <f aca="false">INDEX('Master List'!$G$2:$G$2594,O2654)</f>
        <v>0</v>
      </c>
      <c r="N2654" s="4" t="str">
        <f aca="false">IF(K2654="","",A2654)</f>
        <v/>
      </c>
      <c r="O2654" s="4" t="n">
        <v>1391</v>
      </c>
      <c r="P2654" s="4" t="n">
        <f aca="false">IF(A2654=A2653,P2653+1-M2653,0)</f>
        <v>7</v>
      </c>
    </row>
    <row r="2655" customFormat="false" ht="15" hidden="false" customHeight="false" outlineLevel="0" collapsed="false">
      <c r="A2655" s="30" t="s">
        <v>4268</v>
      </c>
      <c r="B2655" s="30" t="s">
        <v>53</v>
      </c>
      <c r="C2655" s="30" t="s">
        <v>107</v>
      </c>
      <c r="D2655" s="30" t="s">
        <v>801</v>
      </c>
      <c r="E2655" s="4" t="n">
        <v>9</v>
      </c>
      <c r="F2655" s="4" t="s">
        <v>1327</v>
      </c>
      <c r="G2655" s="4" t="s">
        <v>3584</v>
      </c>
      <c r="H2655" s="4" t="n">
        <v>1980</v>
      </c>
      <c r="I2655" s="4" t="s">
        <v>801</v>
      </c>
      <c r="J2655" s="25" t="str">
        <f aca="false">IF(M2655=1,"✓","")</f>
        <v/>
      </c>
      <c r="K2655" s="4" t="str">
        <f aca="false">IF(AND(M2655=0,P2655=0),"▶ NEXT","")</f>
        <v/>
      </c>
      <c r="L2655" s="4" t="n">
        <f aca="false">INDEX('Master List'!$F$2:$F$2594,O2655)</f>
        <v>1</v>
      </c>
      <c r="M2655" s="4" t="n">
        <f aca="false">INDEX('Master List'!$G$2:$G$2594,O2655)</f>
        <v>0</v>
      </c>
      <c r="N2655" s="4" t="str">
        <f aca="false">IF(K2655="","",A2655)</f>
        <v/>
      </c>
      <c r="O2655" s="4" t="n">
        <v>905</v>
      </c>
      <c r="P2655" s="4" t="n">
        <f aca="false">IF(A2655=A2654,P2654+1-M2654,0)</f>
        <v>8</v>
      </c>
    </row>
    <row r="2656" customFormat="false" ht="15" hidden="false" customHeight="false" outlineLevel="0" collapsed="false">
      <c r="A2656" s="31" t="s">
        <v>4269</v>
      </c>
      <c r="B2656" s="31" t="s">
        <v>54</v>
      </c>
      <c r="C2656" s="31" t="s">
        <v>108</v>
      </c>
      <c r="D2656" s="31" t="s">
        <v>4270</v>
      </c>
      <c r="E2656" s="4" t="n">
        <v>1</v>
      </c>
      <c r="F2656" s="4" t="s">
        <v>144</v>
      </c>
      <c r="G2656" s="7" t="s">
        <v>233</v>
      </c>
      <c r="H2656" s="4" t="n">
        <v>1939</v>
      </c>
      <c r="I2656" s="4" t="s">
        <v>234</v>
      </c>
      <c r="J2656" s="25" t="str">
        <f aca="false">IF(M2656=1,"✓","")</f>
        <v/>
      </c>
      <c r="K2656" s="4" t="str">
        <f aca="false">IF(AND(M2656=0,P2656=0),"▶ NEXT","")</f>
        <v>▶ NEXT</v>
      </c>
      <c r="L2656" s="4" t="n">
        <f aca="false">INDEX('Master List'!$F$2:$F$2594,O2656)</f>
        <v>5</v>
      </c>
      <c r="M2656" s="4" t="n">
        <f aca="false">INDEX('Master List'!$G$2:$G$2594,O2656)</f>
        <v>0</v>
      </c>
      <c r="N2656" s="4" t="str">
        <f aca="false">IF(K2656="","",A2656)</f>
        <v>N223</v>
      </c>
      <c r="O2656" s="4" t="n">
        <v>1943</v>
      </c>
      <c r="P2656" s="4" t="n">
        <f aca="false">IF(A2656=A2655,P2655+1-M2655,0)</f>
        <v>0</v>
      </c>
    </row>
    <row r="2657" customFormat="false" ht="15" hidden="false" customHeight="false" outlineLevel="0" collapsed="false">
      <c r="A2657" s="31" t="s">
        <v>4269</v>
      </c>
      <c r="B2657" s="31" t="s">
        <v>54</v>
      </c>
      <c r="C2657" s="31" t="s">
        <v>108</v>
      </c>
      <c r="D2657" s="31" t="s">
        <v>4270</v>
      </c>
      <c r="E2657" s="4" t="n">
        <v>2</v>
      </c>
      <c r="F2657" s="4" t="s">
        <v>144</v>
      </c>
      <c r="G2657" s="7" t="s">
        <v>159</v>
      </c>
      <c r="H2657" s="4" t="n">
        <v>1948</v>
      </c>
      <c r="I2657" s="4" t="s">
        <v>160</v>
      </c>
      <c r="J2657" s="25" t="str">
        <f aca="false">IF(M2657=1,"✓","")</f>
        <v/>
      </c>
      <c r="K2657" s="4" t="str">
        <f aca="false">IF(AND(M2657=0,P2657=0),"▶ NEXT","")</f>
        <v/>
      </c>
      <c r="L2657" s="4" t="n">
        <f aca="false">INDEX('Master List'!$F$2:$F$2594,O2657)</f>
        <v>7</v>
      </c>
      <c r="M2657" s="4" t="n">
        <f aca="false">INDEX('Master List'!$G$2:$G$2594,O2657)</f>
        <v>0</v>
      </c>
      <c r="N2657" s="4" t="str">
        <f aca="false">IF(K2657="","",A2657)</f>
        <v/>
      </c>
      <c r="O2657" s="4" t="n">
        <v>238</v>
      </c>
      <c r="P2657" s="4" t="n">
        <f aca="false">IF(A2657=A2656,P2656+1-M2656,0)</f>
        <v>1</v>
      </c>
    </row>
    <row r="2658" customFormat="false" ht="15" hidden="false" customHeight="false" outlineLevel="0" collapsed="false">
      <c r="A2658" s="31" t="s">
        <v>4269</v>
      </c>
      <c r="B2658" s="31" t="s">
        <v>54</v>
      </c>
      <c r="C2658" s="31" t="s">
        <v>108</v>
      </c>
      <c r="D2658" s="31" t="s">
        <v>4270</v>
      </c>
      <c r="E2658" s="4" t="n">
        <v>3</v>
      </c>
      <c r="F2658" s="4" t="s">
        <v>213</v>
      </c>
      <c r="G2658" s="4" t="s">
        <v>723</v>
      </c>
      <c r="H2658" s="4" t="n">
        <v>1922</v>
      </c>
      <c r="I2658" s="4" t="s">
        <v>724</v>
      </c>
      <c r="J2658" s="25" t="str">
        <f aca="false">IF(M2658=1,"✓","")</f>
        <v/>
      </c>
      <c r="K2658" s="4" t="str">
        <f aca="false">IF(AND(M2658=0,P2658=0),"▶ NEXT","")</f>
        <v/>
      </c>
      <c r="L2658" s="4" t="n">
        <f aca="false">INDEX('Master List'!$F$2:$F$2594,O2658)</f>
        <v>2</v>
      </c>
      <c r="M2658" s="4" t="n">
        <f aca="false">INDEX('Master List'!$G$2:$G$2594,O2658)</f>
        <v>0</v>
      </c>
      <c r="N2658" s="4" t="str">
        <f aca="false">IF(K2658="","",A2658)</f>
        <v/>
      </c>
      <c r="O2658" s="4" t="n">
        <v>1584</v>
      </c>
      <c r="P2658" s="4" t="n">
        <f aca="false">IF(A2658=A2657,P2657+1-M2657,0)</f>
        <v>2</v>
      </c>
    </row>
    <row r="2659" customFormat="false" ht="15" hidden="false" customHeight="false" outlineLevel="0" collapsed="false">
      <c r="A2659" s="31" t="s">
        <v>4269</v>
      </c>
      <c r="B2659" s="31" t="s">
        <v>54</v>
      </c>
      <c r="C2659" s="31" t="s">
        <v>108</v>
      </c>
      <c r="D2659" s="31" t="s">
        <v>4270</v>
      </c>
      <c r="E2659" s="4" t="n">
        <v>4</v>
      </c>
      <c r="F2659" s="4" t="s">
        <v>213</v>
      </c>
      <c r="G2659" s="4" t="s">
        <v>142</v>
      </c>
      <c r="H2659" s="4" t="n">
        <v>1941</v>
      </c>
      <c r="I2659" s="4" t="s">
        <v>143</v>
      </c>
      <c r="J2659" s="25" t="str">
        <f aca="false">IF(M2659=1,"✓","")</f>
        <v/>
      </c>
      <c r="K2659" s="4" t="str">
        <f aca="false">IF(AND(M2659=0,P2659=0),"▶ NEXT","")</f>
        <v/>
      </c>
      <c r="L2659" s="4" t="n">
        <f aca="false">INDEX('Master List'!$F$2:$F$2594,O2659)</f>
        <v>13</v>
      </c>
      <c r="M2659" s="4" t="n">
        <f aca="false">INDEX('Master List'!$G$2:$G$2594,O2659)</f>
        <v>0</v>
      </c>
      <c r="N2659" s="4" t="str">
        <f aca="false">IF(K2659="","",A2659)</f>
        <v/>
      </c>
      <c r="O2659" s="4" t="n">
        <v>462</v>
      </c>
      <c r="P2659" s="4" t="n">
        <f aca="false">IF(A2659=A2658,P2658+1-M2658,0)</f>
        <v>3</v>
      </c>
    </row>
    <row r="2660" customFormat="false" ht="15" hidden="false" customHeight="false" outlineLevel="0" collapsed="false">
      <c r="A2660" s="31" t="s">
        <v>4269</v>
      </c>
      <c r="B2660" s="31" t="s">
        <v>54</v>
      </c>
      <c r="C2660" s="31" t="s">
        <v>108</v>
      </c>
      <c r="D2660" s="31" t="s">
        <v>4270</v>
      </c>
      <c r="E2660" s="4" t="n">
        <v>5</v>
      </c>
      <c r="F2660" s="4" t="s">
        <v>213</v>
      </c>
      <c r="G2660" s="4" t="s">
        <v>304</v>
      </c>
      <c r="H2660" s="4" t="n">
        <v>1946</v>
      </c>
      <c r="I2660" s="4" t="s">
        <v>305</v>
      </c>
      <c r="J2660" s="25" t="str">
        <f aca="false">IF(M2660=1,"✓","")</f>
        <v/>
      </c>
      <c r="K2660" s="4" t="str">
        <f aca="false">IF(AND(M2660=0,P2660=0),"▶ NEXT","")</f>
        <v/>
      </c>
      <c r="L2660" s="4" t="n">
        <f aca="false">INDEX('Master List'!$F$2:$F$2594,O2660)</f>
        <v>5</v>
      </c>
      <c r="M2660" s="4" t="n">
        <f aca="false">INDEX('Master List'!$G$2:$G$2594,O2660)</f>
        <v>0</v>
      </c>
      <c r="N2660" s="4" t="str">
        <f aca="false">IF(K2660="","",A2660)</f>
        <v/>
      </c>
      <c r="O2660" s="4" t="n">
        <v>231</v>
      </c>
      <c r="P2660" s="4" t="n">
        <f aca="false">IF(A2660=A2659,P2659+1-M2659,0)</f>
        <v>4</v>
      </c>
    </row>
    <row r="2661" customFormat="false" ht="15" hidden="false" customHeight="false" outlineLevel="0" collapsed="false">
      <c r="A2661" s="31" t="s">
        <v>4269</v>
      </c>
      <c r="B2661" s="31" t="s">
        <v>54</v>
      </c>
      <c r="C2661" s="31" t="s">
        <v>108</v>
      </c>
      <c r="D2661" s="31" t="s">
        <v>4270</v>
      </c>
      <c r="E2661" s="4" t="n">
        <v>6</v>
      </c>
      <c r="F2661" s="4" t="s">
        <v>213</v>
      </c>
      <c r="G2661" s="4" t="s">
        <v>928</v>
      </c>
      <c r="H2661" s="4" t="n">
        <v>1948</v>
      </c>
      <c r="I2661" s="4" t="s">
        <v>461</v>
      </c>
      <c r="J2661" s="25" t="str">
        <f aca="false">IF(M2661=1,"✓","")</f>
        <v/>
      </c>
      <c r="K2661" s="4" t="str">
        <f aca="false">IF(AND(M2661=0,P2661=0),"▶ NEXT","")</f>
        <v/>
      </c>
      <c r="L2661" s="4" t="n">
        <f aca="false">INDEX('Master List'!$F$2:$F$2594,O2661)</f>
        <v>2</v>
      </c>
      <c r="M2661" s="4" t="n">
        <f aca="false">INDEX('Master List'!$G$2:$G$2594,O2661)</f>
        <v>0</v>
      </c>
      <c r="N2661" s="4" t="str">
        <f aca="false">IF(K2661="","",A2661)</f>
        <v/>
      </c>
      <c r="O2661" s="4" t="n">
        <v>2256</v>
      </c>
      <c r="P2661" s="4" t="n">
        <f aca="false">IF(A2661=A2660,P2660+1-M2660,0)</f>
        <v>5</v>
      </c>
    </row>
    <row r="2662" customFormat="false" ht="15" hidden="false" customHeight="false" outlineLevel="0" collapsed="false">
      <c r="A2662" s="31" t="s">
        <v>4269</v>
      </c>
      <c r="B2662" s="31" t="s">
        <v>54</v>
      </c>
      <c r="C2662" s="31" t="s">
        <v>108</v>
      </c>
      <c r="D2662" s="31" t="s">
        <v>4270</v>
      </c>
      <c r="E2662" s="4" t="n">
        <v>7</v>
      </c>
      <c r="F2662" s="4" t="s">
        <v>213</v>
      </c>
      <c r="G2662" s="4" t="s">
        <v>226</v>
      </c>
      <c r="H2662" s="4" t="n">
        <v>1952</v>
      </c>
      <c r="I2662" s="4" t="s">
        <v>160</v>
      </c>
      <c r="J2662" s="25" t="str">
        <f aca="false">IF(M2662=1,"✓","")</f>
        <v/>
      </c>
      <c r="K2662" s="4" t="str">
        <f aca="false">IF(AND(M2662=0,P2662=0),"▶ NEXT","")</f>
        <v/>
      </c>
      <c r="L2662" s="4" t="n">
        <f aca="false">INDEX('Master List'!$F$2:$F$2594,O2662)</f>
        <v>6</v>
      </c>
      <c r="M2662" s="4" t="n">
        <f aca="false">INDEX('Master List'!$G$2:$G$2594,O2662)</f>
        <v>0</v>
      </c>
      <c r="N2662" s="4" t="str">
        <f aca="false">IF(K2662="","",A2662)</f>
        <v/>
      </c>
      <c r="O2662" s="4" t="n">
        <v>2395</v>
      </c>
      <c r="P2662" s="4" t="n">
        <f aca="false">IF(A2662=A2661,P2661+1-M2661,0)</f>
        <v>6</v>
      </c>
    </row>
    <row r="2663" customFormat="false" ht="15" hidden="false" customHeight="false" outlineLevel="0" collapsed="false">
      <c r="A2663" s="31" t="s">
        <v>4269</v>
      </c>
      <c r="B2663" s="31" t="s">
        <v>54</v>
      </c>
      <c r="C2663" s="31" t="s">
        <v>108</v>
      </c>
      <c r="D2663" s="31" t="s">
        <v>4270</v>
      </c>
      <c r="E2663" s="4" t="n">
        <v>8</v>
      </c>
      <c r="F2663" s="4" t="s">
        <v>213</v>
      </c>
      <c r="G2663" s="4" t="s">
        <v>214</v>
      </c>
      <c r="H2663" s="4" t="n">
        <v>1951</v>
      </c>
      <c r="I2663" s="4" t="s">
        <v>215</v>
      </c>
      <c r="J2663" s="25" t="str">
        <f aca="false">IF(M2663=1,"✓","")</f>
        <v/>
      </c>
      <c r="K2663" s="4" t="str">
        <f aca="false">IF(AND(M2663=0,P2663=0),"▶ NEXT","")</f>
        <v/>
      </c>
      <c r="L2663" s="4" t="n">
        <f aca="false">INDEX('Master List'!$F$2:$F$2594,O2663)</f>
        <v>6</v>
      </c>
      <c r="M2663" s="4" t="n">
        <f aca="false">INDEX('Master List'!$G$2:$G$2594,O2663)</f>
        <v>0</v>
      </c>
      <c r="N2663" s="4" t="str">
        <f aca="false">IF(K2663="","",A2663)</f>
        <v/>
      </c>
      <c r="O2663" s="4" t="n">
        <v>628</v>
      </c>
      <c r="P2663" s="4" t="n">
        <f aca="false">IF(A2663=A2662,P2662+1-M2662,0)</f>
        <v>7</v>
      </c>
    </row>
    <row r="2664" customFormat="false" ht="15" hidden="false" customHeight="false" outlineLevel="0" collapsed="false">
      <c r="A2664" s="31" t="s">
        <v>4269</v>
      </c>
      <c r="B2664" s="31" t="s">
        <v>54</v>
      </c>
      <c r="C2664" s="31" t="s">
        <v>108</v>
      </c>
      <c r="D2664" s="31" t="s">
        <v>4270</v>
      </c>
      <c r="E2664" s="4" t="n">
        <v>9</v>
      </c>
      <c r="F2664" s="4" t="s">
        <v>213</v>
      </c>
      <c r="G2664" s="4" t="s">
        <v>267</v>
      </c>
      <c r="H2664" s="4" t="n">
        <v>1954</v>
      </c>
      <c r="I2664" s="4" t="s">
        <v>268</v>
      </c>
      <c r="J2664" s="25" t="str">
        <f aca="false">IF(M2664=1,"✓","")</f>
        <v/>
      </c>
      <c r="K2664" s="4" t="str">
        <f aca="false">IF(AND(M2664=0,P2664=0),"▶ NEXT","")</f>
        <v/>
      </c>
      <c r="L2664" s="4" t="n">
        <f aca="false">INDEX('Master List'!$F$2:$F$2594,O2664)</f>
        <v>6</v>
      </c>
      <c r="M2664" s="4" t="n">
        <f aca="false">INDEX('Master List'!$G$2:$G$2594,O2664)</f>
        <v>0</v>
      </c>
      <c r="N2664" s="4" t="str">
        <f aca="false">IF(K2664="","",A2664)</f>
        <v/>
      </c>
      <c r="O2664" s="4" t="n">
        <v>1219</v>
      </c>
      <c r="P2664" s="4" t="n">
        <f aca="false">IF(A2664=A2663,P2663+1-M2663,0)</f>
        <v>8</v>
      </c>
    </row>
    <row r="2665" customFormat="false" ht="15" hidden="false" customHeight="false" outlineLevel="0" collapsed="false">
      <c r="A2665" s="31" t="s">
        <v>4269</v>
      </c>
      <c r="B2665" s="31" t="s">
        <v>54</v>
      </c>
      <c r="C2665" s="31" t="s">
        <v>108</v>
      </c>
      <c r="D2665" s="31" t="s">
        <v>4270</v>
      </c>
      <c r="E2665" s="4" t="n">
        <v>10</v>
      </c>
      <c r="F2665" s="4" t="s">
        <v>1327</v>
      </c>
      <c r="G2665" s="4" t="s">
        <v>448</v>
      </c>
      <c r="H2665" s="4" t="n">
        <v>1922</v>
      </c>
      <c r="I2665" s="4" t="s">
        <v>299</v>
      </c>
      <c r="J2665" s="25" t="str">
        <f aca="false">IF(M2665=1,"✓","")</f>
        <v/>
      </c>
      <c r="K2665" s="4" t="str">
        <f aca="false">IF(AND(M2665=0,P2665=0),"▶ NEXT","")</f>
        <v/>
      </c>
      <c r="L2665" s="4" t="n">
        <f aca="false">INDEX('Master List'!$F$2:$F$2594,O2665)</f>
        <v>3</v>
      </c>
      <c r="M2665" s="4" t="n">
        <f aca="false">INDEX('Master List'!$G$2:$G$2594,O2665)</f>
        <v>0</v>
      </c>
      <c r="N2665" s="4" t="str">
        <f aca="false">IF(K2665="","",A2665)</f>
        <v/>
      </c>
      <c r="O2665" s="4" t="n">
        <v>1632</v>
      </c>
      <c r="P2665" s="4" t="n">
        <f aca="false">IF(A2665=A2664,P2664+1-M2664,0)</f>
        <v>9</v>
      </c>
    </row>
    <row r="2666" customFormat="false" ht="15" hidden="false" customHeight="false" outlineLevel="0" collapsed="false">
      <c r="A2666" s="31" t="s">
        <v>4271</v>
      </c>
      <c r="B2666" s="31" t="s">
        <v>54</v>
      </c>
      <c r="C2666" s="31" t="s">
        <v>108</v>
      </c>
      <c r="D2666" s="31" t="s">
        <v>4272</v>
      </c>
      <c r="E2666" s="4" t="n">
        <v>1</v>
      </c>
      <c r="F2666" s="4" t="s">
        <v>144</v>
      </c>
      <c r="G2666" s="7" t="s">
        <v>231</v>
      </c>
      <c r="H2666" s="4" t="n">
        <v>1925</v>
      </c>
      <c r="I2666" s="4" t="s">
        <v>232</v>
      </c>
      <c r="J2666" s="25" t="str">
        <f aca="false">IF(M2666=1,"✓","")</f>
        <v/>
      </c>
      <c r="K2666" s="4" t="str">
        <f aca="false">IF(AND(M2666=0,P2666=0),"▶ NEXT","")</f>
        <v>▶ NEXT</v>
      </c>
      <c r="L2666" s="4" t="n">
        <f aca="false">INDEX('Master List'!$F$2:$F$2594,O2666)</f>
        <v>5</v>
      </c>
      <c r="M2666" s="4" t="n">
        <f aca="false">INDEX('Master List'!$G$2:$G$2594,O2666)</f>
        <v>0</v>
      </c>
      <c r="N2666" s="4" t="str">
        <f aca="false">IF(K2666="","",A2666)</f>
        <v>N224</v>
      </c>
      <c r="O2666" s="4" t="n">
        <v>199</v>
      </c>
      <c r="P2666" s="4" t="n">
        <f aca="false">IF(A2666=A2665,P2665+1-M2665,0)</f>
        <v>0</v>
      </c>
    </row>
    <row r="2667" customFormat="false" ht="15" hidden="false" customHeight="false" outlineLevel="0" collapsed="false">
      <c r="A2667" s="31" t="s">
        <v>4271</v>
      </c>
      <c r="B2667" s="31" t="s">
        <v>54</v>
      </c>
      <c r="C2667" s="31" t="s">
        <v>108</v>
      </c>
      <c r="D2667" s="31" t="s">
        <v>4272</v>
      </c>
      <c r="E2667" s="4" t="n">
        <v>2</v>
      </c>
      <c r="F2667" s="4" t="s">
        <v>144</v>
      </c>
      <c r="G2667" s="7" t="s">
        <v>180</v>
      </c>
      <c r="H2667" s="4" t="n">
        <v>1929</v>
      </c>
      <c r="I2667" s="4" t="s">
        <v>181</v>
      </c>
      <c r="J2667" s="25" t="str">
        <f aca="false">IF(M2667=1,"✓","")</f>
        <v/>
      </c>
      <c r="K2667" s="4" t="str">
        <f aca="false">IF(AND(M2667=0,P2667=0),"▶ NEXT","")</f>
        <v/>
      </c>
      <c r="L2667" s="4" t="n">
        <f aca="false">INDEX('Master List'!$F$2:$F$2594,O2667)</f>
        <v>7</v>
      </c>
      <c r="M2667" s="4" t="n">
        <f aca="false">INDEX('Master List'!$G$2:$G$2594,O2667)</f>
        <v>0</v>
      </c>
      <c r="N2667" s="4" t="str">
        <f aca="false">IF(K2667="","",A2667)</f>
        <v/>
      </c>
      <c r="O2667" s="4" t="n">
        <v>1434</v>
      </c>
      <c r="P2667" s="4" t="n">
        <f aca="false">IF(A2667=A2666,P2666+1-M2666,0)</f>
        <v>1</v>
      </c>
    </row>
    <row r="2668" customFormat="false" ht="15" hidden="false" customHeight="false" outlineLevel="0" collapsed="false">
      <c r="A2668" s="31" t="s">
        <v>4271</v>
      </c>
      <c r="B2668" s="31" t="s">
        <v>54</v>
      </c>
      <c r="C2668" s="31" t="s">
        <v>108</v>
      </c>
      <c r="D2668" s="31" t="s">
        <v>4272</v>
      </c>
      <c r="E2668" s="4" t="n">
        <v>3</v>
      </c>
      <c r="F2668" s="4" t="s">
        <v>213</v>
      </c>
      <c r="G2668" s="4" t="s">
        <v>900</v>
      </c>
      <c r="H2668" s="4" t="n">
        <v>1925</v>
      </c>
      <c r="I2668" s="4" t="s">
        <v>232</v>
      </c>
      <c r="J2668" s="25" t="str">
        <f aca="false">IF(M2668=1,"✓","")</f>
        <v/>
      </c>
      <c r="K2668" s="4" t="str">
        <f aca="false">IF(AND(M2668=0,P2668=0),"▶ NEXT","")</f>
        <v/>
      </c>
      <c r="L2668" s="4" t="n">
        <f aca="false">INDEX('Master List'!$F$2:$F$2594,O2668)</f>
        <v>2</v>
      </c>
      <c r="M2668" s="4" t="n">
        <f aca="false">INDEX('Master List'!$G$2:$G$2594,O2668)</f>
        <v>0</v>
      </c>
      <c r="N2668" s="4" t="str">
        <f aca="false">IF(K2668="","",A2668)</f>
        <v/>
      </c>
      <c r="O2668" s="4" t="n">
        <v>2185</v>
      </c>
      <c r="P2668" s="4" t="n">
        <f aca="false">IF(A2668=A2667,P2667+1-M2667,0)</f>
        <v>2</v>
      </c>
    </row>
    <row r="2669" customFormat="false" ht="15" hidden="false" customHeight="false" outlineLevel="0" collapsed="false">
      <c r="A2669" s="31" t="s">
        <v>4271</v>
      </c>
      <c r="B2669" s="31" t="s">
        <v>54</v>
      </c>
      <c r="C2669" s="31" t="s">
        <v>108</v>
      </c>
      <c r="D2669" s="31" t="s">
        <v>4272</v>
      </c>
      <c r="E2669" s="4" t="n">
        <v>4</v>
      </c>
      <c r="F2669" s="4" t="s">
        <v>213</v>
      </c>
      <c r="G2669" s="4" t="s">
        <v>903</v>
      </c>
      <c r="H2669" s="4" t="n">
        <v>1928</v>
      </c>
      <c r="I2669" s="4" t="s">
        <v>904</v>
      </c>
      <c r="J2669" s="25" t="str">
        <f aca="false">IF(M2669=1,"✓","")</f>
        <v/>
      </c>
      <c r="K2669" s="4" t="str">
        <f aca="false">IF(AND(M2669=0,P2669=0),"▶ NEXT","")</f>
        <v/>
      </c>
      <c r="L2669" s="4" t="n">
        <f aca="false">INDEX('Master List'!$F$2:$F$2594,O2669)</f>
        <v>2</v>
      </c>
      <c r="M2669" s="4" t="n">
        <f aca="false">INDEX('Master List'!$G$2:$G$2594,O2669)</f>
        <v>0</v>
      </c>
      <c r="N2669" s="4" t="str">
        <f aca="false">IF(K2669="","",A2669)</f>
        <v/>
      </c>
      <c r="O2669" s="4" t="n">
        <v>1648</v>
      </c>
      <c r="P2669" s="4" t="n">
        <f aca="false">IF(A2669=A2668,P2668+1-M2668,0)</f>
        <v>3</v>
      </c>
    </row>
    <row r="2670" customFormat="false" ht="15" hidden="false" customHeight="false" outlineLevel="0" collapsed="false">
      <c r="A2670" s="31" t="s">
        <v>4271</v>
      </c>
      <c r="B2670" s="31" t="s">
        <v>54</v>
      </c>
      <c r="C2670" s="31" t="s">
        <v>108</v>
      </c>
      <c r="D2670" s="31" t="s">
        <v>4272</v>
      </c>
      <c r="E2670" s="4" t="n">
        <v>5</v>
      </c>
      <c r="F2670" s="4" t="s">
        <v>213</v>
      </c>
      <c r="G2670" s="4" t="s">
        <v>1780</v>
      </c>
      <c r="H2670" s="4" t="n">
        <v>1938</v>
      </c>
      <c r="I2670" s="4" t="s">
        <v>232</v>
      </c>
      <c r="J2670" s="25" t="str">
        <f aca="false">IF(M2670=1,"✓","")</f>
        <v/>
      </c>
      <c r="K2670" s="4" t="str">
        <f aca="false">IF(AND(M2670=0,P2670=0),"▶ NEXT","")</f>
        <v/>
      </c>
      <c r="L2670" s="4" t="n">
        <f aca="false">INDEX('Master List'!$F$2:$F$2594,O2670)</f>
        <v>1</v>
      </c>
      <c r="M2670" s="4" t="n">
        <f aca="false">INDEX('Master List'!$G$2:$G$2594,O2670)</f>
        <v>0</v>
      </c>
      <c r="N2670" s="4" t="str">
        <f aca="false">IF(K2670="","",A2670)</f>
        <v/>
      </c>
      <c r="O2670" s="4" t="n">
        <v>61</v>
      </c>
      <c r="P2670" s="4" t="n">
        <f aca="false">IF(A2670=A2669,P2669+1-M2669,0)</f>
        <v>4</v>
      </c>
    </row>
    <row r="2671" customFormat="false" ht="15" hidden="false" customHeight="false" outlineLevel="0" collapsed="false">
      <c r="A2671" s="31" t="s">
        <v>4271</v>
      </c>
      <c r="B2671" s="31" t="s">
        <v>54</v>
      </c>
      <c r="C2671" s="31" t="s">
        <v>108</v>
      </c>
      <c r="D2671" s="31" t="s">
        <v>4272</v>
      </c>
      <c r="E2671" s="4" t="n">
        <v>6</v>
      </c>
      <c r="F2671" s="4" t="s">
        <v>213</v>
      </c>
      <c r="G2671" s="4" t="s">
        <v>1821</v>
      </c>
      <c r="H2671" s="4" t="n">
        <v>1944</v>
      </c>
      <c r="I2671" s="4" t="s">
        <v>232</v>
      </c>
      <c r="J2671" s="25" t="str">
        <f aca="false">IF(M2671=1,"✓","")</f>
        <v>✓</v>
      </c>
      <c r="K2671" s="4" t="str">
        <f aca="false">IF(AND(M2671=0,P2671=0),"▶ NEXT","")</f>
        <v/>
      </c>
      <c r="L2671" s="4" t="n">
        <f aca="false">INDEX('Master List'!$F$2:$F$2594,O2671)</f>
        <v>1</v>
      </c>
      <c r="M2671" s="4" t="n">
        <f aca="false">INDEX('Master List'!$G$2:$G$2594,O2671)</f>
        <v>1</v>
      </c>
      <c r="N2671" s="4" t="str">
        <f aca="false">IF(K2671="","",A2671)</f>
        <v/>
      </c>
      <c r="O2671" s="4" t="n">
        <v>1186</v>
      </c>
      <c r="P2671" s="4" t="n">
        <f aca="false">IF(A2671=A2670,P2670+1-M2670,0)</f>
        <v>5</v>
      </c>
    </row>
    <row r="2672" customFormat="false" ht="15" hidden="false" customHeight="false" outlineLevel="0" collapsed="false">
      <c r="A2672" s="31" t="s">
        <v>4271</v>
      </c>
      <c r="B2672" s="31" t="s">
        <v>54</v>
      </c>
      <c r="C2672" s="31" t="s">
        <v>108</v>
      </c>
      <c r="D2672" s="31" t="s">
        <v>4272</v>
      </c>
      <c r="E2672" s="4" t="n">
        <v>7</v>
      </c>
      <c r="F2672" s="4" t="s">
        <v>213</v>
      </c>
      <c r="G2672" s="4" t="s">
        <v>1719</v>
      </c>
      <c r="H2672" s="4" t="n">
        <v>1931</v>
      </c>
      <c r="I2672" s="4" t="s">
        <v>181</v>
      </c>
      <c r="J2672" s="25" t="str">
        <f aca="false">IF(M2672=1,"✓","")</f>
        <v/>
      </c>
      <c r="K2672" s="4" t="str">
        <f aca="false">IF(AND(M2672=0,P2672=0),"▶ NEXT","")</f>
        <v/>
      </c>
      <c r="L2672" s="4" t="n">
        <f aca="false">INDEX('Master List'!$F$2:$F$2594,O2672)</f>
        <v>1</v>
      </c>
      <c r="M2672" s="4" t="n">
        <f aca="false">INDEX('Master List'!$G$2:$G$2594,O2672)</f>
        <v>0</v>
      </c>
      <c r="N2672" s="4" t="str">
        <f aca="false">IF(K2672="","",A2672)</f>
        <v/>
      </c>
      <c r="O2672" s="4" t="n">
        <v>736</v>
      </c>
      <c r="P2672" s="4" t="n">
        <f aca="false">IF(A2672=A2671,P2671+1-M2671,0)</f>
        <v>5</v>
      </c>
    </row>
    <row r="2673" customFormat="false" ht="15" hidden="false" customHeight="false" outlineLevel="0" collapsed="false">
      <c r="A2673" s="31" t="s">
        <v>4271</v>
      </c>
      <c r="B2673" s="31" t="s">
        <v>54</v>
      </c>
      <c r="C2673" s="31" t="s">
        <v>108</v>
      </c>
      <c r="D2673" s="31" t="s">
        <v>4272</v>
      </c>
      <c r="E2673" s="4" t="n">
        <v>8</v>
      </c>
      <c r="F2673" s="4" t="s">
        <v>1327</v>
      </c>
      <c r="G2673" s="4" t="s">
        <v>3319</v>
      </c>
      <c r="H2673" s="4" t="n">
        <v>1934</v>
      </c>
      <c r="I2673" s="4" t="s">
        <v>181</v>
      </c>
      <c r="J2673" s="25" t="str">
        <f aca="false">IF(M2673=1,"✓","")</f>
        <v/>
      </c>
      <c r="K2673" s="4" t="str">
        <f aca="false">IF(AND(M2673=0,P2673=0),"▶ NEXT","")</f>
        <v/>
      </c>
      <c r="L2673" s="4" t="n">
        <f aca="false">INDEX('Master List'!$F$2:$F$2594,O2673)</f>
        <v>1</v>
      </c>
      <c r="M2673" s="4" t="n">
        <f aca="false">INDEX('Master List'!$G$2:$G$2594,O2673)</f>
        <v>0</v>
      </c>
      <c r="N2673" s="4" t="str">
        <f aca="false">IF(K2673="","",A2673)</f>
        <v/>
      </c>
      <c r="O2673" s="4" t="n">
        <v>2296</v>
      </c>
      <c r="P2673" s="4" t="n">
        <f aca="false">IF(A2673=A2672,P2672+1-M2672,0)</f>
        <v>6</v>
      </c>
    </row>
    <row r="2674" customFormat="false" ht="15" hidden="false" customHeight="false" outlineLevel="0" collapsed="false">
      <c r="A2674" s="31" t="s">
        <v>4273</v>
      </c>
      <c r="B2674" s="31" t="s">
        <v>54</v>
      </c>
      <c r="C2674" s="31" t="s">
        <v>108</v>
      </c>
      <c r="D2674" s="31" t="s">
        <v>4274</v>
      </c>
      <c r="E2674" s="4" t="n">
        <v>1</v>
      </c>
      <c r="F2674" s="4" t="s">
        <v>144</v>
      </c>
      <c r="G2674" s="7" t="s">
        <v>267</v>
      </c>
      <c r="H2674" s="4" t="n">
        <v>1954</v>
      </c>
      <c r="I2674" s="4" t="s">
        <v>268</v>
      </c>
      <c r="J2674" s="25" t="str">
        <f aca="false">IF(M2674=1,"✓","")</f>
        <v/>
      </c>
      <c r="K2674" s="4" t="str">
        <f aca="false">IF(AND(M2674=0,P2674=0),"▶ NEXT","")</f>
        <v>▶ NEXT</v>
      </c>
      <c r="L2674" s="4" t="n">
        <f aca="false">INDEX('Master List'!$F$2:$F$2594,O2674)</f>
        <v>6</v>
      </c>
      <c r="M2674" s="4" t="n">
        <f aca="false">INDEX('Master List'!$G$2:$G$2594,O2674)</f>
        <v>0</v>
      </c>
      <c r="N2674" s="4" t="str">
        <f aca="false">IF(K2674="","",A2674)</f>
        <v>N225</v>
      </c>
      <c r="O2674" s="4" t="n">
        <v>1219</v>
      </c>
      <c r="P2674" s="4" t="n">
        <f aca="false">IF(A2674=A2673,P2673+1-M2673,0)</f>
        <v>0</v>
      </c>
    </row>
    <row r="2675" customFormat="false" ht="15" hidden="false" customHeight="false" outlineLevel="0" collapsed="false">
      <c r="A2675" s="31" t="s">
        <v>4273</v>
      </c>
      <c r="B2675" s="31" t="s">
        <v>54</v>
      </c>
      <c r="C2675" s="31" t="s">
        <v>108</v>
      </c>
      <c r="D2675" s="31" t="s">
        <v>4274</v>
      </c>
      <c r="E2675" s="4" t="n">
        <v>2</v>
      </c>
      <c r="F2675" s="4" t="s">
        <v>144</v>
      </c>
      <c r="G2675" s="7" t="s">
        <v>458</v>
      </c>
      <c r="H2675" s="4" t="n">
        <v>1961</v>
      </c>
      <c r="I2675" s="4" t="s">
        <v>272</v>
      </c>
      <c r="J2675" s="25" t="str">
        <f aca="false">IF(M2675=1,"✓","")</f>
        <v/>
      </c>
      <c r="K2675" s="4" t="str">
        <f aca="false">IF(AND(M2675=0,P2675=0),"▶ NEXT","")</f>
        <v/>
      </c>
      <c r="L2675" s="4" t="n">
        <f aca="false">INDEX('Master List'!$F$2:$F$2594,O2675)</f>
        <v>3</v>
      </c>
      <c r="M2675" s="4" t="n">
        <f aca="false">INDEX('Master List'!$G$2:$G$2594,O2675)</f>
        <v>0</v>
      </c>
      <c r="N2675" s="4" t="str">
        <f aca="false">IF(K2675="","",A2675)</f>
        <v/>
      </c>
      <c r="O2675" s="4" t="n">
        <v>1305</v>
      </c>
      <c r="P2675" s="4" t="n">
        <f aca="false">IF(A2675=A2674,P2674+1-M2674,0)</f>
        <v>1</v>
      </c>
    </row>
    <row r="2676" customFormat="false" ht="15" hidden="false" customHeight="false" outlineLevel="0" collapsed="false">
      <c r="A2676" s="31" t="s">
        <v>4273</v>
      </c>
      <c r="B2676" s="31" t="s">
        <v>54</v>
      </c>
      <c r="C2676" s="31" t="s">
        <v>108</v>
      </c>
      <c r="D2676" s="31" t="s">
        <v>4274</v>
      </c>
      <c r="E2676" s="4" t="n">
        <v>3</v>
      </c>
      <c r="F2676" s="4" t="s">
        <v>213</v>
      </c>
      <c r="G2676" s="4" t="s">
        <v>927</v>
      </c>
      <c r="H2676" s="4" t="n">
        <v>1948</v>
      </c>
      <c r="I2676" s="4" t="s">
        <v>268</v>
      </c>
      <c r="J2676" s="25" t="str">
        <f aca="false">IF(M2676=1,"✓","")</f>
        <v/>
      </c>
      <c r="K2676" s="4" t="str">
        <f aca="false">IF(AND(M2676=0,P2676=0),"▶ NEXT","")</f>
        <v/>
      </c>
      <c r="L2676" s="4" t="n">
        <f aca="false">INDEX('Master List'!$F$2:$F$2594,O2676)</f>
        <v>2</v>
      </c>
      <c r="M2676" s="4" t="n">
        <f aca="false">INDEX('Master List'!$G$2:$G$2594,O2676)</f>
        <v>0</v>
      </c>
      <c r="N2676" s="4" t="str">
        <f aca="false">IF(K2676="","",A2676)</f>
        <v/>
      </c>
      <c r="O2676" s="4" t="n">
        <v>886</v>
      </c>
      <c r="P2676" s="4" t="n">
        <f aca="false">IF(A2676=A2675,P2675+1-M2675,0)</f>
        <v>2</v>
      </c>
    </row>
    <row r="2677" customFormat="false" ht="15" hidden="false" customHeight="false" outlineLevel="0" collapsed="false">
      <c r="A2677" s="31" t="s">
        <v>4273</v>
      </c>
      <c r="B2677" s="31" t="s">
        <v>54</v>
      </c>
      <c r="C2677" s="31" t="s">
        <v>108</v>
      </c>
      <c r="D2677" s="31" t="s">
        <v>4274</v>
      </c>
      <c r="E2677" s="4" t="n">
        <v>4</v>
      </c>
      <c r="F2677" s="4" t="s">
        <v>213</v>
      </c>
      <c r="G2677" s="4" t="s">
        <v>226</v>
      </c>
      <c r="H2677" s="4" t="n">
        <v>1952</v>
      </c>
      <c r="I2677" s="4" t="s">
        <v>160</v>
      </c>
      <c r="J2677" s="25" t="str">
        <f aca="false">IF(M2677=1,"✓","")</f>
        <v/>
      </c>
      <c r="K2677" s="4" t="str">
        <f aca="false">IF(AND(M2677=0,P2677=0),"▶ NEXT","")</f>
        <v/>
      </c>
      <c r="L2677" s="4" t="n">
        <f aca="false">INDEX('Master List'!$F$2:$F$2594,O2677)</f>
        <v>6</v>
      </c>
      <c r="M2677" s="4" t="n">
        <f aca="false">INDEX('Master List'!$G$2:$G$2594,O2677)</f>
        <v>0</v>
      </c>
      <c r="N2677" s="4" t="str">
        <f aca="false">IF(K2677="","",A2677)</f>
        <v/>
      </c>
      <c r="O2677" s="4" t="n">
        <v>2395</v>
      </c>
      <c r="P2677" s="4" t="n">
        <f aca="false">IF(A2677=A2676,P2676+1-M2676,0)</f>
        <v>3</v>
      </c>
    </row>
    <row r="2678" customFormat="false" ht="15" hidden="false" customHeight="false" outlineLevel="0" collapsed="false">
      <c r="A2678" s="31" t="s">
        <v>4273</v>
      </c>
      <c r="B2678" s="31" t="s">
        <v>54</v>
      </c>
      <c r="C2678" s="31" t="s">
        <v>108</v>
      </c>
      <c r="D2678" s="31" t="s">
        <v>4274</v>
      </c>
      <c r="E2678" s="4" t="n">
        <v>5</v>
      </c>
      <c r="F2678" s="4" t="s">
        <v>213</v>
      </c>
      <c r="G2678" s="4" t="s">
        <v>350</v>
      </c>
      <c r="H2678" s="4" t="n">
        <v>1949</v>
      </c>
      <c r="I2678" s="4" t="s">
        <v>146</v>
      </c>
      <c r="J2678" s="25" t="str">
        <f aca="false">IF(M2678=1,"✓","")</f>
        <v/>
      </c>
      <c r="K2678" s="4" t="str">
        <f aca="false">IF(AND(M2678=0,P2678=0),"▶ NEXT","")</f>
        <v/>
      </c>
      <c r="L2678" s="4" t="n">
        <f aca="false">INDEX('Master List'!$F$2:$F$2594,O2678)</f>
        <v>4</v>
      </c>
      <c r="M2678" s="4" t="n">
        <f aca="false">INDEX('Master List'!$G$2:$G$2594,O2678)</f>
        <v>0</v>
      </c>
      <c r="N2678" s="4" t="str">
        <f aca="false">IF(K2678="","",A2678)</f>
        <v/>
      </c>
      <c r="O2678" s="4" t="n">
        <v>1308</v>
      </c>
      <c r="P2678" s="4" t="n">
        <f aca="false">IF(A2678=A2677,P2677+1-M2677,0)</f>
        <v>4</v>
      </c>
    </row>
    <row r="2679" customFormat="false" ht="15" hidden="false" customHeight="false" outlineLevel="0" collapsed="false">
      <c r="A2679" s="31" t="s">
        <v>4273</v>
      </c>
      <c r="B2679" s="31" t="s">
        <v>54</v>
      </c>
      <c r="C2679" s="31" t="s">
        <v>108</v>
      </c>
      <c r="D2679" s="31" t="s">
        <v>4274</v>
      </c>
      <c r="E2679" s="4" t="n">
        <v>6</v>
      </c>
      <c r="F2679" s="4" t="s">
        <v>213</v>
      </c>
      <c r="G2679" s="4" t="s">
        <v>271</v>
      </c>
      <c r="H2679" s="4" t="n">
        <v>1959</v>
      </c>
      <c r="I2679" s="4" t="s">
        <v>272</v>
      </c>
      <c r="J2679" s="25" t="str">
        <f aca="false">IF(M2679=1,"✓","")</f>
        <v/>
      </c>
      <c r="K2679" s="4" t="str">
        <f aca="false">IF(AND(M2679=0,P2679=0),"▶ NEXT","")</f>
        <v/>
      </c>
      <c r="L2679" s="4" t="n">
        <f aca="false">INDEX('Master List'!$F$2:$F$2594,O2679)</f>
        <v>6</v>
      </c>
      <c r="M2679" s="4" t="n">
        <f aca="false">INDEX('Master List'!$G$2:$G$2594,O2679)</f>
        <v>0</v>
      </c>
      <c r="N2679" s="4" t="str">
        <f aca="false">IF(K2679="","",A2679)</f>
        <v/>
      </c>
      <c r="O2679" s="4" t="n">
        <v>1040</v>
      </c>
      <c r="P2679" s="4" t="n">
        <f aca="false">IF(A2679=A2678,P2678+1-M2678,0)</f>
        <v>5</v>
      </c>
    </row>
    <row r="2680" customFormat="false" ht="15" hidden="false" customHeight="false" outlineLevel="0" collapsed="false">
      <c r="A2680" s="31" t="s">
        <v>4273</v>
      </c>
      <c r="B2680" s="31" t="s">
        <v>54</v>
      </c>
      <c r="C2680" s="31" t="s">
        <v>108</v>
      </c>
      <c r="D2680" s="31" t="s">
        <v>4274</v>
      </c>
      <c r="E2680" s="4" t="n">
        <v>7</v>
      </c>
      <c r="F2680" s="4" t="s">
        <v>213</v>
      </c>
      <c r="G2680" s="4" t="s">
        <v>216</v>
      </c>
      <c r="H2680" s="4" t="n">
        <v>1960</v>
      </c>
      <c r="I2680" s="4" t="s">
        <v>217</v>
      </c>
      <c r="J2680" s="25" t="str">
        <f aca="false">IF(M2680=1,"✓","")</f>
        <v/>
      </c>
      <c r="K2680" s="4" t="str">
        <f aca="false">IF(AND(M2680=0,P2680=0),"▶ NEXT","")</f>
        <v/>
      </c>
      <c r="L2680" s="4" t="n">
        <f aca="false">INDEX('Master List'!$F$2:$F$2594,O2680)</f>
        <v>6</v>
      </c>
      <c r="M2680" s="4" t="n">
        <f aca="false">INDEX('Master List'!$G$2:$G$2594,O2680)</f>
        <v>0</v>
      </c>
      <c r="N2680" s="4" t="str">
        <f aca="false">IF(K2680="","",A2680)</f>
        <v/>
      </c>
      <c r="O2680" s="4" t="n">
        <v>154</v>
      </c>
      <c r="P2680" s="4" t="n">
        <f aca="false">IF(A2680=A2679,P2679+1-M2679,0)</f>
        <v>6</v>
      </c>
    </row>
    <row r="2681" customFormat="false" ht="15" hidden="false" customHeight="false" outlineLevel="0" collapsed="false">
      <c r="A2681" s="31" t="s">
        <v>4273</v>
      </c>
      <c r="B2681" s="31" t="s">
        <v>54</v>
      </c>
      <c r="C2681" s="31" t="s">
        <v>108</v>
      </c>
      <c r="D2681" s="31" t="s">
        <v>4274</v>
      </c>
      <c r="E2681" s="4" t="n">
        <v>8</v>
      </c>
      <c r="F2681" s="4" t="s">
        <v>213</v>
      </c>
      <c r="G2681" s="4" t="s">
        <v>178</v>
      </c>
      <c r="H2681" s="4" t="n">
        <v>1963</v>
      </c>
      <c r="I2681" s="4" t="s">
        <v>179</v>
      </c>
      <c r="J2681" s="25" t="str">
        <f aca="false">IF(M2681=1,"✓","")</f>
        <v/>
      </c>
      <c r="K2681" s="4" t="str">
        <f aca="false">IF(AND(M2681=0,P2681=0),"▶ NEXT","")</f>
        <v/>
      </c>
      <c r="L2681" s="4" t="n">
        <f aca="false">INDEX('Master List'!$F$2:$F$2594,O2681)</f>
        <v>7</v>
      </c>
      <c r="M2681" s="4" t="n">
        <f aca="false">INDEX('Master List'!$G$2:$G$2594,O2681)</f>
        <v>0</v>
      </c>
      <c r="N2681" s="4" t="str">
        <f aca="false">IF(K2681="","",A2681)</f>
        <v/>
      </c>
      <c r="O2681" s="4" t="n">
        <v>32</v>
      </c>
      <c r="P2681" s="4" t="n">
        <f aca="false">IF(A2681=A2680,P2680+1-M2680,0)</f>
        <v>7</v>
      </c>
    </row>
    <row r="2682" customFormat="false" ht="15" hidden="false" customHeight="false" outlineLevel="0" collapsed="false">
      <c r="A2682" s="31" t="s">
        <v>4273</v>
      </c>
      <c r="B2682" s="31" t="s">
        <v>54</v>
      </c>
      <c r="C2682" s="31" t="s">
        <v>108</v>
      </c>
      <c r="D2682" s="31" t="s">
        <v>4274</v>
      </c>
      <c r="E2682" s="4" t="n">
        <v>9</v>
      </c>
      <c r="F2682" s="4" t="s">
        <v>213</v>
      </c>
      <c r="G2682" s="4" t="s">
        <v>229</v>
      </c>
      <c r="H2682" s="4" t="n">
        <v>1975</v>
      </c>
      <c r="I2682" s="4" t="s">
        <v>210</v>
      </c>
      <c r="J2682" s="25" t="str">
        <f aca="false">IF(M2682=1,"✓","")</f>
        <v/>
      </c>
      <c r="K2682" s="4" t="str">
        <f aca="false">IF(AND(M2682=0,P2682=0),"▶ NEXT","")</f>
        <v/>
      </c>
      <c r="L2682" s="4" t="n">
        <f aca="false">INDEX('Master List'!$F$2:$F$2594,O2682)</f>
        <v>6</v>
      </c>
      <c r="M2682" s="4" t="n">
        <f aca="false">INDEX('Master List'!$G$2:$G$2594,O2682)</f>
        <v>0</v>
      </c>
      <c r="N2682" s="4" t="str">
        <f aca="false">IF(K2682="","",A2682)</f>
        <v/>
      </c>
      <c r="O2682" s="4" t="n">
        <v>1512</v>
      </c>
      <c r="P2682" s="4" t="n">
        <f aca="false">IF(A2682=A2681,P2681+1-M2681,0)</f>
        <v>8</v>
      </c>
    </row>
    <row r="2683" customFormat="false" ht="15" hidden="false" customHeight="false" outlineLevel="0" collapsed="false">
      <c r="A2683" s="31" t="s">
        <v>4273</v>
      </c>
      <c r="B2683" s="31" t="s">
        <v>54</v>
      </c>
      <c r="C2683" s="31" t="s">
        <v>108</v>
      </c>
      <c r="D2683" s="31" t="s">
        <v>4274</v>
      </c>
      <c r="E2683" s="4" t="n">
        <v>10</v>
      </c>
      <c r="F2683" s="4" t="s">
        <v>1327</v>
      </c>
      <c r="G2683" s="4" t="s">
        <v>3365</v>
      </c>
      <c r="H2683" s="4" t="n">
        <v>1952</v>
      </c>
      <c r="I2683" s="4" t="s">
        <v>268</v>
      </c>
      <c r="J2683" s="25" t="str">
        <f aca="false">IF(M2683=1,"✓","")</f>
        <v/>
      </c>
      <c r="K2683" s="4" t="str">
        <f aca="false">IF(AND(M2683=0,P2683=0),"▶ NEXT","")</f>
        <v/>
      </c>
      <c r="L2683" s="4" t="n">
        <f aca="false">INDEX('Master List'!$F$2:$F$2594,O2683)</f>
        <v>1</v>
      </c>
      <c r="M2683" s="4" t="n">
        <f aca="false">INDEX('Master List'!$G$2:$G$2594,O2683)</f>
        <v>0</v>
      </c>
      <c r="N2683" s="4" t="str">
        <f aca="false">IF(K2683="","",A2683)</f>
        <v/>
      </c>
      <c r="O2683" s="4" t="n">
        <v>748</v>
      </c>
      <c r="P2683" s="4" t="n">
        <f aca="false">IF(A2683=A2682,P2682+1-M2682,0)</f>
        <v>9</v>
      </c>
    </row>
    <row r="2684" customFormat="false" ht="15" hidden="false" customHeight="false" outlineLevel="0" collapsed="false">
      <c r="A2684" s="31" t="s">
        <v>4273</v>
      </c>
      <c r="B2684" s="31" t="s">
        <v>54</v>
      </c>
      <c r="C2684" s="31" t="s">
        <v>108</v>
      </c>
      <c r="D2684" s="31" t="s">
        <v>4274</v>
      </c>
      <c r="E2684" s="4" t="n">
        <v>11</v>
      </c>
      <c r="F2684" s="4" t="s">
        <v>1327</v>
      </c>
      <c r="G2684" s="4" t="s">
        <v>1645</v>
      </c>
      <c r="H2684" s="4" t="n">
        <v>1950</v>
      </c>
      <c r="I2684" s="4" t="s">
        <v>268</v>
      </c>
      <c r="J2684" s="25" t="str">
        <f aca="false">IF(M2684=1,"✓","")</f>
        <v/>
      </c>
      <c r="K2684" s="4" t="str">
        <f aca="false">IF(AND(M2684=0,P2684=0),"▶ NEXT","")</f>
        <v/>
      </c>
      <c r="L2684" s="4" t="n">
        <f aca="false">INDEX('Master List'!$F$2:$F$2594,O2684)</f>
        <v>2</v>
      </c>
      <c r="M2684" s="4" t="n">
        <f aca="false">INDEX('Master List'!$G$2:$G$2594,O2684)</f>
        <v>0</v>
      </c>
      <c r="N2684" s="4" t="str">
        <f aca="false">IF(K2684="","",A2684)</f>
        <v/>
      </c>
      <c r="O2684" s="4" t="n">
        <v>2187</v>
      </c>
      <c r="P2684" s="4" t="n">
        <f aca="false">IF(A2684=A2683,P2683+1-M2683,0)</f>
        <v>10</v>
      </c>
    </row>
    <row r="2685" customFormat="false" ht="15" hidden="false" customHeight="false" outlineLevel="0" collapsed="false">
      <c r="A2685" s="31" t="s">
        <v>4275</v>
      </c>
      <c r="B2685" s="31" t="s">
        <v>54</v>
      </c>
      <c r="C2685" s="31" t="s">
        <v>108</v>
      </c>
      <c r="D2685" s="31" t="s">
        <v>4276</v>
      </c>
      <c r="E2685" s="4" t="n">
        <v>1</v>
      </c>
      <c r="F2685" s="4" t="s">
        <v>144</v>
      </c>
      <c r="G2685" s="7" t="s">
        <v>145</v>
      </c>
      <c r="H2685" s="4" t="n">
        <v>1953</v>
      </c>
      <c r="I2685" s="4" t="s">
        <v>146</v>
      </c>
      <c r="J2685" s="25" t="str">
        <f aca="false">IF(M2685=1,"✓","")</f>
        <v/>
      </c>
      <c r="K2685" s="4" t="str">
        <f aca="false">IF(AND(M2685=0,P2685=0),"▶ NEXT","")</f>
        <v>▶ NEXT</v>
      </c>
      <c r="L2685" s="4" t="n">
        <f aca="false">INDEX('Master List'!$F$2:$F$2594,O2685)</f>
        <v>10</v>
      </c>
      <c r="M2685" s="4" t="n">
        <f aca="false">INDEX('Master List'!$G$2:$G$2594,O2685)</f>
        <v>0</v>
      </c>
      <c r="N2685" s="4" t="str">
        <f aca="false">IF(K2685="","",A2685)</f>
        <v>N226</v>
      </c>
      <c r="O2685" s="4" t="n">
        <v>2328</v>
      </c>
      <c r="P2685" s="4" t="n">
        <f aca="false">IF(A2685=A2684,P2684+1-M2684,0)</f>
        <v>0</v>
      </c>
    </row>
    <row r="2686" customFormat="false" ht="15" hidden="false" customHeight="false" outlineLevel="0" collapsed="false">
      <c r="A2686" s="31" t="s">
        <v>4275</v>
      </c>
      <c r="B2686" s="31" t="s">
        <v>54</v>
      </c>
      <c r="C2686" s="31" t="s">
        <v>108</v>
      </c>
      <c r="D2686" s="31" t="s">
        <v>4276</v>
      </c>
      <c r="E2686" s="4" t="n">
        <v>2</v>
      </c>
      <c r="F2686" s="4" t="s">
        <v>144</v>
      </c>
      <c r="G2686" s="7" t="s">
        <v>457</v>
      </c>
      <c r="H2686" s="4" t="n">
        <v>1959</v>
      </c>
      <c r="I2686" s="4" t="s">
        <v>215</v>
      </c>
      <c r="J2686" s="25" t="str">
        <f aca="false">IF(M2686=1,"✓","")</f>
        <v>✓</v>
      </c>
      <c r="K2686" s="4" t="str">
        <f aca="false">IF(AND(M2686=0,P2686=0),"▶ NEXT","")</f>
        <v/>
      </c>
      <c r="L2686" s="4" t="n">
        <f aca="false">INDEX('Master List'!$F$2:$F$2594,O2686)</f>
        <v>3</v>
      </c>
      <c r="M2686" s="4" t="n">
        <f aca="false">INDEX('Master List'!$G$2:$G$2594,O2686)</f>
        <v>1</v>
      </c>
      <c r="N2686" s="4" t="str">
        <f aca="false">IF(K2686="","",A2686)</f>
        <v/>
      </c>
      <c r="O2686" s="4" t="n">
        <v>1762</v>
      </c>
      <c r="P2686" s="4" t="n">
        <f aca="false">IF(A2686=A2685,P2685+1-M2685,0)</f>
        <v>1</v>
      </c>
    </row>
    <row r="2687" customFormat="false" ht="15" hidden="false" customHeight="false" outlineLevel="0" collapsed="false">
      <c r="A2687" s="31" t="s">
        <v>4275</v>
      </c>
      <c r="B2687" s="31" t="s">
        <v>54</v>
      </c>
      <c r="C2687" s="31" t="s">
        <v>108</v>
      </c>
      <c r="D2687" s="31" t="s">
        <v>4276</v>
      </c>
      <c r="E2687" s="4" t="n">
        <v>3</v>
      </c>
      <c r="F2687" s="4" t="s">
        <v>213</v>
      </c>
      <c r="G2687" s="4" t="s">
        <v>385</v>
      </c>
      <c r="H2687" s="4" t="n">
        <v>1955</v>
      </c>
      <c r="I2687" s="4" t="s">
        <v>246</v>
      </c>
      <c r="J2687" s="25" t="str">
        <f aca="false">IF(M2687=1,"✓","")</f>
        <v/>
      </c>
      <c r="K2687" s="4" t="str">
        <f aca="false">IF(AND(M2687=0,P2687=0),"▶ NEXT","")</f>
        <v/>
      </c>
      <c r="L2687" s="4" t="n">
        <f aca="false">INDEX('Master List'!$F$2:$F$2594,O2687)</f>
        <v>4</v>
      </c>
      <c r="M2687" s="4" t="n">
        <f aca="false">INDEX('Master List'!$G$2:$G$2594,O2687)</f>
        <v>0</v>
      </c>
      <c r="N2687" s="4" t="str">
        <f aca="false">IF(K2687="","",A2687)</f>
        <v/>
      </c>
      <c r="O2687" s="4" t="n">
        <v>1690</v>
      </c>
      <c r="P2687" s="4" t="n">
        <f aca="false">IF(A2687=A2686,P2686+1-M2686,0)</f>
        <v>1</v>
      </c>
    </row>
    <row r="2688" customFormat="false" ht="15" hidden="false" customHeight="false" outlineLevel="0" collapsed="false">
      <c r="A2688" s="31" t="s">
        <v>4275</v>
      </c>
      <c r="B2688" s="31" t="s">
        <v>54</v>
      </c>
      <c r="C2688" s="31" t="s">
        <v>108</v>
      </c>
      <c r="D2688" s="31" t="s">
        <v>4276</v>
      </c>
      <c r="E2688" s="4" t="n">
        <v>4</v>
      </c>
      <c r="F2688" s="4" t="s">
        <v>213</v>
      </c>
      <c r="G2688" s="4" t="s">
        <v>214</v>
      </c>
      <c r="H2688" s="4" t="n">
        <v>1951</v>
      </c>
      <c r="I2688" s="4" t="s">
        <v>215</v>
      </c>
      <c r="J2688" s="25" t="str">
        <f aca="false">IF(M2688=1,"✓","")</f>
        <v/>
      </c>
      <c r="K2688" s="4" t="str">
        <f aca="false">IF(AND(M2688=0,P2688=0),"▶ NEXT","")</f>
        <v/>
      </c>
      <c r="L2688" s="4" t="n">
        <f aca="false">INDEX('Master List'!$F$2:$F$2594,O2688)</f>
        <v>6</v>
      </c>
      <c r="M2688" s="4" t="n">
        <f aca="false">INDEX('Master List'!$G$2:$G$2594,O2688)</f>
        <v>0</v>
      </c>
      <c r="N2688" s="4" t="str">
        <f aca="false">IF(K2688="","",A2688)</f>
        <v/>
      </c>
      <c r="O2688" s="4" t="n">
        <v>628</v>
      </c>
      <c r="P2688" s="4" t="n">
        <f aca="false">IF(A2688=A2687,P2687+1-M2687,0)</f>
        <v>2</v>
      </c>
    </row>
    <row r="2689" customFormat="false" ht="15" hidden="false" customHeight="false" outlineLevel="0" collapsed="false">
      <c r="A2689" s="31" t="s">
        <v>4275</v>
      </c>
      <c r="B2689" s="31" t="s">
        <v>54</v>
      </c>
      <c r="C2689" s="31" t="s">
        <v>108</v>
      </c>
      <c r="D2689" s="31" t="s">
        <v>4276</v>
      </c>
      <c r="E2689" s="4" t="n">
        <v>5</v>
      </c>
      <c r="F2689" s="4" t="s">
        <v>213</v>
      </c>
      <c r="G2689" s="4" t="s">
        <v>336</v>
      </c>
      <c r="H2689" s="4" t="n">
        <v>1966</v>
      </c>
      <c r="I2689" s="4" t="s">
        <v>215</v>
      </c>
      <c r="J2689" s="25" t="str">
        <f aca="false">IF(M2689=1,"✓","")</f>
        <v/>
      </c>
      <c r="K2689" s="4" t="str">
        <f aca="false">IF(AND(M2689=0,P2689=0),"▶ NEXT","")</f>
        <v/>
      </c>
      <c r="L2689" s="4" t="n">
        <f aca="false">INDEX('Master List'!$F$2:$F$2594,O2689)</f>
        <v>5</v>
      </c>
      <c r="M2689" s="4" t="n">
        <f aca="false">INDEX('Master List'!$G$2:$G$2594,O2689)</f>
        <v>0</v>
      </c>
      <c r="N2689" s="4" t="str">
        <f aca="false">IF(K2689="","",A2689)</f>
        <v/>
      </c>
      <c r="O2689" s="4" t="n">
        <v>149</v>
      </c>
      <c r="P2689" s="4" t="n">
        <f aca="false">IF(A2689=A2688,P2688+1-M2688,0)</f>
        <v>3</v>
      </c>
    </row>
    <row r="2690" customFormat="false" ht="15" hidden="false" customHeight="false" outlineLevel="0" collapsed="false">
      <c r="A2690" s="31" t="s">
        <v>4275</v>
      </c>
      <c r="B2690" s="31" t="s">
        <v>54</v>
      </c>
      <c r="C2690" s="31" t="s">
        <v>108</v>
      </c>
      <c r="D2690" s="31" t="s">
        <v>4276</v>
      </c>
      <c r="E2690" s="4" t="n">
        <v>6</v>
      </c>
      <c r="F2690" s="4" t="s">
        <v>213</v>
      </c>
      <c r="G2690" s="4" t="s">
        <v>184</v>
      </c>
      <c r="H2690" s="4" t="n">
        <v>1975</v>
      </c>
      <c r="I2690" s="4" t="s">
        <v>185</v>
      </c>
      <c r="J2690" s="25" t="str">
        <f aca="false">IF(M2690=1,"✓","")</f>
        <v/>
      </c>
      <c r="K2690" s="4" t="str">
        <f aca="false">IF(AND(M2690=0,P2690=0),"▶ NEXT","")</f>
        <v/>
      </c>
      <c r="L2690" s="4" t="n">
        <f aca="false">INDEX('Master List'!$F$2:$F$2594,O2690)</f>
        <v>8</v>
      </c>
      <c r="M2690" s="4" t="n">
        <f aca="false">INDEX('Master List'!$G$2:$G$2594,O2690)</f>
        <v>0</v>
      </c>
      <c r="N2690" s="4" t="str">
        <f aca="false">IF(K2690="","",A2690)</f>
        <v/>
      </c>
      <c r="O2690" s="4" t="n">
        <v>1201</v>
      </c>
      <c r="P2690" s="4" t="n">
        <f aca="false">IF(A2690=A2689,P2689+1-M2689,0)</f>
        <v>4</v>
      </c>
    </row>
    <row r="2691" customFormat="false" ht="15" hidden="false" customHeight="false" outlineLevel="0" collapsed="false">
      <c r="A2691" s="31" t="s">
        <v>4275</v>
      </c>
      <c r="B2691" s="31" t="s">
        <v>54</v>
      </c>
      <c r="C2691" s="31" t="s">
        <v>108</v>
      </c>
      <c r="D2691" s="31" t="s">
        <v>4276</v>
      </c>
      <c r="E2691" s="4" t="n">
        <v>7</v>
      </c>
      <c r="F2691" s="4" t="s">
        <v>213</v>
      </c>
      <c r="G2691" s="4" t="s">
        <v>209</v>
      </c>
      <c r="H2691" s="4" t="n">
        <v>1979</v>
      </c>
      <c r="I2691" s="4" t="s">
        <v>210</v>
      </c>
      <c r="J2691" s="25" t="str">
        <f aca="false">IF(M2691=1,"✓","")</f>
        <v>✓</v>
      </c>
      <c r="K2691" s="4" t="str">
        <f aca="false">IF(AND(M2691=0,P2691=0),"▶ NEXT","")</f>
        <v/>
      </c>
      <c r="L2691" s="4" t="n">
        <f aca="false">INDEX('Master List'!$F$2:$F$2594,O2691)</f>
        <v>7</v>
      </c>
      <c r="M2691" s="4" t="n">
        <f aca="false">INDEX('Master List'!$G$2:$G$2594,O2691)</f>
        <v>1</v>
      </c>
      <c r="N2691" s="4" t="str">
        <f aca="false">IF(K2691="","",A2691)</f>
        <v/>
      </c>
      <c r="O2691" s="4" t="n">
        <v>2145</v>
      </c>
      <c r="P2691" s="4" t="n">
        <f aca="false">IF(A2691=A2690,P2690+1-M2690,0)</f>
        <v>5</v>
      </c>
    </row>
    <row r="2692" customFormat="false" ht="15" hidden="false" customHeight="false" outlineLevel="0" collapsed="false">
      <c r="A2692" s="31" t="s">
        <v>4275</v>
      </c>
      <c r="B2692" s="31" t="s">
        <v>54</v>
      </c>
      <c r="C2692" s="31" t="s">
        <v>108</v>
      </c>
      <c r="D2692" s="31" t="s">
        <v>4276</v>
      </c>
      <c r="E2692" s="4" t="n">
        <v>8</v>
      </c>
      <c r="F2692" s="4" t="s">
        <v>213</v>
      </c>
      <c r="G2692" s="4" t="s">
        <v>617</v>
      </c>
      <c r="H2692" s="4" t="n">
        <v>1994</v>
      </c>
      <c r="I2692" s="4" t="s">
        <v>618</v>
      </c>
      <c r="J2692" s="25" t="str">
        <f aca="false">IF(M2692=1,"✓","")</f>
        <v/>
      </c>
      <c r="K2692" s="4" t="str">
        <f aca="false">IF(AND(M2692=0,P2692=0),"▶ NEXT","")</f>
        <v/>
      </c>
      <c r="L2692" s="4" t="n">
        <f aca="false">INDEX('Master List'!$F$2:$F$2594,O2692)</f>
        <v>3</v>
      </c>
      <c r="M2692" s="4" t="n">
        <f aca="false">INDEX('Master List'!$G$2:$G$2594,O2692)</f>
        <v>0</v>
      </c>
      <c r="N2692" s="4" t="str">
        <f aca="false">IF(K2692="","",A2692)</f>
        <v/>
      </c>
      <c r="O2692" s="4" t="n">
        <v>1972</v>
      </c>
      <c r="P2692" s="4" t="n">
        <f aca="false">IF(A2692=A2691,P2691+1-M2691,0)</f>
        <v>5</v>
      </c>
    </row>
    <row r="2693" customFormat="false" ht="15" hidden="false" customHeight="false" outlineLevel="0" collapsed="false">
      <c r="A2693" s="31" t="s">
        <v>4275</v>
      </c>
      <c r="B2693" s="31" t="s">
        <v>54</v>
      </c>
      <c r="C2693" s="31" t="s">
        <v>108</v>
      </c>
      <c r="D2693" s="31" t="s">
        <v>4276</v>
      </c>
      <c r="E2693" s="4" t="n">
        <v>9</v>
      </c>
      <c r="F2693" s="4" t="s">
        <v>213</v>
      </c>
      <c r="G2693" s="4" t="s">
        <v>1164</v>
      </c>
      <c r="H2693" s="4" t="n">
        <v>2003</v>
      </c>
      <c r="I2693" s="4" t="s">
        <v>1165</v>
      </c>
      <c r="J2693" s="25" t="str">
        <f aca="false">IF(M2693=1,"✓","")</f>
        <v/>
      </c>
      <c r="K2693" s="4" t="str">
        <f aca="false">IF(AND(M2693=0,P2693=0),"▶ NEXT","")</f>
        <v/>
      </c>
      <c r="L2693" s="4" t="n">
        <f aca="false">INDEX('Master List'!$F$2:$F$2594,O2693)</f>
        <v>2</v>
      </c>
      <c r="M2693" s="4" t="n">
        <f aca="false">INDEX('Master List'!$G$2:$G$2594,O2693)</f>
        <v>0</v>
      </c>
      <c r="N2693" s="4" t="str">
        <f aca="false">IF(K2693="","",A2693)</f>
        <v/>
      </c>
      <c r="O2693" s="4" t="n">
        <v>933</v>
      </c>
      <c r="P2693" s="4" t="n">
        <f aca="false">IF(A2693=A2692,P2692+1-M2692,0)</f>
        <v>6</v>
      </c>
    </row>
    <row r="2694" customFormat="false" ht="15" hidden="false" customHeight="false" outlineLevel="0" collapsed="false">
      <c r="A2694" s="31" t="s">
        <v>4275</v>
      </c>
      <c r="B2694" s="31" t="s">
        <v>54</v>
      </c>
      <c r="C2694" s="31" t="s">
        <v>108</v>
      </c>
      <c r="D2694" s="31" t="s">
        <v>4276</v>
      </c>
      <c r="E2694" s="4" t="n">
        <v>10</v>
      </c>
      <c r="F2694" s="4" t="s">
        <v>213</v>
      </c>
      <c r="G2694" s="4" t="s">
        <v>1199</v>
      </c>
      <c r="H2694" s="4" t="n">
        <v>2011</v>
      </c>
      <c r="I2694" s="4" t="s">
        <v>618</v>
      </c>
      <c r="J2694" s="25" t="str">
        <f aca="false">IF(M2694=1,"✓","")</f>
        <v/>
      </c>
      <c r="K2694" s="4" t="str">
        <f aca="false">IF(AND(M2694=0,P2694=0),"▶ NEXT","")</f>
        <v/>
      </c>
      <c r="L2694" s="4" t="n">
        <f aca="false">INDEX('Master List'!$F$2:$F$2594,O2694)</f>
        <v>2</v>
      </c>
      <c r="M2694" s="4" t="n">
        <f aca="false">INDEX('Master List'!$G$2:$G$2594,O2694)</f>
        <v>0</v>
      </c>
      <c r="N2694" s="4" t="str">
        <f aca="false">IF(K2694="","",A2694)</f>
        <v/>
      </c>
      <c r="O2694" s="4" t="n">
        <v>2382</v>
      </c>
      <c r="P2694" s="4" t="n">
        <f aca="false">IF(A2694=A2693,P2693+1-M2693,0)</f>
        <v>7</v>
      </c>
    </row>
    <row r="2695" customFormat="false" ht="15" hidden="false" customHeight="false" outlineLevel="0" collapsed="false">
      <c r="A2695" s="31" t="s">
        <v>4275</v>
      </c>
      <c r="B2695" s="31" t="s">
        <v>54</v>
      </c>
      <c r="C2695" s="31" t="s">
        <v>108</v>
      </c>
      <c r="D2695" s="31" t="s">
        <v>4276</v>
      </c>
      <c r="E2695" s="4" t="n">
        <v>11</v>
      </c>
      <c r="F2695" s="4" t="s">
        <v>213</v>
      </c>
      <c r="G2695" s="4" t="s">
        <v>1416</v>
      </c>
      <c r="H2695" s="4" t="n">
        <v>2017</v>
      </c>
      <c r="I2695" s="4" t="s">
        <v>1417</v>
      </c>
      <c r="J2695" s="25" t="str">
        <f aca="false">IF(M2695=1,"✓","")</f>
        <v>✓</v>
      </c>
      <c r="K2695" s="4" t="str">
        <f aca="false">IF(AND(M2695=0,P2695=0),"▶ NEXT","")</f>
        <v/>
      </c>
      <c r="L2695" s="4" t="n">
        <f aca="false">INDEX('Master List'!$F$2:$F$2594,O2695)</f>
        <v>2</v>
      </c>
      <c r="M2695" s="4" t="n">
        <f aca="false">INDEX('Master List'!$G$2:$G$2594,O2695)</f>
        <v>1</v>
      </c>
      <c r="N2695" s="4" t="str">
        <f aca="false">IF(K2695="","",A2695)</f>
        <v/>
      </c>
      <c r="O2695" s="4" t="n">
        <v>810</v>
      </c>
      <c r="P2695" s="4" t="n">
        <f aca="false">IF(A2695=A2694,P2694+1-M2694,0)</f>
        <v>8</v>
      </c>
    </row>
    <row r="2696" customFormat="false" ht="15" hidden="false" customHeight="false" outlineLevel="0" collapsed="false">
      <c r="A2696" s="31" t="s">
        <v>4275</v>
      </c>
      <c r="B2696" s="31" t="s">
        <v>54</v>
      </c>
      <c r="C2696" s="31" t="s">
        <v>108</v>
      </c>
      <c r="D2696" s="31" t="s">
        <v>4276</v>
      </c>
      <c r="E2696" s="4" t="n">
        <v>12</v>
      </c>
      <c r="F2696" s="4" t="s">
        <v>1327</v>
      </c>
      <c r="G2696" s="4" t="s">
        <v>1658</v>
      </c>
      <c r="H2696" s="4" t="n">
        <v>2007</v>
      </c>
      <c r="I2696" s="4" t="s">
        <v>1659</v>
      </c>
      <c r="J2696" s="25" t="str">
        <f aca="false">IF(M2696=1,"✓","")</f>
        <v/>
      </c>
      <c r="K2696" s="4" t="str">
        <f aca="false">IF(AND(M2696=0,P2696=0),"▶ NEXT","")</f>
        <v/>
      </c>
      <c r="L2696" s="4" t="n">
        <f aca="false">INDEX('Master List'!$F$2:$F$2594,O2696)</f>
        <v>2</v>
      </c>
      <c r="M2696" s="4" t="n">
        <f aca="false">INDEX('Master List'!$G$2:$G$2594,O2696)</f>
        <v>0</v>
      </c>
      <c r="N2696" s="4" t="str">
        <f aca="false">IF(K2696="","",A2696)</f>
        <v/>
      </c>
      <c r="O2696" s="4" t="n">
        <v>2070</v>
      </c>
      <c r="P2696" s="4" t="n">
        <f aca="false">IF(A2696=A2695,P2695+1-M2695,0)</f>
        <v>8</v>
      </c>
    </row>
    <row r="2697" customFormat="false" ht="15" hidden="false" customHeight="false" outlineLevel="0" collapsed="false">
      <c r="A2697" s="31" t="s">
        <v>4275</v>
      </c>
      <c r="B2697" s="31" t="s">
        <v>54</v>
      </c>
      <c r="C2697" s="31" t="s">
        <v>108</v>
      </c>
      <c r="D2697" s="31" t="s">
        <v>4276</v>
      </c>
      <c r="E2697" s="4" t="n">
        <v>13</v>
      </c>
      <c r="F2697" s="4" t="s">
        <v>1327</v>
      </c>
      <c r="G2697" s="4" t="s">
        <v>517</v>
      </c>
      <c r="H2697" s="4" t="n">
        <v>2010</v>
      </c>
      <c r="I2697" s="4" t="s">
        <v>444</v>
      </c>
      <c r="J2697" s="25" t="str">
        <f aca="false">IF(M2697=1,"✓","")</f>
        <v/>
      </c>
      <c r="K2697" s="4" t="str">
        <f aca="false">IF(AND(M2697=0,P2697=0),"▶ NEXT","")</f>
        <v/>
      </c>
      <c r="L2697" s="4" t="n">
        <f aca="false">INDEX('Master List'!$F$2:$F$2594,O2697)</f>
        <v>3</v>
      </c>
      <c r="M2697" s="4" t="n">
        <f aca="false">INDEX('Master List'!$G$2:$G$2594,O2697)</f>
        <v>0</v>
      </c>
      <c r="N2697" s="4" t="str">
        <f aca="false">IF(K2697="","",A2697)</f>
        <v/>
      </c>
      <c r="O2697" s="4" t="n">
        <v>2399</v>
      </c>
      <c r="P2697" s="4" t="n">
        <f aca="false">IF(A2697=A2696,P2696+1-M2696,0)</f>
        <v>9</v>
      </c>
    </row>
    <row r="2698" customFormat="false" ht="15" hidden="false" customHeight="false" outlineLevel="0" collapsed="false">
      <c r="A2698" s="31" t="s">
        <v>4277</v>
      </c>
      <c r="B2698" s="31" t="s">
        <v>54</v>
      </c>
      <c r="C2698" s="31" t="s">
        <v>109</v>
      </c>
      <c r="D2698" s="31" t="s">
        <v>4278</v>
      </c>
      <c r="E2698" s="4" t="n">
        <v>1</v>
      </c>
      <c r="F2698" s="4" t="s">
        <v>144</v>
      </c>
      <c r="G2698" s="7" t="s">
        <v>190</v>
      </c>
      <c r="H2698" s="4" t="n">
        <v>1954</v>
      </c>
      <c r="I2698" s="4" t="s">
        <v>162</v>
      </c>
      <c r="J2698" s="25" t="str">
        <f aca="false">IF(M2698=1,"✓","")</f>
        <v>✓</v>
      </c>
      <c r="K2698" s="4" t="str">
        <f aca="false">IF(AND(M2698=0,P2698=0),"▶ NEXT","")</f>
        <v/>
      </c>
      <c r="L2698" s="4" t="n">
        <f aca="false">INDEX('Master List'!$F$2:$F$2594,O2698)</f>
        <v>6</v>
      </c>
      <c r="M2698" s="4" t="n">
        <f aca="false">INDEX('Master List'!$G$2:$G$2594,O2698)</f>
        <v>1</v>
      </c>
      <c r="N2698" s="4" t="str">
        <f aca="false">IF(K2698="","",A2698)</f>
        <v/>
      </c>
      <c r="O2698" s="4" t="n">
        <v>1866</v>
      </c>
      <c r="P2698" s="4" t="n">
        <f aca="false">IF(A2698=A2697,P2697+1-M2697,0)</f>
        <v>0</v>
      </c>
    </row>
    <row r="2699" customFormat="false" ht="15" hidden="false" customHeight="false" outlineLevel="0" collapsed="false">
      <c r="A2699" s="31" t="s">
        <v>4277</v>
      </c>
      <c r="B2699" s="31" t="s">
        <v>54</v>
      </c>
      <c r="C2699" s="31" t="s">
        <v>109</v>
      </c>
      <c r="D2699" s="31" t="s">
        <v>4278</v>
      </c>
      <c r="E2699" s="4" t="n">
        <v>2</v>
      </c>
      <c r="F2699" s="4" t="s">
        <v>144</v>
      </c>
      <c r="G2699" s="7" t="s">
        <v>161</v>
      </c>
      <c r="H2699" s="4" t="n">
        <v>1958</v>
      </c>
      <c r="I2699" s="4" t="s">
        <v>162</v>
      </c>
      <c r="J2699" s="25" t="str">
        <f aca="false">IF(M2699=1,"✓","")</f>
        <v/>
      </c>
      <c r="K2699" s="4" t="str">
        <f aca="false">IF(AND(M2699=0,P2699=0),"▶ NEXT","")</f>
        <v>▶ NEXT</v>
      </c>
      <c r="L2699" s="4" t="n">
        <f aca="false">INDEX('Master List'!$F$2:$F$2594,O2699)</f>
        <v>7</v>
      </c>
      <c r="M2699" s="4" t="n">
        <f aca="false">INDEX('Master List'!$G$2:$G$2594,O2699)</f>
        <v>0</v>
      </c>
      <c r="N2699" s="4" t="str">
        <f aca="false">IF(K2699="","",A2699)</f>
        <v>N227</v>
      </c>
      <c r="O2699" s="4" t="n">
        <v>2429</v>
      </c>
      <c r="P2699" s="4" t="n">
        <f aca="false">IF(A2699=A2698,P2698+1-M2698,0)</f>
        <v>0</v>
      </c>
    </row>
    <row r="2700" customFormat="false" ht="15" hidden="false" customHeight="false" outlineLevel="0" collapsed="false">
      <c r="A2700" s="31" t="s">
        <v>4277</v>
      </c>
      <c r="B2700" s="31" t="s">
        <v>54</v>
      </c>
      <c r="C2700" s="31" t="s">
        <v>109</v>
      </c>
      <c r="D2700" s="31" t="s">
        <v>4278</v>
      </c>
      <c r="E2700" s="4" t="n">
        <v>3</v>
      </c>
      <c r="F2700" s="4" t="s">
        <v>213</v>
      </c>
      <c r="G2700" s="4" t="s">
        <v>1715</v>
      </c>
      <c r="H2700" s="4" t="n">
        <v>1930</v>
      </c>
      <c r="I2700" s="4" t="s">
        <v>1710</v>
      </c>
      <c r="J2700" s="25" t="str">
        <f aca="false">IF(M2700=1,"✓","")</f>
        <v/>
      </c>
      <c r="K2700" s="4" t="str">
        <f aca="false">IF(AND(M2700=0,P2700=0),"▶ NEXT","")</f>
        <v/>
      </c>
      <c r="L2700" s="4" t="n">
        <f aca="false">INDEX('Master List'!$F$2:$F$2594,O2700)</f>
        <v>1</v>
      </c>
      <c r="M2700" s="4" t="n">
        <f aca="false">INDEX('Master List'!$G$2:$G$2594,O2700)</f>
        <v>0</v>
      </c>
      <c r="N2700" s="4" t="str">
        <f aca="false">IF(K2700="","",A2700)</f>
        <v/>
      </c>
      <c r="O2700" s="4" t="n">
        <v>1535</v>
      </c>
      <c r="P2700" s="4" t="n">
        <f aca="false">IF(A2700=A2699,P2699+1-M2699,0)</f>
        <v>1</v>
      </c>
    </row>
    <row r="2701" customFormat="false" ht="15" hidden="false" customHeight="false" outlineLevel="0" collapsed="false">
      <c r="A2701" s="31" t="s">
        <v>4277</v>
      </c>
      <c r="B2701" s="31" t="s">
        <v>54</v>
      </c>
      <c r="C2701" s="31" t="s">
        <v>109</v>
      </c>
      <c r="D2701" s="31" t="s">
        <v>4278</v>
      </c>
      <c r="E2701" s="4" t="n">
        <v>4</v>
      </c>
      <c r="F2701" s="4" t="s">
        <v>213</v>
      </c>
      <c r="G2701" s="4" t="s">
        <v>1797</v>
      </c>
      <c r="H2701" s="4" t="n">
        <v>1941</v>
      </c>
      <c r="I2701" s="4" t="s">
        <v>1710</v>
      </c>
      <c r="J2701" s="25" t="str">
        <f aca="false">IF(M2701=1,"✓","")</f>
        <v/>
      </c>
      <c r="K2701" s="4" t="str">
        <f aca="false">IF(AND(M2701=0,P2701=0),"▶ NEXT","")</f>
        <v/>
      </c>
      <c r="L2701" s="4" t="n">
        <f aca="false">INDEX('Master List'!$F$2:$F$2594,O2701)</f>
        <v>1</v>
      </c>
      <c r="M2701" s="4" t="n">
        <f aca="false">INDEX('Master List'!$G$2:$G$2594,O2701)</f>
        <v>0</v>
      </c>
      <c r="N2701" s="4" t="str">
        <f aca="false">IF(K2701="","",A2701)</f>
        <v/>
      </c>
      <c r="O2701" s="4" t="n">
        <v>2036</v>
      </c>
      <c r="P2701" s="4" t="n">
        <f aca="false">IF(A2701=A2700,P2700+1-M2700,0)</f>
        <v>2</v>
      </c>
    </row>
    <row r="2702" customFormat="false" ht="15" hidden="false" customHeight="false" outlineLevel="0" collapsed="false">
      <c r="A2702" s="31" t="s">
        <v>4277</v>
      </c>
      <c r="B2702" s="31" t="s">
        <v>54</v>
      </c>
      <c r="C2702" s="31" t="s">
        <v>109</v>
      </c>
      <c r="D2702" s="31" t="s">
        <v>4278</v>
      </c>
      <c r="E2702" s="4" t="n">
        <v>5</v>
      </c>
      <c r="F2702" s="4" t="s">
        <v>213</v>
      </c>
      <c r="G2702" s="4" t="s">
        <v>1330</v>
      </c>
      <c r="H2702" s="4" t="n">
        <v>1964</v>
      </c>
      <c r="I2702" s="4" t="s">
        <v>162</v>
      </c>
      <c r="J2702" s="25" t="str">
        <f aca="false">IF(M2702=1,"✓","")</f>
        <v/>
      </c>
      <c r="K2702" s="4" t="str">
        <f aca="false">IF(AND(M2702=0,P2702=0),"▶ NEXT","")</f>
        <v/>
      </c>
      <c r="L2702" s="4" t="n">
        <f aca="false">INDEX('Master List'!$F$2:$F$2594,O2702)</f>
        <v>2</v>
      </c>
      <c r="M2702" s="4" t="n">
        <f aca="false">INDEX('Master List'!$G$2:$G$2594,O2702)</f>
        <v>0</v>
      </c>
      <c r="N2702" s="4" t="str">
        <f aca="false">IF(K2702="","",A2702)</f>
        <v/>
      </c>
      <c r="O2702" s="4" t="n">
        <v>1449</v>
      </c>
      <c r="P2702" s="4" t="n">
        <f aca="false">IF(A2702=A2701,P2701+1-M2701,0)</f>
        <v>3</v>
      </c>
    </row>
    <row r="2703" customFormat="false" ht="15" hidden="false" customHeight="false" outlineLevel="0" collapsed="false">
      <c r="A2703" s="31" t="s">
        <v>4277</v>
      </c>
      <c r="B2703" s="31" t="s">
        <v>54</v>
      </c>
      <c r="C2703" s="31" t="s">
        <v>109</v>
      </c>
      <c r="D2703" s="31" t="s">
        <v>4278</v>
      </c>
      <c r="E2703" s="4" t="n">
        <v>6</v>
      </c>
      <c r="F2703" s="4" t="s">
        <v>213</v>
      </c>
      <c r="G2703" s="4" t="s">
        <v>580</v>
      </c>
      <c r="H2703" s="4" t="n">
        <v>1960</v>
      </c>
      <c r="I2703" s="4" t="s">
        <v>581</v>
      </c>
      <c r="J2703" s="25" t="str">
        <f aca="false">IF(M2703=1,"✓","")</f>
        <v/>
      </c>
      <c r="K2703" s="4" t="str">
        <f aca="false">IF(AND(M2703=0,P2703=0),"▶ NEXT","")</f>
        <v/>
      </c>
      <c r="L2703" s="4" t="n">
        <f aca="false">INDEX('Master List'!$F$2:$F$2594,O2703)</f>
        <v>3</v>
      </c>
      <c r="M2703" s="4" t="n">
        <f aca="false">INDEX('Master List'!$G$2:$G$2594,O2703)</f>
        <v>0</v>
      </c>
      <c r="N2703" s="4" t="str">
        <f aca="false">IF(K2703="","",A2703)</f>
        <v/>
      </c>
      <c r="O2703" s="4" t="n">
        <v>1739</v>
      </c>
      <c r="P2703" s="4" t="n">
        <f aca="false">IF(A2703=A2702,P2702+1-M2702,0)</f>
        <v>4</v>
      </c>
    </row>
    <row r="2704" customFormat="false" ht="15" hidden="false" customHeight="false" outlineLevel="0" collapsed="false">
      <c r="A2704" s="31" t="s">
        <v>4277</v>
      </c>
      <c r="B2704" s="31" t="s">
        <v>54</v>
      </c>
      <c r="C2704" s="31" t="s">
        <v>109</v>
      </c>
      <c r="D2704" s="31" t="s">
        <v>4278</v>
      </c>
      <c r="E2704" s="4" t="n">
        <v>7</v>
      </c>
      <c r="F2704" s="4" t="s">
        <v>213</v>
      </c>
      <c r="G2704" s="4" t="s">
        <v>184</v>
      </c>
      <c r="H2704" s="4" t="n">
        <v>1975</v>
      </c>
      <c r="I2704" s="4" t="s">
        <v>185</v>
      </c>
      <c r="J2704" s="25" t="str">
        <f aca="false">IF(M2704=1,"✓","")</f>
        <v/>
      </c>
      <c r="K2704" s="4" t="str">
        <f aca="false">IF(AND(M2704=0,P2704=0),"▶ NEXT","")</f>
        <v/>
      </c>
      <c r="L2704" s="4" t="n">
        <f aca="false">INDEX('Master List'!$F$2:$F$2594,O2704)</f>
        <v>8</v>
      </c>
      <c r="M2704" s="4" t="n">
        <f aca="false">INDEX('Master List'!$G$2:$G$2594,O2704)</f>
        <v>0</v>
      </c>
      <c r="N2704" s="4" t="str">
        <f aca="false">IF(K2704="","",A2704)</f>
        <v/>
      </c>
      <c r="O2704" s="4" t="n">
        <v>1201</v>
      </c>
      <c r="P2704" s="4" t="n">
        <f aca="false">IF(A2704=A2703,P2703+1-M2703,0)</f>
        <v>5</v>
      </c>
    </row>
    <row r="2705" customFormat="false" ht="15" hidden="false" customHeight="false" outlineLevel="0" collapsed="false">
      <c r="A2705" s="31" t="s">
        <v>4277</v>
      </c>
      <c r="B2705" s="31" t="s">
        <v>54</v>
      </c>
      <c r="C2705" s="31" t="s">
        <v>109</v>
      </c>
      <c r="D2705" s="31" t="s">
        <v>4278</v>
      </c>
      <c r="E2705" s="4" t="n">
        <v>8</v>
      </c>
      <c r="F2705" s="4" t="s">
        <v>213</v>
      </c>
      <c r="G2705" s="4" t="s">
        <v>2301</v>
      </c>
      <c r="H2705" s="4" t="n">
        <v>1977</v>
      </c>
      <c r="I2705" s="4" t="s">
        <v>2302</v>
      </c>
      <c r="J2705" s="25" t="str">
        <f aca="false">IF(M2705=1,"✓","")</f>
        <v/>
      </c>
      <c r="K2705" s="4" t="str">
        <f aca="false">IF(AND(M2705=0,P2705=0),"▶ NEXT","")</f>
        <v/>
      </c>
      <c r="L2705" s="4" t="n">
        <f aca="false">INDEX('Master List'!$F$2:$F$2594,O2705)</f>
        <v>1</v>
      </c>
      <c r="M2705" s="4" t="n">
        <f aca="false">INDEX('Master List'!$G$2:$G$2594,O2705)</f>
        <v>0</v>
      </c>
      <c r="N2705" s="4" t="str">
        <f aca="false">IF(K2705="","",A2705)</f>
        <v/>
      </c>
      <c r="O2705" s="4" t="n">
        <v>1899</v>
      </c>
      <c r="P2705" s="4" t="n">
        <f aca="false">IF(A2705=A2704,P2704+1-M2704,0)</f>
        <v>6</v>
      </c>
    </row>
    <row r="2706" customFormat="false" ht="15" hidden="false" customHeight="false" outlineLevel="0" collapsed="false">
      <c r="A2706" s="31" t="s">
        <v>4277</v>
      </c>
      <c r="B2706" s="31" t="s">
        <v>54</v>
      </c>
      <c r="C2706" s="31" t="s">
        <v>109</v>
      </c>
      <c r="D2706" s="31" t="s">
        <v>4278</v>
      </c>
      <c r="E2706" s="4" t="n">
        <v>9</v>
      </c>
      <c r="F2706" s="4" t="s">
        <v>213</v>
      </c>
      <c r="G2706" s="4" t="s">
        <v>240</v>
      </c>
      <c r="H2706" s="4" t="n">
        <v>2019</v>
      </c>
      <c r="I2706" s="4" t="s">
        <v>241</v>
      </c>
      <c r="J2706" s="25" t="str">
        <f aca="false">IF(M2706=1,"✓","")</f>
        <v/>
      </c>
      <c r="K2706" s="4" t="str">
        <f aca="false">IF(AND(M2706=0,P2706=0),"▶ NEXT","")</f>
        <v/>
      </c>
      <c r="L2706" s="4" t="n">
        <f aca="false">INDEX('Master List'!$F$2:$F$2594,O2706)</f>
        <v>6</v>
      </c>
      <c r="M2706" s="4" t="n">
        <f aca="false">INDEX('Master List'!$G$2:$G$2594,O2706)</f>
        <v>0</v>
      </c>
      <c r="N2706" s="4" t="str">
        <f aca="false">IF(K2706="","",A2706)</f>
        <v/>
      </c>
      <c r="O2706" s="4" t="n">
        <v>1799</v>
      </c>
      <c r="P2706" s="4" t="n">
        <f aca="false">IF(A2706=A2705,P2705+1-M2705,0)</f>
        <v>7</v>
      </c>
    </row>
    <row r="2707" customFormat="false" ht="15" hidden="false" customHeight="false" outlineLevel="0" collapsed="false">
      <c r="A2707" s="31" t="s">
        <v>4277</v>
      </c>
      <c r="B2707" s="31" t="s">
        <v>54</v>
      </c>
      <c r="C2707" s="31" t="s">
        <v>109</v>
      </c>
      <c r="D2707" s="31" t="s">
        <v>4278</v>
      </c>
      <c r="E2707" s="4" t="n">
        <v>10</v>
      </c>
      <c r="F2707" s="4" t="s">
        <v>1327</v>
      </c>
      <c r="G2707" s="4" t="s">
        <v>3320</v>
      </c>
      <c r="H2707" s="4" t="n">
        <v>1934</v>
      </c>
      <c r="I2707" s="4" t="s">
        <v>1710</v>
      </c>
      <c r="J2707" s="25" t="str">
        <f aca="false">IF(M2707=1,"✓","")</f>
        <v/>
      </c>
      <c r="K2707" s="4" t="str">
        <f aca="false">IF(AND(M2707=0,P2707=0),"▶ NEXT","")</f>
        <v/>
      </c>
      <c r="L2707" s="4" t="n">
        <f aca="false">INDEX('Master List'!$F$2:$F$2594,O2707)</f>
        <v>1</v>
      </c>
      <c r="M2707" s="4" t="n">
        <f aca="false">INDEX('Master List'!$G$2:$G$2594,O2707)</f>
        <v>0</v>
      </c>
      <c r="N2707" s="4" t="str">
        <f aca="false">IF(K2707="","",A2707)</f>
        <v/>
      </c>
      <c r="O2707" s="4" t="n">
        <v>1985</v>
      </c>
      <c r="P2707" s="4" t="n">
        <f aca="false">IF(A2707=A2706,P2706+1-M2706,0)</f>
        <v>8</v>
      </c>
    </row>
    <row r="2708" customFormat="false" ht="15" hidden="false" customHeight="false" outlineLevel="0" collapsed="false">
      <c r="A2708" s="31" t="s">
        <v>4277</v>
      </c>
      <c r="B2708" s="31" t="s">
        <v>54</v>
      </c>
      <c r="C2708" s="31" t="s">
        <v>109</v>
      </c>
      <c r="D2708" s="31" t="s">
        <v>4278</v>
      </c>
      <c r="E2708" s="4" t="n">
        <v>11</v>
      </c>
      <c r="F2708" s="4" t="s">
        <v>1327</v>
      </c>
      <c r="G2708" s="4" t="s">
        <v>3315</v>
      </c>
      <c r="H2708" s="4" t="n">
        <v>1932</v>
      </c>
      <c r="I2708" s="4" t="s">
        <v>1710</v>
      </c>
      <c r="J2708" s="25" t="str">
        <f aca="false">IF(M2708=1,"✓","")</f>
        <v/>
      </c>
      <c r="K2708" s="4" t="str">
        <f aca="false">IF(AND(M2708=0,P2708=0),"▶ NEXT","")</f>
        <v/>
      </c>
      <c r="L2708" s="4" t="n">
        <f aca="false">INDEX('Master List'!$F$2:$F$2594,O2708)</f>
        <v>1</v>
      </c>
      <c r="M2708" s="4" t="n">
        <f aca="false">INDEX('Master List'!$G$2:$G$2594,O2708)</f>
        <v>0</v>
      </c>
      <c r="N2708" s="4" t="str">
        <f aca="false">IF(K2708="","",A2708)</f>
        <v/>
      </c>
      <c r="O2708" s="4" t="n">
        <v>288</v>
      </c>
      <c r="P2708" s="4" t="n">
        <f aca="false">IF(A2708=A2707,P2707+1-M2707,0)</f>
        <v>9</v>
      </c>
    </row>
    <row r="2709" customFormat="false" ht="15" hidden="false" customHeight="false" outlineLevel="0" collapsed="false">
      <c r="A2709" s="31" t="s">
        <v>4279</v>
      </c>
      <c r="B2709" s="31" t="s">
        <v>54</v>
      </c>
      <c r="C2709" s="31" t="s">
        <v>109</v>
      </c>
      <c r="D2709" s="31" t="s">
        <v>4280</v>
      </c>
      <c r="E2709" s="4" t="n">
        <v>1</v>
      </c>
      <c r="F2709" s="4" t="s">
        <v>144</v>
      </c>
      <c r="G2709" s="7" t="s">
        <v>157</v>
      </c>
      <c r="H2709" s="4" t="n">
        <v>1962</v>
      </c>
      <c r="I2709" s="4" t="s">
        <v>158</v>
      </c>
      <c r="J2709" s="25" t="str">
        <f aca="false">IF(M2709=1,"✓","")</f>
        <v/>
      </c>
      <c r="K2709" s="4" t="str">
        <f aca="false">IF(AND(M2709=0,P2709=0),"▶ NEXT","")</f>
        <v>▶ NEXT</v>
      </c>
      <c r="L2709" s="4" t="n">
        <f aca="false">INDEX('Master List'!$F$2:$F$2594,O2709)</f>
        <v>7</v>
      </c>
      <c r="M2709" s="4" t="n">
        <f aca="false">INDEX('Master List'!$G$2:$G$2594,O2709)</f>
        <v>0</v>
      </c>
      <c r="N2709" s="4" t="str">
        <f aca="false">IF(K2709="","",A2709)</f>
        <v>N228</v>
      </c>
      <c r="O2709" s="4" t="n">
        <v>475</v>
      </c>
      <c r="P2709" s="4" t="n">
        <f aca="false">IF(A2709=A2708,P2708+1-M2708,0)</f>
        <v>0</v>
      </c>
    </row>
    <row r="2710" customFormat="false" ht="15" hidden="false" customHeight="false" outlineLevel="0" collapsed="false">
      <c r="A2710" s="31" t="s">
        <v>4279</v>
      </c>
      <c r="B2710" s="31" t="s">
        <v>54</v>
      </c>
      <c r="C2710" s="31" t="s">
        <v>109</v>
      </c>
      <c r="D2710" s="31" t="s">
        <v>4280</v>
      </c>
      <c r="E2710" s="4" t="n">
        <v>2</v>
      </c>
      <c r="F2710" s="4" t="s">
        <v>144</v>
      </c>
      <c r="G2710" s="7" t="s">
        <v>595</v>
      </c>
      <c r="H2710" s="4" t="n">
        <v>1970</v>
      </c>
      <c r="I2710" s="4" t="s">
        <v>596</v>
      </c>
      <c r="J2710" s="25" t="str">
        <f aca="false">IF(M2710=1,"✓","")</f>
        <v/>
      </c>
      <c r="K2710" s="4" t="str">
        <f aca="false">IF(AND(M2710=0,P2710=0),"▶ NEXT","")</f>
        <v/>
      </c>
      <c r="L2710" s="4" t="n">
        <f aca="false">INDEX('Master List'!$F$2:$F$2594,O2710)</f>
        <v>3</v>
      </c>
      <c r="M2710" s="4" t="n">
        <f aca="false">INDEX('Master List'!$G$2:$G$2594,O2710)</f>
        <v>0</v>
      </c>
      <c r="N2710" s="4" t="str">
        <f aca="false">IF(K2710="","",A2710)</f>
        <v/>
      </c>
      <c r="O2710" s="4" t="n">
        <v>2461</v>
      </c>
      <c r="P2710" s="4" t="n">
        <f aca="false">IF(A2710=A2709,P2709+1-M2709,0)</f>
        <v>1</v>
      </c>
    </row>
    <row r="2711" customFormat="false" ht="15" hidden="false" customHeight="false" outlineLevel="0" collapsed="false">
      <c r="A2711" s="31" t="s">
        <v>4279</v>
      </c>
      <c r="B2711" s="31" t="s">
        <v>54</v>
      </c>
      <c r="C2711" s="31" t="s">
        <v>109</v>
      </c>
      <c r="D2711" s="31" t="s">
        <v>4280</v>
      </c>
      <c r="E2711" s="4" t="n">
        <v>3</v>
      </c>
      <c r="F2711" s="4" t="s">
        <v>213</v>
      </c>
      <c r="G2711" s="4" t="s">
        <v>1663</v>
      </c>
      <c r="H2711" s="4" t="n">
        <v>1896</v>
      </c>
      <c r="I2711" s="4" t="s">
        <v>1664</v>
      </c>
      <c r="J2711" s="25" t="str">
        <f aca="false">IF(M2711=1,"✓","")</f>
        <v/>
      </c>
      <c r="K2711" s="4" t="str">
        <f aca="false">IF(AND(M2711=0,P2711=0),"▶ NEXT","")</f>
        <v/>
      </c>
      <c r="L2711" s="4" t="n">
        <f aca="false">INDEX('Master List'!$F$2:$F$2594,O2711)</f>
        <v>1</v>
      </c>
      <c r="M2711" s="4" t="n">
        <f aca="false">INDEX('Master List'!$G$2:$G$2594,O2711)</f>
        <v>0</v>
      </c>
      <c r="N2711" s="4" t="str">
        <f aca="false">IF(K2711="","",A2711)</f>
        <v/>
      </c>
      <c r="O2711" s="4" t="n">
        <v>375</v>
      </c>
      <c r="P2711" s="4" t="n">
        <f aca="false">IF(A2711=A2710,P2710+1-M2710,0)</f>
        <v>2</v>
      </c>
    </row>
    <row r="2712" customFormat="false" ht="15" hidden="false" customHeight="false" outlineLevel="0" collapsed="false">
      <c r="A2712" s="31" t="s">
        <v>4279</v>
      </c>
      <c r="B2712" s="31" t="s">
        <v>54</v>
      </c>
      <c r="C2712" s="31" t="s">
        <v>109</v>
      </c>
      <c r="D2712" s="31" t="s">
        <v>4280</v>
      </c>
      <c r="E2712" s="4" t="n">
        <v>4</v>
      </c>
      <c r="F2712" s="4" t="s">
        <v>213</v>
      </c>
      <c r="G2712" s="4" t="s">
        <v>1294</v>
      </c>
      <c r="H2712" s="4" t="n">
        <v>1913</v>
      </c>
      <c r="I2712" s="4" t="s">
        <v>1295</v>
      </c>
      <c r="J2712" s="25" t="str">
        <f aca="false">IF(M2712=1,"✓","")</f>
        <v/>
      </c>
      <c r="K2712" s="4" t="str">
        <f aca="false">IF(AND(M2712=0,P2712=0),"▶ NEXT","")</f>
        <v/>
      </c>
      <c r="L2712" s="4" t="n">
        <f aca="false">INDEX('Master List'!$F$2:$F$2594,O2712)</f>
        <v>2</v>
      </c>
      <c r="M2712" s="4" t="n">
        <f aca="false">INDEX('Master List'!$G$2:$G$2594,O2712)</f>
        <v>0</v>
      </c>
      <c r="N2712" s="4" t="str">
        <f aca="false">IF(K2712="","",A2712)</f>
        <v/>
      </c>
      <c r="O2712" s="4" t="n">
        <v>2209</v>
      </c>
      <c r="P2712" s="4" t="n">
        <f aca="false">IF(A2712=A2711,P2711+1-M2711,0)</f>
        <v>3</v>
      </c>
    </row>
    <row r="2713" customFormat="false" ht="15" hidden="false" customHeight="false" outlineLevel="0" collapsed="false">
      <c r="A2713" s="31" t="s">
        <v>4279</v>
      </c>
      <c r="B2713" s="31" t="s">
        <v>54</v>
      </c>
      <c r="C2713" s="31" t="s">
        <v>109</v>
      </c>
      <c r="D2713" s="31" t="s">
        <v>4280</v>
      </c>
      <c r="E2713" s="4" t="n">
        <v>5</v>
      </c>
      <c r="F2713" s="4" t="s">
        <v>213</v>
      </c>
      <c r="G2713" s="4" t="s">
        <v>1790</v>
      </c>
      <c r="H2713" s="4" t="n">
        <v>1940</v>
      </c>
      <c r="I2713" s="4" t="s">
        <v>1791</v>
      </c>
      <c r="J2713" s="25" t="str">
        <f aca="false">IF(M2713=1,"✓","")</f>
        <v/>
      </c>
      <c r="K2713" s="4" t="str">
        <f aca="false">IF(AND(M2713=0,P2713=0),"▶ NEXT","")</f>
        <v/>
      </c>
      <c r="L2713" s="4" t="n">
        <f aca="false">INDEX('Master List'!$F$2:$F$2594,O2713)</f>
        <v>1</v>
      </c>
      <c r="M2713" s="4" t="n">
        <f aca="false">INDEX('Master List'!$G$2:$G$2594,O2713)</f>
        <v>0</v>
      </c>
      <c r="N2713" s="4" t="str">
        <f aca="false">IF(K2713="","",A2713)</f>
        <v/>
      </c>
      <c r="O2713" s="4" t="n">
        <v>558</v>
      </c>
      <c r="P2713" s="4" t="n">
        <f aca="false">IF(A2713=A2712,P2712+1-M2712,0)</f>
        <v>4</v>
      </c>
    </row>
    <row r="2714" customFormat="false" ht="15" hidden="false" customHeight="false" outlineLevel="0" collapsed="false">
      <c r="A2714" s="31" t="s">
        <v>4279</v>
      </c>
      <c r="B2714" s="31" t="s">
        <v>54</v>
      </c>
      <c r="C2714" s="31" t="s">
        <v>109</v>
      </c>
      <c r="D2714" s="31" t="s">
        <v>4280</v>
      </c>
      <c r="E2714" s="4" t="n">
        <v>6</v>
      </c>
      <c r="F2714" s="4" t="s">
        <v>213</v>
      </c>
      <c r="G2714" s="4" t="s">
        <v>263</v>
      </c>
      <c r="H2714" s="4" t="n">
        <v>1943</v>
      </c>
      <c r="I2714" s="4" t="s">
        <v>264</v>
      </c>
      <c r="J2714" s="25" t="str">
        <f aca="false">IF(M2714=1,"✓","")</f>
        <v/>
      </c>
      <c r="K2714" s="4" t="str">
        <f aca="false">IF(AND(M2714=0,P2714=0),"▶ NEXT","")</f>
        <v/>
      </c>
      <c r="L2714" s="4" t="n">
        <f aca="false">INDEX('Master List'!$F$2:$F$2594,O2714)</f>
        <v>5</v>
      </c>
      <c r="M2714" s="4" t="n">
        <f aca="false">INDEX('Master List'!$G$2:$G$2594,O2714)</f>
        <v>0</v>
      </c>
      <c r="N2714" s="4" t="str">
        <f aca="false">IF(K2714="","",A2714)</f>
        <v/>
      </c>
      <c r="O2714" s="4" t="n">
        <v>1486</v>
      </c>
      <c r="P2714" s="4" t="n">
        <f aca="false">IF(A2714=A2713,P2713+1-M2713,0)</f>
        <v>5</v>
      </c>
    </row>
    <row r="2715" customFormat="false" ht="15" hidden="false" customHeight="false" outlineLevel="0" collapsed="false">
      <c r="A2715" s="31" t="s">
        <v>4279</v>
      </c>
      <c r="B2715" s="31" t="s">
        <v>54</v>
      </c>
      <c r="C2715" s="31" t="s">
        <v>109</v>
      </c>
      <c r="D2715" s="31" t="s">
        <v>4280</v>
      </c>
      <c r="E2715" s="4" t="n">
        <v>7</v>
      </c>
      <c r="F2715" s="4" t="s">
        <v>213</v>
      </c>
      <c r="G2715" s="4" t="s">
        <v>1314</v>
      </c>
      <c r="H2715" s="4" t="n">
        <v>1953</v>
      </c>
      <c r="I2715" s="4" t="s">
        <v>1315</v>
      </c>
      <c r="J2715" s="25" t="str">
        <f aca="false">IF(M2715=1,"✓","")</f>
        <v/>
      </c>
      <c r="K2715" s="4" t="str">
        <f aca="false">IF(AND(M2715=0,P2715=0),"▶ NEXT","")</f>
        <v/>
      </c>
      <c r="L2715" s="4" t="n">
        <f aca="false">INDEX('Master List'!$F$2:$F$2594,O2715)</f>
        <v>2</v>
      </c>
      <c r="M2715" s="4" t="n">
        <f aca="false">INDEX('Master List'!$G$2:$G$2594,O2715)</f>
        <v>0</v>
      </c>
      <c r="N2715" s="4" t="str">
        <f aca="false">IF(K2715="","",A2715)</f>
        <v/>
      </c>
      <c r="O2715" s="4" t="n">
        <v>1046</v>
      </c>
      <c r="P2715" s="4" t="n">
        <f aca="false">IF(A2715=A2714,P2714+1-M2714,0)</f>
        <v>6</v>
      </c>
    </row>
    <row r="2716" customFormat="false" ht="15" hidden="false" customHeight="false" outlineLevel="0" collapsed="false">
      <c r="A2716" s="31" t="s">
        <v>4279</v>
      </c>
      <c r="B2716" s="31" t="s">
        <v>54</v>
      </c>
      <c r="C2716" s="31" t="s">
        <v>109</v>
      </c>
      <c r="D2716" s="31" t="s">
        <v>4280</v>
      </c>
      <c r="E2716" s="4" t="n">
        <v>8</v>
      </c>
      <c r="F2716" s="4" t="s">
        <v>213</v>
      </c>
      <c r="G2716" s="4" t="s">
        <v>227</v>
      </c>
      <c r="H2716" s="4" t="n">
        <v>1966</v>
      </c>
      <c r="I2716" s="4" t="s">
        <v>228</v>
      </c>
      <c r="J2716" s="25" t="str">
        <f aca="false">IF(M2716=1,"✓","")</f>
        <v/>
      </c>
      <c r="K2716" s="4" t="str">
        <f aca="false">IF(AND(M2716=0,P2716=0),"▶ NEXT","")</f>
        <v/>
      </c>
      <c r="L2716" s="4" t="n">
        <f aca="false">INDEX('Master List'!$F$2:$F$2594,O2716)</f>
        <v>6</v>
      </c>
      <c r="M2716" s="4" t="n">
        <f aca="false">INDEX('Master List'!$G$2:$G$2594,O2716)</f>
        <v>0</v>
      </c>
      <c r="N2716" s="4" t="str">
        <f aca="false">IF(K2716="","",A2716)</f>
        <v/>
      </c>
      <c r="O2716" s="4" t="n">
        <v>554</v>
      </c>
      <c r="P2716" s="4" t="n">
        <f aca="false">IF(A2716=A2715,P2715+1-M2715,0)</f>
        <v>7</v>
      </c>
    </row>
    <row r="2717" customFormat="false" ht="15" hidden="false" customHeight="false" outlineLevel="0" collapsed="false">
      <c r="A2717" s="31" t="s">
        <v>4279</v>
      </c>
      <c r="B2717" s="31" t="s">
        <v>54</v>
      </c>
      <c r="C2717" s="31" t="s">
        <v>109</v>
      </c>
      <c r="D2717" s="31" t="s">
        <v>4280</v>
      </c>
      <c r="E2717" s="4" t="n">
        <v>9</v>
      </c>
      <c r="F2717" s="4" t="s">
        <v>213</v>
      </c>
      <c r="G2717" s="4" t="s">
        <v>1034</v>
      </c>
      <c r="H2717" s="4" t="n">
        <v>1977</v>
      </c>
      <c r="I2717" s="4" t="s">
        <v>1035</v>
      </c>
      <c r="J2717" s="25" t="str">
        <f aca="false">IF(M2717=1,"✓","")</f>
        <v/>
      </c>
      <c r="K2717" s="4" t="str">
        <f aca="false">IF(AND(M2717=0,P2717=0),"▶ NEXT","")</f>
        <v/>
      </c>
      <c r="L2717" s="4" t="n">
        <f aca="false">INDEX('Master List'!$F$2:$F$2594,O2717)</f>
        <v>2</v>
      </c>
      <c r="M2717" s="4" t="n">
        <f aca="false">INDEX('Master List'!$G$2:$G$2594,O2717)</f>
        <v>0</v>
      </c>
      <c r="N2717" s="4" t="str">
        <f aca="false">IF(K2717="","",A2717)</f>
        <v/>
      </c>
      <c r="O2717" s="4" t="n">
        <v>134</v>
      </c>
      <c r="P2717" s="4" t="n">
        <f aca="false">IF(A2717=A2716,P2716+1-M2716,0)</f>
        <v>8</v>
      </c>
    </row>
    <row r="2718" customFormat="false" ht="15" hidden="false" customHeight="false" outlineLevel="0" collapsed="false">
      <c r="A2718" s="31" t="s">
        <v>4279</v>
      </c>
      <c r="B2718" s="31" t="s">
        <v>54</v>
      </c>
      <c r="C2718" s="31" t="s">
        <v>109</v>
      </c>
      <c r="D2718" s="31" t="s">
        <v>4280</v>
      </c>
      <c r="E2718" s="4" t="n">
        <v>10</v>
      </c>
      <c r="F2718" s="4" t="s">
        <v>213</v>
      </c>
      <c r="G2718" s="4" t="s">
        <v>184</v>
      </c>
      <c r="H2718" s="4" t="n">
        <v>1975</v>
      </c>
      <c r="I2718" s="4" t="s">
        <v>185</v>
      </c>
      <c r="J2718" s="25" t="str">
        <f aca="false">IF(M2718=1,"✓","")</f>
        <v/>
      </c>
      <c r="K2718" s="4" t="str">
        <f aca="false">IF(AND(M2718=0,P2718=0),"▶ NEXT","")</f>
        <v/>
      </c>
      <c r="L2718" s="4" t="n">
        <f aca="false">INDEX('Master List'!$F$2:$F$2594,O2718)</f>
        <v>8</v>
      </c>
      <c r="M2718" s="4" t="n">
        <f aca="false">INDEX('Master List'!$G$2:$G$2594,O2718)</f>
        <v>0</v>
      </c>
      <c r="N2718" s="4" t="str">
        <f aca="false">IF(K2718="","",A2718)</f>
        <v/>
      </c>
      <c r="O2718" s="4" t="n">
        <v>1201</v>
      </c>
      <c r="P2718" s="4" t="n">
        <f aca="false">IF(A2718=A2717,P2717+1-M2717,0)</f>
        <v>9</v>
      </c>
    </row>
    <row r="2719" customFormat="false" ht="15" hidden="false" customHeight="false" outlineLevel="0" collapsed="false">
      <c r="A2719" s="31" t="s">
        <v>4279</v>
      </c>
      <c r="B2719" s="31" t="s">
        <v>54</v>
      </c>
      <c r="C2719" s="31" t="s">
        <v>109</v>
      </c>
      <c r="D2719" s="31" t="s">
        <v>4280</v>
      </c>
      <c r="E2719" s="4" t="n">
        <v>11</v>
      </c>
      <c r="F2719" s="4" t="s">
        <v>213</v>
      </c>
      <c r="G2719" s="4" t="s">
        <v>552</v>
      </c>
      <c r="H2719" s="4" t="n">
        <v>1991</v>
      </c>
      <c r="I2719" s="4" t="s">
        <v>553</v>
      </c>
      <c r="J2719" s="25" t="str">
        <f aca="false">IF(M2719=1,"✓","")</f>
        <v/>
      </c>
      <c r="K2719" s="4" t="str">
        <f aca="false">IF(AND(M2719=0,P2719=0),"▶ NEXT","")</f>
        <v/>
      </c>
      <c r="L2719" s="4" t="n">
        <f aca="false">INDEX('Master List'!$F$2:$F$2594,O2719)</f>
        <v>3</v>
      </c>
      <c r="M2719" s="4" t="n">
        <f aca="false">INDEX('Master List'!$G$2:$G$2594,O2719)</f>
        <v>0</v>
      </c>
      <c r="N2719" s="4" t="str">
        <f aca="false">IF(K2719="","",A2719)</f>
        <v/>
      </c>
      <c r="O2719" s="4" t="n">
        <v>568</v>
      </c>
      <c r="P2719" s="4" t="n">
        <f aca="false">IF(A2719=A2718,P2718+1-M2718,0)</f>
        <v>10</v>
      </c>
    </row>
    <row r="2720" customFormat="false" ht="15" hidden="false" customHeight="false" outlineLevel="0" collapsed="false">
      <c r="A2720" s="31" t="s">
        <v>4279</v>
      </c>
      <c r="B2720" s="31" t="s">
        <v>54</v>
      </c>
      <c r="C2720" s="31" t="s">
        <v>109</v>
      </c>
      <c r="D2720" s="31" t="s">
        <v>4280</v>
      </c>
      <c r="E2720" s="4" t="n">
        <v>12</v>
      </c>
      <c r="F2720" s="4" t="s">
        <v>213</v>
      </c>
      <c r="G2720" s="4" t="s">
        <v>832</v>
      </c>
      <c r="H2720" s="4" t="n">
        <v>1993</v>
      </c>
      <c r="I2720" s="4" t="s">
        <v>833</v>
      </c>
      <c r="J2720" s="25" t="str">
        <f aca="false">IF(M2720=1,"✓","")</f>
        <v/>
      </c>
      <c r="K2720" s="4" t="str">
        <f aca="false">IF(AND(M2720=0,P2720=0),"▶ NEXT","")</f>
        <v/>
      </c>
      <c r="L2720" s="4" t="n">
        <f aca="false">INDEX('Master List'!$F$2:$F$2594,O2720)</f>
        <v>2</v>
      </c>
      <c r="M2720" s="4" t="n">
        <f aca="false">INDEX('Master List'!$G$2:$G$2594,O2720)</f>
        <v>0</v>
      </c>
      <c r="N2720" s="4" t="str">
        <f aca="false">IF(K2720="","",A2720)</f>
        <v/>
      </c>
      <c r="O2720" s="4" t="n">
        <v>1760</v>
      </c>
      <c r="P2720" s="4" t="n">
        <f aca="false">IF(A2720=A2719,P2719+1-M2719,0)</f>
        <v>11</v>
      </c>
    </row>
    <row r="2721" customFormat="false" ht="15" hidden="false" customHeight="false" outlineLevel="0" collapsed="false">
      <c r="A2721" s="31" t="s">
        <v>4279</v>
      </c>
      <c r="B2721" s="31" t="s">
        <v>54</v>
      </c>
      <c r="C2721" s="31" t="s">
        <v>109</v>
      </c>
      <c r="D2721" s="31" t="s">
        <v>4280</v>
      </c>
      <c r="E2721" s="4" t="n">
        <v>13</v>
      </c>
      <c r="F2721" s="4" t="s">
        <v>213</v>
      </c>
      <c r="G2721" s="4" t="s">
        <v>261</v>
      </c>
      <c r="H2721" s="4" t="n">
        <v>1999</v>
      </c>
      <c r="I2721" s="4" t="s">
        <v>262</v>
      </c>
      <c r="J2721" s="25" t="str">
        <f aca="false">IF(M2721=1,"✓","")</f>
        <v/>
      </c>
      <c r="K2721" s="4" t="str">
        <f aca="false">IF(AND(M2721=0,P2721=0),"▶ NEXT","")</f>
        <v/>
      </c>
      <c r="L2721" s="4" t="n">
        <f aca="false">INDEX('Master List'!$F$2:$F$2594,O2721)</f>
        <v>5</v>
      </c>
      <c r="M2721" s="4" t="n">
        <f aca="false">INDEX('Master List'!$G$2:$G$2594,O2721)</f>
        <v>0</v>
      </c>
      <c r="N2721" s="4" t="str">
        <f aca="false">IF(K2721="","",A2721)</f>
        <v/>
      </c>
      <c r="O2721" s="4" t="n">
        <v>206</v>
      </c>
      <c r="P2721" s="4" t="n">
        <f aca="false">IF(A2721=A2720,P2720+1-M2720,0)</f>
        <v>12</v>
      </c>
    </row>
    <row r="2722" customFormat="false" ht="15" hidden="false" customHeight="false" outlineLevel="0" collapsed="false">
      <c r="A2722" s="31" t="s">
        <v>4279</v>
      </c>
      <c r="B2722" s="31" t="s">
        <v>54</v>
      </c>
      <c r="C2722" s="31" t="s">
        <v>109</v>
      </c>
      <c r="D2722" s="31" t="s">
        <v>4280</v>
      </c>
      <c r="E2722" s="4" t="n">
        <v>14</v>
      </c>
      <c r="F2722" s="4" t="s">
        <v>213</v>
      </c>
      <c r="G2722" s="4" t="s">
        <v>440</v>
      </c>
      <c r="H2722" s="4" t="n">
        <v>2003</v>
      </c>
      <c r="I2722" s="4" t="s">
        <v>441</v>
      </c>
      <c r="J2722" s="25" t="str">
        <f aca="false">IF(M2722=1,"✓","")</f>
        <v>✓</v>
      </c>
      <c r="K2722" s="4" t="str">
        <f aca="false">IF(AND(M2722=0,P2722=0),"▶ NEXT","")</f>
        <v/>
      </c>
      <c r="L2722" s="4" t="n">
        <f aca="false">INDEX('Master List'!$F$2:$F$2594,O2722)</f>
        <v>3</v>
      </c>
      <c r="M2722" s="4" t="n">
        <f aca="false">INDEX('Master List'!$G$2:$G$2594,O2722)</f>
        <v>1</v>
      </c>
      <c r="N2722" s="4" t="str">
        <f aca="false">IF(K2722="","",A2722)</f>
        <v/>
      </c>
      <c r="O2722" s="4" t="n">
        <v>1385</v>
      </c>
      <c r="P2722" s="4" t="n">
        <f aca="false">IF(A2722=A2721,P2721+1-M2721,0)</f>
        <v>13</v>
      </c>
    </row>
    <row r="2723" customFormat="false" ht="15" hidden="false" customHeight="false" outlineLevel="0" collapsed="false">
      <c r="A2723" s="31" t="s">
        <v>4279</v>
      </c>
      <c r="B2723" s="31" t="s">
        <v>54</v>
      </c>
      <c r="C2723" s="31" t="s">
        <v>109</v>
      </c>
      <c r="D2723" s="31" t="s">
        <v>4280</v>
      </c>
      <c r="E2723" s="4" t="n">
        <v>15</v>
      </c>
      <c r="F2723" s="4" t="s">
        <v>213</v>
      </c>
      <c r="G2723" s="4" t="s">
        <v>864</v>
      </c>
      <c r="H2723" s="4" t="n">
        <v>2008</v>
      </c>
      <c r="I2723" s="4" t="s">
        <v>865</v>
      </c>
      <c r="J2723" s="25" t="str">
        <f aca="false">IF(M2723=1,"✓","")</f>
        <v/>
      </c>
      <c r="K2723" s="4" t="str">
        <f aca="false">IF(AND(M2723=0,P2723=0),"▶ NEXT","")</f>
        <v/>
      </c>
      <c r="L2723" s="4" t="n">
        <f aca="false">INDEX('Master List'!$F$2:$F$2594,O2723)</f>
        <v>2</v>
      </c>
      <c r="M2723" s="4" t="n">
        <f aca="false">INDEX('Master List'!$G$2:$G$2594,O2723)</f>
        <v>0</v>
      </c>
      <c r="N2723" s="4" t="str">
        <f aca="false">IF(K2723="","",A2723)</f>
        <v/>
      </c>
      <c r="O2723" s="4" t="n">
        <v>1091</v>
      </c>
      <c r="P2723" s="4" t="n">
        <f aca="false">IF(A2723=A2722,P2722+1-M2722,0)</f>
        <v>13</v>
      </c>
    </row>
    <row r="2724" customFormat="false" ht="15" hidden="false" customHeight="false" outlineLevel="0" collapsed="false">
      <c r="A2724" s="31" t="s">
        <v>4279</v>
      </c>
      <c r="B2724" s="31" t="s">
        <v>54</v>
      </c>
      <c r="C2724" s="31" t="s">
        <v>109</v>
      </c>
      <c r="D2724" s="31" t="s">
        <v>4280</v>
      </c>
      <c r="E2724" s="4" t="n">
        <v>16</v>
      </c>
      <c r="F2724" s="4" t="s">
        <v>213</v>
      </c>
      <c r="G2724" s="4" t="s">
        <v>1190</v>
      </c>
      <c r="H2724" s="4" t="n">
        <v>2009</v>
      </c>
      <c r="I2724" s="4" t="s">
        <v>1191</v>
      </c>
      <c r="J2724" s="25" t="str">
        <f aca="false">IF(M2724=1,"✓","")</f>
        <v/>
      </c>
      <c r="K2724" s="4" t="str">
        <f aca="false">IF(AND(M2724=0,P2724=0),"▶ NEXT","")</f>
        <v/>
      </c>
      <c r="L2724" s="4" t="n">
        <f aca="false">INDEX('Master List'!$F$2:$F$2594,O2724)</f>
        <v>2</v>
      </c>
      <c r="M2724" s="4" t="n">
        <f aca="false">INDEX('Master List'!$G$2:$G$2594,O2724)</f>
        <v>0</v>
      </c>
      <c r="N2724" s="4" t="str">
        <f aca="false">IF(K2724="","",A2724)</f>
        <v/>
      </c>
      <c r="O2724" s="4" t="n">
        <v>811</v>
      </c>
      <c r="P2724" s="4" t="n">
        <f aca="false">IF(A2724=A2723,P2723+1-M2723,0)</f>
        <v>14</v>
      </c>
    </row>
    <row r="2725" customFormat="false" ht="15" hidden="false" customHeight="false" outlineLevel="0" collapsed="false">
      <c r="A2725" s="31" t="s">
        <v>4279</v>
      </c>
      <c r="B2725" s="31" t="s">
        <v>54</v>
      </c>
      <c r="C2725" s="31" t="s">
        <v>109</v>
      </c>
      <c r="D2725" s="31" t="s">
        <v>4280</v>
      </c>
      <c r="E2725" s="4" t="n">
        <v>17</v>
      </c>
      <c r="F2725" s="4" t="s">
        <v>213</v>
      </c>
      <c r="G2725" s="4" t="s">
        <v>526</v>
      </c>
      <c r="H2725" s="4" t="n">
        <v>2016</v>
      </c>
      <c r="I2725" s="4" t="s">
        <v>527</v>
      </c>
      <c r="J2725" s="25" t="str">
        <f aca="false">IF(M2725=1,"✓","")</f>
        <v/>
      </c>
      <c r="K2725" s="4" t="str">
        <f aca="false">IF(AND(M2725=0,P2725=0),"▶ NEXT","")</f>
        <v/>
      </c>
      <c r="L2725" s="4" t="n">
        <f aca="false">INDEX('Master List'!$F$2:$F$2594,O2725)</f>
        <v>3</v>
      </c>
      <c r="M2725" s="4" t="n">
        <f aca="false">INDEX('Master List'!$G$2:$G$2594,O2725)</f>
        <v>0</v>
      </c>
      <c r="N2725" s="4" t="str">
        <f aca="false">IF(K2725="","",A2725)</f>
        <v/>
      </c>
      <c r="O2725" s="4" t="n">
        <v>2332</v>
      </c>
      <c r="P2725" s="4" t="n">
        <f aca="false">IF(A2725=A2724,P2724+1-M2724,0)</f>
        <v>15</v>
      </c>
    </row>
    <row r="2726" customFormat="false" ht="15" hidden="false" customHeight="false" outlineLevel="0" collapsed="false">
      <c r="A2726" s="31" t="s">
        <v>4279</v>
      </c>
      <c r="B2726" s="31" t="s">
        <v>54</v>
      </c>
      <c r="C2726" s="31" t="s">
        <v>109</v>
      </c>
      <c r="D2726" s="31" t="s">
        <v>4280</v>
      </c>
      <c r="E2726" s="4" t="n">
        <v>18</v>
      </c>
      <c r="F2726" s="4" t="s">
        <v>213</v>
      </c>
      <c r="G2726" s="4" t="s">
        <v>240</v>
      </c>
      <c r="H2726" s="4" t="n">
        <v>2019</v>
      </c>
      <c r="I2726" s="4" t="s">
        <v>241</v>
      </c>
      <c r="J2726" s="25" t="str">
        <f aca="false">IF(M2726=1,"✓","")</f>
        <v/>
      </c>
      <c r="K2726" s="4" t="str">
        <f aca="false">IF(AND(M2726=0,P2726=0),"▶ NEXT","")</f>
        <v/>
      </c>
      <c r="L2726" s="4" t="n">
        <f aca="false">INDEX('Master List'!$F$2:$F$2594,O2726)</f>
        <v>6</v>
      </c>
      <c r="M2726" s="4" t="n">
        <f aca="false">INDEX('Master List'!$G$2:$G$2594,O2726)</f>
        <v>0</v>
      </c>
      <c r="N2726" s="4" t="str">
        <f aca="false">IF(K2726="","",A2726)</f>
        <v/>
      </c>
      <c r="O2726" s="4" t="n">
        <v>1799</v>
      </c>
      <c r="P2726" s="4" t="n">
        <f aca="false">IF(A2726=A2725,P2725+1-M2725,0)</f>
        <v>16</v>
      </c>
    </row>
    <row r="2727" customFormat="false" ht="15" hidden="false" customHeight="false" outlineLevel="0" collapsed="false">
      <c r="A2727" s="31" t="s">
        <v>4279</v>
      </c>
      <c r="B2727" s="31" t="s">
        <v>54</v>
      </c>
      <c r="C2727" s="31" t="s">
        <v>109</v>
      </c>
      <c r="D2727" s="31" t="s">
        <v>4280</v>
      </c>
      <c r="E2727" s="4" t="n">
        <v>19</v>
      </c>
      <c r="F2727" s="4" t="s">
        <v>213</v>
      </c>
      <c r="G2727" s="4" t="s">
        <v>211</v>
      </c>
      <c r="H2727" s="4" t="n">
        <v>2022</v>
      </c>
      <c r="I2727" s="4" t="s">
        <v>212</v>
      </c>
      <c r="J2727" s="25" t="str">
        <f aca="false">IF(M2727=1,"✓","")</f>
        <v/>
      </c>
      <c r="K2727" s="4" t="str">
        <f aca="false">IF(AND(M2727=0,P2727=0),"▶ NEXT","")</f>
        <v/>
      </c>
      <c r="L2727" s="4" t="n">
        <f aca="false">INDEX('Master List'!$F$2:$F$2594,O2727)</f>
        <v>7</v>
      </c>
      <c r="M2727" s="4" t="n">
        <f aca="false">INDEX('Master List'!$G$2:$G$2594,O2727)</f>
        <v>0</v>
      </c>
      <c r="N2727" s="4" t="str">
        <f aca="false">IF(K2727="","",A2727)</f>
        <v/>
      </c>
      <c r="O2727" s="4" t="n">
        <v>53</v>
      </c>
      <c r="P2727" s="4" t="n">
        <f aca="false">IF(A2727=A2726,P2726+1-M2726,0)</f>
        <v>17</v>
      </c>
    </row>
    <row r="2728" customFormat="false" ht="15" hidden="false" customHeight="false" outlineLevel="0" collapsed="false">
      <c r="A2728" s="31" t="s">
        <v>4279</v>
      </c>
      <c r="B2728" s="31" t="s">
        <v>54</v>
      </c>
      <c r="C2728" s="31" t="s">
        <v>109</v>
      </c>
      <c r="D2728" s="31" t="s">
        <v>4280</v>
      </c>
      <c r="E2728" s="4" t="n">
        <v>20</v>
      </c>
      <c r="F2728" s="4" t="s">
        <v>1327</v>
      </c>
      <c r="G2728" s="4" t="s">
        <v>3545</v>
      </c>
      <c r="H2728" s="4" t="n">
        <v>1975</v>
      </c>
      <c r="I2728" s="4" t="s">
        <v>3546</v>
      </c>
      <c r="J2728" s="25" t="str">
        <f aca="false">IF(M2728=1,"✓","")</f>
        <v/>
      </c>
      <c r="K2728" s="4" t="str">
        <f aca="false">IF(AND(M2728=0,P2728=0),"▶ NEXT","")</f>
        <v/>
      </c>
      <c r="L2728" s="4" t="n">
        <f aca="false">INDEX('Master List'!$F$2:$F$2594,O2728)</f>
        <v>1</v>
      </c>
      <c r="M2728" s="4" t="n">
        <f aca="false">INDEX('Master List'!$G$2:$G$2594,O2728)</f>
        <v>0</v>
      </c>
      <c r="N2728" s="4" t="str">
        <f aca="false">IF(K2728="","",A2728)</f>
        <v/>
      </c>
      <c r="O2728" s="4" t="n">
        <v>2017</v>
      </c>
      <c r="P2728" s="4" t="n">
        <f aca="false">IF(A2728=A2727,P2727+1-M2727,0)</f>
        <v>18</v>
      </c>
    </row>
    <row r="2729" customFormat="false" ht="15" hidden="false" customHeight="false" outlineLevel="0" collapsed="false">
      <c r="A2729" s="31" t="s">
        <v>4281</v>
      </c>
      <c r="B2729" s="31" t="s">
        <v>54</v>
      </c>
      <c r="C2729" s="31" t="s">
        <v>109</v>
      </c>
      <c r="D2729" s="31" t="s">
        <v>4282</v>
      </c>
      <c r="E2729" s="4" t="n">
        <v>1</v>
      </c>
      <c r="F2729" s="4" t="s">
        <v>144</v>
      </c>
      <c r="G2729" s="7" t="s">
        <v>293</v>
      </c>
      <c r="H2729" s="4" t="n">
        <v>1978</v>
      </c>
      <c r="I2729" s="4" t="s">
        <v>266</v>
      </c>
      <c r="J2729" s="25" t="str">
        <f aca="false">IF(M2729=1,"✓","")</f>
        <v>✓</v>
      </c>
      <c r="K2729" s="4" t="str">
        <f aca="false">IF(AND(M2729=0,P2729=0),"▶ NEXT","")</f>
        <v/>
      </c>
      <c r="L2729" s="4" t="n">
        <f aca="false">INDEX('Master List'!$F$2:$F$2594,O2729)</f>
        <v>4</v>
      </c>
      <c r="M2729" s="4" t="n">
        <f aca="false">INDEX('Master List'!$G$2:$G$2594,O2729)</f>
        <v>1</v>
      </c>
      <c r="N2729" s="4" t="str">
        <f aca="false">IF(K2729="","",A2729)</f>
        <v/>
      </c>
      <c r="O2729" s="4" t="n">
        <v>981</v>
      </c>
      <c r="P2729" s="4" t="n">
        <f aca="false">IF(A2729=A2728,P2728+1-M2728,0)</f>
        <v>0</v>
      </c>
    </row>
    <row r="2730" customFormat="false" ht="15" hidden="false" customHeight="false" outlineLevel="0" collapsed="false">
      <c r="A2730" s="31" t="s">
        <v>4281</v>
      </c>
      <c r="B2730" s="31" t="s">
        <v>54</v>
      </c>
      <c r="C2730" s="31" t="s">
        <v>109</v>
      </c>
      <c r="D2730" s="31" t="s">
        <v>4282</v>
      </c>
      <c r="E2730" s="4" t="n">
        <v>2</v>
      </c>
      <c r="F2730" s="4" t="s">
        <v>144</v>
      </c>
      <c r="G2730" s="7" t="s">
        <v>678</v>
      </c>
      <c r="H2730" s="4" t="n">
        <v>1976</v>
      </c>
      <c r="I2730" s="4" t="s">
        <v>488</v>
      </c>
      <c r="J2730" s="25" t="str">
        <f aca="false">IF(M2730=1,"✓","")</f>
        <v>✓</v>
      </c>
      <c r="K2730" s="4" t="str">
        <f aca="false">IF(AND(M2730=0,P2730=0),"▶ NEXT","")</f>
        <v/>
      </c>
      <c r="L2730" s="4" t="n">
        <f aca="false">INDEX('Master List'!$F$2:$F$2594,O2730)</f>
        <v>2</v>
      </c>
      <c r="M2730" s="4" t="n">
        <f aca="false">INDEX('Master List'!$G$2:$G$2594,O2730)</f>
        <v>1</v>
      </c>
      <c r="N2730" s="4" t="str">
        <f aca="false">IF(K2730="","",A2730)</f>
        <v/>
      </c>
      <c r="O2730" s="4" t="n">
        <v>402</v>
      </c>
      <c r="P2730" s="4" t="n">
        <f aca="false">IF(A2730=A2729,P2729+1-M2729,0)</f>
        <v>0</v>
      </c>
    </row>
    <row r="2731" customFormat="false" ht="15" hidden="false" customHeight="false" outlineLevel="0" collapsed="false">
      <c r="A2731" s="31" t="s">
        <v>4281</v>
      </c>
      <c r="B2731" s="31" t="s">
        <v>54</v>
      </c>
      <c r="C2731" s="31" t="s">
        <v>109</v>
      </c>
      <c r="D2731" s="31" t="s">
        <v>4282</v>
      </c>
      <c r="E2731" s="4" t="n">
        <v>3</v>
      </c>
      <c r="F2731" s="4" t="s">
        <v>213</v>
      </c>
      <c r="G2731" s="4" t="s">
        <v>177</v>
      </c>
      <c r="H2731" s="4" t="n">
        <v>1960</v>
      </c>
      <c r="I2731" s="4" t="s">
        <v>162</v>
      </c>
      <c r="J2731" s="25" t="str">
        <f aca="false">IF(M2731=1,"✓","")</f>
        <v>✓</v>
      </c>
      <c r="K2731" s="4" t="str">
        <f aca="false">IF(AND(M2731=0,P2731=0),"▶ NEXT","")</f>
        <v/>
      </c>
      <c r="L2731" s="4" t="n">
        <f aca="false">INDEX('Master List'!$F$2:$F$2594,O2731)</f>
        <v>8</v>
      </c>
      <c r="M2731" s="4" t="n">
        <f aca="false">INDEX('Master List'!$G$2:$G$2594,O2731)</f>
        <v>1</v>
      </c>
      <c r="N2731" s="4" t="str">
        <f aca="false">IF(K2731="","",A2731)</f>
        <v/>
      </c>
      <c r="O2731" s="4" t="n">
        <v>1826</v>
      </c>
      <c r="P2731" s="4" t="n">
        <f aca="false">IF(A2731=A2730,P2730+1-M2730,0)</f>
        <v>0</v>
      </c>
    </row>
    <row r="2732" customFormat="false" ht="15" hidden="false" customHeight="false" outlineLevel="0" collapsed="false">
      <c r="A2732" s="31" t="s">
        <v>4281</v>
      </c>
      <c r="B2732" s="31" t="s">
        <v>54</v>
      </c>
      <c r="C2732" s="31" t="s">
        <v>109</v>
      </c>
      <c r="D2732" s="31" t="s">
        <v>4282</v>
      </c>
      <c r="E2732" s="4" t="n">
        <v>4</v>
      </c>
      <c r="F2732" s="4" t="s">
        <v>213</v>
      </c>
      <c r="G2732" s="4" t="s">
        <v>434</v>
      </c>
      <c r="H2732" s="4" t="n">
        <v>1974</v>
      </c>
      <c r="I2732" s="4" t="s">
        <v>435</v>
      </c>
      <c r="J2732" s="25" t="str">
        <f aca="false">IF(M2732=1,"✓","")</f>
        <v/>
      </c>
      <c r="K2732" s="4" t="str">
        <f aca="false">IF(AND(M2732=0,P2732=0),"▶ NEXT","")</f>
        <v>▶ NEXT</v>
      </c>
      <c r="L2732" s="4" t="n">
        <f aca="false">INDEX('Master List'!$F$2:$F$2594,O2732)</f>
        <v>3</v>
      </c>
      <c r="M2732" s="4" t="n">
        <f aca="false">INDEX('Master List'!$G$2:$G$2594,O2732)</f>
        <v>0</v>
      </c>
      <c r="N2732" s="4" t="str">
        <f aca="false">IF(K2732="","",A2732)</f>
        <v>N229</v>
      </c>
      <c r="O2732" s="4" t="n">
        <v>2260</v>
      </c>
      <c r="P2732" s="4" t="n">
        <f aca="false">IF(A2732=A2731,P2731+1-M2731,0)</f>
        <v>0</v>
      </c>
    </row>
    <row r="2733" customFormat="false" ht="15" hidden="false" customHeight="false" outlineLevel="0" collapsed="false">
      <c r="A2733" s="31" t="s">
        <v>4281</v>
      </c>
      <c r="B2733" s="31" t="s">
        <v>54</v>
      </c>
      <c r="C2733" s="31" t="s">
        <v>109</v>
      </c>
      <c r="D2733" s="31" t="s">
        <v>4282</v>
      </c>
      <c r="E2733" s="4" t="n">
        <v>5</v>
      </c>
      <c r="F2733" s="4" t="s">
        <v>213</v>
      </c>
      <c r="G2733" s="4" t="s">
        <v>362</v>
      </c>
      <c r="H2733" s="4" t="n">
        <v>1979</v>
      </c>
      <c r="I2733" s="4" t="s">
        <v>174</v>
      </c>
      <c r="J2733" s="25" t="str">
        <f aca="false">IF(M2733=1,"✓","")</f>
        <v>✓</v>
      </c>
      <c r="K2733" s="4" t="str">
        <f aca="false">IF(AND(M2733=0,P2733=0),"▶ NEXT","")</f>
        <v/>
      </c>
      <c r="L2733" s="4" t="n">
        <f aca="false">INDEX('Master List'!$F$2:$F$2594,O2733)</f>
        <v>4</v>
      </c>
      <c r="M2733" s="4" t="n">
        <f aca="false">INDEX('Master List'!$G$2:$G$2594,O2733)</f>
        <v>1</v>
      </c>
      <c r="N2733" s="4" t="str">
        <f aca="false">IF(K2733="","",A2733)</f>
        <v/>
      </c>
      <c r="O2733" s="4" t="n">
        <v>66</v>
      </c>
      <c r="P2733" s="4" t="n">
        <f aca="false">IF(A2733=A2732,P2732+1-M2732,0)</f>
        <v>1</v>
      </c>
    </row>
    <row r="2734" customFormat="false" ht="15" hidden="false" customHeight="false" outlineLevel="0" collapsed="false">
      <c r="A2734" s="31" t="s">
        <v>4281</v>
      </c>
      <c r="B2734" s="31" t="s">
        <v>54</v>
      </c>
      <c r="C2734" s="31" t="s">
        <v>109</v>
      </c>
      <c r="D2734" s="31" t="s">
        <v>4282</v>
      </c>
      <c r="E2734" s="4" t="n">
        <v>6</v>
      </c>
      <c r="F2734" s="4" t="s">
        <v>213</v>
      </c>
      <c r="G2734" s="4" t="s">
        <v>607</v>
      </c>
      <c r="H2734" s="4" t="n">
        <v>1979</v>
      </c>
      <c r="I2734" s="4" t="s">
        <v>316</v>
      </c>
      <c r="J2734" s="25" t="str">
        <f aca="false">IF(M2734=1,"✓","")</f>
        <v>✓</v>
      </c>
      <c r="K2734" s="4" t="str">
        <f aca="false">IF(AND(M2734=0,P2734=0),"▶ NEXT","")</f>
        <v/>
      </c>
      <c r="L2734" s="4" t="n">
        <f aca="false">INDEX('Master List'!$F$2:$F$2594,O2734)</f>
        <v>3</v>
      </c>
      <c r="M2734" s="4" t="n">
        <f aca="false">INDEX('Master List'!$G$2:$G$2594,O2734)</f>
        <v>1</v>
      </c>
      <c r="N2734" s="4" t="str">
        <f aca="false">IF(K2734="","",A2734)</f>
        <v/>
      </c>
      <c r="O2734" s="4" t="n">
        <v>359</v>
      </c>
      <c r="P2734" s="4" t="n">
        <f aca="false">IF(A2734=A2733,P2733+1-M2733,0)</f>
        <v>1</v>
      </c>
    </row>
    <row r="2735" customFormat="false" ht="15" hidden="false" customHeight="false" outlineLevel="0" collapsed="false">
      <c r="A2735" s="31" t="s">
        <v>4281</v>
      </c>
      <c r="B2735" s="31" t="s">
        <v>54</v>
      </c>
      <c r="C2735" s="31" t="s">
        <v>109</v>
      </c>
      <c r="D2735" s="31" t="s">
        <v>4282</v>
      </c>
      <c r="E2735" s="4" t="n">
        <v>7</v>
      </c>
      <c r="F2735" s="4" t="s">
        <v>213</v>
      </c>
      <c r="G2735" s="4" t="s">
        <v>794</v>
      </c>
      <c r="H2735" s="4" t="n">
        <v>1973</v>
      </c>
      <c r="I2735" s="4" t="s">
        <v>479</v>
      </c>
      <c r="J2735" s="25" t="str">
        <f aca="false">IF(M2735=1,"✓","")</f>
        <v>✓</v>
      </c>
      <c r="K2735" s="4" t="str">
        <f aca="false">IF(AND(M2735=0,P2735=0),"▶ NEXT","")</f>
        <v/>
      </c>
      <c r="L2735" s="4" t="n">
        <f aca="false">INDEX('Master List'!$F$2:$F$2594,O2735)</f>
        <v>2</v>
      </c>
      <c r="M2735" s="4" t="n">
        <f aca="false">INDEX('Master List'!$G$2:$G$2594,O2735)</f>
        <v>1</v>
      </c>
      <c r="N2735" s="4" t="str">
        <f aca="false">IF(K2735="","",A2735)</f>
        <v/>
      </c>
      <c r="O2735" s="4" t="n">
        <v>763</v>
      </c>
      <c r="P2735" s="4" t="n">
        <f aca="false">IF(A2735=A2734,P2734+1-M2734,0)</f>
        <v>1</v>
      </c>
    </row>
    <row r="2736" customFormat="false" ht="15" hidden="false" customHeight="false" outlineLevel="0" collapsed="false">
      <c r="A2736" s="31" t="s">
        <v>4281</v>
      </c>
      <c r="B2736" s="31" t="s">
        <v>54</v>
      </c>
      <c r="C2736" s="31" t="s">
        <v>109</v>
      </c>
      <c r="D2736" s="31" t="s">
        <v>4282</v>
      </c>
      <c r="E2736" s="4" t="n">
        <v>8</v>
      </c>
      <c r="F2736" s="4" t="s">
        <v>213</v>
      </c>
      <c r="G2736" s="4" t="s">
        <v>560</v>
      </c>
      <c r="H2736" s="4" t="n">
        <v>1981</v>
      </c>
      <c r="I2736" s="4" t="s">
        <v>561</v>
      </c>
      <c r="J2736" s="25" t="str">
        <f aca="false">IF(M2736=1,"✓","")</f>
        <v/>
      </c>
      <c r="K2736" s="4" t="str">
        <f aca="false">IF(AND(M2736=0,P2736=0),"▶ NEXT","")</f>
        <v/>
      </c>
      <c r="L2736" s="4" t="n">
        <f aca="false">INDEX('Master List'!$F$2:$F$2594,O2736)</f>
        <v>4</v>
      </c>
      <c r="M2736" s="4" t="n">
        <f aca="false">INDEX('Master List'!$G$2:$G$2594,O2736)</f>
        <v>0</v>
      </c>
      <c r="N2736" s="4" t="str">
        <f aca="false">IF(K2736="","",A2736)</f>
        <v/>
      </c>
      <c r="O2736" s="4" t="n">
        <v>1801</v>
      </c>
      <c r="P2736" s="4" t="n">
        <f aca="false">IF(A2736=A2735,P2735+1-M2735,0)</f>
        <v>1</v>
      </c>
    </row>
    <row r="2737" customFormat="false" ht="15" hidden="false" customHeight="false" outlineLevel="0" collapsed="false">
      <c r="A2737" s="31" t="s">
        <v>4281</v>
      </c>
      <c r="B2737" s="31" t="s">
        <v>54</v>
      </c>
      <c r="C2737" s="31" t="s">
        <v>109</v>
      </c>
      <c r="D2737" s="31" t="s">
        <v>4282</v>
      </c>
      <c r="E2737" s="4" t="n">
        <v>9</v>
      </c>
      <c r="F2737" s="4" t="s">
        <v>213</v>
      </c>
      <c r="G2737" s="4" t="s">
        <v>2931</v>
      </c>
      <c r="H2737" s="4" t="n">
        <v>2009</v>
      </c>
      <c r="I2737" s="4" t="s">
        <v>2932</v>
      </c>
      <c r="J2737" s="25" t="str">
        <f aca="false">IF(M2737=1,"✓","")</f>
        <v/>
      </c>
      <c r="K2737" s="4" t="str">
        <f aca="false">IF(AND(M2737=0,P2737=0),"▶ NEXT","")</f>
        <v/>
      </c>
      <c r="L2737" s="4" t="n">
        <f aca="false">INDEX('Master List'!$F$2:$F$2594,O2737)</f>
        <v>1</v>
      </c>
      <c r="M2737" s="4" t="n">
        <f aca="false">INDEX('Master List'!$G$2:$G$2594,O2737)</f>
        <v>0</v>
      </c>
      <c r="N2737" s="4" t="str">
        <f aca="false">IF(K2737="","",A2737)</f>
        <v/>
      </c>
      <c r="O2737" s="4" t="n">
        <v>1202</v>
      </c>
      <c r="P2737" s="4" t="n">
        <f aca="false">IF(A2737=A2736,P2736+1-M2736,0)</f>
        <v>2</v>
      </c>
    </row>
    <row r="2738" customFormat="false" ht="15" hidden="false" customHeight="false" outlineLevel="0" collapsed="false">
      <c r="A2738" s="31" t="s">
        <v>4281</v>
      </c>
      <c r="B2738" s="31" t="s">
        <v>54</v>
      </c>
      <c r="C2738" s="31" t="s">
        <v>109</v>
      </c>
      <c r="D2738" s="31" t="s">
        <v>4282</v>
      </c>
      <c r="E2738" s="4" t="n">
        <v>10</v>
      </c>
      <c r="F2738" s="4" t="s">
        <v>213</v>
      </c>
      <c r="G2738" s="4" t="s">
        <v>875</v>
      </c>
      <c r="H2738" s="4" t="n">
        <v>2016</v>
      </c>
      <c r="I2738" s="4" t="s">
        <v>876</v>
      </c>
      <c r="J2738" s="25" t="str">
        <f aca="false">IF(M2738=1,"✓","")</f>
        <v/>
      </c>
      <c r="K2738" s="4" t="str">
        <f aca="false">IF(AND(M2738=0,P2738=0),"▶ NEXT","")</f>
        <v/>
      </c>
      <c r="L2738" s="4" t="n">
        <f aca="false">INDEX('Master List'!$F$2:$F$2594,O2738)</f>
        <v>2</v>
      </c>
      <c r="M2738" s="4" t="n">
        <f aca="false">INDEX('Master List'!$G$2:$G$2594,O2738)</f>
        <v>0</v>
      </c>
      <c r="N2738" s="4" t="str">
        <f aca="false">IF(K2738="","",A2738)</f>
        <v/>
      </c>
      <c r="O2738" s="4" t="n">
        <v>1863</v>
      </c>
      <c r="P2738" s="4" t="n">
        <f aca="false">IF(A2738=A2737,P2737+1-M2737,0)</f>
        <v>3</v>
      </c>
    </row>
    <row r="2739" customFormat="false" ht="15" hidden="false" customHeight="false" outlineLevel="0" collapsed="false">
      <c r="A2739" s="31" t="s">
        <v>4281</v>
      </c>
      <c r="B2739" s="31" t="s">
        <v>54</v>
      </c>
      <c r="C2739" s="31" t="s">
        <v>109</v>
      </c>
      <c r="D2739" s="31" t="s">
        <v>4282</v>
      </c>
      <c r="E2739" s="4" t="n">
        <v>11</v>
      </c>
      <c r="F2739" s="4" t="s">
        <v>1327</v>
      </c>
      <c r="G2739" s="4" t="s">
        <v>3574</v>
      </c>
      <c r="H2739" s="4" t="n">
        <v>1978</v>
      </c>
      <c r="I2739" s="4" t="s">
        <v>3575</v>
      </c>
      <c r="J2739" s="25" t="str">
        <f aca="false">IF(M2739=1,"✓","")</f>
        <v/>
      </c>
      <c r="K2739" s="4" t="str">
        <f aca="false">IF(AND(M2739=0,P2739=0),"▶ NEXT","")</f>
        <v/>
      </c>
      <c r="L2739" s="4" t="n">
        <f aca="false">INDEX('Master List'!$F$2:$F$2594,O2739)</f>
        <v>1</v>
      </c>
      <c r="M2739" s="4" t="n">
        <f aca="false">INDEX('Master List'!$G$2:$G$2594,O2739)</f>
        <v>0</v>
      </c>
      <c r="N2739" s="4" t="str">
        <f aca="false">IF(K2739="","",A2739)</f>
        <v/>
      </c>
      <c r="O2739" s="4" t="n">
        <v>1108</v>
      </c>
      <c r="P2739" s="4" t="n">
        <f aca="false">IF(A2739=A2738,P2738+1-M2738,0)</f>
        <v>4</v>
      </c>
    </row>
    <row r="2740" customFormat="false" ht="15" hidden="false" customHeight="false" outlineLevel="0" collapsed="false">
      <c r="A2740" s="31" t="s">
        <v>4281</v>
      </c>
      <c r="B2740" s="31" t="s">
        <v>54</v>
      </c>
      <c r="C2740" s="31" t="s">
        <v>109</v>
      </c>
      <c r="D2740" s="31" t="s">
        <v>4282</v>
      </c>
      <c r="E2740" s="4" t="n">
        <v>12</v>
      </c>
      <c r="F2740" s="4" t="s">
        <v>1327</v>
      </c>
      <c r="G2740" s="4" t="s">
        <v>3596</v>
      </c>
      <c r="H2740" s="4" t="n">
        <v>1981</v>
      </c>
      <c r="I2740" s="4" t="s">
        <v>3597</v>
      </c>
      <c r="J2740" s="25" t="str">
        <f aca="false">IF(M2740=1,"✓","")</f>
        <v/>
      </c>
      <c r="K2740" s="4" t="str">
        <f aca="false">IF(AND(M2740=0,P2740=0),"▶ NEXT","")</f>
        <v/>
      </c>
      <c r="L2740" s="4" t="n">
        <f aca="false">INDEX('Master List'!$F$2:$F$2594,O2740)</f>
        <v>1</v>
      </c>
      <c r="M2740" s="4" t="n">
        <f aca="false">INDEX('Master List'!$G$2:$G$2594,O2740)</f>
        <v>0</v>
      </c>
      <c r="N2740" s="4" t="str">
        <f aca="false">IF(K2740="","",A2740)</f>
        <v/>
      </c>
      <c r="O2740" s="4" t="n">
        <v>1551</v>
      </c>
      <c r="P2740" s="4" t="n">
        <f aca="false">IF(A2740=A2739,P2739+1-M2739,0)</f>
        <v>5</v>
      </c>
    </row>
    <row r="2741" customFormat="false" ht="15" hidden="false" customHeight="false" outlineLevel="0" collapsed="false">
      <c r="A2741" s="31" t="s">
        <v>4283</v>
      </c>
      <c r="B2741" s="31" t="s">
        <v>54</v>
      </c>
      <c r="C2741" s="31" t="s">
        <v>110</v>
      </c>
      <c r="D2741" s="31" t="s">
        <v>4284</v>
      </c>
      <c r="E2741" s="4" t="n">
        <v>1</v>
      </c>
      <c r="F2741" s="4" t="s">
        <v>144</v>
      </c>
      <c r="G2741" s="7" t="s">
        <v>721</v>
      </c>
      <c r="H2741" s="4" t="n">
        <v>1920</v>
      </c>
      <c r="I2741" s="4" t="s">
        <v>722</v>
      </c>
      <c r="J2741" s="25" t="str">
        <f aca="false">IF(M2741=1,"✓","")</f>
        <v/>
      </c>
      <c r="K2741" s="4" t="str">
        <f aca="false">IF(AND(M2741=0,P2741=0),"▶ NEXT","")</f>
        <v>▶ NEXT</v>
      </c>
      <c r="L2741" s="4" t="n">
        <f aca="false">INDEX('Master List'!$F$2:$F$2594,O2741)</f>
        <v>2</v>
      </c>
      <c r="M2741" s="4" t="n">
        <f aca="false">INDEX('Master List'!$G$2:$G$2594,O2741)</f>
        <v>0</v>
      </c>
      <c r="N2741" s="4" t="str">
        <f aca="false">IF(K2741="","",A2741)</f>
        <v>N230</v>
      </c>
      <c r="O2741" s="4" t="n">
        <v>2535</v>
      </c>
      <c r="P2741" s="4" t="n">
        <f aca="false">IF(A2741=A2740,P2740+1-M2740,0)</f>
        <v>0</v>
      </c>
    </row>
    <row r="2742" customFormat="false" ht="15" hidden="false" customHeight="false" outlineLevel="0" collapsed="false">
      <c r="A2742" s="31" t="s">
        <v>4283</v>
      </c>
      <c r="B2742" s="31" t="s">
        <v>54</v>
      </c>
      <c r="C2742" s="31" t="s">
        <v>110</v>
      </c>
      <c r="D2742" s="31" t="s">
        <v>4284</v>
      </c>
      <c r="E2742" s="4" t="n">
        <v>2</v>
      </c>
      <c r="F2742" s="4" t="s">
        <v>144</v>
      </c>
      <c r="G2742" s="7" t="s">
        <v>1429</v>
      </c>
      <c r="H2742" s="4" t="n">
        <v>1925</v>
      </c>
      <c r="I2742" s="4" t="s">
        <v>722</v>
      </c>
      <c r="J2742" s="25" t="str">
        <f aca="false">IF(M2742=1,"✓","")</f>
        <v/>
      </c>
      <c r="K2742" s="4" t="str">
        <f aca="false">IF(AND(M2742=0,P2742=0),"▶ NEXT","")</f>
        <v/>
      </c>
      <c r="L2742" s="4" t="n">
        <f aca="false">INDEX('Master List'!$F$2:$F$2594,O2742)</f>
        <v>1</v>
      </c>
      <c r="M2742" s="4" t="n">
        <f aca="false">INDEX('Master List'!$G$2:$G$2594,O2742)</f>
        <v>0</v>
      </c>
      <c r="N2742" s="4" t="str">
        <f aca="false">IF(K2742="","",A2742)</f>
        <v/>
      </c>
      <c r="O2742" s="4" t="n">
        <v>307</v>
      </c>
      <c r="P2742" s="4" t="n">
        <f aca="false">IF(A2742=A2741,P2741+1-M2741,0)</f>
        <v>1</v>
      </c>
    </row>
    <row r="2743" customFormat="false" ht="15" hidden="false" customHeight="false" outlineLevel="0" collapsed="false">
      <c r="A2743" s="31" t="s">
        <v>4283</v>
      </c>
      <c r="B2743" s="31" t="s">
        <v>54</v>
      </c>
      <c r="C2743" s="31" t="s">
        <v>110</v>
      </c>
      <c r="D2743" s="31" t="s">
        <v>4284</v>
      </c>
      <c r="E2743" s="4" t="n">
        <v>3</v>
      </c>
      <c r="F2743" s="4" t="s">
        <v>213</v>
      </c>
      <c r="G2743" s="4" t="s">
        <v>1702</v>
      </c>
      <c r="H2743" s="4" t="n">
        <v>1929</v>
      </c>
      <c r="I2743" s="4" t="s">
        <v>1703</v>
      </c>
      <c r="J2743" s="25" t="str">
        <f aca="false">IF(M2743=1,"✓","")</f>
        <v/>
      </c>
      <c r="K2743" s="4" t="str">
        <f aca="false">IF(AND(M2743=0,P2743=0),"▶ NEXT","")</f>
        <v/>
      </c>
      <c r="L2743" s="4" t="n">
        <f aca="false">INDEX('Master List'!$F$2:$F$2594,O2743)</f>
        <v>1</v>
      </c>
      <c r="M2743" s="4" t="n">
        <f aca="false">INDEX('Master List'!$G$2:$G$2594,O2743)</f>
        <v>0</v>
      </c>
      <c r="N2743" s="4" t="str">
        <f aca="false">IF(K2743="","",A2743)</f>
        <v/>
      </c>
      <c r="O2743" s="4" t="n">
        <v>1981</v>
      </c>
      <c r="P2743" s="4" t="n">
        <f aca="false">IF(A2743=A2742,P2742+1-M2742,0)</f>
        <v>2</v>
      </c>
    </row>
    <row r="2744" customFormat="false" ht="15" hidden="false" customHeight="false" outlineLevel="0" collapsed="false">
      <c r="A2744" s="31" t="s">
        <v>4283</v>
      </c>
      <c r="B2744" s="31" t="s">
        <v>54</v>
      </c>
      <c r="C2744" s="31" t="s">
        <v>110</v>
      </c>
      <c r="D2744" s="31" t="s">
        <v>4284</v>
      </c>
      <c r="E2744" s="4" t="n">
        <v>4</v>
      </c>
      <c r="F2744" s="4" t="s">
        <v>213</v>
      </c>
      <c r="G2744" s="4" t="s">
        <v>1704</v>
      </c>
      <c r="H2744" s="4" t="n">
        <v>1929</v>
      </c>
      <c r="I2744" s="4" t="s">
        <v>535</v>
      </c>
      <c r="J2744" s="25" t="str">
        <f aca="false">IF(M2744=1,"✓","")</f>
        <v/>
      </c>
      <c r="K2744" s="4" t="str">
        <f aca="false">IF(AND(M2744=0,P2744=0),"▶ NEXT","")</f>
        <v/>
      </c>
      <c r="L2744" s="4" t="n">
        <f aca="false">INDEX('Master List'!$F$2:$F$2594,O2744)</f>
        <v>1</v>
      </c>
      <c r="M2744" s="4" t="n">
        <f aca="false">INDEX('Master List'!$G$2:$G$2594,O2744)</f>
        <v>0</v>
      </c>
      <c r="N2744" s="4" t="str">
        <f aca="false">IF(K2744="","",A2744)</f>
        <v/>
      </c>
      <c r="O2744" s="4" t="n">
        <v>980</v>
      </c>
      <c r="P2744" s="4" t="n">
        <f aca="false">IF(A2744=A2743,P2743+1-M2743,0)</f>
        <v>3</v>
      </c>
    </row>
    <row r="2745" customFormat="false" ht="15" hidden="false" customHeight="false" outlineLevel="0" collapsed="false">
      <c r="A2745" s="31" t="s">
        <v>4283</v>
      </c>
      <c r="B2745" s="31" t="s">
        <v>54</v>
      </c>
      <c r="C2745" s="31" t="s">
        <v>110</v>
      </c>
      <c r="D2745" s="31" t="s">
        <v>4284</v>
      </c>
      <c r="E2745" s="4" t="n">
        <v>5</v>
      </c>
      <c r="F2745" s="4" t="s">
        <v>213</v>
      </c>
      <c r="G2745" s="4" t="s">
        <v>1810</v>
      </c>
      <c r="H2745" s="4" t="n">
        <v>1943</v>
      </c>
      <c r="I2745" s="4" t="s">
        <v>570</v>
      </c>
      <c r="J2745" s="25" t="str">
        <f aca="false">IF(M2745=1,"✓","")</f>
        <v/>
      </c>
      <c r="K2745" s="4" t="str">
        <f aca="false">IF(AND(M2745=0,P2745=0),"▶ NEXT","")</f>
        <v/>
      </c>
      <c r="L2745" s="4" t="n">
        <f aca="false">INDEX('Master List'!$F$2:$F$2594,O2745)</f>
        <v>1</v>
      </c>
      <c r="M2745" s="4" t="n">
        <f aca="false">INDEX('Master List'!$G$2:$G$2594,O2745)</f>
        <v>0</v>
      </c>
      <c r="N2745" s="4" t="str">
        <f aca="false">IF(K2745="","",A2745)</f>
        <v/>
      </c>
      <c r="O2745" s="4" t="n">
        <v>376</v>
      </c>
      <c r="P2745" s="4" t="n">
        <f aca="false">IF(A2745=A2744,P2744+1-M2744,0)</f>
        <v>4</v>
      </c>
    </row>
    <row r="2746" customFormat="false" ht="15" hidden="false" customHeight="false" outlineLevel="0" collapsed="false">
      <c r="A2746" s="31" t="s">
        <v>4283</v>
      </c>
      <c r="B2746" s="31" t="s">
        <v>54</v>
      </c>
      <c r="C2746" s="31" t="s">
        <v>110</v>
      </c>
      <c r="D2746" s="31" t="s">
        <v>4284</v>
      </c>
      <c r="E2746" s="4" t="n">
        <v>6</v>
      </c>
      <c r="F2746" s="4" t="s">
        <v>213</v>
      </c>
      <c r="G2746" s="4" t="s">
        <v>1811</v>
      </c>
      <c r="H2746" s="4" t="n">
        <v>1943</v>
      </c>
      <c r="I2746" s="4" t="s">
        <v>1812</v>
      </c>
      <c r="J2746" s="25" t="str">
        <f aca="false">IF(M2746=1,"✓","")</f>
        <v/>
      </c>
      <c r="K2746" s="4" t="str">
        <f aca="false">IF(AND(M2746=0,P2746=0),"▶ NEXT","")</f>
        <v/>
      </c>
      <c r="L2746" s="4" t="n">
        <f aca="false">INDEX('Master List'!$F$2:$F$2594,O2746)</f>
        <v>1</v>
      </c>
      <c r="M2746" s="4" t="n">
        <f aca="false">INDEX('Master List'!$G$2:$G$2594,O2746)</f>
        <v>0</v>
      </c>
      <c r="N2746" s="4" t="str">
        <f aca="false">IF(K2746="","",A2746)</f>
        <v/>
      </c>
      <c r="O2746" s="4" t="n">
        <v>2164</v>
      </c>
      <c r="P2746" s="4" t="n">
        <f aca="false">IF(A2746=A2745,P2745+1-M2745,0)</f>
        <v>5</v>
      </c>
    </row>
    <row r="2747" customFormat="false" ht="15" hidden="false" customHeight="false" outlineLevel="0" collapsed="false">
      <c r="A2747" s="31" t="s">
        <v>4283</v>
      </c>
      <c r="B2747" s="31" t="s">
        <v>54</v>
      </c>
      <c r="C2747" s="31" t="s">
        <v>110</v>
      </c>
      <c r="D2747" s="31" t="s">
        <v>4284</v>
      </c>
      <c r="E2747" s="4" t="n">
        <v>7</v>
      </c>
      <c r="F2747" s="4" t="s">
        <v>213</v>
      </c>
      <c r="G2747" s="4" t="s">
        <v>1912</v>
      </c>
      <c r="H2747" s="4" t="n">
        <v>1954</v>
      </c>
      <c r="I2747" s="4" t="s">
        <v>951</v>
      </c>
      <c r="J2747" s="25" t="str">
        <f aca="false">IF(M2747=1,"✓","")</f>
        <v/>
      </c>
      <c r="K2747" s="4" t="str">
        <f aca="false">IF(AND(M2747=0,P2747=0),"▶ NEXT","")</f>
        <v/>
      </c>
      <c r="L2747" s="4" t="n">
        <f aca="false">INDEX('Master List'!$F$2:$F$2594,O2747)</f>
        <v>1</v>
      </c>
      <c r="M2747" s="4" t="n">
        <f aca="false">INDEX('Master List'!$G$2:$G$2594,O2747)</f>
        <v>0</v>
      </c>
      <c r="N2747" s="4" t="str">
        <f aca="false">IF(K2747="","",A2747)</f>
        <v/>
      </c>
      <c r="O2747" s="4" t="n">
        <v>397</v>
      </c>
      <c r="P2747" s="4" t="n">
        <f aca="false">IF(A2747=A2746,P2746+1-M2746,0)</f>
        <v>6</v>
      </c>
    </row>
    <row r="2748" customFormat="false" ht="15" hidden="false" customHeight="false" outlineLevel="0" collapsed="false">
      <c r="A2748" s="31" t="s">
        <v>4283</v>
      </c>
      <c r="B2748" s="31" t="s">
        <v>54</v>
      </c>
      <c r="C2748" s="31" t="s">
        <v>110</v>
      </c>
      <c r="D2748" s="31" t="s">
        <v>4284</v>
      </c>
      <c r="E2748" s="4" t="n">
        <v>8</v>
      </c>
      <c r="F2748" s="4" t="s">
        <v>1327</v>
      </c>
      <c r="G2748" s="4" t="s">
        <v>3316</v>
      </c>
      <c r="H2748" s="4" t="n">
        <v>1932</v>
      </c>
      <c r="I2748" s="4" t="s">
        <v>722</v>
      </c>
      <c r="J2748" s="25" t="str">
        <f aca="false">IF(M2748=1,"✓","")</f>
        <v/>
      </c>
      <c r="K2748" s="4" t="str">
        <f aca="false">IF(AND(M2748=0,P2748=0),"▶ NEXT","")</f>
        <v/>
      </c>
      <c r="L2748" s="4" t="n">
        <f aca="false">INDEX('Master List'!$F$2:$F$2594,O2748)</f>
        <v>1</v>
      </c>
      <c r="M2748" s="4" t="n">
        <f aca="false">INDEX('Master List'!$G$2:$G$2594,O2748)</f>
        <v>0</v>
      </c>
      <c r="N2748" s="4" t="str">
        <f aca="false">IF(K2748="","",A2748)</f>
        <v/>
      </c>
      <c r="O2748" s="4" t="n">
        <v>2424</v>
      </c>
      <c r="P2748" s="4" t="n">
        <f aca="false">IF(A2748=A2747,P2747+1-M2747,0)</f>
        <v>7</v>
      </c>
    </row>
    <row r="2749" customFormat="false" ht="15" hidden="false" customHeight="false" outlineLevel="0" collapsed="false">
      <c r="A2749" s="31" t="s">
        <v>4283</v>
      </c>
      <c r="B2749" s="31" t="s">
        <v>54</v>
      </c>
      <c r="C2749" s="31" t="s">
        <v>110</v>
      </c>
      <c r="D2749" s="31" t="s">
        <v>4284</v>
      </c>
      <c r="E2749" s="4" t="n">
        <v>9</v>
      </c>
      <c r="F2749" s="4" t="s">
        <v>1327</v>
      </c>
      <c r="G2749" s="4" t="s">
        <v>3328</v>
      </c>
      <c r="H2749" s="4" t="n">
        <v>1938</v>
      </c>
      <c r="I2749" s="4" t="s">
        <v>3329</v>
      </c>
      <c r="J2749" s="25" t="str">
        <f aca="false">IF(M2749=1,"✓","")</f>
        <v/>
      </c>
      <c r="K2749" s="4" t="str">
        <f aca="false">IF(AND(M2749=0,P2749=0),"▶ NEXT","")</f>
        <v/>
      </c>
      <c r="L2749" s="4" t="n">
        <f aca="false">INDEX('Master List'!$F$2:$F$2594,O2749)</f>
        <v>1</v>
      </c>
      <c r="M2749" s="4" t="n">
        <f aca="false">INDEX('Master List'!$G$2:$G$2594,O2749)</f>
        <v>0</v>
      </c>
      <c r="N2749" s="4" t="str">
        <f aca="false">IF(K2749="","",A2749)</f>
        <v/>
      </c>
      <c r="O2749" s="4" t="n">
        <v>2135</v>
      </c>
      <c r="P2749" s="4" t="n">
        <f aca="false">IF(A2749=A2748,P2748+1-M2748,0)</f>
        <v>8</v>
      </c>
    </row>
    <row r="2750" customFormat="false" ht="15" hidden="false" customHeight="false" outlineLevel="0" collapsed="false">
      <c r="A2750" s="31" t="s">
        <v>4285</v>
      </c>
      <c r="B2750" s="31" t="s">
        <v>54</v>
      </c>
      <c r="C2750" s="31" t="s">
        <v>110</v>
      </c>
      <c r="D2750" s="31" t="s">
        <v>4286</v>
      </c>
      <c r="E2750" s="4" t="n">
        <v>1</v>
      </c>
      <c r="F2750" s="4" t="s">
        <v>144</v>
      </c>
      <c r="G2750" s="7" t="s">
        <v>238</v>
      </c>
      <c r="H2750" s="4" t="n">
        <v>1978</v>
      </c>
      <c r="I2750" s="4" t="s">
        <v>239</v>
      </c>
      <c r="J2750" s="25" t="str">
        <f aca="false">IF(M2750=1,"✓","")</f>
        <v/>
      </c>
      <c r="K2750" s="4" t="str">
        <f aca="false">IF(AND(M2750=0,P2750=0),"▶ NEXT","")</f>
        <v>▶ NEXT</v>
      </c>
      <c r="L2750" s="4" t="n">
        <f aca="false">INDEX('Master List'!$F$2:$F$2594,O2750)</f>
        <v>6</v>
      </c>
      <c r="M2750" s="4" t="n">
        <f aca="false">INDEX('Master List'!$G$2:$G$2594,O2750)</f>
        <v>0</v>
      </c>
      <c r="N2750" s="4" t="str">
        <f aca="false">IF(K2750="","",A2750)</f>
        <v>N231</v>
      </c>
      <c r="O2750" s="4" t="n">
        <v>1248</v>
      </c>
      <c r="P2750" s="4" t="n">
        <f aca="false">IF(A2750=A2749,P2749+1-M2749,0)</f>
        <v>0</v>
      </c>
    </row>
    <row r="2751" customFormat="false" ht="15" hidden="false" customHeight="false" outlineLevel="0" collapsed="false">
      <c r="A2751" s="31" t="s">
        <v>4285</v>
      </c>
      <c r="B2751" s="31" t="s">
        <v>54</v>
      </c>
      <c r="C2751" s="31" t="s">
        <v>110</v>
      </c>
      <c r="D2751" s="31" t="s">
        <v>4286</v>
      </c>
      <c r="E2751" s="4" t="n">
        <v>2</v>
      </c>
      <c r="F2751" s="4" t="s">
        <v>144</v>
      </c>
      <c r="G2751" s="7" t="s">
        <v>552</v>
      </c>
      <c r="H2751" s="4" t="n">
        <v>1991</v>
      </c>
      <c r="I2751" s="4" t="s">
        <v>553</v>
      </c>
      <c r="J2751" s="25" t="str">
        <f aca="false">IF(M2751=1,"✓","")</f>
        <v/>
      </c>
      <c r="K2751" s="4" t="str">
        <f aca="false">IF(AND(M2751=0,P2751=0),"▶ NEXT","")</f>
        <v/>
      </c>
      <c r="L2751" s="4" t="n">
        <f aca="false">INDEX('Master List'!$F$2:$F$2594,O2751)</f>
        <v>3</v>
      </c>
      <c r="M2751" s="4" t="n">
        <f aca="false">INDEX('Master List'!$G$2:$G$2594,O2751)</f>
        <v>0</v>
      </c>
      <c r="N2751" s="4" t="str">
        <f aca="false">IF(K2751="","",A2751)</f>
        <v/>
      </c>
      <c r="O2751" s="4" t="n">
        <v>568</v>
      </c>
      <c r="P2751" s="4" t="n">
        <f aca="false">IF(A2751=A2750,P2750+1-M2750,0)</f>
        <v>1</v>
      </c>
    </row>
    <row r="2752" customFormat="false" ht="15" hidden="false" customHeight="false" outlineLevel="0" collapsed="false">
      <c r="A2752" s="31" t="s">
        <v>4285</v>
      </c>
      <c r="B2752" s="31" t="s">
        <v>54</v>
      </c>
      <c r="C2752" s="31" t="s">
        <v>110</v>
      </c>
      <c r="D2752" s="31" t="s">
        <v>4286</v>
      </c>
      <c r="E2752" s="4" t="n">
        <v>3</v>
      </c>
      <c r="F2752" s="4" t="s">
        <v>213</v>
      </c>
      <c r="G2752" s="4" t="s">
        <v>2390</v>
      </c>
      <c r="H2752" s="4" t="n">
        <v>1983</v>
      </c>
      <c r="I2752" s="4" t="s">
        <v>2391</v>
      </c>
      <c r="J2752" s="25" t="str">
        <f aca="false">IF(M2752=1,"✓","")</f>
        <v/>
      </c>
      <c r="K2752" s="4" t="str">
        <f aca="false">IF(AND(M2752=0,P2752=0),"▶ NEXT","")</f>
        <v/>
      </c>
      <c r="L2752" s="4" t="n">
        <f aca="false">INDEX('Master List'!$F$2:$F$2594,O2752)</f>
        <v>1</v>
      </c>
      <c r="M2752" s="4" t="n">
        <f aca="false">INDEX('Master List'!$G$2:$G$2594,O2752)</f>
        <v>0</v>
      </c>
      <c r="N2752" s="4" t="str">
        <f aca="false">IF(K2752="","",A2752)</f>
        <v/>
      </c>
      <c r="O2752" s="4" t="n">
        <v>283</v>
      </c>
      <c r="P2752" s="4" t="n">
        <f aca="false">IF(A2752=A2751,P2751+1-M2751,0)</f>
        <v>2</v>
      </c>
    </row>
    <row r="2753" customFormat="false" ht="15" hidden="false" customHeight="false" outlineLevel="0" collapsed="false">
      <c r="A2753" s="31" t="s">
        <v>4285</v>
      </c>
      <c r="B2753" s="31" t="s">
        <v>54</v>
      </c>
      <c r="C2753" s="31" t="s">
        <v>110</v>
      </c>
      <c r="D2753" s="31" t="s">
        <v>4286</v>
      </c>
      <c r="E2753" s="4" t="n">
        <v>4</v>
      </c>
      <c r="F2753" s="4" t="s">
        <v>213</v>
      </c>
      <c r="G2753" s="4" t="s">
        <v>2368</v>
      </c>
      <c r="H2753" s="4" t="n">
        <v>1982</v>
      </c>
      <c r="I2753" s="4" t="s">
        <v>2273</v>
      </c>
      <c r="J2753" s="25" t="str">
        <f aca="false">IF(M2753=1,"✓","")</f>
        <v/>
      </c>
      <c r="K2753" s="4" t="str">
        <f aca="false">IF(AND(M2753=0,P2753=0),"▶ NEXT","")</f>
        <v/>
      </c>
      <c r="L2753" s="4" t="n">
        <f aca="false">INDEX('Master List'!$F$2:$F$2594,O2753)</f>
        <v>1</v>
      </c>
      <c r="M2753" s="4" t="n">
        <f aca="false">INDEX('Master List'!$G$2:$G$2594,O2753)</f>
        <v>0</v>
      </c>
      <c r="N2753" s="4" t="str">
        <f aca="false">IF(K2753="","",A2753)</f>
        <v/>
      </c>
      <c r="O2753" s="4" t="n">
        <v>137</v>
      </c>
      <c r="P2753" s="4" t="n">
        <f aca="false">IF(A2753=A2752,P2752+1-M2752,0)</f>
        <v>3</v>
      </c>
    </row>
    <row r="2754" customFormat="false" ht="15" hidden="false" customHeight="false" outlineLevel="0" collapsed="false">
      <c r="A2754" s="31" t="s">
        <v>4285</v>
      </c>
      <c r="B2754" s="31" t="s">
        <v>54</v>
      </c>
      <c r="C2754" s="31" t="s">
        <v>110</v>
      </c>
      <c r="D2754" s="31" t="s">
        <v>4286</v>
      </c>
      <c r="E2754" s="4" t="n">
        <v>5</v>
      </c>
      <c r="F2754" s="4" t="s">
        <v>213</v>
      </c>
      <c r="G2754" s="4" t="s">
        <v>2272</v>
      </c>
      <c r="H2754" s="4" t="n">
        <v>1975</v>
      </c>
      <c r="I2754" s="4" t="s">
        <v>2273</v>
      </c>
      <c r="J2754" s="25" t="str">
        <f aca="false">IF(M2754=1,"✓","")</f>
        <v/>
      </c>
      <c r="K2754" s="4" t="str">
        <f aca="false">IF(AND(M2754=0,P2754=0),"▶ NEXT","")</f>
        <v/>
      </c>
      <c r="L2754" s="4" t="n">
        <f aca="false">INDEX('Master List'!$F$2:$F$2594,O2754)</f>
        <v>1</v>
      </c>
      <c r="M2754" s="4" t="n">
        <f aca="false">INDEX('Master List'!$G$2:$G$2594,O2754)</f>
        <v>0</v>
      </c>
      <c r="N2754" s="4" t="str">
        <f aca="false">IF(K2754="","",A2754)</f>
        <v/>
      </c>
      <c r="O2754" s="4" t="n">
        <v>372</v>
      </c>
      <c r="P2754" s="4" t="n">
        <f aca="false">IF(A2754=A2753,P2753+1-M2753,0)</f>
        <v>4</v>
      </c>
    </row>
    <row r="2755" customFormat="false" ht="15" hidden="false" customHeight="false" outlineLevel="0" collapsed="false">
      <c r="A2755" s="31" t="s">
        <v>4285</v>
      </c>
      <c r="B2755" s="31" t="s">
        <v>54</v>
      </c>
      <c r="C2755" s="31" t="s">
        <v>110</v>
      </c>
      <c r="D2755" s="31" t="s">
        <v>4286</v>
      </c>
      <c r="E2755" s="4" t="n">
        <v>6</v>
      </c>
      <c r="F2755" s="4" t="s">
        <v>213</v>
      </c>
      <c r="G2755" s="4" t="s">
        <v>2392</v>
      </c>
      <c r="H2755" s="4" t="n">
        <v>1983</v>
      </c>
      <c r="I2755" s="4" t="s">
        <v>239</v>
      </c>
      <c r="J2755" s="25" t="str">
        <f aca="false">IF(M2755=1,"✓","")</f>
        <v/>
      </c>
      <c r="K2755" s="4" t="str">
        <f aca="false">IF(AND(M2755=0,P2755=0),"▶ NEXT","")</f>
        <v/>
      </c>
      <c r="L2755" s="4" t="n">
        <f aca="false">INDEX('Master List'!$F$2:$F$2594,O2755)</f>
        <v>1</v>
      </c>
      <c r="M2755" s="4" t="n">
        <f aca="false">INDEX('Master List'!$G$2:$G$2594,O2755)</f>
        <v>0</v>
      </c>
      <c r="N2755" s="4" t="str">
        <f aca="false">IF(K2755="","",A2755)</f>
        <v/>
      </c>
      <c r="O2755" s="4" t="n">
        <v>1568</v>
      </c>
      <c r="P2755" s="4" t="n">
        <f aca="false">IF(A2755=A2754,P2754+1-M2754,0)</f>
        <v>5</v>
      </c>
    </row>
    <row r="2756" customFormat="false" ht="15" hidden="false" customHeight="false" outlineLevel="0" collapsed="false">
      <c r="A2756" s="31" t="s">
        <v>4285</v>
      </c>
      <c r="B2756" s="31" t="s">
        <v>54</v>
      </c>
      <c r="C2756" s="31" t="s">
        <v>110</v>
      </c>
      <c r="D2756" s="31" t="s">
        <v>4286</v>
      </c>
      <c r="E2756" s="4" t="n">
        <v>7</v>
      </c>
      <c r="F2756" s="4" t="s">
        <v>213</v>
      </c>
      <c r="G2756" s="4" t="s">
        <v>2514</v>
      </c>
      <c r="H2756" s="4" t="n">
        <v>1990</v>
      </c>
      <c r="I2756" s="4" t="s">
        <v>239</v>
      </c>
      <c r="J2756" s="25" t="str">
        <f aca="false">IF(M2756=1,"✓","")</f>
        <v/>
      </c>
      <c r="K2756" s="4" t="str">
        <f aca="false">IF(AND(M2756=0,P2756=0),"▶ NEXT","")</f>
        <v/>
      </c>
      <c r="L2756" s="4" t="n">
        <f aca="false">INDEX('Master List'!$F$2:$F$2594,O2756)</f>
        <v>1</v>
      </c>
      <c r="M2756" s="4" t="n">
        <f aca="false">INDEX('Master List'!$G$2:$G$2594,O2756)</f>
        <v>0</v>
      </c>
      <c r="N2756" s="4" t="str">
        <f aca="false">IF(K2756="","",A2756)</f>
        <v/>
      </c>
      <c r="O2756" s="4" t="n">
        <v>2322</v>
      </c>
      <c r="P2756" s="4" t="n">
        <f aca="false">IF(A2756=A2755,P2755+1-M2755,0)</f>
        <v>6</v>
      </c>
    </row>
    <row r="2757" customFormat="false" ht="15" hidden="false" customHeight="false" outlineLevel="0" collapsed="false">
      <c r="A2757" s="31" t="s">
        <v>4285</v>
      </c>
      <c r="B2757" s="31" t="s">
        <v>54</v>
      </c>
      <c r="C2757" s="31" t="s">
        <v>110</v>
      </c>
      <c r="D2757" s="31" t="s">
        <v>4286</v>
      </c>
      <c r="E2757" s="4" t="n">
        <v>8</v>
      </c>
      <c r="F2757" s="4" t="s">
        <v>1327</v>
      </c>
      <c r="G2757" s="4" t="s">
        <v>3610</v>
      </c>
      <c r="H2757" s="4" t="n">
        <v>1982</v>
      </c>
      <c r="I2757" s="4" t="s">
        <v>553</v>
      </c>
      <c r="J2757" s="25" t="str">
        <f aca="false">IF(M2757=1,"✓","")</f>
        <v/>
      </c>
      <c r="K2757" s="4" t="str">
        <f aca="false">IF(AND(M2757=0,P2757=0),"▶ NEXT","")</f>
        <v/>
      </c>
      <c r="L2757" s="4" t="n">
        <f aca="false">INDEX('Master List'!$F$2:$F$2594,O2757)</f>
        <v>1</v>
      </c>
      <c r="M2757" s="4" t="n">
        <f aca="false">INDEX('Master List'!$G$2:$G$2594,O2757)</f>
        <v>0</v>
      </c>
      <c r="N2757" s="4" t="str">
        <f aca="false">IF(K2757="","",A2757)</f>
        <v/>
      </c>
      <c r="O2757" s="4" t="n">
        <v>1119</v>
      </c>
      <c r="P2757" s="4" t="n">
        <f aca="false">IF(A2757=A2756,P2756+1-M2756,0)</f>
        <v>7</v>
      </c>
    </row>
    <row r="2758" customFormat="false" ht="15" hidden="false" customHeight="false" outlineLevel="0" collapsed="false">
      <c r="A2758" s="31" t="s">
        <v>4285</v>
      </c>
      <c r="B2758" s="31" t="s">
        <v>54</v>
      </c>
      <c r="C2758" s="31" t="s">
        <v>110</v>
      </c>
      <c r="D2758" s="31" t="s">
        <v>4286</v>
      </c>
      <c r="E2758" s="4" t="n">
        <v>9</v>
      </c>
      <c r="F2758" s="4" t="s">
        <v>1327</v>
      </c>
      <c r="G2758" s="4" t="s">
        <v>3565</v>
      </c>
      <c r="H2758" s="4" t="n">
        <v>1977</v>
      </c>
      <c r="I2758" s="4" t="s">
        <v>2629</v>
      </c>
      <c r="J2758" s="25" t="str">
        <f aca="false">IF(M2758=1,"✓","")</f>
        <v/>
      </c>
      <c r="K2758" s="4" t="str">
        <f aca="false">IF(AND(M2758=0,P2758=0),"▶ NEXT","")</f>
        <v/>
      </c>
      <c r="L2758" s="4" t="n">
        <f aca="false">INDEX('Master List'!$F$2:$F$2594,O2758)</f>
        <v>1</v>
      </c>
      <c r="M2758" s="4" t="n">
        <f aca="false">INDEX('Master List'!$G$2:$G$2594,O2758)</f>
        <v>0</v>
      </c>
      <c r="N2758" s="4" t="str">
        <f aca="false">IF(K2758="","",A2758)</f>
        <v/>
      </c>
      <c r="O2758" s="4" t="n">
        <v>1728</v>
      </c>
      <c r="P2758" s="4" t="n">
        <f aca="false">IF(A2758=A2757,P2757+1-M2757,0)</f>
        <v>8</v>
      </c>
    </row>
    <row r="2759" customFormat="false" ht="15" hidden="false" customHeight="false" outlineLevel="0" collapsed="false">
      <c r="A2759" s="31" t="s">
        <v>4285</v>
      </c>
      <c r="B2759" s="31" t="s">
        <v>54</v>
      </c>
      <c r="C2759" s="31" t="s">
        <v>110</v>
      </c>
      <c r="D2759" s="31" t="s">
        <v>4286</v>
      </c>
      <c r="E2759" s="4" t="n">
        <v>10</v>
      </c>
      <c r="F2759" s="4" t="s">
        <v>1327</v>
      </c>
      <c r="G2759" s="4" t="s">
        <v>3523</v>
      </c>
      <c r="H2759" s="4" t="n">
        <v>1973</v>
      </c>
      <c r="I2759" s="4" t="s">
        <v>239</v>
      </c>
      <c r="J2759" s="25" t="str">
        <f aca="false">IF(M2759=1,"✓","")</f>
        <v/>
      </c>
      <c r="K2759" s="4" t="str">
        <f aca="false">IF(AND(M2759=0,P2759=0),"▶ NEXT","")</f>
        <v/>
      </c>
      <c r="L2759" s="4" t="n">
        <f aca="false">INDEX('Master List'!$F$2:$F$2594,O2759)</f>
        <v>1</v>
      </c>
      <c r="M2759" s="4" t="n">
        <f aca="false">INDEX('Master List'!$G$2:$G$2594,O2759)</f>
        <v>0</v>
      </c>
      <c r="N2759" s="4" t="str">
        <f aca="false">IF(K2759="","",A2759)</f>
        <v/>
      </c>
      <c r="O2759" s="4" t="n">
        <v>1061</v>
      </c>
      <c r="P2759" s="4" t="n">
        <f aca="false">IF(A2759=A2758,P2758+1-M2758,0)</f>
        <v>9</v>
      </c>
    </row>
    <row r="2760" customFormat="false" ht="15" hidden="false" customHeight="false" outlineLevel="0" collapsed="false">
      <c r="A2760" s="31" t="s">
        <v>4287</v>
      </c>
      <c r="B2760" s="31" t="s">
        <v>54</v>
      </c>
      <c r="C2760" s="31" t="s">
        <v>110</v>
      </c>
      <c r="D2760" s="31" t="s">
        <v>4288</v>
      </c>
      <c r="E2760" s="4" t="n">
        <v>1</v>
      </c>
      <c r="F2760" s="4" t="s">
        <v>144</v>
      </c>
      <c r="G2760" s="7" t="s">
        <v>1486</v>
      </c>
      <c r="H2760" s="4" t="n">
        <v>1971</v>
      </c>
      <c r="I2760" s="4" t="s">
        <v>1487</v>
      </c>
      <c r="J2760" s="25" t="str">
        <f aca="false">IF(M2760=1,"✓","")</f>
        <v/>
      </c>
      <c r="K2760" s="4" t="str">
        <f aca="false">IF(AND(M2760=0,P2760=0),"▶ NEXT","")</f>
        <v>▶ NEXT</v>
      </c>
      <c r="L2760" s="4" t="n">
        <f aca="false">INDEX('Master List'!$F$2:$F$2594,O2760)</f>
        <v>1</v>
      </c>
      <c r="M2760" s="4" t="n">
        <f aca="false">INDEX('Master List'!$G$2:$G$2594,O2760)</f>
        <v>0</v>
      </c>
      <c r="N2760" s="4" t="str">
        <f aca="false">IF(K2760="","",A2760)</f>
        <v>N232</v>
      </c>
      <c r="O2760" s="4" t="n">
        <v>2216</v>
      </c>
      <c r="P2760" s="4" t="n">
        <f aca="false">IF(A2760=A2759,P2759+1-M2759,0)</f>
        <v>0</v>
      </c>
    </row>
    <row r="2761" customFormat="false" ht="15" hidden="false" customHeight="false" outlineLevel="0" collapsed="false">
      <c r="A2761" s="31" t="s">
        <v>4287</v>
      </c>
      <c r="B2761" s="31" t="s">
        <v>54</v>
      </c>
      <c r="C2761" s="31" t="s">
        <v>110</v>
      </c>
      <c r="D2761" s="31" t="s">
        <v>4288</v>
      </c>
      <c r="E2761" s="4" t="n">
        <v>2</v>
      </c>
      <c r="F2761" s="4" t="s">
        <v>144</v>
      </c>
      <c r="G2761" s="7" t="s">
        <v>1488</v>
      </c>
      <c r="H2761" s="4" t="n">
        <v>1971</v>
      </c>
      <c r="I2761" s="4" t="s">
        <v>1489</v>
      </c>
      <c r="J2761" s="25" t="str">
        <f aca="false">IF(M2761=1,"✓","")</f>
        <v/>
      </c>
      <c r="K2761" s="4" t="str">
        <f aca="false">IF(AND(M2761=0,P2761=0),"▶ NEXT","")</f>
        <v/>
      </c>
      <c r="L2761" s="4" t="n">
        <f aca="false">INDEX('Master List'!$F$2:$F$2594,O2761)</f>
        <v>1</v>
      </c>
      <c r="M2761" s="4" t="n">
        <f aca="false">INDEX('Master List'!$G$2:$G$2594,O2761)</f>
        <v>0</v>
      </c>
      <c r="N2761" s="4" t="str">
        <f aca="false">IF(K2761="","",A2761)</f>
        <v/>
      </c>
      <c r="O2761" s="4" t="n">
        <v>2032</v>
      </c>
      <c r="P2761" s="4" t="n">
        <f aca="false">IF(A2761=A2760,P2760+1-M2760,0)</f>
        <v>1</v>
      </c>
    </row>
    <row r="2762" customFormat="false" ht="15" hidden="false" customHeight="false" outlineLevel="0" collapsed="false">
      <c r="A2762" s="31" t="s">
        <v>4287</v>
      </c>
      <c r="B2762" s="31" t="s">
        <v>54</v>
      </c>
      <c r="C2762" s="31" t="s">
        <v>110</v>
      </c>
      <c r="D2762" s="31" t="s">
        <v>4288</v>
      </c>
      <c r="E2762" s="4" t="n">
        <v>3</v>
      </c>
      <c r="F2762" s="4" t="s">
        <v>213</v>
      </c>
      <c r="G2762" s="4" t="s">
        <v>2204</v>
      </c>
      <c r="H2762" s="4" t="n">
        <v>1972</v>
      </c>
      <c r="I2762" s="4" t="s">
        <v>2205</v>
      </c>
      <c r="J2762" s="25" t="str">
        <f aca="false">IF(M2762=1,"✓","")</f>
        <v/>
      </c>
      <c r="K2762" s="4" t="str">
        <f aca="false">IF(AND(M2762=0,P2762=0),"▶ NEXT","")</f>
        <v/>
      </c>
      <c r="L2762" s="4" t="n">
        <f aca="false">INDEX('Master List'!$F$2:$F$2594,O2762)</f>
        <v>1</v>
      </c>
      <c r="M2762" s="4" t="n">
        <f aca="false">INDEX('Master List'!$G$2:$G$2594,O2762)</f>
        <v>0</v>
      </c>
      <c r="N2762" s="4" t="str">
        <f aca="false">IF(K2762="","",A2762)</f>
        <v/>
      </c>
      <c r="O2762" s="4" t="n">
        <v>2204</v>
      </c>
      <c r="P2762" s="4" t="n">
        <f aca="false">IF(A2762=A2761,P2761+1-M2761,0)</f>
        <v>2</v>
      </c>
    </row>
    <row r="2763" customFormat="false" ht="15" hidden="false" customHeight="false" outlineLevel="0" collapsed="false">
      <c r="A2763" s="31" t="s">
        <v>4287</v>
      </c>
      <c r="B2763" s="31" t="s">
        <v>54</v>
      </c>
      <c r="C2763" s="31" t="s">
        <v>110</v>
      </c>
      <c r="D2763" s="31" t="s">
        <v>4288</v>
      </c>
      <c r="E2763" s="4" t="n">
        <v>4</v>
      </c>
      <c r="F2763" s="4" t="s">
        <v>213</v>
      </c>
      <c r="G2763" s="4" t="s">
        <v>1021</v>
      </c>
      <c r="H2763" s="4" t="n">
        <v>1973</v>
      </c>
      <c r="I2763" s="4" t="s">
        <v>1022</v>
      </c>
      <c r="J2763" s="25" t="str">
        <f aca="false">IF(M2763=1,"✓","")</f>
        <v/>
      </c>
      <c r="K2763" s="4" t="str">
        <f aca="false">IF(AND(M2763=0,P2763=0),"▶ NEXT","")</f>
        <v/>
      </c>
      <c r="L2763" s="4" t="n">
        <f aca="false">INDEX('Master List'!$F$2:$F$2594,O2763)</f>
        <v>2</v>
      </c>
      <c r="M2763" s="4" t="n">
        <f aca="false">INDEX('Master List'!$G$2:$G$2594,O2763)</f>
        <v>0</v>
      </c>
      <c r="N2763" s="4" t="str">
        <f aca="false">IF(K2763="","",A2763)</f>
        <v/>
      </c>
      <c r="O2763" s="4" t="n">
        <v>492</v>
      </c>
      <c r="P2763" s="4" t="n">
        <f aca="false">IF(A2763=A2762,P2762+1-M2762,0)</f>
        <v>3</v>
      </c>
    </row>
    <row r="2764" customFormat="false" ht="15" hidden="false" customHeight="false" outlineLevel="0" collapsed="false">
      <c r="A2764" s="31" t="s">
        <v>4287</v>
      </c>
      <c r="B2764" s="31" t="s">
        <v>54</v>
      </c>
      <c r="C2764" s="31" t="s">
        <v>110</v>
      </c>
      <c r="D2764" s="31" t="s">
        <v>4288</v>
      </c>
      <c r="E2764" s="4" t="n">
        <v>5</v>
      </c>
      <c r="F2764" s="4" t="s">
        <v>213</v>
      </c>
      <c r="G2764" s="4" t="s">
        <v>2251</v>
      </c>
      <c r="H2764" s="4" t="n">
        <v>1974</v>
      </c>
      <c r="I2764" s="4" t="s">
        <v>1022</v>
      </c>
      <c r="J2764" s="25" t="str">
        <f aca="false">IF(M2764=1,"✓","")</f>
        <v/>
      </c>
      <c r="K2764" s="4" t="str">
        <f aca="false">IF(AND(M2764=0,P2764=0),"▶ NEXT","")</f>
        <v/>
      </c>
      <c r="L2764" s="4" t="n">
        <f aca="false">INDEX('Master List'!$F$2:$F$2594,O2764)</f>
        <v>1</v>
      </c>
      <c r="M2764" s="4" t="n">
        <f aca="false">INDEX('Master List'!$G$2:$G$2594,O2764)</f>
        <v>0</v>
      </c>
      <c r="N2764" s="4" t="str">
        <f aca="false">IF(K2764="","",A2764)</f>
        <v/>
      </c>
      <c r="O2764" s="4" t="n">
        <v>844</v>
      </c>
      <c r="P2764" s="4" t="n">
        <f aca="false">IF(A2764=A2763,P2763+1-M2763,0)</f>
        <v>4</v>
      </c>
    </row>
    <row r="2765" customFormat="false" ht="15" hidden="false" customHeight="false" outlineLevel="0" collapsed="false">
      <c r="A2765" s="31" t="s">
        <v>4287</v>
      </c>
      <c r="B2765" s="31" t="s">
        <v>54</v>
      </c>
      <c r="C2765" s="31" t="s">
        <v>110</v>
      </c>
      <c r="D2765" s="31" t="s">
        <v>4288</v>
      </c>
      <c r="E2765" s="4" t="n">
        <v>6</v>
      </c>
      <c r="F2765" s="4" t="s">
        <v>213</v>
      </c>
      <c r="G2765" s="4" t="s">
        <v>2206</v>
      </c>
      <c r="H2765" s="4" t="n">
        <v>1972</v>
      </c>
      <c r="I2765" s="4" t="s">
        <v>2207</v>
      </c>
      <c r="J2765" s="25" t="str">
        <f aca="false">IF(M2765=1,"✓","")</f>
        <v/>
      </c>
      <c r="K2765" s="4" t="str">
        <f aca="false">IF(AND(M2765=0,P2765=0),"▶ NEXT","")</f>
        <v/>
      </c>
      <c r="L2765" s="4" t="n">
        <f aca="false">INDEX('Master List'!$F$2:$F$2594,O2765)</f>
        <v>1</v>
      </c>
      <c r="M2765" s="4" t="n">
        <f aca="false">INDEX('Master List'!$G$2:$G$2594,O2765)</f>
        <v>0</v>
      </c>
      <c r="N2765" s="4" t="str">
        <f aca="false">IF(K2765="","",A2765)</f>
        <v/>
      </c>
      <c r="O2765" s="4" t="n">
        <v>39</v>
      </c>
      <c r="P2765" s="4" t="n">
        <f aca="false">IF(A2765=A2764,P2764+1-M2764,0)</f>
        <v>5</v>
      </c>
    </row>
    <row r="2766" customFormat="false" ht="15" hidden="false" customHeight="false" outlineLevel="0" collapsed="false">
      <c r="A2766" s="31" t="s">
        <v>4287</v>
      </c>
      <c r="B2766" s="31" t="s">
        <v>54</v>
      </c>
      <c r="C2766" s="31" t="s">
        <v>110</v>
      </c>
      <c r="D2766" s="31" t="s">
        <v>4288</v>
      </c>
      <c r="E2766" s="4" t="n">
        <v>7</v>
      </c>
      <c r="F2766" s="4" t="s">
        <v>213</v>
      </c>
      <c r="G2766" s="4" t="s">
        <v>2208</v>
      </c>
      <c r="H2766" s="4" t="n">
        <v>1972</v>
      </c>
      <c r="I2766" s="4" t="s">
        <v>2209</v>
      </c>
      <c r="J2766" s="25" t="str">
        <f aca="false">IF(M2766=1,"✓","")</f>
        <v/>
      </c>
      <c r="K2766" s="4" t="str">
        <f aca="false">IF(AND(M2766=0,P2766=0),"▶ NEXT","")</f>
        <v/>
      </c>
      <c r="L2766" s="4" t="n">
        <f aca="false">INDEX('Master List'!$F$2:$F$2594,O2766)</f>
        <v>1</v>
      </c>
      <c r="M2766" s="4" t="n">
        <f aca="false">INDEX('Master List'!$G$2:$G$2594,O2766)</f>
        <v>0</v>
      </c>
      <c r="N2766" s="4" t="str">
        <f aca="false">IF(K2766="","",A2766)</f>
        <v/>
      </c>
      <c r="O2766" s="4" t="n">
        <v>277</v>
      </c>
      <c r="P2766" s="4" t="n">
        <f aca="false">IF(A2766=A2765,P2765+1-M2765,0)</f>
        <v>6</v>
      </c>
    </row>
    <row r="2767" customFormat="false" ht="15" hidden="false" customHeight="false" outlineLevel="0" collapsed="false">
      <c r="A2767" s="31" t="s">
        <v>4287</v>
      </c>
      <c r="B2767" s="31" t="s">
        <v>54</v>
      </c>
      <c r="C2767" s="31" t="s">
        <v>110</v>
      </c>
      <c r="D2767" s="31" t="s">
        <v>4288</v>
      </c>
      <c r="E2767" s="4" t="n">
        <v>8</v>
      </c>
      <c r="F2767" s="4" t="s">
        <v>213</v>
      </c>
      <c r="G2767" s="4" t="s">
        <v>2274</v>
      </c>
      <c r="H2767" s="4" t="n">
        <v>1975</v>
      </c>
      <c r="I2767" s="4" t="s">
        <v>2275</v>
      </c>
      <c r="J2767" s="25" t="str">
        <f aca="false">IF(M2767=1,"✓","")</f>
        <v/>
      </c>
      <c r="K2767" s="4" t="str">
        <f aca="false">IF(AND(M2767=0,P2767=0),"▶ NEXT","")</f>
        <v/>
      </c>
      <c r="L2767" s="4" t="n">
        <f aca="false">INDEX('Master List'!$F$2:$F$2594,O2767)</f>
        <v>1</v>
      </c>
      <c r="M2767" s="4" t="n">
        <f aca="false">INDEX('Master List'!$G$2:$G$2594,O2767)</f>
        <v>0</v>
      </c>
      <c r="N2767" s="4" t="str">
        <f aca="false">IF(K2767="","",A2767)</f>
        <v/>
      </c>
      <c r="O2767" s="4" t="n">
        <v>656</v>
      </c>
      <c r="P2767" s="4" t="n">
        <f aca="false">IF(A2767=A2766,P2766+1-M2766,0)</f>
        <v>7</v>
      </c>
    </row>
    <row r="2768" customFormat="false" ht="15" hidden="false" customHeight="false" outlineLevel="0" collapsed="false">
      <c r="A2768" s="31" t="s">
        <v>4287</v>
      </c>
      <c r="B2768" s="31" t="s">
        <v>54</v>
      </c>
      <c r="C2768" s="31" t="s">
        <v>110</v>
      </c>
      <c r="D2768" s="31" t="s">
        <v>4288</v>
      </c>
      <c r="E2768" s="4" t="n">
        <v>9</v>
      </c>
      <c r="F2768" s="4" t="s">
        <v>213</v>
      </c>
      <c r="G2768" s="4" t="s">
        <v>1121</v>
      </c>
      <c r="H2768" s="4" t="n">
        <v>1997</v>
      </c>
      <c r="I2768" s="4" t="s">
        <v>208</v>
      </c>
      <c r="J2768" s="25" t="str">
        <f aca="false">IF(M2768=1,"✓","")</f>
        <v>✓</v>
      </c>
      <c r="K2768" s="4" t="str">
        <f aca="false">IF(AND(M2768=0,P2768=0),"▶ NEXT","")</f>
        <v/>
      </c>
      <c r="L2768" s="4" t="n">
        <f aca="false">INDEX('Master List'!$F$2:$F$2594,O2768)</f>
        <v>2</v>
      </c>
      <c r="M2768" s="4" t="n">
        <f aca="false">INDEX('Master List'!$G$2:$G$2594,O2768)</f>
        <v>1</v>
      </c>
      <c r="N2768" s="4" t="str">
        <f aca="false">IF(K2768="","",A2768)</f>
        <v/>
      </c>
      <c r="O2768" s="4" t="n">
        <v>1190</v>
      </c>
      <c r="P2768" s="4" t="n">
        <f aca="false">IF(A2768=A2767,P2767+1-M2767,0)</f>
        <v>8</v>
      </c>
    </row>
    <row r="2769" customFormat="false" ht="15" hidden="false" customHeight="false" outlineLevel="0" collapsed="false">
      <c r="A2769" s="31" t="s">
        <v>4287</v>
      </c>
      <c r="B2769" s="31" t="s">
        <v>54</v>
      </c>
      <c r="C2769" s="31" t="s">
        <v>110</v>
      </c>
      <c r="D2769" s="31" t="s">
        <v>4288</v>
      </c>
      <c r="E2769" s="4" t="n">
        <v>10</v>
      </c>
      <c r="F2769" s="4" t="s">
        <v>1327</v>
      </c>
      <c r="G2769" s="4" t="s">
        <v>3524</v>
      </c>
      <c r="H2769" s="4" t="n">
        <v>1973</v>
      </c>
      <c r="I2769" s="4" t="s">
        <v>3525</v>
      </c>
      <c r="J2769" s="25" t="str">
        <f aca="false">IF(M2769=1,"✓","")</f>
        <v/>
      </c>
      <c r="K2769" s="4" t="str">
        <f aca="false">IF(AND(M2769=0,P2769=0),"▶ NEXT","")</f>
        <v/>
      </c>
      <c r="L2769" s="4" t="n">
        <f aca="false">INDEX('Master List'!$F$2:$F$2594,O2769)</f>
        <v>1</v>
      </c>
      <c r="M2769" s="4" t="n">
        <f aca="false">INDEX('Master List'!$G$2:$G$2594,O2769)</f>
        <v>0</v>
      </c>
      <c r="N2769" s="4" t="str">
        <f aca="false">IF(K2769="","",A2769)</f>
        <v/>
      </c>
      <c r="O2769" s="4" t="n">
        <v>263</v>
      </c>
      <c r="P2769" s="4" t="n">
        <f aca="false">IF(A2769=A2768,P2768+1-M2768,0)</f>
        <v>8</v>
      </c>
    </row>
    <row r="2770" customFormat="false" ht="15" hidden="false" customHeight="false" outlineLevel="0" collapsed="false">
      <c r="A2770" s="31" t="s">
        <v>4287</v>
      </c>
      <c r="B2770" s="31" t="s">
        <v>54</v>
      </c>
      <c r="C2770" s="31" t="s">
        <v>110</v>
      </c>
      <c r="D2770" s="31" t="s">
        <v>4288</v>
      </c>
      <c r="E2770" s="4" t="n">
        <v>11</v>
      </c>
      <c r="F2770" s="4" t="s">
        <v>1327</v>
      </c>
      <c r="G2770" s="4" t="s">
        <v>3481</v>
      </c>
      <c r="H2770" s="4" t="n">
        <v>1970</v>
      </c>
      <c r="I2770" s="4" t="s">
        <v>3482</v>
      </c>
      <c r="J2770" s="25" t="str">
        <f aca="false">IF(M2770=1,"✓","")</f>
        <v/>
      </c>
      <c r="K2770" s="4" t="str">
        <f aca="false">IF(AND(M2770=0,P2770=0),"▶ NEXT","")</f>
        <v/>
      </c>
      <c r="L2770" s="4" t="n">
        <f aca="false">INDEX('Master List'!$F$2:$F$2594,O2770)</f>
        <v>1</v>
      </c>
      <c r="M2770" s="4" t="n">
        <f aca="false">INDEX('Master List'!$G$2:$G$2594,O2770)</f>
        <v>0</v>
      </c>
      <c r="N2770" s="4" t="str">
        <f aca="false">IF(K2770="","",A2770)</f>
        <v/>
      </c>
      <c r="O2770" s="4" t="n">
        <v>523</v>
      </c>
      <c r="P2770" s="4" t="n">
        <f aca="false">IF(A2770=A2769,P2769+1-M2769,0)</f>
        <v>9</v>
      </c>
    </row>
    <row r="2771" customFormat="false" ht="15" hidden="false" customHeight="false" outlineLevel="0" collapsed="false">
      <c r="A2771" s="31" t="s">
        <v>4287</v>
      </c>
      <c r="B2771" s="31" t="s">
        <v>54</v>
      </c>
      <c r="C2771" s="31" t="s">
        <v>110</v>
      </c>
      <c r="D2771" s="31" t="s">
        <v>4288</v>
      </c>
      <c r="E2771" s="4" t="n">
        <v>12</v>
      </c>
      <c r="F2771" s="4" t="s">
        <v>1327</v>
      </c>
      <c r="G2771" s="4" t="s">
        <v>3739</v>
      </c>
      <c r="H2771" s="4" t="n">
        <v>2003</v>
      </c>
      <c r="I2771" s="4" t="s">
        <v>2538</v>
      </c>
      <c r="J2771" s="25" t="str">
        <f aca="false">IF(M2771=1,"✓","")</f>
        <v/>
      </c>
      <c r="K2771" s="4" t="str">
        <f aca="false">IF(AND(M2771=0,P2771=0),"▶ NEXT","")</f>
        <v/>
      </c>
      <c r="L2771" s="4" t="n">
        <f aca="false">INDEX('Master List'!$F$2:$F$2594,O2771)</f>
        <v>1</v>
      </c>
      <c r="M2771" s="4" t="n">
        <f aca="false">INDEX('Master List'!$G$2:$G$2594,O2771)</f>
        <v>0</v>
      </c>
      <c r="N2771" s="4" t="str">
        <f aca="false">IF(K2771="","",A2771)</f>
        <v/>
      </c>
      <c r="O2771" s="4" t="n">
        <v>156</v>
      </c>
      <c r="P2771" s="4" t="n">
        <f aca="false">IF(A2771=A2770,P2770+1-M2770,0)</f>
        <v>10</v>
      </c>
    </row>
    <row r="2772" customFormat="false" ht="15" hidden="false" customHeight="false" outlineLevel="0" collapsed="false">
      <c r="A2772" s="31" t="s">
        <v>4289</v>
      </c>
      <c r="B2772" s="31" t="s">
        <v>54</v>
      </c>
      <c r="C2772" s="31" t="s">
        <v>110</v>
      </c>
      <c r="D2772" s="31" t="s">
        <v>4290</v>
      </c>
      <c r="E2772" s="4" t="n">
        <v>1</v>
      </c>
      <c r="F2772" s="4" t="s">
        <v>144</v>
      </c>
      <c r="G2772" s="7" t="s">
        <v>147</v>
      </c>
      <c r="H2772" s="4" t="n">
        <v>1989</v>
      </c>
      <c r="I2772" s="4" t="s">
        <v>148</v>
      </c>
      <c r="J2772" s="25" t="str">
        <f aca="false">IF(M2772=1,"✓","")</f>
        <v>✓</v>
      </c>
      <c r="K2772" s="4" t="str">
        <f aca="false">IF(AND(M2772=0,P2772=0),"▶ NEXT","")</f>
        <v/>
      </c>
      <c r="L2772" s="4" t="n">
        <f aca="false">INDEX('Master List'!$F$2:$F$2594,O2772)</f>
        <v>11</v>
      </c>
      <c r="M2772" s="4" t="n">
        <f aca="false">INDEX('Master List'!$G$2:$G$2594,O2772)</f>
        <v>1</v>
      </c>
      <c r="N2772" s="4" t="str">
        <f aca="false">IF(K2772="","",A2772)</f>
        <v/>
      </c>
      <c r="O2772" s="4" t="n">
        <v>646</v>
      </c>
      <c r="P2772" s="4" t="n">
        <f aca="false">IF(A2772=A2771,P2771+1-M2771,0)</f>
        <v>0</v>
      </c>
    </row>
    <row r="2773" customFormat="false" ht="15" hidden="false" customHeight="false" outlineLevel="0" collapsed="false">
      <c r="A2773" s="31" t="s">
        <v>4289</v>
      </c>
      <c r="B2773" s="31" t="s">
        <v>54</v>
      </c>
      <c r="C2773" s="31" t="s">
        <v>110</v>
      </c>
      <c r="D2773" s="31" t="s">
        <v>4290</v>
      </c>
      <c r="E2773" s="4" t="n">
        <v>2</v>
      </c>
      <c r="F2773" s="4" t="s">
        <v>144</v>
      </c>
      <c r="G2773" s="7" t="s">
        <v>165</v>
      </c>
      <c r="H2773" s="4" t="n">
        <v>2016</v>
      </c>
      <c r="I2773" s="4" t="s">
        <v>166</v>
      </c>
      <c r="J2773" s="25" t="str">
        <f aca="false">IF(M2773=1,"✓","")</f>
        <v>✓</v>
      </c>
      <c r="K2773" s="4" t="str">
        <f aca="false">IF(AND(M2773=0,P2773=0),"▶ NEXT","")</f>
        <v/>
      </c>
      <c r="L2773" s="4" t="n">
        <f aca="false">INDEX('Master List'!$F$2:$F$2594,O2773)</f>
        <v>8</v>
      </c>
      <c r="M2773" s="4" t="n">
        <f aca="false">INDEX('Master List'!$G$2:$G$2594,O2773)</f>
        <v>1</v>
      </c>
      <c r="N2773" s="4" t="str">
        <f aca="false">IF(K2773="","",A2773)</f>
        <v/>
      </c>
      <c r="O2773" s="4" t="n">
        <v>1532</v>
      </c>
      <c r="P2773" s="4" t="n">
        <f aca="false">IF(A2773=A2772,P2772+1-M2772,0)</f>
        <v>0</v>
      </c>
    </row>
    <row r="2774" customFormat="false" ht="15" hidden="false" customHeight="false" outlineLevel="0" collapsed="false">
      <c r="A2774" s="31" t="s">
        <v>4289</v>
      </c>
      <c r="B2774" s="31" t="s">
        <v>54</v>
      </c>
      <c r="C2774" s="31" t="s">
        <v>110</v>
      </c>
      <c r="D2774" s="31" t="s">
        <v>4290</v>
      </c>
      <c r="E2774" s="4" t="n">
        <v>3</v>
      </c>
      <c r="F2774" s="4" t="s">
        <v>213</v>
      </c>
      <c r="G2774" s="4" t="s">
        <v>2461</v>
      </c>
      <c r="H2774" s="4" t="n">
        <v>1987</v>
      </c>
      <c r="I2774" s="4" t="s">
        <v>2462</v>
      </c>
      <c r="J2774" s="25" t="str">
        <f aca="false">IF(M2774=1,"✓","")</f>
        <v/>
      </c>
      <c r="K2774" s="4" t="str">
        <f aca="false">IF(AND(M2774=0,P2774=0),"▶ NEXT","")</f>
        <v>▶ NEXT</v>
      </c>
      <c r="L2774" s="4" t="n">
        <f aca="false">INDEX('Master List'!$F$2:$F$2594,O2774)</f>
        <v>1</v>
      </c>
      <c r="M2774" s="4" t="n">
        <f aca="false">INDEX('Master List'!$G$2:$G$2594,O2774)</f>
        <v>0</v>
      </c>
      <c r="N2774" s="4" t="str">
        <f aca="false">IF(K2774="","",A2774)</f>
        <v>N233</v>
      </c>
      <c r="O2774" s="4" t="n">
        <v>1052</v>
      </c>
      <c r="P2774" s="4" t="n">
        <f aca="false">IF(A2774=A2773,P2773+1-M2773,0)</f>
        <v>0</v>
      </c>
    </row>
    <row r="2775" customFormat="false" ht="15" hidden="false" customHeight="false" outlineLevel="0" collapsed="false">
      <c r="A2775" s="31" t="s">
        <v>4289</v>
      </c>
      <c r="B2775" s="31" t="s">
        <v>54</v>
      </c>
      <c r="C2775" s="31" t="s">
        <v>110</v>
      </c>
      <c r="D2775" s="31" t="s">
        <v>4290</v>
      </c>
      <c r="E2775" s="4" t="n">
        <v>4</v>
      </c>
      <c r="F2775" s="4" t="s">
        <v>213</v>
      </c>
      <c r="G2775" s="4" t="s">
        <v>371</v>
      </c>
      <c r="H2775" s="4" t="n">
        <v>1991</v>
      </c>
      <c r="I2775" s="4" t="s">
        <v>372</v>
      </c>
      <c r="J2775" s="25" t="str">
        <f aca="false">IF(M2775=1,"✓","")</f>
        <v/>
      </c>
      <c r="K2775" s="4" t="str">
        <f aca="false">IF(AND(M2775=0,P2775=0),"▶ NEXT","")</f>
        <v/>
      </c>
      <c r="L2775" s="4" t="n">
        <f aca="false">INDEX('Master List'!$F$2:$F$2594,O2775)</f>
        <v>4</v>
      </c>
      <c r="M2775" s="4" t="n">
        <f aca="false">INDEX('Master List'!$G$2:$G$2594,O2775)</f>
        <v>0</v>
      </c>
      <c r="N2775" s="4" t="str">
        <f aca="false">IF(K2775="","",A2775)</f>
        <v/>
      </c>
      <c r="O2775" s="4" t="n">
        <v>333</v>
      </c>
      <c r="P2775" s="4" t="n">
        <f aca="false">IF(A2775=A2774,P2774+1-M2774,0)</f>
        <v>1</v>
      </c>
    </row>
    <row r="2776" customFormat="false" ht="15" hidden="false" customHeight="false" outlineLevel="0" collapsed="false">
      <c r="A2776" s="31" t="s">
        <v>4289</v>
      </c>
      <c r="B2776" s="31" t="s">
        <v>54</v>
      </c>
      <c r="C2776" s="31" t="s">
        <v>110</v>
      </c>
      <c r="D2776" s="31" t="s">
        <v>4290</v>
      </c>
      <c r="E2776" s="4" t="n">
        <v>5</v>
      </c>
      <c r="F2776" s="4" t="s">
        <v>213</v>
      </c>
      <c r="G2776" s="4" t="s">
        <v>499</v>
      </c>
      <c r="H2776" s="4" t="n">
        <v>1993</v>
      </c>
      <c r="I2776" s="4" t="s">
        <v>500</v>
      </c>
      <c r="J2776" s="25" t="str">
        <f aca="false">IF(M2776=1,"✓","")</f>
        <v/>
      </c>
      <c r="K2776" s="4" t="str">
        <f aca="false">IF(AND(M2776=0,P2776=0),"▶ NEXT","")</f>
        <v/>
      </c>
      <c r="L2776" s="4" t="n">
        <f aca="false">INDEX('Master List'!$F$2:$F$2594,O2776)</f>
        <v>3</v>
      </c>
      <c r="M2776" s="4" t="n">
        <f aca="false">INDEX('Master List'!$G$2:$G$2594,O2776)</f>
        <v>0</v>
      </c>
      <c r="N2776" s="4" t="str">
        <f aca="false">IF(K2776="","",A2776)</f>
        <v/>
      </c>
      <c r="O2776" s="4" t="n">
        <v>1480</v>
      </c>
      <c r="P2776" s="4" t="n">
        <f aca="false">IF(A2776=A2775,P2775+1-M2775,0)</f>
        <v>2</v>
      </c>
    </row>
    <row r="2777" customFormat="false" ht="15" hidden="false" customHeight="false" outlineLevel="0" collapsed="false">
      <c r="A2777" s="31" t="s">
        <v>4289</v>
      </c>
      <c r="B2777" s="31" t="s">
        <v>54</v>
      </c>
      <c r="C2777" s="31" t="s">
        <v>110</v>
      </c>
      <c r="D2777" s="31" t="s">
        <v>4290</v>
      </c>
      <c r="E2777" s="4" t="n">
        <v>6</v>
      </c>
      <c r="F2777" s="4" t="s">
        <v>213</v>
      </c>
      <c r="G2777" s="4" t="s">
        <v>840</v>
      </c>
      <c r="H2777" s="4" t="n">
        <v>1997</v>
      </c>
      <c r="I2777" s="4" t="s">
        <v>841</v>
      </c>
      <c r="J2777" s="25" t="str">
        <f aca="false">IF(M2777=1,"✓","")</f>
        <v/>
      </c>
      <c r="K2777" s="4" t="str">
        <f aca="false">IF(AND(M2777=0,P2777=0),"▶ NEXT","")</f>
        <v/>
      </c>
      <c r="L2777" s="4" t="n">
        <f aca="false">INDEX('Master List'!$F$2:$F$2594,O2777)</f>
        <v>2</v>
      </c>
      <c r="M2777" s="4" t="n">
        <f aca="false">INDEX('Master List'!$G$2:$G$2594,O2777)</f>
        <v>0</v>
      </c>
      <c r="N2777" s="4" t="str">
        <f aca="false">IF(K2777="","",A2777)</f>
        <v/>
      </c>
      <c r="O2777" s="4" t="n">
        <v>749</v>
      </c>
      <c r="P2777" s="4" t="n">
        <f aca="false">IF(A2777=A2776,P2776+1-M2776,0)</f>
        <v>3</v>
      </c>
    </row>
    <row r="2778" customFormat="false" ht="15" hidden="false" customHeight="false" outlineLevel="0" collapsed="false">
      <c r="A2778" s="31" t="s">
        <v>4289</v>
      </c>
      <c r="B2778" s="31" t="s">
        <v>54</v>
      </c>
      <c r="C2778" s="31" t="s">
        <v>110</v>
      </c>
      <c r="D2778" s="31" t="s">
        <v>4290</v>
      </c>
      <c r="E2778" s="4" t="n">
        <v>7</v>
      </c>
      <c r="F2778" s="4" t="s">
        <v>213</v>
      </c>
      <c r="G2778" s="4" t="s">
        <v>2725</v>
      </c>
      <c r="H2778" s="4" t="n">
        <v>2000</v>
      </c>
      <c r="I2778" s="4" t="s">
        <v>2726</v>
      </c>
      <c r="J2778" s="25" t="str">
        <f aca="false">IF(M2778=1,"✓","")</f>
        <v/>
      </c>
      <c r="K2778" s="4" t="str">
        <f aca="false">IF(AND(M2778=0,P2778=0),"▶ NEXT","")</f>
        <v/>
      </c>
      <c r="L2778" s="4" t="n">
        <f aca="false">INDEX('Master List'!$F$2:$F$2594,O2778)</f>
        <v>1</v>
      </c>
      <c r="M2778" s="4" t="n">
        <f aca="false">INDEX('Master List'!$G$2:$G$2594,O2778)</f>
        <v>0</v>
      </c>
      <c r="N2778" s="4" t="str">
        <f aca="false">IF(K2778="","",A2778)</f>
        <v/>
      </c>
      <c r="O2778" s="4" t="n">
        <v>1388</v>
      </c>
      <c r="P2778" s="4" t="n">
        <f aca="false">IF(A2778=A2777,P2777+1-M2777,0)</f>
        <v>4</v>
      </c>
    </row>
    <row r="2779" customFormat="false" ht="15" hidden="false" customHeight="false" outlineLevel="0" collapsed="false">
      <c r="A2779" s="31" t="s">
        <v>4289</v>
      </c>
      <c r="B2779" s="31" t="s">
        <v>54</v>
      </c>
      <c r="C2779" s="31" t="s">
        <v>110</v>
      </c>
      <c r="D2779" s="31" t="s">
        <v>4290</v>
      </c>
      <c r="E2779" s="4" t="n">
        <v>8</v>
      </c>
      <c r="F2779" s="4" t="s">
        <v>213</v>
      </c>
      <c r="G2779" s="4" t="s">
        <v>3038</v>
      </c>
      <c r="H2779" s="4" t="n">
        <v>2013</v>
      </c>
      <c r="I2779" s="4" t="s">
        <v>3039</v>
      </c>
      <c r="J2779" s="25" t="str">
        <f aca="false">IF(M2779=1,"✓","")</f>
        <v>✓</v>
      </c>
      <c r="K2779" s="4" t="str">
        <f aca="false">IF(AND(M2779=0,P2779=0),"▶ NEXT","")</f>
        <v/>
      </c>
      <c r="L2779" s="4" t="n">
        <f aca="false">INDEX('Master List'!$F$2:$F$2594,O2779)</f>
        <v>1</v>
      </c>
      <c r="M2779" s="4" t="n">
        <f aca="false">INDEX('Master List'!$G$2:$G$2594,O2779)</f>
        <v>1</v>
      </c>
      <c r="N2779" s="4" t="str">
        <f aca="false">IF(K2779="","",A2779)</f>
        <v/>
      </c>
      <c r="O2779" s="4" t="n">
        <v>864</v>
      </c>
      <c r="P2779" s="4" t="n">
        <f aca="false">IF(A2779=A2778,P2778+1-M2778,0)</f>
        <v>5</v>
      </c>
    </row>
    <row r="2780" customFormat="false" ht="15" hidden="false" customHeight="false" outlineLevel="0" collapsed="false">
      <c r="A2780" s="31" t="s">
        <v>4289</v>
      </c>
      <c r="B2780" s="31" t="s">
        <v>54</v>
      </c>
      <c r="C2780" s="31" t="s">
        <v>110</v>
      </c>
      <c r="D2780" s="31" t="s">
        <v>4290</v>
      </c>
      <c r="E2780" s="4" t="n">
        <v>9</v>
      </c>
      <c r="F2780" s="4" t="s">
        <v>213</v>
      </c>
      <c r="G2780" s="4" t="s">
        <v>1218</v>
      </c>
      <c r="H2780" s="4" t="n">
        <v>2014</v>
      </c>
      <c r="I2780" s="4" t="s">
        <v>1219</v>
      </c>
      <c r="J2780" s="25" t="str">
        <f aca="false">IF(M2780=1,"✓","")</f>
        <v/>
      </c>
      <c r="K2780" s="4" t="str">
        <f aca="false">IF(AND(M2780=0,P2780=0),"▶ NEXT","")</f>
        <v/>
      </c>
      <c r="L2780" s="4" t="n">
        <f aca="false">INDEX('Master List'!$F$2:$F$2594,O2780)</f>
        <v>2</v>
      </c>
      <c r="M2780" s="4" t="n">
        <f aca="false">INDEX('Master List'!$G$2:$G$2594,O2780)</f>
        <v>0</v>
      </c>
      <c r="N2780" s="4" t="str">
        <f aca="false">IF(K2780="","",A2780)</f>
        <v/>
      </c>
      <c r="O2780" s="4" t="n">
        <v>2008</v>
      </c>
      <c r="P2780" s="4" t="n">
        <f aca="false">IF(A2780=A2779,P2779+1-M2779,0)</f>
        <v>5</v>
      </c>
    </row>
    <row r="2781" customFormat="false" ht="15" hidden="false" customHeight="false" outlineLevel="0" collapsed="false">
      <c r="A2781" s="31" t="s">
        <v>4289</v>
      </c>
      <c r="B2781" s="31" t="s">
        <v>54</v>
      </c>
      <c r="C2781" s="31" t="s">
        <v>110</v>
      </c>
      <c r="D2781" s="31" t="s">
        <v>4290</v>
      </c>
      <c r="E2781" s="4" t="n">
        <v>10</v>
      </c>
      <c r="F2781" s="4" t="s">
        <v>213</v>
      </c>
      <c r="G2781" s="4" t="s">
        <v>3109</v>
      </c>
      <c r="H2781" s="4" t="n">
        <v>2016</v>
      </c>
      <c r="I2781" s="4" t="s">
        <v>1219</v>
      </c>
      <c r="J2781" s="25" t="str">
        <f aca="false">IF(M2781=1,"✓","")</f>
        <v/>
      </c>
      <c r="K2781" s="4" t="str">
        <f aca="false">IF(AND(M2781=0,P2781=0),"▶ NEXT","")</f>
        <v/>
      </c>
      <c r="L2781" s="4" t="n">
        <f aca="false">INDEX('Master List'!$F$2:$F$2594,O2781)</f>
        <v>1</v>
      </c>
      <c r="M2781" s="4" t="n">
        <f aca="false">INDEX('Master List'!$G$2:$G$2594,O2781)</f>
        <v>0</v>
      </c>
      <c r="N2781" s="4" t="str">
        <f aca="false">IF(K2781="","",A2781)</f>
        <v/>
      </c>
      <c r="O2781" s="4" t="n">
        <v>8</v>
      </c>
      <c r="P2781" s="4" t="n">
        <f aca="false">IF(A2781=A2780,P2780+1-M2780,0)</f>
        <v>6</v>
      </c>
    </row>
    <row r="2782" customFormat="false" ht="15" hidden="false" customHeight="false" outlineLevel="0" collapsed="false">
      <c r="A2782" s="31" t="s">
        <v>4289</v>
      </c>
      <c r="B2782" s="31" t="s">
        <v>54</v>
      </c>
      <c r="C2782" s="31" t="s">
        <v>110</v>
      </c>
      <c r="D2782" s="31" t="s">
        <v>4290</v>
      </c>
      <c r="E2782" s="4" t="n">
        <v>11</v>
      </c>
      <c r="F2782" s="4" t="s">
        <v>213</v>
      </c>
      <c r="G2782" s="4" t="s">
        <v>279</v>
      </c>
      <c r="H2782" s="4" t="n">
        <v>2017</v>
      </c>
      <c r="I2782" s="4" t="s">
        <v>280</v>
      </c>
      <c r="J2782" s="25" t="str">
        <f aca="false">IF(M2782=1,"✓","")</f>
        <v>✓</v>
      </c>
      <c r="K2782" s="4" t="str">
        <f aca="false">IF(AND(M2782=0,P2782=0),"▶ NEXT","")</f>
        <v/>
      </c>
      <c r="L2782" s="4" t="n">
        <f aca="false">INDEX('Master List'!$F$2:$F$2594,O2782)</f>
        <v>5</v>
      </c>
      <c r="M2782" s="4" t="n">
        <f aca="false">INDEX('Master List'!$G$2:$G$2594,O2782)</f>
        <v>1</v>
      </c>
      <c r="N2782" s="4" t="str">
        <f aca="false">IF(K2782="","",A2782)</f>
        <v/>
      </c>
      <c r="O2782" s="4" t="n">
        <v>889</v>
      </c>
      <c r="P2782" s="4" t="n">
        <f aca="false">IF(A2782=A2781,P2781+1-M2781,0)</f>
        <v>7</v>
      </c>
    </row>
    <row r="2783" customFormat="false" ht="15" hidden="false" customHeight="false" outlineLevel="0" collapsed="false">
      <c r="A2783" s="31" t="s">
        <v>4289</v>
      </c>
      <c r="B2783" s="31" t="s">
        <v>54</v>
      </c>
      <c r="C2783" s="31" t="s">
        <v>110</v>
      </c>
      <c r="D2783" s="31" t="s">
        <v>4290</v>
      </c>
      <c r="E2783" s="4" t="n">
        <v>12</v>
      </c>
      <c r="F2783" s="4" t="s">
        <v>213</v>
      </c>
      <c r="G2783" s="4" t="s">
        <v>1246</v>
      </c>
      <c r="H2783" s="4" t="n">
        <v>2018</v>
      </c>
      <c r="I2783" s="4" t="s">
        <v>1247</v>
      </c>
      <c r="J2783" s="25" t="str">
        <f aca="false">IF(M2783=1,"✓","")</f>
        <v>✓</v>
      </c>
      <c r="K2783" s="4" t="str">
        <f aca="false">IF(AND(M2783=0,P2783=0),"▶ NEXT","")</f>
        <v/>
      </c>
      <c r="L2783" s="4" t="n">
        <f aca="false">INDEX('Master List'!$F$2:$F$2594,O2783)</f>
        <v>2</v>
      </c>
      <c r="M2783" s="4" t="n">
        <f aca="false">INDEX('Master List'!$G$2:$G$2594,O2783)</f>
        <v>1</v>
      </c>
      <c r="N2783" s="4" t="str">
        <f aca="false">IF(K2783="","",A2783)</f>
        <v/>
      </c>
      <c r="O2783" s="4" t="n">
        <v>2119</v>
      </c>
      <c r="P2783" s="4" t="n">
        <f aca="false">IF(A2783=A2782,P2782+1-M2782,0)</f>
        <v>7</v>
      </c>
    </row>
    <row r="2784" customFormat="false" ht="15" hidden="false" customHeight="false" outlineLevel="0" collapsed="false">
      <c r="A2784" s="31" t="s">
        <v>4289</v>
      </c>
      <c r="B2784" s="31" t="s">
        <v>54</v>
      </c>
      <c r="C2784" s="31" t="s">
        <v>110</v>
      </c>
      <c r="D2784" s="31" t="s">
        <v>4290</v>
      </c>
      <c r="E2784" s="4" t="n">
        <v>13</v>
      </c>
      <c r="F2784" s="4" t="s">
        <v>213</v>
      </c>
      <c r="G2784" s="4" t="s">
        <v>3269</v>
      </c>
      <c r="H2784" s="4" t="n">
        <v>2025</v>
      </c>
      <c r="I2784" s="4" t="s">
        <v>3039</v>
      </c>
      <c r="J2784" s="25" t="str">
        <f aca="false">IF(M2784=1,"✓","")</f>
        <v/>
      </c>
      <c r="K2784" s="4" t="str">
        <f aca="false">IF(AND(M2784=0,P2784=0),"▶ NEXT","")</f>
        <v/>
      </c>
      <c r="L2784" s="4" t="n">
        <f aca="false">INDEX('Master List'!$F$2:$F$2594,O2784)</f>
        <v>1</v>
      </c>
      <c r="M2784" s="4" t="n">
        <f aca="false">INDEX('Master List'!$G$2:$G$2594,O2784)</f>
        <v>0</v>
      </c>
      <c r="N2784" s="4" t="str">
        <f aca="false">IF(K2784="","",A2784)</f>
        <v/>
      </c>
      <c r="O2784" s="4" t="n">
        <v>2081</v>
      </c>
      <c r="P2784" s="4" t="n">
        <f aca="false">IF(A2784=A2783,P2783+1-M2783,0)</f>
        <v>7</v>
      </c>
    </row>
    <row r="2785" customFormat="false" ht="15" hidden="false" customHeight="false" outlineLevel="0" collapsed="false">
      <c r="A2785" s="31" t="s">
        <v>4289</v>
      </c>
      <c r="B2785" s="31" t="s">
        <v>54</v>
      </c>
      <c r="C2785" s="31" t="s">
        <v>110</v>
      </c>
      <c r="D2785" s="31" t="s">
        <v>4290</v>
      </c>
      <c r="E2785" s="4" t="n">
        <v>14</v>
      </c>
      <c r="F2785" s="4" t="s">
        <v>1327</v>
      </c>
      <c r="G2785" s="4" t="s">
        <v>3653</v>
      </c>
      <c r="H2785" s="4" t="n">
        <v>1989</v>
      </c>
      <c r="I2785" s="4" t="s">
        <v>3654</v>
      </c>
      <c r="J2785" s="25" t="str">
        <f aca="false">IF(M2785=1,"✓","")</f>
        <v/>
      </c>
      <c r="K2785" s="4" t="str">
        <f aca="false">IF(AND(M2785=0,P2785=0),"▶ NEXT","")</f>
        <v/>
      </c>
      <c r="L2785" s="4" t="n">
        <f aca="false">INDEX('Master List'!$F$2:$F$2594,O2785)</f>
        <v>1</v>
      </c>
      <c r="M2785" s="4" t="n">
        <f aca="false">INDEX('Master List'!$G$2:$G$2594,O2785)</f>
        <v>0</v>
      </c>
      <c r="N2785" s="4" t="str">
        <f aca="false">IF(K2785="","",A2785)</f>
        <v/>
      </c>
      <c r="O2785" s="4" t="n">
        <v>426</v>
      </c>
      <c r="P2785" s="4" t="n">
        <f aca="false">IF(A2785=A2784,P2784+1-M2784,0)</f>
        <v>8</v>
      </c>
    </row>
    <row r="2786" customFormat="false" ht="15" hidden="false" customHeight="false" outlineLevel="0" collapsed="false">
      <c r="A2786" s="31" t="s">
        <v>4289</v>
      </c>
      <c r="B2786" s="31" t="s">
        <v>54</v>
      </c>
      <c r="C2786" s="31" t="s">
        <v>110</v>
      </c>
      <c r="D2786" s="31" t="s">
        <v>4290</v>
      </c>
      <c r="E2786" s="4" t="n">
        <v>15</v>
      </c>
      <c r="F2786" s="4" t="s">
        <v>1327</v>
      </c>
      <c r="G2786" s="4" t="s">
        <v>1384</v>
      </c>
      <c r="H2786" s="4" t="n">
        <v>1992</v>
      </c>
      <c r="I2786" s="4" t="s">
        <v>1385</v>
      </c>
      <c r="J2786" s="25" t="str">
        <f aca="false">IF(M2786=1,"✓","")</f>
        <v/>
      </c>
      <c r="K2786" s="4" t="str">
        <f aca="false">IF(AND(M2786=0,P2786=0),"▶ NEXT","")</f>
        <v/>
      </c>
      <c r="L2786" s="4" t="n">
        <f aca="false">INDEX('Master List'!$F$2:$F$2594,O2786)</f>
        <v>2</v>
      </c>
      <c r="M2786" s="4" t="n">
        <f aca="false">INDEX('Master List'!$G$2:$G$2594,O2786)</f>
        <v>0</v>
      </c>
      <c r="N2786" s="4" t="str">
        <f aca="false">IF(K2786="","",A2786)</f>
        <v/>
      </c>
      <c r="O2786" s="4" t="n">
        <v>1222</v>
      </c>
      <c r="P2786" s="4" t="n">
        <f aca="false">IF(A2786=A2785,P2785+1-M2785,0)</f>
        <v>9</v>
      </c>
    </row>
    <row r="2787" customFormat="false" ht="15" hidden="false" customHeight="false" outlineLevel="0" collapsed="false">
      <c r="A2787" s="31" t="s">
        <v>4289</v>
      </c>
      <c r="B2787" s="31" t="s">
        <v>54</v>
      </c>
      <c r="C2787" s="31" t="s">
        <v>110</v>
      </c>
      <c r="D2787" s="31" t="s">
        <v>4290</v>
      </c>
      <c r="E2787" s="4" t="n">
        <v>16</v>
      </c>
      <c r="F2787" s="4" t="s">
        <v>1327</v>
      </c>
      <c r="G2787" s="4" t="s">
        <v>1331</v>
      </c>
      <c r="H2787" s="4" t="n">
        <v>1964</v>
      </c>
      <c r="I2787" s="4" t="s">
        <v>1332</v>
      </c>
      <c r="J2787" s="25" t="str">
        <f aca="false">IF(M2787=1,"✓","")</f>
        <v/>
      </c>
      <c r="K2787" s="4" t="str">
        <f aca="false">IF(AND(M2787=0,P2787=0),"▶ NEXT","")</f>
        <v/>
      </c>
      <c r="L2787" s="4" t="n">
        <f aca="false">INDEX('Master List'!$F$2:$F$2594,O2787)</f>
        <v>2</v>
      </c>
      <c r="M2787" s="4" t="n">
        <f aca="false">INDEX('Master List'!$G$2:$G$2594,O2787)</f>
        <v>0</v>
      </c>
      <c r="N2787" s="4" t="str">
        <f aca="false">IF(K2787="","",A2787)</f>
        <v/>
      </c>
      <c r="O2787" s="4" t="n">
        <v>1636</v>
      </c>
      <c r="P2787" s="4" t="n">
        <f aca="false">IF(A2787=A2786,P2786+1-M2786,0)</f>
        <v>10</v>
      </c>
    </row>
    <row r="2788" customFormat="false" ht="15" hidden="false" customHeight="false" outlineLevel="0" collapsed="false">
      <c r="A2788" s="31" t="s">
        <v>4291</v>
      </c>
      <c r="B2788" s="31" t="s">
        <v>54</v>
      </c>
      <c r="C2788" s="31" t="s">
        <v>110</v>
      </c>
      <c r="D2788" s="31" t="s">
        <v>4292</v>
      </c>
      <c r="E2788" s="4" t="n">
        <v>1</v>
      </c>
      <c r="F2788" s="4" t="s">
        <v>144</v>
      </c>
      <c r="G2788" s="7" t="s">
        <v>364</v>
      </c>
      <c r="H2788" s="4" t="n">
        <v>1984</v>
      </c>
      <c r="I2788" s="4" t="s">
        <v>365</v>
      </c>
      <c r="J2788" s="25" t="str">
        <f aca="false">IF(M2788=1,"✓","")</f>
        <v>✓</v>
      </c>
      <c r="K2788" s="4" t="str">
        <f aca="false">IF(AND(M2788=0,P2788=0),"▶ NEXT","")</f>
        <v/>
      </c>
      <c r="L2788" s="4" t="n">
        <f aca="false">INDEX('Master List'!$F$2:$F$2594,O2788)</f>
        <v>4</v>
      </c>
      <c r="M2788" s="4" t="n">
        <f aca="false">INDEX('Master List'!$G$2:$G$2594,O2788)</f>
        <v>1</v>
      </c>
      <c r="N2788" s="4" t="str">
        <f aca="false">IF(K2788="","",A2788)</f>
        <v/>
      </c>
      <c r="O2788" s="4" t="n">
        <v>1724</v>
      </c>
      <c r="P2788" s="4" t="n">
        <f aca="false">IF(A2788=A2787,P2787+1-M2787,0)</f>
        <v>0</v>
      </c>
    </row>
    <row r="2789" customFormat="false" ht="15" hidden="false" customHeight="false" outlineLevel="0" collapsed="false">
      <c r="A2789" s="31" t="s">
        <v>4291</v>
      </c>
      <c r="B2789" s="31" t="s">
        <v>54</v>
      </c>
      <c r="C2789" s="31" t="s">
        <v>110</v>
      </c>
      <c r="D2789" s="31" t="s">
        <v>4292</v>
      </c>
      <c r="E2789" s="4" t="n">
        <v>2</v>
      </c>
      <c r="F2789" s="4" t="s">
        <v>144</v>
      </c>
      <c r="G2789" s="7" t="s">
        <v>425</v>
      </c>
      <c r="H2789" s="4" t="n">
        <v>1995</v>
      </c>
      <c r="I2789" s="4" t="s">
        <v>426</v>
      </c>
      <c r="J2789" s="25" t="str">
        <f aca="false">IF(M2789=1,"✓","")</f>
        <v>✓</v>
      </c>
      <c r="K2789" s="4" t="str">
        <f aca="false">IF(AND(M2789=0,P2789=0),"▶ NEXT","")</f>
        <v/>
      </c>
      <c r="L2789" s="4" t="n">
        <f aca="false">INDEX('Master List'!$F$2:$F$2594,O2789)</f>
        <v>3</v>
      </c>
      <c r="M2789" s="4" t="n">
        <f aca="false">INDEX('Master List'!$G$2:$G$2594,O2789)</f>
        <v>1</v>
      </c>
      <c r="N2789" s="4" t="str">
        <f aca="false">IF(K2789="","",A2789)</f>
        <v/>
      </c>
      <c r="O2789" s="4" t="n">
        <v>978</v>
      </c>
      <c r="P2789" s="4" t="n">
        <f aca="false">IF(A2789=A2788,P2788+1-M2788,0)</f>
        <v>0</v>
      </c>
    </row>
    <row r="2790" customFormat="false" ht="15" hidden="false" customHeight="false" outlineLevel="0" collapsed="false">
      <c r="A2790" s="31" t="s">
        <v>4291</v>
      </c>
      <c r="B2790" s="31" t="s">
        <v>54</v>
      </c>
      <c r="C2790" s="31" t="s">
        <v>110</v>
      </c>
      <c r="D2790" s="31" t="s">
        <v>4292</v>
      </c>
      <c r="E2790" s="4" t="n">
        <v>3</v>
      </c>
      <c r="F2790" s="4" t="s">
        <v>213</v>
      </c>
      <c r="G2790" s="4" t="s">
        <v>469</v>
      </c>
      <c r="H2790" s="4" t="n">
        <v>1966</v>
      </c>
      <c r="I2790" s="4" t="s">
        <v>470</v>
      </c>
      <c r="J2790" s="25" t="str">
        <f aca="false">IF(M2790=1,"✓","")</f>
        <v/>
      </c>
      <c r="K2790" s="4" t="str">
        <f aca="false">IF(AND(M2790=0,P2790=0),"▶ NEXT","")</f>
        <v>▶ NEXT</v>
      </c>
      <c r="L2790" s="4" t="n">
        <f aca="false">INDEX('Master List'!$F$2:$F$2594,O2790)</f>
        <v>3</v>
      </c>
      <c r="M2790" s="4" t="n">
        <f aca="false">INDEX('Master List'!$G$2:$G$2594,O2790)</f>
        <v>0</v>
      </c>
      <c r="N2790" s="4" t="str">
        <f aca="false">IF(K2790="","",A2790)</f>
        <v>N234</v>
      </c>
      <c r="O2790" s="4" t="n">
        <v>266</v>
      </c>
      <c r="P2790" s="4" t="n">
        <f aca="false">IF(A2790=A2789,P2789+1-M2789,0)</f>
        <v>0</v>
      </c>
    </row>
    <row r="2791" customFormat="false" ht="15" hidden="false" customHeight="false" outlineLevel="0" collapsed="false">
      <c r="A2791" s="31" t="s">
        <v>4291</v>
      </c>
      <c r="B2791" s="31" t="s">
        <v>54</v>
      </c>
      <c r="C2791" s="31" t="s">
        <v>110</v>
      </c>
      <c r="D2791" s="31" t="s">
        <v>4292</v>
      </c>
      <c r="E2791" s="4" t="n">
        <v>4</v>
      </c>
      <c r="F2791" s="4" t="s">
        <v>213</v>
      </c>
      <c r="G2791" s="4" t="s">
        <v>704</v>
      </c>
      <c r="H2791" s="4" t="n">
        <v>1970</v>
      </c>
      <c r="I2791" s="4" t="s">
        <v>705</v>
      </c>
      <c r="J2791" s="25" t="str">
        <f aca="false">IF(M2791=1,"✓","")</f>
        <v/>
      </c>
      <c r="K2791" s="4" t="str">
        <f aca="false">IF(AND(M2791=0,P2791=0),"▶ NEXT","")</f>
        <v/>
      </c>
      <c r="L2791" s="4" t="n">
        <f aca="false">INDEX('Master List'!$F$2:$F$2594,O2791)</f>
        <v>3</v>
      </c>
      <c r="M2791" s="4" t="n">
        <f aca="false">INDEX('Master List'!$G$2:$G$2594,O2791)</f>
        <v>0</v>
      </c>
      <c r="N2791" s="4" t="str">
        <f aca="false">IF(K2791="","",A2791)</f>
        <v/>
      </c>
      <c r="O2791" s="4" t="n">
        <v>2105</v>
      </c>
      <c r="P2791" s="4" t="n">
        <f aca="false">IF(A2791=A2790,P2790+1-M2790,0)</f>
        <v>1</v>
      </c>
    </row>
    <row r="2792" customFormat="false" ht="15" hidden="false" customHeight="false" outlineLevel="0" collapsed="false">
      <c r="A2792" s="31" t="s">
        <v>4291</v>
      </c>
      <c r="B2792" s="31" t="s">
        <v>54</v>
      </c>
      <c r="C2792" s="31" t="s">
        <v>110</v>
      </c>
      <c r="D2792" s="31" t="s">
        <v>4292</v>
      </c>
      <c r="E2792" s="4" t="n">
        <v>5</v>
      </c>
      <c r="F2792" s="4" t="s">
        <v>213</v>
      </c>
      <c r="G2792" s="4" t="s">
        <v>2420</v>
      </c>
      <c r="H2792" s="4" t="n">
        <v>1985</v>
      </c>
      <c r="I2792" s="4" t="s">
        <v>1284</v>
      </c>
      <c r="J2792" s="25" t="str">
        <f aca="false">IF(M2792=1,"✓","")</f>
        <v/>
      </c>
      <c r="K2792" s="4" t="str">
        <f aca="false">IF(AND(M2792=0,P2792=0),"▶ NEXT","")</f>
        <v/>
      </c>
      <c r="L2792" s="4" t="n">
        <f aca="false">INDEX('Master List'!$F$2:$F$2594,O2792)</f>
        <v>1</v>
      </c>
      <c r="M2792" s="4" t="n">
        <f aca="false">INDEX('Master List'!$G$2:$G$2594,O2792)</f>
        <v>0</v>
      </c>
      <c r="N2792" s="4" t="str">
        <f aca="false">IF(K2792="","",A2792)</f>
        <v/>
      </c>
      <c r="O2792" s="4" t="n">
        <v>1564</v>
      </c>
      <c r="P2792" s="4" t="n">
        <f aca="false">IF(A2792=A2791,P2791+1-M2791,0)</f>
        <v>2</v>
      </c>
    </row>
    <row r="2793" customFormat="false" ht="15" hidden="false" customHeight="false" outlineLevel="0" collapsed="false">
      <c r="A2793" s="31" t="s">
        <v>4291</v>
      </c>
      <c r="B2793" s="31" t="s">
        <v>54</v>
      </c>
      <c r="C2793" s="31" t="s">
        <v>110</v>
      </c>
      <c r="D2793" s="31" t="s">
        <v>4292</v>
      </c>
      <c r="E2793" s="4" t="n">
        <v>6</v>
      </c>
      <c r="F2793" s="4" t="s">
        <v>213</v>
      </c>
      <c r="G2793" s="4" t="s">
        <v>2533</v>
      </c>
      <c r="H2793" s="4" t="n">
        <v>1991</v>
      </c>
      <c r="I2793" s="4" t="s">
        <v>2534</v>
      </c>
      <c r="J2793" s="25" t="str">
        <f aca="false">IF(M2793=1,"✓","")</f>
        <v/>
      </c>
      <c r="K2793" s="4" t="str">
        <f aca="false">IF(AND(M2793=0,P2793=0),"▶ NEXT","")</f>
        <v/>
      </c>
      <c r="L2793" s="4" t="n">
        <f aca="false">INDEX('Master List'!$F$2:$F$2594,O2793)</f>
        <v>1</v>
      </c>
      <c r="M2793" s="4" t="n">
        <f aca="false">INDEX('Master List'!$G$2:$G$2594,O2793)</f>
        <v>0</v>
      </c>
      <c r="N2793" s="4" t="str">
        <f aca="false">IF(K2793="","",A2793)</f>
        <v/>
      </c>
      <c r="O2793" s="4" t="n">
        <v>1516</v>
      </c>
      <c r="P2793" s="4" t="n">
        <f aca="false">IF(A2793=A2792,P2792+1-M2792,0)</f>
        <v>3</v>
      </c>
    </row>
    <row r="2794" customFormat="false" ht="15" hidden="false" customHeight="false" outlineLevel="0" collapsed="false">
      <c r="A2794" s="31" t="s">
        <v>4291</v>
      </c>
      <c r="B2794" s="31" t="s">
        <v>54</v>
      </c>
      <c r="C2794" s="31" t="s">
        <v>110</v>
      </c>
      <c r="D2794" s="31" t="s">
        <v>4292</v>
      </c>
      <c r="E2794" s="4" t="n">
        <v>7</v>
      </c>
      <c r="F2794" s="4" t="s">
        <v>213</v>
      </c>
      <c r="G2794" s="4" t="s">
        <v>2862</v>
      </c>
      <c r="H2794" s="4" t="n">
        <v>2006</v>
      </c>
      <c r="I2794" s="4" t="s">
        <v>2534</v>
      </c>
      <c r="J2794" s="25" t="str">
        <f aca="false">IF(M2794=1,"✓","")</f>
        <v/>
      </c>
      <c r="K2794" s="4" t="str">
        <f aca="false">IF(AND(M2794=0,P2794=0),"▶ NEXT","")</f>
        <v/>
      </c>
      <c r="L2794" s="4" t="n">
        <f aca="false">INDEX('Master List'!$F$2:$F$2594,O2794)</f>
        <v>1</v>
      </c>
      <c r="M2794" s="4" t="n">
        <f aca="false">INDEX('Master List'!$G$2:$G$2594,O2794)</f>
        <v>0</v>
      </c>
      <c r="N2794" s="4" t="str">
        <f aca="false">IF(K2794="","",A2794)</f>
        <v/>
      </c>
      <c r="O2794" s="4" t="n">
        <v>1583</v>
      </c>
      <c r="P2794" s="4" t="n">
        <f aca="false">IF(A2794=A2793,P2793+1-M2793,0)</f>
        <v>4</v>
      </c>
    </row>
    <row r="2795" customFormat="false" ht="15" hidden="false" customHeight="false" outlineLevel="0" collapsed="false">
      <c r="A2795" s="31" t="s">
        <v>4291</v>
      </c>
      <c r="B2795" s="31" t="s">
        <v>54</v>
      </c>
      <c r="C2795" s="31" t="s">
        <v>110</v>
      </c>
      <c r="D2795" s="31" t="s">
        <v>4292</v>
      </c>
      <c r="E2795" s="4" t="n">
        <v>8</v>
      </c>
      <c r="F2795" s="4" t="s">
        <v>213</v>
      </c>
      <c r="G2795" s="4" t="s">
        <v>1255</v>
      </c>
      <c r="H2795" s="4" t="n">
        <v>2020</v>
      </c>
      <c r="I2795" s="4" t="s">
        <v>1256</v>
      </c>
      <c r="J2795" s="25" t="str">
        <f aca="false">IF(M2795=1,"✓","")</f>
        <v/>
      </c>
      <c r="K2795" s="4" t="str">
        <f aca="false">IF(AND(M2795=0,P2795=0),"▶ NEXT","")</f>
        <v/>
      </c>
      <c r="L2795" s="4" t="n">
        <f aca="false">INDEX('Master List'!$F$2:$F$2594,O2795)</f>
        <v>2</v>
      </c>
      <c r="M2795" s="4" t="n">
        <f aca="false">INDEX('Master List'!$G$2:$G$2594,O2795)</f>
        <v>0</v>
      </c>
      <c r="N2795" s="4" t="str">
        <f aca="false">IF(K2795="","",A2795)</f>
        <v/>
      </c>
      <c r="O2795" s="4" t="n">
        <v>1505</v>
      </c>
      <c r="P2795" s="4" t="n">
        <f aca="false">IF(A2795=A2794,P2794+1-M2794,0)</f>
        <v>5</v>
      </c>
    </row>
    <row r="2796" customFormat="false" ht="15" hidden="false" customHeight="false" outlineLevel="0" collapsed="false">
      <c r="A2796" s="31" t="s">
        <v>4291</v>
      </c>
      <c r="B2796" s="31" t="s">
        <v>54</v>
      </c>
      <c r="C2796" s="31" t="s">
        <v>110</v>
      </c>
      <c r="D2796" s="31" t="s">
        <v>4292</v>
      </c>
      <c r="E2796" s="4" t="n">
        <v>9</v>
      </c>
      <c r="F2796" s="4" t="s">
        <v>213</v>
      </c>
      <c r="G2796" s="4" t="s">
        <v>328</v>
      </c>
      <c r="H2796" s="4" t="n">
        <v>2023</v>
      </c>
      <c r="I2796" s="4" t="s">
        <v>329</v>
      </c>
      <c r="J2796" s="25" t="str">
        <f aca="false">IF(M2796=1,"✓","")</f>
        <v/>
      </c>
      <c r="K2796" s="4" t="str">
        <f aca="false">IF(AND(M2796=0,P2796=0),"▶ NEXT","")</f>
        <v/>
      </c>
      <c r="L2796" s="4" t="n">
        <f aca="false">INDEX('Master List'!$F$2:$F$2594,O2796)</f>
        <v>5</v>
      </c>
      <c r="M2796" s="4" t="n">
        <f aca="false">INDEX('Master List'!$G$2:$G$2594,O2796)</f>
        <v>0</v>
      </c>
      <c r="N2796" s="4" t="str">
        <f aca="false">IF(K2796="","",A2796)</f>
        <v/>
      </c>
      <c r="O2796" s="4" t="n">
        <v>1731</v>
      </c>
      <c r="P2796" s="4" t="n">
        <f aca="false">IF(A2796=A2795,P2795+1-M2795,0)</f>
        <v>6</v>
      </c>
    </row>
    <row r="2797" customFormat="false" ht="15" hidden="false" customHeight="false" outlineLevel="0" collapsed="false">
      <c r="A2797" s="31" t="s">
        <v>4291</v>
      </c>
      <c r="B2797" s="31" t="s">
        <v>54</v>
      </c>
      <c r="C2797" s="31" t="s">
        <v>110</v>
      </c>
      <c r="D2797" s="31" t="s">
        <v>4292</v>
      </c>
      <c r="E2797" s="4" t="n">
        <v>10</v>
      </c>
      <c r="F2797" s="4" t="s">
        <v>1327</v>
      </c>
      <c r="G2797" s="4" t="s">
        <v>3655</v>
      </c>
      <c r="H2797" s="4" t="n">
        <v>1989</v>
      </c>
      <c r="I2797" s="4" t="s">
        <v>3656</v>
      </c>
      <c r="J2797" s="25" t="str">
        <f aca="false">IF(M2797=1,"✓","")</f>
        <v/>
      </c>
      <c r="K2797" s="4" t="str">
        <f aca="false">IF(AND(M2797=0,P2797=0),"▶ NEXT","")</f>
        <v/>
      </c>
      <c r="L2797" s="4" t="n">
        <f aca="false">INDEX('Master List'!$F$2:$F$2594,O2797)</f>
        <v>1</v>
      </c>
      <c r="M2797" s="4" t="n">
        <f aca="false">INDEX('Master List'!$G$2:$G$2594,O2797)</f>
        <v>0</v>
      </c>
      <c r="N2797" s="4" t="str">
        <f aca="false">IF(K2797="","",A2797)</f>
        <v/>
      </c>
      <c r="O2797" s="4" t="n">
        <v>2208</v>
      </c>
      <c r="P2797" s="4" t="n">
        <f aca="false">IF(A2797=A2796,P2796+1-M2796,0)</f>
        <v>7</v>
      </c>
    </row>
    <row r="2798" customFormat="false" ht="15" hidden="false" customHeight="false" outlineLevel="0" collapsed="false">
      <c r="A2798" s="31" t="s">
        <v>4291</v>
      </c>
      <c r="B2798" s="31" t="s">
        <v>54</v>
      </c>
      <c r="C2798" s="31" t="s">
        <v>110</v>
      </c>
      <c r="D2798" s="31" t="s">
        <v>4292</v>
      </c>
      <c r="E2798" s="4" t="n">
        <v>11</v>
      </c>
      <c r="F2798" s="4" t="s">
        <v>1327</v>
      </c>
      <c r="G2798" s="4" t="s">
        <v>3641</v>
      </c>
      <c r="H2798" s="4" t="n">
        <v>1986</v>
      </c>
      <c r="I2798" s="4" t="s">
        <v>3642</v>
      </c>
      <c r="J2798" s="25" t="str">
        <f aca="false">IF(M2798=1,"✓","")</f>
        <v/>
      </c>
      <c r="K2798" s="4" t="str">
        <f aca="false">IF(AND(M2798=0,P2798=0),"▶ NEXT","")</f>
        <v/>
      </c>
      <c r="L2798" s="4" t="n">
        <f aca="false">INDEX('Master List'!$F$2:$F$2594,O2798)</f>
        <v>1</v>
      </c>
      <c r="M2798" s="4" t="n">
        <f aca="false">INDEX('Master List'!$G$2:$G$2594,O2798)</f>
        <v>0</v>
      </c>
      <c r="N2798" s="4" t="str">
        <f aca="false">IF(K2798="","",A2798)</f>
        <v/>
      </c>
      <c r="O2798" s="4" t="n">
        <v>984</v>
      </c>
      <c r="P2798" s="4" t="n">
        <f aca="false">IF(A2798=A2797,P2797+1-M2797,0)</f>
        <v>8</v>
      </c>
    </row>
    <row r="2799" customFormat="false" ht="15" hidden="false" customHeight="false" outlineLevel="0" collapsed="false">
      <c r="A2799" s="31" t="s">
        <v>4293</v>
      </c>
      <c r="B2799" s="31" t="s">
        <v>54</v>
      </c>
      <c r="C2799" s="31" t="s">
        <v>110</v>
      </c>
      <c r="D2799" s="31" t="s">
        <v>4294</v>
      </c>
      <c r="E2799" s="4" t="n">
        <v>1</v>
      </c>
      <c r="F2799" s="4" t="s">
        <v>144</v>
      </c>
      <c r="G2799" s="7" t="s">
        <v>1571</v>
      </c>
      <c r="H2799" s="4" t="n">
        <v>1998</v>
      </c>
      <c r="I2799" s="4" t="s">
        <v>1572</v>
      </c>
      <c r="J2799" s="25" t="str">
        <f aca="false">IF(M2799=1,"✓","")</f>
        <v/>
      </c>
      <c r="K2799" s="4" t="str">
        <f aca="false">IF(AND(M2799=0,P2799=0),"▶ NEXT","")</f>
        <v>▶ NEXT</v>
      </c>
      <c r="L2799" s="4" t="n">
        <f aca="false">INDEX('Master List'!$F$2:$F$2594,O2799)</f>
        <v>1</v>
      </c>
      <c r="M2799" s="4" t="n">
        <f aca="false">INDEX('Master List'!$G$2:$G$2594,O2799)</f>
        <v>0</v>
      </c>
      <c r="N2799" s="4" t="str">
        <f aca="false">IF(K2799="","",A2799)</f>
        <v>N235</v>
      </c>
      <c r="O2799" s="4" t="n">
        <v>2098</v>
      </c>
      <c r="P2799" s="4" t="n">
        <f aca="false">IF(A2799=A2798,P2798+1-M2798,0)</f>
        <v>0</v>
      </c>
    </row>
    <row r="2800" customFormat="false" ht="15" hidden="false" customHeight="false" outlineLevel="0" collapsed="false">
      <c r="A2800" s="31" t="s">
        <v>4293</v>
      </c>
      <c r="B2800" s="31" t="s">
        <v>54</v>
      </c>
      <c r="C2800" s="31" t="s">
        <v>110</v>
      </c>
      <c r="D2800" s="31" t="s">
        <v>4294</v>
      </c>
      <c r="E2800" s="4" t="n">
        <v>2</v>
      </c>
      <c r="F2800" s="4" t="s">
        <v>144</v>
      </c>
      <c r="G2800" s="7" t="s">
        <v>1580</v>
      </c>
      <c r="H2800" s="4" t="n">
        <v>2001</v>
      </c>
      <c r="I2800" s="4" t="s">
        <v>1581</v>
      </c>
      <c r="J2800" s="25" t="str">
        <f aca="false">IF(M2800=1,"✓","")</f>
        <v/>
      </c>
      <c r="K2800" s="4" t="str">
        <f aca="false">IF(AND(M2800=0,P2800=0),"▶ NEXT","")</f>
        <v/>
      </c>
      <c r="L2800" s="4" t="n">
        <f aca="false">INDEX('Master List'!$F$2:$F$2594,O2800)</f>
        <v>1</v>
      </c>
      <c r="M2800" s="4" t="n">
        <f aca="false">INDEX('Master List'!$G$2:$G$2594,O2800)</f>
        <v>0</v>
      </c>
      <c r="N2800" s="4" t="str">
        <f aca="false">IF(K2800="","",A2800)</f>
        <v/>
      </c>
      <c r="O2800" s="4" t="n">
        <v>145</v>
      </c>
      <c r="P2800" s="4" t="n">
        <f aca="false">IF(A2800=A2799,P2799+1-M2799,0)</f>
        <v>1</v>
      </c>
    </row>
    <row r="2801" customFormat="false" ht="15" hidden="false" customHeight="false" outlineLevel="0" collapsed="false">
      <c r="A2801" s="31" t="s">
        <v>4293</v>
      </c>
      <c r="B2801" s="31" t="s">
        <v>54</v>
      </c>
      <c r="C2801" s="31" t="s">
        <v>110</v>
      </c>
      <c r="D2801" s="31" t="s">
        <v>4294</v>
      </c>
      <c r="E2801" s="4" t="n">
        <v>3</v>
      </c>
      <c r="F2801" s="4" t="s">
        <v>213</v>
      </c>
      <c r="G2801" s="4" t="s">
        <v>1108</v>
      </c>
      <c r="H2801" s="4" t="n">
        <v>1994</v>
      </c>
      <c r="I2801" s="4" t="s">
        <v>1109</v>
      </c>
      <c r="J2801" s="25" t="str">
        <f aca="false">IF(M2801=1,"✓","")</f>
        <v/>
      </c>
      <c r="K2801" s="4" t="str">
        <f aca="false">IF(AND(M2801=0,P2801=0),"▶ NEXT","")</f>
        <v/>
      </c>
      <c r="L2801" s="4" t="n">
        <f aca="false">INDEX('Master List'!$F$2:$F$2594,O2801)</f>
        <v>2</v>
      </c>
      <c r="M2801" s="4" t="n">
        <f aca="false">INDEX('Master List'!$G$2:$G$2594,O2801)</f>
        <v>0</v>
      </c>
      <c r="N2801" s="4" t="str">
        <f aca="false">IF(K2801="","",A2801)</f>
        <v/>
      </c>
      <c r="O2801" s="4" t="n">
        <v>1674</v>
      </c>
      <c r="P2801" s="4" t="n">
        <f aca="false">IF(A2801=A2800,P2800+1-M2800,0)</f>
        <v>2</v>
      </c>
    </row>
    <row r="2802" customFormat="false" ht="15" hidden="false" customHeight="false" outlineLevel="0" collapsed="false">
      <c r="A2802" s="31" t="s">
        <v>4293</v>
      </c>
      <c r="B2802" s="31" t="s">
        <v>54</v>
      </c>
      <c r="C2802" s="31" t="s">
        <v>110</v>
      </c>
      <c r="D2802" s="31" t="s">
        <v>4294</v>
      </c>
      <c r="E2802" s="4" t="n">
        <v>4</v>
      </c>
      <c r="F2802" s="4" t="s">
        <v>213</v>
      </c>
      <c r="G2802" s="4" t="s">
        <v>2786</v>
      </c>
      <c r="H2802" s="4" t="n">
        <v>2002</v>
      </c>
      <c r="I2802" s="4" t="s">
        <v>2787</v>
      </c>
      <c r="J2802" s="25" t="str">
        <f aca="false">IF(M2802=1,"✓","")</f>
        <v/>
      </c>
      <c r="K2802" s="4" t="str">
        <f aca="false">IF(AND(M2802=0,P2802=0),"▶ NEXT","")</f>
        <v/>
      </c>
      <c r="L2802" s="4" t="n">
        <f aca="false">INDEX('Master List'!$F$2:$F$2594,O2802)</f>
        <v>1</v>
      </c>
      <c r="M2802" s="4" t="n">
        <f aca="false">INDEX('Master List'!$G$2:$G$2594,O2802)</f>
        <v>0</v>
      </c>
      <c r="N2802" s="4" t="str">
        <f aca="false">IF(K2802="","",A2802)</f>
        <v/>
      </c>
      <c r="O2802" s="4" t="n">
        <v>1847</v>
      </c>
      <c r="P2802" s="4" t="n">
        <f aca="false">IF(A2802=A2801,P2801+1-M2801,0)</f>
        <v>3</v>
      </c>
    </row>
    <row r="2803" customFormat="false" ht="15" hidden="false" customHeight="false" outlineLevel="0" collapsed="false">
      <c r="A2803" s="31" t="s">
        <v>4293</v>
      </c>
      <c r="B2803" s="31" t="s">
        <v>54</v>
      </c>
      <c r="C2803" s="31" t="s">
        <v>110</v>
      </c>
      <c r="D2803" s="31" t="s">
        <v>4294</v>
      </c>
      <c r="E2803" s="4" t="n">
        <v>5</v>
      </c>
      <c r="F2803" s="4" t="s">
        <v>213</v>
      </c>
      <c r="G2803" s="4" t="s">
        <v>2933</v>
      </c>
      <c r="H2803" s="4" t="n">
        <v>2009</v>
      </c>
      <c r="I2803" s="4" t="s">
        <v>2934</v>
      </c>
      <c r="J2803" s="25" t="str">
        <f aca="false">IF(M2803=1,"✓","")</f>
        <v/>
      </c>
      <c r="K2803" s="4" t="str">
        <f aca="false">IF(AND(M2803=0,P2803=0),"▶ NEXT","")</f>
        <v/>
      </c>
      <c r="L2803" s="4" t="n">
        <f aca="false">INDEX('Master List'!$F$2:$F$2594,O2803)</f>
        <v>1</v>
      </c>
      <c r="M2803" s="4" t="n">
        <f aca="false">INDEX('Master List'!$G$2:$G$2594,O2803)</f>
        <v>0</v>
      </c>
      <c r="N2803" s="4" t="str">
        <f aca="false">IF(K2803="","",A2803)</f>
        <v/>
      </c>
      <c r="O2803" s="4" t="n">
        <v>1965</v>
      </c>
      <c r="P2803" s="4" t="n">
        <f aca="false">IF(A2803=A2802,P2802+1-M2802,0)</f>
        <v>4</v>
      </c>
    </row>
    <row r="2804" customFormat="false" ht="15" hidden="false" customHeight="false" outlineLevel="0" collapsed="false">
      <c r="A2804" s="31" t="s">
        <v>4293</v>
      </c>
      <c r="B2804" s="31" t="s">
        <v>54</v>
      </c>
      <c r="C2804" s="31" t="s">
        <v>110</v>
      </c>
      <c r="D2804" s="31" t="s">
        <v>4294</v>
      </c>
      <c r="E2804" s="4" t="n">
        <v>6</v>
      </c>
      <c r="F2804" s="4" t="s">
        <v>213</v>
      </c>
      <c r="G2804" s="4" t="s">
        <v>1409</v>
      </c>
      <c r="H2804" s="4" t="n">
        <v>2010</v>
      </c>
      <c r="I2804" s="4" t="s">
        <v>1410</v>
      </c>
      <c r="J2804" s="25" t="str">
        <f aca="false">IF(M2804=1,"✓","")</f>
        <v/>
      </c>
      <c r="K2804" s="4" t="str">
        <f aca="false">IF(AND(M2804=0,P2804=0),"▶ NEXT","")</f>
        <v/>
      </c>
      <c r="L2804" s="4" t="n">
        <f aca="false">INDEX('Master List'!$F$2:$F$2594,O2804)</f>
        <v>2</v>
      </c>
      <c r="M2804" s="4" t="n">
        <f aca="false">INDEX('Master List'!$G$2:$G$2594,O2804)</f>
        <v>0</v>
      </c>
      <c r="N2804" s="4" t="str">
        <f aca="false">IF(K2804="","",A2804)</f>
        <v/>
      </c>
      <c r="O2804" s="4" t="n">
        <v>328</v>
      </c>
      <c r="P2804" s="4" t="n">
        <f aca="false">IF(A2804=A2803,P2803+1-M2803,0)</f>
        <v>5</v>
      </c>
    </row>
    <row r="2805" customFormat="false" ht="15" hidden="false" customHeight="false" outlineLevel="0" collapsed="false">
      <c r="A2805" s="31" t="s">
        <v>4293</v>
      </c>
      <c r="B2805" s="31" t="s">
        <v>54</v>
      </c>
      <c r="C2805" s="31" t="s">
        <v>110</v>
      </c>
      <c r="D2805" s="31" t="s">
        <v>4294</v>
      </c>
      <c r="E2805" s="4" t="n">
        <v>7</v>
      </c>
      <c r="F2805" s="4" t="s">
        <v>213</v>
      </c>
      <c r="G2805" s="4" t="s">
        <v>3129</v>
      </c>
      <c r="H2805" s="4" t="n">
        <v>2017</v>
      </c>
      <c r="I2805" s="4" t="s">
        <v>2934</v>
      </c>
      <c r="J2805" s="25" t="str">
        <f aca="false">IF(M2805=1,"✓","")</f>
        <v/>
      </c>
      <c r="K2805" s="4" t="str">
        <f aca="false">IF(AND(M2805=0,P2805=0),"▶ NEXT","")</f>
        <v/>
      </c>
      <c r="L2805" s="4" t="n">
        <f aca="false">INDEX('Master List'!$F$2:$F$2594,O2805)</f>
        <v>1</v>
      </c>
      <c r="M2805" s="4" t="n">
        <f aca="false">INDEX('Master List'!$G$2:$G$2594,O2805)</f>
        <v>0</v>
      </c>
      <c r="N2805" s="4" t="str">
        <f aca="false">IF(K2805="","",A2805)</f>
        <v/>
      </c>
      <c r="O2805" s="4" t="n">
        <v>2212</v>
      </c>
      <c r="P2805" s="4" t="n">
        <f aca="false">IF(A2805=A2804,P2804+1-M2804,0)</f>
        <v>6</v>
      </c>
    </row>
    <row r="2806" customFormat="false" ht="15" hidden="false" customHeight="false" outlineLevel="0" collapsed="false">
      <c r="A2806" s="31" t="s">
        <v>4293</v>
      </c>
      <c r="B2806" s="31" t="s">
        <v>54</v>
      </c>
      <c r="C2806" s="31" t="s">
        <v>110</v>
      </c>
      <c r="D2806" s="31" t="s">
        <v>4294</v>
      </c>
      <c r="E2806" s="4" t="n">
        <v>8</v>
      </c>
      <c r="F2806" s="4" t="s">
        <v>213</v>
      </c>
      <c r="G2806" s="4" t="s">
        <v>3241</v>
      </c>
      <c r="H2806" s="4" t="n">
        <v>2023</v>
      </c>
      <c r="I2806" s="4" t="s">
        <v>3242</v>
      </c>
      <c r="J2806" s="25" t="str">
        <f aca="false">IF(M2806=1,"✓","")</f>
        <v/>
      </c>
      <c r="K2806" s="4" t="str">
        <f aca="false">IF(AND(M2806=0,P2806=0),"▶ NEXT","")</f>
        <v/>
      </c>
      <c r="L2806" s="4" t="n">
        <f aca="false">INDEX('Master List'!$F$2:$F$2594,O2806)</f>
        <v>1</v>
      </c>
      <c r="M2806" s="4" t="n">
        <f aca="false">INDEX('Master List'!$G$2:$G$2594,O2806)</f>
        <v>0</v>
      </c>
      <c r="N2806" s="4" t="str">
        <f aca="false">IF(K2806="","",A2806)</f>
        <v/>
      </c>
      <c r="O2806" s="4" t="n">
        <v>865</v>
      </c>
      <c r="P2806" s="4" t="n">
        <f aca="false">IF(A2806=A2805,P2805+1-M2805,0)</f>
        <v>7</v>
      </c>
    </row>
    <row r="2807" customFormat="false" ht="15" hidden="false" customHeight="false" outlineLevel="0" collapsed="false">
      <c r="A2807" s="31" t="s">
        <v>4293</v>
      </c>
      <c r="B2807" s="31" t="s">
        <v>54</v>
      </c>
      <c r="C2807" s="31" t="s">
        <v>110</v>
      </c>
      <c r="D2807" s="31" t="s">
        <v>4294</v>
      </c>
      <c r="E2807" s="4" t="n">
        <v>9</v>
      </c>
      <c r="F2807" s="4" t="s">
        <v>1327</v>
      </c>
      <c r="G2807" s="4" t="s">
        <v>3830</v>
      </c>
      <c r="H2807" s="4" t="n">
        <v>2015</v>
      </c>
      <c r="I2807" s="4" t="s">
        <v>1258</v>
      </c>
      <c r="J2807" s="25" t="str">
        <f aca="false">IF(M2807=1,"✓","")</f>
        <v/>
      </c>
      <c r="K2807" s="4" t="str">
        <f aca="false">IF(AND(M2807=0,P2807=0),"▶ NEXT","")</f>
        <v/>
      </c>
      <c r="L2807" s="4" t="n">
        <f aca="false">INDEX('Master List'!$F$2:$F$2594,O2807)</f>
        <v>1</v>
      </c>
      <c r="M2807" s="4" t="n">
        <f aca="false">INDEX('Master List'!$G$2:$G$2594,O2807)</f>
        <v>0</v>
      </c>
      <c r="N2807" s="4" t="str">
        <f aca="false">IF(K2807="","",A2807)</f>
        <v/>
      </c>
      <c r="O2807" s="4" t="n">
        <v>2114</v>
      </c>
      <c r="P2807" s="4" t="n">
        <f aca="false">IF(A2807=A2806,P2806+1-M2806,0)</f>
        <v>8</v>
      </c>
    </row>
    <row r="2808" customFormat="false" ht="15" hidden="false" customHeight="false" outlineLevel="0" collapsed="false">
      <c r="A2808" s="31" t="s">
        <v>4293</v>
      </c>
      <c r="B2808" s="31" t="s">
        <v>54</v>
      </c>
      <c r="C2808" s="31" t="s">
        <v>110</v>
      </c>
      <c r="D2808" s="31" t="s">
        <v>4294</v>
      </c>
      <c r="E2808" s="4" t="n">
        <v>10</v>
      </c>
      <c r="F2808" s="4" t="s">
        <v>1327</v>
      </c>
      <c r="G2808" s="4" t="s">
        <v>3657</v>
      </c>
      <c r="H2808" s="4" t="n">
        <v>1989</v>
      </c>
      <c r="I2808" s="4" t="s">
        <v>3658</v>
      </c>
      <c r="J2808" s="25" t="str">
        <f aca="false">IF(M2808=1,"✓","")</f>
        <v/>
      </c>
      <c r="K2808" s="4" t="str">
        <f aca="false">IF(AND(M2808=0,P2808=0),"▶ NEXT","")</f>
        <v/>
      </c>
      <c r="L2808" s="4" t="n">
        <f aca="false">INDEX('Master List'!$F$2:$F$2594,O2808)</f>
        <v>1</v>
      </c>
      <c r="M2808" s="4" t="n">
        <f aca="false">INDEX('Master List'!$G$2:$G$2594,O2808)</f>
        <v>0</v>
      </c>
      <c r="N2808" s="4" t="str">
        <f aca="false">IF(K2808="","",A2808)</f>
        <v/>
      </c>
      <c r="O2808" s="4" t="n">
        <v>1806</v>
      </c>
      <c r="P2808" s="4" t="n">
        <f aca="false">IF(A2808=A2807,P2807+1-M2807,0)</f>
        <v>9</v>
      </c>
    </row>
    <row r="2809" customFormat="false" ht="15" hidden="false" customHeight="false" outlineLevel="0" collapsed="false">
      <c r="A2809" s="31" t="s">
        <v>4295</v>
      </c>
      <c r="B2809" s="31" t="s">
        <v>54</v>
      </c>
      <c r="C2809" s="31" t="s">
        <v>111</v>
      </c>
      <c r="D2809" s="31" t="s">
        <v>4296</v>
      </c>
      <c r="E2809" s="4" t="n">
        <v>1</v>
      </c>
      <c r="F2809" s="4" t="s">
        <v>144</v>
      </c>
      <c r="G2809" s="7" t="s">
        <v>739</v>
      </c>
      <c r="H2809" s="4" t="n">
        <v>1940</v>
      </c>
      <c r="I2809" s="4" t="s">
        <v>162</v>
      </c>
      <c r="J2809" s="25" t="str">
        <f aca="false">IF(M2809=1,"✓","")</f>
        <v/>
      </c>
      <c r="K2809" s="4" t="str">
        <f aca="false">IF(AND(M2809=0,P2809=0),"▶ NEXT","")</f>
        <v>▶ NEXT</v>
      </c>
      <c r="L2809" s="4" t="n">
        <f aca="false">INDEX('Master List'!$F$2:$F$2594,O2809)</f>
        <v>2</v>
      </c>
      <c r="M2809" s="4" t="n">
        <f aca="false">INDEX('Master List'!$G$2:$G$2594,O2809)</f>
        <v>0</v>
      </c>
      <c r="N2809" s="4" t="str">
        <f aca="false">IF(K2809="","",A2809)</f>
        <v>N236</v>
      </c>
      <c r="O2809" s="4" t="n">
        <v>1867</v>
      </c>
      <c r="P2809" s="4" t="n">
        <f aca="false">IF(A2809=A2808,P2808+1-M2808,0)</f>
        <v>0</v>
      </c>
    </row>
    <row r="2810" customFormat="false" ht="15" hidden="false" customHeight="false" outlineLevel="0" collapsed="false">
      <c r="A2810" s="31" t="s">
        <v>4295</v>
      </c>
      <c r="B2810" s="31" t="s">
        <v>54</v>
      </c>
      <c r="C2810" s="31" t="s">
        <v>111</v>
      </c>
      <c r="D2810" s="31" t="s">
        <v>4296</v>
      </c>
      <c r="E2810" s="4" t="n">
        <v>2</v>
      </c>
      <c r="F2810" s="4" t="s">
        <v>144</v>
      </c>
      <c r="G2810" s="7" t="s">
        <v>251</v>
      </c>
      <c r="H2810" s="4" t="n">
        <v>1948</v>
      </c>
      <c r="I2810" s="4" t="s">
        <v>162</v>
      </c>
      <c r="J2810" s="25" t="str">
        <f aca="false">IF(M2810=1,"✓","")</f>
        <v/>
      </c>
      <c r="K2810" s="4" t="str">
        <f aca="false">IF(AND(M2810=0,P2810=0),"▶ NEXT","")</f>
        <v/>
      </c>
      <c r="L2810" s="4" t="n">
        <f aca="false">INDEX('Master List'!$F$2:$F$2594,O2810)</f>
        <v>5</v>
      </c>
      <c r="M2810" s="4" t="n">
        <f aca="false">INDEX('Master List'!$G$2:$G$2594,O2810)</f>
        <v>0</v>
      </c>
      <c r="N2810" s="4" t="str">
        <f aca="false">IF(K2810="","",A2810)</f>
        <v/>
      </c>
      <c r="O2810" s="4" t="n">
        <v>1933</v>
      </c>
      <c r="P2810" s="4" t="n">
        <f aca="false">IF(A2810=A2809,P2809+1-M2809,0)</f>
        <v>1</v>
      </c>
    </row>
    <row r="2811" customFormat="false" ht="15" hidden="false" customHeight="false" outlineLevel="0" collapsed="false">
      <c r="A2811" s="31" t="s">
        <v>4295</v>
      </c>
      <c r="B2811" s="31" t="s">
        <v>54</v>
      </c>
      <c r="C2811" s="31" t="s">
        <v>111</v>
      </c>
      <c r="D2811" s="31" t="s">
        <v>4296</v>
      </c>
      <c r="E2811" s="4" t="n">
        <v>3</v>
      </c>
      <c r="F2811" s="4" t="s">
        <v>213</v>
      </c>
      <c r="G2811" s="4" t="s">
        <v>1720</v>
      </c>
      <c r="H2811" s="4" t="n">
        <v>1931</v>
      </c>
      <c r="I2811" s="4" t="s">
        <v>1721</v>
      </c>
      <c r="J2811" s="25" t="str">
        <f aca="false">IF(M2811=1,"✓","")</f>
        <v/>
      </c>
      <c r="K2811" s="4" t="str">
        <f aca="false">IF(AND(M2811=0,P2811=0),"▶ NEXT","")</f>
        <v/>
      </c>
      <c r="L2811" s="4" t="n">
        <f aca="false">INDEX('Master List'!$F$2:$F$2594,O2811)</f>
        <v>1</v>
      </c>
      <c r="M2811" s="4" t="n">
        <f aca="false">INDEX('Master List'!$G$2:$G$2594,O2811)</f>
        <v>0</v>
      </c>
      <c r="N2811" s="4" t="str">
        <f aca="false">IF(K2811="","",A2811)</f>
        <v/>
      </c>
      <c r="O2811" s="4" t="n">
        <v>1409</v>
      </c>
      <c r="P2811" s="4" t="n">
        <f aca="false">IF(A2811=A2810,P2810+1-M2810,0)</f>
        <v>2</v>
      </c>
    </row>
    <row r="2812" customFormat="false" ht="15" hidden="false" customHeight="false" outlineLevel="0" collapsed="false">
      <c r="A2812" s="31" t="s">
        <v>4295</v>
      </c>
      <c r="B2812" s="31" t="s">
        <v>54</v>
      </c>
      <c r="C2812" s="31" t="s">
        <v>111</v>
      </c>
      <c r="D2812" s="31" t="s">
        <v>4296</v>
      </c>
      <c r="E2812" s="4" t="n">
        <v>4</v>
      </c>
      <c r="F2812" s="4" t="s">
        <v>213</v>
      </c>
      <c r="G2812" s="4" t="s">
        <v>1674</v>
      </c>
      <c r="H2812" s="4" t="n">
        <v>1919</v>
      </c>
      <c r="I2812" s="4" t="s">
        <v>1675</v>
      </c>
      <c r="J2812" s="25" t="str">
        <f aca="false">IF(M2812=1,"✓","")</f>
        <v/>
      </c>
      <c r="K2812" s="4" t="str">
        <f aca="false">IF(AND(M2812=0,P2812=0),"▶ NEXT","")</f>
        <v/>
      </c>
      <c r="L2812" s="4" t="n">
        <f aca="false">INDEX('Master List'!$F$2:$F$2594,O2812)</f>
        <v>1</v>
      </c>
      <c r="M2812" s="4" t="n">
        <f aca="false">INDEX('Master List'!$G$2:$G$2594,O2812)</f>
        <v>0</v>
      </c>
      <c r="N2812" s="4" t="str">
        <f aca="false">IF(K2812="","",A2812)</f>
        <v/>
      </c>
      <c r="O2812" s="4" t="n">
        <v>630</v>
      </c>
      <c r="P2812" s="4" t="n">
        <f aca="false">IF(A2812=A2811,P2811+1-M2811,0)</f>
        <v>3</v>
      </c>
    </row>
    <row r="2813" customFormat="false" ht="15" hidden="false" customHeight="false" outlineLevel="0" collapsed="false">
      <c r="A2813" s="31" t="s">
        <v>4295</v>
      </c>
      <c r="B2813" s="31" t="s">
        <v>54</v>
      </c>
      <c r="C2813" s="31" t="s">
        <v>111</v>
      </c>
      <c r="D2813" s="31" t="s">
        <v>4296</v>
      </c>
      <c r="E2813" s="4" t="n">
        <v>5</v>
      </c>
      <c r="F2813" s="4" t="s">
        <v>213</v>
      </c>
      <c r="G2813" s="4" t="s">
        <v>1684</v>
      </c>
      <c r="H2813" s="4" t="n">
        <v>1924</v>
      </c>
      <c r="I2813" s="4" t="s">
        <v>246</v>
      </c>
      <c r="J2813" s="25" t="str">
        <f aca="false">IF(M2813=1,"✓","")</f>
        <v/>
      </c>
      <c r="K2813" s="4" t="str">
        <f aca="false">IF(AND(M2813=0,P2813=0),"▶ NEXT","")</f>
        <v/>
      </c>
      <c r="L2813" s="4" t="n">
        <f aca="false">INDEX('Master List'!$F$2:$F$2594,O2813)</f>
        <v>1</v>
      </c>
      <c r="M2813" s="4" t="n">
        <f aca="false">INDEX('Master List'!$G$2:$G$2594,O2813)</f>
        <v>0</v>
      </c>
      <c r="N2813" s="4" t="str">
        <f aca="false">IF(K2813="","",A2813)</f>
        <v/>
      </c>
      <c r="O2813" s="4" t="n">
        <v>1489</v>
      </c>
      <c r="P2813" s="4" t="n">
        <f aca="false">IF(A2813=A2812,P2812+1-M2812,0)</f>
        <v>4</v>
      </c>
    </row>
    <row r="2814" customFormat="false" ht="15" hidden="false" customHeight="false" outlineLevel="0" collapsed="false">
      <c r="A2814" s="31" t="s">
        <v>4295</v>
      </c>
      <c r="B2814" s="31" t="s">
        <v>54</v>
      </c>
      <c r="C2814" s="31" t="s">
        <v>111</v>
      </c>
      <c r="D2814" s="31" t="s">
        <v>4296</v>
      </c>
      <c r="E2814" s="4" t="n">
        <v>6</v>
      </c>
      <c r="F2814" s="4" t="s">
        <v>213</v>
      </c>
      <c r="G2814" s="4" t="s">
        <v>269</v>
      </c>
      <c r="H2814" s="4" t="n">
        <v>1955</v>
      </c>
      <c r="I2814" s="4" t="s">
        <v>270</v>
      </c>
      <c r="J2814" s="25" t="str">
        <f aca="false">IF(M2814=1,"✓","")</f>
        <v/>
      </c>
      <c r="K2814" s="4" t="str">
        <f aca="false">IF(AND(M2814=0,P2814=0),"▶ NEXT","")</f>
        <v/>
      </c>
      <c r="L2814" s="4" t="n">
        <f aca="false">INDEX('Master List'!$F$2:$F$2594,O2814)</f>
        <v>5</v>
      </c>
      <c r="M2814" s="4" t="n">
        <f aca="false">INDEX('Master List'!$G$2:$G$2594,O2814)</f>
        <v>0</v>
      </c>
      <c r="N2814" s="4" t="str">
        <f aca="false">IF(K2814="","",A2814)</f>
        <v/>
      </c>
      <c r="O2814" s="4" t="n">
        <v>1868</v>
      </c>
      <c r="P2814" s="4" t="n">
        <f aca="false">IF(A2814=A2813,P2813+1-M2813,0)</f>
        <v>5</v>
      </c>
    </row>
    <row r="2815" customFormat="false" ht="15" hidden="false" customHeight="false" outlineLevel="0" collapsed="false">
      <c r="A2815" s="31" t="s">
        <v>4295</v>
      </c>
      <c r="B2815" s="31" t="s">
        <v>54</v>
      </c>
      <c r="C2815" s="31" t="s">
        <v>111</v>
      </c>
      <c r="D2815" s="31" t="s">
        <v>4296</v>
      </c>
      <c r="E2815" s="4" t="n">
        <v>7</v>
      </c>
      <c r="F2815" s="4" t="s">
        <v>213</v>
      </c>
      <c r="G2815" s="4" t="s">
        <v>1999</v>
      </c>
      <c r="H2815" s="4" t="n">
        <v>1961</v>
      </c>
      <c r="I2815" s="4" t="s">
        <v>2000</v>
      </c>
      <c r="J2815" s="25" t="str">
        <f aca="false">IF(M2815=1,"✓","")</f>
        <v/>
      </c>
      <c r="K2815" s="4" t="str">
        <f aca="false">IF(AND(M2815=0,P2815=0),"▶ NEXT","")</f>
        <v/>
      </c>
      <c r="L2815" s="4" t="n">
        <f aca="false">INDEX('Master List'!$F$2:$F$2594,O2815)</f>
        <v>1</v>
      </c>
      <c r="M2815" s="4" t="n">
        <f aca="false">INDEX('Master List'!$G$2:$G$2594,O2815)</f>
        <v>0</v>
      </c>
      <c r="N2815" s="4" t="str">
        <f aca="false">IF(K2815="","",A2815)</f>
        <v/>
      </c>
      <c r="O2815" s="4" t="n">
        <v>2431</v>
      </c>
      <c r="P2815" s="4" t="n">
        <f aca="false">IF(A2815=A2814,P2814+1-M2814,0)</f>
        <v>6</v>
      </c>
    </row>
    <row r="2816" customFormat="false" ht="15" hidden="false" customHeight="false" outlineLevel="0" collapsed="false">
      <c r="A2816" s="31" t="s">
        <v>4295</v>
      </c>
      <c r="B2816" s="31" t="s">
        <v>54</v>
      </c>
      <c r="C2816" s="31" t="s">
        <v>111</v>
      </c>
      <c r="D2816" s="31" t="s">
        <v>4296</v>
      </c>
      <c r="E2816" s="4" t="n">
        <v>8</v>
      </c>
      <c r="F2816" s="4" t="s">
        <v>213</v>
      </c>
      <c r="G2816" s="4" t="s">
        <v>2001</v>
      </c>
      <c r="H2816" s="4" t="n">
        <v>1961</v>
      </c>
      <c r="I2816" s="4" t="s">
        <v>305</v>
      </c>
      <c r="J2816" s="25" t="str">
        <f aca="false">IF(M2816=1,"✓","")</f>
        <v/>
      </c>
      <c r="K2816" s="4" t="str">
        <f aca="false">IF(AND(M2816=0,P2816=0),"▶ NEXT","")</f>
        <v/>
      </c>
      <c r="L2816" s="4" t="n">
        <f aca="false">INDEX('Master List'!$F$2:$F$2594,O2816)</f>
        <v>1</v>
      </c>
      <c r="M2816" s="4" t="n">
        <f aca="false">INDEX('Master List'!$G$2:$G$2594,O2816)</f>
        <v>0</v>
      </c>
      <c r="N2816" s="4" t="str">
        <f aca="false">IF(K2816="","",A2816)</f>
        <v/>
      </c>
      <c r="O2816" s="4" t="n">
        <v>446</v>
      </c>
      <c r="P2816" s="4" t="n">
        <f aca="false">IF(A2816=A2815,P2815+1-M2815,0)</f>
        <v>7</v>
      </c>
    </row>
    <row r="2817" customFormat="false" ht="15" hidden="false" customHeight="false" outlineLevel="0" collapsed="false">
      <c r="A2817" s="31" t="s">
        <v>4295</v>
      </c>
      <c r="B2817" s="31" t="s">
        <v>54</v>
      </c>
      <c r="C2817" s="31" t="s">
        <v>111</v>
      </c>
      <c r="D2817" s="31" t="s">
        <v>4296</v>
      </c>
      <c r="E2817" s="4" t="n">
        <v>9</v>
      </c>
      <c r="F2817" s="4" t="s">
        <v>213</v>
      </c>
      <c r="G2817" s="4" t="s">
        <v>1003</v>
      </c>
      <c r="H2817" s="4" t="n">
        <v>1969</v>
      </c>
      <c r="I2817" s="4" t="s">
        <v>1004</v>
      </c>
      <c r="J2817" s="25" t="str">
        <f aca="false">IF(M2817=1,"✓","")</f>
        <v/>
      </c>
      <c r="K2817" s="4" t="str">
        <f aca="false">IF(AND(M2817=0,P2817=0),"▶ NEXT","")</f>
        <v/>
      </c>
      <c r="L2817" s="4" t="n">
        <f aca="false">INDEX('Master List'!$F$2:$F$2594,O2817)</f>
        <v>2</v>
      </c>
      <c r="M2817" s="4" t="n">
        <f aca="false">INDEX('Master List'!$G$2:$G$2594,O2817)</f>
        <v>0</v>
      </c>
      <c r="N2817" s="4" t="str">
        <f aca="false">IF(K2817="","",A2817)</f>
        <v/>
      </c>
      <c r="O2817" s="4" t="n">
        <v>870</v>
      </c>
      <c r="P2817" s="4" t="n">
        <f aca="false">IF(A2817=A2816,P2816+1-M2816,0)</f>
        <v>8</v>
      </c>
    </row>
    <row r="2818" customFormat="false" ht="15" hidden="false" customHeight="false" outlineLevel="0" collapsed="false">
      <c r="A2818" s="31" t="s">
        <v>4295</v>
      </c>
      <c r="B2818" s="31" t="s">
        <v>54</v>
      </c>
      <c r="C2818" s="31" t="s">
        <v>111</v>
      </c>
      <c r="D2818" s="31" t="s">
        <v>4296</v>
      </c>
      <c r="E2818" s="4" t="n">
        <v>10</v>
      </c>
      <c r="F2818" s="4" t="s">
        <v>213</v>
      </c>
      <c r="G2818" s="4" t="s">
        <v>2613</v>
      </c>
      <c r="H2818" s="4" t="n">
        <v>1995</v>
      </c>
      <c r="I2818" s="4" t="s">
        <v>2614</v>
      </c>
      <c r="J2818" s="25" t="str">
        <f aca="false">IF(M2818=1,"✓","")</f>
        <v/>
      </c>
      <c r="K2818" s="4" t="str">
        <f aca="false">IF(AND(M2818=0,P2818=0),"▶ NEXT","")</f>
        <v/>
      </c>
      <c r="L2818" s="4" t="n">
        <f aca="false">INDEX('Master List'!$F$2:$F$2594,O2818)</f>
        <v>1</v>
      </c>
      <c r="M2818" s="4" t="n">
        <f aca="false">INDEX('Master List'!$G$2:$G$2594,O2818)</f>
        <v>0</v>
      </c>
      <c r="N2818" s="4" t="str">
        <f aca="false">IF(K2818="","",A2818)</f>
        <v/>
      </c>
      <c r="O2818" s="4" t="n">
        <v>418</v>
      </c>
      <c r="P2818" s="4" t="n">
        <f aca="false">IF(A2818=A2817,P2817+1-M2817,0)</f>
        <v>9</v>
      </c>
    </row>
    <row r="2819" customFormat="false" ht="15" hidden="false" customHeight="false" outlineLevel="0" collapsed="false">
      <c r="A2819" s="31" t="s">
        <v>4297</v>
      </c>
      <c r="B2819" s="31" t="s">
        <v>54</v>
      </c>
      <c r="C2819" s="31" t="s">
        <v>111</v>
      </c>
      <c r="D2819" s="31" t="s">
        <v>4298</v>
      </c>
      <c r="E2819" s="4" t="n">
        <v>1</v>
      </c>
      <c r="F2819" s="4" t="s">
        <v>144</v>
      </c>
      <c r="G2819" s="7" t="s">
        <v>824</v>
      </c>
      <c r="H2819" s="4" t="n">
        <v>1990</v>
      </c>
      <c r="I2819" s="4" t="s">
        <v>825</v>
      </c>
      <c r="J2819" s="25" t="str">
        <f aca="false">IF(M2819=1,"✓","")</f>
        <v/>
      </c>
      <c r="K2819" s="4" t="str">
        <f aca="false">IF(AND(M2819=0,P2819=0),"▶ NEXT","")</f>
        <v>▶ NEXT</v>
      </c>
      <c r="L2819" s="4" t="n">
        <f aca="false">INDEX('Master List'!$F$2:$F$2594,O2819)</f>
        <v>2</v>
      </c>
      <c r="M2819" s="4" t="n">
        <f aca="false">INDEX('Master List'!$G$2:$G$2594,O2819)</f>
        <v>0</v>
      </c>
      <c r="N2819" s="4" t="str">
        <f aca="false">IF(K2819="","",A2819)</f>
        <v>N237</v>
      </c>
      <c r="O2819" s="4" t="n">
        <v>1722</v>
      </c>
      <c r="P2819" s="4" t="n">
        <f aca="false">IF(A2819=A2818,P2818+1-M2818,0)</f>
        <v>0</v>
      </c>
    </row>
    <row r="2820" customFormat="false" ht="15" hidden="false" customHeight="false" outlineLevel="0" collapsed="false">
      <c r="A2820" s="31" t="s">
        <v>4297</v>
      </c>
      <c r="B2820" s="31" t="s">
        <v>54</v>
      </c>
      <c r="C2820" s="31" t="s">
        <v>111</v>
      </c>
      <c r="D2820" s="31" t="s">
        <v>4298</v>
      </c>
      <c r="E2820" s="4" t="n">
        <v>2</v>
      </c>
      <c r="F2820" s="4" t="s">
        <v>144</v>
      </c>
      <c r="G2820" s="7" t="s">
        <v>826</v>
      </c>
      <c r="H2820" s="4" t="n">
        <v>1991</v>
      </c>
      <c r="I2820" s="4" t="s">
        <v>827</v>
      </c>
      <c r="J2820" s="25" t="str">
        <f aca="false">IF(M2820=1,"✓","")</f>
        <v>✓</v>
      </c>
      <c r="K2820" s="4" t="str">
        <f aca="false">IF(AND(M2820=0,P2820=0),"▶ NEXT","")</f>
        <v/>
      </c>
      <c r="L2820" s="4" t="n">
        <f aca="false">INDEX('Master List'!$F$2:$F$2594,O2820)</f>
        <v>2</v>
      </c>
      <c r="M2820" s="4" t="n">
        <f aca="false">INDEX('Master List'!$G$2:$G$2594,O2820)</f>
        <v>1</v>
      </c>
      <c r="N2820" s="4" t="str">
        <f aca="false">IF(K2820="","",A2820)</f>
        <v/>
      </c>
      <c r="O2820" s="4" t="n">
        <v>1576</v>
      </c>
      <c r="P2820" s="4" t="n">
        <f aca="false">IF(A2820=A2819,P2819+1-M2819,0)</f>
        <v>1</v>
      </c>
    </row>
    <row r="2821" customFormat="false" ht="15" hidden="false" customHeight="false" outlineLevel="0" collapsed="false">
      <c r="A2821" s="31" t="s">
        <v>4297</v>
      </c>
      <c r="B2821" s="31" t="s">
        <v>54</v>
      </c>
      <c r="C2821" s="31" t="s">
        <v>111</v>
      </c>
      <c r="D2821" s="31" t="s">
        <v>4298</v>
      </c>
      <c r="E2821" s="4" t="n">
        <v>3</v>
      </c>
      <c r="F2821" s="4" t="s">
        <v>213</v>
      </c>
      <c r="G2821" s="4" t="s">
        <v>670</v>
      </c>
      <c r="H2821" s="4" t="n">
        <v>1972</v>
      </c>
      <c r="I2821" s="4" t="s">
        <v>671</v>
      </c>
      <c r="J2821" s="25" t="str">
        <f aca="false">IF(M2821=1,"✓","")</f>
        <v/>
      </c>
      <c r="K2821" s="4" t="str">
        <f aca="false">IF(AND(M2821=0,P2821=0),"▶ NEXT","")</f>
        <v/>
      </c>
      <c r="L2821" s="4" t="n">
        <f aca="false">INDEX('Master List'!$F$2:$F$2594,O2821)</f>
        <v>3</v>
      </c>
      <c r="M2821" s="4" t="n">
        <f aca="false">INDEX('Master List'!$G$2:$G$2594,O2821)</f>
        <v>0</v>
      </c>
      <c r="N2821" s="4" t="str">
        <f aca="false">IF(K2821="","",A2821)</f>
        <v/>
      </c>
      <c r="O2821" s="4" t="n">
        <v>1769</v>
      </c>
      <c r="P2821" s="4" t="n">
        <f aca="false">IF(A2821=A2820,P2820+1-M2820,0)</f>
        <v>1</v>
      </c>
    </row>
    <row r="2822" customFormat="false" ht="15" hidden="false" customHeight="false" outlineLevel="0" collapsed="false">
      <c r="A2822" s="31" t="s">
        <v>4297</v>
      </c>
      <c r="B2822" s="31" t="s">
        <v>54</v>
      </c>
      <c r="C2822" s="31" t="s">
        <v>111</v>
      </c>
      <c r="D2822" s="31" t="s">
        <v>4298</v>
      </c>
      <c r="E2822" s="4" t="n">
        <v>4</v>
      </c>
      <c r="F2822" s="4" t="s">
        <v>213</v>
      </c>
      <c r="G2822" s="4" t="s">
        <v>2345</v>
      </c>
      <c r="H2822" s="4" t="n">
        <v>1980</v>
      </c>
      <c r="I2822" s="4" t="s">
        <v>2346</v>
      </c>
      <c r="J2822" s="25" t="str">
        <f aca="false">IF(M2822=1,"✓","")</f>
        <v/>
      </c>
      <c r="K2822" s="4" t="str">
        <f aca="false">IF(AND(M2822=0,P2822=0),"▶ NEXT","")</f>
        <v/>
      </c>
      <c r="L2822" s="4" t="n">
        <f aca="false">INDEX('Master List'!$F$2:$F$2594,O2822)</f>
        <v>1</v>
      </c>
      <c r="M2822" s="4" t="n">
        <f aca="false">INDEX('Master List'!$G$2:$G$2594,O2822)</f>
        <v>0</v>
      </c>
      <c r="N2822" s="4" t="str">
        <f aca="false">IF(K2822="","",A2822)</f>
        <v/>
      </c>
      <c r="O2822" s="4" t="n">
        <v>2249</v>
      </c>
      <c r="P2822" s="4" t="n">
        <f aca="false">IF(A2822=A2821,P2821+1-M2821,0)</f>
        <v>2</v>
      </c>
    </row>
    <row r="2823" customFormat="false" ht="15" hidden="false" customHeight="false" outlineLevel="0" collapsed="false">
      <c r="A2823" s="31" t="s">
        <v>4297</v>
      </c>
      <c r="B2823" s="31" t="s">
        <v>54</v>
      </c>
      <c r="C2823" s="31" t="s">
        <v>111</v>
      </c>
      <c r="D2823" s="31" t="s">
        <v>4298</v>
      </c>
      <c r="E2823" s="4" t="n">
        <v>5</v>
      </c>
      <c r="F2823" s="4" t="s">
        <v>213</v>
      </c>
      <c r="G2823" s="4" t="s">
        <v>2440</v>
      </c>
      <c r="H2823" s="4" t="n">
        <v>1986</v>
      </c>
      <c r="I2823" s="4" t="s">
        <v>827</v>
      </c>
      <c r="J2823" s="25" t="str">
        <f aca="false">IF(M2823=1,"✓","")</f>
        <v/>
      </c>
      <c r="K2823" s="4" t="str">
        <f aca="false">IF(AND(M2823=0,P2823=0),"▶ NEXT","")</f>
        <v/>
      </c>
      <c r="L2823" s="4" t="n">
        <f aca="false">INDEX('Master List'!$F$2:$F$2594,O2823)</f>
        <v>1</v>
      </c>
      <c r="M2823" s="4" t="n">
        <f aca="false">INDEX('Master List'!$G$2:$G$2594,O2823)</f>
        <v>0</v>
      </c>
      <c r="N2823" s="4" t="str">
        <f aca="false">IF(K2823="","",A2823)</f>
        <v/>
      </c>
      <c r="O2823" s="4" t="n">
        <v>1417</v>
      </c>
      <c r="P2823" s="4" t="n">
        <f aca="false">IF(A2823=A2822,P2822+1-M2822,0)</f>
        <v>3</v>
      </c>
    </row>
    <row r="2824" customFormat="false" ht="15" hidden="false" customHeight="false" outlineLevel="0" collapsed="false">
      <c r="A2824" s="31" t="s">
        <v>4297</v>
      </c>
      <c r="B2824" s="31" t="s">
        <v>54</v>
      </c>
      <c r="C2824" s="31" t="s">
        <v>111</v>
      </c>
      <c r="D2824" s="31" t="s">
        <v>4298</v>
      </c>
      <c r="E2824" s="4" t="n">
        <v>6</v>
      </c>
      <c r="F2824" s="4" t="s">
        <v>213</v>
      </c>
      <c r="G2824" s="4" t="s">
        <v>2499</v>
      </c>
      <c r="H2824" s="4" t="n">
        <v>1989</v>
      </c>
      <c r="I2824" s="4" t="s">
        <v>2500</v>
      </c>
      <c r="J2824" s="25" t="str">
        <f aca="false">IF(M2824=1,"✓","")</f>
        <v/>
      </c>
      <c r="K2824" s="4" t="str">
        <f aca="false">IF(AND(M2824=0,P2824=0),"▶ NEXT","")</f>
        <v/>
      </c>
      <c r="L2824" s="4" t="n">
        <f aca="false">INDEX('Master List'!$F$2:$F$2594,O2824)</f>
        <v>1</v>
      </c>
      <c r="M2824" s="4" t="n">
        <f aca="false">INDEX('Master List'!$G$2:$G$2594,O2824)</f>
        <v>0</v>
      </c>
      <c r="N2824" s="4" t="str">
        <f aca="false">IF(K2824="","",A2824)</f>
        <v/>
      </c>
      <c r="O2824" s="4" t="n">
        <v>2331</v>
      </c>
      <c r="P2824" s="4" t="n">
        <f aca="false">IF(A2824=A2823,P2823+1-M2823,0)</f>
        <v>4</v>
      </c>
    </row>
    <row r="2825" customFormat="false" ht="15" hidden="false" customHeight="false" outlineLevel="0" collapsed="false">
      <c r="A2825" s="31" t="s">
        <v>4297</v>
      </c>
      <c r="B2825" s="31" t="s">
        <v>54</v>
      </c>
      <c r="C2825" s="31" t="s">
        <v>111</v>
      </c>
      <c r="D2825" s="31" t="s">
        <v>4298</v>
      </c>
      <c r="E2825" s="4" t="n">
        <v>7</v>
      </c>
      <c r="F2825" s="4" t="s">
        <v>213</v>
      </c>
      <c r="G2825" s="4" t="s">
        <v>1378</v>
      </c>
      <c r="H2825" s="4" t="n">
        <v>1991</v>
      </c>
      <c r="I2825" s="4" t="s">
        <v>718</v>
      </c>
      <c r="J2825" s="25" t="str">
        <f aca="false">IF(M2825=1,"✓","")</f>
        <v/>
      </c>
      <c r="K2825" s="4" t="str">
        <f aca="false">IF(AND(M2825=0,P2825=0),"▶ NEXT","")</f>
        <v/>
      </c>
      <c r="L2825" s="4" t="n">
        <f aca="false">INDEX('Master List'!$F$2:$F$2594,O2825)</f>
        <v>2</v>
      </c>
      <c r="M2825" s="4" t="n">
        <f aca="false">INDEX('Master List'!$G$2:$G$2594,O2825)</f>
        <v>0</v>
      </c>
      <c r="N2825" s="4" t="str">
        <f aca="false">IF(K2825="","",A2825)</f>
        <v/>
      </c>
      <c r="O2825" s="4" t="n">
        <v>1786</v>
      </c>
      <c r="P2825" s="4" t="n">
        <f aca="false">IF(A2825=A2824,P2824+1-M2824,0)</f>
        <v>5</v>
      </c>
    </row>
    <row r="2826" customFormat="false" ht="15" hidden="false" customHeight="false" outlineLevel="0" collapsed="false">
      <c r="A2826" s="31" t="s">
        <v>4297</v>
      </c>
      <c r="B2826" s="31" t="s">
        <v>54</v>
      </c>
      <c r="C2826" s="31" t="s">
        <v>111</v>
      </c>
      <c r="D2826" s="31" t="s">
        <v>4298</v>
      </c>
      <c r="E2826" s="4" t="n">
        <v>8</v>
      </c>
      <c r="F2826" s="4" t="s">
        <v>213</v>
      </c>
      <c r="G2826" s="4" t="s">
        <v>2549</v>
      </c>
      <c r="H2826" s="4" t="n">
        <v>1992</v>
      </c>
      <c r="I2826" s="4" t="s">
        <v>2550</v>
      </c>
      <c r="J2826" s="25" t="str">
        <f aca="false">IF(M2826=1,"✓","")</f>
        <v/>
      </c>
      <c r="K2826" s="4" t="str">
        <f aca="false">IF(AND(M2826=0,P2826=0),"▶ NEXT","")</f>
        <v/>
      </c>
      <c r="L2826" s="4" t="n">
        <f aca="false">INDEX('Master List'!$F$2:$F$2594,O2826)</f>
        <v>1</v>
      </c>
      <c r="M2826" s="4" t="n">
        <f aca="false">INDEX('Master List'!$G$2:$G$2594,O2826)</f>
        <v>0</v>
      </c>
      <c r="N2826" s="4" t="str">
        <f aca="false">IF(K2826="","",A2826)</f>
        <v/>
      </c>
      <c r="O2826" s="4" t="n">
        <v>1360</v>
      </c>
      <c r="P2826" s="4" t="n">
        <f aca="false">IF(A2826=A2825,P2825+1-M2825,0)</f>
        <v>6</v>
      </c>
    </row>
    <row r="2827" customFormat="false" ht="15" hidden="false" customHeight="false" outlineLevel="0" collapsed="false">
      <c r="A2827" s="31" t="s">
        <v>4297</v>
      </c>
      <c r="B2827" s="31" t="s">
        <v>54</v>
      </c>
      <c r="C2827" s="31" t="s">
        <v>111</v>
      </c>
      <c r="D2827" s="31" t="s">
        <v>4298</v>
      </c>
      <c r="E2827" s="4" t="n">
        <v>9</v>
      </c>
      <c r="F2827" s="4" t="s">
        <v>213</v>
      </c>
      <c r="G2827" s="4" t="s">
        <v>2551</v>
      </c>
      <c r="H2827" s="4" t="n">
        <v>1992</v>
      </c>
      <c r="I2827" s="4" t="s">
        <v>2552</v>
      </c>
      <c r="J2827" s="25" t="str">
        <f aca="false">IF(M2827=1,"✓","")</f>
        <v/>
      </c>
      <c r="K2827" s="4" t="str">
        <f aca="false">IF(AND(M2827=0,P2827=0),"▶ NEXT","")</f>
        <v/>
      </c>
      <c r="L2827" s="4" t="n">
        <f aca="false">INDEX('Master List'!$F$2:$F$2594,O2827)</f>
        <v>1</v>
      </c>
      <c r="M2827" s="4" t="n">
        <f aca="false">INDEX('Master List'!$G$2:$G$2594,O2827)</f>
        <v>0</v>
      </c>
      <c r="N2827" s="4" t="str">
        <f aca="false">IF(K2827="","",A2827)</f>
        <v/>
      </c>
      <c r="O2827" s="4" t="n">
        <v>2220</v>
      </c>
      <c r="P2827" s="4" t="n">
        <f aca="false">IF(A2827=A2826,P2826+1-M2826,0)</f>
        <v>7</v>
      </c>
    </row>
    <row r="2828" customFormat="false" ht="15" hidden="false" customHeight="false" outlineLevel="0" collapsed="false">
      <c r="A2828" s="31" t="s">
        <v>4297</v>
      </c>
      <c r="B2828" s="31" t="s">
        <v>54</v>
      </c>
      <c r="C2828" s="31" t="s">
        <v>111</v>
      </c>
      <c r="D2828" s="31" t="s">
        <v>4298</v>
      </c>
      <c r="E2828" s="4" t="n">
        <v>10</v>
      </c>
      <c r="F2828" s="4" t="s">
        <v>213</v>
      </c>
      <c r="G2828" s="4" t="s">
        <v>2647</v>
      </c>
      <c r="H2828" s="4" t="n">
        <v>1996</v>
      </c>
      <c r="I2828" s="4" t="s">
        <v>2648</v>
      </c>
      <c r="J2828" s="25" t="str">
        <f aca="false">IF(M2828=1,"✓","")</f>
        <v/>
      </c>
      <c r="K2828" s="4" t="str">
        <f aca="false">IF(AND(M2828=0,P2828=0),"▶ NEXT","")</f>
        <v/>
      </c>
      <c r="L2828" s="4" t="n">
        <f aca="false">INDEX('Master List'!$F$2:$F$2594,O2828)</f>
        <v>1</v>
      </c>
      <c r="M2828" s="4" t="n">
        <f aca="false">INDEX('Master List'!$G$2:$G$2594,O2828)</f>
        <v>0</v>
      </c>
      <c r="N2828" s="4" t="str">
        <f aca="false">IF(K2828="","",A2828)</f>
        <v/>
      </c>
      <c r="O2828" s="4" t="n">
        <v>2469</v>
      </c>
      <c r="P2828" s="4" t="n">
        <f aca="false">IF(A2828=A2827,P2827+1-M2827,0)</f>
        <v>8</v>
      </c>
    </row>
    <row r="2829" customFormat="false" ht="15" hidden="false" customHeight="false" outlineLevel="0" collapsed="false">
      <c r="A2829" s="31" t="s">
        <v>4297</v>
      </c>
      <c r="B2829" s="31" t="s">
        <v>54</v>
      </c>
      <c r="C2829" s="31" t="s">
        <v>111</v>
      </c>
      <c r="D2829" s="31" t="s">
        <v>4298</v>
      </c>
      <c r="E2829" s="4" t="n">
        <v>11</v>
      </c>
      <c r="F2829" s="4" t="s">
        <v>213</v>
      </c>
      <c r="G2829" s="4" t="s">
        <v>621</v>
      </c>
      <c r="H2829" s="4" t="n">
        <v>1997</v>
      </c>
      <c r="I2829" s="4" t="s">
        <v>193</v>
      </c>
      <c r="J2829" s="25" t="str">
        <f aca="false">IF(M2829=1,"✓","")</f>
        <v/>
      </c>
      <c r="K2829" s="4" t="str">
        <f aca="false">IF(AND(M2829=0,P2829=0),"▶ NEXT","")</f>
        <v/>
      </c>
      <c r="L2829" s="4" t="n">
        <f aca="false">INDEX('Master List'!$F$2:$F$2594,O2829)</f>
        <v>3</v>
      </c>
      <c r="M2829" s="4" t="n">
        <f aca="false">INDEX('Master List'!$G$2:$G$2594,O2829)</f>
        <v>0</v>
      </c>
      <c r="N2829" s="4" t="str">
        <f aca="false">IF(K2829="","",A2829)</f>
        <v/>
      </c>
      <c r="O2829" s="4" t="n">
        <v>990</v>
      </c>
      <c r="P2829" s="4" t="n">
        <f aca="false">IF(A2829=A2828,P2828+1-M2828,0)</f>
        <v>9</v>
      </c>
    </row>
    <row r="2830" customFormat="false" ht="15" hidden="false" customHeight="false" outlineLevel="0" collapsed="false">
      <c r="A2830" s="31" t="s">
        <v>4297</v>
      </c>
      <c r="B2830" s="31" t="s">
        <v>54</v>
      </c>
      <c r="C2830" s="31" t="s">
        <v>111</v>
      </c>
      <c r="D2830" s="31" t="s">
        <v>4298</v>
      </c>
      <c r="E2830" s="4" t="n">
        <v>12</v>
      </c>
      <c r="F2830" s="4" t="s">
        <v>213</v>
      </c>
      <c r="G2830" s="4" t="s">
        <v>2707</v>
      </c>
      <c r="H2830" s="4" t="n">
        <v>1999</v>
      </c>
      <c r="I2830" s="4" t="s">
        <v>2708</v>
      </c>
      <c r="J2830" s="25" t="str">
        <f aca="false">IF(M2830=1,"✓","")</f>
        <v/>
      </c>
      <c r="K2830" s="4" t="str">
        <f aca="false">IF(AND(M2830=0,P2830=0),"▶ NEXT","")</f>
        <v/>
      </c>
      <c r="L2830" s="4" t="n">
        <f aca="false">INDEX('Master List'!$F$2:$F$2594,O2830)</f>
        <v>1</v>
      </c>
      <c r="M2830" s="4" t="n">
        <f aca="false">INDEX('Master List'!$G$2:$G$2594,O2830)</f>
        <v>0</v>
      </c>
      <c r="N2830" s="4" t="str">
        <f aca="false">IF(K2830="","",A2830)</f>
        <v/>
      </c>
      <c r="O2830" s="4" t="n">
        <v>331</v>
      </c>
      <c r="P2830" s="4" t="n">
        <f aca="false">IF(A2830=A2829,P2829+1-M2829,0)</f>
        <v>10</v>
      </c>
    </row>
    <row r="2831" customFormat="false" ht="15" hidden="false" customHeight="false" outlineLevel="0" collapsed="false">
      <c r="A2831" s="31" t="s">
        <v>4297</v>
      </c>
      <c r="B2831" s="31" t="s">
        <v>54</v>
      </c>
      <c r="C2831" s="31" t="s">
        <v>111</v>
      </c>
      <c r="D2831" s="31" t="s">
        <v>4298</v>
      </c>
      <c r="E2831" s="4" t="n">
        <v>13</v>
      </c>
      <c r="F2831" s="4" t="s">
        <v>213</v>
      </c>
      <c r="G2831" s="4" t="s">
        <v>1168</v>
      </c>
      <c r="H2831" s="4" t="n">
        <v>2005</v>
      </c>
      <c r="I2831" s="4" t="s">
        <v>1169</v>
      </c>
      <c r="J2831" s="25" t="str">
        <f aca="false">IF(M2831=1,"✓","")</f>
        <v>✓</v>
      </c>
      <c r="K2831" s="4" t="str">
        <f aca="false">IF(AND(M2831=0,P2831=0),"▶ NEXT","")</f>
        <v/>
      </c>
      <c r="L2831" s="4" t="n">
        <f aca="false">INDEX('Master List'!$F$2:$F$2594,O2831)</f>
        <v>2</v>
      </c>
      <c r="M2831" s="4" t="n">
        <f aca="false">INDEX('Master List'!$G$2:$G$2594,O2831)</f>
        <v>1</v>
      </c>
      <c r="N2831" s="4" t="str">
        <f aca="false">IF(K2831="","",A2831)</f>
        <v/>
      </c>
      <c r="O2831" s="4" t="n">
        <v>355</v>
      </c>
      <c r="P2831" s="4" t="n">
        <f aca="false">IF(A2831=A2830,P2830+1-M2830,0)</f>
        <v>11</v>
      </c>
    </row>
    <row r="2832" customFormat="false" ht="15" hidden="false" customHeight="false" outlineLevel="0" collapsed="false">
      <c r="A2832" s="31" t="s">
        <v>4297</v>
      </c>
      <c r="B2832" s="31" t="s">
        <v>54</v>
      </c>
      <c r="C2832" s="31" t="s">
        <v>111</v>
      </c>
      <c r="D2832" s="31" t="s">
        <v>4298</v>
      </c>
      <c r="E2832" s="4" t="n">
        <v>14</v>
      </c>
      <c r="F2832" s="4" t="s">
        <v>213</v>
      </c>
      <c r="G2832" s="4" t="s">
        <v>693</v>
      </c>
      <c r="H2832" s="4" t="n">
        <v>2015</v>
      </c>
      <c r="I2832" s="4" t="s">
        <v>694</v>
      </c>
      <c r="J2832" s="25" t="str">
        <f aca="false">IF(M2832=1,"✓","")</f>
        <v/>
      </c>
      <c r="K2832" s="4" t="str">
        <f aca="false">IF(AND(M2832=0,P2832=0),"▶ NEXT","")</f>
        <v/>
      </c>
      <c r="L2832" s="4" t="n">
        <f aca="false">INDEX('Master List'!$F$2:$F$2594,O2832)</f>
        <v>3</v>
      </c>
      <c r="M2832" s="4" t="n">
        <f aca="false">INDEX('Master List'!$G$2:$G$2594,O2832)</f>
        <v>0</v>
      </c>
      <c r="N2832" s="4" t="str">
        <f aca="false">IF(K2832="","",A2832)</f>
        <v/>
      </c>
      <c r="O2832" s="4" t="n">
        <v>2239</v>
      </c>
      <c r="P2832" s="4" t="n">
        <f aca="false">IF(A2832=A2831,P2831+1-M2831,0)</f>
        <v>11</v>
      </c>
    </row>
    <row r="2833" customFormat="false" ht="15" hidden="false" customHeight="false" outlineLevel="0" collapsed="false">
      <c r="A2833" s="31" t="s">
        <v>4297</v>
      </c>
      <c r="B2833" s="31" t="s">
        <v>54</v>
      </c>
      <c r="C2833" s="31" t="s">
        <v>111</v>
      </c>
      <c r="D2833" s="31" t="s">
        <v>4298</v>
      </c>
      <c r="E2833" s="4" t="n">
        <v>15</v>
      </c>
      <c r="F2833" s="4" t="s">
        <v>213</v>
      </c>
      <c r="G2833" s="4" t="s">
        <v>717</v>
      </c>
      <c r="H2833" s="4" t="n">
        <v>2015</v>
      </c>
      <c r="I2833" s="4" t="s">
        <v>718</v>
      </c>
      <c r="J2833" s="25" t="str">
        <f aca="false">IF(M2833=1,"✓","")</f>
        <v/>
      </c>
      <c r="K2833" s="4" t="str">
        <f aca="false">IF(AND(M2833=0,P2833=0),"▶ NEXT","")</f>
        <v/>
      </c>
      <c r="L2833" s="4" t="n">
        <f aca="false">INDEX('Master List'!$F$2:$F$2594,O2833)</f>
        <v>3</v>
      </c>
      <c r="M2833" s="4" t="n">
        <f aca="false">INDEX('Master List'!$G$2:$G$2594,O2833)</f>
        <v>0</v>
      </c>
      <c r="N2833" s="4" t="str">
        <f aca="false">IF(K2833="","",A2833)</f>
        <v/>
      </c>
      <c r="O2833" s="4" t="n">
        <v>401</v>
      </c>
      <c r="P2833" s="4" t="n">
        <f aca="false">IF(A2833=A2832,P2832+1-M2832,0)</f>
        <v>12</v>
      </c>
    </row>
    <row r="2834" customFormat="false" ht="15" hidden="false" customHeight="false" outlineLevel="0" collapsed="false">
      <c r="A2834" s="31" t="s">
        <v>4297</v>
      </c>
      <c r="B2834" s="31" t="s">
        <v>54</v>
      </c>
      <c r="C2834" s="31" t="s">
        <v>111</v>
      </c>
      <c r="D2834" s="31" t="s">
        <v>4298</v>
      </c>
      <c r="E2834" s="4" t="n">
        <v>16</v>
      </c>
      <c r="F2834" s="4" t="s">
        <v>213</v>
      </c>
      <c r="G2834" s="4" t="s">
        <v>165</v>
      </c>
      <c r="H2834" s="4" t="n">
        <v>2016</v>
      </c>
      <c r="I2834" s="4" t="s">
        <v>166</v>
      </c>
      <c r="J2834" s="25" t="str">
        <f aca="false">IF(M2834=1,"✓","")</f>
        <v>✓</v>
      </c>
      <c r="K2834" s="4" t="str">
        <f aca="false">IF(AND(M2834=0,P2834=0),"▶ NEXT","")</f>
        <v/>
      </c>
      <c r="L2834" s="4" t="n">
        <f aca="false">INDEX('Master List'!$F$2:$F$2594,O2834)</f>
        <v>8</v>
      </c>
      <c r="M2834" s="4" t="n">
        <f aca="false">INDEX('Master List'!$G$2:$G$2594,O2834)</f>
        <v>1</v>
      </c>
      <c r="N2834" s="4" t="str">
        <f aca="false">IF(K2834="","",A2834)</f>
        <v/>
      </c>
      <c r="O2834" s="4" t="n">
        <v>1532</v>
      </c>
      <c r="P2834" s="4" t="n">
        <f aca="false">IF(A2834=A2833,P2833+1-M2833,0)</f>
        <v>13</v>
      </c>
    </row>
    <row r="2835" customFormat="false" ht="15" hidden="false" customHeight="false" outlineLevel="0" collapsed="false">
      <c r="A2835" s="31" t="s">
        <v>4297</v>
      </c>
      <c r="B2835" s="31" t="s">
        <v>54</v>
      </c>
      <c r="C2835" s="31" t="s">
        <v>111</v>
      </c>
      <c r="D2835" s="31" t="s">
        <v>4298</v>
      </c>
      <c r="E2835" s="4" t="n">
        <v>17</v>
      </c>
      <c r="F2835" s="4" t="s">
        <v>213</v>
      </c>
      <c r="G2835" s="4" t="s">
        <v>240</v>
      </c>
      <c r="H2835" s="4" t="n">
        <v>2019</v>
      </c>
      <c r="I2835" s="4" t="s">
        <v>241</v>
      </c>
      <c r="J2835" s="25" t="str">
        <f aca="false">IF(M2835=1,"✓","")</f>
        <v/>
      </c>
      <c r="K2835" s="4" t="str">
        <f aca="false">IF(AND(M2835=0,P2835=0),"▶ NEXT","")</f>
        <v/>
      </c>
      <c r="L2835" s="4" t="n">
        <f aca="false">INDEX('Master List'!$F$2:$F$2594,O2835)</f>
        <v>6</v>
      </c>
      <c r="M2835" s="4" t="n">
        <f aca="false">INDEX('Master List'!$G$2:$G$2594,O2835)</f>
        <v>0</v>
      </c>
      <c r="N2835" s="4" t="str">
        <f aca="false">IF(K2835="","",A2835)</f>
        <v/>
      </c>
      <c r="O2835" s="4" t="n">
        <v>1799</v>
      </c>
      <c r="P2835" s="4" t="n">
        <f aca="false">IF(A2835=A2834,P2834+1-M2834,0)</f>
        <v>13</v>
      </c>
    </row>
    <row r="2836" customFormat="false" ht="15" hidden="false" customHeight="false" outlineLevel="0" collapsed="false">
      <c r="A2836" s="31" t="s">
        <v>4297</v>
      </c>
      <c r="B2836" s="31" t="s">
        <v>54</v>
      </c>
      <c r="C2836" s="31" t="s">
        <v>111</v>
      </c>
      <c r="D2836" s="31" t="s">
        <v>4298</v>
      </c>
      <c r="E2836" s="4" t="n">
        <v>18</v>
      </c>
      <c r="F2836" s="4" t="s">
        <v>1327</v>
      </c>
      <c r="G2836" s="4" t="s">
        <v>3683</v>
      </c>
      <c r="H2836" s="4" t="n">
        <v>1994</v>
      </c>
      <c r="I2836" s="4" t="s">
        <v>3684</v>
      </c>
      <c r="J2836" s="25" t="str">
        <f aca="false">IF(M2836=1,"✓","")</f>
        <v/>
      </c>
      <c r="K2836" s="4" t="str">
        <f aca="false">IF(AND(M2836=0,P2836=0),"▶ NEXT","")</f>
        <v/>
      </c>
      <c r="L2836" s="4" t="n">
        <f aca="false">INDEX('Master List'!$F$2:$F$2594,O2836)</f>
        <v>1</v>
      </c>
      <c r="M2836" s="4" t="n">
        <f aca="false">INDEX('Master List'!$G$2:$G$2594,O2836)</f>
        <v>0</v>
      </c>
      <c r="N2836" s="4" t="str">
        <f aca="false">IF(K2836="","",A2836)</f>
        <v/>
      </c>
      <c r="O2836" s="4" t="n">
        <v>907</v>
      </c>
      <c r="P2836" s="4" t="n">
        <f aca="false">IF(A2836=A2835,P2835+1-M2835,0)</f>
        <v>14</v>
      </c>
    </row>
    <row r="2837" customFormat="false" ht="15" hidden="false" customHeight="false" outlineLevel="0" collapsed="false">
      <c r="A2837" s="31" t="s">
        <v>4297</v>
      </c>
      <c r="B2837" s="31" t="s">
        <v>54</v>
      </c>
      <c r="C2837" s="31" t="s">
        <v>111</v>
      </c>
      <c r="D2837" s="31" t="s">
        <v>4298</v>
      </c>
      <c r="E2837" s="4" t="n">
        <v>19</v>
      </c>
      <c r="F2837" s="4" t="s">
        <v>1327</v>
      </c>
      <c r="G2837" s="4" t="s">
        <v>3667</v>
      </c>
      <c r="H2837" s="4" t="n">
        <v>1991</v>
      </c>
      <c r="I2837" s="4" t="s">
        <v>3668</v>
      </c>
      <c r="J2837" s="25" t="str">
        <f aca="false">IF(M2837=1,"✓","")</f>
        <v/>
      </c>
      <c r="K2837" s="4" t="str">
        <f aca="false">IF(AND(M2837=0,P2837=0),"▶ NEXT","")</f>
        <v/>
      </c>
      <c r="L2837" s="4" t="n">
        <f aca="false">INDEX('Master List'!$F$2:$F$2594,O2837)</f>
        <v>1</v>
      </c>
      <c r="M2837" s="4" t="n">
        <f aca="false">INDEX('Master List'!$G$2:$G$2594,O2837)</f>
        <v>0</v>
      </c>
      <c r="N2837" s="4" t="str">
        <f aca="false">IF(K2837="","",A2837)</f>
        <v/>
      </c>
      <c r="O2837" s="4" t="n">
        <v>711</v>
      </c>
      <c r="P2837" s="4" t="n">
        <f aca="false">IF(A2837=A2836,P2836+1-M2836,0)</f>
        <v>15</v>
      </c>
    </row>
    <row r="2838" customFormat="false" ht="15" hidden="false" customHeight="false" outlineLevel="0" collapsed="false">
      <c r="A2838" s="31" t="s">
        <v>4297</v>
      </c>
      <c r="B2838" s="31" t="s">
        <v>54</v>
      </c>
      <c r="C2838" s="31" t="s">
        <v>111</v>
      </c>
      <c r="D2838" s="31" t="s">
        <v>4298</v>
      </c>
      <c r="E2838" s="4" t="n">
        <v>20</v>
      </c>
      <c r="F2838" s="4" t="s">
        <v>1327</v>
      </c>
      <c r="G2838" s="4" t="s">
        <v>3676</v>
      </c>
      <c r="H2838" s="4" t="n">
        <v>1993</v>
      </c>
      <c r="I2838" s="4" t="s">
        <v>2550</v>
      </c>
      <c r="J2838" s="25" t="str">
        <f aca="false">IF(M2838=1,"✓","")</f>
        <v/>
      </c>
      <c r="K2838" s="4" t="str">
        <f aca="false">IF(AND(M2838=0,P2838=0),"▶ NEXT","")</f>
        <v/>
      </c>
      <c r="L2838" s="4" t="n">
        <f aca="false">INDEX('Master List'!$F$2:$F$2594,O2838)</f>
        <v>1</v>
      </c>
      <c r="M2838" s="4" t="n">
        <f aca="false">INDEX('Master List'!$G$2:$G$2594,O2838)</f>
        <v>0</v>
      </c>
      <c r="N2838" s="4" t="str">
        <f aca="false">IF(K2838="","",A2838)</f>
        <v/>
      </c>
      <c r="O2838" s="4" t="n">
        <v>2343</v>
      </c>
      <c r="P2838" s="4" t="n">
        <f aca="false">IF(A2838=A2837,P2837+1-M2837,0)</f>
        <v>16</v>
      </c>
    </row>
    <row r="2839" customFormat="false" ht="15" hidden="false" customHeight="false" outlineLevel="0" collapsed="false">
      <c r="A2839" s="31" t="s">
        <v>4299</v>
      </c>
      <c r="B2839" s="31" t="s">
        <v>54</v>
      </c>
      <c r="C2839" s="31" t="s">
        <v>112</v>
      </c>
      <c r="D2839" s="31" t="s">
        <v>4300</v>
      </c>
      <c r="E2839" s="4" t="n">
        <v>1</v>
      </c>
      <c r="F2839" s="4" t="s">
        <v>144</v>
      </c>
      <c r="G2839" s="7" t="s">
        <v>341</v>
      </c>
      <c r="H2839" s="4" t="n">
        <v>2000</v>
      </c>
      <c r="I2839" s="4" t="s">
        <v>342</v>
      </c>
      <c r="J2839" s="25" t="str">
        <f aca="false">IF(M2839=1,"✓","")</f>
        <v>✓</v>
      </c>
      <c r="K2839" s="4" t="str">
        <f aca="false">IF(AND(M2839=0,P2839=0),"▶ NEXT","")</f>
        <v/>
      </c>
      <c r="L2839" s="4" t="n">
        <f aca="false">INDEX('Master List'!$F$2:$F$2594,O2839)</f>
        <v>4</v>
      </c>
      <c r="M2839" s="4" t="n">
        <f aca="false">INDEX('Master List'!$G$2:$G$2594,O2839)</f>
        <v>1</v>
      </c>
      <c r="N2839" s="4" t="str">
        <f aca="false">IF(K2839="","",A2839)</f>
        <v/>
      </c>
      <c r="O2839" s="4" t="n">
        <v>1475</v>
      </c>
      <c r="P2839" s="4" t="n">
        <f aca="false">IF(A2839=A2838,P2838+1-M2838,0)</f>
        <v>0</v>
      </c>
    </row>
    <row r="2840" customFormat="false" ht="15" hidden="false" customHeight="false" outlineLevel="0" collapsed="false">
      <c r="A2840" s="31" t="s">
        <v>4299</v>
      </c>
      <c r="B2840" s="31" t="s">
        <v>54</v>
      </c>
      <c r="C2840" s="31" t="s">
        <v>112</v>
      </c>
      <c r="D2840" s="31" t="s">
        <v>4300</v>
      </c>
      <c r="E2840" s="4" t="n">
        <v>2</v>
      </c>
      <c r="F2840" s="4" t="s">
        <v>144</v>
      </c>
      <c r="G2840" s="7" t="s">
        <v>849</v>
      </c>
      <c r="H2840" s="4" t="n">
        <v>1999</v>
      </c>
      <c r="I2840" s="4" t="s">
        <v>325</v>
      </c>
      <c r="J2840" s="25" t="str">
        <f aca="false">IF(M2840=1,"✓","")</f>
        <v>✓</v>
      </c>
      <c r="K2840" s="4" t="str">
        <f aca="false">IF(AND(M2840=0,P2840=0),"▶ NEXT","")</f>
        <v/>
      </c>
      <c r="L2840" s="4" t="n">
        <f aca="false">INDEX('Master List'!$F$2:$F$2594,O2840)</f>
        <v>2</v>
      </c>
      <c r="M2840" s="4" t="n">
        <f aca="false">INDEX('Master List'!$G$2:$G$2594,O2840)</f>
        <v>1</v>
      </c>
      <c r="N2840" s="4" t="str">
        <f aca="false">IF(K2840="","",A2840)</f>
        <v/>
      </c>
      <c r="O2840" s="4" t="n">
        <v>804</v>
      </c>
      <c r="P2840" s="4" t="n">
        <f aca="false">IF(A2840=A2839,P2839+1-M2839,0)</f>
        <v>0</v>
      </c>
    </row>
    <row r="2841" customFormat="false" ht="15" hidden="false" customHeight="false" outlineLevel="0" collapsed="false">
      <c r="A2841" s="31" t="s">
        <v>4299</v>
      </c>
      <c r="B2841" s="31" t="s">
        <v>54</v>
      </c>
      <c r="C2841" s="31" t="s">
        <v>112</v>
      </c>
      <c r="D2841" s="31" t="s">
        <v>4300</v>
      </c>
      <c r="E2841" s="4" t="n">
        <v>3</v>
      </c>
      <c r="F2841" s="4" t="s">
        <v>213</v>
      </c>
      <c r="G2841" s="4" t="s">
        <v>2515</v>
      </c>
      <c r="H2841" s="4" t="n">
        <v>1990</v>
      </c>
      <c r="I2841" s="4" t="s">
        <v>2453</v>
      </c>
      <c r="J2841" s="25" t="str">
        <f aca="false">IF(M2841=1,"✓","")</f>
        <v>✓</v>
      </c>
      <c r="K2841" s="4" t="str">
        <f aca="false">IF(AND(M2841=0,P2841=0),"▶ NEXT","")</f>
        <v/>
      </c>
      <c r="L2841" s="4" t="n">
        <f aca="false">INDEX('Master List'!$F$2:$F$2594,O2841)</f>
        <v>1</v>
      </c>
      <c r="M2841" s="4" t="n">
        <f aca="false">INDEX('Master List'!$G$2:$G$2594,O2841)</f>
        <v>1</v>
      </c>
      <c r="N2841" s="4" t="str">
        <f aca="false">IF(K2841="","",A2841)</f>
        <v/>
      </c>
      <c r="O2841" s="4" t="n">
        <v>1191</v>
      </c>
      <c r="P2841" s="4" t="n">
        <f aca="false">IF(A2841=A2840,P2840+1-M2840,0)</f>
        <v>0</v>
      </c>
    </row>
    <row r="2842" customFormat="false" ht="15" hidden="false" customHeight="false" outlineLevel="0" collapsed="false">
      <c r="A2842" s="31" t="s">
        <v>4299</v>
      </c>
      <c r="B2842" s="31" t="s">
        <v>54</v>
      </c>
      <c r="C2842" s="31" t="s">
        <v>112</v>
      </c>
      <c r="D2842" s="31" t="s">
        <v>4300</v>
      </c>
      <c r="E2842" s="4" t="n">
        <v>4</v>
      </c>
      <c r="F2842" s="4" t="s">
        <v>213</v>
      </c>
      <c r="G2842" s="4" t="s">
        <v>622</v>
      </c>
      <c r="H2842" s="4" t="n">
        <v>1997</v>
      </c>
      <c r="I2842" s="4" t="s">
        <v>325</v>
      </c>
      <c r="J2842" s="25" t="str">
        <f aca="false">IF(M2842=1,"✓","")</f>
        <v>✓</v>
      </c>
      <c r="K2842" s="4" t="str">
        <f aca="false">IF(AND(M2842=0,P2842=0),"▶ NEXT","")</f>
        <v/>
      </c>
      <c r="L2842" s="4" t="n">
        <f aca="false">INDEX('Master List'!$F$2:$F$2594,O2842)</f>
        <v>3</v>
      </c>
      <c r="M2842" s="4" t="n">
        <f aca="false">INDEX('Master List'!$G$2:$G$2594,O2842)</f>
        <v>1</v>
      </c>
      <c r="N2842" s="4" t="str">
        <f aca="false">IF(K2842="","",A2842)</f>
        <v/>
      </c>
      <c r="O2842" s="4" t="n">
        <v>874</v>
      </c>
      <c r="P2842" s="4" t="n">
        <f aca="false">IF(A2842=A2841,P2841+1-M2841,0)</f>
        <v>0</v>
      </c>
    </row>
    <row r="2843" customFormat="false" ht="15" hidden="false" customHeight="false" outlineLevel="0" collapsed="false">
      <c r="A2843" s="31" t="s">
        <v>4299</v>
      </c>
      <c r="B2843" s="31" t="s">
        <v>54</v>
      </c>
      <c r="C2843" s="31" t="s">
        <v>112</v>
      </c>
      <c r="D2843" s="31" t="s">
        <v>4300</v>
      </c>
      <c r="E2843" s="4" t="n">
        <v>5</v>
      </c>
      <c r="F2843" s="4" t="s">
        <v>213</v>
      </c>
      <c r="G2843" s="4" t="s">
        <v>438</v>
      </c>
      <c r="H2843" s="4" t="n">
        <v>1998</v>
      </c>
      <c r="I2843" s="4" t="s">
        <v>439</v>
      </c>
      <c r="J2843" s="25" t="str">
        <f aca="false">IF(M2843=1,"✓","")</f>
        <v>✓</v>
      </c>
      <c r="K2843" s="4" t="str">
        <f aca="false">IF(AND(M2843=0,P2843=0),"▶ NEXT","")</f>
        <v/>
      </c>
      <c r="L2843" s="4" t="n">
        <f aca="false">INDEX('Master List'!$F$2:$F$2594,O2843)</f>
        <v>4</v>
      </c>
      <c r="M2843" s="4" t="n">
        <f aca="false">INDEX('Master List'!$G$2:$G$2594,O2843)</f>
        <v>1</v>
      </c>
      <c r="N2843" s="4" t="str">
        <f aca="false">IF(K2843="","",A2843)</f>
        <v/>
      </c>
      <c r="O2843" s="4" t="n">
        <v>2380</v>
      </c>
      <c r="P2843" s="4" t="n">
        <f aca="false">IF(A2843=A2842,P2842+1-M2842,0)</f>
        <v>0</v>
      </c>
    </row>
    <row r="2844" customFormat="false" ht="15" hidden="false" customHeight="false" outlineLevel="0" collapsed="false">
      <c r="A2844" s="31" t="s">
        <v>4299</v>
      </c>
      <c r="B2844" s="31" t="s">
        <v>54</v>
      </c>
      <c r="C2844" s="31" t="s">
        <v>112</v>
      </c>
      <c r="D2844" s="31" t="s">
        <v>4300</v>
      </c>
      <c r="E2844" s="4" t="n">
        <v>6</v>
      </c>
      <c r="F2844" s="4" t="s">
        <v>213</v>
      </c>
      <c r="G2844" s="4" t="s">
        <v>1131</v>
      </c>
      <c r="H2844" s="4" t="n">
        <v>1999</v>
      </c>
      <c r="I2844" s="4" t="s">
        <v>1132</v>
      </c>
      <c r="J2844" s="25" t="str">
        <f aca="false">IF(M2844=1,"✓","")</f>
        <v/>
      </c>
      <c r="K2844" s="4" t="str">
        <f aca="false">IF(AND(M2844=0,P2844=0),"▶ NEXT","")</f>
        <v>▶ NEXT</v>
      </c>
      <c r="L2844" s="4" t="n">
        <f aca="false">INDEX('Master List'!$F$2:$F$2594,O2844)</f>
        <v>2</v>
      </c>
      <c r="M2844" s="4" t="n">
        <f aca="false">INDEX('Master List'!$G$2:$G$2594,O2844)</f>
        <v>0</v>
      </c>
      <c r="N2844" s="4" t="str">
        <f aca="false">IF(K2844="","",A2844)</f>
        <v>N238</v>
      </c>
      <c r="O2844" s="4" t="n">
        <v>2084</v>
      </c>
      <c r="P2844" s="4" t="n">
        <f aca="false">IF(A2844=A2843,P2843+1-M2843,0)</f>
        <v>0</v>
      </c>
    </row>
    <row r="2845" customFormat="false" ht="15" hidden="false" customHeight="false" outlineLevel="0" collapsed="false">
      <c r="A2845" s="31" t="s">
        <v>4299</v>
      </c>
      <c r="B2845" s="31" t="s">
        <v>54</v>
      </c>
      <c r="C2845" s="31" t="s">
        <v>112</v>
      </c>
      <c r="D2845" s="31" t="s">
        <v>4300</v>
      </c>
      <c r="E2845" s="4" t="n">
        <v>7</v>
      </c>
      <c r="F2845" s="4" t="s">
        <v>213</v>
      </c>
      <c r="G2845" s="4" t="s">
        <v>507</v>
      </c>
      <c r="H2845" s="4" t="n">
        <v>1999</v>
      </c>
      <c r="I2845" s="4" t="s">
        <v>508</v>
      </c>
      <c r="J2845" s="25" t="str">
        <f aca="false">IF(M2845=1,"✓","")</f>
        <v>✓</v>
      </c>
      <c r="K2845" s="4" t="str">
        <f aca="false">IF(AND(M2845=0,P2845=0),"▶ NEXT","")</f>
        <v/>
      </c>
      <c r="L2845" s="4" t="n">
        <f aca="false">INDEX('Master List'!$F$2:$F$2594,O2845)</f>
        <v>3</v>
      </c>
      <c r="M2845" s="4" t="n">
        <f aca="false">INDEX('Master List'!$G$2:$G$2594,O2845)</f>
        <v>1</v>
      </c>
      <c r="N2845" s="4" t="str">
        <f aca="false">IF(K2845="","",A2845)</f>
        <v/>
      </c>
      <c r="O2845" s="4" t="n">
        <v>217</v>
      </c>
      <c r="P2845" s="4" t="n">
        <f aca="false">IF(A2845=A2844,P2844+1-M2844,0)</f>
        <v>1</v>
      </c>
    </row>
    <row r="2846" customFormat="false" ht="15" hidden="false" customHeight="false" outlineLevel="0" collapsed="false">
      <c r="A2846" s="31" t="s">
        <v>4299</v>
      </c>
      <c r="B2846" s="31" t="s">
        <v>54</v>
      </c>
      <c r="C2846" s="31" t="s">
        <v>112</v>
      </c>
      <c r="D2846" s="31" t="s">
        <v>4300</v>
      </c>
      <c r="E2846" s="4" t="n">
        <v>8</v>
      </c>
      <c r="F2846" s="4" t="s">
        <v>213</v>
      </c>
      <c r="G2846" s="4" t="s">
        <v>1150</v>
      </c>
      <c r="H2846" s="4" t="n">
        <v>2001</v>
      </c>
      <c r="I2846" s="4" t="s">
        <v>1151</v>
      </c>
      <c r="J2846" s="25" t="str">
        <f aca="false">IF(M2846=1,"✓","")</f>
        <v>✓</v>
      </c>
      <c r="K2846" s="4" t="str">
        <f aca="false">IF(AND(M2846=0,P2846=0),"▶ NEXT","")</f>
        <v/>
      </c>
      <c r="L2846" s="4" t="n">
        <f aca="false">INDEX('Master List'!$F$2:$F$2594,O2846)</f>
        <v>2</v>
      </c>
      <c r="M2846" s="4" t="n">
        <f aca="false">INDEX('Master List'!$G$2:$G$2594,O2846)</f>
        <v>1</v>
      </c>
      <c r="N2846" s="4" t="str">
        <f aca="false">IF(K2846="","",A2846)</f>
        <v/>
      </c>
      <c r="O2846" s="4" t="n">
        <v>662</v>
      </c>
      <c r="P2846" s="4" t="n">
        <f aca="false">IF(A2846=A2845,P2845+1-M2845,0)</f>
        <v>1</v>
      </c>
    </row>
    <row r="2847" customFormat="false" ht="15" hidden="false" customHeight="false" outlineLevel="0" collapsed="false">
      <c r="A2847" s="31" t="s">
        <v>4299</v>
      </c>
      <c r="B2847" s="31" t="s">
        <v>54</v>
      </c>
      <c r="C2847" s="31" t="s">
        <v>112</v>
      </c>
      <c r="D2847" s="31" t="s">
        <v>4300</v>
      </c>
      <c r="E2847" s="4" t="n">
        <v>9</v>
      </c>
      <c r="F2847" s="4" t="s">
        <v>213</v>
      </c>
      <c r="G2847" s="4" t="s">
        <v>1395</v>
      </c>
      <c r="H2847" s="4" t="n">
        <v>2001</v>
      </c>
      <c r="I2847" s="4" t="s">
        <v>1376</v>
      </c>
      <c r="J2847" s="25" t="str">
        <f aca="false">IF(M2847=1,"✓","")</f>
        <v/>
      </c>
      <c r="K2847" s="4" t="str">
        <f aca="false">IF(AND(M2847=0,P2847=0),"▶ NEXT","")</f>
        <v/>
      </c>
      <c r="L2847" s="4" t="n">
        <f aca="false">INDEX('Master List'!$F$2:$F$2594,O2847)</f>
        <v>2</v>
      </c>
      <c r="M2847" s="4" t="n">
        <f aca="false">INDEX('Master List'!$G$2:$G$2594,O2847)</f>
        <v>0</v>
      </c>
      <c r="N2847" s="4" t="str">
        <f aca="false">IF(K2847="","",A2847)</f>
        <v/>
      </c>
      <c r="O2847" s="4" t="n">
        <v>2421</v>
      </c>
      <c r="P2847" s="4" t="n">
        <f aca="false">IF(A2847=A2846,P2846+1-M2846,0)</f>
        <v>1</v>
      </c>
    </row>
    <row r="2848" customFormat="false" ht="15" hidden="false" customHeight="false" outlineLevel="0" collapsed="false">
      <c r="A2848" s="31" t="s">
        <v>4299</v>
      </c>
      <c r="B2848" s="31" t="s">
        <v>54</v>
      </c>
      <c r="C2848" s="31" t="s">
        <v>112</v>
      </c>
      <c r="D2848" s="31" t="s">
        <v>4300</v>
      </c>
      <c r="E2848" s="4" t="n">
        <v>10</v>
      </c>
      <c r="F2848" s="4" t="s">
        <v>213</v>
      </c>
      <c r="G2848" s="4" t="s">
        <v>153</v>
      </c>
      <c r="H2848" s="4" t="n">
        <v>2001</v>
      </c>
      <c r="I2848" s="4" t="s">
        <v>154</v>
      </c>
      <c r="J2848" s="25" t="str">
        <f aca="false">IF(M2848=1,"✓","")</f>
        <v>✓</v>
      </c>
      <c r="K2848" s="4" t="str">
        <f aca="false">IF(AND(M2848=0,P2848=0),"▶ NEXT","")</f>
        <v/>
      </c>
      <c r="L2848" s="4" t="n">
        <f aca="false">INDEX('Master List'!$F$2:$F$2594,O2848)</f>
        <v>9</v>
      </c>
      <c r="M2848" s="4" t="n">
        <f aca="false">INDEX('Master List'!$G$2:$G$2594,O2848)</f>
        <v>1</v>
      </c>
      <c r="N2848" s="4" t="str">
        <f aca="false">IF(K2848="","",A2848)</f>
        <v/>
      </c>
      <c r="O2848" s="4" t="n">
        <v>1555</v>
      </c>
      <c r="P2848" s="4" t="n">
        <f aca="false">IF(A2848=A2847,P2847+1-M2847,0)</f>
        <v>2</v>
      </c>
    </row>
    <row r="2849" customFormat="false" ht="15" hidden="false" customHeight="false" outlineLevel="0" collapsed="false">
      <c r="A2849" s="31" t="s">
        <v>4299</v>
      </c>
      <c r="B2849" s="31" t="s">
        <v>54</v>
      </c>
      <c r="C2849" s="31" t="s">
        <v>112</v>
      </c>
      <c r="D2849" s="31" t="s">
        <v>4300</v>
      </c>
      <c r="E2849" s="4" t="n">
        <v>11</v>
      </c>
      <c r="F2849" s="4" t="s">
        <v>213</v>
      </c>
      <c r="G2849" s="4" t="s">
        <v>510</v>
      </c>
      <c r="H2849" s="4" t="n">
        <v>2004</v>
      </c>
      <c r="I2849" s="4" t="s">
        <v>511</v>
      </c>
      <c r="J2849" s="25" t="str">
        <f aca="false">IF(M2849=1,"✓","")</f>
        <v>✓</v>
      </c>
      <c r="K2849" s="4" t="str">
        <f aca="false">IF(AND(M2849=0,P2849=0),"▶ NEXT","")</f>
        <v/>
      </c>
      <c r="L2849" s="4" t="n">
        <f aca="false">INDEX('Master List'!$F$2:$F$2594,O2849)</f>
        <v>3</v>
      </c>
      <c r="M2849" s="4" t="n">
        <f aca="false">INDEX('Master List'!$G$2:$G$2594,O2849)</f>
        <v>1</v>
      </c>
      <c r="N2849" s="4" t="str">
        <f aca="false">IF(K2849="","",A2849)</f>
        <v/>
      </c>
      <c r="O2849" s="4" t="n">
        <v>745</v>
      </c>
      <c r="P2849" s="4" t="n">
        <f aca="false">IF(A2849=A2848,P2848+1-M2848,0)</f>
        <v>2</v>
      </c>
    </row>
    <row r="2850" customFormat="false" ht="15" hidden="false" customHeight="false" outlineLevel="0" collapsed="false">
      <c r="A2850" s="31" t="s">
        <v>4299</v>
      </c>
      <c r="B2850" s="31" t="s">
        <v>54</v>
      </c>
      <c r="C2850" s="31" t="s">
        <v>112</v>
      </c>
      <c r="D2850" s="31" t="s">
        <v>4300</v>
      </c>
      <c r="E2850" s="4" t="n">
        <v>12</v>
      </c>
      <c r="F2850" s="4" t="s">
        <v>213</v>
      </c>
      <c r="G2850" s="4" t="s">
        <v>512</v>
      </c>
      <c r="H2850" s="4" t="n">
        <v>2004</v>
      </c>
      <c r="I2850" s="4" t="s">
        <v>513</v>
      </c>
      <c r="J2850" s="25" t="str">
        <f aca="false">IF(M2850=1,"✓","")</f>
        <v/>
      </c>
      <c r="K2850" s="4" t="str">
        <f aca="false">IF(AND(M2850=0,P2850=0),"▶ NEXT","")</f>
        <v/>
      </c>
      <c r="L2850" s="4" t="n">
        <f aca="false">INDEX('Master List'!$F$2:$F$2594,O2850)</f>
        <v>3</v>
      </c>
      <c r="M2850" s="4" t="n">
        <f aca="false">INDEX('Master List'!$G$2:$G$2594,O2850)</f>
        <v>0</v>
      </c>
      <c r="N2850" s="4" t="str">
        <f aca="false">IF(K2850="","",A2850)</f>
        <v/>
      </c>
      <c r="O2850" s="4" t="n">
        <v>1814</v>
      </c>
      <c r="P2850" s="4" t="n">
        <f aca="false">IF(A2850=A2849,P2849+1-M2849,0)</f>
        <v>2</v>
      </c>
    </row>
    <row r="2851" customFormat="false" ht="15" hidden="false" customHeight="false" outlineLevel="0" collapsed="false">
      <c r="A2851" s="31" t="s">
        <v>4299</v>
      </c>
      <c r="B2851" s="31" t="s">
        <v>54</v>
      </c>
      <c r="C2851" s="31" t="s">
        <v>112</v>
      </c>
      <c r="D2851" s="31" t="s">
        <v>4300</v>
      </c>
      <c r="E2851" s="4" t="n">
        <v>13</v>
      </c>
      <c r="F2851" s="4" t="s">
        <v>213</v>
      </c>
      <c r="G2851" s="4" t="s">
        <v>1176</v>
      </c>
      <c r="H2851" s="4" t="n">
        <v>2006</v>
      </c>
      <c r="I2851" s="4" t="s">
        <v>342</v>
      </c>
      <c r="J2851" s="25" t="str">
        <f aca="false">IF(M2851=1,"✓","")</f>
        <v>✓</v>
      </c>
      <c r="K2851" s="4" t="str">
        <f aca="false">IF(AND(M2851=0,P2851=0),"▶ NEXT","")</f>
        <v/>
      </c>
      <c r="L2851" s="4" t="n">
        <f aca="false">INDEX('Master List'!$F$2:$F$2594,O2851)</f>
        <v>2</v>
      </c>
      <c r="M2851" s="4" t="n">
        <f aca="false">INDEX('Master List'!$G$2:$G$2594,O2851)</f>
        <v>1</v>
      </c>
      <c r="N2851" s="4" t="str">
        <f aca="false">IF(K2851="","",A2851)</f>
        <v/>
      </c>
      <c r="O2851" s="4" t="n">
        <v>1809</v>
      </c>
      <c r="P2851" s="4" t="n">
        <f aca="false">IF(A2851=A2850,P2850+1-M2850,0)</f>
        <v>3</v>
      </c>
    </row>
    <row r="2852" customFormat="false" ht="15" hidden="false" customHeight="false" outlineLevel="0" collapsed="false">
      <c r="A2852" s="31" t="s">
        <v>4299</v>
      </c>
      <c r="B2852" s="31" t="s">
        <v>54</v>
      </c>
      <c r="C2852" s="31" t="s">
        <v>112</v>
      </c>
      <c r="D2852" s="31" t="s">
        <v>4300</v>
      </c>
      <c r="E2852" s="4" t="n">
        <v>14</v>
      </c>
      <c r="F2852" s="4" t="s">
        <v>213</v>
      </c>
      <c r="G2852" s="4" t="s">
        <v>1197</v>
      </c>
      <c r="H2852" s="4" t="n">
        <v>2010</v>
      </c>
      <c r="I2852" s="4" t="s">
        <v>342</v>
      </c>
      <c r="J2852" s="25" t="str">
        <f aca="false">IF(M2852=1,"✓","")</f>
        <v>✓</v>
      </c>
      <c r="K2852" s="4" t="str">
        <f aca="false">IF(AND(M2852=0,P2852=0),"▶ NEXT","")</f>
        <v/>
      </c>
      <c r="L2852" s="4" t="n">
        <f aca="false">INDEX('Master List'!$F$2:$F$2594,O2852)</f>
        <v>2</v>
      </c>
      <c r="M2852" s="4" t="n">
        <f aca="false">INDEX('Master List'!$G$2:$G$2594,O2852)</f>
        <v>1</v>
      </c>
      <c r="N2852" s="4" t="str">
        <f aca="false">IF(K2852="","",A2852)</f>
        <v/>
      </c>
      <c r="O2852" s="4" t="n">
        <v>1133</v>
      </c>
      <c r="P2852" s="4" t="n">
        <f aca="false">IF(A2852=A2851,P2851+1-M2851,0)</f>
        <v>3</v>
      </c>
    </row>
    <row r="2853" customFormat="false" ht="15" hidden="false" customHeight="false" outlineLevel="0" collapsed="false">
      <c r="A2853" s="31" t="s">
        <v>4299</v>
      </c>
      <c r="B2853" s="31" t="s">
        <v>54</v>
      </c>
      <c r="C2853" s="31" t="s">
        <v>112</v>
      </c>
      <c r="D2853" s="31" t="s">
        <v>4300</v>
      </c>
      <c r="E2853" s="4" t="n">
        <v>15</v>
      </c>
      <c r="F2853" s="4" t="s">
        <v>213</v>
      </c>
      <c r="G2853" s="4" t="s">
        <v>445</v>
      </c>
      <c r="H2853" s="4" t="n">
        <v>2013</v>
      </c>
      <c r="I2853" s="4" t="s">
        <v>327</v>
      </c>
      <c r="J2853" s="25" t="str">
        <f aca="false">IF(M2853=1,"✓","")</f>
        <v>✓</v>
      </c>
      <c r="K2853" s="4" t="str">
        <f aca="false">IF(AND(M2853=0,P2853=0),"▶ NEXT","")</f>
        <v/>
      </c>
      <c r="L2853" s="4" t="n">
        <f aca="false">INDEX('Master List'!$F$2:$F$2594,O2853)</f>
        <v>4</v>
      </c>
      <c r="M2853" s="4" t="n">
        <f aca="false">INDEX('Master List'!$G$2:$G$2594,O2853)</f>
        <v>1</v>
      </c>
      <c r="N2853" s="4" t="str">
        <f aca="false">IF(K2853="","",A2853)</f>
        <v/>
      </c>
      <c r="O2853" s="4" t="n">
        <v>732</v>
      </c>
      <c r="P2853" s="4" t="n">
        <f aca="false">IF(A2853=A2852,P2852+1-M2852,0)</f>
        <v>3</v>
      </c>
    </row>
    <row r="2854" customFormat="false" ht="15" hidden="false" customHeight="false" outlineLevel="0" collapsed="false">
      <c r="A2854" s="31" t="s">
        <v>4299</v>
      </c>
      <c r="B2854" s="31" t="s">
        <v>54</v>
      </c>
      <c r="C2854" s="31" t="s">
        <v>112</v>
      </c>
      <c r="D2854" s="31" t="s">
        <v>4300</v>
      </c>
      <c r="E2854" s="4" t="n">
        <v>16</v>
      </c>
      <c r="F2854" s="4" t="s">
        <v>1327</v>
      </c>
      <c r="G2854" s="4" t="s">
        <v>1655</v>
      </c>
      <c r="H2854" s="4" t="n">
        <v>1997</v>
      </c>
      <c r="I2854" s="4" t="s">
        <v>1145</v>
      </c>
      <c r="J2854" s="25" t="str">
        <f aca="false">IF(M2854=1,"✓","")</f>
        <v/>
      </c>
      <c r="K2854" s="4" t="str">
        <f aca="false">IF(AND(M2854=0,P2854=0),"▶ NEXT","")</f>
        <v/>
      </c>
      <c r="L2854" s="4" t="n">
        <f aca="false">INDEX('Master List'!$F$2:$F$2594,O2854)</f>
        <v>2</v>
      </c>
      <c r="M2854" s="4" t="n">
        <f aca="false">INDEX('Master List'!$G$2:$G$2594,O2854)</f>
        <v>0</v>
      </c>
      <c r="N2854" s="4" t="str">
        <f aca="false">IF(K2854="","",A2854)</f>
        <v/>
      </c>
      <c r="O2854" s="4" t="n">
        <v>35</v>
      </c>
      <c r="P2854" s="4" t="n">
        <f aca="false">IF(A2854=A2853,P2853+1-M2853,0)</f>
        <v>3</v>
      </c>
    </row>
    <row r="2855" customFormat="false" ht="15" hidden="false" customHeight="false" outlineLevel="0" collapsed="false">
      <c r="A2855" s="31" t="s">
        <v>4299</v>
      </c>
      <c r="B2855" s="31" t="s">
        <v>54</v>
      </c>
      <c r="C2855" s="31" t="s">
        <v>112</v>
      </c>
      <c r="D2855" s="31" t="s">
        <v>4300</v>
      </c>
      <c r="E2855" s="4" t="n">
        <v>17</v>
      </c>
      <c r="F2855" s="4" t="s">
        <v>1327</v>
      </c>
      <c r="G2855" s="4" t="s">
        <v>442</v>
      </c>
      <c r="H2855" s="4" t="n">
        <v>1997</v>
      </c>
      <c r="I2855" s="4" t="s">
        <v>154</v>
      </c>
      <c r="J2855" s="25" t="str">
        <f aca="false">IF(M2855=1,"✓","")</f>
        <v/>
      </c>
      <c r="K2855" s="4" t="str">
        <f aca="false">IF(AND(M2855=0,P2855=0),"▶ NEXT","")</f>
        <v/>
      </c>
      <c r="L2855" s="4" t="n">
        <f aca="false">INDEX('Master List'!$F$2:$F$2594,O2855)</f>
        <v>4</v>
      </c>
      <c r="M2855" s="4" t="n">
        <f aca="false">INDEX('Master List'!$G$2:$G$2594,O2855)</f>
        <v>0</v>
      </c>
      <c r="N2855" s="4" t="str">
        <f aca="false">IF(K2855="","",A2855)</f>
        <v/>
      </c>
      <c r="O2855" s="4" t="n">
        <v>1384</v>
      </c>
      <c r="P2855" s="4" t="n">
        <f aca="false">IF(A2855=A2854,P2854+1-M2854,0)</f>
        <v>4</v>
      </c>
    </row>
    <row r="2856" customFormat="false" ht="15" hidden="false" customHeight="false" outlineLevel="0" collapsed="false">
      <c r="A2856" s="31" t="s">
        <v>4301</v>
      </c>
      <c r="B2856" s="31" t="s">
        <v>54</v>
      </c>
      <c r="C2856" s="31" t="s">
        <v>112</v>
      </c>
      <c r="D2856" s="31" t="s">
        <v>4302</v>
      </c>
      <c r="E2856" s="4" t="n">
        <v>1</v>
      </c>
      <c r="F2856" s="4" t="s">
        <v>144</v>
      </c>
      <c r="G2856" s="7" t="s">
        <v>317</v>
      </c>
      <c r="H2856" s="4" t="n">
        <v>1986</v>
      </c>
      <c r="I2856" s="4" t="s">
        <v>154</v>
      </c>
      <c r="J2856" s="25" t="str">
        <f aca="false">IF(M2856=1,"✓","")</f>
        <v>✓</v>
      </c>
      <c r="K2856" s="4" t="str">
        <f aca="false">IF(AND(M2856=0,P2856=0),"▶ NEXT","")</f>
        <v/>
      </c>
      <c r="L2856" s="4" t="n">
        <f aca="false">INDEX('Master List'!$F$2:$F$2594,O2856)</f>
        <v>4</v>
      </c>
      <c r="M2856" s="4" t="n">
        <f aca="false">INDEX('Master List'!$G$2:$G$2594,O2856)</f>
        <v>1</v>
      </c>
      <c r="N2856" s="4" t="str">
        <f aca="false">IF(K2856="","",A2856)</f>
        <v/>
      </c>
      <c r="O2856" s="4" t="n">
        <v>302</v>
      </c>
      <c r="P2856" s="4" t="n">
        <f aca="false">IF(A2856=A2855,P2855+1-M2855,0)</f>
        <v>0</v>
      </c>
    </row>
    <row r="2857" customFormat="false" ht="15" hidden="false" customHeight="false" outlineLevel="0" collapsed="false">
      <c r="A2857" s="31" t="s">
        <v>4301</v>
      </c>
      <c r="B2857" s="31" t="s">
        <v>54</v>
      </c>
      <c r="C2857" s="31" t="s">
        <v>112</v>
      </c>
      <c r="D2857" s="31" t="s">
        <v>4302</v>
      </c>
      <c r="E2857" s="4" t="n">
        <v>2</v>
      </c>
      <c r="F2857" s="4" t="s">
        <v>144</v>
      </c>
      <c r="G2857" s="7" t="s">
        <v>207</v>
      </c>
      <c r="H2857" s="4" t="n">
        <v>1994</v>
      </c>
      <c r="I2857" s="4" t="s">
        <v>208</v>
      </c>
      <c r="J2857" s="25" t="str">
        <f aca="false">IF(M2857=1,"✓","")</f>
        <v>✓</v>
      </c>
      <c r="K2857" s="4" t="str">
        <f aca="false">IF(AND(M2857=0,P2857=0),"▶ NEXT","")</f>
        <v/>
      </c>
      <c r="L2857" s="4" t="n">
        <f aca="false">INDEX('Master List'!$F$2:$F$2594,O2857)</f>
        <v>6</v>
      </c>
      <c r="M2857" s="4" t="n">
        <f aca="false">INDEX('Master List'!$G$2:$G$2594,O2857)</f>
        <v>1</v>
      </c>
      <c r="N2857" s="4" t="str">
        <f aca="false">IF(K2857="","",A2857)</f>
        <v/>
      </c>
      <c r="O2857" s="4" t="n">
        <v>1830</v>
      </c>
      <c r="P2857" s="4" t="n">
        <f aca="false">IF(A2857=A2856,P2856+1-M2856,0)</f>
        <v>0</v>
      </c>
    </row>
    <row r="2858" customFormat="false" ht="15" hidden="false" customHeight="false" outlineLevel="0" collapsed="false">
      <c r="A2858" s="31" t="s">
        <v>4301</v>
      </c>
      <c r="B2858" s="31" t="s">
        <v>54</v>
      </c>
      <c r="C2858" s="31" t="s">
        <v>112</v>
      </c>
      <c r="D2858" s="31" t="s">
        <v>4302</v>
      </c>
      <c r="E2858" s="4" t="n">
        <v>3</v>
      </c>
      <c r="F2858" s="4" t="s">
        <v>213</v>
      </c>
      <c r="G2858" s="4" t="s">
        <v>392</v>
      </c>
      <c r="H2858" s="4" t="n">
        <v>1973</v>
      </c>
      <c r="I2858" s="4" t="s">
        <v>257</v>
      </c>
      <c r="J2858" s="25" t="str">
        <f aca="false">IF(M2858=1,"✓","")</f>
        <v/>
      </c>
      <c r="K2858" s="4" t="str">
        <f aca="false">IF(AND(M2858=0,P2858=0),"▶ NEXT","")</f>
        <v>▶ NEXT</v>
      </c>
      <c r="L2858" s="4" t="n">
        <f aca="false">INDEX('Master List'!$F$2:$F$2594,O2858)</f>
        <v>4</v>
      </c>
      <c r="M2858" s="4" t="n">
        <f aca="false">INDEX('Master List'!$G$2:$G$2594,O2858)</f>
        <v>0</v>
      </c>
      <c r="N2858" s="4" t="str">
        <f aca="false">IF(K2858="","",A2858)</f>
        <v>N239</v>
      </c>
      <c r="O2858" s="4" t="n">
        <v>89</v>
      </c>
      <c r="P2858" s="4" t="n">
        <f aca="false">IF(A2858=A2857,P2857+1-M2857,0)</f>
        <v>0</v>
      </c>
    </row>
    <row r="2859" customFormat="false" ht="15" hidden="false" customHeight="false" outlineLevel="0" collapsed="false">
      <c r="A2859" s="31" t="s">
        <v>4301</v>
      </c>
      <c r="B2859" s="31" t="s">
        <v>54</v>
      </c>
      <c r="C2859" s="31" t="s">
        <v>112</v>
      </c>
      <c r="D2859" s="31" t="s">
        <v>4302</v>
      </c>
      <c r="E2859" s="4" t="n">
        <v>4</v>
      </c>
      <c r="F2859" s="4" t="s">
        <v>213</v>
      </c>
      <c r="G2859" s="4" t="s">
        <v>194</v>
      </c>
      <c r="H2859" s="4" t="n">
        <v>1974</v>
      </c>
      <c r="I2859" s="4" t="s">
        <v>195</v>
      </c>
      <c r="J2859" s="25" t="str">
        <f aca="false">IF(M2859=1,"✓","")</f>
        <v>✓</v>
      </c>
      <c r="K2859" s="4" t="str">
        <f aca="false">IF(AND(M2859=0,P2859=0),"▶ NEXT","")</f>
        <v/>
      </c>
      <c r="L2859" s="4" t="n">
        <f aca="false">INDEX('Master List'!$F$2:$F$2594,O2859)</f>
        <v>6</v>
      </c>
      <c r="M2859" s="4" t="n">
        <f aca="false">INDEX('Master List'!$G$2:$G$2594,O2859)</f>
        <v>1</v>
      </c>
      <c r="N2859" s="4" t="str">
        <f aca="false">IF(K2859="","",A2859)</f>
        <v/>
      </c>
      <c r="O2859" s="4" t="n">
        <v>450</v>
      </c>
      <c r="P2859" s="4" t="n">
        <f aca="false">IF(A2859=A2858,P2858+1-M2858,0)</f>
        <v>1</v>
      </c>
    </row>
    <row r="2860" customFormat="false" ht="15" hidden="false" customHeight="false" outlineLevel="0" collapsed="false">
      <c r="A2860" s="31" t="s">
        <v>4301</v>
      </c>
      <c r="B2860" s="31" t="s">
        <v>54</v>
      </c>
      <c r="C2860" s="31" t="s">
        <v>112</v>
      </c>
      <c r="D2860" s="31" t="s">
        <v>4302</v>
      </c>
      <c r="E2860" s="4" t="n">
        <v>5</v>
      </c>
      <c r="F2860" s="4" t="s">
        <v>213</v>
      </c>
      <c r="G2860" s="4" t="s">
        <v>549</v>
      </c>
      <c r="H2860" s="4" t="n">
        <v>1981</v>
      </c>
      <c r="I2860" s="4" t="s">
        <v>550</v>
      </c>
      <c r="J2860" s="25" t="str">
        <f aca="false">IF(M2860=1,"✓","")</f>
        <v/>
      </c>
      <c r="K2860" s="4" t="str">
        <f aca="false">IF(AND(M2860=0,P2860=0),"▶ NEXT","")</f>
        <v/>
      </c>
      <c r="L2860" s="4" t="n">
        <f aca="false">INDEX('Master List'!$F$2:$F$2594,O2860)</f>
        <v>3</v>
      </c>
      <c r="M2860" s="4" t="n">
        <f aca="false">INDEX('Master List'!$G$2:$G$2594,O2860)</f>
        <v>0</v>
      </c>
      <c r="N2860" s="4" t="str">
        <f aca="false">IF(K2860="","",A2860)</f>
        <v/>
      </c>
      <c r="O2860" s="4" t="n">
        <v>309</v>
      </c>
      <c r="P2860" s="4" t="n">
        <f aca="false">IF(A2860=A2859,P2859+1-M2859,0)</f>
        <v>1</v>
      </c>
    </row>
    <row r="2861" customFormat="false" ht="15" hidden="false" customHeight="false" outlineLevel="0" collapsed="false">
      <c r="A2861" s="31" t="s">
        <v>4301</v>
      </c>
      <c r="B2861" s="31" t="s">
        <v>54</v>
      </c>
      <c r="C2861" s="31" t="s">
        <v>112</v>
      </c>
      <c r="D2861" s="31" t="s">
        <v>4302</v>
      </c>
      <c r="E2861" s="4" t="n">
        <v>6</v>
      </c>
      <c r="F2861" s="4" t="s">
        <v>213</v>
      </c>
      <c r="G2861" s="4" t="s">
        <v>2441</v>
      </c>
      <c r="H2861" s="4" t="n">
        <v>1986</v>
      </c>
      <c r="I2861" s="4" t="s">
        <v>496</v>
      </c>
      <c r="J2861" s="25" t="str">
        <f aca="false">IF(M2861=1,"✓","")</f>
        <v/>
      </c>
      <c r="K2861" s="4" t="str">
        <f aca="false">IF(AND(M2861=0,P2861=0),"▶ NEXT","")</f>
        <v/>
      </c>
      <c r="L2861" s="4" t="n">
        <f aca="false">INDEX('Master List'!$F$2:$F$2594,O2861)</f>
        <v>1</v>
      </c>
      <c r="M2861" s="4" t="n">
        <f aca="false">INDEX('Master List'!$G$2:$G$2594,O2861)</f>
        <v>0</v>
      </c>
      <c r="N2861" s="4" t="str">
        <f aca="false">IF(K2861="","",A2861)</f>
        <v/>
      </c>
      <c r="O2861" s="4" t="n">
        <v>2108</v>
      </c>
      <c r="P2861" s="4" t="n">
        <f aca="false">IF(A2861=A2860,P2860+1-M2860,0)</f>
        <v>2</v>
      </c>
    </row>
    <row r="2862" customFormat="false" ht="15" hidden="false" customHeight="false" outlineLevel="0" collapsed="false">
      <c r="A2862" s="31" t="s">
        <v>4301</v>
      </c>
      <c r="B2862" s="31" t="s">
        <v>54</v>
      </c>
      <c r="C2862" s="31" t="s">
        <v>112</v>
      </c>
      <c r="D2862" s="31" t="s">
        <v>4302</v>
      </c>
      <c r="E2862" s="4" t="n">
        <v>7</v>
      </c>
      <c r="F2862" s="4" t="s">
        <v>213</v>
      </c>
      <c r="G2862" s="4" t="s">
        <v>173</v>
      </c>
      <c r="H2862" s="4" t="n">
        <v>1982</v>
      </c>
      <c r="I2862" s="4" t="s">
        <v>174</v>
      </c>
      <c r="J2862" s="25" t="str">
        <f aca="false">IF(M2862=1,"✓","")</f>
        <v>✓</v>
      </c>
      <c r="K2862" s="4" t="str">
        <f aca="false">IF(AND(M2862=0,P2862=0),"▶ NEXT","")</f>
        <v/>
      </c>
      <c r="L2862" s="4" t="n">
        <f aca="false">INDEX('Master List'!$F$2:$F$2594,O2862)</f>
        <v>8</v>
      </c>
      <c r="M2862" s="4" t="n">
        <f aca="false">INDEX('Master List'!$G$2:$G$2594,O2862)</f>
        <v>1</v>
      </c>
      <c r="N2862" s="4" t="str">
        <f aca="false">IF(K2862="","",A2862)</f>
        <v/>
      </c>
      <c r="O2862" s="4" t="n">
        <v>279</v>
      </c>
      <c r="P2862" s="4" t="n">
        <f aca="false">IF(A2862=A2861,P2861+1-M2861,0)</f>
        <v>3</v>
      </c>
    </row>
    <row r="2863" customFormat="false" ht="15" hidden="false" customHeight="false" outlineLevel="0" collapsed="false">
      <c r="A2863" s="31" t="s">
        <v>4301</v>
      </c>
      <c r="B2863" s="31" t="s">
        <v>54</v>
      </c>
      <c r="C2863" s="31" t="s">
        <v>112</v>
      </c>
      <c r="D2863" s="31" t="s">
        <v>4302</v>
      </c>
      <c r="E2863" s="4" t="n">
        <v>8</v>
      </c>
      <c r="F2863" s="4" t="s">
        <v>213</v>
      </c>
      <c r="G2863" s="4" t="s">
        <v>1100</v>
      </c>
      <c r="H2863" s="4" t="n">
        <v>1990</v>
      </c>
      <c r="I2863" s="4" t="s">
        <v>154</v>
      </c>
      <c r="J2863" s="25" t="str">
        <f aca="false">IF(M2863=1,"✓","")</f>
        <v/>
      </c>
      <c r="K2863" s="4" t="str">
        <f aca="false">IF(AND(M2863=0,P2863=0),"▶ NEXT","")</f>
        <v/>
      </c>
      <c r="L2863" s="4" t="n">
        <f aca="false">INDEX('Master List'!$F$2:$F$2594,O2863)</f>
        <v>2</v>
      </c>
      <c r="M2863" s="4" t="n">
        <f aca="false">INDEX('Master List'!$G$2:$G$2594,O2863)</f>
        <v>0</v>
      </c>
      <c r="N2863" s="4" t="str">
        <f aca="false">IF(K2863="","",A2863)</f>
        <v/>
      </c>
      <c r="O2863" s="4" t="n">
        <v>2513</v>
      </c>
      <c r="P2863" s="4" t="n">
        <f aca="false">IF(A2863=A2862,P2862+1-M2862,0)</f>
        <v>3</v>
      </c>
    </row>
    <row r="2864" customFormat="false" ht="15" hidden="false" customHeight="false" outlineLevel="0" collapsed="false">
      <c r="A2864" s="31" t="s">
        <v>4301</v>
      </c>
      <c r="B2864" s="31" t="s">
        <v>54</v>
      </c>
      <c r="C2864" s="31" t="s">
        <v>112</v>
      </c>
      <c r="D2864" s="31" t="s">
        <v>4302</v>
      </c>
      <c r="E2864" s="4" t="n">
        <v>9</v>
      </c>
      <c r="F2864" s="4" t="s">
        <v>213</v>
      </c>
      <c r="G2864" s="4" t="s">
        <v>438</v>
      </c>
      <c r="H2864" s="4" t="n">
        <v>1998</v>
      </c>
      <c r="I2864" s="4" t="s">
        <v>439</v>
      </c>
      <c r="J2864" s="25" t="str">
        <f aca="false">IF(M2864=1,"✓","")</f>
        <v>✓</v>
      </c>
      <c r="K2864" s="4" t="str">
        <f aca="false">IF(AND(M2864=0,P2864=0),"▶ NEXT","")</f>
        <v/>
      </c>
      <c r="L2864" s="4" t="n">
        <f aca="false">INDEX('Master List'!$F$2:$F$2594,O2864)</f>
        <v>4</v>
      </c>
      <c r="M2864" s="4" t="n">
        <f aca="false">INDEX('Master List'!$G$2:$G$2594,O2864)</f>
        <v>1</v>
      </c>
      <c r="N2864" s="4" t="str">
        <f aca="false">IF(K2864="","",A2864)</f>
        <v/>
      </c>
      <c r="O2864" s="4" t="n">
        <v>2380</v>
      </c>
      <c r="P2864" s="4" t="n">
        <f aca="false">IF(A2864=A2863,P2863+1-M2863,0)</f>
        <v>4</v>
      </c>
    </row>
    <row r="2865" customFormat="false" ht="15" hidden="false" customHeight="false" outlineLevel="0" collapsed="false">
      <c r="A2865" s="31" t="s">
        <v>4301</v>
      </c>
      <c r="B2865" s="31" t="s">
        <v>54</v>
      </c>
      <c r="C2865" s="31" t="s">
        <v>112</v>
      </c>
      <c r="D2865" s="31" t="s">
        <v>4302</v>
      </c>
      <c r="E2865" s="4" t="n">
        <v>10</v>
      </c>
      <c r="F2865" s="4" t="s">
        <v>213</v>
      </c>
      <c r="G2865" s="4" t="s">
        <v>1162</v>
      </c>
      <c r="H2865" s="4" t="n">
        <v>2002</v>
      </c>
      <c r="I2865" s="4" t="s">
        <v>718</v>
      </c>
      <c r="J2865" s="25" t="str">
        <f aca="false">IF(M2865=1,"✓","")</f>
        <v/>
      </c>
      <c r="K2865" s="4" t="str">
        <f aca="false">IF(AND(M2865=0,P2865=0),"▶ NEXT","")</f>
        <v/>
      </c>
      <c r="L2865" s="4" t="n">
        <f aca="false">INDEX('Master List'!$F$2:$F$2594,O2865)</f>
        <v>2</v>
      </c>
      <c r="M2865" s="4" t="n">
        <f aca="false">INDEX('Master List'!$G$2:$G$2594,O2865)</f>
        <v>0</v>
      </c>
      <c r="N2865" s="4" t="str">
        <f aca="false">IF(K2865="","",A2865)</f>
        <v/>
      </c>
      <c r="O2865" s="4" t="n">
        <v>785</v>
      </c>
      <c r="P2865" s="4" t="n">
        <f aca="false">IF(A2865=A2864,P2864+1-M2864,0)</f>
        <v>4</v>
      </c>
    </row>
    <row r="2866" customFormat="false" ht="15" hidden="false" customHeight="false" outlineLevel="0" collapsed="false">
      <c r="A2866" s="31" t="s">
        <v>4301</v>
      </c>
      <c r="B2866" s="31" t="s">
        <v>54</v>
      </c>
      <c r="C2866" s="31" t="s">
        <v>112</v>
      </c>
      <c r="D2866" s="31" t="s">
        <v>4302</v>
      </c>
      <c r="E2866" s="4" t="n">
        <v>11</v>
      </c>
      <c r="F2866" s="4" t="s">
        <v>1327</v>
      </c>
      <c r="G2866" s="4" t="s">
        <v>3663</v>
      </c>
      <c r="H2866" s="4" t="n">
        <v>1990</v>
      </c>
      <c r="I2866" s="4" t="s">
        <v>3601</v>
      </c>
      <c r="J2866" s="25" t="str">
        <f aca="false">IF(M2866=1,"✓","")</f>
        <v/>
      </c>
      <c r="K2866" s="4" t="str">
        <f aca="false">IF(AND(M2866=0,P2866=0),"▶ NEXT","")</f>
        <v/>
      </c>
      <c r="L2866" s="4" t="n">
        <f aca="false">INDEX('Master List'!$F$2:$F$2594,O2866)</f>
        <v>1</v>
      </c>
      <c r="M2866" s="4" t="n">
        <f aca="false">INDEX('Master List'!$G$2:$G$2594,O2866)</f>
        <v>0</v>
      </c>
      <c r="N2866" s="4" t="str">
        <f aca="false">IF(K2866="","",A2866)</f>
        <v/>
      </c>
      <c r="O2866" s="4" t="n">
        <v>629</v>
      </c>
      <c r="P2866" s="4" t="n">
        <f aca="false">IF(A2866=A2865,P2865+1-M2865,0)</f>
        <v>5</v>
      </c>
    </row>
    <row r="2867" customFormat="false" ht="15" hidden="false" customHeight="false" outlineLevel="0" collapsed="false">
      <c r="A2867" s="31" t="s">
        <v>4303</v>
      </c>
      <c r="B2867" s="31" t="s">
        <v>54</v>
      </c>
      <c r="C2867" s="31" t="s">
        <v>112</v>
      </c>
      <c r="D2867" s="31" t="s">
        <v>4304</v>
      </c>
      <c r="E2867" s="4" t="n">
        <v>1</v>
      </c>
      <c r="F2867" s="4" t="s">
        <v>144</v>
      </c>
      <c r="G2867" s="7" t="s">
        <v>196</v>
      </c>
      <c r="H2867" s="4" t="n">
        <v>1975</v>
      </c>
      <c r="I2867" s="4" t="s">
        <v>197</v>
      </c>
      <c r="J2867" s="25" t="str">
        <f aca="false">IF(M2867=1,"✓","")</f>
        <v>✓</v>
      </c>
      <c r="K2867" s="4" t="str">
        <f aca="false">IF(AND(M2867=0,P2867=0),"▶ NEXT","")</f>
        <v/>
      </c>
      <c r="L2867" s="4" t="n">
        <f aca="false">INDEX('Master List'!$F$2:$F$2594,O2867)</f>
        <v>6</v>
      </c>
      <c r="M2867" s="4" t="n">
        <f aca="false">INDEX('Master List'!$G$2:$G$2594,O2867)</f>
        <v>1</v>
      </c>
      <c r="N2867" s="4" t="str">
        <f aca="false">IF(K2867="","",A2867)</f>
        <v/>
      </c>
      <c r="O2867" s="4" t="n">
        <v>1587</v>
      </c>
      <c r="P2867" s="4" t="n">
        <f aca="false">IF(A2867=A2866,P2866+1-M2866,0)</f>
        <v>0</v>
      </c>
    </row>
    <row r="2868" customFormat="false" ht="15" hidden="false" customHeight="false" outlineLevel="0" collapsed="false">
      <c r="A2868" s="31" t="s">
        <v>4303</v>
      </c>
      <c r="B2868" s="31" t="s">
        <v>54</v>
      </c>
      <c r="C2868" s="31" t="s">
        <v>112</v>
      </c>
      <c r="D2868" s="31" t="s">
        <v>4304</v>
      </c>
      <c r="E2868" s="4" t="n">
        <v>2</v>
      </c>
      <c r="F2868" s="4" t="s">
        <v>144</v>
      </c>
      <c r="G2868" s="7" t="s">
        <v>509</v>
      </c>
      <c r="H2868" s="4" t="n">
        <v>1999</v>
      </c>
      <c r="I2868" s="4" t="s">
        <v>278</v>
      </c>
      <c r="J2868" s="25" t="str">
        <f aca="false">IF(M2868=1,"✓","")</f>
        <v>✓</v>
      </c>
      <c r="K2868" s="4" t="str">
        <f aca="false">IF(AND(M2868=0,P2868=0),"▶ NEXT","")</f>
        <v/>
      </c>
      <c r="L2868" s="4" t="n">
        <f aca="false">INDEX('Master List'!$F$2:$F$2594,O2868)</f>
        <v>3</v>
      </c>
      <c r="M2868" s="4" t="n">
        <f aca="false">INDEX('Master List'!$G$2:$G$2594,O2868)</f>
        <v>1</v>
      </c>
      <c r="N2868" s="4" t="str">
        <f aca="false">IF(K2868="","",A2868)</f>
        <v/>
      </c>
      <c r="O2868" s="4" t="n">
        <v>1415</v>
      </c>
      <c r="P2868" s="4" t="n">
        <f aca="false">IF(A2868=A2867,P2867+1-M2867,0)</f>
        <v>0</v>
      </c>
    </row>
    <row r="2869" customFormat="false" ht="15" hidden="false" customHeight="false" outlineLevel="0" collapsed="false">
      <c r="A2869" s="31" t="s">
        <v>4303</v>
      </c>
      <c r="B2869" s="31" t="s">
        <v>54</v>
      </c>
      <c r="C2869" s="31" t="s">
        <v>112</v>
      </c>
      <c r="D2869" s="31" t="s">
        <v>4304</v>
      </c>
      <c r="E2869" s="4" t="n">
        <v>3</v>
      </c>
      <c r="F2869" s="4" t="s">
        <v>213</v>
      </c>
      <c r="G2869" s="4" t="s">
        <v>294</v>
      </c>
      <c r="H2869" s="4" t="n">
        <v>1993</v>
      </c>
      <c r="I2869" s="4" t="s">
        <v>197</v>
      </c>
      <c r="J2869" s="25" t="str">
        <f aca="false">IF(M2869=1,"✓","")</f>
        <v>✓</v>
      </c>
      <c r="K2869" s="4" t="str">
        <f aca="false">IF(AND(M2869=0,P2869=0),"▶ NEXT","")</f>
        <v/>
      </c>
      <c r="L2869" s="4" t="n">
        <f aca="false">INDEX('Master List'!$F$2:$F$2594,O2869)</f>
        <v>5</v>
      </c>
      <c r="M2869" s="4" t="n">
        <f aca="false">INDEX('Master List'!$G$2:$G$2594,O2869)</f>
        <v>1</v>
      </c>
      <c r="N2869" s="4" t="str">
        <f aca="false">IF(K2869="","",A2869)</f>
        <v/>
      </c>
      <c r="O2869" s="4" t="n">
        <v>2058</v>
      </c>
      <c r="P2869" s="4" t="n">
        <f aca="false">IF(A2869=A2868,P2868+1-M2868,0)</f>
        <v>0</v>
      </c>
    </row>
    <row r="2870" customFormat="false" ht="15" hidden="false" customHeight="false" outlineLevel="0" collapsed="false">
      <c r="A2870" s="31" t="s">
        <v>4303</v>
      </c>
      <c r="B2870" s="31" t="s">
        <v>54</v>
      </c>
      <c r="C2870" s="31" t="s">
        <v>112</v>
      </c>
      <c r="D2870" s="31" t="s">
        <v>4304</v>
      </c>
      <c r="E2870" s="4" t="n">
        <v>4</v>
      </c>
      <c r="F2870" s="4" t="s">
        <v>213</v>
      </c>
      <c r="G2870" s="4" t="s">
        <v>207</v>
      </c>
      <c r="H2870" s="4" t="n">
        <v>1994</v>
      </c>
      <c r="I2870" s="4" t="s">
        <v>208</v>
      </c>
      <c r="J2870" s="25" t="str">
        <f aca="false">IF(M2870=1,"✓","")</f>
        <v>✓</v>
      </c>
      <c r="K2870" s="4" t="str">
        <f aca="false">IF(AND(M2870=0,P2870=0),"▶ NEXT","")</f>
        <v/>
      </c>
      <c r="L2870" s="4" t="n">
        <f aca="false">INDEX('Master List'!$F$2:$F$2594,O2870)</f>
        <v>6</v>
      </c>
      <c r="M2870" s="4" t="n">
        <f aca="false">INDEX('Master List'!$G$2:$G$2594,O2870)</f>
        <v>1</v>
      </c>
      <c r="N2870" s="4" t="str">
        <f aca="false">IF(K2870="","",A2870)</f>
        <v/>
      </c>
      <c r="O2870" s="4" t="n">
        <v>1830</v>
      </c>
      <c r="P2870" s="4" t="n">
        <f aca="false">IF(A2870=A2869,P2869+1-M2869,0)</f>
        <v>0</v>
      </c>
    </row>
    <row r="2871" customFormat="false" ht="15" hidden="false" customHeight="false" outlineLevel="0" collapsed="false">
      <c r="A2871" s="31" t="s">
        <v>4303</v>
      </c>
      <c r="B2871" s="31" t="s">
        <v>54</v>
      </c>
      <c r="C2871" s="31" t="s">
        <v>112</v>
      </c>
      <c r="D2871" s="31" t="s">
        <v>4304</v>
      </c>
      <c r="E2871" s="4" t="n">
        <v>5</v>
      </c>
      <c r="F2871" s="4" t="s">
        <v>213</v>
      </c>
      <c r="G2871" s="4" t="s">
        <v>192</v>
      </c>
      <c r="H2871" s="4" t="n">
        <v>1994</v>
      </c>
      <c r="I2871" s="4" t="s">
        <v>193</v>
      </c>
      <c r="J2871" s="25" t="str">
        <f aca="false">IF(M2871=1,"✓","")</f>
        <v/>
      </c>
      <c r="K2871" s="4" t="str">
        <f aca="false">IF(AND(M2871=0,P2871=0),"▶ NEXT","")</f>
        <v>▶ NEXT</v>
      </c>
      <c r="L2871" s="4" t="n">
        <f aca="false">INDEX('Master List'!$F$2:$F$2594,O2871)</f>
        <v>7</v>
      </c>
      <c r="M2871" s="4" t="n">
        <f aca="false">INDEX('Master List'!$G$2:$G$2594,O2871)</f>
        <v>0</v>
      </c>
      <c r="N2871" s="4" t="str">
        <f aca="false">IF(K2871="","",A2871)</f>
        <v>N240</v>
      </c>
      <c r="O2871" s="4" t="n">
        <v>458</v>
      </c>
      <c r="P2871" s="4" t="n">
        <f aca="false">IF(A2871=A2870,P2870+1-M2870,0)</f>
        <v>0</v>
      </c>
    </row>
    <row r="2872" customFormat="false" ht="15" hidden="false" customHeight="false" outlineLevel="0" collapsed="false">
      <c r="A2872" s="31" t="s">
        <v>4303</v>
      </c>
      <c r="B2872" s="31" t="s">
        <v>54</v>
      </c>
      <c r="C2872" s="31" t="s">
        <v>112</v>
      </c>
      <c r="D2872" s="31" t="s">
        <v>4304</v>
      </c>
      <c r="E2872" s="4" t="n">
        <v>6</v>
      </c>
      <c r="F2872" s="4" t="s">
        <v>213</v>
      </c>
      <c r="G2872" s="4" t="s">
        <v>623</v>
      </c>
      <c r="H2872" s="4" t="n">
        <v>1998</v>
      </c>
      <c r="I2872" s="4" t="s">
        <v>624</v>
      </c>
      <c r="J2872" s="25" t="str">
        <f aca="false">IF(M2872=1,"✓","")</f>
        <v/>
      </c>
      <c r="K2872" s="4" t="str">
        <f aca="false">IF(AND(M2872=0,P2872=0),"▶ NEXT","")</f>
        <v/>
      </c>
      <c r="L2872" s="4" t="n">
        <f aca="false">INDEX('Master List'!$F$2:$F$2594,O2872)</f>
        <v>3</v>
      </c>
      <c r="M2872" s="4" t="n">
        <f aca="false">INDEX('Master List'!$G$2:$G$2594,O2872)</f>
        <v>0</v>
      </c>
      <c r="N2872" s="4" t="str">
        <f aca="false">IF(K2872="","",A2872)</f>
        <v/>
      </c>
      <c r="O2872" s="4" t="n">
        <v>986</v>
      </c>
      <c r="P2872" s="4" t="n">
        <f aca="false">IF(A2872=A2871,P2871+1-M2871,0)</f>
        <v>1</v>
      </c>
    </row>
    <row r="2873" customFormat="false" ht="15" hidden="false" customHeight="false" outlineLevel="0" collapsed="false">
      <c r="A2873" s="31" t="s">
        <v>4303</v>
      </c>
      <c r="B2873" s="31" t="s">
        <v>54</v>
      </c>
      <c r="C2873" s="31" t="s">
        <v>112</v>
      </c>
      <c r="D2873" s="31" t="s">
        <v>4304</v>
      </c>
      <c r="E2873" s="4" t="n">
        <v>7</v>
      </c>
      <c r="F2873" s="4" t="s">
        <v>213</v>
      </c>
      <c r="G2873" s="4" t="s">
        <v>850</v>
      </c>
      <c r="H2873" s="4" t="n">
        <v>2000</v>
      </c>
      <c r="I2873" s="4" t="s">
        <v>490</v>
      </c>
      <c r="J2873" s="25" t="str">
        <f aca="false">IF(M2873=1,"✓","")</f>
        <v/>
      </c>
      <c r="K2873" s="4" t="str">
        <f aca="false">IF(AND(M2873=0,P2873=0),"▶ NEXT","")</f>
        <v/>
      </c>
      <c r="L2873" s="4" t="n">
        <f aca="false">INDEX('Master List'!$F$2:$F$2594,O2873)</f>
        <v>2</v>
      </c>
      <c r="M2873" s="4" t="n">
        <f aca="false">INDEX('Master List'!$G$2:$G$2594,O2873)</f>
        <v>0</v>
      </c>
      <c r="N2873" s="4" t="str">
        <f aca="false">IF(K2873="","",A2873)</f>
        <v/>
      </c>
      <c r="O2873" s="4" t="n">
        <v>2356</v>
      </c>
      <c r="P2873" s="4" t="n">
        <f aca="false">IF(A2873=A2872,P2872+1-M2872,0)</f>
        <v>2</v>
      </c>
    </row>
    <row r="2874" customFormat="false" ht="15" hidden="false" customHeight="false" outlineLevel="0" collapsed="false">
      <c r="A2874" s="31" t="s">
        <v>4303</v>
      </c>
      <c r="B2874" s="31" t="s">
        <v>54</v>
      </c>
      <c r="C2874" s="31" t="s">
        <v>112</v>
      </c>
      <c r="D2874" s="31" t="s">
        <v>4304</v>
      </c>
      <c r="E2874" s="4" t="n">
        <v>8</v>
      </c>
      <c r="F2874" s="4" t="s">
        <v>213</v>
      </c>
      <c r="G2874" s="4" t="s">
        <v>1136</v>
      </c>
      <c r="H2874" s="4" t="n">
        <v>2000</v>
      </c>
      <c r="I2874" s="4" t="s">
        <v>1137</v>
      </c>
      <c r="J2874" s="25" t="str">
        <f aca="false">IF(M2874=1,"✓","")</f>
        <v/>
      </c>
      <c r="K2874" s="4" t="str">
        <f aca="false">IF(AND(M2874=0,P2874=0),"▶ NEXT","")</f>
        <v/>
      </c>
      <c r="L2874" s="4" t="n">
        <f aca="false">INDEX('Master List'!$F$2:$F$2594,O2874)</f>
        <v>2</v>
      </c>
      <c r="M2874" s="4" t="n">
        <f aca="false">INDEX('Master List'!$G$2:$G$2594,O2874)</f>
        <v>0</v>
      </c>
      <c r="N2874" s="4" t="str">
        <f aca="false">IF(K2874="","",A2874)</f>
        <v/>
      </c>
      <c r="O2874" s="4" t="n">
        <v>95</v>
      </c>
      <c r="P2874" s="4" t="n">
        <f aca="false">IF(A2874=A2873,P2873+1-M2873,0)</f>
        <v>3</v>
      </c>
    </row>
    <row r="2875" customFormat="false" ht="15" hidden="false" customHeight="false" outlineLevel="0" collapsed="false">
      <c r="A2875" s="31" t="s">
        <v>4303</v>
      </c>
      <c r="B2875" s="31" t="s">
        <v>54</v>
      </c>
      <c r="C2875" s="31" t="s">
        <v>112</v>
      </c>
      <c r="D2875" s="31" t="s">
        <v>4304</v>
      </c>
      <c r="E2875" s="4" t="n">
        <v>9</v>
      </c>
      <c r="F2875" s="4" t="s">
        <v>213</v>
      </c>
      <c r="G2875" s="4" t="s">
        <v>1142</v>
      </c>
      <c r="H2875" s="4" t="n">
        <v>2000</v>
      </c>
      <c r="I2875" s="4" t="s">
        <v>516</v>
      </c>
      <c r="J2875" s="25" t="str">
        <f aca="false">IF(M2875=1,"✓","")</f>
        <v/>
      </c>
      <c r="K2875" s="4" t="str">
        <f aca="false">IF(AND(M2875=0,P2875=0),"▶ NEXT","")</f>
        <v/>
      </c>
      <c r="L2875" s="4" t="n">
        <f aca="false">INDEX('Master List'!$F$2:$F$2594,O2875)</f>
        <v>2</v>
      </c>
      <c r="M2875" s="4" t="n">
        <f aca="false">INDEX('Master List'!$G$2:$G$2594,O2875)</f>
        <v>0</v>
      </c>
      <c r="N2875" s="4" t="str">
        <f aca="false">IF(K2875="","",A2875)</f>
        <v/>
      </c>
      <c r="O2875" s="4" t="n">
        <v>489</v>
      </c>
      <c r="P2875" s="4" t="n">
        <f aca="false">IF(A2875=A2874,P2874+1-M2874,0)</f>
        <v>4</v>
      </c>
    </row>
    <row r="2876" customFormat="false" ht="15" hidden="false" customHeight="false" outlineLevel="0" collapsed="false">
      <c r="A2876" s="31" t="s">
        <v>4303</v>
      </c>
      <c r="B2876" s="31" t="s">
        <v>54</v>
      </c>
      <c r="C2876" s="31" t="s">
        <v>112</v>
      </c>
      <c r="D2876" s="31" t="s">
        <v>4304</v>
      </c>
      <c r="E2876" s="4" t="n">
        <v>10</v>
      </c>
      <c r="F2876" s="4" t="s">
        <v>213</v>
      </c>
      <c r="G2876" s="4" t="s">
        <v>2863</v>
      </c>
      <c r="H2876" s="4" t="n">
        <v>2006</v>
      </c>
      <c r="I2876" s="4" t="s">
        <v>1137</v>
      </c>
      <c r="J2876" s="25" t="str">
        <f aca="false">IF(M2876=1,"✓","")</f>
        <v/>
      </c>
      <c r="K2876" s="4" t="str">
        <f aca="false">IF(AND(M2876=0,P2876=0),"▶ NEXT","")</f>
        <v/>
      </c>
      <c r="L2876" s="4" t="n">
        <f aca="false">INDEX('Master List'!$F$2:$F$2594,O2876)</f>
        <v>1</v>
      </c>
      <c r="M2876" s="4" t="n">
        <f aca="false">INDEX('Master List'!$G$2:$G$2594,O2876)</f>
        <v>0</v>
      </c>
      <c r="N2876" s="4" t="str">
        <f aca="false">IF(K2876="","",A2876)</f>
        <v/>
      </c>
      <c r="O2876" s="4" t="n">
        <v>158</v>
      </c>
      <c r="P2876" s="4" t="n">
        <f aca="false">IF(A2876=A2875,P2875+1-M2875,0)</f>
        <v>5</v>
      </c>
    </row>
    <row r="2877" customFormat="false" ht="15" hidden="false" customHeight="false" outlineLevel="0" collapsed="false">
      <c r="A2877" s="31" t="s">
        <v>4303</v>
      </c>
      <c r="B2877" s="31" t="s">
        <v>54</v>
      </c>
      <c r="C2877" s="31" t="s">
        <v>112</v>
      </c>
      <c r="D2877" s="31" t="s">
        <v>4304</v>
      </c>
      <c r="E2877" s="4" t="n">
        <v>11</v>
      </c>
      <c r="F2877" s="4" t="s">
        <v>213</v>
      </c>
      <c r="G2877" s="4" t="s">
        <v>3007</v>
      </c>
      <c r="H2877" s="4" t="n">
        <v>2012</v>
      </c>
      <c r="I2877" s="4" t="s">
        <v>3008</v>
      </c>
      <c r="J2877" s="25" t="str">
        <f aca="false">IF(M2877=1,"✓","")</f>
        <v/>
      </c>
      <c r="K2877" s="4" t="str">
        <f aca="false">IF(AND(M2877=0,P2877=0),"▶ NEXT","")</f>
        <v/>
      </c>
      <c r="L2877" s="4" t="n">
        <f aca="false">INDEX('Master List'!$F$2:$F$2594,O2877)</f>
        <v>1</v>
      </c>
      <c r="M2877" s="4" t="n">
        <f aca="false">INDEX('Master List'!$G$2:$G$2594,O2877)</f>
        <v>0</v>
      </c>
      <c r="N2877" s="4" t="str">
        <f aca="false">IF(K2877="","",A2877)</f>
        <v/>
      </c>
      <c r="O2877" s="4" t="n">
        <v>484</v>
      </c>
      <c r="P2877" s="4" t="n">
        <f aca="false">IF(A2877=A2876,P2876+1-M2876,0)</f>
        <v>6</v>
      </c>
    </row>
    <row r="2878" customFormat="false" ht="15" hidden="false" customHeight="false" outlineLevel="0" collapsed="false">
      <c r="A2878" s="31" t="s">
        <v>4303</v>
      </c>
      <c r="B2878" s="31" t="s">
        <v>54</v>
      </c>
      <c r="C2878" s="31" t="s">
        <v>112</v>
      </c>
      <c r="D2878" s="31" t="s">
        <v>4304</v>
      </c>
      <c r="E2878" s="4" t="n">
        <v>12</v>
      </c>
      <c r="F2878" s="4" t="s">
        <v>1327</v>
      </c>
      <c r="G2878" s="4" t="s">
        <v>3749</v>
      </c>
      <c r="H2878" s="4" t="n">
        <v>2005</v>
      </c>
      <c r="I2878" s="4" t="s">
        <v>3750</v>
      </c>
      <c r="J2878" s="25" t="str">
        <f aca="false">IF(M2878=1,"✓","")</f>
        <v/>
      </c>
      <c r="K2878" s="4" t="str">
        <f aca="false">IF(AND(M2878=0,P2878=0),"▶ NEXT","")</f>
        <v/>
      </c>
      <c r="L2878" s="4" t="n">
        <f aca="false">INDEX('Master List'!$F$2:$F$2594,O2878)</f>
        <v>1</v>
      </c>
      <c r="M2878" s="4" t="n">
        <f aca="false">INDEX('Master List'!$G$2:$G$2594,O2878)</f>
        <v>0</v>
      </c>
      <c r="N2878" s="4" t="str">
        <f aca="false">IF(K2878="","",A2878)</f>
        <v/>
      </c>
      <c r="O2878" s="4" t="n">
        <v>2226</v>
      </c>
      <c r="P2878" s="4" t="n">
        <f aca="false">IF(A2878=A2877,P2877+1-M2877,0)</f>
        <v>7</v>
      </c>
    </row>
    <row r="2879" customFormat="false" ht="15" hidden="false" customHeight="false" outlineLevel="0" collapsed="false">
      <c r="A2879" s="31" t="s">
        <v>4303</v>
      </c>
      <c r="B2879" s="31" t="s">
        <v>54</v>
      </c>
      <c r="C2879" s="31" t="s">
        <v>112</v>
      </c>
      <c r="D2879" s="31" t="s">
        <v>4304</v>
      </c>
      <c r="E2879" s="4" t="n">
        <v>13</v>
      </c>
      <c r="F2879" s="4" t="s">
        <v>1327</v>
      </c>
      <c r="G2879" s="4" t="s">
        <v>1389</v>
      </c>
      <c r="H2879" s="4" t="n">
        <v>1994</v>
      </c>
      <c r="I2879" s="4" t="s">
        <v>516</v>
      </c>
      <c r="J2879" s="25" t="str">
        <f aca="false">IF(M2879=1,"✓","")</f>
        <v/>
      </c>
      <c r="K2879" s="4" t="str">
        <f aca="false">IF(AND(M2879=0,P2879=0),"▶ NEXT","")</f>
        <v/>
      </c>
      <c r="L2879" s="4" t="n">
        <f aca="false">INDEX('Master List'!$F$2:$F$2594,O2879)</f>
        <v>2</v>
      </c>
      <c r="M2879" s="4" t="n">
        <f aca="false">INDEX('Master List'!$G$2:$G$2594,O2879)</f>
        <v>0</v>
      </c>
      <c r="N2879" s="4" t="str">
        <f aca="false">IF(K2879="","",A2879)</f>
        <v/>
      </c>
      <c r="O2879" s="4" t="n">
        <v>30</v>
      </c>
      <c r="P2879" s="4" t="n">
        <f aca="false">IF(A2879=A2878,P2878+1-M2878,0)</f>
        <v>8</v>
      </c>
    </row>
    <row r="2880" customFormat="false" ht="15" hidden="false" customHeight="false" outlineLevel="0" collapsed="false">
      <c r="A2880" s="31" t="s">
        <v>4305</v>
      </c>
      <c r="B2880" s="31" t="s">
        <v>54</v>
      </c>
      <c r="C2880" s="31" t="s">
        <v>112</v>
      </c>
      <c r="D2880" s="31" t="s">
        <v>4306</v>
      </c>
      <c r="E2880" s="4" t="n">
        <v>1</v>
      </c>
      <c r="F2880" s="4" t="s">
        <v>144</v>
      </c>
      <c r="G2880" s="7" t="s">
        <v>218</v>
      </c>
      <c r="H2880" s="4" t="n">
        <v>1977</v>
      </c>
      <c r="I2880" s="4" t="s">
        <v>154</v>
      </c>
      <c r="J2880" s="25" t="str">
        <f aca="false">IF(M2880=1,"✓","")</f>
        <v>✓</v>
      </c>
      <c r="K2880" s="4" t="str">
        <f aca="false">IF(AND(M2880=0,P2880=0),"▶ NEXT","")</f>
        <v/>
      </c>
      <c r="L2880" s="4" t="n">
        <f aca="false">INDEX('Master List'!$F$2:$F$2594,O2880)</f>
        <v>6</v>
      </c>
      <c r="M2880" s="4" t="n">
        <f aca="false">INDEX('Master List'!$G$2:$G$2594,O2880)</f>
        <v>1</v>
      </c>
      <c r="N2880" s="4" t="str">
        <f aca="false">IF(K2880="","",A2880)</f>
        <v/>
      </c>
      <c r="O2880" s="4" t="n">
        <v>740</v>
      </c>
      <c r="P2880" s="4" t="n">
        <f aca="false">IF(A2880=A2879,P2879+1-M2879,0)</f>
        <v>0</v>
      </c>
    </row>
    <row r="2881" customFormat="false" ht="15" hidden="false" customHeight="false" outlineLevel="0" collapsed="false">
      <c r="A2881" s="31" t="s">
        <v>4305</v>
      </c>
      <c r="B2881" s="31" t="s">
        <v>54</v>
      </c>
      <c r="C2881" s="31" t="s">
        <v>112</v>
      </c>
      <c r="D2881" s="31" t="s">
        <v>4306</v>
      </c>
      <c r="E2881" s="4" t="n">
        <v>2</v>
      </c>
      <c r="F2881" s="4" t="s">
        <v>144</v>
      </c>
      <c r="G2881" s="7" t="s">
        <v>1589</v>
      </c>
      <c r="H2881" s="4" t="n">
        <v>2003</v>
      </c>
      <c r="I2881" s="4" t="s">
        <v>1590</v>
      </c>
      <c r="J2881" s="25" t="str">
        <f aca="false">IF(M2881=1,"✓","")</f>
        <v/>
      </c>
      <c r="K2881" s="4" t="str">
        <f aca="false">IF(AND(M2881=0,P2881=0),"▶ NEXT","")</f>
        <v>▶ NEXT</v>
      </c>
      <c r="L2881" s="4" t="n">
        <f aca="false">INDEX('Master List'!$F$2:$F$2594,O2881)</f>
        <v>1</v>
      </c>
      <c r="M2881" s="4" t="n">
        <f aca="false">INDEX('Master List'!$G$2:$G$2594,O2881)</f>
        <v>0</v>
      </c>
      <c r="N2881" s="4" t="str">
        <f aca="false">IF(K2881="","",A2881)</f>
        <v>N241</v>
      </c>
      <c r="O2881" s="4" t="n">
        <v>1930</v>
      </c>
      <c r="P2881" s="4" t="n">
        <f aca="false">IF(A2881=A2880,P2880+1-M2880,0)</f>
        <v>0</v>
      </c>
    </row>
    <row r="2882" customFormat="false" ht="15" hidden="false" customHeight="false" outlineLevel="0" collapsed="false">
      <c r="A2882" s="31" t="s">
        <v>4305</v>
      </c>
      <c r="B2882" s="31" t="s">
        <v>54</v>
      </c>
      <c r="C2882" s="31" t="s">
        <v>112</v>
      </c>
      <c r="D2882" s="31" t="s">
        <v>4306</v>
      </c>
      <c r="E2882" s="4" t="n">
        <v>3</v>
      </c>
      <c r="F2882" s="4" t="s">
        <v>213</v>
      </c>
      <c r="G2882" s="4" t="s">
        <v>1765</v>
      </c>
      <c r="H2882" s="4" t="n">
        <v>1936</v>
      </c>
      <c r="I2882" s="4" t="s">
        <v>1766</v>
      </c>
      <c r="J2882" s="25" t="str">
        <f aca="false">IF(M2882=1,"✓","")</f>
        <v/>
      </c>
      <c r="K2882" s="4" t="str">
        <f aca="false">IF(AND(M2882=0,P2882=0),"▶ NEXT","")</f>
        <v/>
      </c>
      <c r="L2882" s="4" t="n">
        <f aca="false">INDEX('Master List'!$F$2:$F$2594,O2882)</f>
        <v>1</v>
      </c>
      <c r="M2882" s="4" t="n">
        <f aca="false">INDEX('Master List'!$G$2:$G$2594,O2882)</f>
        <v>0</v>
      </c>
      <c r="N2882" s="4" t="str">
        <f aca="false">IF(K2882="","",A2882)</f>
        <v/>
      </c>
      <c r="O2882" s="4" t="n">
        <v>1881</v>
      </c>
      <c r="P2882" s="4" t="n">
        <f aca="false">IF(A2882=A2881,P2881+1-M2881,0)</f>
        <v>1</v>
      </c>
    </row>
    <row r="2883" customFormat="false" ht="15" hidden="false" customHeight="false" outlineLevel="0" collapsed="false">
      <c r="A2883" s="31" t="s">
        <v>4305</v>
      </c>
      <c r="B2883" s="31" t="s">
        <v>54</v>
      </c>
      <c r="C2883" s="31" t="s">
        <v>112</v>
      </c>
      <c r="D2883" s="31" t="s">
        <v>4306</v>
      </c>
      <c r="E2883" s="4" t="n">
        <v>4</v>
      </c>
      <c r="F2883" s="4" t="s">
        <v>213</v>
      </c>
      <c r="G2883" s="4" t="s">
        <v>1949</v>
      </c>
      <c r="H2883" s="4" t="n">
        <v>1957</v>
      </c>
      <c r="I2883" s="4" t="s">
        <v>1950</v>
      </c>
      <c r="J2883" s="25" t="str">
        <f aca="false">IF(M2883=1,"✓","")</f>
        <v/>
      </c>
      <c r="K2883" s="4" t="str">
        <f aca="false">IF(AND(M2883=0,P2883=0),"▶ NEXT","")</f>
        <v/>
      </c>
      <c r="L2883" s="4" t="n">
        <f aca="false">INDEX('Master List'!$F$2:$F$2594,O2883)</f>
        <v>1</v>
      </c>
      <c r="M2883" s="4" t="n">
        <f aca="false">INDEX('Master List'!$G$2:$G$2594,O2883)</f>
        <v>0</v>
      </c>
      <c r="N2883" s="4" t="str">
        <f aca="false">IF(K2883="","",A2883)</f>
        <v/>
      </c>
      <c r="O2883" s="4" t="n">
        <v>1774</v>
      </c>
      <c r="P2883" s="4" t="n">
        <f aca="false">IF(A2883=A2882,P2882+1-M2882,0)</f>
        <v>2</v>
      </c>
    </row>
    <row r="2884" customFormat="false" ht="15" hidden="false" customHeight="false" outlineLevel="0" collapsed="false">
      <c r="A2884" s="31" t="s">
        <v>4305</v>
      </c>
      <c r="B2884" s="31" t="s">
        <v>54</v>
      </c>
      <c r="C2884" s="31" t="s">
        <v>112</v>
      </c>
      <c r="D2884" s="31" t="s">
        <v>4306</v>
      </c>
      <c r="E2884" s="4" t="n">
        <v>5</v>
      </c>
      <c r="F2884" s="4" t="s">
        <v>213</v>
      </c>
      <c r="G2884" s="4" t="s">
        <v>474</v>
      </c>
      <c r="H2884" s="4" t="n">
        <v>1968</v>
      </c>
      <c r="I2884" s="4" t="s">
        <v>475</v>
      </c>
      <c r="J2884" s="25" t="str">
        <f aca="false">IF(M2884=1,"✓","")</f>
        <v/>
      </c>
      <c r="K2884" s="4" t="str">
        <f aca="false">IF(AND(M2884=0,P2884=0),"▶ NEXT","")</f>
        <v/>
      </c>
      <c r="L2884" s="4" t="n">
        <f aca="false">INDEX('Master List'!$F$2:$F$2594,O2884)</f>
        <v>3</v>
      </c>
      <c r="M2884" s="4" t="n">
        <f aca="false">INDEX('Master List'!$G$2:$G$2594,O2884)</f>
        <v>0</v>
      </c>
      <c r="N2884" s="4" t="str">
        <f aca="false">IF(K2884="","",A2884)</f>
        <v/>
      </c>
      <c r="O2884" s="4" t="n">
        <v>1607</v>
      </c>
      <c r="P2884" s="4" t="n">
        <f aca="false">IF(A2884=A2883,P2883+1-M2883,0)</f>
        <v>3</v>
      </c>
    </row>
    <row r="2885" customFormat="false" ht="15" hidden="false" customHeight="false" outlineLevel="0" collapsed="false">
      <c r="A2885" s="31" t="s">
        <v>4305</v>
      </c>
      <c r="B2885" s="31" t="s">
        <v>54</v>
      </c>
      <c r="C2885" s="31" t="s">
        <v>112</v>
      </c>
      <c r="D2885" s="31" t="s">
        <v>4306</v>
      </c>
      <c r="E2885" s="4" t="n">
        <v>6</v>
      </c>
      <c r="F2885" s="4" t="s">
        <v>213</v>
      </c>
      <c r="G2885" s="4" t="s">
        <v>420</v>
      </c>
      <c r="H2885" s="4" t="n">
        <v>1970</v>
      </c>
      <c r="I2885" s="4" t="s">
        <v>421</v>
      </c>
      <c r="J2885" s="25" t="str">
        <f aca="false">IF(M2885=1,"✓","")</f>
        <v/>
      </c>
      <c r="K2885" s="4" t="str">
        <f aca="false">IF(AND(M2885=0,P2885=0),"▶ NEXT","")</f>
        <v/>
      </c>
      <c r="L2885" s="4" t="n">
        <f aca="false">INDEX('Master List'!$F$2:$F$2594,O2885)</f>
        <v>3</v>
      </c>
      <c r="M2885" s="4" t="n">
        <f aca="false">INDEX('Master List'!$G$2:$G$2594,O2885)</f>
        <v>0</v>
      </c>
      <c r="N2885" s="4" t="str">
        <f aca="false">IF(K2885="","",A2885)</f>
        <v/>
      </c>
      <c r="O2885" s="4" t="n">
        <v>2341</v>
      </c>
      <c r="P2885" s="4" t="n">
        <f aca="false">IF(A2885=A2884,P2884+1-M2884,0)</f>
        <v>4</v>
      </c>
    </row>
    <row r="2886" customFormat="false" ht="15" hidden="false" customHeight="false" outlineLevel="0" collapsed="false">
      <c r="A2886" s="31" t="s">
        <v>4305</v>
      </c>
      <c r="B2886" s="31" t="s">
        <v>54</v>
      </c>
      <c r="C2886" s="31" t="s">
        <v>112</v>
      </c>
      <c r="D2886" s="31" t="s">
        <v>4306</v>
      </c>
      <c r="E2886" s="4" t="n">
        <v>7</v>
      </c>
      <c r="F2886" s="4" t="s">
        <v>213</v>
      </c>
      <c r="G2886" s="4" t="s">
        <v>670</v>
      </c>
      <c r="H2886" s="4" t="n">
        <v>1972</v>
      </c>
      <c r="I2886" s="4" t="s">
        <v>671</v>
      </c>
      <c r="J2886" s="25" t="str">
        <f aca="false">IF(M2886=1,"✓","")</f>
        <v/>
      </c>
      <c r="K2886" s="4" t="str">
        <f aca="false">IF(AND(M2886=0,P2886=0),"▶ NEXT","")</f>
        <v/>
      </c>
      <c r="L2886" s="4" t="n">
        <f aca="false">INDEX('Master List'!$F$2:$F$2594,O2886)</f>
        <v>3</v>
      </c>
      <c r="M2886" s="4" t="n">
        <f aca="false">INDEX('Master List'!$G$2:$G$2594,O2886)</f>
        <v>0</v>
      </c>
      <c r="N2886" s="4" t="str">
        <f aca="false">IF(K2886="","",A2886)</f>
        <v/>
      </c>
      <c r="O2886" s="4" t="n">
        <v>1769</v>
      </c>
      <c r="P2886" s="4" t="n">
        <f aca="false">IF(A2886=A2885,P2885+1-M2885,0)</f>
        <v>5</v>
      </c>
    </row>
    <row r="2887" customFormat="false" ht="15" hidden="false" customHeight="false" outlineLevel="0" collapsed="false">
      <c r="A2887" s="31" t="s">
        <v>4305</v>
      </c>
      <c r="B2887" s="31" t="s">
        <v>54</v>
      </c>
      <c r="C2887" s="31" t="s">
        <v>112</v>
      </c>
      <c r="D2887" s="31" t="s">
        <v>4306</v>
      </c>
      <c r="E2887" s="4" t="n">
        <v>8</v>
      </c>
      <c r="F2887" s="4" t="s">
        <v>213</v>
      </c>
      <c r="G2887" s="4" t="s">
        <v>1017</v>
      </c>
      <c r="H2887" s="4" t="n">
        <v>1972</v>
      </c>
      <c r="I2887" s="4" t="s">
        <v>1018</v>
      </c>
      <c r="J2887" s="25" t="str">
        <f aca="false">IF(M2887=1,"✓","")</f>
        <v/>
      </c>
      <c r="K2887" s="4" t="str">
        <f aca="false">IF(AND(M2887=0,P2887=0),"▶ NEXT","")</f>
        <v/>
      </c>
      <c r="L2887" s="4" t="n">
        <f aca="false">INDEX('Master List'!$F$2:$F$2594,O2887)</f>
        <v>2</v>
      </c>
      <c r="M2887" s="4" t="n">
        <f aca="false">INDEX('Master List'!$G$2:$G$2594,O2887)</f>
        <v>0</v>
      </c>
      <c r="N2887" s="4" t="str">
        <f aca="false">IF(K2887="","",A2887)</f>
        <v/>
      </c>
      <c r="O2887" s="4" t="n">
        <v>997</v>
      </c>
      <c r="P2887" s="4" t="n">
        <f aca="false">IF(A2887=A2886,P2886+1-M2886,0)</f>
        <v>6</v>
      </c>
    </row>
    <row r="2888" customFormat="false" ht="15" hidden="false" customHeight="false" outlineLevel="0" collapsed="false">
      <c r="A2888" s="31" t="s">
        <v>4305</v>
      </c>
      <c r="B2888" s="31" t="s">
        <v>54</v>
      </c>
      <c r="C2888" s="31" t="s">
        <v>112</v>
      </c>
      <c r="D2888" s="31" t="s">
        <v>4306</v>
      </c>
      <c r="E2888" s="4" t="n">
        <v>9</v>
      </c>
      <c r="F2888" s="4" t="s">
        <v>213</v>
      </c>
      <c r="G2888" s="4" t="s">
        <v>483</v>
      </c>
      <c r="H2888" s="4" t="n">
        <v>1975</v>
      </c>
      <c r="I2888" s="4" t="s">
        <v>484</v>
      </c>
      <c r="J2888" s="25" t="str">
        <f aca="false">IF(M2888=1,"✓","")</f>
        <v/>
      </c>
      <c r="K2888" s="4" t="str">
        <f aca="false">IF(AND(M2888=0,P2888=0),"▶ NEXT","")</f>
        <v/>
      </c>
      <c r="L2888" s="4" t="n">
        <f aca="false">INDEX('Master List'!$F$2:$F$2594,O2888)</f>
        <v>3</v>
      </c>
      <c r="M2888" s="4" t="n">
        <f aca="false">INDEX('Master List'!$G$2:$G$2594,O2888)</f>
        <v>0</v>
      </c>
      <c r="N2888" s="4" t="str">
        <f aca="false">IF(K2888="","",A2888)</f>
        <v/>
      </c>
      <c r="O2888" s="4" t="n">
        <v>1922</v>
      </c>
      <c r="P2888" s="4" t="n">
        <f aca="false">IF(A2888=A2887,P2887+1-M2887,0)</f>
        <v>7</v>
      </c>
    </row>
    <row r="2889" customFormat="false" ht="15" hidden="false" customHeight="false" outlineLevel="0" collapsed="false">
      <c r="A2889" s="31" t="s">
        <v>4305</v>
      </c>
      <c r="B2889" s="31" t="s">
        <v>54</v>
      </c>
      <c r="C2889" s="31" t="s">
        <v>112</v>
      </c>
      <c r="D2889" s="31" t="s">
        <v>4306</v>
      </c>
      <c r="E2889" s="4" t="n">
        <v>10</v>
      </c>
      <c r="F2889" s="4" t="s">
        <v>213</v>
      </c>
      <c r="G2889" s="4" t="s">
        <v>1110</v>
      </c>
      <c r="H2889" s="4" t="n">
        <v>1994</v>
      </c>
      <c r="I2889" s="4" t="s">
        <v>1111</v>
      </c>
      <c r="J2889" s="25" t="str">
        <f aca="false">IF(M2889=1,"✓","")</f>
        <v/>
      </c>
      <c r="K2889" s="4" t="str">
        <f aca="false">IF(AND(M2889=0,P2889=0),"▶ NEXT","")</f>
        <v/>
      </c>
      <c r="L2889" s="4" t="n">
        <f aca="false">INDEX('Master List'!$F$2:$F$2594,O2889)</f>
        <v>2</v>
      </c>
      <c r="M2889" s="4" t="n">
        <f aca="false">INDEX('Master List'!$G$2:$G$2594,O2889)</f>
        <v>0</v>
      </c>
      <c r="N2889" s="4" t="str">
        <f aca="false">IF(K2889="","",A2889)</f>
        <v/>
      </c>
      <c r="O2889" s="4" t="n">
        <v>709</v>
      </c>
      <c r="P2889" s="4" t="n">
        <f aca="false">IF(A2889=A2888,P2888+1-M2888,0)</f>
        <v>8</v>
      </c>
    </row>
    <row r="2890" customFormat="false" ht="15" hidden="false" customHeight="false" outlineLevel="0" collapsed="false">
      <c r="A2890" s="31" t="s">
        <v>4305</v>
      </c>
      <c r="B2890" s="31" t="s">
        <v>54</v>
      </c>
      <c r="C2890" s="31" t="s">
        <v>112</v>
      </c>
      <c r="D2890" s="31" t="s">
        <v>4306</v>
      </c>
      <c r="E2890" s="4" t="n">
        <v>11</v>
      </c>
      <c r="F2890" s="4" t="s">
        <v>213</v>
      </c>
      <c r="G2890" s="4" t="s">
        <v>3130</v>
      </c>
      <c r="H2890" s="4" t="n">
        <v>2017</v>
      </c>
      <c r="I2890" s="4" t="s">
        <v>3131</v>
      </c>
      <c r="J2890" s="25" t="str">
        <f aca="false">IF(M2890=1,"✓","")</f>
        <v>✓</v>
      </c>
      <c r="K2890" s="4" t="str">
        <f aca="false">IF(AND(M2890=0,P2890=0),"▶ NEXT","")</f>
        <v/>
      </c>
      <c r="L2890" s="4" t="n">
        <f aca="false">INDEX('Master List'!$F$2:$F$2594,O2890)</f>
        <v>1</v>
      </c>
      <c r="M2890" s="4" t="n">
        <f aca="false">INDEX('Master List'!$G$2:$G$2594,O2890)</f>
        <v>1</v>
      </c>
      <c r="N2890" s="4" t="str">
        <f aca="false">IF(K2890="","",A2890)</f>
        <v/>
      </c>
      <c r="O2890" s="4" t="n">
        <v>635</v>
      </c>
      <c r="P2890" s="4" t="n">
        <f aca="false">IF(A2890=A2889,P2889+1-M2889,0)</f>
        <v>9</v>
      </c>
    </row>
    <row r="2891" customFormat="false" ht="15" hidden="false" customHeight="false" outlineLevel="0" collapsed="false">
      <c r="A2891" s="31" t="s">
        <v>4305</v>
      </c>
      <c r="B2891" s="31" t="s">
        <v>54</v>
      </c>
      <c r="C2891" s="31" t="s">
        <v>112</v>
      </c>
      <c r="D2891" s="31" t="s">
        <v>4306</v>
      </c>
      <c r="E2891" s="4" t="n">
        <v>12</v>
      </c>
      <c r="F2891" s="4" t="s">
        <v>1327</v>
      </c>
      <c r="G2891" s="4" t="s">
        <v>3664</v>
      </c>
      <c r="H2891" s="4" t="n">
        <v>1990</v>
      </c>
      <c r="I2891" s="4" t="s">
        <v>3665</v>
      </c>
      <c r="J2891" s="25" t="str">
        <f aca="false">IF(M2891=1,"✓","")</f>
        <v/>
      </c>
      <c r="K2891" s="4" t="str">
        <f aca="false">IF(AND(M2891=0,P2891=0),"▶ NEXT","")</f>
        <v/>
      </c>
      <c r="L2891" s="4" t="n">
        <f aca="false">INDEX('Master List'!$F$2:$F$2594,O2891)</f>
        <v>1</v>
      </c>
      <c r="M2891" s="4" t="n">
        <f aca="false">INDEX('Master List'!$G$2:$G$2594,O2891)</f>
        <v>0</v>
      </c>
      <c r="N2891" s="4" t="str">
        <f aca="false">IF(K2891="","",A2891)</f>
        <v/>
      </c>
      <c r="O2891" s="4" t="n">
        <v>2372</v>
      </c>
      <c r="P2891" s="4" t="n">
        <f aca="false">IF(A2891=A2890,P2890+1-M2890,0)</f>
        <v>9</v>
      </c>
    </row>
    <row r="2892" customFormat="false" ht="15" hidden="false" customHeight="false" outlineLevel="0" collapsed="false">
      <c r="A2892" s="31" t="s">
        <v>4305</v>
      </c>
      <c r="B2892" s="31" t="s">
        <v>54</v>
      </c>
      <c r="C2892" s="31" t="s">
        <v>112</v>
      </c>
      <c r="D2892" s="31" t="s">
        <v>4306</v>
      </c>
      <c r="E2892" s="4" t="n">
        <v>13</v>
      </c>
      <c r="F2892" s="4" t="s">
        <v>1327</v>
      </c>
      <c r="G2892" s="4" t="s">
        <v>3444</v>
      </c>
      <c r="H2892" s="4" t="n">
        <v>1966</v>
      </c>
      <c r="I2892" s="4" t="s">
        <v>3445</v>
      </c>
      <c r="J2892" s="25" t="str">
        <f aca="false">IF(M2892=1,"✓","")</f>
        <v/>
      </c>
      <c r="K2892" s="4" t="str">
        <f aca="false">IF(AND(M2892=0,P2892=0),"▶ NEXT","")</f>
        <v/>
      </c>
      <c r="L2892" s="4" t="n">
        <f aca="false">INDEX('Master List'!$F$2:$F$2594,O2892)</f>
        <v>1</v>
      </c>
      <c r="M2892" s="4" t="n">
        <f aca="false">INDEX('Master List'!$G$2:$G$2594,O2892)</f>
        <v>0</v>
      </c>
      <c r="N2892" s="4" t="str">
        <f aca="false">IF(K2892="","",A2892)</f>
        <v/>
      </c>
      <c r="O2892" s="4" t="n">
        <v>1442</v>
      </c>
      <c r="P2892" s="4" t="n">
        <f aca="false">IF(A2892=A2891,P2891+1-M2891,0)</f>
        <v>10</v>
      </c>
    </row>
    <row r="2893" customFormat="false" ht="15" hidden="false" customHeight="false" outlineLevel="0" collapsed="false">
      <c r="A2893" s="31" t="s">
        <v>4305</v>
      </c>
      <c r="B2893" s="31" t="s">
        <v>54</v>
      </c>
      <c r="C2893" s="31" t="s">
        <v>112</v>
      </c>
      <c r="D2893" s="31" t="s">
        <v>4306</v>
      </c>
      <c r="E2893" s="4" t="n">
        <v>14</v>
      </c>
      <c r="F2893" s="4" t="s">
        <v>1327</v>
      </c>
      <c r="G2893" s="4" t="s">
        <v>3371</v>
      </c>
      <c r="H2893" s="4" t="n">
        <v>1953</v>
      </c>
      <c r="I2893" s="4" t="s">
        <v>3372</v>
      </c>
      <c r="J2893" s="25" t="str">
        <f aca="false">IF(M2893=1,"✓","")</f>
        <v/>
      </c>
      <c r="K2893" s="4" t="str">
        <f aca="false">IF(AND(M2893=0,P2893=0),"▶ NEXT","")</f>
        <v/>
      </c>
      <c r="L2893" s="4" t="n">
        <f aca="false">INDEX('Master List'!$F$2:$F$2594,O2893)</f>
        <v>1</v>
      </c>
      <c r="M2893" s="4" t="n">
        <f aca="false">INDEX('Master List'!$G$2:$G$2594,O2893)</f>
        <v>0</v>
      </c>
      <c r="N2893" s="4" t="str">
        <f aca="false">IF(K2893="","",A2893)</f>
        <v/>
      </c>
      <c r="O2893" s="4" t="n">
        <v>1919</v>
      </c>
      <c r="P2893" s="4" t="n">
        <f aca="false">IF(A2893=A2892,P2892+1-M2892,0)</f>
        <v>11</v>
      </c>
    </row>
    <row r="2894" customFormat="false" ht="15" hidden="false" customHeight="false" outlineLevel="0" collapsed="false">
      <c r="A2894" s="31" t="s">
        <v>4307</v>
      </c>
      <c r="B2894" s="31" t="s">
        <v>54</v>
      </c>
      <c r="C2894" s="31" t="s">
        <v>112</v>
      </c>
      <c r="D2894" s="31" t="s">
        <v>4308</v>
      </c>
      <c r="E2894" s="4" t="n">
        <v>1</v>
      </c>
      <c r="F2894" s="4" t="s">
        <v>144</v>
      </c>
      <c r="G2894" s="7" t="s">
        <v>434</v>
      </c>
      <c r="H2894" s="4" t="n">
        <v>1974</v>
      </c>
      <c r="I2894" s="4" t="s">
        <v>435</v>
      </c>
      <c r="J2894" s="25" t="str">
        <f aca="false">IF(M2894=1,"✓","")</f>
        <v/>
      </c>
      <c r="K2894" s="4" t="str">
        <f aca="false">IF(AND(M2894=0,P2894=0),"▶ NEXT","")</f>
        <v>▶ NEXT</v>
      </c>
      <c r="L2894" s="4" t="n">
        <f aca="false">INDEX('Master List'!$F$2:$F$2594,O2894)</f>
        <v>3</v>
      </c>
      <c r="M2894" s="4" t="n">
        <f aca="false">INDEX('Master List'!$G$2:$G$2594,O2894)</f>
        <v>0</v>
      </c>
      <c r="N2894" s="4" t="str">
        <f aca="false">IF(K2894="","",A2894)</f>
        <v>N242</v>
      </c>
      <c r="O2894" s="4" t="n">
        <v>2260</v>
      </c>
      <c r="P2894" s="4" t="n">
        <f aca="false">IF(A2894=A2893,P2893+1-M2893,0)</f>
        <v>0</v>
      </c>
    </row>
    <row r="2895" customFormat="false" ht="15" hidden="false" customHeight="false" outlineLevel="0" collapsed="false">
      <c r="A2895" s="31" t="s">
        <v>4307</v>
      </c>
      <c r="B2895" s="31" t="s">
        <v>54</v>
      </c>
      <c r="C2895" s="31" t="s">
        <v>112</v>
      </c>
      <c r="D2895" s="31" t="s">
        <v>4308</v>
      </c>
      <c r="E2895" s="4" t="n">
        <v>2</v>
      </c>
      <c r="F2895" s="4" t="s">
        <v>144</v>
      </c>
      <c r="G2895" s="7" t="s">
        <v>1468</v>
      </c>
      <c r="H2895" s="4" t="n">
        <v>1965</v>
      </c>
      <c r="I2895" s="4" t="s">
        <v>1469</v>
      </c>
      <c r="J2895" s="25" t="str">
        <f aca="false">IF(M2895=1,"✓","")</f>
        <v/>
      </c>
      <c r="K2895" s="4" t="str">
        <f aca="false">IF(AND(M2895=0,P2895=0),"▶ NEXT","")</f>
        <v/>
      </c>
      <c r="L2895" s="4" t="n">
        <f aca="false">INDEX('Master List'!$F$2:$F$2594,O2895)</f>
        <v>1</v>
      </c>
      <c r="M2895" s="4" t="n">
        <f aca="false">INDEX('Master List'!$G$2:$G$2594,O2895)</f>
        <v>0</v>
      </c>
      <c r="N2895" s="4" t="str">
        <f aca="false">IF(K2895="","",A2895)</f>
        <v/>
      </c>
      <c r="O2895" s="4" t="n">
        <v>788</v>
      </c>
      <c r="P2895" s="4" t="n">
        <f aca="false">IF(A2895=A2894,P2894+1-M2894,0)</f>
        <v>1</v>
      </c>
    </row>
    <row r="2896" customFormat="false" ht="15" hidden="false" customHeight="false" outlineLevel="0" collapsed="false">
      <c r="A2896" s="31" t="s">
        <v>4307</v>
      </c>
      <c r="B2896" s="31" t="s">
        <v>54</v>
      </c>
      <c r="C2896" s="31" t="s">
        <v>112</v>
      </c>
      <c r="D2896" s="31" t="s">
        <v>4308</v>
      </c>
      <c r="E2896" s="4" t="n">
        <v>3</v>
      </c>
      <c r="F2896" s="4" t="s">
        <v>213</v>
      </c>
      <c r="G2896" s="4" t="s">
        <v>906</v>
      </c>
      <c r="H2896" s="4" t="n">
        <v>1932</v>
      </c>
      <c r="I2896" s="4" t="s">
        <v>907</v>
      </c>
      <c r="J2896" s="25" t="str">
        <f aca="false">IF(M2896=1,"✓","")</f>
        <v/>
      </c>
      <c r="K2896" s="4" t="str">
        <f aca="false">IF(AND(M2896=0,P2896=0),"▶ NEXT","")</f>
        <v/>
      </c>
      <c r="L2896" s="4" t="n">
        <f aca="false">INDEX('Master List'!$F$2:$F$2594,O2896)</f>
        <v>2</v>
      </c>
      <c r="M2896" s="4" t="n">
        <f aca="false">INDEX('Master List'!$G$2:$G$2594,O2896)</f>
        <v>0</v>
      </c>
      <c r="N2896" s="4" t="str">
        <f aca="false">IF(K2896="","",A2896)</f>
        <v/>
      </c>
      <c r="O2896" s="4" t="n">
        <v>848</v>
      </c>
      <c r="P2896" s="4" t="n">
        <f aca="false">IF(A2896=A2895,P2895+1-M2895,0)</f>
        <v>2</v>
      </c>
    </row>
    <row r="2897" customFormat="false" ht="15" hidden="false" customHeight="false" outlineLevel="0" collapsed="false">
      <c r="A2897" s="31" t="s">
        <v>4307</v>
      </c>
      <c r="B2897" s="31" t="s">
        <v>54</v>
      </c>
      <c r="C2897" s="31" t="s">
        <v>112</v>
      </c>
      <c r="D2897" s="31" t="s">
        <v>4308</v>
      </c>
      <c r="E2897" s="4" t="n">
        <v>4</v>
      </c>
      <c r="F2897" s="4" t="s">
        <v>213</v>
      </c>
      <c r="G2897" s="4" t="s">
        <v>2039</v>
      </c>
      <c r="H2897" s="4" t="n">
        <v>1963</v>
      </c>
      <c r="I2897" s="4" t="s">
        <v>2040</v>
      </c>
      <c r="J2897" s="25" t="str">
        <f aca="false">IF(M2897=1,"✓","")</f>
        <v/>
      </c>
      <c r="K2897" s="4" t="str">
        <f aca="false">IF(AND(M2897=0,P2897=0),"▶ NEXT","")</f>
        <v/>
      </c>
      <c r="L2897" s="4" t="n">
        <f aca="false">INDEX('Master List'!$F$2:$F$2594,O2897)</f>
        <v>1</v>
      </c>
      <c r="M2897" s="4" t="n">
        <f aca="false">INDEX('Master List'!$G$2:$G$2594,O2897)</f>
        <v>0</v>
      </c>
      <c r="N2897" s="4" t="str">
        <f aca="false">IF(K2897="","",A2897)</f>
        <v/>
      </c>
      <c r="O2897" s="4" t="n">
        <v>290</v>
      </c>
      <c r="P2897" s="4" t="n">
        <f aca="false">IF(A2897=A2896,P2896+1-M2896,0)</f>
        <v>3</v>
      </c>
    </row>
    <row r="2898" customFormat="false" ht="15" hidden="false" customHeight="false" outlineLevel="0" collapsed="false">
      <c r="A2898" s="31" t="s">
        <v>4307</v>
      </c>
      <c r="B2898" s="31" t="s">
        <v>54</v>
      </c>
      <c r="C2898" s="31" t="s">
        <v>112</v>
      </c>
      <c r="D2898" s="31" t="s">
        <v>4308</v>
      </c>
      <c r="E2898" s="4" t="n">
        <v>5</v>
      </c>
      <c r="F2898" s="4" t="s">
        <v>213</v>
      </c>
      <c r="G2898" s="4" t="s">
        <v>2087</v>
      </c>
      <c r="H2898" s="4" t="n">
        <v>1966</v>
      </c>
      <c r="I2898" s="4" t="s">
        <v>2055</v>
      </c>
      <c r="J2898" s="25" t="str">
        <f aca="false">IF(M2898=1,"✓","")</f>
        <v/>
      </c>
      <c r="K2898" s="4" t="str">
        <f aca="false">IF(AND(M2898=0,P2898=0),"▶ NEXT","")</f>
        <v/>
      </c>
      <c r="L2898" s="4" t="n">
        <f aca="false">INDEX('Master List'!$F$2:$F$2594,O2898)</f>
        <v>1</v>
      </c>
      <c r="M2898" s="4" t="n">
        <f aca="false">INDEX('Master List'!$G$2:$G$2594,O2898)</f>
        <v>0</v>
      </c>
      <c r="N2898" s="4" t="str">
        <f aca="false">IF(K2898="","",A2898)</f>
        <v/>
      </c>
      <c r="O2898" s="4" t="n">
        <v>2512</v>
      </c>
      <c r="P2898" s="4" t="n">
        <f aca="false">IF(A2898=A2897,P2897+1-M2897,0)</f>
        <v>4</v>
      </c>
    </row>
    <row r="2899" customFormat="false" ht="15" hidden="false" customHeight="false" outlineLevel="0" collapsed="false">
      <c r="A2899" s="31" t="s">
        <v>4307</v>
      </c>
      <c r="B2899" s="31" t="s">
        <v>54</v>
      </c>
      <c r="C2899" s="31" t="s">
        <v>112</v>
      </c>
      <c r="D2899" s="31" t="s">
        <v>4308</v>
      </c>
      <c r="E2899" s="4" t="n">
        <v>6</v>
      </c>
      <c r="F2899" s="4" t="s">
        <v>213</v>
      </c>
      <c r="G2899" s="4" t="s">
        <v>2054</v>
      </c>
      <c r="H2899" s="4" t="n">
        <v>1964</v>
      </c>
      <c r="I2899" s="4" t="s">
        <v>2055</v>
      </c>
      <c r="J2899" s="25" t="str">
        <f aca="false">IF(M2899=1,"✓","")</f>
        <v/>
      </c>
      <c r="K2899" s="4" t="str">
        <f aca="false">IF(AND(M2899=0,P2899=0),"▶ NEXT","")</f>
        <v/>
      </c>
      <c r="L2899" s="4" t="n">
        <f aca="false">INDEX('Master List'!$F$2:$F$2594,O2899)</f>
        <v>1</v>
      </c>
      <c r="M2899" s="4" t="n">
        <f aca="false">INDEX('Master List'!$G$2:$G$2594,O2899)</f>
        <v>0</v>
      </c>
      <c r="N2899" s="4" t="str">
        <f aca="false">IF(K2899="","",A2899)</f>
        <v/>
      </c>
      <c r="O2899" s="4" t="n">
        <v>1457</v>
      </c>
      <c r="P2899" s="4" t="n">
        <f aca="false">IF(A2899=A2898,P2898+1-M2898,0)</f>
        <v>5</v>
      </c>
    </row>
    <row r="2900" customFormat="false" ht="15" hidden="false" customHeight="false" outlineLevel="0" collapsed="false">
      <c r="A2900" s="31" t="s">
        <v>4307</v>
      </c>
      <c r="B2900" s="31" t="s">
        <v>54</v>
      </c>
      <c r="C2900" s="31" t="s">
        <v>112</v>
      </c>
      <c r="D2900" s="31" t="s">
        <v>4308</v>
      </c>
      <c r="E2900" s="4" t="n">
        <v>7</v>
      </c>
      <c r="F2900" s="4" t="s">
        <v>213</v>
      </c>
      <c r="G2900" s="4" t="s">
        <v>2276</v>
      </c>
      <c r="H2900" s="4" t="n">
        <v>1975</v>
      </c>
      <c r="I2900" s="4" t="s">
        <v>2277</v>
      </c>
      <c r="J2900" s="25" t="str">
        <f aca="false">IF(M2900=1,"✓","")</f>
        <v/>
      </c>
      <c r="K2900" s="4" t="str">
        <f aca="false">IF(AND(M2900=0,P2900=0),"▶ NEXT","")</f>
        <v/>
      </c>
      <c r="L2900" s="4" t="n">
        <f aca="false">INDEX('Master List'!$F$2:$F$2594,O2900)</f>
        <v>1</v>
      </c>
      <c r="M2900" s="4" t="n">
        <f aca="false">INDEX('Master List'!$G$2:$G$2594,O2900)</f>
        <v>0</v>
      </c>
      <c r="N2900" s="4" t="str">
        <f aca="false">IF(K2900="","",A2900)</f>
        <v/>
      </c>
      <c r="O2900" s="4" t="n">
        <v>596</v>
      </c>
      <c r="P2900" s="4" t="n">
        <f aca="false">IF(A2900=A2899,P2899+1-M2899,0)</f>
        <v>6</v>
      </c>
    </row>
    <row r="2901" customFormat="false" ht="15" hidden="false" customHeight="false" outlineLevel="0" collapsed="false">
      <c r="A2901" s="31" t="s">
        <v>4307</v>
      </c>
      <c r="B2901" s="31" t="s">
        <v>54</v>
      </c>
      <c r="C2901" s="31" t="s">
        <v>112</v>
      </c>
      <c r="D2901" s="31" t="s">
        <v>4308</v>
      </c>
      <c r="E2901" s="4" t="n">
        <v>8</v>
      </c>
      <c r="F2901" s="4" t="s">
        <v>213</v>
      </c>
      <c r="G2901" s="4" t="s">
        <v>1029</v>
      </c>
      <c r="H2901" s="4" t="n">
        <v>1975</v>
      </c>
      <c r="I2901" s="4" t="s">
        <v>1022</v>
      </c>
      <c r="J2901" s="25" t="str">
        <f aca="false">IF(M2901=1,"✓","")</f>
        <v/>
      </c>
      <c r="K2901" s="4" t="str">
        <f aca="false">IF(AND(M2901=0,P2901=0),"▶ NEXT","")</f>
        <v/>
      </c>
      <c r="L2901" s="4" t="n">
        <f aca="false">INDEX('Master List'!$F$2:$F$2594,O2901)</f>
        <v>2</v>
      </c>
      <c r="M2901" s="4" t="n">
        <f aca="false">INDEX('Master List'!$G$2:$G$2594,O2901)</f>
        <v>0</v>
      </c>
      <c r="N2901" s="4" t="str">
        <f aca="false">IF(K2901="","",A2901)</f>
        <v/>
      </c>
      <c r="O2901" s="4" t="n">
        <v>2219</v>
      </c>
      <c r="P2901" s="4" t="n">
        <f aca="false">IF(A2901=A2900,P2900+1-M2900,0)</f>
        <v>7</v>
      </c>
    </row>
    <row r="2902" customFormat="false" ht="15" hidden="false" customHeight="false" outlineLevel="0" collapsed="false">
      <c r="A2902" s="31" t="s">
        <v>4307</v>
      </c>
      <c r="B2902" s="31" t="s">
        <v>54</v>
      </c>
      <c r="C2902" s="31" t="s">
        <v>112</v>
      </c>
      <c r="D2902" s="31" t="s">
        <v>4308</v>
      </c>
      <c r="E2902" s="4" t="n">
        <v>9</v>
      </c>
      <c r="F2902" s="4" t="s">
        <v>213</v>
      </c>
      <c r="G2902" s="4" t="s">
        <v>598</v>
      </c>
      <c r="H2902" s="4" t="n">
        <v>1971</v>
      </c>
      <c r="I2902" s="4" t="s">
        <v>599</v>
      </c>
      <c r="J2902" s="25" t="str">
        <f aca="false">IF(M2902=1,"✓","")</f>
        <v/>
      </c>
      <c r="K2902" s="4" t="str">
        <f aca="false">IF(AND(M2902=0,P2902=0),"▶ NEXT","")</f>
        <v/>
      </c>
      <c r="L2902" s="4" t="n">
        <f aca="false">INDEX('Master List'!$F$2:$F$2594,O2902)</f>
        <v>3</v>
      </c>
      <c r="M2902" s="4" t="n">
        <f aca="false">INDEX('Master List'!$G$2:$G$2594,O2902)</f>
        <v>0</v>
      </c>
      <c r="N2902" s="4" t="str">
        <f aca="false">IF(K2902="","",A2902)</f>
        <v/>
      </c>
      <c r="O2902" s="4" t="n">
        <v>2422</v>
      </c>
      <c r="P2902" s="4" t="n">
        <f aca="false">IF(A2902=A2901,P2901+1-M2901,0)</f>
        <v>8</v>
      </c>
    </row>
    <row r="2903" customFormat="false" ht="15" hidden="false" customHeight="false" outlineLevel="0" collapsed="false">
      <c r="A2903" s="31" t="s">
        <v>4307</v>
      </c>
      <c r="B2903" s="31" t="s">
        <v>54</v>
      </c>
      <c r="C2903" s="31" t="s">
        <v>112</v>
      </c>
      <c r="D2903" s="31" t="s">
        <v>4308</v>
      </c>
      <c r="E2903" s="4" t="n">
        <v>10</v>
      </c>
      <c r="F2903" s="4" t="s">
        <v>213</v>
      </c>
      <c r="G2903" s="4" t="s">
        <v>2886</v>
      </c>
      <c r="H2903" s="4" t="n">
        <v>2007</v>
      </c>
      <c r="I2903" s="4" t="s">
        <v>2887</v>
      </c>
      <c r="J2903" s="25" t="str">
        <f aca="false">IF(M2903=1,"✓","")</f>
        <v/>
      </c>
      <c r="K2903" s="4" t="str">
        <f aca="false">IF(AND(M2903=0,P2903=0),"▶ NEXT","")</f>
        <v/>
      </c>
      <c r="L2903" s="4" t="n">
        <f aca="false">INDEX('Master List'!$F$2:$F$2594,O2903)</f>
        <v>1</v>
      </c>
      <c r="M2903" s="4" t="n">
        <f aca="false">INDEX('Master List'!$G$2:$G$2594,O2903)</f>
        <v>0</v>
      </c>
      <c r="N2903" s="4" t="str">
        <f aca="false">IF(K2903="","",A2903)</f>
        <v/>
      </c>
      <c r="O2903" s="4" t="n">
        <v>968</v>
      </c>
      <c r="P2903" s="4" t="n">
        <f aca="false">IF(A2903=A2902,P2902+1-M2902,0)</f>
        <v>9</v>
      </c>
    </row>
    <row r="2904" customFormat="false" ht="15" hidden="false" customHeight="false" outlineLevel="0" collapsed="false">
      <c r="A2904" s="31" t="s">
        <v>4307</v>
      </c>
      <c r="B2904" s="31" t="s">
        <v>54</v>
      </c>
      <c r="C2904" s="31" t="s">
        <v>112</v>
      </c>
      <c r="D2904" s="31" t="s">
        <v>4308</v>
      </c>
      <c r="E2904" s="4" t="n">
        <v>11</v>
      </c>
      <c r="F2904" s="4" t="s">
        <v>1327</v>
      </c>
      <c r="G2904" s="4" t="s">
        <v>3433</v>
      </c>
      <c r="H2904" s="4" t="n">
        <v>1965</v>
      </c>
      <c r="I2904" s="4" t="s">
        <v>1469</v>
      </c>
      <c r="J2904" s="25" t="str">
        <f aca="false">IF(M2904=1,"✓","")</f>
        <v/>
      </c>
      <c r="K2904" s="4" t="str">
        <f aca="false">IF(AND(M2904=0,P2904=0),"▶ NEXT","")</f>
        <v/>
      </c>
      <c r="L2904" s="4" t="n">
        <f aca="false">INDEX('Master List'!$F$2:$F$2594,O2904)</f>
        <v>1</v>
      </c>
      <c r="M2904" s="4" t="n">
        <f aca="false">INDEX('Master List'!$G$2:$G$2594,O2904)</f>
        <v>0</v>
      </c>
      <c r="N2904" s="4" t="str">
        <f aca="false">IF(K2904="","",A2904)</f>
        <v/>
      </c>
      <c r="O2904" s="4" t="n">
        <v>1553</v>
      </c>
      <c r="P2904" s="4" t="n">
        <f aca="false">IF(A2904=A2903,P2903+1-M2903,0)</f>
        <v>10</v>
      </c>
    </row>
    <row r="2905" customFormat="false" ht="15" hidden="false" customHeight="false" outlineLevel="0" collapsed="false">
      <c r="A2905" s="31" t="s">
        <v>4307</v>
      </c>
      <c r="B2905" s="31" t="s">
        <v>54</v>
      </c>
      <c r="C2905" s="31" t="s">
        <v>112</v>
      </c>
      <c r="D2905" s="31" t="s">
        <v>4308</v>
      </c>
      <c r="E2905" s="4" t="n">
        <v>12</v>
      </c>
      <c r="F2905" s="4" t="s">
        <v>1327</v>
      </c>
      <c r="G2905" s="4" t="s">
        <v>3408</v>
      </c>
      <c r="H2905" s="4" t="n">
        <v>1960</v>
      </c>
      <c r="I2905" s="4" t="s">
        <v>2055</v>
      </c>
      <c r="J2905" s="25" t="str">
        <f aca="false">IF(M2905=1,"✓","")</f>
        <v/>
      </c>
      <c r="K2905" s="4" t="str">
        <f aca="false">IF(AND(M2905=0,P2905=0),"▶ NEXT","")</f>
        <v/>
      </c>
      <c r="L2905" s="4" t="n">
        <f aca="false">INDEX('Master List'!$F$2:$F$2594,O2905)</f>
        <v>1</v>
      </c>
      <c r="M2905" s="4" t="n">
        <f aca="false">INDEX('Master List'!$G$2:$G$2594,O2905)</f>
        <v>0</v>
      </c>
      <c r="N2905" s="4" t="str">
        <f aca="false">IF(K2905="","",A2905)</f>
        <v/>
      </c>
      <c r="O2905" s="4" t="n">
        <v>1354</v>
      </c>
      <c r="P2905" s="4" t="n">
        <f aca="false">IF(A2905=A2904,P2904+1-M2904,0)</f>
        <v>11</v>
      </c>
    </row>
    <row r="2906" customFormat="false" ht="15" hidden="false" customHeight="false" outlineLevel="0" collapsed="false">
      <c r="A2906" s="31" t="s">
        <v>4309</v>
      </c>
      <c r="B2906" s="31" t="s">
        <v>54</v>
      </c>
      <c r="C2906" s="31" t="s">
        <v>112</v>
      </c>
      <c r="D2906" s="31" t="s">
        <v>4310</v>
      </c>
      <c r="E2906" s="4" t="n">
        <v>1</v>
      </c>
      <c r="F2906" s="4" t="s">
        <v>144</v>
      </c>
      <c r="G2906" s="7" t="s">
        <v>1177</v>
      </c>
      <c r="H2906" s="4" t="n">
        <v>2006</v>
      </c>
      <c r="I2906" s="4" t="s">
        <v>296</v>
      </c>
      <c r="J2906" s="25" t="str">
        <f aca="false">IF(M2906=1,"✓","")</f>
        <v>✓</v>
      </c>
      <c r="K2906" s="4" t="str">
        <f aca="false">IF(AND(M2906=0,P2906=0),"▶ NEXT","")</f>
        <v/>
      </c>
      <c r="L2906" s="4" t="n">
        <f aca="false">INDEX('Master List'!$F$2:$F$2594,O2906)</f>
        <v>2</v>
      </c>
      <c r="M2906" s="4" t="n">
        <f aca="false">INDEX('Master List'!$G$2:$G$2594,O2906)</f>
        <v>1</v>
      </c>
      <c r="N2906" s="4" t="str">
        <f aca="false">IF(K2906="","",A2906)</f>
        <v/>
      </c>
      <c r="O2906" s="4" t="n">
        <v>1488</v>
      </c>
      <c r="P2906" s="4" t="n">
        <f aca="false">IF(A2906=A2905,P2905+1-M2905,0)</f>
        <v>0</v>
      </c>
    </row>
    <row r="2907" customFormat="false" ht="15" hidden="false" customHeight="false" outlineLevel="0" collapsed="false">
      <c r="A2907" s="31" t="s">
        <v>4309</v>
      </c>
      <c r="B2907" s="31" t="s">
        <v>54</v>
      </c>
      <c r="C2907" s="31" t="s">
        <v>112</v>
      </c>
      <c r="D2907" s="31" t="s">
        <v>4310</v>
      </c>
      <c r="E2907" s="4" t="n">
        <v>2</v>
      </c>
      <c r="F2907" s="4" t="s">
        <v>144</v>
      </c>
      <c r="G2907" s="7" t="s">
        <v>1596</v>
      </c>
      <c r="H2907" s="4" t="n">
        <v>2006</v>
      </c>
      <c r="I2907" s="4" t="s">
        <v>1597</v>
      </c>
      <c r="J2907" s="25" t="str">
        <f aca="false">IF(M2907=1,"✓","")</f>
        <v>✓</v>
      </c>
      <c r="K2907" s="4" t="str">
        <f aca="false">IF(AND(M2907=0,P2907=0),"▶ NEXT","")</f>
        <v/>
      </c>
      <c r="L2907" s="4" t="n">
        <f aca="false">INDEX('Master List'!$F$2:$F$2594,O2907)</f>
        <v>1</v>
      </c>
      <c r="M2907" s="4" t="n">
        <f aca="false">INDEX('Master List'!$G$2:$G$2594,O2907)</f>
        <v>1</v>
      </c>
      <c r="N2907" s="4" t="str">
        <f aca="false">IF(K2907="","",A2907)</f>
        <v/>
      </c>
      <c r="O2907" s="4" t="n">
        <v>526</v>
      </c>
      <c r="P2907" s="4" t="n">
        <f aca="false">IF(A2907=A2906,P2906+1-M2906,0)</f>
        <v>0</v>
      </c>
    </row>
    <row r="2908" customFormat="false" ht="15" hidden="false" customHeight="false" outlineLevel="0" collapsed="false">
      <c r="A2908" s="31" t="s">
        <v>4309</v>
      </c>
      <c r="B2908" s="31" t="s">
        <v>54</v>
      </c>
      <c r="C2908" s="31" t="s">
        <v>112</v>
      </c>
      <c r="D2908" s="31" t="s">
        <v>4310</v>
      </c>
      <c r="E2908" s="4" t="n">
        <v>3</v>
      </c>
      <c r="F2908" s="4" t="s">
        <v>213</v>
      </c>
      <c r="G2908" s="4" t="s">
        <v>1386</v>
      </c>
      <c r="H2908" s="4" t="n">
        <v>1993</v>
      </c>
      <c r="I2908" s="4" t="s">
        <v>1387</v>
      </c>
      <c r="J2908" s="25" t="str">
        <f aca="false">IF(M2908=1,"✓","")</f>
        <v/>
      </c>
      <c r="K2908" s="4" t="str">
        <f aca="false">IF(AND(M2908=0,P2908=0),"▶ NEXT","")</f>
        <v>▶ NEXT</v>
      </c>
      <c r="L2908" s="4" t="n">
        <f aca="false">INDEX('Master List'!$F$2:$F$2594,O2908)</f>
        <v>2</v>
      </c>
      <c r="M2908" s="4" t="n">
        <f aca="false">INDEX('Master List'!$G$2:$G$2594,O2908)</f>
        <v>0</v>
      </c>
      <c r="N2908" s="4" t="str">
        <f aca="false">IF(K2908="","",A2908)</f>
        <v>N243</v>
      </c>
      <c r="O2908" s="4" t="n">
        <v>996</v>
      </c>
      <c r="P2908" s="4" t="n">
        <f aca="false">IF(A2908=A2907,P2907+1-M2907,0)</f>
        <v>0</v>
      </c>
    </row>
    <row r="2909" customFormat="false" ht="15" hidden="false" customHeight="false" outlineLevel="0" collapsed="false">
      <c r="A2909" s="31" t="s">
        <v>4309</v>
      </c>
      <c r="B2909" s="31" t="s">
        <v>54</v>
      </c>
      <c r="C2909" s="31" t="s">
        <v>112</v>
      </c>
      <c r="D2909" s="31" t="s">
        <v>4310</v>
      </c>
      <c r="E2909" s="4" t="n">
        <v>4</v>
      </c>
      <c r="F2909" s="4" t="s">
        <v>213</v>
      </c>
      <c r="G2909" s="4" t="s">
        <v>1118</v>
      </c>
      <c r="H2909" s="4" t="n">
        <v>1997</v>
      </c>
      <c r="I2909" s="4" t="s">
        <v>1119</v>
      </c>
      <c r="J2909" s="25" t="str">
        <f aca="false">IF(M2909=1,"✓","")</f>
        <v/>
      </c>
      <c r="K2909" s="4" t="str">
        <f aca="false">IF(AND(M2909=0,P2909=0),"▶ NEXT","")</f>
        <v/>
      </c>
      <c r="L2909" s="4" t="n">
        <f aca="false">INDEX('Master List'!$F$2:$F$2594,O2909)</f>
        <v>2</v>
      </c>
      <c r="M2909" s="4" t="n">
        <f aca="false">INDEX('Master List'!$G$2:$G$2594,O2909)</f>
        <v>0</v>
      </c>
      <c r="N2909" s="4" t="str">
        <f aca="false">IF(K2909="","",A2909)</f>
        <v/>
      </c>
      <c r="O2909" s="4" t="n">
        <v>751</v>
      </c>
      <c r="P2909" s="4" t="n">
        <f aca="false">IF(A2909=A2908,P2908+1-M2908,0)</f>
        <v>1</v>
      </c>
    </row>
    <row r="2910" customFormat="false" ht="15" hidden="false" customHeight="false" outlineLevel="0" collapsed="false">
      <c r="A2910" s="31" t="s">
        <v>4309</v>
      </c>
      <c r="B2910" s="31" t="s">
        <v>54</v>
      </c>
      <c r="C2910" s="31" t="s">
        <v>112</v>
      </c>
      <c r="D2910" s="31" t="s">
        <v>4310</v>
      </c>
      <c r="E2910" s="4" t="n">
        <v>5</v>
      </c>
      <c r="F2910" s="4" t="s">
        <v>213</v>
      </c>
      <c r="G2910" s="4" t="s">
        <v>3009</v>
      </c>
      <c r="H2910" s="4" t="n">
        <v>2012</v>
      </c>
      <c r="I2910" s="4" t="s">
        <v>1119</v>
      </c>
      <c r="J2910" s="25" t="str">
        <f aca="false">IF(M2910=1,"✓","")</f>
        <v/>
      </c>
      <c r="K2910" s="4" t="str">
        <f aca="false">IF(AND(M2910=0,P2910=0),"▶ NEXT","")</f>
        <v/>
      </c>
      <c r="L2910" s="4" t="n">
        <f aca="false">INDEX('Master List'!$F$2:$F$2594,O2910)</f>
        <v>1</v>
      </c>
      <c r="M2910" s="4" t="n">
        <f aca="false">INDEX('Master List'!$G$2:$G$2594,O2910)</f>
        <v>0</v>
      </c>
      <c r="N2910" s="4" t="str">
        <f aca="false">IF(K2910="","",A2910)</f>
        <v/>
      </c>
      <c r="O2910" s="4" t="n">
        <v>1893</v>
      </c>
      <c r="P2910" s="4" t="n">
        <f aca="false">IF(A2910=A2909,P2909+1-M2909,0)</f>
        <v>2</v>
      </c>
    </row>
    <row r="2911" customFormat="false" ht="15" hidden="false" customHeight="false" outlineLevel="0" collapsed="false">
      <c r="A2911" s="31" t="s">
        <v>4309</v>
      </c>
      <c r="B2911" s="31" t="s">
        <v>54</v>
      </c>
      <c r="C2911" s="31" t="s">
        <v>112</v>
      </c>
      <c r="D2911" s="31" t="s">
        <v>4310</v>
      </c>
      <c r="E2911" s="4" t="n">
        <v>6</v>
      </c>
      <c r="F2911" s="4" t="s">
        <v>213</v>
      </c>
      <c r="G2911" s="4" t="s">
        <v>3010</v>
      </c>
      <c r="H2911" s="4" t="n">
        <v>2012</v>
      </c>
      <c r="I2911" s="4" t="s">
        <v>3011</v>
      </c>
      <c r="J2911" s="25" t="str">
        <f aca="false">IF(M2911=1,"✓","")</f>
        <v/>
      </c>
      <c r="K2911" s="4" t="str">
        <f aca="false">IF(AND(M2911=0,P2911=0),"▶ NEXT","")</f>
        <v/>
      </c>
      <c r="L2911" s="4" t="n">
        <f aca="false">INDEX('Master List'!$F$2:$F$2594,O2911)</f>
        <v>1</v>
      </c>
      <c r="M2911" s="4" t="n">
        <f aca="false">INDEX('Master List'!$G$2:$G$2594,O2911)</f>
        <v>0</v>
      </c>
      <c r="N2911" s="4" t="str">
        <f aca="false">IF(K2911="","",A2911)</f>
        <v/>
      </c>
      <c r="O2911" s="4" t="n">
        <v>2410</v>
      </c>
      <c r="P2911" s="4" t="n">
        <f aca="false">IF(A2911=A2910,P2910+1-M2910,0)</f>
        <v>3</v>
      </c>
    </row>
    <row r="2912" customFormat="false" ht="15" hidden="false" customHeight="false" outlineLevel="0" collapsed="false">
      <c r="A2912" s="31" t="s">
        <v>4309</v>
      </c>
      <c r="B2912" s="31" t="s">
        <v>54</v>
      </c>
      <c r="C2912" s="31" t="s">
        <v>112</v>
      </c>
      <c r="D2912" s="31" t="s">
        <v>4310</v>
      </c>
      <c r="E2912" s="4" t="n">
        <v>7</v>
      </c>
      <c r="F2912" s="4" t="s">
        <v>213</v>
      </c>
      <c r="G2912" s="4" t="s">
        <v>2841</v>
      </c>
      <c r="H2912" s="4" t="n">
        <v>2005</v>
      </c>
      <c r="I2912" s="4" t="s">
        <v>2426</v>
      </c>
      <c r="J2912" s="25" t="str">
        <f aca="false">IF(M2912=1,"✓","")</f>
        <v/>
      </c>
      <c r="K2912" s="4" t="str">
        <f aca="false">IF(AND(M2912=0,P2912=0),"▶ NEXT","")</f>
        <v/>
      </c>
      <c r="L2912" s="4" t="n">
        <f aca="false">INDEX('Master List'!$F$2:$F$2594,O2912)</f>
        <v>1</v>
      </c>
      <c r="M2912" s="4" t="n">
        <f aca="false">INDEX('Master List'!$G$2:$G$2594,O2912)</f>
        <v>0</v>
      </c>
      <c r="N2912" s="4" t="str">
        <f aca="false">IF(K2912="","",A2912)</f>
        <v/>
      </c>
      <c r="O2912" s="4" t="n">
        <v>657</v>
      </c>
      <c r="P2912" s="4" t="n">
        <f aca="false">IF(A2912=A2911,P2911+1-M2911,0)</f>
        <v>4</v>
      </c>
    </row>
    <row r="2913" customFormat="false" ht="15" hidden="false" customHeight="false" outlineLevel="0" collapsed="false">
      <c r="A2913" s="31" t="s">
        <v>4309</v>
      </c>
      <c r="B2913" s="31" t="s">
        <v>54</v>
      </c>
      <c r="C2913" s="31" t="s">
        <v>112</v>
      </c>
      <c r="D2913" s="31" t="s">
        <v>4310</v>
      </c>
      <c r="E2913" s="4" t="n">
        <v>8</v>
      </c>
      <c r="F2913" s="4" t="s">
        <v>213</v>
      </c>
      <c r="G2913" s="4" t="s">
        <v>2864</v>
      </c>
      <c r="H2913" s="4" t="n">
        <v>2006</v>
      </c>
      <c r="I2913" s="4" t="s">
        <v>2426</v>
      </c>
      <c r="J2913" s="25" t="str">
        <f aca="false">IF(M2913=1,"✓","")</f>
        <v>✓</v>
      </c>
      <c r="K2913" s="4" t="str">
        <f aca="false">IF(AND(M2913=0,P2913=0),"▶ NEXT","")</f>
        <v/>
      </c>
      <c r="L2913" s="4" t="n">
        <f aca="false">INDEX('Master List'!$F$2:$F$2594,O2913)</f>
        <v>1</v>
      </c>
      <c r="M2913" s="4" t="n">
        <f aca="false">INDEX('Master List'!$G$2:$G$2594,O2913)</f>
        <v>1</v>
      </c>
      <c r="N2913" s="4" t="str">
        <f aca="false">IF(K2913="","",A2913)</f>
        <v/>
      </c>
      <c r="O2913" s="4" t="n">
        <v>607</v>
      </c>
      <c r="P2913" s="4" t="n">
        <f aca="false">IF(A2913=A2912,P2912+1-M2912,0)</f>
        <v>5</v>
      </c>
    </row>
    <row r="2914" customFormat="false" ht="15" hidden="false" customHeight="false" outlineLevel="0" collapsed="false">
      <c r="A2914" s="31" t="s">
        <v>4309</v>
      </c>
      <c r="B2914" s="31" t="s">
        <v>54</v>
      </c>
      <c r="C2914" s="31" t="s">
        <v>112</v>
      </c>
      <c r="D2914" s="31" t="s">
        <v>4310</v>
      </c>
      <c r="E2914" s="4" t="n">
        <v>9</v>
      </c>
      <c r="F2914" s="4" t="s">
        <v>213</v>
      </c>
      <c r="G2914" s="4" t="s">
        <v>2956</v>
      </c>
      <c r="H2914" s="4" t="n">
        <v>2010</v>
      </c>
      <c r="I2914" s="4" t="s">
        <v>2426</v>
      </c>
      <c r="J2914" s="25" t="str">
        <f aca="false">IF(M2914=1,"✓","")</f>
        <v/>
      </c>
      <c r="K2914" s="4" t="str">
        <f aca="false">IF(AND(M2914=0,P2914=0),"▶ NEXT","")</f>
        <v/>
      </c>
      <c r="L2914" s="4" t="n">
        <f aca="false">INDEX('Master List'!$F$2:$F$2594,O2914)</f>
        <v>1</v>
      </c>
      <c r="M2914" s="4" t="n">
        <f aca="false">INDEX('Master List'!$G$2:$G$2594,O2914)</f>
        <v>0</v>
      </c>
      <c r="N2914" s="4" t="str">
        <f aca="false">IF(K2914="","",A2914)</f>
        <v/>
      </c>
      <c r="O2914" s="4" t="n">
        <v>2412</v>
      </c>
      <c r="P2914" s="4" t="n">
        <f aca="false">IF(A2914=A2913,P2913+1-M2913,0)</f>
        <v>5</v>
      </c>
    </row>
    <row r="2915" customFormat="false" ht="15" hidden="false" customHeight="false" outlineLevel="0" collapsed="false">
      <c r="A2915" s="31" t="s">
        <v>4311</v>
      </c>
      <c r="B2915" s="31" t="s">
        <v>54</v>
      </c>
      <c r="C2915" s="31" t="s">
        <v>112</v>
      </c>
      <c r="D2915" s="31" t="s">
        <v>4312</v>
      </c>
      <c r="E2915" s="4" t="n">
        <v>1</v>
      </c>
      <c r="F2915" s="4" t="s">
        <v>144</v>
      </c>
      <c r="G2915" s="7" t="s">
        <v>869</v>
      </c>
      <c r="H2915" s="4" t="n">
        <v>2012</v>
      </c>
      <c r="I2915" s="4" t="s">
        <v>870</v>
      </c>
      <c r="J2915" s="25" t="str">
        <f aca="false">IF(M2915=1,"✓","")</f>
        <v>✓</v>
      </c>
      <c r="K2915" s="4" t="str">
        <f aca="false">IF(AND(M2915=0,P2915=0),"▶ NEXT","")</f>
        <v/>
      </c>
      <c r="L2915" s="4" t="n">
        <f aca="false">INDEX('Master List'!$F$2:$F$2594,O2915)</f>
        <v>2</v>
      </c>
      <c r="M2915" s="4" t="n">
        <f aca="false">INDEX('Master List'!$G$2:$G$2594,O2915)</f>
        <v>1</v>
      </c>
      <c r="N2915" s="4" t="str">
        <f aca="false">IF(K2915="","",A2915)</f>
        <v/>
      </c>
      <c r="O2915" s="4" t="n">
        <v>845</v>
      </c>
      <c r="P2915" s="4" t="n">
        <f aca="false">IF(A2915=A2914,P2914+1-M2914,0)</f>
        <v>0</v>
      </c>
    </row>
    <row r="2916" customFormat="false" ht="15" hidden="false" customHeight="false" outlineLevel="0" collapsed="false">
      <c r="A2916" s="31" t="s">
        <v>4311</v>
      </c>
      <c r="B2916" s="31" t="s">
        <v>54</v>
      </c>
      <c r="C2916" s="31" t="s">
        <v>112</v>
      </c>
      <c r="D2916" s="31" t="s">
        <v>4312</v>
      </c>
      <c r="E2916" s="4" t="n">
        <v>2</v>
      </c>
      <c r="F2916" s="4" t="s">
        <v>144</v>
      </c>
      <c r="G2916" s="7" t="s">
        <v>1583</v>
      </c>
      <c r="H2916" s="4" t="n">
        <v>2002</v>
      </c>
      <c r="I2916" s="4" t="s">
        <v>1584</v>
      </c>
      <c r="J2916" s="25" t="str">
        <f aca="false">IF(M2916=1,"✓","")</f>
        <v/>
      </c>
      <c r="K2916" s="4" t="str">
        <f aca="false">IF(AND(M2916=0,P2916=0),"▶ NEXT","")</f>
        <v>▶ NEXT</v>
      </c>
      <c r="L2916" s="4" t="n">
        <f aca="false">INDEX('Master List'!$F$2:$F$2594,O2916)</f>
        <v>1</v>
      </c>
      <c r="M2916" s="4" t="n">
        <f aca="false">INDEX('Master List'!$G$2:$G$2594,O2916)</f>
        <v>0</v>
      </c>
      <c r="N2916" s="4" t="str">
        <f aca="false">IF(K2916="","",A2916)</f>
        <v>N244</v>
      </c>
      <c r="O2916" s="4" t="n">
        <v>872</v>
      </c>
      <c r="P2916" s="4" t="n">
        <f aca="false">IF(A2916=A2915,P2915+1-M2915,0)</f>
        <v>0</v>
      </c>
    </row>
    <row r="2917" customFormat="false" ht="15" hidden="false" customHeight="false" outlineLevel="0" collapsed="false">
      <c r="A2917" s="31" t="s">
        <v>4311</v>
      </c>
      <c r="B2917" s="31" t="s">
        <v>54</v>
      </c>
      <c r="C2917" s="31" t="s">
        <v>112</v>
      </c>
      <c r="D2917" s="31" t="s">
        <v>4312</v>
      </c>
      <c r="E2917" s="4" t="n">
        <v>3</v>
      </c>
      <c r="F2917" s="4" t="s">
        <v>213</v>
      </c>
      <c r="G2917" s="4" t="s">
        <v>2842</v>
      </c>
      <c r="H2917" s="4" t="n">
        <v>2005</v>
      </c>
      <c r="I2917" s="4" t="s">
        <v>1584</v>
      </c>
      <c r="J2917" s="25" t="str">
        <f aca="false">IF(M2917=1,"✓","")</f>
        <v/>
      </c>
      <c r="K2917" s="4" t="str">
        <f aca="false">IF(AND(M2917=0,P2917=0),"▶ NEXT","")</f>
        <v/>
      </c>
      <c r="L2917" s="4" t="n">
        <f aca="false">INDEX('Master List'!$F$2:$F$2594,O2917)</f>
        <v>1</v>
      </c>
      <c r="M2917" s="4" t="n">
        <f aca="false">INDEX('Master List'!$G$2:$G$2594,O2917)</f>
        <v>0</v>
      </c>
      <c r="N2917" s="4" t="str">
        <f aca="false">IF(K2917="","",A2917)</f>
        <v/>
      </c>
      <c r="O2917" s="4" t="n">
        <v>1563</v>
      </c>
      <c r="P2917" s="4" t="n">
        <f aca="false">IF(A2917=A2916,P2916+1-M2916,0)</f>
        <v>1</v>
      </c>
    </row>
    <row r="2918" customFormat="false" ht="15" hidden="false" customHeight="false" outlineLevel="0" collapsed="false">
      <c r="A2918" s="31" t="s">
        <v>4311</v>
      </c>
      <c r="B2918" s="31" t="s">
        <v>54</v>
      </c>
      <c r="C2918" s="31" t="s">
        <v>112</v>
      </c>
      <c r="D2918" s="31" t="s">
        <v>4312</v>
      </c>
      <c r="E2918" s="4" t="n">
        <v>4</v>
      </c>
      <c r="F2918" s="4" t="s">
        <v>213</v>
      </c>
      <c r="G2918" s="4" t="s">
        <v>2843</v>
      </c>
      <c r="H2918" s="4" t="n">
        <v>2005</v>
      </c>
      <c r="I2918" s="4" t="s">
        <v>2844</v>
      </c>
      <c r="J2918" s="25" t="str">
        <f aca="false">IF(M2918=1,"✓","")</f>
        <v/>
      </c>
      <c r="K2918" s="4" t="str">
        <f aca="false">IF(AND(M2918=0,P2918=0),"▶ NEXT","")</f>
        <v/>
      </c>
      <c r="L2918" s="4" t="n">
        <f aca="false">INDEX('Master List'!$F$2:$F$2594,O2918)</f>
        <v>1</v>
      </c>
      <c r="M2918" s="4" t="n">
        <f aca="false">INDEX('Master List'!$G$2:$G$2594,O2918)</f>
        <v>0</v>
      </c>
      <c r="N2918" s="4" t="str">
        <f aca="false">IF(K2918="","",A2918)</f>
        <v/>
      </c>
      <c r="O2918" s="4" t="n">
        <v>1829</v>
      </c>
      <c r="P2918" s="4" t="n">
        <f aca="false">IF(A2918=A2917,P2917+1-M2917,0)</f>
        <v>2</v>
      </c>
    </row>
    <row r="2919" customFormat="false" ht="15" hidden="false" customHeight="false" outlineLevel="0" collapsed="false">
      <c r="A2919" s="31" t="s">
        <v>4311</v>
      </c>
      <c r="B2919" s="31" t="s">
        <v>54</v>
      </c>
      <c r="C2919" s="31" t="s">
        <v>112</v>
      </c>
      <c r="D2919" s="31" t="s">
        <v>4312</v>
      </c>
      <c r="E2919" s="4" t="n">
        <v>5</v>
      </c>
      <c r="F2919" s="4" t="s">
        <v>213</v>
      </c>
      <c r="G2919" s="4" t="s">
        <v>2888</v>
      </c>
      <c r="H2919" s="4" t="n">
        <v>2007</v>
      </c>
      <c r="I2919" s="4" t="s">
        <v>2889</v>
      </c>
      <c r="J2919" s="25" t="str">
        <f aca="false">IF(M2919=1,"✓","")</f>
        <v/>
      </c>
      <c r="K2919" s="4" t="str">
        <f aca="false">IF(AND(M2919=0,P2919=0),"▶ NEXT","")</f>
        <v/>
      </c>
      <c r="L2919" s="4" t="n">
        <f aca="false">INDEX('Master List'!$F$2:$F$2594,O2919)</f>
        <v>1</v>
      </c>
      <c r="M2919" s="4" t="n">
        <f aca="false">INDEX('Master List'!$G$2:$G$2594,O2919)</f>
        <v>0</v>
      </c>
      <c r="N2919" s="4" t="str">
        <f aca="false">IF(K2919="","",A2919)</f>
        <v/>
      </c>
      <c r="O2919" s="4" t="n">
        <v>985</v>
      </c>
      <c r="P2919" s="4" t="n">
        <f aca="false">IF(A2919=A2918,P2918+1-M2918,0)</f>
        <v>3</v>
      </c>
    </row>
    <row r="2920" customFormat="false" ht="15" hidden="false" customHeight="false" outlineLevel="0" collapsed="false">
      <c r="A2920" s="31" t="s">
        <v>4311</v>
      </c>
      <c r="B2920" s="31" t="s">
        <v>54</v>
      </c>
      <c r="C2920" s="31" t="s">
        <v>112</v>
      </c>
      <c r="D2920" s="31" t="s">
        <v>4312</v>
      </c>
      <c r="E2920" s="4" t="n">
        <v>6</v>
      </c>
      <c r="F2920" s="4" t="s">
        <v>213</v>
      </c>
      <c r="G2920" s="4" t="s">
        <v>2935</v>
      </c>
      <c r="H2920" s="4" t="n">
        <v>2009</v>
      </c>
      <c r="I2920" s="4" t="s">
        <v>2936</v>
      </c>
      <c r="J2920" s="25" t="str">
        <f aca="false">IF(M2920=1,"✓","")</f>
        <v/>
      </c>
      <c r="K2920" s="4" t="str">
        <f aca="false">IF(AND(M2920=0,P2920=0),"▶ NEXT","")</f>
        <v/>
      </c>
      <c r="L2920" s="4" t="n">
        <f aca="false">INDEX('Master List'!$F$2:$F$2594,O2920)</f>
        <v>1</v>
      </c>
      <c r="M2920" s="4" t="n">
        <f aca="false">INDEX('Master List'!$G$2:$G$2594,O2920)</f>
        <v>0</v>
      </c>
      <c r="N2920" s="4" t="str">
        <f aca="false">IF(K2920="","",A2920)</f>
        <v/>
      </c>
      <c r="O2920" s="4" t="n">
        <v>1086</v>
      </c>
      <c r="P2920" s="4" t="n">
        <f aca="false">IF(A2920=A2919,P2919+1-M2919,0)</f>
        <v>4</v>
      </c>
    </row>
    <row r="2921" customFormat="false" ht="15" hidden="false" customHeight="false" outlineLevel="0" collapsed="false">
      <c r="A2921" s="31" t="s">
        <v>4311</v>
      </c>
      <c r="B2921" s="31" t="s">
        <v>54</v>
      </c>
      <c r="C2921" s="31" t="s">
        <v>112</v>
      </c>
      <c r="D2921" s="31" t="s">
        <v>4312</v>
      </c>
      <c r="E2921" s="4" t="n">
        <v>7</v>
      </c>
      <c r="F2921" s="4" t="s">
        <v>213</v>
      </c>
      <c r="G2921" s="4" t="s">
        <v>2957</v>
      </c>
      <c r="H2921" s="4" t="n">
        <v>2010</v>
      </c>
      <c r="I2921" s="4" t="s">
        <v>2958</v>
      </c>
      <c r="J2921" s="25" t="str">
        <f aca="false">IF(M2921=1,"✓","")</f>
        <v/>
      </c>
      <c r="K2921" s="4" t="str">
        <f aca="false">IF(AND(M2921=0,P2921=0),"▶ NEXT","")</f>
        <v/>
      </c>
      <c r="L2921" s="4" t="n">
        <f aca="false">INDEX('Master List'!$F$2:$F$2594,O2921)</f>
        <v>1</v>
      </c>
      <c r="M2921" s="4" t="n">
        <f aca="false">INDEX('Master List'!$G$2:$G$2594,O2921)</f>
        <v>0</v>
      </c>
      <c r="N2921" s="4" t="str">
        <f aca="false">IF(K2921="","",A2921)</f>
        <v/>
      </c>
      <c r="O2921" s="4" t="n">
        <v>2310</v>
      </c>
      <c r="P2921" s="4" t="n">
        <f aca="false">IF(A2921=A2920,P2920+1-M2920,0)</f>
        <v>5</v>
      </c>
    </row>
    <row r="2922" customFormat="false" ht="15" hidden="false" customHeight="false" outlineLevel="0" collapsed="false">
      <c r="A2922" s="31" t="s">
        <v>4311</v>
      </c>
      <c r="B2922" s="31" t="s">
        <v>54</v>
      </c>
      <c r="C2922" s="31" t="s">
        <v>112</v>
      </c>
      <c r="D2922" s="31" t="s">
        <v>4312</v>
      </c>
      <c r="E2922" s="4" t="n">
        <v>8</v>
      </c>
      <c r="F2922" s="4" t="s">
        <v>213</v>
      </c>
      <c r="G2922" s="4" t="s">
        <v>3040</v>
      </c>
      <c r="H2922" s="4" t="n">
        <v>2013</v>
      </c>
      <c r="I2922" s="4" t="s">
        <v>1584</v>
      </c>
      <c r="J2922" s="25" t="str">
        <f aca="false">IF(M2922=1,"✓","")</f>
        <v/>
      </c>
      <c r="K2922" s="4" t="str">
        <f aca="false">IF(AND(M2922=0,P2922=0),"▶ NEXT","")</f>
        <v/>
      </c>
      <c r="L2922" s="4" t="n">
        <f aca="false">INDEX('Master List'!$F$2:$F$2594,O2922)</f>
        <v>1</v>
      </c>
      <c r="M2922" s="4" t="n">
        <f aca="false">INDEX('Master List'!$G$2:$G$2594,O2922)</f>
        <v>0</v>
      </c>
      <c r="N2922" s="4" t="str">
        <f aca="false">IF(K2922="","",A2922)</f>
        <v/>
      </c>
      <c r="O2922" s="4" t="n">
        <v>510</v>
      </c>
      <c r="P2922" s="4" t="n">
        <f aca="false">IF(A2922=A2921,P2921+1-M2921,0)</f>
        <v>6</v>
      </c>
    </row>
    <row r="2923" customFormat="false" ht="15" hidden="false" customHeight="false" outlineLevel="0" collapsed="false">
      <c r="A2923" s="31" t="s">
        <v>4311</v>
      </c>
      <c r="B2923" s="31" t="s">
        <v>54</v>
      </c>
      <c r="C2923" s="31" t="s">
        <v>112</v>
      </c>
      <c r="D2923" s="31" t="s">
        <v>4312</v>
      </c>
      <c r="E2923" s="4" t="n">
        <v>9</v>
      </c>
      <c r="F2923" s="4" t="s">
        <v>213</v>
      </c>
      <c r="G2923" s="4" t="s">
        <v>693</v>
      </c>
      <c r="H2923" s="4" t="n">
        <v>2015</v>
      </c>
      <c r="I2923" s="4" t="s">
        <v>694</v>
      </c>
      <c r="J2923" s="25" t="str">
        <f aca="false">IF(M2923=1,"✓","")</f>
        <v/>
      </c>
      <c r="K2923" s="4" t="str">
        <f aca="false">IF(AND(M2923=0,P2923=0),"▶ NEXT","")</f>
        <v/>
      </c>
      <c r="L2923" s="4" t="n">
        <f aca="false">INDEX('Master List'!$F$2:$F$2594,O2923)</f>
        <v>3</v>
      </c>
      <c r="M2923" s="4" t="n">
        <f aca="false">INDEX('Master List'!$G$2:$G$2594,O2923)</f>
        <v>0</v>
      </c>
      <c r="N2923" s="4" t="str">
        <f aca="false">IF(K2923="","",A2923)</f>
        <v/>
      </c>
      <c r="O2923" s="4" t="n">
        <v>2239</v>
      </c>
      <c r="P2923" s="4" t="n">
        <f aca="false">IF(A2923=A2922,P2922+1-M2922,0)</f>
        <v>7</v>
      </c>
    </row>
    <row r="2924" customFormat="false" ht="15" hidden="false" customHeight="false" outlineLevel="0" collapsed="false">
      <c r="A2924" s="31" t="s">
        <v>4311</v>
      </c>
      <c r="B2924" s="31" t="s">
        <v>54</v>
      </c>
      <c r="C2924" s="31" t="s">
        <v>112</v>
      </c>
      <c r="D2924" s="31" t="s">
        <v>4312</v>
      </c>
      <c r="E2924" s="4" t="n">
        <v>10</v>
      </c>
      <c r="F2924" s="4" t="s">
        <v>213</v>
      </c>
      <c r="G2924" s="4" t="s">
        <v>1238</v>
      </c>
      <c r="H2924" s="4" t="n">
        <v>2017</v>
      </c>
      <c r="I2924" s="4" t="s">
        <v>694</v>
      </c>
      <c r="J2924" s="25" t="str">
        <f aca="false">IF(M2924=1,"✓","")</f>
        <v>✓</v>
      </c>
      <c r="K2924" s="4" t="str">
        <f aca="false">IF(AND(M2924=0,P2924=0),"▶ NEXT","")</f>
        <v/>
      </c>
      <c r="L2924" s="4" t="n">
        <f aca="false">INDEX('Master List'!$F$2:$F$2594,O2924)</f>
        <v>2</v>
      </c>
      <c r="M2924" s="4" t="n">
        <f aca="false">INDEX('Master List'!$G$2:$G$2594,O2924)</f>
        <v>1</v>
      </c>
      <c r="N2924" s="4" t="str">
        <f aca="false">IF(K2924="","",A2924)</f>
        <v/>
      </c>
      <c r="O2924" s="4" t="n">
        <v>823</v>
      </c>
      <c r="P2924" s="4" t="n">
        <f aca="false">IF(A2924=A2923,P2923+1-M2923,0)</f>
        <v>8</v>
      </c>
    </row>
    <row r="2925" customFormat="false" ht="15" hidden="false" customHeight="false" outlineLevel="0" collapsed="false">
      <c r="A2925" s="31" t="s">
        <v>4311</v>
      </c>
      <c r="B2925" s="31" t="s">
        <v>54</v>
      </c>
      <c r="C2925" s="31" t="s">
        <v>112</v>
      </c>
      <c r="D2925" s="31" t="s">
        <v>4312</v>
      </c>
      <c r="E2925" s="4" t="n">
        <v>11</v>
      </c>
      <c r="F2925" s="4" t="s">
        <v>1327</v>
      </c>
      <c r="G2925" s="4" t="s">
        <v>3815</v>
      </c>
      <c r="H2925" s="4" t="n">
        <v>2013</v>
      </c>
      <c r="I2925" s="4" t="s">
        <v>2889</v>
      </c>
      <c r="J2925" s="25" t="str">
        <f aca="false">IF(M2925=1,"✓","")</f>
        <v/>
      </c>
      <c r="K2925" s="4" t="str">
        <f aca="false">IF(AND(M2925=0,P2925=0),"▶ NEXT","")</f>
        <v/>
      </c>
      <c r="L2925" s="4" t="n">
        <f aca="false">INDEX('Master List'!$F$2:$F$2594,O2925)</f>
        <v>1</v>
      </c>
      <c r="M2925" s="4" t="n">
        <f aca="false">INDEX('Master List'!$G$2:$G$2594,O2925)</f>
        <v>0</v>
      </c>
      <c r="N2925" s="4" t="str">
        <f aca="false">IF(K2925="","",A2925)</f>
        <v/>
      </c>
      <c r="O2925" s="4" t="n">
        <v>679</v>
      </c>
      <c r="P2925" s="4" t="n">
        <f aca="false">IF(A2925=A2924,P2924+1-M2924,0)</f>
        <v>8</v>
      </c>
    </row>
    <row r="2926" customFormat="false" ht="15" hidden="false" customHeight="false" outlineLevel="0" collapsed="false">
      <c r="A2926" s="32" t="s">
        <v>4313</v>
      </c>
      <c r="B2926" s="32" t="s">
        <v>55</v>
      </c>
      <c r="C2926" s="32" t="s">
        <v>113</v>
      </c>
      <c r="D2926" s="32" t="s">
        <v>4314</v>
      </c>
      <c r="E2926" s="4" t="n">
        <v>1</v>
      </c>
      <c r="F2926" s="4" t="s">
        <v>144</v>
      </c>
      <c r="G2926" s="7" t="s">
        <v>1535</v>
      </c>
      <c r="H2926" s="4" t="n">
        <v>1987</v>
      </c>
      <c r="I2926" s="4" t="s">
        <v>816</v>
      </c>
      <c r="J2926" s="25" t="str">
        <f aca="false">IF(M2926=1,"✓","")</f>
        <v>✓</v>
      </c>
      <c r="K2926" s="4" t="str">
        <f aca="false">IF(AND(M2926=0,P2926=0),"▶ NEXT","")</f>
        <v/>
      </c>
      <c r="L2926" s="4" t="n">
        <f aca="false">INDEX('Master List'!$F$2:$F$2594,O2926)</f>
        <v>1</v>
      </c>
      <c r="M2926" s="4" t="n">
        <f aca="false">INDEX('Master List'!$G$2:$G$2594,O2926)</f>
        <v>1</v>
      </c>
      <c r="N2926" s="4" t="str">
        <f aca="false">IF(K2926="","",A2926)</f>
        <v/>
      </c>
      <c r="O2926" s="4" t="n">
        <v>2458</v>
      </c>
      <c r="P2926" s="4" t="n">
        <f aca="false">IF(A2926=A2925,P2925+1-M2925,0)</f>
        <v>0</v>
      </c>
    </row>
    <row r="2927" customFormat="false" ht="15" hidden="false" customHeight="false" outlineLevel="0" collapsed="false">
      <c r="A2927" s="32" t="s">
        <v>4313</v>
      </c>
      <c r="B2927" s="32" t="s">
        <v>55</v>
      </c>
      <c r="C2927" s="32" t="s">
        <v>113</v>
      </c>
      <c r="D2927" s="32" t="s">
        <v>4314</v>
      </c>
      <c r="E2927" s="4" t="n">
        <v>2</v>
      </c>
      <c r="F2927" s="4" t="s">
        <v>144</v>
      </c>
      <c r="G2927" s="7" t="s">
        <v>1614</v>
      </c>
      <c r="H2927" s="4" t="n">
        <v>2011</v>
      </c>
      <c r="I2927" s="4" t="s">
        <v>1615</v>
      </c>
      <c r="J2927" s="25" t="str">
        <f aca="false">IF(M2927=1,"✓","")</f>
        <v/>
      </c>
      <c r="K2927" s="4" t="str">
        <f aca="false">IF(AND(M2927=0,P2927=0),"▶ NEXT","")</f>
        <v>▶ NEXT</v>
      </c>
      <c r="L2927" s="4" t="n">
        <f aca="false">INDEX('Master List'!$F$2:$F$2594,O2927)</f>
        <v>1</v>
      </c>
      <c r="M2927" s="4" t="n">
        <f aca="false">INDEX('Master List'!$G$2:$G$2594,O2927)</f>
        <v>0</v>
      </c>
      <c r="N2927" s="4" t="str">
        <f aca="false">IF(K2927="","",A2927)</f>
        <v>N245</v>
      </c>
      <c r="O2927" s="4" t="n">
        <v>1445</v>
      </c>
      <c r="P2927" s="4" t="n">
        <f aca="false">IF(A2927=A2926,P2926+1-M2926,0)</f>
        <v>0</v>
      </c>
    </row>
    <row r="2928" customFormat="false" ht="15" hidden="false" customHeight="false" outlineLevel="0" collapsed="false">
      <c r="A2928" s="32" t="s">
        <v>4313</v>
      </c>
      <c r="B2928" s="32" t="s">
        <v>55</v>
      </c>
      <c r="C2928" s="32" t="s">
        <v>113</v>
      </c>
      <c r="D2928" s="32" t="s">
        <v>4314</v>
      </c>
      <c r="E2928" s="4" t="n">
        <v>3</v>
      </c>
      <c r="F2928" s="4" t="s">
        <v>213</v>
      </c>
      <c r="G2928" s="4" t="s">
        <v>725</v>
      </c>
      <c r="H2928" s="4" t="n">
        <v>1924</v>
      </c>
      <c r="I2928" s="4" t="s">
        <v>726</v>
      </c>
      <c r="J2928" s="25" t="str">
        <f aca="false">IF(M2928=1,"✓","")</f>
        <v/>
      </c>
      <c r="K2928" s="4" t="str">
        <f aca="false">IF(AND(M2928=0,P2928=0),"▶ NEXT","")</f>
        <v/>
      </c>
      <c r="L2928" s="4" t="n">
        <f aca="false">INDEX('Master List'!$F$2:$F$2594,O2928)</f>
        <v>3</v>
      </c>
      <c r="M2928" s="4" t="n">
        <f aca="false">INDEX('Master List'!$G$2:$G$2594,O2928)</f>
        <v>0</v>
      </c>
      <c r="N2928" s="4" t="str">
        <f aca="false">IF(K2928="","",A2928)</f>
        <v/>
      </c>
      <c r="O2928" s="4" t="n">
        <v>959</v>
      </c>
      <c r="P2928" s="4" t="n">
        <f aca="false">IF(A2928=A2927,P2927+1-M2927,0)</f>
        <v>1</v>
      </c>
    </row>
    <row r="2929" customFormat="false" ht="15" hidden="false" customHeight="false" outlineLevel="0" collapsed="false">
      <c r="A2929" s="32" t="s">
        <v>4313</v>
      </c>
      <c r="B2929" s="32" t="s">
        <v>55</v>
      </c>
      <c r="C2929" s="32" t="s">
        <v>113</v>
      </c>
      <c r="D2929" s="32" t="s">
        <v>4314</v>
      </c>
      <c r="E2929" s="4" t="n">
        <v>4</v>
      </c>
      <c r="F2929" s="4" t="s">
        <v>213</v>
      </c>
      <c r="G2929" s="4" t="s">
        <v>405</v>
      </c>
      <c r="H2929" s="4" t="n">
        <v>1948</v>
      </c>
      <c r="I2929" s="4" t="s">
        <v>283</v>
      </c>
      <c r="J2929" s="25" t="str">
        <f aca="false">IF(M2929=1,"✓","")</f>
        <v/>
      </c>
      <c r="K2929" s="4" t="str">
        <f aca="false">IF(AND(M2929=0,P2929=0),"▶ NEXT","")</f>
        <v/>
      </c>
      <c r="L2929" s="4" t="n">
        <f aca="false">INDEX('Master List'!$F$2:$F$2594,O2929)</f>
        <v>4</v>
      </c>
      <c r="M2929" s="4" t="n">
        <f aca="false">INDEX('Master List'!$G$2:$G$2594,O2929)</f>
        <v>0</v>
      </c>
      <c r="N2929" s="4" t="str">
        <f aca="false">IF(K2929="","",A2929)</f>
        <v/>
      </c>
      <c r="O2929" s="4" t="n">
        <v>2362</v>
      </c>
      <c r="P2929" s="4" t="n">
        <f aca="false">IF(A2929=A2928,P2928+1-M2928,0)</f>
        <v>2</v>
      </c>
    </row>
    <row r="2930" customFormat="false" ht="15" hidden="false" customHeight="false" outlineLevel="0" collapsed="false">
      <c r="A2930" s="32" t="s">
        <v>4313</v>
      </c>
      <c r="B2930" s="32" t="s">
        <v>55</v>
      </c>
      <c r="C2930" s="32" t="s">
        <v>113</v>
      </c>
      <c r="D2930" s="32" t="s">
        <v>4314</v>
      </c>
      <c r="E2930" s="4" t="n">
        <v>5</v>
      </c>
      <c r="F2930" s="4" t="s">
        <v>213</v>
      </c>
      <c r="G2930" s="4" t="s">
        <v>944</v>
      </c>
      <c r="H2930" s="4" t="n">
        <v>1954</v>
      </c>
      <c r="I2930" s="4" t="s">
        <v>789</v>
      </c>
      <c r="J2930" s="25" t="str">
        <f aca="false">IF(M2930=1,"✓","")</f>
        <v/>
      </c>
      <c r="K2930" s="4" t="str">
        <f aca="false">IF(AND(M2930=0,P2930=0),"▶ NEXT","")</f>
        <v/>
      </c>
      <c r="L2930" s="4" t="n">
        <f aca="false">INDEX('Master List'!$F$2:$F$2594,O2930)</f>
        <v>2</v>
      </c>
      <c r="M2930" s="4" t="n">
        <f aca="false">INDEX('Master List'!$G$2:$G$2594,O2930)</f>
        <v>0</v>
      </c>
      <c r="N2930" s="4" t="str">
        <f aca="false">IF(K2930="","",A2930)</f>
        <v/>
      </c>
      <c r="O2930" s="4" t="n">
        <v>759</v>
      </c>
      <c r="P2930" s="4" t="n">
        <f aca="false">IF(A2930=A2929,P2929+1-M2929,0)</f>
        <v>3</v>
      </c>
    </row>
    <row r="2931" customFormat="false" ht="15" hidden="false" customHeight="false" outlineLevel="0" collapsed="false">
      <c r="A2931" s="32" t="s">
        <v>4313</v>
      </c>
      <c r="B2931" s="32" t="s">
        <v>55</v>
      </c>
      <c r="C2931" s="32" t="s">
        <v>113</v>
      </c>
      <c r="D2931" s="32" t="s">
        <v>4314</v>
      </c>
      <c r="E2931" s="4" t="n">
        <v>6</v>
      </c>
      <c r="F2931" s="4" t="s">
        <v>213</v>
      </c>
      <c r="G2931" s="4" t="s">
        <v>1061</v>
      </c>
      <c r="H2931" s="4" t="n">
        <v>1983</v>
      </c>
      <c r="I2931" s="4" t="s">
        <v>1062</v>
      </c>
      <c r="J2931" s="25" t="str">
        <f aca="false">IF(M2931=1,"✓","")</f>
        <v/>
      </c>
      <c r="K2931" s="4" t="str">
        <f aca="false">IF(AND(M2931=0,P2931=0),"▶ NEXT","")</f>
        <v/>
      </c>
      <c r="L2931" s="4" t="n">
        <f aca="false">INDEX('Master List'!$F$2:$F$2594,O2931)</f>
        <v>2</v>
      </c>
      <c r="M2931" s="4" t="n">
        <f aca="false">INDEX('Master List'!$G$2:$G$2594,O2931)</f>
        <v>0</v>
      </c>
      <c r="N2931" s="4" t="str">
        <f aca="false">IF(K2931="","",A2931)</f>
        <v/>
      </c>
      <c r="O2931" s="4" t="n">
        <v>2355</v>
      </c>
      <c r="P2931" s="4" t="n">
        <f aca="false">IF(A2931=A2930,P2930+1-M2930,0)</f>
        <v>4</v>
      </c>
    </row>
    <row r="2932" customFormat="false" ht="15" hidden="false" customHeight="false" outlineLevel="0" collapsed="false">
      <c r="A2932" s="32" t="s">
        <v>4313</v>
      </c>
      <c r="B2932" s="32" t="s">
        <v>55</v>
      </c>
      <c r="C2932" s="32" t="s">
        <v>113</v>
      </c>
      <c r="D2932" s="32" t="s">
        <v>4314</v>
      </c>
      <c r="E2932" s="4" t="n">
        <v>7</v>
      </c>
      <c r="F2932" s="4" t="s">
        <v>213</v>
      </c>
      <c r="G2932" s="4" t="s">
        <v>2553</v>
      </c>
      <c r="H2932" s="4" t="n">
        <v>1992</v>
      </c>
      <c r="I2932" s="4" t="s">
        <v>2554</v>
      </c>
      <c r="J2932" s="25" t="str">
        <f aca="false">IF(M2932=1,"✓","")</f>
        <v/>
      </c>
      <c r="K2932" s="4" t="str">
        <f aca="false">IF(AND(M2932=0,P2932=0),"▶ NEXT","")</f>
        <v/>
      </c>
      <c r="L2932" s="4" t="n">
        <f aca="false">INDEX('Master List'!$F$2:$F$2594,O2932)</f>
        <v>1</v>
      </c>
      <c r="M2932" s="4" t="n">
        <f aca="false">INDEX('Master List'!$G$2:$G$2594,O2932)</f>
        <v>0</v>
      </c>
      <c r="N2932" s="4" t="str">
        <f aca="false">IF(K2932="","",A2932)</f>
        <v/>
      </c>
      <c r="O2932" s="4" t="n">
        <v>904</v>
      </c>
      <c r="P2932" s="4" t="n">
        <f aca="false">IF(A2932=A2931,P2931+1-M2931,0)</f>
        <v>5</v>
      </c>
    </row>
    <row r="2933" customFormat="false" ht="15" hidden="false" customHeight="false" outlineLevel="0" collapsed="false">
      <c r="A2933" s="32" t="s">
        <v>4313</v>
      </c>
      <c r="B2933" s="32" t="s">
        <v>55</v>
      </c>
      <c r="C2933" s="32" t="s">
        <v>113</v>
      </c>
      <c r="D2933" s="32" t="s">
        <v>4314</v>
      </c>
      <c r="E2933" s="4" t="n">
        <v>8</v>
      </c>
      <c r="F2933" s="4" t="s">
        <v>213</v>
      </c>
      <c r="G2933" s="4" t="s">
        <v>2727</v>
      </c>
      <c r="H2933" s="4" t="n">
        <v>2000</v>
      </c>
      <c r="I2933" s="4" t="s">
        <v>2728</v>
      </c>
      <c r="J2933" s="25" t="str">
        <f aca="false">IF(M2933=1,"✓","")</f>
        <v/>
      </c>
      <c r="K2933" s="4" t="str">
        <f aca="false">IF(AND(M2933=0,P2933=0),"▶ NEXT","")</f>
        <v/>
      </c>
      <c r="L2933" s="4" t="n">
        <f aca="false">INDEX('Master List'!$F$2:$F$2594,O2933)</f>
        <v>1</v>
      </c>
      <c r="M2933" s="4" t="n">
        <f aca="false">INDEX('Master List'!$G$2:$G$2594,O2933)</f>
        <v>0</v>
      </c>
      <c r="N2933" s="4" t="str">
        <f aca="false">IF(K2933="","",A2933)</f>
        <v/>
      </c>
      <c r="O2933" s="4" t="n">
        <v>311</v>
      </c>
      <c r="P2933" s="4" t="n">
        <f aca="false">IF(A2933=A2932,P2932+1-M2932,0)</f>
        <v>6</v>
      </c>
    </row>
    <row r="2934" customFormat="false" ht="15" hidden="false" customHeight="false" outlineLevel="0" collapsed="false">
      <c r="A2934" s="32" t="s">
        <v>4313</v>
      </c>
      <c r="B2934" s="32" t="s">
        <v>55</v>
      </c>
      <c r="C2934" s="32" t="s">
        <v>113</v>
      </c>
      <c r="D2934" s="32" t="s">
        <v>4314</v>
      </c>
      <c r="E2934" s="4" t="n">
        <v>9</v>
      </c>
      <c r="F2934" s="4" t="s">
        <v>213</v>
      </c>
      <c r="G2934" s="4" t="s">
        <v>3083</v>
      </c>
      <c r="H2934" s="4" t="n">
        <v>2015</v>
      </c>
      <c r="I2934" s="4" t="s">
        <v>856</v>
      </c>
      <c r="J2934" s="25" t="str">
        <f aca="false">IF(M2934=1,"✓","")</f>
        <v/>
      </c>
      <c r="K2934" s="4" t="str">
        <f aca="false">IF(AND(M2934=0,P2934=0),"▶ NEXT","")</f>
        <v/>
      </c>
      <c r="L2934" s="4" t="n">
        <f aca="false">INDEX('Master List'!$F$2:$F$2594,O2934)</f>
        <v>1</v>
      </c>
      <c r="M2934" s="4" t="n">
        <f aca="false">INDEX('Master List'!$G$2:$G$2594,O2934)</f>
        <v>0</v>
      </c>
      <c r="N2934" s="4" t="str">
        <f aca="false">IF(K2934="","",A2934)</f>
        <v/>
      </c>
      <c r="O2934" s="4" t="n">
        <v>247</v>
      </c>
      <c r="P2934" s="4" t="n">
        <f aca="false">IF(A2934=A2933,P2933+1-M2933,0)</f>
        <v>7</v>
      </c>
    </row>
    <row r="2935" customFormat="false" ht="15" hidden="false" customHeight="false" outlineLevel="0" collapsed="false">
      <c r="A2935" s="32" t="s">
        <v>4313</v>
      </c>
      <c r="B2935" s="32" t="s">
        <v>55</v>
      </c>
      <c r="C2935" s="32" t="s">
        <v>113</v>
      </c>
      <c r="D2935" s="32" t="s">
        <v>4314</v>
      </c>
      <c r="E2935" s="4" t="n">
        <v>10</v>
      </c>
      <c r="F2935" s="4" t="s">
        <v>213</v>
      </c>
      <c r="G2935" s="4" t="s">
        <v>2959</v>
      </c>
      <c r="H2935" s="4" t="n">
        <v>2010</v>
      </c>
      <c r="I2935" s="4" t="s">
        <v>2960</v>
      </c>
      <c r="J2935" s="25" t="str">
        <f aca="false">IF(M2935=1,"✓","")</f>
        <v/>
      </c>
      <c r="K2935" s="4" t="str">
        <f aca="false">IF(AND(M2935=0,P2935=0),"▶ NEXT","")</f>
        <v/>
      </c>
      <c r="L2935" s="4" t="n">
        <f aca="false">INDEX('Master List'!$F$2:$F$2594,O2935)</f>
        <v>1</v>
      </c>
      <c r="M2935" s="4" t="n">
        <f aca="false">INDEX('Master List'!$G$2:$G$2594,O2935)</f>
        <v>0</v>
      </c>
      <c r="N2935" s="4" t="str">
        <f aca="false">IF(K2935="","",A2935)</f>
        <v/>
      </c>
      <c r="O2935" s="4" t="n">
        <v>1148</v>
      </c>
      <c r="P2935" s="4" t="n">
        <f aca="false">IF(A2935=A2934,P2934+1-M2934,0)</f>
        <v>8</v>
      </c>
    </row>
    <row r="2936" customFormat="false" ht="15" hidden="false" customHeight="false" outlineLevel="0" collapsed="false">
      <c r="A2936" s="32" t="s">
        <v>4313</v>
      </c>
      <c r="B2936" s="32" t="s">
        <v>55</v>
      </c>
      <c r="C2936" s="32" t="s">
        <v>113</v>
      </c>
      <c r="D2936" s="32" t="s">
        <v>4314</v>
      </c>
      <c r="E2936" s="4" t="n">
        <v>11</v>
      </c>
      <c r="F2936" s="4" t="s">
        <v>213</v>
      </c>
      <c r="G2936" s="4" t="s">
        <v>652</v>
      </c>
      <c r="H2936" s="4" t="n">
        <v>2019</v>
      </c>
      <c r="I2936" s="4" t="s">
        <v>653</v>
      </c>
      <c r="J2936" s="25" t="str">
        <f aca="false">IF(M2936=1,"✓","")</f>
        <v>✓</v>
      </c>
      <c r="K2936" s="4" t="str">
        <f aca="false">IF(AND(M2936=0,P2936=0),"▶ NEXT","")</f>
        <v/>
      </c>
      <c r="L2936" s="4" t="n">
        <f aca="false">INDEX('Master List'!$F$2:$F$2594,O2936)</f>
        <v>3</v>
      </c>
      <c r="M2936" s="4" t="n">
        <f aca="false">INDEX('Master List'!$G$2:$G$2594,O2936)</f>
        <v>1</v>
      </c>
      <c r="N2936" s="4" t="str">
        <f aca="false">IF(K2936="","",A2936)</f>
        <v/>
      </c>
      <c r="O2936" s="4" t="n">
        <v>2400</v>
      </c>
      <c r="P2936" s="4" t="n">
        <f aca="false">IF(A2936=A2935,P2935+1-M2935,0)</f>
        <v>9</v>
      </c>
    </row>
    <row r="2937" customFormat="false" ht="15" hidden="false" customHeight="false" outlineLevel="0" collapsed="false">
      <c r="A2937" s="32" t="s">
        <v>4313</v>
      </c>
      <c r="B2937" s="32" t="s">
        <v>55</v>
      </c>
      <c r="C2937" s="32" t="s">
        <v>113</v>
      </c>
      <c r="D2937" s="32" t="s">
        <v>4314</v>
      </c>
      <c r="E2937" s="4" t="n">
        <v>12</v>
      </c>
      <c r="F2937" s="4" t="s">
        <v>213</v>
      </c>
      <c r="G2937" s="4" t="s">
        <v>297</v>
      </c>
      <c r="H2937" s="4" t="n">
        <v>2019</v>
      </c>
      <c r="I2937" s="4" t="s">
        <v>276</v>
      </c>
      <c r="J2937" s="25" t="str">
        <f aca="false">IF(M2937=1,"✓","")</f>
        <v>✓</v>
      </c>
      <c r="K2937" s="4" t="str">
        <f aca="false">IF(AND(M2937=0,P2937=0),"▶ NEXT","")</f>
        <v/>
      </c>
      <c r="L2937" s="4" t="n">
        <f aca="false">INDEX('Master List'!$F$2:$F$2594,O2937)</f>
        <v>5</v>
      </c>
      <c r="M2937" s="4" t="n">
        <f aca="false">INDEX('Master List'!$G$2:$G$2594,O2937)</f>
        <v>1</v>
      </c>
      <c r="N2937" s="4" t="str">
        <f aca="false">IF(K2937="","",A2937)</f>
        <v/>
      </c>
      <c r="O2937" s="4" t="n">
        <v>1720</v>
      </c>
      <c r="P2937" s="4" t="n">
        <f aca="false">IF(A2937=A2936,P2936+1-M2936,0)</f>
        <v>9</v>
      </c>
    </row>
    <row r="2938" customFormat="false" ht="15" hidden="false" customHeight="false" outlineLevel="0" collapsed="false">
      <c r="A2938" s="32" t="s">
        <v>4313</v>
      </c>
      <c r="B2938" s="32" t="s">
        <v>55</v>
      </c>
      <c r="C2938" s="32" t="s">
        <v>113</v>
      </c>
      <c r="D2938" s="32" t="s">
        <v>4314</v>
      </c>
      <c r="E2938" s="4" t="n">
        <v>13</v>
      </c>
      <c r="F2938" s="4" t="s">
        <v>1327</v>
      </c>
      <c r="G2938" s="4" t="s">
        <v>1368</v>
      </c>
      <c r="H2938" s="4" t="n">
        <v>1983</v>
      </c>
      <c r="I2938" s="4" t="s">
        <v>215</v>
      </c>
      <c r="J2938" s="25" t="str">
        <f aca="false">IF(M2938=1,"✓","")</f>
        <v/>
      </c>
      <c r="K2938" s="4" t="str">
        <f aca="false">IF(AND(M2938=0,P2938=0),"▶ NEXT","")</f>
        <v/>
      </c>
      <c r="L2938" s="4" t="n">
        <f aca="false">INDEX('Master List'!$F$2:$F$2594,O2938)</f>
        <v>2</v>
      </c>
      <c r="M2938" s="4" t="n">
        <f aca="false">INDEX('Master List'!$G$2:$G$2594,O2938)</f>
        <v>0</v>
      </c>
      <c r="N2938" s="4" t="str">
        <f aca="false">IF(K2938="","",A2938)</f>
        <v/>
      </c>
      <c r="O2938" s="4" t="n">
        <v>127</v>
      </c>
      <c r="P2938" s="4" t="n">
        <f aca="false">IF(A2938=A2937,P2937+1-M2937,0)</f>
        <v>9</v>
      </c>
    </row>
    <row r="2939" customFormat="false" ht="15" hidden="false" customHeight="false" outlineLevel="0" collapsed="false">
      <c r="A2939" s="32" t="s">
        <v>4313</v>
      </c>
      <c r="B2939" s="32" t="s">
        <v>55</v>
      </c>
      <c r="C2939" s="32" t="s">
        <v>113</v>
      </c>
      <c r="D2939" s="32" t="s">
        <v>4314</v>
      </c>
      <c r="E2939" s="4" t="n">
        <v>14</v>
      </c>
      <c r="F2939" s="4" t="s">
        <v>1327</v>
      </c>
      <c r="G2939" s="4" t="s">
        <v>3751</v>
      </c>
      <c r="H2939" s="4" t="n">
        <v>2005</v>
      </c>
      <c r="I2939" s="4" t="s">
        <v>3752</v>
      </c>
      <c r="J2939" s="25" t="str">
        <f aca="false">IF(M2939=1,"✓","")</f>
        <v/>
      </c>
      <c r="K2939" s="4" t="str">
        <f aca="false">IF(AND(M2939=0,P2939=0),"▶ NEXT","")</f>
        <v/>
      </c>
      <c r="L2939" s="4" t="n">
        <f aca="false">INDEX('Master List'!$F$2:$F$2594,O2939)</f>
        <v>1</v>
      </c>
      <c r="M2939" s="4" t="n">
        <f aca="false">INDEX('Master List'!$G$2:$G$2594,O2939)</f>
        <v>0</v>
      </c>
      <c r="N2939" s="4" t="str">
        <f aca="false">IF(K2939="","",A2939)</f>
        <v/>
      </c>
      <c r="O2939" s="4" t="n">
        <v>734</v>
      </c>
      <c r="P2939" s="4" t="n">
        <f aca="false">IF(A2939=A2938,P2938+1-M2938,0)</f>
        <v>10</v>
      </c>
    </row>
    <row r="2940" customFormat="false" ht="15" hidden="false" customHeight="false" outlineLevel="0" collapsed="false">
      <c r="A2940" s="32" t="s">
        <v>4313</v>
      </c>
      <c r="B2940" s="32" t="s">
        <v>55</v>
      </c>
      <c r="C2940" s="32" t="s">
        <v>113</v>
      </c>
      <c r="D2940" s="32" t="s">
        <v>4314</v>
      </c>
      <c r="E2940" s="4" t="n">
        <v>15</v>
      </c>
      <c r="F2940" s="4" t="s">
        <v>1327</v>
      </c>
      <c r="G2940" s="4" t="s">
        <v>3799</v>
      </c>
      <c r="H2940" s="4" t="n">
        <v>2011</v>
      </c>
      <c r="I2940" s="4" t="s">
        <v>1569</v>
      </c>
      <c r="J2940" s="25" t="str">
        <f aca="false">IF(M2940=1,"✓","")</f>
        <v/>
      </c>
      <c r="K2940" s="4" t="str">
        <f aca="false">IF(AND(M2940=0,P2940=0),"▶ NEXT","")</f>
        <v/>
      </c>
      <c r="L2940" s="4" t="n">
        <f aca="false">INDEX('Master List'!$F$2:$F$2594,O2940)</f>
        <v>1</v>
      </c>
      <c r="M2940" s="4" t="n">
        <f aca="false">INDEX('Master List'!$G$2:$G$2594,O2940)</f>
        <v>0</v>
      </c>
      <c r="N2940" s="4" t="str">
        <f aca="false">IF(K2940="","",A2940)</f>
        <v/>
      </c>
      <c r="O2940" s="4" t="n">
        <v>2334</v>
      </c>
      <c r="P2940" s="4" t="n">
        <f aca="false">IF(A2940=A2939,P2939+1-M2939,0)</f>
        <v>11</v>
      </c>
    </row>
    <row r="2941" customFormat="false" ht="15" hidden="false" customHeight="false" outlineLevel="0" collapsed="false">
      <c r="A2941" s="32" t="s">
        <v>4315</v>
      </c>
      <c r="B2941" s="32" t="s">
        <v>55</v>
      </c>
      <c r="C2941" s="32" t="s">
        <v>113</v>
      </c>
      <c r="D2941" s="32" t="s">
        <v>4316</v>
      </c>
      <c r="E2941" s="4" t="n">
        <v>1</v>
      </c>
      <c r="F2941" s="4" t="s">
        <v>144</v>
      </c>
      <c r="G2941" s="7" t="s">
        <v>1515</v>
      </c>
      <c r="H2941" s="4" t="n">
        <v>1979</v>
      </c>
      <c r="I2941" s="4" t="s">
        <v>1516</v>
      </c>
      <c r="J2941" s="25" t="str">
        <f aca="false">IF(M2941=1,"✓","")</f>
        <v/>
      </c>
      <c r="K2941" s="4" t="str">
        <f aca="false">IF(AND(M2941=0,P2941=0),"▶ NEXT","")</f>
        <v>▶ NEXT</v>
      </c>
      <c r="L2941" s="4" t="n">
        <f aca="false">INDEX('Master List'!$F$2:$F$2594,O2941)</f>
        <v>1</v>
      </c>
      <c r="M2941" s="4" t="n">
        <f aca="false">INDEX('Master List'!$G$2:$G$2594,O2941)</f>
        <v>0</v>
      </c>
      <c r="N2941" s="4" t="str">
        <f aca="false">IF(K2941="","",A2941)</f>
        <v>N246</v>
      </c>
      <c r="O2941" s="4" t="n">
        <v>1627</v>
      </c>
      <c r="P2941" s="4" t="n">
        <f aca="false">IF(A2941=A2940,P2940+1-M2940,0)</f>
        <v>0</v>
      </c>
    </row>
    <row r="2942" customFormat="false" ht="15" hidden="false" customHeight="false" outlineLevel="0" collapsed="false">
      <c r="A2942" s="32" t="s">
        <v>4315</v>
      </c>
      <c r="B2942" s="32" t="s">
        <v>55</v>
      </c>
      <c r="C2942" s="32" t="s">
        <v>113</v>
      </c>
      <c r="D2942" s="32" t="s">
        <v>4316</v>
      </c>
      <c r="E2942" s="4" t="n">
        <v>2</v>
      </c>
      <c r="F2942" s="4" t="s">
        <v>144</v>
      </c>
      <c r="G2942" s="7" t="s">
        <v>804</v>
      </c>
      <c r="H2942" s="4" t="n">
        <v>1976</v>
      </c>
      <c r="I2942" s="4" t="s">
        <v>805</v>
      </c>
      <c r="J2942" s="25" t="str">
        <f aca="false">IF(M2942=1,"✓","")</f>
        <v/>
      </c>
      <c r="K2942" s="4" t="str">
        <f aca="false">IF(AND(M2942=0,P2942=0),"▶ NEXT","")</f>
        <v/>
      </c>
      <c r="L2942" s="4" t="n">
        <f aca="false">INDEX('Master List'!$F$2:$F$2594,O2942)</f>
        <v>2</v>
      </c>
      <c r="M2942" s="4" t="n">
        <f aca="false">INDEX('Master List'!$G$2:$G$2594,O2942)</f>
        <v>0</v>
      </c>
      <c r="N2942" s="4" t="str">
        <f aca="false">IF(K2942="","",A2942)</f>
        <v/>
      </c>
      <c r="O2942" s="4" t="n">
        <v>998</v>
      </c>
      <c r="P2942" s="4" t="n">
        <f aca="false">IF(A2942=A2941,P2941+1-M2941,0)</f>
        <v>1</v>
      </c>
    </row>
    <row r="2943" customFormat="false" ht="15" hidden="false" customHeight="false" outlineLevel="0" collapsed="false">
      <c r="A2943" s="32" t="s">
        <v>4315</v>
      </c>
      <c r="B2943" s="32" t="s">
        <v>55</v>
      </c>
      <c r="C2943" s="32" t="s">
        <v>113</v>
      </c>
      <c r="D2943" s="32" t="s">
        <v>4316</v>
      </c>
      <c r="E2943" s="4" t="n">
        <v>3</v>
      </c>
      <c r="F2943" s="4" t="s">
        <v>213</v>
      </c>
      <c r="G2943" s="4" t="s">
        <v>913</v>
      </c>
      <c r="H2943" s="4" t="n">
        <v>1936</v>
      </c>
      <c r="I2943" s="4" t="s">
        <v>344</v>
      </c>
      <c r="J2943" s="25" t="str">
        <f aca="false">IF(M2943=1,"✓","")</f>
        <v>✓</v>
      </c>
      <c r="K2943" s="4" t="str">
        <f aca="false">IF(AND(M2943=0,P2943=0),"▶ NEXT","")</f>
        <v/>
      </c>
      <c r="L2943" s="4" t="n">
        <f aca="false">INDEX('Master List'!$F$2:$F$2594,O2943)</f>
        <v>2</v>
      </c>
      <c r="M2943" s="4" t="n">
        <f aca="false">INDEX('Master List'!$G$2:$G$2594,O2943)</f>
        <v>1</v>
      </c>
      <c r="N2943" s="4" t="str">
        <f aca="false">IF(K2943="","",A2943)</f>
        <v/>
      </c>
      <c r="O2943" s="4" t="n">
        <v>1519</v>
      </c>
      <c r="P2943" s="4" t="n">
        <f aca="false">IF(A2943=A2942,P2942+1-M2942,0)</f>
        <v>2</v>
      </c>
    </row>
    <row r="2944" customFormat="false" ht="15" hidden="false" customHeight="false" outlineLevel="0" collapsed="false">
      <c r="A2944" s="32" t="s">
        <v>4315</v>
      </c>
      <c r="B2944" s="32" t="s">
        <v>55</v>
      </c>
      <c r="C2944" s="32" t="s">
        <v>113</v>
      </c>
      <c r="D2944" s="32" t="s">
        <v>4316</v>
      </c>
      <c r="E2944" s="4" t="n">
        <v>4</v>
      </c>
      <c r="F2944" s="4" t="s">
        <v>213</v>
      </c>
      <c r="G2944" s="4" t="s">
        <v>204</v>
      </c>
      <c r="H2944" s="4" t="n">
        <v>1940</v>
      </c>
      <c r="I2944" s="4" t="s">
        <v>205</v>
      </c>
      <c r="J2944" s="25" t="str">
        <f aca="false">IF(M2944=1,"✓","")</f>
        <v/>
      </c>
      <c r="K2944" s="4" t="str">
        <f aca="false">IF(AND(M2944=0,P2944=0),"▶ NEXT","")</f>
        <v/>
      </c>
      <c r="L2944" s="4" t="n">
        <f aca="false">INDEX('Master List'!$F$2:$F$2594,O2944)</f>
        <v>7</v>
      </c>
      <c r="M2944" s="4" t="n">
        <f aca="false">INDEX('Master List'!$G$2:$G$2594,O2944)</f>
        <v>0</v>
      </c>
      <c r="N2944" s="4" t="str">
        <f aca="false">IF(K2944="","",A2944)</f>
        <v/>
      </c>
      <c r="O2944" s="4" t="n">
        <v>946</v>
      </c>
      <c r="P2944" s="4" t="n">
        <f aca="false">IF(A2944=A2943,P2943+1-M2943,0)</f>
        <v>2</v>
      </c>
    </row>
    <row r="2945" customFormat="false" ht="15" hidden="false" customHeight="false" outlineLevel="0" collapsed="false">
      <c r="A2945" s="32" t="s">
        <v>4315</v>
      </c>
      <c r="B2945" s="32" t="s">
        <v>55</v>
      </c>
      <c r="C2945" s="32" t="s">
        <v>113</v>
      </c>
      <c r="D2945" s="32" t="s">
        <v>4316</v>
      </c>
      <c r="E2945" s="4" t="n">
        <v>5</v>
      </c>
      <c r="F2945" s="4" t="s">
        <v>213</v>
      </c>
      <c r="G2945" s="4" t="s">
        <v>1913</v>
      </c>
      <c r="H2945" s="4" t="n">
        <v>1954</v>
      </c>
      <c r="I2945" s="4" t="s">
        <v>1914</v>
      </c>
      <c r="J2945" s="25" t="str">
        <f aca="false">IF(M2945=1,"✓","")</f>
        <v/>
      </c>
      <c r="K2945" s="4" t="str">
        <f aca="false">IF(AND(M2945=0,P2945=0),"▶ NEXT","")</f>
        <v/>
      </c>
      <c r="L2945" s="4" t="n">
        <f aca="false">INDEX('Master List'!$F$2:$F$2594,O2945)</f>
        <v>1</v>
      </c>
      <c r="M2945" s="4" t="n">
        <f aca="false">INDEX('Master List'!$G$2:$G$2594,O2945)</f>
        <v>0</v>
      </c>
      <c r="N2945" s="4" t="str">
        <f aca="false">IF(K2945="","",A2945)</f>
        <v/>
      </c>
      <c r="O2945" s="4" t="n">
        <v>1962</v>
      </c>
      <c r="P2945" s="4" t="n">
        <f aca="false">IF(A2945=A2944,P2944+1-M2944,0)</f>
        <v>3</v>
      </c>
    </row>
    <row r="2946" customFormat="false" ht="15" hidden="false" customHeight="false" outlineLevel="0" collapsed="false">
      <c r="A2946" s="32" t="s">
        <v>4315</v>
      </c>
      <c r="B2946" s="32" t="s">
        <v>55</v>
      </c>
      <c r="C2946" s="32" t="s">
        <v>113</v>
      </c>
      <c r="D2946" s="32" t="s">
        <v>4316</v>
      </c>
      <c r="E2946" s="4" t="n">
        <v>6</v>
      </c>
      <c r="F2946" s="4" t="s">
        <v>213</v>
      </c>
      <c r="G2946" s="4" t="s">
        <v>374</v>
      </c>
      <c r="H2946" s="4" t="n">
        <v>1954</v>
      </c>
      <c r="I2946" s="4" t="s">
        <v>375</v>
      </c>
      <c r="J2946" s="25" t="str">
        <f aca="false">IF(M2946=1,"✓","")</f>
        <v/>
      </c>
      <c r="K2946" s="4" t="str">
        <f aca="false">IF(AND(M2946=0,P2946=0),"▶ NEXT","")</f>
        <v/>
      </c>
      <c r="L2946" s="4" t="n">
        <f aca="false">INDEX('Master List'!$F$2:$F$2594,O2946)</f>
        <v>4</v>
      </c>
      <c r="M2946" s="4" t="n">
        <f aca="false">INDEX('Master List'!$G$2:$G$2594,O2946)</f>
        <v>0</v>
      </c>
      <c r="N2946" s="4" t="str">
        <f aca="false">IF(K2946="","",A2946)</f>
        <v/>
      </c>
      <c r="O2946" s="4" t="n">
        <v>1667</v>
      </c>
      <c r="P2946" s="4" t="n">
        <f aca="false">IF(A2946=A2945,P2945+1-M2945,0)</f>
        <v>4</v>
      </c>
    </row>
    <row r="2947" customFormat="false" ht="15" hidden="false" customHeight="false" outlineLevel="0" collapsed="false">
      <c r="A2947" s="32" t="s">
        <v>4315</v>
      </c>
      <c r="B2947" s="32" t="s">
        <v>55</v>
      </c>
      <c r="C2947" s="32" t="s">
        <v>113</v>
      </c>
      <c r="D2947" s="32" t="s">
        <v>4316</v>
      </c>
      <c r="E2947" s="4" t="n">
        <v>7</v>
      </c>
      <c r="F2947" s="4" t="s">
        <v>213</v>
      </c>
      <c r="G2947" s="4" t="s">
        <v>2314</v>
      </c>
      <c r="H2947" s="4" t="n">
        <v>1978</v>
      </c>
      <c r="I2947" s="4" t="s">
        <v>1417</v>
      </c>
      <c r="J2947" s="25" t="str">
        <f aca="false">IF(M2947=1,"✓","")</f>
        <v/>
      </c>
      <c r="K2947" s="4" t="str">
        <f aca="false">IF(AND(M2947=0,P2947=0),"▶ NEXT","")</f>
        <v/>
      </c>
      <c r="L2947" s="4" t="n">
        <f aca="false">INDEX('Master List'!$F$2:$F$2594,O2947)</f>
        <v>1</v>
      </c>
      <c r="M2947" s="4" t="n">
        <f aca="false">INDEX('Master List'!$G$2:$G$2594,O2947)</f>
        <v>0</v>
      </c>
      <c r="N2947" s="4" t="str">
        <f aca="false">IF(K2947="","",A2947)</f>
        <v/>
      </c>
      <c r="O2947" s="4" t="n">
        <v>298</v>
      </c>
      <c r="P2947" s="4" t="n">
        <f aca="false">IF(A2947=A2946,P2946+1-M2946,0)</f>
        <v>5</v>
      </c>
    </row>
    <row r="2948" customFormat="false" ht="15" hidden="false" customHeight="false" outlineLevel="0" collapsed="false">
      <c r="A2948" s="32" t="s">
        <v>4315</v>
      </c>
      <c r="B2948" s="32" t="s">
        <v>55</v>
      </c>
      <c r="C2948" s="32" t="s">
        <v>113</v>
      </c>
      <c r="D2948" s="32" t="s">
        <v>4316</v>
      </c>
      <c r="E2948" s="4" t="n">
        <v>8</v>
      </c>
      <c r="F2948" s="4" t="s">
        <v>213</v>
      </c>
      <c r="G2948" s="4" t="s">
        <v>1279</v>
      </c>
      <c r="H2948" s="4" t="n">
        <v>1987</v>
      </c>
      <c r="I2948" s="4" t="s">
        <v>1280</v>
      </c>
      <c r="J2948" s="25" t="str">
        <f aca="false">IF(M2948=1,"✓","")</f>
        <v/>
      </c>
      <c r="K2948" s="4" t="str">
        <f aca="false">IF(AND(M2948=0,P2948=0),"▶ NEXT","")</f>
        <v/>
      </c>
      <c r="L2948" s="4" t="n">
        <f aca="false">INDEX('Master List'!$F$2:$F$2594,O2948)</f>
        <v>2</v>
      </c>
      <c r="M2948" s="4" t="n">
        <f aca="false">INDEX('Master List'!$G$2:$G$2594,O2948)</f>
        <v>0</v>
      </c>
      <c r="N2948" s="4" t="str">
        <f aca="false">IF(K2948="","",A2948)</f>
        <v/>
      </c>
      <c r="O2948" s="4" t="n">
        <v>1463</v>
      </c>
      <c r="P2948" s="4" t="n">
        <f aca="false">IF(A2948=A2947,P2947+1-M2947,0)</f>
        <v>6</v>
      </c>
    </row>
    <row r="2949" customFormat="false" ht="15" hidden="false" customHeight="false" outlineLevel="0" collapsed="false">
      <c r="A2949" s="32" t="s">
        <v>4315</v>
      </c>
      <c r="B2949" s="32" t="s">
        <v>55</v>
      </c>
      <c r="C2949" s="32" t="s">
        <v>113</v>
      </c>
      <c r="D2949" s="32" t="s">
        <v>4316</v>
      </c>
      <c r="E2949" s="4" t="n">
        <v>9</v>
      </c>
      <c r="F2949" s="4" t="s">
        <v>213</v>
      </c>
      <c r="G2949" s="4" t="s">
        <v>1096</v>
      </c>
      <c r="H2949" s="4" t="n">
        <v>1989</v>
      </c>
      <c r="I2949" s="4" t="s">
        <v>1097</v>
      </c>
      <c r="J2949" s="25" t="str">
        <f aca="false">IF(M2949=1,"✓","")</f>
        <v/>
      </c>
      <c r="K2949" s="4" t="str">
        <f aca="false">IF(AND(M2949=0,P2949=0),"▶ NEXT","")</f>
        <v/>
      </c>
      <c r="L2949" s="4" t="n">
        <f aca="false">INDEX('Master List'!$F$2:$F$2594,O2949)</f>
        <v>2</v>
      </c>
      <c r="M2949" s="4" t="n">
        <f aca="false">INDEX('Master List'!$G$2:$G$2594,O2949)</f>
        <v>0</v>
      </c>
      <c r="N2949" s="4" t="str">
        <f aca="false">IF(K2949="","",A2949)</f>
        <v/>
      </c>
      <c r="O2949" s="4" t="n">
        <v>1924</v>
      </c>
      <c r="P2949" s="4" t="n">
        <f aca="false">IF(A2949=A2948,P2948+1-M2948,0)</f>
        <v>7</v>
      </c>
    </row>
    <row r="2950" customFormat="false" ht="15" hidden="false" customHeight="false" outlineLevel="0" collapsed="false">
      <c r="A2950" s="32" t="s">
        <v>4315</v>
      </c>
      <c r="B2950" s="32" t="s">
        <v>55</v>
      </c>
      <c r="C2950" s="32" t="s">
        <v>113</v>
      </c>
      <c r="D2950" s="32" t="s">
        <v>4316</v>
      </c>
      <c r="E2950" s="4" t="n">
        <v>10</v>
      </c>
      <c r="F2950" s="4" t="s">
        <v>213</v>
      </c>
      <c r="G2950" s="4" t="s">
        <v>627</v>
      </c>
      <c r="H2950" s="4" t="n">
        <v>1999</v>
      </c>
      <c r="I2950" s="4" t="s">
        <v>628</v>
      </c>
      <c r="J2950" s="25" t="str">
        <f aca="false">IF(M2950=1,"✓","")</f>
        <v/>
      </c>
      <c r="K2950" s="4" t="str">
        <f aca="false">IF(AND(M2950=0,P2950=0),"▶ NEXT","")</f>
        <v/>
      </c>
      <c r="L2950" s="4" t="n">
        <f aca="false">INDEX('Master List'!$F$2:$F$2594,O2950)</f>
        <v>3</v>
      </c>
      <c r="M2950" s="4" t="n">
        <f aca="false">INDEX('Master List'!$G$2:$G$2594,O2950)</f>
        <v>0</v>
      </c>
      <c r="N2950" s="4" t="str">
        <f aca="false">IF(K2950="","",A2950)</f>
        <v/>
      </c>
      <c r="O2950" s="4" t="n">
        <v>1935</v>
      </c>
      <c r="P2950" s="4" t="n">
        <f aca="false">IF(A2950=A2949,P2949+1-M2949,0)</f>
        <v>8</v>
      </c>
    </row>
    <row r="2951" customFormat="false" ht="15" hidden="false" customHeight="false" outlineLevel="0" collapsed="false">
      <c r="A2951" s="32" t="s">
        <v>4315</v>
      </c>
      <c r="B2951" s="32" t="s">
        <v>55</v>
      </c>
      <c r="C2951" s="32" t="s">
        <v>113</v>
      </c>
      <c r="D2951" s="32" t="s">
        <v>4316</v>
      </c>
      <c r="E2951" s="4" t="n">
        <v>11</v>
      </c>
      <c r="F2951" s="4" t="s">
        <v>213</v>
      </c>
      <c r="G2951" s="4" t="s">
        <v>1220</v>
      </c>
      <c r="H2951" s="4" t="n">
        <v>2014</v>
      </c>
      <c r="I2951" s="4" t="s">
        <v>628</v>
      </c>
      <c r="J2951" s="25" t="str">
        <f aca="false">IF(M2951=1,"✓","")</f>
        <v/>
      </c>
      <c r="K2951" s="4" t="str">
        <f aca="false">IF(AND(M2951=0,P2951=0),"▶ NEXT","")</f>
        <v/>
      </c>
      <c r="L2951" s="4" t="n">
        <f aca="false">INDEX('Master List'!$F$2:$F$2594,O2951)</f>
        <v>2</v>
      </c>
      <c r="M2951" s="4" t="n">
        <f aca="false">INDEX('Master List'!$G$2:$G$2594,O2951)</f>
        <v>0</v>
      </c>
      <c r="N2951" s="4" t="str">
        <f aca="false">IF(K2951="","",A2951)</f>
        <v/>
      </c>
      <c r="O2951" s="4" t="n">
        <v>2389</v>
      </c>
      <c r="P2951" s="4" t="n">
        <f aca="false">IF(A2951=A2950,P2950+1-M2950,0)</f>
        <v>9</v>
      </c>
    </row>
    <row r="2952" customFormat="false" ht="15" hidden="false" customHeight="false" outlineLevel="0" collapsed="false">
      <c r="A2952" s="32" t="s">
        <v>4315</v>
      </c>
      <c r="B2952" s="32" t="s">
        <v>55</v>
      </c>
      <c r="C2952" s="32" t="s">
        <v>113</v>
      </c>
      <c r="D2952" s="32" t="s">
        <v>4316</v>
      </c>
      <c r="E2952" s="4" t="n">
        <v>12</v>
      </c>
      <c r="F2952" s="4" t="s">
        <v>213</v>
      </c>
      <c r="G2952" s="4" t="s">
        <v>3180</v>
      </c>
      <c r="H2952" s="4" t="n">
        <v>2019</v>
      </c>
      <c r="I2952" s="4" t="s">
        <v>3181</v>
      </c>
      <c r="J2952" s="25" t="str">
        <f aca="false">IF(M2952=1,"✓","")</f>
        <v/>
      </c>
      <c r="K2952" s="4" t="str">
        <f aca="false">IF(AND(M2952=0,P2952=0),"▶ NEXT","")</f>
        <v/>
      </c>
      <c r="L2952" s="4" t="n">
        <f aca="false">INDEX('Master List'!$F$2:$F$2594,O2952)</f>
        <v>1</v>
      </c>
      <c r="M2952" s="4" t="n">
        <f aca="false">INDEX('Master List'!$G$2:$G$2594,O2952)</f>
        <v>0</v>
      </c>
      <c r="N2952" s="4" t="str">
        <f aca="false">IF(K2952="","",A2952)</f>
        <v/>
      </c>
      <c r="O2952" s="4" t="n">
        <v>87</v>
      </c>
      <c r="P2952" s="4" t="n">
        <f aca="false">IF(A2952=A2951,P2951+1-M2951,0)</f>
        <v>10</v>
      </c>
    </row>
    <row r="2953" customFormat="false" ht="15" hidden="false" customHeight="false" outlineLevel="0" collapsed="false">
      <c r="A2953" s="32" t="s">
        <v>4315</v>
      </c>
      <c r="B2953" s="32" t="s">
        <v>55</v>
      </c>
      <c r="C2953" s="32" t="s">
        <v>113</v>
      </c>
      <c r="D2953" s="32" t="s">
        <v>4316</v>
      </c>
      <c r="E2953" s="4" t="n">
        <v>13</v>
      </c>
      <c r="F2953" s="4" t="s">
        <v>213</v>
      </c>
      <c r="G2953" s="4" t="s">
        <v>1257</v>
      </c>
      <c r="H2953" s="4" t="n">
        <v>2020</v>
      </c>
      <c r="I2953" s="4" t="s">
        <v>1258</v>
      </c>
      <c r="J2953" s="25" t="str">
        <f aca="false">IF(M2953=1,"✓","")</f>
        <v>✓</v>
      </c>
      <c r="K2953" s="4" t="str">
        <f aca="false">IF(AND(M2953=0,P2953=0),"▶ NEXT","")</f>
        <v/>
      </c>
      <c r="L2953" s="4" t="n">
        <f aca="false">INDEX('Master List'!$F$2:$F$2594,O2953)</f>
        <v>2</v>
      </c>
      <c r="M2953" s="4" t="n">
        <f aca="false">INDEX('Master List'!$G$2:$G$2594,O2953)</f>
        <v>1</v>
      </c>
      <c r="N2953" s="4" t="str">
        <f aca="false">IF(K2953="","",A2953)</f>
        <v/>
      </c>
      <c r="O2953" s="4" t="n">
        <v>1625</v>
      </c>
      <c r="P2953" s="4" t="n">
        <f aca="false">IF(A2953=A2952,P2952+1-M2952,0)</f>
        <v>11</v>
      </c>
    </row>
    <row r="2954" customFormat="false" ht="15" hidden="false" customHeight="false" outlineLevel="0" collapsed="false">
      <c r="A2954" s="32" t="s">
        <v>4315</v>
      </c>
      <c r="B2954" s="32" t="s">
        <v>55</v>
      </c>
      <c r="C2954" s="32" t="s">
        <v>113</v>
      </c>
      <c r="D2954" s="32" t="s">
        <v>4316</v>
      </c>
      <c r="E2954" s="4" t="n">
        <v>14</v>
      </c>
      <c r="F2954" s="4" t="s">
        <v>1327</v>
      </c>
      <c r="G2954" s="4" t="s">
        <v>238</v>
      </c>
      <c r="H2954" s="4" t="n">
        <v>1978</v>
      </c>
      <c r="I2954" s="4" t="s">
        <v>239</v>
      </c>
      <c r="J2954" s="25" t="str">
        <f aca="false">IF(M2954=1,"✓","")</f>
        <v/>
      </c>
      <c r="K2954" s="4" t="str">
        <f aca="false">IF(AND(M2954=0,P2954=0),"▶ NEXT","")</f>
        <v/>
      </c>
      <c r="L2954" s="4" t="n">
        <f aca="false">INDEX('Master List'!$F$2:$F$2594,O2954)</f>
        <v>6</v>
      </c>
      <c r="M2954" s="4" t="n">
        <f aca="false">INDEX('Master List'!$G$2:$G$2594,O2954)</f>
        <v>0</v>
      </c>
      <c r="N2954" s="4" t="str">
        <f aca="false">IF(K2954="","",A2954)</f>
        <v/>
      </c>
      <c r="O2954" s="4" t="n">
        <v>1248</v>
      </c>
      <c r="P2954" s="4" t="n">
        <f aca="false">IF(A2954=A2953,P2953+1-M2953,0)</f>
        <v>11</v>
      </c>
    </row>
    <row r="2955" customFormat="false" ht="15" hidden="false" customHeight="false" outlineLevel="0" collapsed="false">
      <c r="A2955" s="32" t="s">
        <v>4315</v>
      </c>
      <c r="B2955" s="32" t="s">
        <v>55</v>
      </c>
      <c r="C2955" s="32" t="s">
        <v>113</v>
      </c>
      <c r="D2955" s="32" t="s">
        <v>4316</v>
      </c>
      <c r="E2955" s="4" t="n">
        <v>15</v>
      </c>
      <c r="F2955" s="4" t="s">
        <v>1327</v>
      </c>
      <c r="G2955" s="4" t="s">
        <v>3725</v>
      </c>
      <c r="H2955" s="4" t="n">
        <v>2001</v>
      </c>
      <c r="I2955" s="4" t="s">
        <v>1182</v>
      </c>
      <c r="J2955" s="25" t="str">
        <f aca="false">IF(M2955=1,"✓","")</f>
        <v/>
      </c>
      <c r="K2955" s="4" t="str">
        <f aca="false">IF(AND(M2955=0,P2955=0),"▶ NEXT","")</f>
        <v/>
      </c>
      <c r="L2955" s="4" t="n">
        <f aca="false">INDEX('Master List'!$F$2:$F$2594,O2955)</f>
        <v>1</v>
      </c>
      <c r="M2955" s="4" t="n">
        <f aca="false">INDEX('Master List'!$G$2:$G$2594,O2955)</f>
        <v>0</v>
      </c>
      <c r="N2955" s="4" t="str">
        <f aca="false">IF(K2955="","",A2955)</f>
        <v/>
      </c>
      <c r="O2955" s="4" t="n">
        <v>2304</v>
      </c>
      <c r="P2955" s="4" t="n">
        <f aca="false">IF(A2955=A2954,P2954+1-M2954,0)</f>
        <v>12</v>
      </c>
    </row>
    <row r="2956" customFormat="false" ht="15" hidden="false" customHeight="false" outlineLevel="0" collapsed="false">
      <c r="A2956" s="32" t="s">
        <v>4317</v>
      </c>
      <c r="B2956" s="32" t="s">
        <v>55</v>
      </c>
      <c r="C2956" s="32" t="s">
        <v>113</v>
      </c>
      <c r="D2956" s="32" t="s">
        <v>4318</v>
      </c>
      <c r="E2956" s="4" t="n">
        <v>1</v>
      </c>
      <c r="F2956" s="4" t="s">
        <v>144</v>
      </c>
      <c r="G2956" s="7" t="s">
        <v>303</v>
      </c>
      <c r="H2956" s="4" t="n">
        <v>1939</v>
      </c>
      <c r="I2956" s="4" t="s">
        <v>176</v>
      </c>
      <c r="J2956" s="25" t="str">
        <f aca="false">IF(M2956=1,"✓","")</f>
        <v/>
      </c>
      <c r="K2956" s="4" t="str">
        <f aca="false">IF(AND(M2956=0,P2956=0),"▶ NEXT","")</f>
        <v>▶ NEXT</v>
      </c>
      <c r="L2956" s="4" t="n">
        <f aca="false">INDEX('Master List'!$F$2:$F$2594,O2956)</f>
        <v>4</v>
      </c>
      <c r="M2956" s="4" t="n">
        <f aca="false">INDEX('Master List'!$G$2:$G$2594,O2956)</f>
        <v>0</v>
      </c>
      <c r="N2956" s="4" t="str">
        <f aca="false">IF(K2956="","",A2956)</f>
        <v>N247</v>
      </c>
      <c r="O2956" s="4" t="n">
        <v>1550</v>
      </c>
      <c r="P2956" s="4" t="n">
        <f aca="false">IF(A2956=A2955,P2955+1-M2955,0)</f>
        <v>0</v>
      </c>
    </row>
    <row r="2957" customFormat="false" ht="15" hidden="false" customHeight="false" outlineLevel="0" collapsed="false">
      <c r="A2957" s="32" t="s">
        <v>4317</v>
      </c>
      <c r="B2957" s="32" t="s">
        <v>55</v>
      </c>
      <c r="C2957" s="32" t="s">
        <v>113</v>
      </c>
      <c r="D2957" s="32" t="s">
        <v>4318</v>
      </c>
      <c r="E2957" s="4" t="n">
        <v>2</v>
      </c>
      <c r="F2957" s="4" t="s">
        <v>144</v>
      </c>
      <c r="G2957" s="7" t="s">
        <v>242</v>
      </c>
      <c r="H2957" s="4" t="n">
        <v>1976</v>
      </c>
      <c r="I2957" s="4" t="s">
        <v>243</v>
      </c>
      <c r="J2957" s="25" t="str">
        <f aca="false">IF(M2957=1,"✓","")</f>
        <v>✓</v>
      </c>
      <c r="K2957" s="4" t="str">
        <f aca="false">IF(AND(M2957=0,P2957=0),"▶ NEXT","")</f>
        <v/>
      </c>
      <c r="L2957" s="4" t="n">
        <f aca="false">INDEX('Master List'!$F$2:$F$2594,O2957)</f>
        <v>5</v>
      </c>
      <c r="M2957" s="4" t="n">
        <f aca="false">INDEX('Master List'!$G$2:$G$2594,O2957)</f>
        <v>1</v>
      </c>
      <c r="N2957" s="4" t="str">
        <f aca="false">IF(K2957="","",A2957)</f>
        <v/>
      </c>
      <c r="O2957" s="4" t="n">
        <v>78</v>
      </c>
      <c r="P2957" s="4" t="n">
        <f aca="false">IF(A2957=A2956,P2956+1-M2956,0)</f>
        <v>1</v>
      </c>
    </row>
    <row r="2958" customFormat="false" ht="15" hidden="false" customHeight="false" outlineLevel="0" collapsed="false">
      <c r="A2958" s="32" t="s">
        <v>4317</v>
      </c>
      <c r="B2958" s="32" t="s">
        <v>55</v>
      </c>
      <c r="C2958" s="32" t="s">
        <v>113</v>
      </c>
      <c r="D2958" s="32" t="s">
        <v>4318</v>
      </c>
      <c r="E2958" s="4" t="n">
        <v>3</v>
      </c>
      <c r="F2958" s="4" t="s">
        <v>213</v>
      </c>
      <c r="G2958" s="4" t="s">
        <v>1872</v>
      </c>
      <c r="H2958" s="4" t="n">
        <v>1949</v>
      </c>
      <c r="I2958" s="4" t="s">
        <v>1873</v>
      </c>
      <c r="J2958" s="25" t="str">
        <f aca="false">IF(M2958=1,"✓","")</f>
        <v/>
      </c>
      <c r="K2958" s="4" t="str">
        <f aca="false">IF(AND(M2958=0,P2958=0),"▶ NEXT","")</f>
        <v/>
      </c>
      <c r="L2958" s="4" t="n">
        <f aca="false">INDEX('Master List'!$F$2:$F$2594,O2958)</f>
        <v>1</v>
      </c>
      <c r="M2958" s="4" t="n">
        <f aca="false">INDEX('Master List'!$G$2:$G$2594,O2958)</f>
        <v>0</v>
      </c>
      <c r="N2958" s="4" t="str">
        <f aca="false">IF(K2958="","",A2958)</f>
        <v/>
      </c>
      <c r="O2958" s="4" t="n">
        <v>77</v>
      </c>
      <c r="P2958" s="4" t="n">
        <f aca="false">IF(A2958=A2957,P2957+1-M2957,0)</f>
        <v>1</v>
      </c>
    </row>
    <row r="2959" customFormat="false" ht="15" hidden="false" customHeight="false" outlineLevel="0" collapsed="false">
      <c r="A2959" s="32" t="s">
        <v>4317</v>
      </c>
      <c r="B2959" s="32" t="s">
        <v>55</v>
      </c>
      <c r="C2959" s="32" t="s">
        <v>113</v>
      </c>
      <c r="D2959" s="32" t="s">
        <v>4318</v>
      </c>
      <c r="E2959" s="4" t="n">
        <v>4</v>
      </c>
      <c r="F2959" s="4" t="s">
        <v>213</v>
      </c>
      <c r="G2959" s="4" t="s">
        <v>2015</v>
      </c>
      <c r="H2959" s="4" t="n">
        <v>1962</v>
      </c>
      <c r="I2959" s="4" t="s">
        <v>951</v>
      </c>
      <c r="J2959" s="25" t="str">
        <f aca="false">IF(M2959=1,"✓","")</f>
        <v/>
      </c>
      <c r="K2959" s="4" t="str">
        <f aca="false">IF(AND(M2959=0,P2959=0),"▶ NEXT","")</f>
        <v/>
      </c>
      <c r="L2959" s="4" t="n">
        <f aca="false">INDEX('Master List'!$F$2:$F$2594,O2959)</f>
        <v>1</v>
      </c>
      <c r="M2959" s="4" t="n">
        <f aca="false">INDEX('Master List'!$G$2:$G$2594,O2959)</f>
        <v>0</v>
      </c>
      <c r="N2959" s="4" t="str">
        <f aca="false">IF(K2959="","",A2959)</f>
        <v/>
      </c>
      <c r="O2959" s="4" t="n">
        <v>47</v>
      </c>
      <c r="P2959" s="4" t="n">
        <f aca="false">IF(A2959=A2958,P2958+1-M2958,0)</f>
        <v>2</v>
      </c>
    </row>
    <row r="2960" customFormat="false" ht="15" hidden="false" customHeight="false" outlineLevel="0" collapsed="false">
      <c r="A2960" s="32" t="s">
        <v>4317</v>
      </c>
      <c r="B2960" s="32" t="s">
        <v>55</v>
      </c>
      <c r="C2960" s="32" t="s">
        <v>113</v>
      </c>
      <c r="D2960" s="32" t="s">
        <v>4318</v>
      </c>
      <c r="E2960" s="4" t="n">
        <v>5</v>
      </c>
      <c r="F2960" s="4" t="s">
        <v>213</v>
      </c>
      <c r="G2960" s="4" t="s">
        <v>964</v>
      </c>
      <c r="H2960" s="4" t="n">
        <v>1962</v>
      </c>
      <c r="I2960" s="4" t="s">
        <v>965</v>
      </c>
      <c r="J2960" s="25" t="str">
        <f aca="false">IF(M2960=1,"✓","")</f>
        <v/>
      </c>
      <c r="K2960" s="4" t="str">
        <f aca="false">IF(AND(M2960=0,P2960=0),"▶ NEXT","")</f>
        <v/>
      </c>
      <c r="L2960" s="4" t="n">
        <f aca="false">INDEX('Master List'!$F$2:$F$2594,O2960)</f>
        <v>2</v>
      </c>
      <c r="M2960" s="4" t="n">
        <f aca="false">INDEX('Master List'!$G$2:$G$2594,O2960)</f>
        <v>0</v>
      </c>
      <c r="N2960" s="4" t="str">
        <f aca="false">IF(K2960="","",A2960)</f>
        <v/>
      </c>
      <c r="O2960" s="4" t="n">
        <v>1437</v>
      </c>
      <c r="P2960" s="4" t="n">
        <f aca="false">IF(A2960=A2959,P2959+1-M2959,0)</f>
        <v>3</v>
      </c>
    </row>
    <row r="2961" customFormat="false" ht="15" hidden="false" customHeight="false" outlineLevel="0" collapsed="false">
      <c r="A2961" s="32" t="s">
        <v>4317</v>
      </c>
      <c r="B2961" s="32" t="s">
        <v>55</v>
      </c>
      <c r="C2961" s="32" t="s">
        <v>113</v>
      </c>
      <c r="D2961" s="32" t="s">
        <v>4318</v>
      </c>
      <c r="E2961" s="4" t="n">
        <v>6</v>
      </c>
      <c r="F2961" s="4" t="s">
        <v>213</v>
      </c>
      <c r="G2961" s="4" t="s">
        <v>2056</v>
      </c>
      <c r="H2961" s="4" t="n">
        <v>1964</v>
      </c>
      <c r="I2961" s="4" t="s">
        <v>1477</v>
      </c>
      <c r="J2961" s="25" t="str">
        <f aca="false">IF(M2961=1,"✓","")</f>
        <v/>
      </c>
      <c r="K2961" s="4" t="str">
        <f aca="false">IF(AND(M2961=0,P2961=0),"▶ NEXT","")</f>
        <v/>
      </c>
      <c r="L2961" s="4" t="n">
        <f aca="false">INDEX('Master List'!$F$2:$F$2594,O2961)</f>
        <v>1</v>
      </c>
      <c r="M2961" s="4" t="n">
        <f aca="false">INDEX('Master List'!$G$2:$G$2594,O2961)</f>
        <v>0</v>
      </c>
      <c r="N2961" s="4" t="str">
        <f aca="false">IF(K2961="","",A2961)</f>
        <v/>
      </c>
      <c r="O2961" s="4" t="n">
        <v>230</v>
      </c>
      <c r="P2961" s="4" t="n">
        <f aca="false">IF(A2961=A2960,P2960+1-M2960,0)</f>
        <v>4</v>
      </c>
    </row>
    <row r="2962" customFormat="false" ht="15" hidden="false" customHeight="false" outlineLevel="0" collapsed="false">
      <c r="A2962" s="32" t="s">
        <v>4317</v>
      </c>
      <c r="B2962" s="32" t="s">
        <v>55</v>
      </c>
      <c r="C2962" s="32" t="s">
        <v>113</v>
      </c>
      <c r="D2962" s="32" t="s">
        <v>4318</v>
      </c>
      <c r="E2962" s="4" t="n">
        <v>7</v>
      </c>
      <c r="F2962" s="4" t="s">
        <v>213</v>
      </c>
      <c r="G2962" s="4" t="s">
        <v>2210</v>
      </c>
      <c r="H2962" s="4" t="n">
        <v>1972</v>
      </c>
      <c r="I2962" s="4" t="s">
        <v>2211</v>
      </c>
      <c r="J2962" s="25" t="str">
        <f aca="false">IF(M2962=1,"✓","")</f>
        <v/>
      </c>
      <c r="K2962" s="4" t="str">
        <f aca="false">IF(AND(M2962=0,P2962=0),"▶ NEXT","")</f>
        <v/>
      </c>
      <c r="L2962" s="4" t="n">
        <f aca="false">INDEX('Master List'!$F$2:$F$2594,O2962)</f>
        <v>1</v>
      </c>
      <c r="M2962" s="4" t="n">
        <f aca="false">INDEX('Master List'!$G$2:$G$2594,O2962)</f>
        <v>0</v>
      </c>
      <c r="N2962" s="4" t="str">
        <f aca="false">IF(K2962="","",A2962)</f>
        <v/>
      </c>
      <c r="O2962" s="4" t="n">
        <v>386</v>
      </c>
      <c r="P2962" s="4" t="n">
        <f aca="false">IF(A2962=A2961,P2961+1-M2961,0)</f>
        <v>5</v>
      </c>
    </row>
    <row r="2963" customFormat="false" ht="15" hidden="false" customHeight="false" outlineLevel="0" collapsed="false">
      <c r="A2963" s="32" t="s">
        <v>4317</v>
      </c>
      <c r="B2963" s="32" t="s">
        <v>55</v>
      </c>
      <c r="C2963" s="32" t="s">
        <v>113</v>
      </c>
      <c r="D2963" s="32" t="s">
        <v>4318</v>
      </c>
      <c r="E2963" s="4" t="n">
        <v>8</v>
      </c>
      <c r="F2963" s="4" t="s">
        <v>213</v>
      </c>
      <c r="G2963" s="4" t="s">
        <v>608</v>
      </c>
      <c r="H2963" s="4" t="n">
        <v>1979</v>
      </c>
      <c r="I2963" s="4" t="s">
        <v>310</v>
      </c>
      <c r="J2963" s="25" t="str">
        <f aca="false">IF(M2963=1,"✓","")</f>
        <v/>
      </c>
      <c r="K2963" s="4" t="str">
        <f aca="false">IF(AND(M2963=0,P2963=0),"▶ NEXT","")</f>
        <v/>
      </c>
      <c r="L2963" s="4" t="n">
        <f aca="false">INDEX('Master List'!$F$2:$F$2594,O2963)</f>
        <v>3</v>
      </c>
      <c r="M2963" s="4" t="n">
        <f aca="false">INDEX('Master List'!$G$2:$G$2594,O2963)</f>
        <v>0</v>
      </c>
      <c r="N2963" s="4" t="str">
        <f aca="false">IF(K2963="","",A2963)</f>
        <v/>
      </c>
      <c r="O2963" s="4" t="n">
        <v>218</v>
      </c>
      <c r="P2963" s="4" t="n">
        <f aca="false">IF(A2963=A2962,P2962+1-M2962,0)</f>
        <v>6</v>
      </c>
    </row>
    <row r="2964" customFormat="false" ht="15" hidden="false" customHeight="false" outlineLevel="0" collapsed="false">
      <c r="A2964" s="32" t="s">
        <v>4317</v>
      </c>
      <c r="B2964" s="32" t="s">
        <v>55</v>
      </c>
      <c r="C2964" s="32" t="s">
        <v>113</v>
      </c>
      <c r="D2964" s="32" t="s">
        <v>4318</v>
      </c>
      <c r="E2964" s="4" t="n">
        <v>9</v>
      </c>
      <c r="F2964" s="4" t="s">
        <v>213</v>
      </c>
      <c r="G2964" s="4" t="s">
        <v>1382</v>
      </c>
      <c r="H2964" s="4" t="n">
        <v>1992</v>
      </c>
      <c r="I2964" s="4" t="s">
        <v>1383</v>
      </c>
      <c r="J2964" s="25" t="str">
        <f aca="false">IF(M2964=1,"✓","")</f>
        <v/>
      </c>
      <c r="K2964" s="4" t="str">
        <f aca="false">IF(AND(M2964=0,P2964=0),"▶ NEXT","")</f>
        <v/>
      </c>
      <c r="L2964" s="4" t="n">
        <f aca="false">INDEX('Master List'!$F$2:$F$2594,O2964)</f>
        <v>2</v>
      </c>
      <c r="M2964" s="4" t="n">
        <f aca="false">INDEX('Master List'!$G$2:$G$2594,O2964)</f>
        <v>0</v>
      </c>
      <c r="N2964" s="4" t="str">
        <f aca="false">IF(K2964="","",A2964)</f>
        <v/>
      </c>
      <c r="O2964" s="4" t="n">
        <v>306</v>
      </c>
      <c r="P2964" s="4" t="n">
        <f aca="false">IF(A2964=A2963,P2963+1-M2963,0)</f>
        <v>7</v>
      </c>
    </row>
    <row r="2965" customFormat="false" ht="15" hidden="false" customHeight="false" outlineLevel="0" collapsed="false">
      <c r="A2965" s="32" t="s">
        <v>4317</v>
      </c>
      <c r="B2965" s="32" t="s">
        <v>55</v>
      </c>
      <c r="C2965" s="32" t="s">
        <v>113</v>
      </c>
      <c r="D2965" s="32" t="s">
        <v>4318</v>
      </c>
      <c r="E2965" s="4" t="n">
        <v>10</v>
      </c>
      <c r="F2965" s="4" t="s">
        <v>213</v>
      </c>
      <c r="G2965" s="4" t="s">
        <v>2573</v>
      </c>
      <c r="H2965" s="4" t="n">
        <v>1993</v>
      </c>
      <c r="I2965" s="4" t="s">
        <v>2574</v>
      </c>
      <c r="J2965" s="25" t="str">
        <f aca="false">IF(M2965=1,"✓","")</f>
        <v/>
      </c>
      <c r="K2965" s="4" t="str">
        <f aca="false">IF(AND(M2965=0,P2965=0),"▶ NEXT","")</f>
        <v/>
      </c>
      <c r="L2965" s="4" t="n">
        <f aca="false">INDEX('Master List'!$F$2:$F$2594,O2965)</f>
        <v>1</v>
      </c>
      <c r="M2965" s="4" t="n">
        <f aca="false">INDEX('Master List'!$G$2:$G$2594,O2965)</f>
        <v>0</v>
      </c>
      <c r="N2965" s="4" t="str">
        <f aca="false">IF(K2965="","",A2965)</f>
        <v/>
      </c>
      <c r="O2965" s="4" t="n">
        <v>2465</v>
      </c>
      <c r="P2965" s="4" t="n">
        <f aca="false">IF(A2965=A2964,P2964+1-M2964,0)</f>
        <v>8</v>
      </c>
    </row>
    <row r="2966" customFormat="false" ht="15" hidden="false" customHeight="false" outlineLevel="0" collapsed="false">
      <c r="A2966" s="32" t="s">
        <v>4317</v>
      </c>
      <c r="B2966" s="32" t="s">
        <v>55</v>
      </c>
      <c r="C2966" s="32" t="s">
        <v>113</v>
      </c>
      <c r="D2966" s="32" t="s">
        <v>4318</v>
      </c>
      <c r="E2966" s="4" t="n">
        <v>11</v>
      </c>
      <c r="F2966" s="4" t="s">
        <v>213</v>
      </c>
      <c r="G2966" s="4" t="s">
        <v>2615</v>
      </c>
      <c r="H2966" s="4" t="n">
        <v>1995</v>
      </c>
      <c r="I2966" s="4" t="s">
        <v>816</v>
      </c>
      <c r="J2966" s="25" t="str">
        <f aca="false">IF(M2966=1,"✓","")</f>
        <v/>
      </c>
      <c r="K2966" s="4" t="str">
        <f aca="false">IF(AND(M2966=0,P2966=0),"▶ NEXT","")</f>
        <v/>
      </c>
      <c r="L2966" s="4" t="n">
        <f aca="false">INDEX('Master List'!$F$2:$F$2594,O2966)</f>
        <v>1</v>
      </c>
      <c r="M2966" s="4" t="n">
        <f aca="false">INDEX('Master List'!$G$2:$G$2594,O2966)</f>
        <v>0</v>
      </c>
      <c r="N2966" s="4" t="str">
        <f aca="false">IF(K2966="","",A2966)</f>
        <v/>
      </c>
      <c r="O2966" s="4" t="n">
        <v>1620</v>
      </c>
      <c r="P2966" s="4" t="n">
        <f aca="false">IF(A2966=A2965,P2965+1-M2965,0)</f>
        <v>9</v>
      </c>
    </row>
    <row r="2967" customFormat="false" ht="15" hidden="false" customHeight="false" outlineLevel="0" collapsed="false">
      <c r="A2967" s="32" t="s">
        <v>4317</v>
      </c>
      <c r="B2967" s="32" t="s">
        <v>55</v>
      </c>
      <c r="C2967" s="32" t="s">
        <v>113</v>
      </c>
      <c r="D2967" s="32" t="s">
        <v>4318</v>
      </c>
      <c r="E2967" s="4" t="n">
        <v>12</v>
      </c>
      <c r="F2967" s="4" t="s">
        <v>213</v>
      </c>
      <c r="G2967" s="4" t="s">
        <v>2686</v>
      </c>
      <c r="H2967" s="4" t="n">
        <v>1998</v>
      </c>
      <c r="I2967" s="4" t="s">
        <v>357</v>
      </c>
      <c r="J2967" s="25" t="str">
        <f aca="false">IF(M2967=1,"✓","")</f>
        <v/>
      </c>
      <c r="K2967" s="4" t="str">
        <f aca="false">IF(AND(M2967=0,P2967=0),"▶ NEXT","")</f>
        <v/>
      </c>
      <c r="L2967" s="4" t="n">
        <f aca="false">INDEX('Master List'!$F$2:$F$2594,O2967)</f>
        <v>1</v>
      </c>
      <c r="M2967" s="4" t="n">
        <f aca="false">INDEX('Master List'!$G$2:$G$2594,O2967)</f>
        <v>0</v>
      </c>
      <c r="N2967" s="4" t="str">
        <f aca="false">IF(K2967="","",A2967)</f>
        <v/>
      </c>
      <c r="O2967" s="4" t="n">
        <v>1812</v>
      </c>
      <c r="P2967" s="4" t="n">
        <f aca="false">IF(A2967=A2966,P2966+1-M2966,0)</f>
        <v>10</v>
      </c>
    </row>
    <row r="2968" customFormat="false" ht="15" hidden="false" customHeight="false" outlineLevel="0" collapsed="false">
      <c r="A2968" s="32" t="s">
        <v>4317</v>
      </c>
      <c r="B2968" s="32" t="s">
        <v>55</v>
      </c>
      <c r="C2968" s="32" t="s">
        <v>113</v>
      </c>
      <c r="D2968" s="32" t="s">
        <v>4318</v>
      </c>
      <c r="E2968" s="4" t="n">
        <v>13</v>
      </c>
      <c r="F2968" s="4" t="s">
        <v>213</v>
      </c>
      <c r="G2968" s="4" t="s">
        <v>428</v>
      </c>
      <c r="H2968" s="4" t="n">
        <v>1999</v>
      </c>
      <c r="I2968" s="4" t="s">
        <v>429</v>
      </c>
      <c r="J2968" s="25" t="str">
        <f aca="false">IF(M2968=1,"✓","")</f>
        <v>✓</v>
      </c>
      <c r="K2968" s="4" t="str">
        <f aca="false">IF(AND(M2968=0,P2968=0),"▶ NEXT","")</f>
        <v/>
      </c>
      <c r="L2968" s="4" t="n">
        <f aca="false">INDEX('Master List'!$F$2:$F$2594,O2968)</f>
        <v>4</v>
      </c>
      <c r="M2968" s="4" t="n">
        <f aca="false">INDEX('Master List'!$G$2:$G$2594,O2968)</f>
        <v>1</v>
      </c>
      <c r="N2968" s="4" t="str">
        <f aca="false">IF(K2968="","",A2968)</f>
        <v/>
      </c>
      <c r="O2968" s="4" t="n">
        <v>716</v>
      </c>
      <c r="P2968" s="4" t="n">
        <f aca="false">IF(A2968=A2967,P2967+1-M2967,0)</f>
        <v>11</v>
      </c>
    </row>
    <row r="2969" customFormat="false" ht="15" hidden="false" customHeight="false" outlineLevel="0" collapsed="false">
      <c r="A2969" s="32" t="s">
        <v>4317</v>
      </c>
      <c r="B2969" s="32" t="s">
        <v>55</v>
      </c>
      <c r="C2969" s="32" t="s">
        <v>113</v>
      </c>
      <c r="D2969" s="32" t="s">
        <v>4318</v>
      </c>
      <c r="E2969" s="4" t="n">
        <v>14</v>
      </c>
      <c r="F2969" s="4" t="s">
        <v>213</v>
      </c>
      <c r="G2969" s="4" t="s">
        <v>2911</v>
      </c>
      <c r="H2969" s="4" t="n">
        <v>2008</v>
      </c>
      <c r="I2969" s="4" t="s">
        <v>1115</v>
      </c>
      <c r="J2969" s="25" t="str">
        <f aca="false">IF(M2969=1,"✓","")</f>
        <v/>
      </c>
      <c r="K2969" s="4" t="str">
        <f aca="false">IF(AND(M2969=0,P2969=0),"▶ NEXT","")</f>
        <v/>
      </c>
      <c r="L2969" s="4" t="n">
        <f aca="false">INDEX('Master List'!$F$2:$F$2594,O2969)</f>
        <v>1</v>
      </c>
      <c r="M2969" s="4" t="n">
        <f aca="false">INDEX('Master List'!$G$2:$G$2594,O2969)</f>
        <v>0</v>
      </c>
      <c r="N2969" s="4" t="str">
        <f aca="false">IF(K2969="","",A2969)</f>
        <v/>
      </c>
      <c r="O2969" s="4" t="n">
        <v>863</v>
      </c>
      <c r="P2969" s="4" t="n">
        <f aca="false">IF(A2969=A2968,P2968+1-M2968,0)</f>
        <v>11</v>
      </c>
    </row>
    <row r="2970" customFormat="false" ht="15" hidden="false" customHeight="false" outlineLevel="0" collapsed="false">
      <c r="A2970" s="32" t="s">
        <v>4317</v>
      </c>
      <c r="B2970" s="32" t="s">
        <v>55</v>
      </c>
      <c r="C2970" s="32" t="s">
        <v>113</v>
      </c>
      <c r="D2970" s="32" t="s">
        <v>4318</v>
      </c>
      <c r="E2970" s="4" t="n">
        <v>15</v>
      </c>
      <c r="F2970" s="4" t="s">
        <v>213</v>
      </c>
      <c r="G2970" s="4" t="s">
        <v>554</v>
      </c>
      <c r="H2970" s="4" t="n">
        <v>2012</v>
      </c>
      <c r="I2970" s="4" t="s">
        <v>183</v>
      </c>
      <c r="J2970" s="25" t="str">
        <f aca="false">IF(M2970=1,"✓","")</f>
        <v/>
      </c>
      <c r="K2970" s="4" t="str">
        <f aca="false">IF(AND(M2970=0,P2970=0),"▶ NEXT","")</f>
        <v/>
      </c>
      <c r="L2970" s="4" t="n">
        <f aca="false">INDEX('Master List'!$F$2:$F$2594,O2970)</f>
        <v>3</v>
      </c>
      <c r="M2970" s="4" t="n">
        <f aca="false">INDEX('Master List'!$G$2:$G$2594,O2970)</f>
        <v>0</v>
      </c>
      <c r="N2970" s="4" t="str">
        <f aca="false">IF(K2970="","",A2970)</f>
        <v/>
      </c>
      <c r="O2970" s="4" t="n">
        <v>1343</v>
      </c>
      <c r="P2970" s="4" t="n">
        <f aca="false">IF(A2970=A2969,P2969+1-M2969,0)</f>
        <v>12</v>
      </c>
    </row>
    <row r="2971" customFormat="false" ht="15" hidden="false" customHeight="false" outlineLevel="0" collapsed="false">
      <c r="A2971" s="32" t="s">
        <v>4317</v>
      </c>
      <c r="B2971" s="32" t="s">
        <v>55</v>
      </c>
      <c r="C2971" s="32" t="s">
        <v>113</v>
      </c>
      <c r="D2971" s="32" t="s">
        <v>4318</v>
      </c>
      <c r="E2971" s="4" t="n">
        <v>16</v>
      </c>
      <c r="F2971" s="4" t="s">
        <v>213</v>
      </c>
      <c r="G2971" s="4" t="s">
        <v>3155</v>
      </c>
      <c r="H2971" s="4" t="n">
        <v>2018</v>
      </c>
      <c r="I2971" s="4" t="s">
        <v>856</v>
      </c>
      <c r="J2971" s="25" t="str">
        <f aca="false">IF(M2971=1,"✓","")</f>
        <v>✓</v>
      </c>
      <c r="K2971" s="4" t="str">
        <f aca="false">IF(AND(M2971=0,P2971=0),"▶ NEXT","")</f>
        <v/>
      </c>
      <c r="L2971" s="4" t="n">
        <f aca="false">INDEX('Master List'!$F$2:$F$2594,O2971)</f>
        <v>1</v>
      </c>
      <c r="M2971" s="4" t="n">
        <f aca="false">INDEX('Master List'!$G$2:$G$2594,O2971)</f>
        <v>1</v>
      </c>
      <c r="N2971" s="4" t="str">
        <f aca="false">IF(K2971="","",A2971)</f>
        <v/>
      </c>
      <c r="O2971" s="4" t="n">
        <v>2430</v>
      </c>
      <c r="P2971" s="4" t="n">
        <f aca="false">IF(A2971=A2970,P2970+1-M2970,0)</f>
        <v>13</v>
      </c>
    </row>
    <row r="2972" customFormat="false" ht="15" hidden="false" customHeight="false" outlineLevel="0" collapsed="false">
      <c r="A2972" s="32" t="s">
        <v>4317</v>
      </c>
      <c r="B2972" s="32" t="s">
        <v>55</v>
      </c>
      <c r="C2972" s="32" t="s">
        <v>113</v>
      </c>
      <c r="D2972" s="32" t="s">
        <v>4318</v>
      </c>
      <c r="E2972" s="4" t="n">
        <v>17</v>
      </c>
      <c r="F2972" s="4" t="s">
        <v>1327</v>
      </c>
      <c r="G2972" s="4" t="s">
        <v>3426</v>
      </c>
      <c r="H2972" s="4" t="n">
        <v>1964</v>
      </c>
      <c r="I2972" s="4" t="s">
        <v>965</v>
      </c>
      <c r="J2972" s="25" t="str">
        <f aca="false">IF(M2972=1,"✓","")</f>
        <v/>
      </c>
      <c r="K2972" s="4" t="str">
        <f aca="false">IF(AND(M2972=0,P2972=0),"▶ NEXT","")</f>
        <v/>
      </c>
      <c r="L2972" s="4" t="n">
        <f aca="false">INDEX('Master List'!$F$2:$F$2594,O2972)</f>
        <v>1</v>
      </c>
      <c r="M2972" s="4" t="n">
        <f aca="false">INDEX('Master List'!$G$2:$G$2594,O2972)</f>
        <v>0</v>
      </c>
      <c r="N2972" s="4" t="str">
        <f aca="false">IF(K2972="","",A2972)</f>
        <v/>
      </c>
      <c r="O2972" s="4" t="n">
        <v>2019</v>
      </c>
      <c r="P2972" s="4" t="n">
        <f aca="false">IF(A2972=A2971,P2971+1-M2971,0)</f>
        <v>13</v>
      </c>
    </row>
    <row r="2973" customFormat="false" ht="15" hidden="false" customHeight="false" outlineLevel="0" collapsed="false">
      <c r="A2973" s="32" t="s">
        <v>4317</v>
      </c>
      <c r="B2973" s="32" t="s">
        <v>55</v>
      </c>
      <c r="C2973" s="32" t="s">
        <v>113</v>
      </c>
      <c r="D2973" s="32" t="s">
        <v>4318</v>
      </c>
      <c r="E2973" s="4" t="n">
        <v>18</v>
      </c>
      <c r="F2973" s="4" t="s">
        <v>1327</v>
      </c>
      <c r="G2973" s="4" t="s">
        <v>2480</v>
      </c>
      <c r="H2973" s="4" t="n">
        <v>1988</v>
      </c>
      <c r="I2973" s="4" t="s">
        <v>197</v>
      </c>
      <c r="J2973" s="25" t="str">
        <f aca="false">IF(M2973=1,"✓","")</f>
        <v/>
      </c>
      <c r="K2973" s="4" t="str">
        <f aca="false">IF(AND(M2973=0,P2973=0),"▶ NEXT","")</f>
        <v/>
      </c>
      <c r="L2973" s="4" t="n">
        <f aca="false">INDEX('Master List'!$F$2:$F$2594,O2973)</f>
        <v>2</v>
      </c>
      <c r="M2973" s="4" t="n">
        <f aca="false">INDEX('Master List'!$G$2:$G$2594,O2973)</f>
        <v>0</v>
      </c>
      <c r="N2973" s="4" t="str">
        <f aca="false">IF(K2973="","",A2973)</f>
        <v/>
      </c>
      <c r="O2973" s="4" t="n">
        <v>2240</v>
      </c>
      <c r="P2973" s="4" t="n">
        <f aca="false">IF(A2973=A2972,P2972+1-M2972,0)</f>
        <v>14</v>
      </c>
    </row>
    <row r="2974" customFormat="false" ht="15" hidden="false" customHeight="false" outlineLevel="0" collapsed="false">
      <c r="A2974" s="32" t="s">
        <v>4319</v>
      </c>
      <c r="B2974" s="32" t="s">
        <v>55</v>
      </c>
      <c r="C2974" s="32" t="s">
        <v>113</v>
      </c>
      <c r="D2974" s="32" t="s">
        <v>4320</v>
      </c>
      <c r="E2974" s="4" t="n">
        <v>1</v>
      </c>
      <c r="F2974" s="4" t="s">
        <v>144</v>
      </c>
      <c r="G2974" s="7" t="s">
        <v>242</v>
      </c>
      <c r="H2974" s="4" t="n">
        <v>1976</v>
      </c>
      <c r="I2974" s="4" t="s">
        <v>243</v>
      </c>
      <c r="J2974" s="25" t="str">
        <f aca="false">IF(M2974=1,"✓","")</f>
        <v>✓</v>
      </c>
      <c r="K2974" s="4" t="str">
        <f aca="false">IF(AND(M2974=0,P2974=0),"▶ NEXT","")</f>
        <v/>
      </c>
      <c r="L2974" s="4" t="n">
        <f aca="false">INDEX('Master List'!$F$2:$F$2594,O2974)</f>
        <v>5</v>
      </c>
      <c r="M2974" s="4" t="n">
        <f aca="false">INDEX('Master List'!$G$2:$G$2594,O2974)</f>
        <v>1</v>
      </c>
      <c r="N2974" s="4" t="str">
        <f aca="false">IF(K2974="","",A2974)</f>
        <v/>
      </c>
      <c r="O2974" s="4" t="n">
        <v>78</v>
      </c>
      <c r="P2974" s="4" t="n">
        <f aca="false">IF(A2974=A2973,P2973+1-M2973,0)</f>
        <v>0</v>
      </c>
    </row>
    <row r="2975" customFormat="false" ht="15" hidden="false" customHeight="false" outlineLevel="0" collapsed="false">
      <c r="A2975" s="32" t="s">
        <v>4319</v>
      </c>
      <c r="B2975" s="32" t="s">
        <v>55</v>
      </c>
      <c r="C2975" s="32" t="s">
        <v>113</v>
      </c>
      <c r="D2975" s="32" t="s">
        <v>4320</v>
      </c>
      <c r="E2975" s="4" t="n">
        <v>2</v>
      </c>
      <c r="F2975" s="4" t="s">
        <v>144</v>
      </c>
      <c r="G2975" s="7" t="s">
        <v>1629</v>
      </c>
      <c r="H2975" s="4" t="n">
        <v>2015</v>
      </c>
      <c r="I2975" s="4" t="s">
        <v>1630</v>
      </c>
      <c r="J2975" s="25" t="str">
        <f aca="false">IF(M2975=1,"✓","")</f>
        <v>✓</v>
      </c>
      <c r="K2975" s="4" t="str">
        <f aca="false">IF(AND(M2975=0,P2975=0),"▶ NEXT","")</f>
        <v/>
      </c>
      <c r="L2975" s="4" t="n">
        <f aca="false">INDEX('Master List'!$F$2:$F$2594,O2975)</f>
        <v>1</v>
      </c>
      <c r="M2975" s="4" t="n">
        <f aca="false">INDEX('Master List'!$G$2:$G$2594,O2975)</f>
        <v>1</v>
      </c>
      <c r="N2975" s="4" t="str">
        <f aca="false">IF(K2975="","",A2975)</f>
        <v/>
      </c>
      <c r="O2975" s="4" t="n">
        <v>2137</v>
      </c>
      <c r="P2975" s="4" t="n">
        <f aca="false">IF(A2975=A2974,P2974+1-M2974,0)</f>
        <v>0</v>
      </c>
    </row>
    <row r="2976" customFormat="false" ht="15" hidden="false" customHeight="false" outlineLevel="0" collapsed="false">
      <c r="A2976" s="32" t="s">
        <v>4319</v>
      </c>
      <c r="B2976" s="32" t="s">
        <v>55</v>
      </c>
      <c r="C2976" s="32" t="s">
        <v>113</v>
      </c>
      <c r="D2976" s="32" t="s">
        <v>4320</v>
      </c>
      <c r="E2976" s="4" t="n">
        <v>3</v>
      </c>
      <c r="F2976" s="4" t="s">
        <v>213</v>
      </c>
      <c r="G2976" s="4" t="s">
        <v>1722</v>
      </c>
      <c r="H2976" s="4" t="n">
        <v>1931</v>
      </c>
      <c r="I2976" s="4" t="s">
        <v>730</v>
      </c>
      <c r="J2976" s="25" t="str">
        <f aca="false">IF(M2976=1,"✓","")</f>
        <v/>
      </c>
      <c r="K2976" s="4" t="str">
        <f aca="false">IF(AND(M2976=0,P2976=0),"▶ NEXT","")</f>
        <v>▶ NEXT</v>
      </c>
      <c r="L2976" s="4" t="n">
        <f aca="false">INDEX('Master List'!$F$2:$F$2594,O2976)</f>
        <v>1</v>
      </c>
      <c r="M2976" s="4" t="n">
        <f aca="false">INDEX('Master List'!$G$2:$G$2594,O2976)</f>
        <v>0</v>
      </c>
      <c r="N2976" s="4" t="str">
        <f aca="false">IF(K2976="","",A2976)</f>
        <v>N248</v>
      </c>
      <c r="O2976" s="4" t="n">
        <v>862</v>
      </c>
      <c r="P2976" s="4" t="n">
        <f aca="false">IF(A2976=A2975,P2975+1-M2975,0)</f>
        <v>0</v>
      </c>
    </row>
    <row r="2977" customFormat="false" ht="15" hidden="false" customHeight="false" outlineLevel="0" collapsed="false">
      <c r="A2977" s="32" t="s">
        <v>4319</v>
      </c>
      <c r="B2977" s="32" t="s">
        <v>55</v>
      </c>
      <c r="C2977" s="32" t="s">
        <v>113</v>
      </c>
      <c r="D2977" s="32" t="s">
        <v>4320</v>
      </c>
      <c r="E2977" s="4" t="n">
        <v>4</v>
      </c>
      <c r="F2977" s="4" t="s">
        <v>213</v>
      </c>
      <c r="G2977" s="4" t="s">
        <v>167</v>
      </c>
      <c r="H2977" s="4" t="n">
        <v>1940</v>
      </c>
      <c r="I2977" s="4" t="s">
        <v>168</v>
      </c>
      <c r="J2977" s="25" t="str">
        <f aca="false">IF(M2977=1,"✓","")</f>
        <v>✓</v>
      </c>
      <c r="K2977" s="4" t="str">
        <f aca="false">IF(AND(M2977=0,P2977=0),"▶ NEXT","")</f>
        <v/>
      </c>
      <c r="L2977" s="4" t="n">
        <f aca="false">INDEX('Master List'!$F$2:$F$2594,O2977)</f>
        <v>7</v>
      </c>
      <c r="M2977" s="4" t="n">
        <f aca="false">INDEX('Master List'!$G$2:$G$2594,O2977)</f>
        <v>1</v>
      </c>
      <c r="N2977" s="4" t="str">
        <f aca="false">IF(K2977="","",A2977)</f>
        <v/>
      </c>
      <c r="O2977" s="4" t="n">
        <v>1041</v>
      </c>
      <c r="P2977" s="4" t="n">
        <f aca="false">IF(A2977=A2976,P2976+1-M2976,0)</f>
        <v>1</v>
      </c>
    </row>
    <row r="2978" customFormat="false" ht="15" hidden="false" customHeight="false" outlineLevel="0" collapsed="false">
      <c r="A2978" s="32" t="s">
        <v>4319</v>
      </c>
      <c r="B2978" s="32" t="s">
        <v>55</v>
      </c>
      <c r="C2978" s="32" t="s">
        <v>113</v>
      </c>
      <c r="D2978" s="32" t="s">
        <v>4320</v>
      </c>
      <c r="E2978" s="4" t="n">
        <v>5</v>
      </c>
      <c r="F2978" s="4" t="s">
        <v>213</v>
      </c>
      <c r="G2978" s="4" t="s">
        <v>574</v>
      </c>
      <c r="H2978" s="4" t="n">
        <v>1951</v>
      </c>
      <c r="I2978" s="4" t="s">
        <v>200</v>
      </c>
      <c r="J2978" s="25" t="str">
        <f aca="false">IF(M2978=1,"✓","")</f>
        <v/>
      </c>
      <c r="K2978" s="4" t="str">
        <f aca="false">IF(AND(M2978=0,P2978=0),"▶ NEXT","")</f>
        <v/>
      </c>
      <c r="L2978" s="4" t="n">
        <f aca="false">INDEX('Master List'!$F$2:$F$2594,O2978)</f>
        <v>3</v>
      </c>
      <c r="M2978" s="4" t="n">
        <f aca="false">INDEX('Master List'!$G$2:$G$2594,O2978)</f>
        <v>0</v>
      </c>
      <c r="N2978" s="4" t="str">
        <f aca="false">IF(K2978="","",A2978)</f>
        <v/>
      </c>
      <c r="O2978" s="4" t="n">
        <v>38</v>
      </c>
      <c r="P2978" s="4" t="n">
        <f aca="false">IF(A2978=A2977,P2977+1-M2977,0)</f>
        <v>1</v>
      </c>
    </row>
    <row r="2979" customFormat="false" ht="15" hidden="false" customHeight="false" outlineLevel="0" collapsed="false">
      <c r="A2979" s="32" t="s">
        <v>4319</v>
      </c>
      <c r="B2979" s="32" t="s">
        <v>55</v>
      </c>
      <c r="C2979" s="32" t="s">
        <v>113</v>
      </c>
      <c r="D2979" s="32" t="s">
        <v>4320</v>
      </c>
      <c r="E2979" s="4" t="n">
        <v>6</v>
      </c>
      <c r="F2979" s="4" t="s">
        <v>213</v>
      </c>
      <c r="G2979" s="4" t="s">
        <v>410</v>
      </c>
      <c r="H2979" s="4" t="n">
        <v>1957</v>
      </c>
      <c r="I2979" s="4" t="s">
        <v>411</v>
      </c>
      <c r="J2979" s="25" t="str">
        <f aca="false">IF(M2979=1,"✓","")</f>
        <v/>
      </c>
      <c r="K2979" s="4" t="str">
        <f aca="false">IF(AND(M2979=0,P2979=0),"▶ NEXT","")</f>
        <v/>
      </c>
      <c r="L2979" s="4" t="n">
        <f aca="false">INDEX('Master List'!$F$2:$F$2594,O2979)</f>
        <v>4</v>
      </c>
      <c r="M2979" s="4" t="n">
        <f aca="false">INDEX('Master List'!$G$2:$G$2594,O2979)</f>
        <v>0</v>
      </c>
      <c r="N2979" s="4" t="str">
        <f aca="false">IF(K2979="","",A2979)</f>
        <v/>
      </c>
      <c r="O2979" s="4" t="n">
        <v>2215</v>
      </c>
      <c r="P2979" s="4" t="n">
        <f aca="false">IF(A2979=A2978,P2978+1-M2978,0)</f>
        <v>2</v>
      </c>
    </row>
    <row r="2980" customFormat="false" ht="15" hidden="false" customHeight="false" outlineLevel="0" collapsed="false">
      <c r="A2980" s="32" t="s">
        <v>4319</v>
      </c>
      <c r="B2980" s="32" t="s">
        <v>55</v>
      </c>
      <c r="C2980" s="32" t="s">
        <v>113</v>
      </c>
      <c r="D2980" s="32" t="s">
        <v>4320</v>
      </c>
      <c r="E2980" s="4" t="n">
        <v>7</v>
      </c>
      <c r="F2980" s="4" t="s">
        <v>213</v>
      </c>
      <c r="G2980" s="4" t="s">
        <v>188</v>
      </c>
      <c r="H2980" s="4" t="n">
        <v>1976</v>
      </c>
      <c r="I2980" s="4" t="s">
        <v>189</v>
      </c>
      <c r="J2980" s="25" t="str">
        <f aca="false">IF(M2980=1,"✓","")</f>
        <v>✓</v>
      </c>
      <c r="K2980" s="4" t="str">
        <f aca="false">IF(AND(M2980=0,P2980=0),"▶ NEXT","")</f>
        <v/>
      </c>
      <c r="L2980" s="4" t="n">
        <f aca="false">INDEX('Master List'!$F$2:$F$2594,O2980)</f>
        <v>7</v>
      </c>
      <c r="M2980" s="4" t="n">
        <f aca="false">INDEX('Master List'!$G$2:$G$2594,O2980)</f>
        <v>1</v>
      </c>
      <c r="N2980" s="4" t="str">
        <f aca="false">IF(K2980="","",A2980)</f>
        <v/>
      </c>
      <c r="O2980" s="4" t="n">
        <v>1593</v>
      </c>
      <c r="P2980" s="4" t="n">
        <f aca="false">IF(A2980=A2979,P2979+1-M2979,0)</f>
        <v>3</v>
      </c>
    </row>
    <row r="2981" customFormat="false" ht="15" hidden="false" customHeight="false" outlineLevel="0" collapsed="false">
      <c r="A2981" s="32" t="s">
        <v>4319</v>
      </c>
      <c r="B2981" s="32" t="s">
        <v>55</v>
      </c>
      <c r="C2981" s="32" t="s">
        <v>113</v>
      </c>
      <c r="D2981" s="32" t="s">
        <v>4320</v>
      </c>
      <c r="E2981" s="4" t="n">
        <v>8</v>
      </c>
      <c r="F2981" s="4" t="s">
        <v>213</v>
      </c>
      <c r="G2981" s="4" t="s">
        <v>817</v>
      </c>
      <c r="H2981" s="4" t="n">
        <v>1987</v>
      </c>
      <c r="I2981" s="4" t="s">
        <v>818</v>
      </c>
      <c r="J2981" s="25" t="str">
        <f aca="false">IF(M2981=1,"✓","")</f>
        <v/>
      </c>
      <c r="K2981" s="4" t="str">
        <f aca="false">IF(AND(M2981=0,P2981=0),"▶ NEXT","")</f>
        <v/>
      </c>
      <c r="L2981" s="4" t="n">
        <f aca="false">INDEX('Master List'!$F$2:$F$2594,O2981)</f>
        <v>3</v>
      </c>
      <c r="M2981" s="4" t="n">
        <f aca="false">INDEX('Master List'!$G$2:$G$2594,O2981)</f>
        <v>0</v>
      </c>
      <c r="N2981" s="4" t="str">
        <f aca="false">IF(K2981="","",A2981)</f>
        <v/>
      </c>
      <c r="O2981" s="4" t="n">
        <v>354</v>
      </c>
      <c r="P2981" s="4" t="n">
        <f aca="false">IF(A2981=A2980,P2980+1-M2980,0)</f>
        <v>3</v>
      </c>
    </row>
    <row r="2982" customFormat="false" ht="15" hidden="false" customHeight="false" outlineLevel="0" collapsed="false">
      <c r="A2982" s="32" t="s">
        <v>4319</v>
      </c>
      <c r="B2982" s="32" t="s">
        <v>55</v>
      </c>
      <c r="C2982" s="32" t="s">
        <v>113</v>
      </c>
      <c r="D2982" s="32" t="s">
        <v>4320</v>
      </c>
      <c r="E2982" s="4" t="n">
        <v>9</v>
      </c>
      <c r="F2982" s="4" t="s">
        <v>213</v>
      </c>
      <c r="G2982" s="4" t="s">
        <v>1130</v>
      </c>
      <c r="H2982" s="4" t="n">
        <v>1999</v>
      </c>
      <c r="I2982" s="4" t="s">
        <v>296</v>
      </c>
      <c r="J2982" s="25" t="str">
        <f aca="false">IF(M2982=1,"✓","")</f>
        <v/>
      </c>
      <c r="K2982" s="4" t="str">
        <f aca="false">IF(AND(M2982=0,P2982=0),"▶ NEXT","")</f>
        <v/>
      </c>
      <c r="L2982" s="4" t="n">
        <f aca="false">INDEX('Master List'!$F$2:$F$2594,O2982)</f>
        <v>2</v>
      </c>
      <c r="M2982" s="4" t="n">
        <f aca="false">INDEX('Master List'!$G$2:$G$2594,O2982)</f>
        <v>0</v>
      </c>
      <c r="N2982" s="4" t="str">
        <f aca="false">IF(K2982="","",A2982)</f>
        <v/>
      </c>
      <c r="O2982" s="4" t="n">
        <v>1152</v>
      </c>
      <c r="P2982" s="4" t="n">
        <f aca="false">IF(A2982=A2981,P2981+1-M2981,0)</f>
        <v>4</v>
      </c>
    </row>
    <row r="2983" customFormat="false" ht="15" hidden="false" customHeight="false" outlineLevel="0" collapsed="false">
      <c r="A2983" s="32" t="s">
        <v>4319</v>
      </c>
      <c r="B2983" s="32" t="s">
        <v>55</v>
      </c>
      <c r="C2983" s="32" t="s">
        <v>113</v>
      </c>
      <c r="D2983" s="32" t="s">
        <v>4320</v>
      </c>
      <c r="E2983" s="4" t="n">
        <v>10</v>
      </c>
      <c r="F2983" s="4" t="s">
        <v>213</v>
      </c>
      <c r="G2983" s="4" t="s">
        <v>2845</v>
      </c>
      <c r="H2983" s="4" t="n">
        <v>2005</v>
      </c>
      <c r="I2983" s="4" t="s">
        <v>2781</v>
      </c>
      <c r="J2983" s="25" t="str">
        <f aca="false">IF(M2983=1,"✓","")</f>
        <v/>
      </c>
      <c r="K2983" s="4" t="str">
        <f aca="false">IF(AND(M2983=0,P2983=0),"▶ NEXT","")</f>
        <v/>
      </c>
      <c r="L2983" s="4" t="n">
        <f aca="false">INDEX('Master List'!$F$2:$F$2594,O2983)</f>
        <v>1</v>
      </c>
      <c r="M2983" s="4" t="n">
        <f aca="false">INDEX('Master List'!$G$2:$G$2594,O2983)</f>
        <v>0</v>
      </c>
      <c r="N2983" s="4" t="str">
        <f aca="false">IF(K2983="","",A2983)</f>
        <v/>
      </c>
      <c r="O2983" s="4" t="n">
        <v>926</v>
      </c>
      <c r="P2983" s="4" t="n">
        <f aca="false">IF(A2983=A2982,P2982+1-M2982,0)</f>
        <v>5</v>
      </c>
    </row>
    <row r="2984" customFormat="false" ht="15" hidden="false" customHeight="false" outlineLevel="0" collapsed="false">
      <c r="A2984" s="32" t="s">
        <v>4319</v>
      </c>
      <c r="B2984" s="32" t="s">
        <v>55</v>
      </c>
      <c r="C2984" s="32" t="s">
        <v>113</v>
      </c>
      <c r="D2984" s="32" t="s">
        <v>4320</v>
      </c>
      <c r="E2984" s="4" t="n">
        <v>11</v>
      </c>
      <c r="F2984" s="4" t="s">
        <v>213</v>
      </c>
      <c r="G2984" s="4" t="s">
        <v>324</v>
      </c>
      <c r="H2984" s="4" t="n">
        <v>2007</v>
      </c>
      <c r="I2984" s="4" t="s">
        <v>325</v>
      </c>
      <c r="J2984" s="25" t="str">
        <f aca="false">IF(M2984=1,"✓","")</f>
        <v/>
      </c>
      <c r="K2984" s="4" t="str">
        <f aca="false">IF(AND(M2984=0,P2984=0),"▶ NEXT","")</f>
        <v/>
      </c>
      <c r="L2984" s="4" t="n">
        <f aca="false">INDEX('Master List'!$F$2:$F$2594,O2984)</f>
        <v>4</v>
      </c>
      <c r="M2984" s="4" t="n">
        <f aca="false">INDEX('Master List'!$G$2:$G$2594,O2984)</f>
        <v>0</v>
      </c>
      <c r="N2984" s="4" t="str">
        <f aca="false">IF(K2984="","",A2984)</f>
        <v/>
      </c>
      <c r="O2984" s="4" t="n">
        <v>2588</v>
      </c>
      <c r="P2984" s="4" t="n">
        <f aca="false">IF(A2984=A2983,P2983+1-M2983,0)</f>
        <v>6</v>
      </c>
    </row>
    <row r="2985" customFormat="false" ht="15" hidden="false" customHeight="false" outlineLevel="0" collapsed="false">
      <c r="A2985" s="32" t="s">
        <v>4319</v>
      </c>
      <c r="B2985" s="32" t="s">
        <v>55</v>
      </c>
      <c r="C2985" s="32" t="s">
        <v>113</v>
      </c>
      <c r="D2985" s="32" t="s">
        <v>4320</v>
      </c>
      <c r="E2985" s="4" t="n">
        <v>12</v>
      </c>
      <c r="F2985" s="4" t="s">
        <v>213</v>
      </c>
      <c r="G2985" s="4" t="s">
        <v>1214</v>
      </c>
      <c r="H2985" s="4" t="n">
        <v>2014</v>
      </c>
      <c r="I2985" s="4" t="s">
        <v>1215</v>
      </c>
      <c r="J2985" s="25" t="str">
        <f aca="false">IF(M2985=1,"✓","")</f>
        <v>✓</v>
      </c>
      <c r="K2985" s="4" t="str">
        <f aca="false">IF(AND(M2985=0,P2985=0),"▶ NEXT","")</f>
        <v/>
      </c>
      <c r="L2985" s="4" t="n">
        <f aca="false">INDEX('Master List'!$F$2:$F$2594,O2985)</f>
        <v>2</v>
      </c>
      <c r="M2985" s="4" t="n">
        <f aca="false">INDEX('Master List'!$G$2:$G$2594,O2985)</f>
        <v>1</v>
      </c>
      <c r="N2985" s="4" t="str">
        <f aca="false">IF(K2985="","",A2985)</f>
        <v/>
      </c>
      <c r="O2985" s="4" t="n">
        <v>1610</v>
      </c>
      <c r="P2985" s="4" t="n">
        <f aca="false">IF(A2985=A2984,P2984+1-M2984,0)</f>
        <v>7</v>
      </c>
    </row>
    <row r="2986" customFormat="false" ht="15" hidden="false" customHeight="false" outlineLevel="0" collapsed="false">
      <c r="A2986" s="32" t="s">
        <v>4319</v>
      </c>
      <c r="B2986" s="32" t="s">
        <v>55</v>
      </c>
      <c r="C2986" s="32" t="s">
        <v>113</v>
      </c>
      <c r="D2986" s="32" t="s">
        <v>4320</v>
      </c>
      <c r="E2986" s="4" t="n">
        <v>13</v>
      </c>
      <c r="F2986" s="4" t="s">
        <v>213</v>
      </c>
      <c r="G2986" s="4" t="s">
        <v>1415</v>
      </c>
      <c r="H2986" s="4" t="n">
        <v>2017</v>
      </c>
      <c r="I2986" s="4" t="s">
        <v>183</v>
      </c>
      <c r="J2986" s="25" t="str">
        <f aca="false">IF(M2986=1,"✓","")</f>
        <v>✓</v>
      </c>
      <c r="K2986" s="4" t="str">
        <f aca="false">IF(AND(M2986=0,P2986=0),"▶ NEXT","")</f>
        <v/>
      </c>
      <c r="L2986" s="4" t="n">
        <f aca="false">INDEX('Master List'!$F$2:$F$2594,O2986)</f>
        <v>2</v>
      </c>
      <c r="M2986" s="4" t="n">
        <f aca="false">INDEX('Master List'!$G$2:$G$2594,O2986)</f>
        <v>1</v>
      </c>
      <c r="N2986" s="4" t="str">
        <f aca="false">IF(K2986="","",A2986)</f>
        <v/>
      </c>
      <c r="O2986" s="4" t="n">
        <v>1803</v>
      </c>
      <c r="P2986" s="4" t="n">
        <f aca="false">IF(A2986=A2985,P2985+1-M2985,0)</f>
        <v>7</v>
      </c>
    </row>
    <row r="2987" customFormat="false" ht="15" hidden="false" customHeight="false" outlineLevel="0" collapsed="false">
      <c r="A2987" s="32" t="s">
        <v>4319</v>
      </c>
      <c r="B2987" s="32" t="s">
        <v>55</v>
      </c>
      <c r="C2987" s="32" t="s">
        <v>113</v>
      </c>
      <c r="D2987" s="32" t="s">
        <v>4320</v>
      </c>
      <c r="E2987" s="4" t="n">
        <v>14</v>
      </c>
      <c r="F2987" s="4" t="s">
        <v>213</v>
      </c>
      <c r="G2987" s="4" t="s">
        <v>3228</v>
      </c>
      <c r="H2987" s="4" t="n">
        <v>2022</v>
      </c>
      <c r="I2987" s="4" t="s">
        <v>3229</v>
      </c>
      <c r="J2987" s="25" t="str">
        <f aca="false">IF(M2987=1,"✓","")</f>
        <v/>
      </c>
      <c r="K2987" s="4" t="str">
        <f aca="false">IF(AND(M2987=0,P2987=0),"▶ NEXT","")</f>
        <v/>
      </c>
      <c r="L2987" s="4" t="n">
        <f aca="false">INDEX('Master List'!$F$2:$F$2594,O2987)</f>
        <v>1</v>
      </c>
      <c r="M2987" s="4" t="n">
        <f aca="false">INDEX('Master List'!$G$2:$G$2594,O2987)</f>
        <v>0</v>
      </c>
      <c r="N2987" s="4" t="str">
        <f aca="false">IF(K2987="","",A2987)</f>
        <v/>
      </c>
      <c r="O2987" s="4" t="n">
        <v>2041</v>
      </c>
      <c r="P2987" s="4" t="n">
        <f aca="false">IF(A2987=A2986,P2986+1-M2986,0)</f>
        <v>7</v>
      </c>
    </row>
    <row r="2988" customFormat="false" ht="15" hidden="false" customHeight="false" outlineLevel="0" collapsed="false">
      <c r="A2988" s="32" t="s">
        <v>4319</v>
      </c>
      <c r="B2988" s="32" t="s">
        <v>55</v>
      </c>
      <c r="C2988" s="32" t="s">
        <v>113</v>
      </c>
      <c r="D2988" s="32" t="s">
        <v>4320</v>
      </c>
      <c r="E2988" s="4" t="n">
        <v>15</v>
      </c>
      <c r="F2988" s="4" t="s">
        <v>1327</v>
      </c>
      <c r="G2988" s="4" t="s">
        <v>3598</v>
      </c>
      <c r="H2988" s="4" t="n">
        <v>1981</v>
      </c>
      <c r="I2988" s="4" t="s">
        <v>1058</v>
      </c>
      <c r="J2988" s="25" t="str">
        <f aca="false">IF(M2988=1,"✓","")</f>
        <v/>
      </c>
      <c r="K2988" s="4" t="str">
        <f aca="false">IF(AND(M2988=0,P2988=0),"▶ NEXT","")</f>
        <v/>
      </c>
      <c r="L2988" s="4" t="n">
        <f aca="false">INDEX('Master List'!$F$2:$F$2594,O2988)</f>
        <v>1</v>
      </c>
      <c r="M2988" s="4" t="n">
        <f aca="false">INDEX('Master List'!$G$2:$G$2594,O2988)</f>
        <v>0</v>
      </c>
      <c r="N2988" s="4" t="str">
        <f aca="false">IF(K2988="","",A2988)</f>
        <v/>
      </c>
      <c r="O2988" s="4" t="n">
        <v>36</v>
      </c>
      <c r="P2988" s="4" t="n">
        <f aca="false">IF(A2988=A2987,P2987+1-M2987,0)</f>
        <v>8</v>
      </c>
    </row>
    <row r="2989" customFormat="false" ht="15" hidden="false" customHeight="false" outlineLevel="0" collapsed="false">
      <c r="A2989" s="32" t="s">
        <v>4319</v>
      </c>
      <c r="B2989" s="32" t="s">
        <v>55</v>
      </c>
      <c r="C2989" s="32" t="s">
        <v>113</v>
      </c>
      <c r="D2989" s="32" t="s">
        <v>4320</v>
      </c>
      <c r="E2989" s="4" t="n">
        <v>16</v>
      </c>
      <c r="F2989" s="4" t="s">
        <v>1327</v>
      </c>
      <c r="G2989" s="4" t="s">
        <v>3740</v>
      </c>
      <c r="H2989" s="4" t="n">
        <v>2003</v>
      </c>
      <c r="I2989" s="4" t="s">
        <v>3741</v>
      </c>
      <c r="J2989" s="25" t="str">
        <f aca="false">IF(M2989=1,"✓","")</f>
        <v/>
      </c>
      <c r="K2989" s="4" t="str">
        <f aca="false">IF(AND(M2989=0,P2989=0),"▶ NEXT","")</f>
        <v/>
      </c>
      <c r="L2989" s="4" t="n">
        <f aca="false">INDEX('Master List'!$F$2:$F$2594,O2989)</f>
        <v>1</v>
      </c>
      <c r="M2989" s="4" t="n">
        <f aca="false">INDEX('Master List'!$G$2:$G$2594,O2989)</f>
        <v>0</v>
      </c>
      <c r="N2989" s="4" t="str">
        <f aca="false">IF(K2989="","",A2989)</f>
        <v/>
      </c>
      <c r="O2989" s="4" t="n">
        <v>2037</v>
      </c>
      <c r="P2989" s="4" t="n">
        <f aca="false">IF(A2989=A2988,P2988+1-M2988,0)</f>
        <v>9</v>
      </c>
    </row>
    <row r="2990" customFormat="false" ht="15" hidden="false" customHeight="false" outlineLevel="0" collapsed="false">
      <c r="A2990" s="32" t="s">
        <v>4321</v>
      </c>
      <c r="B2990" s="32" t="s">
        <v>55</v>
      </c>
      <c r="C2990" s="32" t="s">
        <v>113</v>
      </c>
      <c r="D2990" s="32" t="s">
        <v>4322</v>
      </c>
      <c r="E2990" s="4" t="n">
        <v>1</v>
      </c>
      <c r="F2990" s="4" t="s">
        <v>144</v>
      </c>
      <c r="G2990" s="7" t="s">
        <v>188</v>
      </c>
      <c r="H2990" s="4" t="n">
        <v>1976</v>
      </c>
      <c r="I2990" s="4" t="s">
        <v>189</v>
      </c>
      <c r="J2990" s="25" t="str">
        <f aca="false">IF(M2990=1,"✓","")</f>
        <v>✓</v>
      </c>
      <c r="K2990" s="4" t="str">
        <f aca="false">IF(AND(M2990=0,P2990=0),"▶ NEXT","")</f>
        <v/>
      </c>
      <c r="L2990" s="4" t="n">
        <f aca="false">INDEX('Master List'!$F$2:$F$2594,O2990)</f>
        <v>7</v>
      </c>
      <c r="M2990" s="4" t="n">
        <f aca="false">INDEX('Master List'!$G$2:$G$2594,O2990)</f>
        <v>1</v>
      </c>
      <c r="N2990" s="4" t="str">
        <f aca="false">IF(K2990="","",A2990)</f>
        <v/>
      </c>
      <c r="O2990" s="4" t="n">
        <v>1593</v>
      </c>
      <c r="P2990" s="4" t="n">
        <f aca="false">IF(A2990=A2989,P2989+1-M2989,0)</f>
        <v>0</v>
      </c>
    </row>
    <row r="2991" customFormat="false" ht="15" hidden="false" customHeight="false" outlineLevel="0" collapsed="false">
      <c r="A2991" s="32" t="s">
        <v>4321</v>
      </c>
      <c r="B2991" s="32" t="s">
        <v>55</v>
      </c>
      <c r="C2991" s="32" t="s">
        <v>113</v>
      </c>
      <c r="D2991" s="32" t="s">
        <v>4322</v>
      </c>
      <c r="E2991" s="4" t="n">
        <v>2</v>
      </c>
      <c r="F2991" s="4" t="s">
        <v>144</v>
      </c>
      <c r="G2991" s="7" t="s">
        <v>314</v>
      </c>
      <c r="H2991" s="4" t="n">
        <v>1982</v>
      </c>
      <c r="I2991" s="4" t="s">
        <v>164</v>
      </c>
      <c r="J2991" s="25" t="str">
        <f aca="false">IF(M2991=1,"✓","")</f>
        <v>✓</v>
      </c>
      <c r="K2991" s="4" t="str">
        <f aca="false">IF(AND(M2991=0,P2991=0),"▶ NEXT","")</f>
        <v/>
      </c>
      <c r="L2991" s="4" t="n">
        <f aca="false">INDEX('Master List'!$F$2:$F$2594,O2991)</f>
        <v>4</v>
      </c>
      <c r="M2991" s="4" t="n">
        <f aca="false">INDEX('Master List'!$G$2:$G$2594,O2991)</f>
        <v>1</v>
      </c>
      <c r="N2991" s="4" t="str">
        <f aca="false">IF(K2991="","",A2991)</f>
        <v/>
      </c>
      <c r="O2991" s="4" t="n">
        <v>1258</v>
      </c>
      <c r="P2991" s="4" t="n">
        <f aca="false">IF(A2991=A2990,P2990+1-M2990,0)</f>
        <v>0</v>
      </c>
    </row>
    <row r="2992" customFormat="false" ht="15" hidden="false" customHeight="false" outlineLevel="0" collapsed="false">
      <c r="A2992" s="32" t="s">
        <v>4321</v>
      </c>
      <c r="B2992" s="32" t="s">
        <v>55</v>
      </c>
      <c r="C2992" s="32" t="s">
        <v>113</v>
      </c>
      <c r="D2992" s="32" t="s">
        <v>4322</v>
      </c>
      <c r="E2992" s="4" t="n">
        <v>3</v>
      </c>
      <c r="F2992" s="4" t="s">
        <v>213</v>
      </c>
      <c r="G2992" s="4" t="s">
        <v>1321</v>
      </c>
      <c r="H2992" s="4" t="n">
        <v>1957</v>
      </c>
      <c r="I2992" s="4" t="s">
        <v>375</v>
      </c>
      <c r="J2992" s="25" t="str">
        <f aca="false">IF(M2992=1,"✓","")</f>
        <v/>
      </c>
      <c r="K2992" s="4" t="str">
        <f aca="false">IF(AND(M2992=0,P2992=0),"▶ NEXT","")</f>
        <v>▶ NEXT</v>
      </c>
      <c r="L2992" s="4" t="n">
        <f aca="false">INDEX('Master List'!$F$2:$F$2594,O2992)</f>
        <v>2</v>
      </c>
      <c r="M2992" s="4" t="n">
        <f aca="false">INDEX('Master List'!$G$2:$G$2594,O2992)</f>
        <v>0</v>
      </c>
      <c r="N2992" s="4" t="str">
        <f aca="false">IF(K2992="","",A2992)</f>
        <v>N249</v>
      </c>
      <c r="O2992" s="4" t="n">
        <v>770</v>
      </c>
      <c r="P2992" s="4" t="n">
        <f aca="false">IF(A2992=A2991,P2991+1-M2991,0)</f>
        <v>0</v>
      </c>
    </row>
    <row r="2993" customFormat="false" ht="15" hidden="false" customHeight="false" outlineLevel="0" collapsed="false">
      <c r="A2993" s="32" t="s">
        <v>4321</v>
      </c>
      <c r="B2993" s="32" t="s">
        <v>55</v>
      </c>
      <c r="C2993" s="32" t="s">
        <v>113</v>
      </c>
      <c r="D2993" s="32" t="s">
        <v>4322</v>
      </c>
      <c r="E2993" s="4" t="n">
        <v>4</v>
      </c>
      <c r="F2993" s="4" t="s">
        <v>213</v>
      </c>
      <c r="G2993" s="4" t="s">
        <v>1341</v>
      </c>
      <c r="H2993" s="4" t="n">
        <v>1969</v>
      </c>
      <c r="I2993" s="4" t="s">
        <v>1342</v>
      </c>
      <c r="J2993" s="25" t="str">
        <f aca="false">IF(M2993=1,"✓","")</f>
        <v/>
      </c>
      <c r="K2993" s="4" t="str">
        <f aca="false">IF(AND(M2993=0,P2993=0),"▶ NEXT","")</f>
        <v/>
      </c>
      <c r="L2993" s="4" t="n">
        <f aca="false">INDEX('Master List'!$F$2:$F$2594,O2993)</f>
        <v>2</v>
      </c>
      <c r="M2993" s="4" t="n">
        <f aca="false">INDEX('Master List'!$G$2:$G$2594,O2993)</f>
        <v>0</v>
      </c>
      <c r="N2993" s="4" t="str">
        <f aca="false">IF(K2993="","",A2993)</f>
        <v/>
      </c>
      <c r="O2993" s="4" t="n">
        <v>1470</v>
      </c>
      <c r="P2993" s="4" t="n">
        <f aca="false">IF(A2993=A2992,P2992+1-M2992,0)</f>
        <v>1</v>
      </c>
    </row>
    <row r="2994" customFormat="false" ht="15" hidden="false" customHeight="false" outlineLevel="0" collapsed="false">
      <c r="A2994" s="32" t="s">
        <v>4321</v>
      </c>
      <c r="B2994" s="32" t="s">
        <v>55</v>
      </c>
      <c r="C2994" s="32" t="s">
        <v>113</v>
      </c>
      <c r="D2994" s="32" t="s">
        <v>4322</v>
      </c>
      <c r="E2994" s="4" t="n">
        <v>5</v>
      </c>
      <c r="F2994" s="4" t="s">
        <v>213</v>
      </c>
      <c r="G2994" s="4" t="s">
        <v>817</v>
      </c>
      <c r="H2994" s="4" t="n">
        <v>1987</v>
      </c>
      <c r="I2994" s="4" t="s">
        <v>818</v>
      </c>
      <c r="J2994" s="25" t="str">
        <f aca="false">IF(M2994=1,"✓","")</f>
        <v/>
      </c>
      <c r="K2994" s="4" t="str">
        <f aca="false">IF(AND(M2994=0,P2994=0),"▶ NEXT","")</f>
        <v/>
      </c>
      <c r="L2994" s="4" t="n">
        <f aca="false">INDEX('Master List'!$F$2:$F$2594,O2994)</f>
        <v>3</v>
      </c>
      <c r="M2994" s="4" t="n">
        <f aca="false">INDEX('Master List'!$G$2:$G$2594,O2994)</f>
        <v>0</v>
      </c>
      <c r="N2994" s="4" t="str">
        <f aca="false">IF(K2994="","",A2994)</f>
        <v/>
      </c>
      <c r="O2994" s="4" t="n">
        <v>354</v>
      </c>
      <c r="P2994" s="4" t="n">
        <f aca="false">IF(A2994=A2993,P2993+1-M2993,0)</f>
        <v>2</v>
      </c>
    </row>
    <row r="2995" customFormat="false" ht="15" hidden="false" customHeight="false" outlineLevel="0" collapsed="false">
      <c r="A2995" s="32" t="s">
        <v>4321</v>
      </c>
      <c r="B2995" s="32" t="s">
        <v>55</v>
      </c>
      <c r="C2995" s="32" t="s">
        <v>113</v>
      </c>
      <c r="D2995" s="32" t="s">
        <v>4322</v>
      </c>
      <c r="E2995" s="4" t="n">
        <v>6</v>
      </c>
      <c r="F2995" s="4" t="s">
        <v>213</v>
      </c>
      <c r="G2995" s="4" t="s">
        <v>2594</v>
      </c>
      <c r="H2995" s="4" t="n">
        <v>1994</v>
      </c>
      <c r="I2995" s="4" t="s">
        <v>1523</v>
      </c>
      <c r="J2995" s="25" t="str">
        <f aca="false">IF(M2995=1,"✓","")</f>
        <v>✓</v>
      </c>
      <c r="K2995" s="4" t="str">
        <f aca="false">IF(AND(M2995=0,P2995=0),"▶ NEXT","")</f>
        <v/>
      </c>
      <c r="L2995" s="4" t="n">
        <f aca="false">INDEX('Master List'!$F$2:$F$2594,O2995)</f>
        <v>1</v>
      </c>
      <c r="M2995" s="4" t="n">
        <f aca="false">INDEX('Master List'!$G$2:$G$2594,O2995)</f>
        <v>1</v>
      </c>
      <c r="N2995" s="4" t="str">
        <f aca="false">IF(K2995="","",A2995)</f>
        <v/>
      </c>
      <c r="O2995" s="4" t="n">
        <v>1846</v>
      </c>
      <c r="P2995" s="4" t="n">
        <f aca="false">IF(A2995=A2994,P2994+1-M2994,0)</f>
        <v>3</v>
      </c>
    </row>
    <row r="2996" customFormat="false" ht="15" hidden="false" customHeight="false" outlineLevel="0" collapsed="false">
      <c r="A2996" s="32" t="s">
        <v>4321</v>
      </c>
      <c r="B2996" s="32" t="s">
        <v>55</v>
      </c>
      <c r="C2996" s="32" t="s">
        <v>113</v>
      </c>
      <c r="D2996" s="32" t="s">
        <v>4322</v>
      </c>
      <c r="E2996" s="4" t="n">
        <v>7</v>
      </c>
      <c r="F2996" s="4" t="s">
        <v>213</v>
      </c>
      <c r="G2996" s="4" t="s">
        <v>2616</v>
      </c>
      <c r="H2996" s="4" t="n">
        <v>1995</v>
      </c>
      <c r="I2996" s="4" t="s">
        <v>827</v>
      </c>
      <c r="J2996" s="25" t="str">
        <f aca="false">IF(M2996=1,"✓","")</f>
        <v/>
      </c>
      <c r="K2996" s="4" t="str">
        <f aca="false">IF(AND(M2996=0,P2996=0),"▶ NEXT","")</f>
        <v/>
      </c>
      <c r="L2996" s="4" t="n">
        <f aca="false">INDEX('Master List'!$F$2:$F$2594,O2996)</f>
        <v>1</v>
      </c>
      <c r="M2996" s="4" t="n">
        <f aca="false">INDEX('Master List'!$G$2:$G$2594,O2996)</f>
        <v>0</v>
      </c>
      <c r="N2996" s="4" t="str">
        <f aca="false">IF(K2996="","",A2996)</f>
        <v/>
      </c>
      <c r="O2996" s="4" t="n">
        <v>2316</v>
      </c>
      <c r="P2996" s="4" t="n">
        <f aca="false">IF(A2996=A2995,P2995+1-M2995,0)</f>
        <v>3</v>
      </c>
    </row>
    <row r="2997" customFormat="false" ht="15" hidden="false" customHeight="false" outlineLevel="0" collapsed="false">
      <c r="A2997" s="32" t="s">
        <v>4321</v>
      </c>
      <c r="B2997" s="32" t="s">
        <v>55</v>
      </c>
      <c r="C2997" s="32" t="s">
        <v>113</v>
      </c>
      <c r="D2997" s="32" t="s">
        <v>4322</v>
      </c>
      <c r="E2997" s="4" t="n">
        <v>8</v>
      </c>
      <c r="F2997" s="4" t="s">
        <v>213</v>
      </c>
      <c r="G2997" s="4" t="s">
        <v>438</v>
      </c>
      <c r="H2997" s="4" t="n">
        <v>1998</v>
      </c>
      <c r="I2997" s="4" t="s">
        <v>439</v>
      </c>
      <c r="J2997" s="25" t="str">
        <f aca="false">IF(M2997=1,"✓","")</f>
        <v>✓</v>
      </c>
      <c r="K2997" s="4" t="str">
        <f aca="false">IF(AND(M2997=0,P2997=0),"▶ NEXT","")</f>
        <v/>
      </c>
      <c r="L2997" s="4" t="n">
        <f aca="false">INDEX('Master List'!$F$2:$F$2594,O2997)</f>
        <v>4</v>
      </c>
      <c r="M2997" s="4" t="n">
        <f aca="false">INDEX('Master List'!$G$2:$G$2594,O2997)</f>
        <v>1</v>
      </c>
      <c r="N2997" s="4" t="str">
        <f aca="false">IF(K2997="","",A2997)</f>
        <v/>
      </c>
      <c r="O2997" s="4" t="n">
        <v>2380</v>
      </c>
      <c r="P2997" s="4" t="n">
        <f aca="false">IF(A2997=A2996,P2996+1-M2996,0)</f>
        <v>4</v>
      </c>
    </row>
    <row r="2998" customFormat="false" ht="15" hidden="false" customHeight="false" outlineLevel="0" collapsed="false">
      <c r="A2998" s="32" t="s">
        <v>4321</v>
      </c>
      <c r="B2998" s="32" t="s">
        <v>55</v>
      </c>
      <c r="C2998" s="32" t="s">
        <v>113</v>
      </c>
      <c r="D2998" s="32" t="s">
        <v>4322</v>
      </c>
      <c r="E2998" s="4" t="n">
        <v>9</v>
      </c>
      <c r="F2998" s="4" t="s">
        <v>213</v>
      </c>
      <c r="G2998" s="4" t="s">
        <v>2709</v>
      </c>
      <c r="H2998" s="4" t="n">
        <v>1999</v>
      </c>
      <c r="I2998" s="4" t="s">
        <v>548</v>
      </c>
      <c r="J2998" s="25" t="str">
        <f aca="false">IF(M2998=1,"✓","")</f>
        <v>✓</v>
      </c>
      <c r="K2998" s="4" t="str">
        <f aca="false">IF(AND(M2998=0,P2998=0),"▶ NEXT","")</f>
        <v/>
      </c>
      <c r="L2998" s="4" t="n">
        <f aca="false">INDEX('Master List'!$F$2:$F$2594,O2998)</f>
        <v>1</v>
      </c>
      <c r="M2998" s="4" t="n">
        <f aca="false">INDEX('Master List'!$G$2:$G$2594,O2998)</f>
        <v>1</v>
      </c>
      <c r="N2998" s="4" t="str">
        <f aca="false">IF(K2998="","",A2998)</f>
        <v/>
      </c>
      <c r="O2998" s="4" t="n">
        <v>1429</v>
      </c>
      <c r="P2998" s="4" t="n">
        <f aca="false">IF(A2998=A2997,P2997+1-M2997,0)</f>
        <v>4</v>
      </c>
    </row>
    <row r="2999" customFormat="false" ht="15" hidden="false" customHeight="false" outlineLevel="0" collapsed="false">
      <c r="A2999" s="32" t="s">
        <v>4321</v>
      </c>
      <c r="B2999" s="32" t="s">
        <v>55</v>
      </c>
      <c r="C2999" s="32" t="s">
        <v>113</v>
      </c>
      <c r="D2999" s="32" t="s">
        <v>4322</v>
      </c>
      <c r="E2999" s="4" t="n">
        <v>10</v>
      </c>
      <c r="F2999" s="4" t="s">
        <v>213</v>
      </c>
      <c r="G2999" s="4" t="s">
        <v>855</v>
      </c>
      <c r="H2999" s="4" t="n">
        <v>2004</v>
      </c>
      <c r="I2999" s="4" t="s">
        <v>856</v>
      </c>
      <c r="J2999" s="25" t="str">
        <f aca="false">IF(M2999=1,"✓","")</f>
        <v>✓</v>
      </c>
      <c r="K2999" s="4" t="str">
        <f aca="false">IF(AND(M2999=0,P2999=0),"▶ NEXT","")</f>
        <v/>
      </c>
      <c r="L2999" s="4" t="n">
        <f aca="false">INDEX('Master List'!$F$2:$F$2594,O2999)</f>
        <v>2</v>
      </c>
      <c r="M2999" s="4" t="n">
        <f aca="false">INDEX('Master List'!$G$2:$G$2594,O2999)</f>
        <v>1</v>
      </c>
      <c r="N2999" s="4" t="str">
        <f aca="false">IF(K2999="","",A2999)</f>
        <v/>
      </c>
      <c r="O2999" s="4" t="n">
        <v>100</v>
      </c>
      <c r="P2999" s="4" t="n">
        <f aca="false">IF(A2999=A2998,P2998+1-M2998,0)</f>
        <v>4</v>
      </c>
    </row>
    <row r="3000" customFormat="false" ht="15" hidden="false" customHeight="false" outlineLevel="0" collapsed="false">
      <c r="A3000" s="32" t="s">
        <v>4321</v>
      </c>
      <c r="B3000" s="32" t="s">
        <v>55</v>
      </c>
      <c r="C3000" s="32" t="s">
        <v>113</v>
      </c>
      <c r="D3000" s="32" t="s">
        <v>4322</v>
      </c>
      <c r="E3000" s="4" t="n">
        <v>11</v>
      </c>
      <c r="F3000" s="4" t="s">
        <v>213</v>
      </c>
      <c r="G3000" s="4" t="s">
        <v>3263</v>
      </c>
      <c r="H3000" s="4" t="n">
        <v>2024</v>
      </c>
      <c r="I3000" s="4" t="s">
        <v>3264</v>
      </c>
      <c r="J3000" s="25" t="str">
        <f aca="false">IF(M3000=1,"✓","")</f>
        <v>✓</v>
      </c>
      <c r="K3000" s="4" t="str">
        <f aca="false">IF(AND(M3000=0,P3000=0),"▶ NEXT","")</f>
        <v/>
      </c>
      <c r="L3000" s="4" t="n">
        <f aca="false">INDEX('Master List'!$F$2:$F$2594,O3000)</f>
        <v>1</v>
      </c>
      <c r="M3000" s="4" t="n">
        <f aca="false">INDEX('Master List'!$G$2:$G$2594,O3000)</f>
        <v>1</v>
      </c>
      <c r="N3000" s="4" t="str">
        <f aca="false">IF(K3000="","",A3000)</f>
        <v/>
      </c>
      <c r="O3000" s="4" t="n">
        <v>1973</v>
      </c>
      <c r="P3000" s="4" t="n">
        <f aca="false">IF(A3000=A2999,P2999+1-M2999,0)</f>
        <v>4</v>
      </c>
    </row>
    <row r="3001" customFormat="false" ht="15" hidden="false" customHeight="false" outlineLevel="0" collapsed="false">
      <c r="A3001" s="32" t="s">
        <v>4321</v>
      </c>
      <c r="B3001" s="32" t="s">
        <v>55</v>
      </c>
      <c r="C3001" s="32" t="s">
        <v>113</v>
      </c>
      <c r="D3001" s="32" t="s">
        <v>4322</v>
      </c>
      <c r="E3001" s="4" t="n">
        <v>12</v>
      </c>
      <c r="F3001" s="4" t="s">
        <v>213</v>
      </c>
      <c r="G3001" s="4" t="s">
        <v>3243</v>
      </c>
      <c r="H3001" s="4" t="n">
        <v>2023</v>
      </c>
      <c r="I3001" s="4" t="s">
        <v>3244</v>
      </c>
      <c r="J3001" s="25" t="str">
        <f aca="false">IF(M3001=1,"✓","")</f>
        <v/>
      </c>
      <c r="K3001" s="4" t="str">
        <f aca="false">IF(AND(M3001=0,P3001=0),"▶ NEXT","")</f>
        <v/>
      </c>
      <c r="L3001" s="4" t="n">
        <f aca="false">INDEX('Master List'!$F$2:$F$2594,O3001)</f>
        <v>1</v>
      </c>
      <c r="M3001" s="4" t="n">
        <f aca="false">INDEX('Master List'!$G$2:$G$2594,O3001)</f>
        <v>0</v>
      </c>
      <c r="N3001" s="4" t="str">
        <f aca="false">IF(K3001="","",A3001)</f>
        <v/>
      </c>
      <c r="O3001" s="4" t="n">
        <v>1307</v>
      </c>
      <c r="P3001" s="4" t="n">
        <f aca="false">IF(A3001=A3000,P3000+1-M3000,0)</f>
        <v>4</v>
      </c>
    </row>
    <row r="3002" customFormat="false" ht="15" hidden="false" customHeight="false" outlineLevel="0" collapsed="false">
      <c r="A3002" s="32" t="s">
        <v>4321</v>
      </c>
      <c r="B3002" s="32" t="s">
        <v>55</v>
      </c>
      <c r="C3002" s="32" t="s">
        <v>113</v>
      </c>
      <c r="D3002" s="32" t="s">
        <v>4322</v>
      </c>
      <c r="E3002" s="4" t="n">
        <v>13</v>
      </c>
      <c r="F3002" s="4" t="s">
        <v>1327</v>
      </c>
      <c r="G3002" s="4" t="s">
        <v>1388</v>
      </c>
      <c r="H3002" s="4" t="n">
        <v>1994</v>
      </c>
      <c r="I3002" s="4" t="s">
        <v>397</v>
      </c>
      <c r="J3002" s="25" t="str">
        <f aca="false">IF(M3002=1,"✓","")</f>
        <v>✓</v>
      </c>
      <c r="K3002" s="4" t="str">
        <f aca="false">IF(AND(M3002=0,P3002=0),"▶ NEXT","")</f>
        <v/>
      </c>
      <c r="L3002" s="4" t="n">
        <f aca="false">INDEX('Master List'!$F$2:$F$2594,O3002)</f>
        <v>2</v>
      </c>
      <c r="M3002" s="4" t="n">
        <f aca="false">INDEX('Master List'!$G$2:$G$2594,O3002)</f>
        <v>1</v>
      </c>
      <c r="N3002" s="4" t="str">
        <f aca="false">IF(K3002="","",A3002)</f>
        <v/>
      </c>
      <c r="O3002" s="4" t="n">
        <v>1082</v>
      </c>
      <c r="P3002" s="4" t="n">
        <f aca="false">IF(A3002=A3001,P3001+1-M3001,0)</f>
        <v>5</v>
      </c>
    </row>
    <row r="3003" customFormat="false" ht="15" hidden="false" customHeight="false" outlineLevel="0" collapsed="false">
      <c r="A3003" s="32" t="s">
        <v>4321</v>
      </c>
      <c r="B3003" s="32" t="s">
        <v>55</v>
      </c>
      <c r="C3003" s="32" t="s">
        <v>113</v>
      </c>
      <c r="D3003" s="32" t="s">
        <v>4322</v>
      </c>
      <c r="E3003" s="4" t="n">
        <v>14</v>
      </c>
      <c r="F3003" s="4" t="s">
        <v>1327</v>
      </c>
      <c r="G3003" s="4" t="s">
        <v>2480</v>
      </c>
      <c r="H3003" s="4" t="n">
        <v>1988</v>
      </c>
      <c r="I3003" s="4" t="s">
        <v>197</v>
      </c>
      <c r="J3003" s="25" t="str">
        <f aca="false">IF(M3003=1,"✓","")</f>
        <v/>
      </c>
      <c r="K3003" s="4" t="str">
        <f aca="false">IF(AND(M3003=0,P3003=0),"▶ NEXT","")</f>
        <v/>
      </c>
      <c r="L3003" s="4" t="n">
        <f aca="false">INDEX('Master List'!$F$2:$F$2594,O3003)</f>
        <v>2</v>
      </c>
      <c r="M3003" s="4" t="n">
        <f aca="false">INDEX('Master List'!$G$2:$G$2594,O3003)</f>
        <v>0</v>
      </c>
      <c r="N3003" s="4" t="str">
        <f aca="false">IF(K3003="","",A3003)</f>
        <v/>
      </c>
      <c r="O3003" s="4" t="n">
        <v>2240</v>
      </c>
      <c r="P3003" s="4" t="n">
        <f aca="false">IF(A3003=A3002,P3002+1-M3002,0)</f>
        <v>5</v>
      </c>
    </row>
    <row r="3004" customFormat="false" ht="15" hidden="false" customHeight="false" outlineLevel="0" collapsed="false">
      <c r="A3004" s="32" t="s">
        <v>4323</v>
      </c>
      <c r="B3004" s="32" t="s">
        <v>55</v>
      </c>
      <c r="C3004" s="32" t="s">
        <v>113</v>
      </c>
      <c r="D3004" s="32" t="s">
        <v>4324</v>
      </c>
      <c r="E3004" s="4" t="n">
        <v>1</v>
      </c>
      <c r="F3004" s="4" t="s">
        <v>144</v>
      </c>
      <c r="G3004" s="7" t="s">
        <v>236</v>
      </c>
      <c r="H3004" s="4" t="n">
        <v>1957</v>
      </c>
      <c r="I3004" s="4" t="s">
        <v>189</v>
      </c>
      <c r="J3004" s="25" t="str">
        <f aca="false">IF(M3004=1,"✓","")</f>
        <v>✓</v>
      </c>
      <c r="K3004" s="4" t="str">
        <f aca="false">IF(AND(M3004=0,P3004=0),"▶ NEXT","")</f>
        <v/>
      </c>
      <c r="L3004" s="4" t="n">
        <f aca="false">INDEX('Master List'!$F$2:$F$2594,O3004)</f>
        <v>5</v>
      </c>
      <c r="M3004" s="4" t="n">
        <f aca="false">INDEX('Master List'!$G$2:$G$2594,O3004)</f>
        <v>1</v>
      </c>
      <c r="N3004" s="4" t="str">
        <f aca="false">IF(K3004="","",A3004)</f>
        <v/>
      </c>
      <c r="O3004" s="4" t="n">
        <v>3</v>
      </c>
      <c r="P3004" s="4" t="n">
        <f aca="false">IF(A3004=A3003,P3003+1-M3003,0)</f>
        <v>0</v>
      </c>
    </row>
    <row r="3005" customFormat="false" ht="15" hidden="false" customHeight="false" outlineLevel="0" collapsed="false">
      <c r="A3005" s="32" t="s">
        <v>4323</v>
      </c>
      <c r="B3005" s="32" t="s">
        <v>55</v>
      </c>
      <c r="C3005" s="32" t="s">
        <v>113</v>
      </c>
      <c r="D3005" s="32" t="s">
        <v>4324</v>
      </c>
      <c r="E3005" s="4" t="n">
        <v>2</v>
      </c>
      <c r="F3005" s="4" t="s">
        <v>144</v>
      </c>
      <c r="G3005" s="7" t="s">
        <v>432</v>
      </c>
      <c r="H3005" s="4" t="n">
        <v>1962</v>
      </c>
      <c r="I3005" s="4" t="s">
        <v>433</v>
      </c>
      <c r="J3005" s="25" t="str">
        <f aca="false">IF(M3005=1,"✓","")</f>
        <v/>
      </c>
      <c r="K3005" s="4" t="str">
        <f aca="false">IF(AND(M3005=0,P3005=0),"▶ NEXT","")</f>
        <v>▶ NEXT</v>
      </c>
      <c r="L3005" s="4" t="n">
        <f aca="false">INDEX('Master List'!$F$2:$F$2594,O3005)</f>
        <v>3</v>
      </c>
      <c r="M3005" s="4" t="n">
        <f aca="false">INDEX('Master List'!$G$2:$G$2594,O3005)</f>
        <v>0</v>
      </c>
      <c r="N3005" s="4" t="str">
        <f aca="false">IF(K3005="","",A3005)</f>
        <v>N250</v>
      </c>
      <c r="O3005" s="4" t="n">
        <v>2318</v>
      </c>
      <c r="P3005" s="4" t="n">
        <f aca="false">IF(A3005=A3004,P3004+1-M3004,0)</f>
        <v>0</v>
      </c>
    </row>
    <row r="3006" customFormat="false" ht="15" hidden="false" customHeight="false" outlineLevel="0" collapsed="false">
      <c r="A3006" s="32" t="s">
        <v>4323</v>
      </c>
      <c r="B3006" s="32" t="s">
        <v>55</v>
      </c>
      <c r="C3006" s="32" t="s">
        <v>113</v>
      </c>
      <c r="D3006" s="32" t="s">
        <v>4324</v>
      </c>
      <c r="E3006" s="4" t="n">
        <v>3</v>
      </c>
      <c r="F3006" s="4" t="s">
        <v>213</v>
      </c>
      <c r="G3006" s="4" t="s">
        <v>947</v>
      </c>
      <c r="H3006" s="4" t="n">
        <v>1957</v>
      </c>
      <c r="I3006" s="4" t="s">
        <v>200</v>
      </c>
      <c r="J3006" s="25" t="str">
        <f aca="false">IF(M3006=1,"✓","")</f>
        <v/>
      </c>
      <c r="K3006" s="4" t="str">
        <f aca="false">IF(AND(M3006=0,P3006=0),"▶ NEXT","")</f>
        <v/>
      </c>
      <c r="L3006" s="4" t="n">
        <f aca="false">INDEX('Master List'!$F$2:$F$2594,O3006)</f>
        <v>2</v>
      </c>
      <c r="M3006" s="4" t="n">
        <f aca="false">INDEX('Master List'!$G$2:$G$2594,O3006)</f>
        <v>0</v>
      </c>
      <c r="N3006" s="4" t="str">
        <f aca="false">IF(K3006="","",A3006)</f>
        <v/>
      </c>
      <c r="O3006" s="4" t="n">
        <v>2538</v>
      </c>
      <c r="P3006" s="4" t="n">
        <f aca="false">IF(A3006=A3005,P3005+1-M3005,0)</f>
        <v>1</v>
      </c>
    </row>
    <row r="3007" customFormat="false" ht="15" hidden="false" customHeight="false" outlineLevel="0" collapsed="false">
      <c r="A3007" s="32" t="s">
        <v>4323</v>
      </c>
      <c r="B3007" s="32" t="s">
        <v>55</v>
      </c>
      <c r="C3007" s="32" t="s">
        <v>113</v>
      </c>
      <c r="D3007" s="32" t="s">
        <v>4324</v>
      </c>
      <c r="E3007" s="4" t="n">
        <v>4</v>
      </c>
      <c r="F3007" s="4" t="s">
        <v>213</v>
      </c>
      <c r="G3007" s="4" t="s">
        <v>950</v>
      </c>
      <c r="H3007" s="4" t="n">
        <v>1959</v>
      </c>
      <c r="I3007" s="4" t="s">
        <v>951</v>
      </c>
      <c r="J3007" s="25" t="str">
        <f aca="false">IF(M3007=1,"✓","")</f>
        <v/>
      </c>
      <c r="K3007" s="4" t="str">
        <f aca="false">IF(AND(M3007=0,P3007=0),"▶ NEXT","")</f>
        <v/>
      </c>
      <c r="L3007" s="4" t="n">
        <f aca="false">INDEX('Master List'!$F$2:$F$2594,O3007)</f>
        <v>2</v>
      </c>
      <c r="M3007" s="4" t="n">
        <f aca="false">INDEX('Master List'!$G$2:$G$2594,O3007)</f>
        <v>0</v>
      </c>
      <c r="N3007" s="4" t="str">
        <f aca="false">IF(K3007="","",A3007)</f>
        <v/>
      </c>
      <c r="O3007" s="4" t="n">
        <v>99</v>
      </c>
      <c r="P3007" s="4" t="n">
        <f aca="false">IF(A3007=A3006,P3006+1-M3006,0)</f>
        <v>2</v>
      </c>
    </row>
    <row r="3008" customFormat="false" ht="15" hidden="false" customHeight="false" outlineLevel="0" collapsed="false">
      <c r="A3008" s="32" t="s">
        <v>4323</v>
      </c>
      <c r="B3008" s="32" t="s">
        <v>55</v>
      </c>
      <c r="C3008" s="32" t="s">
        <v>113</v>
      </c>
      <c r="D3008" s="32" t="s">
        <v>4324</v>
      </c>
      <c r="E3008" s="4" t="n">
        <v>5</v>
      </c>
      <c r="F3008" s="4" t="s">
        <v>213</v>
      </c>
      <c r="G3008" s="4" t="s">
        <v>1984</v>
      </c>
      <c r="H3008" s="4" t="n">
        <v>1960</v>
      </c>
      <c r="I3008" s="4" t="s">
        <v>1969</v>
      </c>
      <c r="J3008" s="25" t="str">
        <f aca="false">IF(M3008=1,"✓","")</f>
        <v/>
      </c>
      <c r="K3008" s="4" t="str">
        <f aca="false">IF(AND(M3008=0,P3008=0),"▶ NEXT","")</f>
        <v/>
      </c>
      <c r="L3008" s="4" t="n">
        <f aca="false">INDEX('Master List'!$F$2:$F$2594,O3008)</f>
        <v>1</v>
      </c>
      <c r="M3008" s="4" t="n">
        <f aca="false">INDEX('Master List'!$G$2:$G$2594,O3008)</f>
        <v>0</v>
      </c>
      <c r="N3008" s="4" t="str">
        <f aca="false">IF(K3008="","",A3008)</f>
        <v/>
      </c>
      <c r="O3008" s="4" t="n">
        <v>1141</v>
      </c>
      <c r="P3008" s="4" t="n">
        <f aca="false">IF(A3008=A3007,P3007+1-M3007,0)</f>
        <v>3</v>
      </c>
    </row>
    <row r="3009" customFormat="false" ht="15" hidden="false" customHeight="false" outlineLevel="0" collapsed="false">
      <c r="A3009" s="32" t="s">
        <v>4323</v>
      </c>
      <c r="B3009" s="32" t="s">
        <v>55</v>
      </c>
      <c r="C3009" s="32" t="s">
        <v>113</v>
      </c>
      <c r="D3009" s="32" t="s">
        <v>4324</v>
      </c>
      <c r="E3009" s="4" t="n">
        <v>6</v>
      </c>
      <c r="F3009" s="4" t="s">
        <v>213</v>
      </c>
      <c r="G3009" s="4" t="s">
        <v>2002</v>
      </c>
      <c r="H3009" s="4" t="n">
        <v>1961</v>
      </c>
      <c r="I3009" s="4" t="s">
        <v>1969</v>
      </c>
      <c r="J3009" s="25" t="str">
        <f aca="false">IF(M3009=1,"✓","")</f>
        <v/>
      </c>
      <c r="K3009" s="4" t="str">
        <f aca="false">IF(AND(M3009=0,P3009=0),"▶ NEXT","")</f>
        <v/>
      </c>
      <c r="L3009" s="4" t="n">
        <f aca="false">INDEX('Master List'!$F$2:$F$2594,O3009)</f>
        <v>1</v>
      </c>
      <c r="M3009" s="4" t="n">
        <f aca="false">INDEX('Master List'!$G$2:$G$2594,O3009)</f>
        <v>0</v>
      </c>
      <c r="N3009" s="4" t="str">
        <f aca="false">IF(K3009="","",A3009)</f>
        <v/>
      </c>
      <c r="O3009" s="4" t="n">
        <v>1221</v>
      </c>
      <c r="P3009" s="4" t="n">
        <f aca="false">IF(A3009=A3008,P3008+1-M3008,0)</f>
        <v>4</v>
      </c>
    </row>
    <row r="3010" customFormat="false" ht="15" hidden="false" customHeight="false" outlineLevel="0" collapsed="false">
      <c r="A3010" s="32" t="s">
        <v>4323</v>
      </c>
      <c r="B3010" s="32" t="s">
        <v>55</v>
      </c>
      <c r="C3010" s="32" t="s">
        <v>113</v>
      </c>
      <c r="D3010" s="32" t="s">
        <v>4324</v>
      </c>
      <c r="E3010" s="4" t="n">
        <v>7</v>
      </c>
      <c r="F3010" s="4" t="s">
        <v>213</v>
      </c>
      <c r="G3010" s="4" t="s">
        <v>557</v>
      </c>
      <c r="H3010" s="4" t="n">
        <v>1979</v>
      </c>
      <c r="I3010" s="4" t="s">
        <v>558</v>
      </c>
      <c r="J3010" s="25" t="str">
        <f aca="false">IF(M3010=1,"✓","")</f>
        <v/>
      </c>
      <c r="K3010" s="4" t="str">
        <f aca="false">IF(AND(M3010=0,P3010=0),"▶ NEXT","")</f>
        <v/>
      </c>
      <c r="L3010" s="4" t="n">
        <f aca="false">INDEX('Master List'!$F$2:$F$2594,O3010)</f>
        <v>3</v>
      </c>
      <c r="M3010" s="4" t="n">
        <f aca="false">INDEX('Master List'!$G$2:$G$2594,O3010)</f>
        <v>0</v>
      </c>
      <c r="N3010" s="4" t="str">
        <f aca="false">IF(K3010="","",A3010)</f>
        <v/>
      </c>
      <c r="O3010" s="4" t="n">
        <v>1271</v>
      </c>
      <c r="P3010" s="4" t="n">
        <f aca="false">IF(A3010=A3009,P3009+1-M3009,0)</f>
        <v>5</v>
      </c>
    </row>
    <row r="3011" customFormat="false" ht="15" hidden="false" customHeight="false" outlineLevel="0" collapsed="false">
      <c r="A3011" s="32" t="s">
        <v>4323</v>
      </c>
      <c r="B3011" s="32" t="s">
        <v>55</v>
      </c>
      <c r="C3011" s="32" t="s">
        <v>113</v>
      </c>
      <c r="D3011" s="32" t="s">
        <v>4324</v>
      </c>
      <c r="E3011" s="4" t="n">
        <v>8</v>
      </c>
      <c r="F3011" s="4" t="s">
        <v>213</v>
      </c>
      <c r="G3011" s="4" t="s">
        <v>1049</v>
      </c>
      <c r="H3011" s="4" t="n">
        <v>1980</v>
      </c>
      <c r="I3011" s="4" t="s">
        <v>1050</v>
      </c>
      <c r="J3011" s="25" t="str">
        <f aca="false">IF(M3011=1,"✓","")</f>
        <v/>
      </c>
      <c r="K3011" s="4" t="str">
        <f aca="false">IF(AND(M3011=0,P3011=0),"▶ NEXT","")</f>
        <v/>
      </c>
      <c r="L3011" s="4" t="n">
        <f aca="false">INDEX('Master List'!$F$2:$F$2594,O3011)</f>
        <v>2</v>
      </c>
      <c r="M3011" s="4" t="n">
        <f aca="false">INDEX('Master List'!$G$2:$G$2594,O3011)</f>
        <v>0</v>
      </c>
      <c r="N3011" s="4" t="str">
        <f aca="false">IF(K3011="","",A3011)</f>
        <v/>
      </c>
      <c r="O3011" s="4" t="n">
        <v>338</v>
      </c>
      <c r="P3011" s="4" t="n">
        <f aca="false">IF(A3011=A3010,P3010+1-M3010,0)</f>
        <v>6</v>
      </c>
    </row>
    <row r="3012" customFormat="false" ht="15" hidden="false" customHeight="false" outlineLevel="0" collapsed="false">
      <c r="A3012" s="32" t="s">
        <v>4323</v>
      </c>
      <c r="B3012" s="32" t="s">
        <v>55</v>
      </c>
      <c r="C3012" s="32" t="s">
        <v>113</v>
      </c>
      <c r="D3012" s="32" t="s">
        <v>4324</v>
      </c>
      <c r="E3012" s="4" t="n">
        <v>9</v>
      </c>
      <c r="F3012" s="4" t="s">
        <v>213</v>
      </c>
      <c r="G3012" s="4" t="s">
        <v>1060</v>
      </c>
      <c r="H3012" s="4" t="n">
        <v>1982</v>
      </c>
      <c r="I3012" s="4" t="s">
        <v>189</v>
      </c>
      <c r="J3012" s="25" t="str">
        <f aca="false">IF(M3012=1,"✓","")</f>
        <v>✓</v>
      </c>
      <c r="K3012" s="4" t="str">
        <f aca="false">IF(AND(M3012=0,P3012=0),"▶ NEXT","")</f>
        <v/>
      </c>
      <c r="L3012" s="4" t="n">
        <f aca="false">INDEX('Master List'!$F$2:$F$2594,O3012)</f>
        <v>2</v>
      </c>
      <c r="M3012" s="4" t="n">
        <f aca="false">INDEX('Master List'!$G$2:$G$2594,O3012)</f>
        <v>1</v>
      </c>
      <c r="N3012" s="4" t="str">
        <f aca="false">IF(K3012="","",A3012)</f>
        <v/>
      </c>
      <c r="O3012" s="4" t="n">
        <v>2427</v>
      </c>
      <c r="P3012" s="4" t="n">
        <f aca="false">IF(A3012=A3011,P3011+1-M3011,0)</f>
        <v>7</v>
      </c>
    </row>
    <row r="3013" customFormat="false" ht="15" hidden="false" customHeight="false" outlineLevel="0" collapsed="false">
      <c r="A3013" s="32" t="s">
        <v>4323</v>
      </c>
      <c r="B3013" s="32" t="s">
        <v>55</v>
      </c>
      <c r="C3013" s="32" t="s">
        <v>113</v>
      </c>
      <c r="D3013" s="32" t="s">
        <v>4324</v>
      </c>
      <c r="E3013" s="4" t="n">
        <v>10</v>
      </c>
      <c r="F3013" s="4" t="s">
        <v>213</v>
      </c>
      <c r="G3013" s="4" t="s">
        <v>2555</v>
      </c>
      <c r="H3013" s="4" t="n">
        <v>1992</v>
      </c>
      <c r="I3013" s="4" t="s">
        <v>2424</v>
      </c>
      <c r="J3013" s="25" t="str">
        <f aca="false">IF(M3013=1,"✓","")</f>
        <v/>
      </c>
      <c r="K3013" s="4" t="str">
        <f aca="false">IF(AND(M3013=0,P3013=0),"▶ NEXT","")</f>
        <v/>
      </c>
      <c r="L3013" s="4" t="n">
        <f aca="false">INDEX('Master List'!$F$2:$F$2594,O3013)</f>
        <v>1</v>
      </c>
      <c r="M3013" s="4" t="n">
        <f aca="false">INDEX('Master List'!$G$2:$G$2594,O3013)</f>
        <v>0</v>
      </c>
      <c r="N3013" s="4" t="str">
        <f aca="false">IF(K3013="","",A3013)</f>
        <v/>
      </c>
      <c r="O3013" s="4" t="n">
        <v>1569</v>
      </c>
      <c r="P3013" s="4" t="n">
        <f aca="false">IF(A3013=A3012,P3012+1-M3012,0)</f>
        <v>7</v>
      </c>
    </row>
    <row r="3014" customFormat="false" ht="15" hidden="false" customHeight="false" outlineLevel="0" collapsed="false">
      <c r="A3014" s="32" t="s">
        <v>4323</v>
      </c>
      <c r="B3014" s="32" t="s">
        <v>55</v>
      </c>
      <c r="C3014" s="32" t="s">
        <v>113</v>
      </c>
      <c r="D3014" s="32" t="s">
        <v>4324</v>
      </c>
      <c r="E3014" s="4" t="n">
        <v>11</v>
      </c>
      <c r="F3014" s="4" t="s">
        <v>213</v>
      </c>
      <c r="G3014" s="4" t="s">
        <v>2575</v>
      </c>
      <c r="H3014" s="4" t="n">
        <v>1993</v>
      </c>
      <c r="I3014" s="4" t="s">
        <v>496</v>
      </c>
      <c r="J3014" s="25" t="str">
        <f aca="false">IF(M3014=1,"✓","")</f>
        <v/>
      </c>
      <c r="K3014" s="4" t="str">
        <f aca="false">IF(AND(M3014=0,P3014=0),"▶ NEXT","")</f>
        <v/>
      </c>
      <c r="L3014" s="4" t="n">
        <f aca="false">INDEX('Master List'!$F$2:$F$2594,O3014)</f>
        <v>1</v>
      </c>
      <c r="M3014" s="4" t="n">
        <f aca="false">INDEX('Master List'!$G$2:$G$2594,O3014)</f>
        <v>0</v>
      </c>
      <c r="N3014" s="4" t="str">
        <f aca="false">IF(K3014="","",A3014)</f>
        <v/>
      </c>
      <c r="O3014" s="4" t="n">
        <v>1756</v>
      </c>
      <c r="P3014" s="4" t="n">
        <f aca="false">IF(A3014=A3013,P3013+1-M3013,0)</f>
        <v>8</v>
      </c>
    </row>
    <row r="3015" customFormat="false" ht="15" hidden="false" customHeight="false" outlineLevel="0" collapsed="false">
      <c r="A3015" s="32" t="s">
        <v>4323</v>
      </c>
      <c r="B3015" s="32" t="s">
        <v>55</v>
      </c>
      <c r="C3015" s="32" t="s">
        <v>113</v>
      </c>
      <c r="D3015" s="32" t="s">
        <v>4324</v>
      </c>
      <c r="E3015" s="4" t="n">
        <v>12</v>
      </c>
      <c r="F3015" s="4" t="s">
        <v>213</v>
      </c>
      <c r="G3015" s="4" t="s">
        <v>2649</v>
      </c>
      <c r="H3015" s="4" t="n">
        <v>1996</v>
      </c>
      <c r="I3015" s="4" t="s">
        <v>2650</v>
      </c>
      <c r="J3015" s="25" t="str">
        <f aca="false">IF(M3015=1,"✓","")</f>
        <v/>
      </c>
      <c r="K3015" s="4" t="str">
        <f aca="false">IF(AND(M3015=0,P3015=0),"▶ NEXT","")</f>
        <v/>
      </c>
      <c r="L3015" s="4" t="n">
        <f aca="false">INDEX('Master List'!$F$2:$F$2594,O3015)</f>
        <v>1</v>
      </c>
      <c r="M3015" s="4" t="n">
        <f aca="false">INDEX('Master List'!$G$2:$G$2594,O3015)</f>
        <v>0</v>
      </c>
      <c r="N3015" s="4" t="str">
        <f aca="false">IF(K3015="","",A3015)</f>
        <v/>
      </c>
      <c r="O3015" s="4" t="n">
        <v>1810</v>
      </c>
      <c r="P3015" s="4" t="n">
        <f aca="false">IF(A3015=A3014,P3014+1-M3014,0)</f>
        <v>9</v>
      </c>
    </row>
    <row r="3016" customFormat="false" ht="15" hidden="false" customHeight="false" outlineLevel="0" collapsed="false">
      <c r="A3016" s="32" t="s">
        <v>4323</v>
      </c>
      <c r="B3016" s="32" t="s">
        <v>55</v>
      </c>
      <c r="C3016" s="32" t="s">
        <v>113</v>
      </c>
      <c r="D3016" s="32" t="s">
        <v>4324</v>
      </c>
      <c r="E3016" s="4" t="n">
        <v>13</v>
      </c>
      <c r="F3016" s="4" t="s">
        <v>213</v>
      </c>
      <c r="G3016" s="4" t="s">
        <v>2687</v>
      </c>
      <c r="H3016" s="4" t="n">
        <v>1998</v>
      </c>
      <c r="I3016" s="4" t="s">
        <v>2688</v>
      </c>
      <c r="J3016" s="25" t="str">
        <f aca="false">IF(M3016=1,"✓","")</f>
        <v/>
      </c>
      <c r="K3016" s="4" t="str">
        <f aca="false">IF(AND(M3016=0,P3016=0),"▶ NEXT","")</f>
        <v/>
      </c>
      <c r="L3016" s="4" t="n">
        <f aca="false">INDEX('Master List'!$F$2:$F$2594,O3016)</f>
        <v>1</v>
      </c>
      <c r="M3016" s="4" t="n">
        <f aca="false">INDEX('Master List'!$G$2:$G$2594,O3016)</f>
        <v>0</v>
      </c>
      <c r="N3016" s="4" t="str">
        <f aca="false">IF(K3016="","",A3016)</f>
        <v/>
      </c>
      <c r="O3016" s="4" t="n">
        <v>469</v>
      </c>
      <c r="P3016" s="4" t="n">
        <f aca="false">IF(A3016=A3015,P3015+1-M3015,0)</f>
        <v>10</v>
      </c>
    </row>
    <row r="3017" customFormat="false" ht="15" hidden="false" customHeight="false" outlineLevel="0" collapsed="false">
      <c r="A3017" s="32" t="s">
        <v>4323</v>
      </c>
      <c r="B3017" s="32" t="s">
        <v>55</v>
      </c>
      <c r="C3017" s="32" t="s">
        <v>113</v>
      </c>
      <c r="D3017" s="32" t="s">
        <v>4324</v>
      </c>
      <c r="E3017" s="4" t="n">
        <v>14</v>
      </c>
      <c r="F3017" s="4" t="s">
        <v>213</v>
      </c>
      <c r="G3017" s="4" t="s">
        <v>446</v>
      </c>
      <c r="H3017" s="4" t="n">
        <v>2023</v>
      </c>
      <c r="I3017" s="4" t="s">
        <v>447</v>
      </c>
      <c r="J3017" s="25" t="str">
        <f aca="false">IF(M3017=1,"✓","")</f>
        <v/>
      </c>
      <c r="K3017" s="4" t="str">
        <f aca="false">IF(AND(M3017=0,P3017=0),"▶ NEXT","")</f>
        <v/>
      </c>
      <c r="L3017" s="4" t="n">
        <f aca="false">INDEX('Master List'!$F$2:$F$2594,O3017)</f>
        <v>4</v>
      </c>
      <c r="M3017" s="4" t="n">
        <f aca="false">INDEX('Master List'!$G$2:$G$2594,O3017)</f>
        <v>0</v>
      </c>
      <c r="N3017" s="4" t="str">
        <f aca="false">IF(K3017="","",A3017)</f>
        <v/>
      </c>
      <c r="O3017" s="4" t="n">
        <v>98</v>
      </c>
      <c r="P3017" s="4" t="n">
        <f aca="false">IF(A3017=A3016,P3016+1-M3016,0)</f>
        <v>11</v>
      </c>
    </row>
    <row r="3018" customFormat="false" ht="15" hidden="false" customHeight="false" outlineLevel="0" collapsed="false">
      <c r="A3018" s="32" t="s">
        <v>4323</v>
      </c>
      <c r="B3018" s="32" t="s">
        <v>55</v>
      </c>
      <c r="C3018" s="32" t="s">
        <v>113</v>
      </c>
      <c r="D3018" s="32" t="s">
        <v>4324</v>
      </c>
      <c r="E3018" s="4" t="n">
        <v>15</v>
      </c>
      <c r="F3018" s="4" t="s">
        <v>1327</v>
      </c>
      <c r="G3018" s="4" t="s">
        <v>307</v>
      </c>
      <c r="H3018" s="4" t="n">
        <v>1957</v>
      </c>
      <c r="I3018" s="4" t="s">
        <v>187</v>
      </c>
      <c r="J3018" s="25" t="str">
        <f aca="false">IF(M3018=1,"✓","")</f>
        <v>✓</v>
      </c>
      <c r="K3018" s="4" t="str">
        <f aca="false">IF(AND(M3018=0,P3018=0),"▶ NEXT","")</f>
        <v/>
      </c>
      <c r="L3018" s="4" t="n">
        <f aca="false">INDEX('Master List'!$F$2:$F$2594,O3018)</f>
        <v>5</v>
      </c>
      <c r="M3018" s="4" t="n">
        <f aca="false">INDEX('Master List'!$G$2:$G$2594,O3018)</f>
        <v>1</v>
      </c>
      <c r="N3018" s="4" t="str">
        <f aca="false">IF(K3018="","",A3018)</f>
        <v/>
      </c>
      <c r="O3018" s="4" t="n">
        <v>1735</v>
      </c>
      <c r="P3018" s="4" t="n">
        <f aca="false">IF(A3018=A3017,P3017+1-M3017,0)</f>
        <v>12</v>
      </c>
    </row>
    <row r="3019" customFormat="false" ht="15" hidden="false" customHeight="false" outlineLevel="0" collapsed="false">
      <c r="A3019" s="32" t="s">
        <v>4323</v>
      </c>
      <c r="B3019" s="32" t="s">
        <v>55</v>
      </c>
      <c r="C3019" s="32" t="s">
        <v>113</v>
      </c>
      <c r="D3019" s="32" t="s">
        <v>4324</v>
      </c>
      <c r="E3019" s="4" t="n">
        <v>16</v>
      </c>
      <c r="F3019" s="4" t="s">
        <v>1327</v>
      </c>
      <c r="G3019" s="4" t="s">
        <v>1089</v>
      </c>
      <c r="H3019" s="4" t="n">
        <v>1988</v>
      </c>
      <c r="I3019" s="4" t="s">
        <v>1090</v>
      </c>
      <c r="J3019" s="25" t="str">
        <f aca="false">IF(M3019=1,"✓","")</f>
        <v/>
      </c>
      <c r="K3019" s="4" t="str">
        <f aca="false">IF(AND(M3019=0,P3019=0),"▶ NEXT","")</f>
        <v/>
      </c>
      <c r="L3019" s="4" t="n">
        <f aca="false">INDEX('Master List'!$F$2:$F$2594,O3019)</f>
        <v>2</v>
      </c>
      <c r="M3019" s="4" t="n">
        <f aca="false">INDEX('Master List'!$G$2:$G$2594,O3019)</f>
        <v>0</v>
      </c>
      <c r="N3019" s="4" t="str">
        <f aca="false">IF(K3019="","",A3019)</f>
        <v/>
      </c>
      <c r="O3019" s="4" t="n">
        <v>2276</v>
      </c>
      <c r="P3019" s="4" t="n">
        <f aca="false">IF(A3019=A3018,P3018+1-M3018,0)</f>
        <v>12</v>
      </c>
    </row>
    <row r="3020" customFormat="false" ht="15" hidden="false" customHeight="false" outlineLevel="0" collapsed="false">
      <c r="A3020" s="32" t="s">
        <v>4323</v>
      </c>
      <c r="B3020" s="32" t="s">
        <v>55</v>
      </c>
      <c r="C3020" s="32" t="s">
        <v>113</v>
      </c>
      <c r="D3020" s="32" t="s">
        <v>4324</v>
      </c>
      <c r="E3020" s="4" t="n">
        <v>17</v>
      </c>
      <c r="F3020" s="4" t="s">
        <v>1327</v>
      </c>
      <c r="G3020" s="4" t="s">
        <v>3861</v>
      </c>
      <c r="H3020" s="4" t="n">
        <v>2022</v>
      </c>
      <c r="I3020" s="4" t="s">
        <v>3862</v>
      </c>
      <c r="J3020" s="25" t="str">
        <f aca="false">IF(M3020=1,"✓","")</f>
        <v/>
      </c>
      <c r="K3020" s="4" t="str">
        <f aca="false">IF(AND(M3020=0,P3020=0),"▶ NEXT","")</f>
        <v/>
      </c>
      <c r="L3020" s="4" t="n">
        <f aca="false">INDEX('Master List'!$F$2:$F$2594,O3020)</f>
        <v>1</v>
      </c>
      <c r="M3020" s="4" t="n">
        <f aca="false">INDEX('Master List'!$G$2:$G$2594,O3020)</f>
        <v>0</v>
      </c>
      <c r="N3020" s="4" t="str">
        <f aca="false">IF(K3020="","",A3020)</f>
        <v/>
      </c>
      <c r="O3020" s="4" t="n">
        <v>1958</v>
      </c>
      <c r="P3020" s="4" t="n">
        <f aca="false">IF(A3020=A3019,P3019+1-M3019,0)</f>
        <v>13</v>
      </c>
    </row>
    <row r="3021" customFormat="false" ht="15" hidden="false" customHeight="false" outlineLevel="0" collapsed="false">
      <c r="A3021" s="32" t="s">
        <v>4325</v>
      </c>
      <c r="B3021" s="32" t="s">
        <v>55</v>
      </c>
      <c r="C3021" s="32" t="s">
        <v>113</v>
      </c>
      <c r="D3021" s="32" t="s">
        <v>4326</v>
      </c>
      <c r="E3021" s="4" t="n">
        <v>1</v>
      </c>
      <c r="F3021" s="4" t="s">
        <v>144</v>
      </c>
      <c r="G3021" s="7" t="s">
        <v>456</v>
      </c>
      <c r="H3021" s="4" t="n">
        <v>1956</v>
      </c>
      <c r="I3021" s="4" t="s">
        <v>215</v>
      </c>
      <c r="J3021" s="25" t="str">
        <f aca="false">IF(M3021=1,"✓","")</f>
        <v>✓</v>
      </c>
      <c r="K3021" s="4" t="str">
        <f aca="false">IF(AND(M3021=0,P3021=0),"▶ NEXT","")</f>
        <v/>
      </c>
      <c r="L3021" s="4" t="n">
        <f aca="false">INDEX('Master List'!$F$2:$F$2594,O3021)</f>
        <v>3</v>
      </c>
      <c r="M3021" s="4" t="n">
        <f aca="false">INDEX('Master List'!$G$2:$G$2594,O3021)</f>
        <v>1</v>
      </c>
      <c r="N3021" s="4" t="str">
        <f aca="false">IF(K3021="","",A3021)</f>
        <v/>
      </c>
      <c r="O3021" s="4" t="n">
        <v>1422</v>
      </c>
      <c r="P3021" s="4" t="n">
        <f aca="false">IF(A3021=A3020,P3020+1-M3020,0)</f>
        <v>0</v>
      </c>
    </row>
    <row r="3022" customFormat="false" ht="15" hidden="false" customHeight="false" outlineLevel="0" collapsed="false">
      <c r="A3022" s="32" t="s">
        <v>4325</v>
      </c>
      <c r="B3022" s="32" t="s">
        <v>55</v>
      </c>
      <c r="C3022" s="32" t="s">
        <v>113</v>
      </c>
      <c r="D3022" s="32" t="s">
        <v>4326</v>
      </c>
      <c r="E3022" s="4" t="n">
        <v>2</v>
      </c>
      <c r="F3022" s="4" t="s">
        <v>144</v>
      </c>
      <c r="G3022" s="7" t="s">
        <v>888</v>
      </c>
      <c r="H3022" s="4" t="n">
        <v>1979</v>
      </c>
      <c r="I3022" s="4" t="s">
        <v>409</v>
      </c>
      <c r="J3022" s="25" t="str">
        <f aca="false">IF(M3022=1,"✓","")</f>
        <v/>
      </c>
      <c r="K3022" s="4" t="str">
        <f aca="false">IF(AND(M3022=0,P3022=0),"▶ NEXT","")</f>
        <v>▶ NEXT</v>
      </c>
      <c r="L3022" s="4" t="n">
        <f aca="false">INDEX('Master List'!$F$2:$F$2594,O3022)</f>
        <v>2</v>
      </c>
      <c r="M3022" s="4" t="n">
        <f aca="false">INDEX('Master List'!$G$2:$G$2594,O3022)</f>
        <v>0</v>
      </c>
      <c r="N3022" s="4" t="str">
        <f aca="false">IF(K3022="","",A3022)</f>
        <v>N251</v>
      </c>
      <c r="O3022" s="4" t="n">
        <v>743</v>
      </c>
      <c r="P3022" s="4" t="n">
        <f aca="false">IF(A3022=A3021,P3021+1-M3021,0)</f>
        <v>0</v>
      </c>
    </row>
    <row r="3023" customFormat="false" ht="15" hidden="false" customHeight="false" outlineLevel="0" collapsed="false">
      <c r="A3023" s="32" t="s">
        <v>4325</v>
      </c>
      <c r="B3023" s="32" t="s">
        <v>55</v>
      </c>
      <c r="C3023" s="32" t="s">
        <v>113</v>
      </c>
      <c r="D3023" s="32" t="s">
        <v>4326</v>
      </c>
      <c r="E3023" s="4" t="n">
        <v>3</v>
      </c>
      <c r="F3023" s="4" t="s">
        <v>213</v>
      </c>
      <c r="G3023" s="4" t="s">
        <v>908</v>
      </c>
      <c r="H3023" s="4" t="n">
        <v>1932</v>
      </c>
      <c r="I3023" s="4" t="s">
        <v>909</v>
      </c>
      <c r="J3023" s="25" t="str">
        <f aca="false">IF(M3023=1,"✓","")</f>
        <v/>
      </c>
      <c r="K3023" s="4" t="str">
        <f aca="false">IF(AND(M3023=0,P3023=0),"▶ NEXT","")</f>
        <v/>
      </c>
      <c r="L3023" s="4" t="n">
        <f aca="false">INDEX('Master List'!$F$2:$F$2594,O3023)</f>
        <v>2</v>
      </c>
      <c r="M3023" s="4" t="n">
        <f aca="false">INDEX('Master List'!$G$2:$G$2594,O3023)</f>
        <v>0</v>
      </c>
      <c r="N3023" s="4" t="str">
        <f aca="false">IF(K3023="","",A3023)</f>
        <v/>
      </c>
      <c r="O3023" s="4" t="n">
        <v>1097</v>
      </c>
      <c r="P3023" s="4" t="n">
        <f aca="false">IF(A3023=A3022,P3022+1-M3022,0)</f>
        <v>1</v>
      </c>
    </row>
    <row r="3024" customFormat="false" ht="15" hidden="false" customHeight="false" outlineLevel="0" collapsed="false">
      <c r="A3024" s="32" t="s">
        <v>4325</v>
      </c>
      <c r="B3024" s="32" t="s">
        <v>55</v>
      </c>
      <c r="C3024" s="32" t="s">
        <v>113</v>
      </c>
      <c r="D3024" s="32" t="s">
        <v>4326</v>
      </c>
      <c r="E3024" s="4" t="n">
        <v>4</v>
      </c>
      <c r="F3024" s="4" t="s">
        <v>213</v>
      </c>
      <c r="G3024" s="4" t="s">
        <v>952</v>
      </c>
      <c r="H3024" s="4" t="n">
        <v>1960</v>
      </c>
      <c r="I3024" s="4" t="s">
        <v>953</v>
      </c>
      <c r="J3024" s="25" t="str">
        <f aca="false">IF(M3024=1,"✓","")</f>
        <v/>
      </c>
      <c r="K3024" s="4" t="str">
        <f aca="false">IF(AND(M3024=0,P3024=0),"▶ NEXT","")</f>
        <v/>
      </c>
      <c r="L3024" s="4" t="n">
        <f aca="false">INDEX('Master List'!$F$2:$F$2594,O3024)</f>
        <v>2</v>
      </c>
      <c r="M3024" s="4" t="n">
        <f aca="false">INDEX('Master List'!$G$2:$G$2594,O3024)</f>
        <v>0</v>
      </c>
      <c r="N3024" s="4" t="str">
        <f aca="false">IF(K3024="","",A3024)</f>
        <v/>
      </c>
      <c r="O3024" s="4" t="n">
        <v>2375</v>
      </c>
      <c r="P3024" s="4" t="n">
        <f aca="false">IF(A3024=A3023,P3023+1-M3023,0)</f>
        <v>2</v>
      </c>
    </row>
    <row r="3025" customFormat="false" ht="15" hidden="false" customHeight="false" outlineLevel="0" collapsed="false">
      <c r="A3025" s="32" t="s">
        <v>4325</v>
      </c>
      <c r="B3025" s="32" t="s">
        <v>55</v>
      </c>
      <c r="C3025" s="32" t="s">
        <v>113</v>
      </c>
      <c r="D3025" s="32" t="s">
        <v>4326</v>
      </c>
      <c r="E3025" s="4" t="n">
        <v>5</v>
      </c>
      <c r="F3025" s="4" t="s">
        <v>213</v>
      </c>
      <c r="G3025" s="4" t="s">
        <v>2016</v>
      </c>
      <c r="H3025" s="4" t="n">
        <v>1962</v>
      </c>
      <c r="I3025" s="4" t="s">
        <v>965</v>
      </c>
      <c r="J3025" s="25" t="str">
        <f aca="false">IF(M3025=1,"✓","")</f>
        <v/>
      </c>
      <c r="K3025" s="4" t="str">
        <f aca="false">IF(AND(M3025=0,P3025=0),"▶ NEXT","")</f>
        <v/>
      </c>
      <c r="L3025" s="4" t="n">
        <f aca="false">INDEX('Master List'!$F$2:$F$2594,O3025)</f>
        <v>1</v>
      </c>
      <c r="M3025" s="4" t="n">
        <f aca="false">INDEX('Master List'!$G$2:$G$2594,O3025)</f>
        <v>0</v>
      </c>
      <c r="N3025" s="4" t="str">
        <f aca="false">IF(K3025="","",A3025)</f>
        <v/>
      </c>
      <c r="O3025" s="4" t="n">
        <v>256</v>
      </c>
      <c r="P3025" s="4" t="n">
        <f aca="false">IF(A3025=A3024,P3024+1-M3024,0)</f>
        <v>3</v>
      </c>
    </row>
    <row r="3026" customFormat="false" ht="15" hidden="false" customHeight="false" outlineLevel="0" collapsed="false">
      <c r="A3026" s="32" t="s">
        <v>4325</v>
      </c>
      <c r="B3026" s="32" t="s">
        <v>55</v>
      </c>
      <c r="C3026" s="32" t="s">
        <v>113</v>
      </c>
      <c r="D3026" s="32" t="s">
        <v>4326</v>
      </c>
      <c r="E3026" s="4" t="n">
        <v>6</v>
      </c>
      <c r="F3026" s="4" t="s">
        <v>213</v>
      </c>
      <c r="G3026" s="4" t="s">
        <v>2110</v>
      </c>
      <c r="H3026" s="4" t="n">
        <v>1967</v>
      </c>
      <c r="I3026" s="4" t="s">
        <v>2111</v>
      </c>
      <c r="J3026" s="25" t="str">
        <f aca="false">IF(M3026=1,"✓","")</f>
        <v/>
      </c>
      <c r="K3026" s="4" t="str">
        <f aca="false">IF(AND(M3026=0,P3026=0),"▶ NEXT","")</f>
        <v/>
      </c>
      <c r="L3026" s="4" t="n">
        <f aca="false">INDEX('Master List'!$F$2:$F$2594,O3026)</f>
        <v>1</v>
      </c>
      <c r="M3026" s="4" t="n">
        <f aca="false">INDEX('Master List'!$G$2:$G$2594,O3026)</f>
        <v>0</v>
      </c>
      <c r="N3026" s="4" t="str">
        <f aca="false">IF(K3026="","",A3026)</f>
        <v/>
      </c>
      <c r="O3026" s="4" t="n">
        <v>521</v>
      </c>
      <c r="P3026" s="4" t="n">
        <f aca="false">IF(A3026=A3025,P3025+1-M3025,0)</f>
        <v>4</v>
      </c>
    </row>
    <row r="3027" customFormat="false" ht="15" hidden="false" customHeight="false" outlineLevel="0" collapsed="false">
      <c r="A3027" s="32" t="s">
        <v>4325</v>
      </c>
      <c r="B3027" s="32" t="s">
        <v>55</v>
      </c>
      <c r="C3027" s="32" t="s">
        <v>113</v>
      </c>
      <c r="D3027" s="32" t="s">
        <v>4326</v>
      </c>
      <c r="E3027" s="4" t="n">
        <v>7</v>
      </c>
      <c r="F3027" s="4" t="s">
        <v>213</v>
      </c>
      <c r="G3027" s="4" t="s">
        <v>2231</v>
      </c>
      <c r="H3027" s="4" t="n">
        <v>1973</v>
      </c>
      <c r="I3027" s="4" t="s">
        <v>1477</v>
      </c>
      <c r="J3027" s="25" t="str">
        <f aca="false">IF(M3027=1,"✓","")</f>
        <v/>
      </c>
      <c r="K3027" s="4" t="str">
        <f aca="false">IF(AND(M3027=0,P3027=0),"▶ NEXT","")</f>
        <v/>
      </c>
      <c r="L3027" s="4" t="n">
        <f aca="false">INDEX('Master List'!$F$2:$F$2594,O3027)</f>
        <v>1</v>
      </c>
      <c r="M3027" s="4" t="n">
        <f aca="false">INDEX('Master List'!$G$2:$G$2594,O3027)</f>
        <v>0</v>
      </c>
      <c r="N3027" s="4" t="str">
        <f aca="false">IF(K3027="","",A3027)</f>
        <v/>
      </c>
      <c r="O3027" s="4" t="n">
        <v>1716</v>
      </c>
      <c r="P3027" s="4" t="n">
        <f aca="false">IF(A3027=A3026,P3026+1-M3026,0)</f>
        <v>5</v>
      </c>
    </row>
    <row r="3028" customFormat="false" ht="15" hidden="false" customHeight="false" outlineLevel="0" collapsed="false">
      <c r="A3028" s="32" t="s">
        <v>4325</v>
      </c>
      <c r="B3028" s="32" t="s">
        <v>55</v>
      </c>
      <c r="C3028" s="32" t="s">
        <v>113</v>
      </c>
      <c r="D3028" s="32" t="s">
        <v>4326</v>
      </c>
      <c r="E3028" s="4" t="n">
        <v>8</v>
      </c>
      <c r="F3028" s="4" t="s">
        <v>213</v>
      </c>
      <c r="G3028" s="4" t="s">
        <v>2315</v>
      </c>
      <c r="H3028" s="4" t="n">
        <v>1978</v>
      </c>
      <c r="I3028" s="4" t="s">
        <v>2316</v>
      </c>
      <c r="J3028" s="25" t="str">
        <f aca="false">IF(M3028=1,"✓","")</f>
        <v/>
      </c>
      <c r="K3028" s="4" t="str">
        <f aca="false">IF(AND(M3028=0,P3028=0),"▶ NEXT","")</f>
        <v/>
      </c>
      <c r="L3028" s="4" t="n">
        <f aca="false">INDEX('Master List'!$F$2:$F$2594,O3028)</f>
        <v>1</v>
      </c>
      <c r="M3028" s="4" t="n">
        <f aca="false">INDEX('Master List'!$G$2:$G$2594,O3028)</f>
        <v>0</v>
      </c>
      <c r="N3028" s="4" t="str">
        <f aca="false">IF(K3028="","",A3028)</f>
        <v/>
      </c>
      <c r="O3028" s="4" t="n">
        <v>1494</v>
      </c>
      <c r="P3028" s="4" t="n">
        <f aca="false">IF(A3028=A3027,P3027+1-M3027,0)</f>
        <v>6</v>
      </c>
    </row>
    <row r="3029" customFormat="false" ht="15" hidden="false" customHeight="false" outlineLevel="0" collapsed="false">
      <c r="A3029" s="32" t="s">
        <v>4325</v>
      </c>
      <c r="B3029" s="32" t="s">
        <v>55</v>
      </c>
      <c r="C3029" s="32" t="s">
        <v>113</v>
      </c>
      <c r="D3029" s="32" t="s">
        <v>4326</v>
      </c>
      <c r="E3029" s="4" t="n">
        <v>9</v>
      </c>
      <c r="F3029" s="4" t="s">
        <v>213</v>
      </c>
      <c r="G3029" s="4" t="s">
        <v>2912</v>
      </c>
      <c r="H3029" s="4" t="n">
        <v>2008</v>
      </c>
      <c r="I3029" s="4" t="s">
        <v>2913</v>
      </c>
      <c r="J3029" s="25" t="str">
        <f aca="false">IF(M3029=1,"✓","")</f>
        <v/>
      </c>
      <c r="K3029" s="4" t="str">
        <f aca="false">IF(AND(M3029=0,P3029=0),"▶ NEXT","")</f>
        <v/>
      </c>
      <c r="L3029" s="4" t="n">
        <f aca="false">INDEX('Master List'!$F$2:$F$2594,O3029)</f>
        <v>1</v>
      </c>
      <c r="M3029" s="4" t="n">
        <f aca="false">INDEX('Master List'!$G$2:$G$2594,O3029)</f>
        <v>0</v>
      </c>
      <c r="N3029" s="4" t="str">
        <f aca="false">IF(K3029="","",A3029)</f>
        <v/>
      </c>
      <c r="O3029" s="4" t="n">
        <v>1087</v>
      </c>
      <c r="P3029" s="4" t="n">
        <f aca="false">IF(A3029=A3028,P3028+1-M3028,0)</f>
        <v>7</v>
      </c>
    </row>
    <row r="3030" customFormat="false" ht="15" hidden="false" customHeight="false" outlineLevel="0" collapsed="false">
      <c r="A3030" s="32" t="s">
        <v>4325</v>
      </c>
      <c r="B3030" s="32" t="s">
        <v>55</v>
      </c>
      <c r="C3030" s="32" t="s">
        <v>113</v>
      </c>
      <c r="D3030" s="32" t="s">
        <v>4326</v>
      </c>
      <c r="E3030" s="4" t="n">
        <v>10</v>
      </c>
      <c r="F3030" s="4" t="s">
        <v>213</v>
      </c>
      <c r="G3030" s="4" t="s">
        <v>1188</v>
      </c>
      <c r="H3030" s="4" t="n">
        <v>2009</v>
      </c>
      <c r="I3030" s="4" t="s">
        <v>1189</v>
      </c>
      <c r="J3030" s="25" t="str">
        <f aca="false">IF(M3030=1,"✓","")</f>
        <v/>
      </c>
      <c r="K3030" s="4" t="str">
        <f aca="false">IF(AND(M3030=0,P3030=0),"▶ NEXT","")</f>
        <v/>
      </c>
      <c r="L3030" s="4" t="n">
        <f aca="false">INDEX('Master List'!$F$2:$F$2594,O3030)</f>
        <v>2</v>
      </c>
      <c r="M3030" s="4" t="n">
        <f aca="false">INDEX('Master List'!$G$2:$G$2594,O3030)</f>
        <v>0</v>
      </c>
      <c r="N3030" s="4" t="str">
        <f aca="false">IF(K3030="","",A3030)</f>
        <v/>
      </c>
      <c r="O3030" s="4" t="n">
        <v>1823</v>
      </c>
      <c r="P3030" s="4" t="n">
        <f aca="false">IF(A3030=A3029,P3029+1-M3029,0)</f>
        <v>8</v>
      </c>
    </row>
    <row r="3031" customFormat="false" ht="15" hidden="false" customHeight="false" outlineLevel="0" collapsed="false">
      <c r="A3031" s="32" t="s">
        <v>4325</v>
      </c>
      <c r="B3031" s="32" t="s">
        <v>55</v>
      </c>
      <c r="C3031" s="32" t="s">
        <v>113</v>
      </c>
      <c r="D3031" s="32" t="s">
        <v>4326</v>
      </c>
      <c r="E3031" s="4" t="n">
        <v>11</v>
      </c>
      <c r="F3031" s="4" t="s">
        <v>213</v>
      </c>
      <c r="G3031" s="4" t="s">
        <v>3041</v>
      </c>
      <c r="H3031" s="4" t="n">
        <v>2013</v>
      </c>
      <c r="I3031" s="4" t="s">
        <v>1632</v>
      </c>
      <c r="J3031" s="25" t="str">
        <f aca="false">IF(M3031=1,"✓","")</f>
        <v/>
      </c>
      <c r="K3031" s="4" t="str">
        <f aca="false">IF(AND(M3031=0,P3031=0),"▶ NEXT","")</f>
        <v/>
      </c>
      <c r="L3031" s="4" t="n">
        <f aca="false">INDEX('Master List'!$F$2:$F$2594,O3031)</f>
        <v>1</v>
      </c>
      <c r="M3031" s="4" t="n">
        <f aca="false">INDEX('Master List'!$G$2:$G$2594,O3031)</f>
        <v>0</v>
      </c>
      <c r="N3031" s="4" t="str">
        <f aca="false">IF(K3031="","",A3031)</f>
        <v/>
      </c>
      <c r="O3031" s="4" t="n">
        <v>2151</v>
      </c>
      <c r="P3031" s="4" t="n">
        <f aca="false">IF(A3031=A3030,P3030+1-M3030,0)</f>
        <v>9</v>
      </c>
    </row>
    <row r="3032" customFormat="false" ht="15" hidden="false" customHeight="false" outlineLevel="0" collapsed="false">
      <c r="A3032" s="32" t="s">
        <v>4325</v>
      </c>
      <c r="B3032" s="32" t="s">
        <v>55</v>
      </c>
      <c r="C3032" s="32" t="s">
        <v>113</v>
      </c>
      <c r="D3032" s="32" t="s">
        <v>4326</v>
      </c>
      <c r="E3032" s="4" t="n">
        <v>12</v>
      </c>
      <c r="F3032" s="4" t="s">
        <v>213</v>
      </c>
      <c r="G3032" s="4" t="s">
        <v>3245</v>
      </c>
      <c r="H3032" s="4" t="n">
        <v>2023</v>
      </c>
      <c r="I3032" s="4" t="s">
        <v>3246</v>
      </c>
      <c r="J3032" s="25" t="str">
        <f aca="false">IF(M3032=1,"✓","")</f>
        <v/>
      </c>
      <c r="K3032" s="4" t="str">
        <f aca="false">IF(AND(M3032=0,P3032=0),"▶ NEXT","")</f>
        <v/>
      </c>
      <c r="L3032" s="4" t="n">
        <f aca="false">INDEX('Master List'!$F$2:$F$2594,O3032)</f>
        <v>1</v>
      </c>
      <c r="M3032" s="4" t="n">
        <f aca="false">INDEX('Master List'!$G$2:$G$2594,O3032)</f>
        <v>0</v>
      </c>
      <c r="N3032" s="4" t="str">
        <f aca="false">IF(K3032="","",A3032)</f>
        <v/>
      </c>
      <c r="O3032" s="4" t="n">
        <v>2078</v>
      </c>
      <c r="P3032" s="4" t="n">
        <f aca="false">IF(A3032=A3031,P3031+1-M3031,0)</f>
        <v>10</v>
      </c>
    </row>
    <row r="3033" customFormat="false" ht="15" hidden="false" customHeight="false" outlineLevel="0" collapsed="false">
      <c r="A3033" s="32" t="s">
        <v>4325</v>
      </c>
      <c r="B3033" s="32" t="s">
        <v>55</v>
      </c>
      <c r="C3033" s="32" t="s">
        <v>113</v>
      </c>
      <c r="D3033" s="32" t="s">
        <v>4326</v>
      </c>
      <c r="E3033" s="4" t="n">
        <v>13</v>
      </c>
      <c r="F3033" s="4" t="s">
        <v>1327</v>
      </c>
      <c r="G3033" s="4" t="s">
        <v>3347</v>
      </c>
      <c r="H3033" s="4" t="n">
        <v>1947</v>
      </c>
      <c r="I3033" s="4" t="s">
        <v>658</v>
      </c>
      <c r="J3033" s="25" t="str">
        <f aca="false">IF(M3033=1,"✓","")</f>
        <v/>
      </c>
      <c r="K3033" s="4" t="str">
        <f aca="false">IF(AND(M3033=0,P3033=0),"▶ NEXT","")</f>
        <v/>
      </c>
      <c r="L3033" s="4" t="n">
        <f aca="false">INDEX('Master List'!$F$2:$F$2594,O3033)</f>
        <v>1</v>
      </c>
      <c r="M3033" s="4" t="n">
        <f aca="false">INDEX('Master List'!$G$2:$G$2594,O3033)</f>
        <v>0</v>
      </c>
      <c r="N3033" s="4" t="str">
        <f aca="false">IF(K3033="","",A3033)</f>
        <v/>
      </c>
      <c r="O3033" s="4" t="n">
        <v>362</v>
      </c>
      <c r="P3033" s="4" t="n">
        <f aca="false">IF(A3033=A3032,P3032+1-M3032,0)</f>
        <v>11</v>
      </c>
    </row>
    <row r="3034" customFormat="false" ht="15" hidden="false" customHeight="false" outlineLevel="0" collapsed="false">
      <c r="A3034" s="32" t="s">
        <v>4327</v>
      </c>
      <c r="B3034" s="32" t="s">
        <v>55</v>
      </c>
      <c r="C3034" s="32" t="s">
        <v>114</v>
      </c>
      <c r="D3034" s="32" t="s">
        <v>4328</v>
      </c>
      <c r="E3034" s="4" t="n">
        <v>1</v>
      </c>
      <c r="F3034" s="4" t="s">
        <v>144</v>
      </c>
      <c r="G3034" s="7" t="s">
        <v>812</v>
      </c>
      <c r="H3034" s="4" t="n">
        <v>1981</v>
      </c>
      <c r="I3034" s="4" t="s">
        <v>813</v>
      </c>
      <c r="J3034" s="25" t="str">
        <f aca="false">IF(M3034=1,"✓","")</f>
        <v>✓</v>
      </c>
      <c r="K3034" s="4" t="str">
        <f aca="false">IF(AND(M3034=0,P3034=0),"▶ NEXT","")</f>
        <v/>
      </c>
      <c r="L3034" s="4" t="n">
        <f aca="false">INDEX('Master List'!$F$2:$F$2594,O3034)</f>
        <v>2</v>
      </c>
      <c r="M3034" s="4" t="n">
        <f aca="false">INDEX('Master List'!$G$2:$G$2594,O3034)</f>
        <v>1</v>
      </c>
      <c r="N3034" s="4" t="str">
        <f aca="false">IF(K3034="","",A3034)</f>
        <v/>
      </c>
      <c r="O3034" s="4" t="n">
        <v>1571</v>
      </c>
      <c r="P3034" s="4" t="n">
        <f aca="false">IF(A3034=A3033,P3033+1-M3033,0)</f>
        <v>0</v>
      </c>
    </row>
    <row r="3035" customFormat="false" ht="15" hidden="false" customHeight="false" outlineLevel="0" collapsed="false">
      <c r="A3035" s="32" t="s">
        <v>4327</v>
      </c>
      <c r="B3035" s="32" t="s">
        <v>55</v>
      </c>
      <c r="C3035" s="32" t="s">
        <v>114</v>
      </c>
      <c r="D3035" s="32" t="s">
        <v>4328</v>
      </c>
      <c r="E3035" s="4" t="n">
        <v>2</v>
      </c>
      <c r="F3035" s="4" t="s">
        <v>144</v>
      </c>
      <c r="G3035" s="7" t="s">
        <v>198</v>
      </c>
      <c r="H3035" s="4" t="n">
        <v>1957</v>
      </c>
      <c r="I3035" s="4" t="s">
        <v>170</v>
      </c>
      <c r="J3035" s="25" t="str">
        <f aca="false">IF(M3035=1,"✓","")</f>
        <v>✓</v>
      </c>
      <c r="K3035" s="4" t="str">
        <f aca="false">IF(AND(M3035=0,P3035=0),"▶ NEXT","")</f>
        <v/>
      </c>
      <c r="L3035" s="4" t="n">
        <f aca="false">INDEX('Master List'!$F$2:$F$2594,O3035)</f>
        <v>6</v>
      </c>
      <c r="M3035" s="4" t="n">
        <f aca="false">INDEX('Master List'!$G$2:$G$2594,O3035)</f>
        <v>1</v>
      </c>
      <c r="N3035" s="4" t="str">
        <f aca="false">IF(K3035="","",A3035)</f>
        <v/>
      </c>
      <c r="O3035" s="4" t="n">
        <v>2025</v>
      </c>
      <c r="P3035" s="4" t="n">
        <f aca="false">IF(A3035=A3034,P3034+1-M3034,0)</f>
        <v>0</v>
      </c>
    </row>
    <row r="3036" customFormat="false" ht="15" hidden="false" customHeight="false" outlineLevel="0" collapsed="false">
      <c r="A3036" s="32" t="s">
        <v>4327</v>
      </c>
      <c r="B3036" s="32" t="s">
        <v>55</v>
      </c>
      <c r="C3036" s="32" t="s">
        <v>114</v>
      </c>
      <c r="D3036" s="32" t="s">
        <v>4328</v>
      </c>
      <c r="E3036" s="4" t="n">
        <v>3</v>
      </c>
      <c r="F3036" s="4" t="s">
        <v>213</v>
      </c>
      <c r="G3036" s="4" t="s">
        <v>235</v>
      </c>
      <c r="H3036" s="4" t="n">
        <v>1952</v>
      </c>
      <c r="I3036" s="4" t="s">
        <v>156</v>
      </c>
      <c r="J3036" s="25" t="str">
        <f aca="false">IF(M3036=1,"✓","")</f>
        <v>✓</v>
      </c>
      <c r="K3036" s="4" t="str">
        <f aca="false">IF(AND(M3036=0,P3036=0),"▶ NEXT","")</f>
        <v/>
      </c>
      <c r="L3036" s="4" t="n">
        <f aca="false">INDEX('Master List'!$F$2:$F$2594,O3036)</f>
        <v>5</v>
      </c>
      <c r="M3036" s="4" t="n">
        <f aca="false">INDEX('Master List'!$G$2:$G$2594,O3036)</f>
        <v>1</v>
      </c>
      <c r="N3036" s="4" t="str">
        <f aca="false">IF(K3036="","",A3036)</f>
        <v/>
      </c>
      <c r="O3036" s="4" t="n">
        <v>1118</v>
      </c>
      <c r="P3036" s="4" t="n">
        <f aca="false">IF(A3036=A3035,P3035+1-M3035,0)</f>
        <v>0</v>
      </c>
    </row>
    <row r="3037" customFormat="false" ht="15" hidden="false" customHeight="false" outlineLevel="0" collapsed="false">
      <c r="A3037" s="32" t="s">
        <v>4327</v>
      </c>
      <c r="B3037" s="32" t="s">
        <v>55</v>
      </c>
      <c r="C3037" s="32" t="s">
        <v>114</v>
      </c>
      <c r="D3037" s="32" t="s">
        <v>4328</v>
      </c>
      <c r="E3037" s="4" t="n">
        <v>4</v>
      </c>
      <c r="F3037" s="4" t="s">
        <v>213</v>
      </c>
      <c r="G3037" s="4" t="s">
        <v>169</v>
      </c>
      <c r="H3037" s="4" t="n">
        <v>1957</v>
      </c>
      <c r="I3037" s="4" t="s">
        <v>170</v>
      </c>
      <c r="J3037" s="25" t="str">
        <f aca="false">IF(M3037=1,"✓","")</f>
        <v/>
      </c>
      <c r="K3037" s="4" t="str">
        <f aca="false">IF(AND(M3037=0,P3037=0),"▶ NEXT","")</f>
        <v>▶ NEXT</v>
      </c>
      <c r="L3037" s="4" t="n">
        <f aca="false">INDEX('Master List'!$F$2:$F$2594,O3037)</f>
        <v>8</v>
      </c>
      <c r="M3037" s="4" t="n">
        <f aca="false">INDEX('Master List'!$G$2:$G$2594,O3037)</f>
        <v>0</v>
      </c>
      <c r="N3037" s="4" t="str">
        <f aca="false">IF(K3037="","",A3037)</f>
        <v>N252</v>
      </c>
      <c r="O3037" s="4" t="n">
        <v>2516</v>
      </c>
      <c r="P3037" s="4" t="n">
        <f aca="false">IF(A3037=A3036,P3036+1-M3036,0)</f>
        <v>0</v>
      </c>
    </row>
    <row r="3038" customFormat="false" ht="15" hidden="false" customHeight="false" outlineLevel="0" collapsed="false">
      <c r="A3038" s="32" t="s">
        <v>4327</v>
      </c>
      <c r="B3038" s="32" t="s">
        <v>55</v>
      </c>
      <c r="C3038" s="32" t="s">
        <v>114</v>
      </c>
      <c r="D3038" s="32" t="s">
        <v>4328</v>
      </c>
      <c r="E3038" s="4" t="n">
        <v>5</v>
      </c>
      <c r="F3038" s="4" t="s">
        <v>213</v>
      </c>
      <c r="G3038" s="4" t="s">
        <v>2501</v>
      </c>
      <c r="H3038" s="4" t="n">
        <v>1989</v>
      </c>
      <c r="I3038" s="4" t="s">
        <v>604</v>
      </c>
      <c r="J3038" s="25" t="str">
        <f aca="false">IF(M3038=1,"✓","")</f>
        <v/>
      </c>
      <c r="K3038" s="4" t="str">
        <f aca="false">IF(AND(M3038=0,P3038=0),"▶ NEXT","")</f>
        <v/>
      </c>
      <c r="L3038" s="4" t="n">
        <f aca="false">INDEX('Master List'!$F$2:$F$2594,O3038)</f>
        <v>1</v>
      </c>
      <c r="M3038" s="4" t="n">
        <f aca="false">INDEX('Master List'!$G$2:$G$2594,O3038)</f>
        <v>0</v>
      </c>
      <c r="N3038" s="4" t="str">
        <f aca="false">IF(K3038="","",A3038)</f>
        <v/>
      </c>
      <c r="O3038" s="4" t="n">
        <v>537</v>
      </c>
      <c r="P3038" s="4" t="n">
        <f aca="false">IF(A3038=A3037,P3037+1-M3037,0)</f>
        <v>1</v>
      </c>
    </row>
    <row r="3039" customFormat="false" ht="15" hidden="false" customHeight="false" outlineLevel="0" collapsed="false">
      <c r="A3039" s="32" t="s">
        <v>4327</v>
      </c>
      <c r="B3039" s="32" t="s">
        <v>55</v>
      </c>
      <c r="C3039" s="32" t="s">
        <v>114</v>
      </c>
      <c r="D3039" s="32" t="s">
        <v>4328</v>
      </c>
      <c r="E3039" s="4" t="n">
        <v>6</v>
      </c>
      <c r="F3039" s="4" t="s">
        <v>213</v>
      </c>
      <c r="G3039" s="4" t="s">
        <v>808</v>
      </c>
      <c r="H3039" s="4" t="n">
        <v>1980</v>
      </c>
      <c r="I3039" s="4" t="s">
        <v>272</v>
      </c>
      <c r="J3039" s="25" t="str">
        <f aca="false">IF(M3039=1,"✓","")</f>
        <v/>
      </c>
      <c r="K3039" s="4" t="str">
        <f aca="false">IF(AND(M3039=0,P3039=0),"▶ NEXT","")</f>
        <v/>
      </c>
      <c r="L3039" s="4" t="n">
        <f aca="false">INDEX('Master List'!$F$2:$F$2594,O3039)</f>
        <v>2</v>
      </c>
      <c r="M3039" s="4" t="n">
        <f aca="false">INDEX('Master List'!$G$2:$G$2594,O3039)</f>
        <v>0</v>
      </c>
      <c r="N3039" s="4" t="str">
        <f aca="false">IF(K3039="","",A3039)</f>
        <v/>
      </c>
      <c r="O3039" s="4" t="n">
        <v>1524</v>
      </c>
      <c r="P3039" s="4" t="n">
        <f aca="false">IF(A3039=A3038,P3038+1-M3038,0)</f>
        <v>2</v>
      </c>
    </row>
    <row r="3040" customFormat="false" ht="15" hidden="false" customHeight="false" outlineLevel="0" collapsed="false">
      <c r="A3040" s="32" t="s">
        <v>4327</v>
      </c>
      <c r="B3040" s="32" t="s">
        <v>55</v>
      </c>
      <c r="C3040" s="32" t="s">
        <v>114</v>
      </c>
      <c r="D3040" s="32" t="s">
        <v>4328</v>
      </c>
      <c r="E3040" s="4" t="n">
        <v>7</v>
      </c>
      <c r="F3040" s="4" t="s">
        <v>213</v>
      </c>
      <c r="G3040" s="4" t="s">
        <v>259</v>
      </c>
      <c r="H3040" s="4" t="n">
        <v>1993</v>
      </c>
      <c r="I3040" s="4" t="s">
        <v>260</v>
      </c>
      <c r="J3040" s="25" t="str">
        <f aca="false">IF(M3040=1,"✓","")</f>
        <v>✓</v>
      </c>
      <c r="K3040" s="4" t="str">
        <f aca="false">IF(AND(M3040=0,P3040=0),"▶ NEXT","")</f>
        <v/>
      </c>
      <c r="L3040" s="4" t="n">
        <f aca="false">INDEX('Master List'!$F$2:$F$2594,O3040)</f>
        <v>5</v>
      </c>
      <c r="M3040" s="4" t="n">
        <f aca="false">INDEX('Master List'!$G$2:$G$2594,O3040)</f>
        <v>1</v>
      </c>
      <c r="N3040" s="4" t="str">
        <f aca="false">IF(K3040="","",A3040)</f>
        <v/>
      </c>
      <c r="O3040" s="4" t="n">
        <v>970</v>
      </c>
      <c r="P3040" s="4" t="n">
        <f aca="false">IF(A3040=A3039,P3039+1-M3039,0)</f>
        <v>3</v>
      </c>
    </row>
    <row r="3041" customFormat="false" ht="15" hidden="false" customHeight="false" outlineLevel="0" collapsed="false">
      <c r="A3041" s="32" t="s">
        <v>4327</v>
      </c>
      <c r="B3041" s="32" t="s">
        <v>55</v>
      </c>
      <c r="C3041" s="32" t="s">
        <v>114</v>
      </c>
      <c r="D3041" s="32" t="s">
        <v>4328</v>
      </c>
      <c r="E3041" s="4" t="n">
        <v>8</v>
      </c>
      <c r="F3041" s="4" t="s">
        <v>213</v>
      </c>
      <c r="G3041" s="4" t="s">
        <v>438</v>
      </c>
      <c r="H3041" s="4" t="n">
        <v>1998</v>
      </c>
      <c r="I3041" s="4" t="s">
        <v>439</v>
      </c>
      <c r="J3041" s="25" t="str">
        <f aca="false">IF(M3041=1,"✓","")</f>
        <v>✓</v>
      </c>
      <c r="K3041" s="4" t="str">
        <f aca="false">IF(AND(M3041=0,P3041=0),"▶ NEXT","")</f>
        <v/>
      </c>
      <c r="L3041" s="4" t="n">
        <f aca="false">INDEX('Master List'!$F$2:$F$2594,O3041)</f>
        <v>4</v>
      </c>
      <c r="M3041" s="4" t="n">
        <f aca="false">INDEX('Master List'!$G$2:$G$2594,O3041)</f>
        <v>1</v>
      </c>
      <c r="N3041" s="4" t="str">
        <f aca="false">IF(K3041="","",A3041)</f>
        <v/>
      </c>
      <c r="O3041" s="4" t="n">
        <v>2380</v>
      </c>
      <c r="P3041" s="4" t="n">
        <f aca="false">IF(A3041=A3040,P3040+1-M3040,0)</f>
        <v>3</v>
      </c>
    </row>
    <row r="3042" customFormat="false" ht="15" hidden="false" customHeight="false" outlineLevel="0" collapsed="false">
      <c r="A3042" s="32" t="s">
        <v>4327</v>
      </c>
      <c r="B3042" s="32" t="s">
        <v>55</v>
      </c>
      <c r="C3042" s="32" t="s">
        <v>114</v>
      </c>
      <c r="D3042" s="32" t="s">
        <v>4328</v>
      </c>
      <c r="E3042" s="4" t="n">
        <v>9</v>
      </c>
      <c r="F3042" s="4" t="s">
        <v>213</v>
      </c>
      <c r="G3042" s="4" t="s">
        <v>847</v>
      </c>
      <c r="H3042" s="4" t="n">
        <v>1999</v>
      </c>
      <c r="I3042" s="4" t="s">
        <v>848</v>
      </c>
      <c r="J3042" s="25" t="str">
        <f aca="false">IF(M3042=1,"✓","")</f>
        <v>✓</v>
      </c>
      <c r="K3042" s="4" t="str">
        <f aca="false">IF(AND(M3042=0,P3042=0),"▶ NEXT","")</f>
        <v/>
      </c>
      <c r="L3042" s="4" t="n">
        <f aca="false">INDEX('Master List'!$F$2:$F$2594,O3042)</f>
        <v>2</v>
      </c>
      <c r="M3042" s="4" t="n">
        <f aca="false">INDEX('Master List'!$G$2:$G$2594,O3042)</f>
        <v>1</v>
      </c>
      <c r="N3042" s="4" t="str">
        <f aca="false">IF(K3042="","",A3042)</f>
        <v/>
      </c>
      <c r="O3042" s="4" t="n">
        <v>1464</v>
      </c>
      <c r="P3042" s="4" t="n">
        <f aca="false">IF(A3042=A3041,P3041+1-M3041,0)</f>
        <v>3</v>
      </c>
    </row>
    <row r="3043" customFormat="false" ht="15" hidden="false" customHeight="false" outlineLevel="0" collapsed="false">
      <c r="A3043" s="32" t="s">
        <v>4327</v>
      </c>
      <c r="B3043" s="32" t="s">
        <v>55</v>
      </c>
      <c r="C3043" s="32" t="s">
        <v>114</v>
      </c>
      <c r="D3043" s="32" t="s">
        <v>4328</v>
      </c>
      <c r="E3043" s="4" t="n">
        <v>10</v>
      </c>
      <c r="F3043" s="4" t="s">
        <v>213</v>
      </c>
      <c r="G3043" s="4" t="s">
        <v>633</v>
      </c>
      <c r="H3043" s="4" t="n">
        <v>2001</v>
      </c>
      <c r="I3043" s="4" t="s">
        <v>320</v>
      </c>
      <c r="J3043" s="25" t="str">
        <f aca="false">IF(M3043=1,"✓","")</f>
        <v>✓</v>
      </c>
      <c r="K3043" s="4" t="str">
        <f aca="false">IF(AND(M3043=0,P3043=0),"▶ NEXT","")</f>
        <v/>
      </c>
      <c r="L3043" s="4" t="n">
        <f aca="false">INDEX('Master List'!$F$2:$F$2594,O3043)</f>
        <v>3</v>
      </c>
      <c r="M3043" s="4" t="n">
        <f aca="false">INDEX('Master List'!$G$2:$G$2594,O3043)</f>
        <v>1</v>
      </c>
      <c r="N3043" s="4" t="str">
        <f aca="false">IF(K3043="","",A3043)</f>
        <v/>
      </c>
      <c r="O3043" s="4" t="n">
        <v>2453</v>
      </c>
      <c r="P3043" s="4" t="n">
        <f aca="false">IF(A3043=A3042,P3042+1-M3042,0)</f>
        <v>3</v>
      </c>
    </row>
    <row r="3044" customFormat="false" ht="15" hidden="false" customHeight="false" outlineLevel="0" collapsed="false">
      <c r="A3044" s="32" t="s">
        <v>4327</v>
      </c>
      <c r="B3044" s="32" t="s">
        <v>55</v>
      </c>
      <c r="C3044" s="32" t="s">
        <v>114</v>
      </c>
      <c r="D3044" s="32" t="s">
        <v>4328</v>
      </c>
      <c r="E3044" s="4" t="n">
        <v>11</v>
      </c>
      <c r="F3044" s="4" t="s">
        <v>213</v>
      </c>
      <c r="G3044" s="4" t="s">
        <v>321</v>
      </c>
      <c r="H3044" s="4" t="n">
        <v>1997</v>
      </c>
      <c r="I3044" s="4" t="s">
        <v>203</v>
      </c>
      <c r="J3044" s="25" t="str">
        <f aca="false">IF(M3044=1,"✓","")</f>
        <v>✓</v>
      </c>
      <c r="K3044" s="4" t="str">
        <f aca="false">IF(AND(M3044=0,P3044=0),"▶ NEXT","")</f>
        <v/>
      </c>
      <c r="L3044" s="4" t="n">
        <f aca="false">INDEX('Master List'!$F$2:$F$2594,O3044)</f>
        <v>4</v>
      </c>
      <c r="M3044" s="4" t="n">
        <f aca="false">INDEX('Master List'!$G$2:$G$2594,O3044)</f>
        <v>1</v>
      </c>
      <c r="N3044" s="4" t="str">
        <f aca="false">IF(K3044="","",A3044)</f>
        <v/>
      </c>
      <c r="O3044" s="4" t="n">
        <v>2245</v>
      </c>
      <c r="P3044" s="4" t="n">
        <f aca="false">IF(A3044=A3043,P3043+1-M3043,0)</f>
        <v>3</v>
      </c>
    </row>
    <row r="3045" customFormat="false" ht="15" hidden="false" customHeight="false" outlineLevel="0" collapsed="false">
      <c r="A3045" s="32" t="s">
        <v>4327</v>
      </c>
      <c r="B3045" s="32" t="s">
        <v>55</v>
      </c>
      <c r="C3045" s="32" t="s">
        <v>114</v>
      </c>
      <c r="D3045" s="32" t="s">
        <v>4328</v>
      </c>
      <c r="E3045" s="4" t="n">
        <v>12</v>
      </c>
      <c r="F3045" s="4" t="s">
        <v>213</v>
      </c>
      <c r="G3045" s="4" t="s">
        <v>1195</v>
      </c>
      <c r="H3045" s="4" t="n">
        <v>2009</v>
      </c>
      <c r="I3045" s="4" t="s">
        <v>323</v>
      </c>
      <c r="J3045" s="25" t="str">
        <f aca="false">IF(M3045=1,"✓","")</f>
        <v/>
      </c>
      <c r="K3045" s="4" t="str">
        <f aca="false">IF(AND(M3045=0,P3045=0),"▶ NEXT","")</f>
        <v/>
      </c>
      <c r="L3045" s="4" t="n">
        <f aca="false">INDEX('Master List'!$F$2:$F$2594,O3045)</f>
        <v>2</v>
      </c>
      <c r="M3045" s="4" t="n">
        <f aca="false">INDEX('Master List'!$G$2:$G$2594,O3045)</f>
        <v>0</v>
      </c>
      <c r="N3045" s="4" t="str">
        <f aca="false">IF(K3045="","",A3045)</f>
        <v/>
      </c>
      <c r="O3045" s="4" t="n">
        <v>2012</v>
      </c>
      <c r="P3045" s="4" t="n">
        <f aca="false">IF(A3045=A3044,P3044+1-M3044,0)</f>
        <v>3</v>
      </c>
    </row>
    <row r="3046" customFormat="false" ht="15" hidden="false" customHeight="false" outlineLevel="0" collapsed="false">
      <c r="A3046" s="32" t="s">
        <v>4327</v>
      </c>
      <c r="B3046" s="32" t="s">
        <v>55</v>
      </c>
      <c r="C3046" s="32" t="s">
        <v>114</v>
      </c>
      <c r="D3046" s="32" t="s">
        <v>4328</v>
      </c>
      <c r="E3046" s="4" t="n">
        <v>13</v>
      </c>
      <c r="F3046" s="4" t="s">
        <v>213</v>
      </c>
      <c r="G3046" s="4" t="s">
        <v>1186</v>
      </c>
      <c r="H3046" s="4" t="n">
        <v>2008</v>
      </c>
      <c r="I3046" s="4" t="s">
        <v>1187</v>
      </c>
      <c r="J3046" s="25" t="str">
        <f aca="false">IF(M3046=1,"✓","")</f>
        <v>✓</v>
      </c>
      <c r="K3046" s="4" t="str">
        <f aca="false">IF(AND(M3046=0,P3046=0),"▶ NEXT","")</f>
        <v/>
      </c>
      <c r="L3046" s="4" t="n">
        <f aca="false">INDEX('Master List'!$F$2:$F$2594,O3046)</f>
        <v>2</v>
      </c>
      <c r="M3046" s="4" t="n">
        <f aca="false">INDEX('Master List'!$G$2:$G$2594,O3046)</f>
        <v>1</v>
      </c>
      <c r="N3046" s="4" t="str">
        <f aca="false">IF(K3046="","",A3046)</f>
        <v/>
      </c>
      <c r="O3046" s="4" t="n">
        <v>2225</v>
      </c>
      <c r="P3046" s="4" t="n">
        <f aca="false">IF(A3046=A3045,P3045+1-M3045,0)</f>
        <v>4</v>
      </c>
    </row>
    <row r="3047" customFormat="false" ht="15" hidden="false" customHeight="false" outlineLevel="0" collapsed="false">
      <c r="A3047" s="32" t="s">
        <v>4327</v>
      </c>
      <c r="B3047" s="32" t="s">
        <v>55</v>
      </c>
      <c r="C3047" s="32" t="s">
        <v>114</v>
      </c>
      <c r="D3047" s="32" t="s">
        <v>4328</v>
      </c>
      <c r="E3047" s="4" t="n">
        <v>14</v>
      </c>
      <c r="F3047" s="4" t="s">
        <v>1327</v>
      </c>
      <c r="G3047" s="4" t="s">
        <v>835</v>
      </c>
      <c r="H3047" s="4" t="n">
        <v>1994</v>
      </c>
      <c r="I3047" s="4" t="s">
        <v>813</v>
      </c>
      <c r="J3047" s="25" t="str">
        <f aca="false">IF(M3047=1,"✓","")</f>
        <v/>
      </c>
      <c r="K3047" s="4" t="str">
        <f aca="false">IF(AND(M3047=0,P3047=0),"▶ NEXT","")</f>
        <v/>
      </c>
      <c r="L3047" s="4" t="n">
        <f aca="false">INDEX('Master List'!$F$2:$F$2594,O3047)</f>
        <v>3</v>
      </c>
      <c r="M3047" s="4" t="n">
        <f aca="false">INDEX('Master List'!$G$2:$G$2594,O3047)</f>
        <v>0</v>
      </c>
      <c r="N3047" s="4" t="str">
        <f aca="false">IF(K3047="","",A3047)</f>
        <v/>
      </c>
      <c r="O3047" s="4" t="n">
        <v>2423</v>
      </c>
      <c r="P3047" s="4" t="n">
        <f aca="false">IF(A3047=A3046,P3046+1-M3046,0)</f>
        <v>4</v>
      </c>
    </row>
    <row r="3048" customFormat="false" ht="15" hidden="false" customHeight="false" outlineLevel="0" collapsed="false">
      <c r="A3048" s="32" t="s">
        <v>4327</v>
      </c>
      <c r="B3048" s="32" t="s">
        <v>55</v>
      </c>
      <c r="C3048" s="32" t="s">
        <v>114</v>
      </c>
      <c r="D3048" s="32" t="s">
        <v>4328</v>
      </c>
      <c r="E3048" s="4" t="n">
        <v>15</v>
      </c>
      <c r="F3048" s="4" t="s">
        <v>1327</v>
      </c>
      <c r="G3048" s="4" t="s">
        <v>3677</v>
      </c>
      <c r="H3048" s="4" t="n">
        <v>1993</v>
      </c>
      <c r="I3048" s="4" t="s">
        <v>3668</v>
      </c>
      <c r="J3048" s="25" t="str">
        <f aca="false">IF(M3048=1,"✓","")</f>
        <v/>
      </c>
      <c r="K3048" s="4" t="str">
        <f aca="false">IF(AND(M3048=0,P3048=0),"▶ NEXT","")</f>
        <v/>
      </c>
      <c r="L3048" s="4" t="n">
        <f aca="false">INDEX('Master List'!$F$2:$F$2594,O3048)</f>
        <v>1</v>
      </c>
      <c r="M3048" s="4" t="n">
        <f aca="false">INDEX('Master List'!$G$2:$G$2594,O3048)</f>
        <v>0</v>
      </c>
      <c r="N3048" s="4" t="str">
        <f aca="false">IF(K3048="","",A3048)</f>
        <v/>
      </c>
      <c r="O3048" s="4" t="n">
        <v>2539</v>
      </c>
      <c r="P3048" s="4" t="n">
        <f aca="false">IF(A3048=A3047,P3047+1-M3047,0)</f>
        <v>5</v>
      </c>
    </row>
    <row r="3049" customFormat="false" ht="15" hidden="false" customHeight="false" outlineLevel="0" collapsed="false">
      <c r="A3049" s="32" t="s">
        <v>4329</v>
      </c>
      <c r="B3049" s="32" t="s">
        <v>55</v>
      </c>
      <c r="C3049" s="32" t="s">
        <v>114</v>
      </c>
      <c r="D3049" s="32" t="s">
        <v>4330</v>
      </c>
      <c r="E3049" s="4" t="n">
        <v>1</v>
      </c>
      <c r="F3049" s="4" t="s">
        <v>144</v>
      </c>
      <c r="G3049" s="7" t="s">
        <v>288</v>
      </c>
      <c r="H3049" s="4" t="n">
        <v>1963</v>
      </c>
      <c r="I3049" s="4" t="s">
        <v>170</v>
      </c>
      <c r="J3049" s="25" t="str">
        <f aca="false">IF(M3049=1,"✓","")</f>
        <v/>
      </c>
      <c r="K3049" s="4" t="str">
        <f aca="false">IF(AND(M3049=0,P3049=0),"▶ NEXT","")</f>
        <v>▶ NEXT</v>
      </c>
      <c r="L3049" s="4" t="n">
        <f aca="false">INDEX('Master List'!$F$2:$F$2594,O3049)</f>
        <v>4</v>
      </c>
      <c r="M3049" s="4" t="n">
        <f aca="false">INDEX('Master List'!$G$2:$G$2594,O3049)</f>
        <v>0</v>
      </c>
      <c r="N3049" s="4" t="str">
        <f aca="false">IF(K3049="","",A3049)</f>
        <v>N253</v>
      </c>
      <c r="O3049" s="4" t="n">
        <v>2529</v>
      </c>
      <c r="P3049" s="4" t="n">
        <f aca="false">IF(A3049=A3048,P3048+1-M3048,0)</f>
        <v>0</v>
      </c>
    </row>
    <row r="3050" customFormat="false" ht="15" hidden="false" customHeight="false" outlineLevel="0" collapsed="false">
      <c r="A3050" s="32" t="s">
        <v>4329</v>
      </c>
      <c r="B3050" s="32" t="s">
        <v>55</v>
      </c>
      <c r="C3050" s="32" t="s">
        <v>114</v>
      </c>
      <c r="D3050" s="32" t="s">
        <v>4330</v>
      </c>
      <c r="E3050" s="4" t="n">
        <v>2</v>
      </c>
      <c r="F3050" s="4" t="s">
        <v>144</v>
      </c>
      <c r="G3050" s="7" t="s">
        <v>214</v>
      </c>
      <c r="H3050" s="4" t="n">
        <v>1951</v>
      </c>
      <c r="I3050" s="4" t="s">
        <v>215</v>
      </c>
      <c r="J3050" s="25" t="str">
        <f aca="false">IF(M3050=1,"✓","")</f>
        <v/>
      </c>
      <c r="K3050" s="4" t="str">
        <f aca="false">IF(AND(M3050=0,P3050=0),"▶ NEXT","")</f>
        <v/>
      </c>
      <c r="L3050" s="4" t="n">
        <f aca="false">INDEX('Master List'!$F$2:$F$2594,O3050)</f>
        <v>6</v>
      </c>
      <c r="M3050" s="4" t="n">
        <f aca="false">INDEX('Master List'!$G$2:$G$2594,O3050)</f>
        <v>0</v>
      </c>
      <c r="N3050" s="4" t="str">
        <f aca="false">IF(K3050="","",A3050)</f>
        <v/>
      </c>
      <c r="O3050" s="4" t="n">
        <v>628</v>
      </c>
      <c r="P3050" s="4" t="n">
        <f aca="false">IF(A3050=A3049,P3049+1-M3049,0)</f>
        <v>1</v>
      </c>
    </row>
    <row r="3051" customFormat="false" ht="15" hidden="false" customHeight="false" outlineLevel="0" collapsed="false">
      <c r="A3051" s="32" t="s">
        <v>4329</v>
      </c>
      <c r="B3051" s="32" t="s">
        <v>55</v>
      </c>
      <c r="C3051" s="32" t="s">
        <v>114</v>
      </c>
      <c r="D3051" s="32" t="s">
        <v>4330</v>
      </c>
      <c r="E3051" s="4" t="n">
        <v>3</v>
      </c>
      <c r="F3051" s="4" t="s">
        <v>213</v>
      </c>
      <c r="G3051" s="4" t="s">
        <v>245</v>
      </c>
      <c r="H3051" s="4" t="n">
        <v>1928</v>
      </c>
      <c r="I3051" s="4" t="s">
        <v>246</v>
      </c>
      <c r="J3051" s="25" t="str">
        <f aca="false">IF(M3051=1,"✓","")</f>
        <v/>
      </c>
      <c r="K3051" s="4" t="str">
        <f aca="false">IF(AND(M3051=0,P3051=0),"▶ NEXT","")</f>
        <v/>
      </c>
      <c r="L3051" s="4" t="n">
        <f aca="false">INDEX('Master List'!$F$2:$F$2594,O3051)</f>
        <v>5</v>
      </c>
      <c r="M3051" s="4" t="n">
        <f aca="false">INDEX('Master List'!$G$2:$G$2594,O3051)</f>
        <v>0</v>
      </c>
      <c r="N3051" s="4" t="str">
        <f aca="false">IF(K3051="","",A3051)</f>
        <v/>
      </c>
      <c r="O3051" s="4" t="n">
        <v>1729</v>
      </c>
      <c r="P3051" s="4" t="n">
        <f aca="false">IF(A3051=A3050,P3050+1-M3050,0)</f>
        <v>2</v>
      </c>
    </row>
    <row r="3052" customFormat="false" ht="15" hidden="false" customHeight="false" outlineLevel="0" collapsed="false">
      <c r="A3052" s="32" t="s">
        <v>4329</v>
      </c>
      <c r="B3052" s="32" t="s">
        <v>55</v>
      </c>
      <c r="C3052" s="32" t="s">
        <v>114</v>
      </c>
      <c r="D3052" s="32" t="s">
        <v>4330</v>
      </c>
      <c r="E3052" s="4" t="n">
        <v>4</v>
      </c>
      <c r="F3052" s="4" t="s">
        <v>213</v>
      </c>
      <c r="G3052" s="4" t="s">
        <v>385</v>
      </c>
      <c r="H3052" s="4" t="n">
        <v>1955</v>
      </c>
      <c r="I3052" s="4" t="s">
        <v>246</v>
      </c>
      <c r="J3052" s="25" t="str">
        <f aca="false">IF(M3052=1,"✓","")</f>
        <v/>
      </c>
      <c r="K3052" s="4" t="str">
        <f aca="false">IF(AND(M3052=0,P3052=0),"▶ NEXT","")</f>
        <v/>
      </c>
      <c r="L3052" s="4" t="n">
        <f aca="false">INDEX('Master List'!$F$2:$F$2594,O3052)</f>
        <v>4</v>
      </c>
      <c r="M3052" s="4" t="n">
        <f aca="false">INDEX('Master List'!$G$2:$G$2594,O3052)</f>
        <v>0</v>
      </c>
      <c r="N3052" s="4" t="str">
        <f aca="false">IF(K3052="","",A3052)</f>
        <v/>
      </c>
      <c r="O3052" s="4" t="n">
        <v>1690</v>
      </c>
      <c r="P3052" s="4" t="n">
        <f aca="false">IF(A3052=A3051,P3051+1-M3051,0)</f>
        <v>3</v>
      </c>
    </row>
    <row r="3053" customFormat="false" ht="15" hidden="false" customHeight="false" outlineLevel="0" collapsed="false">
      <c r="A3053" s="32" t="s">
        <v>4329</v>
      </c>
      <c r="B3053" s="32" t="s">
        <v>55</v>
      </c>
      <c r="C3053" s="32" t="s">
        <v>114</v>
      </c>
      <c r="D3053" s="32" t="s">
        <v>4330</v>
      </c>
      <c r="E3053" s="4" t="n">
        <v>5</v>
      </c>
      <c r="F3053" s="4" t="s">
        <v>213</v>
      </c>
      <c r="G3053" s="4" t="s">
        <v>973</v>
      </c>
      <c r="H3053" s="4" t="n">
        <v>1964</v>
      </c>
      <c r="I3053" s="4" t="s">
        <v>974</v>
      </c>
      <c r="J3053" s="25" t="str">
        <f aca="false">IF(M3053=1,"✓","")</f>
        <v/>
      </c>
      <c r="K3053" s="4" t="str">
        <f aca="false">IF(AND(M3053=0,P3053=0),"▶ NEXT","")</f>
        <v/>
      </c>
      <c r="L3053" s="4" t="n">
        <f aca="false">INDEX('Master List'!$F$2:$F$2594,O3053)</f>
        <v>2</v>
      </c>
      <c r="M3053" s="4" t="n">
        <f aca="false">INDEX('Master List'!$G$2:$G$2594,O3053)</f>
        <v>0</v>
      </c>
      <c r="N3053" s="4" t="str">
        <f aca="false">IF(K3053="","",A3053)</f>
        <v/>
      </c>
      <c r="O3053" s="4" t="n">
        <v>938</v>
      </c>
      <c r="P3053" s="4" t="n">
        <f aca="false">IF(A3053=A3052,P3052+1-M3052,0)</f>
        <v>4</v>
      </c>
    </row>
    <row r="3054" customFormat="false" ht="15" hidden="false" customHeight="false" outlineLevel="0" collapsed="false">
      <c r="A3054" s="32" t="s">
        <v>4329</v>
      </c>
      <c r="B3054" s="32" t="s">
        <v>55</v>
      </c>
      <c r="C3054" s="32" t="s">
        <v>114</v>
      </c>
      <c r="D3054" s="32" t="s">
        <v>4330</v>
      </c>
      <c r="E3054" s="4" t="n">
        <v>6</v>
      </c>
      <c r="F3054" s="4" t="s">
        <v>213</v>
      </c>
      <c r="G3054" s="4" t="s">
        <v>468</v>
      </c>
      <c r="H3054" s="4" t="n">
        <v>1966</v>
      </c>
      <c r="I3054" s="4" t="s">
        <v>210</v>
      </c>
      <c r="J3054" s="25" t="str">
        <f aca="false">IF(M3054=1,"✓","")</f>
        <v/>
      </c>
      <c r="K3054" s="4" t="str">
        <f aca="false">IF(AND(M3054=0,P3054=0),"▶ NEXT","")</f>
        <v/>
      </c>
      <c r="L3054" s="4" t="n">
        <f aca="false">INDEX('Master List'!$F$2:$F$2594,O3054)</f>
        <v>3</v>
      </c>
      <c r="M3054" s="4" t="n">
        <f aca="false">INDEX('Master List'!$G$2:$G$2594,O3054)</f>
        <v>0</v>
      </c>
      <c r="N3054" s="4" t="str">
        <f aca="false">IF(K3054="","",A3054)</f>
        <v/>
      </c>
      <c r="O3054" s="4" t="n">
        <v>102</v>
      </c>
      <c r="P3054" s="4" t="n">
        <f aca="false">IF(A3054=A3053,P3053+1-M3053,0)</f>
        <v>5</v>
      </c>
    </row>
    <row r="3055" customFormat="false" ht="15" hidden="false" customHeight="false" outlineLevel="0" collapsed="false">
      <c r="A3055" s="32" t="s">
        <v>4329</v>
      </c>
      <c r="B3055" s="32" t="s">
        <v>55</v>
      </c>
      <c r="C3055" s="32" t="s">
        <v>114</v>
      </c>
      <c r="D3055" s="32" t="s">
        <v>4330</v>
      </c>
      <c r="E3055" s="4" t="n">
        <v>7</v>
      </c>
      <c r="F3055" s="4" t="s">
        <v>213</v>
      </c>
      <c r="G3055" s="4" t="s">
        <v>1091</v>
      </c>
      <c r="H3055" s="4" t="n">
        <v>1988</v>
      </c>
      <c r="I3055" s="4" t="s">
        <v>164</v>
      </c>
      <c r="J3055" s="25" t="str">
        <f aca="false">IF(M3055=1,"✓","")</f>
        <v/>
      </c>
      <c r="K3055" s="4" t="str">
        <f aca="false">IF(AND(M3055=0,P3055=0),"▶ NEXT","")</f>
        <v/>
      </c>
      <c r="L3055" s="4" t="n">
        <f aca="false">INDEX('Master List'!$F$2:$F$2594,O3055)</f>
        <v>2</v>
      </c>
      <c r="M3055" s="4" t="n">
        <f aca="false">INDEX('Master List'!$G$2:$G$2594,O3055)</f>
        <v>0</v>
      </c>
      <c r="N3055" s="4" t="str">
        <f aca="false">IF(K3055="","",A3055)</f>
        <v/>
      </c>
      <c r="O3055" s="4" t="n">
        <v>1302</v>
      </c>
      <c r="P3055" s="4" t="n">
        <f aca="false">IF(A3055=A3054,P3054+1-M3054,0)</f>
        <v>6</v>
      </c>
    </row>
    <row r="3056" customFormat="false" ht="15" hidden="false" customHeight="false" outlineLevel="0" collapsed="false">
      <c r="A3056" s="32" t="s">
        <v>4329</v>
      </c>
      <c r="B3056" s="32" t="s">
        <v>55</v>
      </c>
      <c r="C3056" s="32" t="s">
        <v>114</v>
      </c>
      <c r="D3056" s="32" t="s">
        <v>4330</v>
      </c>
      <c r="E3056" s="4" t="n">
        <v>8</v>
      </c>
      <c r="F3056" s="4" t="s">
        <v>213</v>
      </c>
      <c r="G3056" s="4" t="s">
        <v>2679</v>
      </c>
      <c r="H3056" s="4" t="n">
        <v>1997</v>
      </c>
      <c r="I3056" s="4" t="s">
        <v>2680</v>
      </c>
      <c r="J3056" s="25" t="str">
        <f aca="false">IF(M3056=1,"✓","")</f>
        <v/>
      </c>
      <c r="K3056" s="4" t="str">
        <f aca="false">IF(AND(M3056=0,P3056=0),"▶ NEXT","")</f>
        <v/>
      </c>
      <c r="L3056" s="4" t="n">
        <f aca="false">INDEX('Master List'!$F$2:$F$2594,O3056)</f>
        <v>1</v>
      </c>
      <c r="M3056" s="4" t="n">
        <f aca="false">INDEX('Master List'!$G$2:$G$2594,O3056)</f>
        <v>0</v>
      </c>
      <c r="N3056" s="4" t="str">
        <f aca="false">IF(K3056="","",A3056)</f>
        <v/>
      </c>
      <c r="O3056" s="4" t="n">
        <v>123</v>
      </c>
      <c r="P3056" s="4" t="n">
        <f aca="false">IF(A3056=A3055,P3055+1-M3055,0)</f>
        <v>7</v>
      </c>
    </row>
    <row r="3057" customFormat="false" ht="15" hidden="false" customHeight="false" outlineLevel="0" collapsed="false">
      <c r="A3057" s="32" t="s">
        <v>4329</v>
      </c>
      <c r="B3057" s="32" t="s">
        <v>55</v>
      </c>
      <c r="C3057" s="32" t="s">
        <v>114</v>
      </c>
      <c r="D3057" s="32" t="s">
        <v>4330</v>
      </c>
      <c r="E3057" s="4" t="n">
        <v>9</v>
      </c>
      <c r="F3057" s="4" t="s">
        <v>213</v>
      </c>
      <c r="G3057" s="4" t="s">
        <v>2961</v>
      </c>
      <c r="H3057" s="4" t="n">
        <v>2010</v>
      </c>
      <c r="I3057" s="4" t="s">
        <v>2962</v>
      </c>
      <c r="J3057" s="25" t="str">
        <f aca="false">IF(M3057=1,"✓","")</f>
        <v/>
      </c>
      <c r="K3057" s="4" t="str">
        <f aca="false">IF(AND(M3057=0,P3057=0),"▶ NEXT","")</f>
        <v/>
      </c>
      <c r="L3057" s="4" t="n">
        <f aca="false">INDEX('Master List'!$F$2:$F$2594,O3057)</f>
        <v>1</v>
      </c>
      <c r="M3057" s="4" t="n">
        <f aca="false">INDEX('Master List'!$G$2:$G$2594,O3057)</f>
        <v>0</v>
      </c>
      <c r="N3057" s="4" t="str">
        <f aca="false">IF(K3057="","",A3057)</f>
        <v/>
      </c>
      <c r="O3057" s="4" t="n">
        <v>1650</v>
      </c>
      <c r="P3057" s="4" t="n">
        <f aca="false">IF(A3057=A3056,P3056+1-M3056,0)</f>
        <v>8</v>
      </c>
    </row>
    <row r="3058" customFormat="false" ht="15" hidden="false" customHeight="false" outlineLevel="0" collapsed="false">
      <c r="A3058" s="32" t="s">
        <v>4329</v>
      </c>
      <c r="B3058" s="32" t="s">
        <v>55</v>
      </c>
      <c r="C3058" s="32" t="s">
        <v>114</v>
      </c>
      <c r="D3058" s="32" t="s">
        <v>4330</v>
      </c>
      <c r="E3058" s="4" t="n">
        <v>10</v>
      </c>
      <c r="F3058" s="4" t="s">
        <v>213</v>
      </c>
      <c r="G3058" s="4" t="s">
        <v>1229</v>
      </c>
      <c r="H3058" s="4" t="n">
        <v>2016</v>
      </c>
      <c r="I3058" s="4" t="s">
        <v>164</v>
      </c>
      <c r="J3058" s="25" t="str">
        <f aca="false">IF(M3058=1,"✓","")</f>
        <v>✓</v>
      </c>
      <c r="K3058" s="4" t="str">
        <f aca="false">IF(AND(M3058=0,P3058=0),"▶ NEXT","")</f>
        <v/>
      </c>
      <c r="L3058" s="4" t="n">
        <f aca="false">INDEX('Master List'!$F$2:$F$2594,O3058)</f>
        <v>2</v>
      </c>
      <c r="M3058" s="4" t="n">
        <f aca="false">INDEX('Master List'!$G$2:$G$2594,O3058)</f>
        <v>1</v>
      </c>
      <c r="N3058" s="4" t="str">
        <f aca="false">IF(K3058="","",A3058)</f>
        <v/>
      </c>
      <c r="O3058" s="4" t="n">
        <v>2068</v>
      </c>
      <c r="P3058" s="4" t="n">
        <f aca="false">IF(A3058=A3057,P3057+1-M3057,0)</f>
        <v>9</v>
      </c>
    </row>
    <row r="3059" customFormat="false" ht="15" hidden="false" customHeight="false" outlineLevel="0" collapsed="false">
      <c r="A3059" s="32" t="s">
        <v>4329</v>
      </c>
      <c r="B3059" s="32" t="s">
        <v>55</v>
      </c>
      <c r="C3059" s="32" t="s">
        <v>114</v>
      </c>
      <c r="D3059" s="32" t="s">
        <v>4330</v>
      </c>
      <c r="E3059" s="4" t="n">
        <v>11</v>
      </c>
      <c r="F3059" s="4" t="s">
        <v>213</v>
      </c>
      <c r="G3059" s="4" t="s">
        <v>651</v>
      </c>
      <c r="H3059" s="4" t="n">
        <v>2019</v>
      </c>
      <c r="I3059" s="4" t="s">
        <v>361</v>
      </c>
      <c r="J3059" s="25" t="str">
        <f aca="false">IF(M3059=1,"✓","")</f>
        <v/>
      </c>
      <c r="K3059" s="4" t="str">
        <f aca="false">IF(AND(M3059=0,P3059=0),"▶ NEXT","")</f>
        <v/>
      </c>
      <c r="L3059" s="4" t="n">
        <f aca="false">INDEX('Master List'!$F$2:$F$2594,O3059)</f>
        <v>3</v>
      </c>
      <c r="M3059" s="4" t="n">
        <f aca="false">INDEX('Master List'!$G$2:$G$2594,O3059)</f>
        <v>0</v>
      </c>
      <c r="N3059" s="4" t="str">
        <f aca="false">IF(K3059="","",A3059)</f>
        <v/>
      </c>
      <c r="O3059" s="4" t="n">
        <v>1031</v>
      </c>
      <c r="P3059" s="4" t="n">
        <f aca="false">IF(A3059=A3058,P3058+1-M3058,0)</f>
        <v>9</v>
      </c>
    </row>
    <row r="3060" customFormat="false" ht="15" hidden="false" customHeight="false" outlineLevel="0" collapsed="false">
      <c r="A3060" s="32" t="s">
        <v>4329</v>
      </c>
      <c r="B3060" s="32" t="s">
        <v>55</v>
      </c>
      <c r="C3060" s="32" t="s">
        <v>114</v>
      </c>
      <c r="D3060" s="32" t="s">
        <v>4330</v>
      </c>
      <c r="E3060" s="4" t="n">
        <v>12</v>
      </c>
      <c r="F3060" s="4" t="s">
        <v>213</v>
      </c>
      <c r="G3060" s="4" t="s">
        <v>3265</v>
      </c>
      <c r="H3060" s="4" t="n">
        <v>2024</v>
      </c>
      <c r="I3060" s="4" t="s">
        <v>3224</v>
      </c>
      <c r="J3060" s="25" t="str">
        <f aca="false">IF(M3060=1,"✓","")</f>
        <v/>
      </c>
      <c r="K3060" s="4" t="str">
        <f aca="false">IF(AND(M3060=0,P3060=0),"▶ NEXT","")</f>
        <v/>
      </c>
      <c r="L3060" s="4" t="n">
        <f aca="false">INDEX('Master List'!$F$2:$F$2594,O3060)</f>
        <v>1</v>
      </c>
      <c r="M3060" s="4" t="n">
        <f aca="false">INDEX('Master List'!$G$2:$G$2594,O3060)</f>
        <v>0</v>
      </c>
      <c r="N3060" s="4" t="str">
        <f aca="false">IF(K3060="","",A3060)</f>
        <v/>
      </c>
      <c r="O3060" s="4" t="n">
        <v>511</v>
      </c>
      <c r="P3060" s="4" t="n">
        <f aca="false">IF(A3060=A3059,P3059+1-M3059,0)</f>
        <v>10</v>
      </c>
    </row>
    <row r="3061" customFormat="false" ht="15" hidden="false" customHeight="false" outlineLevel="0" collapsed="false">
      <c r="A3061" s="32" t="s">
        <v>4329</v>
      </c>
      <c r="B3061" s="32" t="s">
        <v>55</v>
      </c>
      <c r="C3061" s="32" t="s">
        <v>114</v>
      </c>
      <c r="D3061" s="32" t="s">
        <v>4330</v>
      </c>
      <c r="E3061" s="4" t="n">
        <v>13</v>
      </c>
      <c r="F3061" s="4" t="s">
        <v>1327</v>
      </c>
      <c r="G3061" s="4" t="s">
        <v>3821</v>
      </c>
      <c r="H3061" s="4" t="n">
        <v>2014</v>
      </c>
      <c r="I3061" s="4" t="s">
        <v>3822</v>
      </c>
      <c r="J3061" s="25" t="str">
        <f aca="false">IF(M3061=1,"✓","")</f>
        <v/>
      </c>
      <c r="K3061" s="4" t="str">
        <f aca="false">IF(AND(M3061=0,P3061=0),"▶ NEXT","")</f>
        <v/>
      </c>
      <c r="L3061" s="4" t="n">
        <f aca="false">INDEX('Master List'!$F$2:$F$2594,O3061)</f>
        <v>1</v>
      </c>
      <c r="M3061" s="4" t="n">
        <f aca="false">INDEX('Master List'!$G$2:$G$2594,O3061)</f>
        <v>0</v>
      </c>
      <c r="N3061" s="4" t="str">
        <f aca="false">IF(K3061="","",A3061)</f>
        <v/>
      </c>
      <c r="O3061" s="4" t="n">
        <v>383</v>
      </c>
      <c r="P3061" s="4" t="n">
        <f aca="false">IF(A3061=A3060,P3060+1-M3060,0)</f>
        <v>11</v>
      </c>
    </row>
    <row r="3062" customFormat="false" ht="15" hidden="false" customHeight="false" outlineLevel="0" collapsed="false">
      <c r="A3062" s="32" t="s">
        <v>4329</v>
      </c>
      <c r="B3062" s="32" t="s">
        <v>55</v>
      </c>
      <c r="C3062" s="32" t="s">
        <v>114</v>
      </c>
      <c r="D3062" s="32" t="s">
        <v>4330</v>
      </c>
      <c r="E3062" s="4" t="n">
        <v>14</v>
      </c>
      <c r="F3062" s="4" t="s">
        <v>1327</v>
      </c>
      <c r="G3062" s="4" t="s">
        <v>1323</v>
      </c>
      <c r="H3062" s="4" t="n">
        <v>1959</v>
      </c>
      <c r="I3062" s="4" t="s">
        <v>402</v>
      </c>
      <c r="J3062" s="25" t="str">
        <f aca="false">IF(M3062=1,"✓","")</f>
        <v/>
      </c>
      <c r="K3062" s="4" t="str">
        <f aca="false">IF(AND(M3062=0,P3062=0),"▶ NEXT","")</f>
        <v/>
      </c>
      <c r="L3062" s="4" t="n">
        <f aca="false">INDEX('Master List'!$F$2:$F$2594,O3062)</f>
        <v>2</v>
      </c>
      <c r="M3062" s="4" t="n">
        <f aca="false">INDEX('Master List'!$G$2:$G$2594,O3062)</f>
        <v>0</v>
      </c>
      <c r="N3062" s="4" t="str">
        <f aca="false">IF(K3062="","",A3062)</f>
        <v/>
      </c>
      <c r="O3062" s="4" t="n">
        <v>1590</v>
      </c>
      <c r="P3062" s="4" t="n">
        <f aca="false">IF(A3062=A3061,P3061+1-M3061,0)</f>
        <v>12</v>
      </c>
    </row>
    <row r="3063" customFormat="false" ht="15" hidden="false" customHeight="false" outlineLevel="0" collapsed="false">
      <c r="A3063" s="32" t="s">
        <v>4331</v>
      </c>
      <c r="B3063" s="32" t="s">
        <v>55</v>
      </c>
      <c r="C3063" s="32" t="s">
        <v>114</v>
      </c>
      <c r="D3063" s="32" t="s">
        <v>4332</v>
      </c>
      <c r="E3063" s="4" t="n">
        <v>1</v>
      </c>
      <c r="F3063" s="4" t="s">
        <v>144</v>
      </c>
      <c r="G3063" s="7" t="s">
        <v>547</v>
      </c>
      <c r="H3063" s="4" t="n">
        <v>1975</v>
      </c>
      <c r="I3063" s="4" t="s">
        <v>548</v>
      </c>
      <c r="J3063" s="25" t="str">
        <f aca="false">IF(M3063=1,"✓","")</f>
        <v>✓</v>
      </c>
      <c r="K3063" s="4" t="str">
        <f aca="false">IF(AND(M3063=0,P3063=0),"▶ NEXT","")</f>
        <v/>
      </c>
      <c r="L3063" s="4" t="n">
        <f aca="false">INDEX('Master List'!$F$2:$F$2594,O3063)</f>
        <v>3</v>
      </c>
      <c r="M3063" s="4" t="n">
        <f aca="false">INDEX('Master List'!$G$2:$G$2594,O3063)</f>
        <v>1</v>
      </c>
      <c r="N3063" s="4" t="str">
        <f aca="false">IF(K3063="","",A3063)</f>
        <v/>
      </c>
      <c r="O3063" s="4" t="n">
        <v>1678</v>
      </c>
      <c r="P3063" s="4" t="n">
        <f aca="false">IF(A3063=A3062,P3062+1-M3062,0)</f>
        <v>0</v>
      </c>
    </row>
    <row r="3064" customFormat="false" ht="15" hidden="false" customHeight="false" outlineLevel="0" collapsed="false">
      <c r="A3064" s="32" t="s">
        <v>4331</v>
      </c>
      <c r="B3064" s="32" t="s">
        <v>55</v>
      </c>
      <c r="C3064" s="32" t="s">
        <v>114</v>
      </c>
      <c r="D3064" s="32" t="s">
        <v>4332</v>
      </c>
      <c r="E3064" s="4" t="n">
        <v>2</v>
      </c>
      <c r="F3064" s="4" t="s">
        <v>144</v>
      </c>
      <c r="G3064" s="7" t="s">
        <v>1522</v>
      </c>
      <c r="H3064" s="4" t="n">
        <v>1980</v>
      </c>
      <c r="I3064" s="4" t="s">
        <v>1523</v>
      </c>
      <c r="J3064" s="25" t="str">
        <f aca="false">IF(M3064=1,"✓","")</f>
        <v/>
      </c>
      <c r="K3064" s="4" t="str">
        <f aca="false">IF(AND(M3064=0,P3064=0),"▶ NEXT","")</f>
        <v>▶ NEXT</v>
      </c>
      <c r="L3064" s="4" t="n">
        <f aca="false">INDEX('Master List'!$F$2:$F$2594,O3064)</f>
        <v>1</v>
      </c>
      <c r="M3064" s="4" t="n">
        <f aca="false">INDEX('Master List'!$G$2:$G$2594,O3064)</f>
        <v>0</v>
      </c>
      <c r="N3064" s="4" t="str">
        <f aca="false">IF(K3064="","",A3064)</f>
        <v>N254</v>
      </c>
      <c r="O3064" s="4" t="n">
        <v>1691</v>
      </c>
      <c r="P3064" s="4" t="n">
        <f aca="false">IF(A3064=A3063,P3063+1-M3063,0)</f>
        <v>0</v>
      </c>
    </row>
    <row r="3065" customFormat="false" ht="15" hidden="false" customHeight="false" outlineLevel="0" collapsed="false">
      <c r="A3065" s="32" t="s">
        <v>4331</v>
      </c>
      <c r="B3065" s="32" t="s">
        <v>55</v>
      </c>
      <c r="C3065" s="32" t="s">
        <v>114</v>
      </c>
      <c r="D3065" s="32" t="s">
        <v>4332</v>
      </c>
      <c r="E3065" s="4" t="n">
        <v>3</v>
      </c>
      <c r="F3065" s="4" t="s">
        <v>213</v>
      </c>
      <c r="G3065" s="4" t="s">
        <v>1831</v>
      </c>
      <c r="H3065" s="4" t="n">
        <v>1945</v>
      </c>
      <c r="I3065" s="4" t="s">
        <v>162</v>
      </c>
      <c r="J3065" s="25" t="str">
        <f aca="false">IF(M3065=1,"✓","")</f>
        <v/>
      </c>
      <c r="K3065" s="4" t="str">
        <f aca="false">IF(AND(M3065=0,P3065=0),"▶ NEXT","")</f>
        <v/>
      </c>
      <c r="L3065" s="4" t="n">
        <f aca="false">INDEX('Master List'!$F$2:$F$2594,O3065)</f>
        <v>1</v>
      </c>
      <c r="M3065" s="4" t="n">
        <f aca="false">INDEX('Master List'!$G$2:$G$2594,O3065)</f>
        <v>0</v>
      </c>
      <c r="N3065" s="4" t="str">
        <f aca="false">IF(K3065="","",A3065)</f>
        <v/>
      </c>
      <c r="O3065" s="4" t="n">
        <v>2130</v>
      </c>
      <c r="P3065" s="4" t="n">
        <f aca="false">IF(A3065=A3064,P3064+1-M3064,0)</f>
        <v>1</v>
      </c>
    </row>
    <row r="3066" customFormat="false" ht="15" hidden="false" customHeight="false" outlineLevel="0" collapsed="false">
      <c r="A3066" s="32" t="s">
        <v>4331</v>
      </c>
      <c r="B3066" s="32" t="s">
        <v>55</v>
      </c>
      <c r="C3066" s="32" t="s">
        <v>114</v>
      </c>
      <c r="D3066" s="32" t="s">
        <v>4332</v>
      </c>
      <c r="E3066" s="4" t="n">
        <v>4</v>
      </c>
      <c r="F3066" s="4" t="s">
        <v>213</v>
      </c>
      <c r="G3066" s="4" t="s">
        <v>1860</v>
      </c>
      <c r="H3066" s="4" t="n">
        <v>1948</v>
      </c>
      <c r="I3066" s="4" t="s">
        <v>1861</v>
      </c>
      <c r="J3066" s="25" t="str">
        <f aca="false">IF(M3066=1,"✓","")</f>
        <v/>
      </c>
      <c r="K3066" s="4" t="str">
        <f aca="false">IF(AND(M3066=0,P3066=0),"▶ NEXT","")</f>
        <v/>
      </c>
      <c r="L3066" s="4" t="n">
        <f aca="false">INDEX('Master List'!$F$2:$F$2594,O3066)</f>
        <v>1</v>
      </c>
      <c r="M3066" s="4" t="n">
        <f aca="false">INDEX('Master List'!$G$2:$G$2594,O3066)</f>
        <v>0</v>
      </c>
      <c r="N3066" s="4" t="str">
        <f aca="false">IF(K3066="","",A3066)</f>
        <v/>
      </c>
      <c r="O3066" s="4" t="n">
        <v>2099</v>
      </c>
      <c r="P3066" s="4" t="n">
        <f aca="false">IF(A3066=A3065,P3065+1-M3065,0)</f>
        <v>2</v>
      </c>
    </row>
    <row r="3067" customFormat="false" ht="15" hidden="false" customHeight="false" outlineLevel="0" collapsed="false">
      <c r="A3067" s="32" t="s">
        <v>4331</v>
      </c>
      <c r="B3067" s="32" t="s">
        <v>55</v>
      </c>
      <c r="C3067" s="32" t="s">
        <v>114</v>
      </c>
      <c r="D3067" s="32" t="s">
        <v>4332</v>
      </c>
      <c r="E3067" s="4" t="n">
        <v>5</v>
      </c>
      <c r="F3067" s="4" t="s">
        <v>213</v>
      </c>
      <c r="G3067" s="4" t="s">
        <v>991</v>
      </c>
      <c r="H3067" s="4" t="n">
        <v>1967</v>
      </c>
      <c r="I3067" s="4" t="s">
        <v>992</v>
      </c>
      <c r="J3067" s="25" t="str">
        <f aca="false">IF(M3067=1,"✓","")</f>
        <v/>
      </c>
      <c r="K3067" s="4" t="str">
        <f aca="false">IF(AND(M3067=0,P3067=0),"▶ NEXT","")</f>
        <v/>
      </c>
      <c r="L3067" s="4" t="n">
        <f aca="false">INDEX('Master List'!$F$2:$F$2594,O3067)</f>
        <v>2</v>
      </c>
      <c r="M3067" s="4" t="n">
        <f aca="false">INDEX('Master List'!$G$2:$G$2594,O3067)</f>
        <v>0</v>
      </c>
      <c r="N3067" s="4" t="str">
        <f aca="false">IF(K3067="","",A3067)</f>
        <v/>
      </c>
      <c r="O3067" s="4" t="n">
        <v>2314</v>
      </c>
      <c r="P3067" s="4" t="n">
        <f aca="false">IF(A3067=A3066,P3066+1-M3066,0)</f>
        <v>3</v>
      </c>
    </row>
    <row r="3068" customFormat="false" ht="15" hidden="false" customHeight="false" outlineLevel="0" collapsed="false">
      <c r="A3068" s="32" t="s">
        <v>4331</v>
      </c>
      <c r="B3068" s="32" t="s">
        <v>55</v>
      </c>
      <c r="C3068" s="32" t="s">
        <v>114</v>
      </c>
      <c r="D3068" s="32" t="s">
        <v>4332</v>
      </c>
      <c r="E3068" s="4" t="n">
        <v>6</v>
      </c>
      <c r="F3068" s="4" t="s">
        <v>213</v>
      </c>
      <c r="G3068" s="4" t="s">
        <v>800</v>
      </c>
      <c r="H3068" s="4" t="n">
        <v>1974</v>
      </c>
      <c r="I3068" s="4" t="s">
        <v>801</v>
      </c>
      <c r="J3068" s="25" t="str">
        <f aca="false">IF(M3068=1,"✓","")</f>
        <v/>
      </c>
      <c r="K3068" s="4" t="str">
        <f aca="false">IF(AND(M3068=0,P3068=0),"▶ NEXT","")</f>
        <v/>
      </c>
      <c r="L3068" s="4" t="n">
        <f aca="false">INDEX('Master List'!$F$2:$F$2594,O3068)</f>
        <v>2</v>
      </c>
      <c r="M3068" s="4" t="n">
        <f aca="false">INDEX('Master List'!$G$2:$G$2594,O3068)</f>
        <v>0</v>
      </c>
      <c r="N3068" s="4" t="str">
        <f aca="false">IF(K3068="","",A3068)</f>
        <v/>
      </c>
      <c r="O3068" s="4" t="n">
        <v>2546</v>
      </c>
      <c r="P3068" s="4" t="n">
        <f aca="false">IF(A3068=A3067,P3067+1-M3067,0)</f>
        <v>4</v>
      </c>
    </row>
    <row r="3069" customFormat="false" ht="15" hidden="false" customHeight="false" outlineLevel="0" collapsed="false">
      <c r="A3069" s="32" t="s">
        <v>4331</v>
      </c>
      <c r="B3069" s="32" t="s">
        <v>55</v>
      </c>
      <c r="C3069" s="32" t="s">
        <v>114</v>
      </c>
      <c r="D3069" s="32" t="s">
        <v>4332</v>
      </c>
      <c r="E3069" s="4" t="n">
        <v>7</v>
      </c>
      <c r="F3069" s="4" t="s">
        <v>213</v>
      </c>
      <c r="G3069" s="4" t="s">
        <v>1122</v>
      </c>
      <c r="H3069" s="4" t="n">
        <v>1997</v>
      </c>
      <c r="I3069" s="4" t="s">
        <v>827</v>
      </c>
      <c r="J3069" s="25" t="str">
        <f aca="false">IF(M3069=1,"✓","")</f>
        <v>✓</v>
      </c>
      <c r="K3069" s="4" t="str">
        <f aca="false">IF(AND(M3069=0,P3069=0),"▶ NEXT","")</f>
        <v/>
      </c>
      <c r="L3069" s="4" t="n">
        <f aca="false">INDEX('Master List'!$F$2:$F$2594,O3069)</f>
        <v>2</v>
      </c>
      <c r="M3069" s="4" t="n">
        <f aca="false">INDEX('Master List'!$G$2:$G$2594,O3069)</f>
        <v>1</v>
      </c>
      <c r="N3069" s="4" t="str">
        <f aca="false">IF(K3069="","",A3069)</f>
        <v/>
      </c>
      <c r="O3069" s="4" t="n">
        <v>931</v>
      </c>
      <c r="P3069" s="4" t="n">
        <f aca="false">IF(A3069=A3068,P3068+1-M3068,0)</f>
        <v>5</v>
      </c>
    </row>
    <row r="3070" customFormat="false" ht="15" hidden="false" customHeight="false" outlineLevel="0" collapsed="false">
      <c r="A3070" s="32" t="s">
        <v>4331</v>
      </c>
      <c r="B3070" s="32" t="s">
        <v>55</v>
      </c>
      <c r="C3070" s="32" t="s">
        <v>114</v>
      </c>
      <c r="D3070" s="32" t="s">
        <v>4332</v>
      </c>
      <c r="E3070" s="4" t="n">
        <v>8</v>
      </c>
      <c r="F3070" s="4" t="s">
        <v>213</v>
      </c>
      <c r="G3070" s="4" t="s">
        <v>2710</v>
      </c>
      <c r="H3070" s="4" t="n">
        <v>1999</v>
      </c>
      <c r="I3070" s="4" t="s">
        <v>2711</v>
      </c>
      <c r="J3070" s="25" t="str">
        <f aca="false">IF(M3070=1,"✓","")</f>
        <v/>
      </c>
      <c r="K3070" s="4" t="str">
        <f aca="false">IF(AND(M3070=0,P3070=0),"▶ NEXT","")</f>
        <v/>
      </c>
      <c r="L3070" s="4" t="n">
        <f aca="false">INDEX('Master List'!$F$2:$F$2594,O3070)</f>
        <v>1</v>
      </c>
      <c r="M3070" s="4" t="n">
        <f aca="false">INDEX('Master List'!$G$2:$G$2594,O3070)</f>
        <v>0</v>
      </c>
      <c r="N3070" s="4" t="str">
        <f aca="false">IF(K3070="","",A3070)</f>
        <v/>
      </c>
      <c r="O3070" s="4" t="n">
        <v>899</v>
      </c>
      <c r="P3070" s="4" t="n">
        <f aca="false">IF(A3070=A3069,P3069+1-M3069,0)</f>
        <v>5</v>
      </c>
    </row>
    <row r="3071" customFormat="false" ht="15" hidden="false" customHeight="false" outlineLevel="0" collapsed="false">
      <c r="A3071" s="32" t="s">
        <v>4331</v>
      </c>
      <c r="B3071" s="32" t="s">
        <v>55</v>
      </c>
      <c r="C3071" s="32" t="s">
        <v>114</v>
      </c>
      <c r="D3071" s="32" t="s">
        <v>4332</v>
      </c>
      <c r="E3071" s="4" t="n">
        <v>9</v>
      </c>
      <c r="F3071" s="4" t="s">
        <v>213</v>
      </c>
      <c r="G3071" s="4" t="s">
        <v>2979</v>
      </c>
      <c r="H3071" s="4" t="n">
        <v>2011</v>
      </c>
      <c r="I3071" s="4" t="s">
        <v>1135</v>
      </c>
      <c r="J3071" s="25" t="str">
        <f aca="false">IF(M3071=1,"✓","")</f>
        <v/>
      </c>
      <c r="K3071" s="4" t="str">
        <f aca="false">IF(AND(M3071=0,P3071=0),"▶ NEXT","")</f>
        <v/>
      </c>
      <c r="L3071" s="4" t="n">
        <f aca="false">INDEX('Master List'!$F$2:$F$2594,O3071)</f>
        <v>1</v>
      </c>
      <c r="M3071" s="4" t="n">
        <f aca="false">INDEX('Master List'!$G$2:$G$2594,O3071)</f>
        <v>0</v>
      </c>
      <c r="N3071" s="4" t="str">
        <f aca="false">IF(K3071="","",A3071)</f>
        <v/>
      </c>
      <c r="O3071" s="4" t="n">
        <v>1474</v>
      </c>
      <c r="P3071" s="4" t="n">
        <f aca="false">IF(A3071=A3070,P3070+1-M3070,0)</f>
        <v>6</v>
      </c>
    </row>
    <row r="3072" customFormat="false" ht="15" hidden="false" customHeight="false" outlineLevel="0" collapsed="false">
      <c r="A3072" s="32" t="s">
        <v>4331</v>
      </c>
      <c r="B3072" s="32" t="s">
        <v>55</v>
      </c>
      <c r="C3072" s="32" t="s">
        <v>114</v>
      </c>
      <c r="D3072" s="32" t="s">
        <v>4332</v>
      </c>
      <c r="E3072" s="4" t="n">
        <v>10</v>
      </c>
      <c r="F3072" s="4" t="s">
        <v>213</v>
      </c>
      <c r="G3072" s="4" t="s">
        <v>3012</v>
      </c>
      <c r="H3072" s="4" t="n">
        <v>2012</v>
      </c>
      <c r="I3072" s="4" t="s">
        <v>2704</v>
      </c>
      <c r="J3072" s="25" t="str">
        <f aca="false">IF(M3072=1,"✓","")</f>
        <v>✓</v>
      </c>
      <c r="K3072" s="4" t="str">
        <f aca="false">IF(AND(M3072=0,P3072=0),"▶ NEXT","")</f>
        <v/>
      </c>
      <c r="L3072" s="4" t="n">
        <f aca="false">INDEX('Master List'!$F$2:$F$2594,O3072)</f>
        <v>1</v>
      </c>
      <c r="M3072" s="4" t="n">
        <f aca="false">INDEX('Master List'!$G$2:$G$2594,O3072)</f>
        <v>1</v>
      </c>
      <c r="N3072" s="4" t="str">
        <f aca="false">IF(K3072="","",A3072)</f>
        <v/>
      </c>
      <c r="O3072" s="4" t="n">
        <v>2074</v>
      </c>
      <c r="P3072" s="4" t="n">
        <f aca="false">IF(A3072=A3071,P3071+1-M3071,0)</f>
        <v>7</v>
      </c>
    </row>
    <row r="3073" customFormat="false" ht="15" hidden="false" customHeight="false" outlineLevel="0" collapsed="false">
      <c r="A3073" s="32" t="s">
        <v>4331</v>
      </c>
      <c r="B3073" s="32" t="s">
        <v>55</v>
      </c>
      <c r="C3073" s="32" t="s">
        <v>114</v>
      </c>
      <c r="D3073" s="32" t="s">
        <v>4332</v>
      </c>
      <c r="E3073" s="4" t="n">
        <v>11</v>
      </c>
      <c r="F3073" s="4" t="s">
        <v>213</v>
      </c>
      <c r="G3073" s="4" t="s">
        <v>1411</v>
      </c>
      <c r="H3073" s="4" t="n">
        <v>2011</v>
      </c>
      <c r="I3073" s="4" t="s">
        <v>1412</v>
      </c>
      <c r="J3073" s="25" t="str">
        <f aca="false">IF(M3073=1,"✓","")</f>
        <v/>
      </c>
      <c r="K3073" s="4" t="str">
        <f aca="false">IF(AND(M3073=0,P3073=0),"▶ NEXT","")</f>
        <v/>
      </c>
      <c r="L3073" s="4" t="n">
        <f aca="false">INDEX('Master List'!$F$2:$F$2594,O3073)</f>
        <v>2</v>
      </c>
      <c r="M3073" s="4" t="n">
        <f aca="false">INDEX('Master List'!$G$2:$G$2594,O3073)</f>
        <v>0</v>
      </c>
      <c r="N3073" s="4" t="str">
        <f aca="false">IF(K3073="","",A3073)</f>
        <v/>
      </c>
      <c r="O3073" s="4" t="n">
        <v>2230</v>
      </c>
      <c r="P3073" s="4" t="n">
        <f aca="false">IF(A3073=A3072,P3072+1-M3072,0)</f>
        <v>7</v>
      </c>
    </row>
    <row r="3074" customFormat="false" ht="15" hidden="false" customHeight="false" outlineLevel="0" collapsed="false">
      <c r="A3074" s="32" t="s">
        <v>4331</v>
      </c>
      <c r="B3074" s="32" t="s">
        <v>55</v>
      </c>
      <c r="C3074" s="32" t="s">
        <v>114</v>
      </c>
      <c r="D3074" s="32" t="s">
        <v>4332</v>
      </c>
      <c r="E3074" s="4" t="n">
        <v>12</v>
      </c>
      <c r="F3074" s="4" t="s">
        <v>213</v>
      </c>
      <c r="G3074" s="4" t="s">
        <v>3230</v>
      </c>
      <c r="H3074" s="4" t="n">
        <v>2022</v>
      </c>
      <c r="I3074" s="4" t="s">
        <v>1641</v>
      </c>
      <c r="J3074" s="25" t="str">
        <f aca="false">IF(M3074=1,"✓","")</f>
        <v>✓</v>
      </c>
      <c r="K3074" s="4" t="str">
        <f aca="false">IF(AND(M3074=0,P3074=0),"▶ NEXT","")</f>
        <v/>
      </c>
      <c r="L3074" s="4" t="n">
        <f aca="false">INDEX('Master List'!$F$2:$F$2594,O3074)</f>
        <v>1</v>
      </c>
      <c r="M3074" s="4" t="n">
        <f aca="false">INDEX('Master List'!$G$2:$G$2594,O3074)</f>
        <v>1</v>
      </c>
      <c r="N3074" s="4" t="str">
        <f aca="false">IF(K3074="","",A3074)</f>
        <v/>
      </c>
      <c r="O3074" s="4" t="n">
        <v>2189</v>
      </c>
      <c r="P3074" s="4" t="n">
        <f aca="false">IF(A3074=A3073,P3073+1-M3073,0)</f>
        <v>8</v>
      </c>
    </row>
    <row r="3075" customFormat="false" ht="15" hidden="false" customHeight="false" outlineLevel="0" collapsed="false">
      <c r="A3075" s="32" t="s">
        <v>4331</v>
      </c>
      <c r="B3075" s="32" t="s">
        <v>55</v>
      </c>
      <c r="C3075" s="32" t="s">
        <v>114</v>
      </c>
      <c r="D3075" s="32" t="s">
        <v>4332</v>
      </c>
      <c r="E3075" s="4" t="n">
        <v>13</v>
      </c>
      <c r="F3075" s="4" t="s">
        <v>1327</v>
      </c>
      <c r="G3075" s="4" t="s">
        <v>3678</v>
      </c>
      <c r="H3075" s="4" t="n">
        <v>1993</v>
      </c>
      <c r="I3075" s="4" t="s">
        <v>3679</v>
      </c>
      <c r="J3075" s="25" t="str">
        <f aca="false">IF(M3075=1,"✓","")</f>
        <v/>
      </c>
      <c r="K3075" s="4" t="str">
        <f aca="false">IF(AND(M3075=0,P3075=0),"▶ NEXT","")</f>
        <v/>
      </c>
      <c r="L3075" s="4" t="n">
        <f aca="false">INDEX('Master List'!$F$2:$F$2594,O3075)</f>
        <v>1</v>
      </c>
      <c r="M3075" s="4" t="n">
        <f aca="false">INDEX('Master List'!$G$2:$G$2594,O3075)</f>
        <v>0</v>
      </c>
      <c r="N3075" s="4" t="str">
        <f aca="false">IF(K3075="","",A3075)</f>
        <v/>
      </c>
      <c r="O3075" s="4" t="n">
        <v>474</v>
      </c>
      <c r="P3075" s="4" t="n">
        <f aca="false">IF(A3075=A3074,P3074+1-M3074,0)</f>
        <v>8</v>
      </c>
    </row>
    <row r="3076" customFormat="false" ht="15" hidden="false" customHeight="false" outlineLevel="0" collapsed="false">
      <c r="A3076" s="32" t="s">
        <v>4331</v>
      </c>
      <c r="B3076" s="32" t="s">
        <v>55</v>
      </c>
      <c r="C3076" s="32" t="s">
        <v>114</v>
      </c>
      <c r="D3076" s="32" t="s">
        <v>4332</v>
      </c>
      <c r="E3076" s="4" t="n">
        <v>14</v>
      </c>
      <c r="F3076" s="4" t="s">
        <v>1327</v>
      </c>
      <c r="G3076" s="4" t="s">
        <v>3768</v>
      </c>
      <c r="H3076" s="4" t="n">
        <v>2007</v>
      </c>
      <c r="I3076" s="4" t="s">
        <v>3769</v>
      </c>
      <c r="J3076" s="25" t="str">
        <f aca="false">IF(M3076=1,"✓","")</f>
        <v/>
      </c>
      <c r="K3076" s="4" t="str">
        <f aca="false">IF(AND(M3076=0,P3076=0),"▶ NEXT","")</f>
        <v/>
      </c>
      <c r="L3076" s="4" t="n">
        <f aca="false">INDEX('Master List'!$F$2:$F$2594,O3076)</f>
        <v>1</v>
      </c>
      <c r="M3076" s="4" t="n">
        <f aca="false">INDEX('Master List'!$G$2:$G$2594,O3076)</f>
        <v>0</v>
      </c>
      <c r="N3076" s="4" t="str">
        <f aca="false">IF(K3076="","",A3076)</f>
        <v/>
      </c>
      <c r="O3076" s="4" t="n">
        <v>1292</v>
      </c>
      <c r="P3076" s="4" t="n">
        <f aca="false">IF(A3076=A3075,P3075+1-M3075,0)</f>
        <v>9</v>
      </c>
    </row>
    <row r="3077" customFormat="false" ht="15" hidden="false" customHeight="false" outlineLevel="0" collapsed="false">
      <c r="A3077" s="32" t="s">
        <v>4333</v>
      </c>
      <c r="B3077" s="32" t="s">
        <v>55</v>
      </c>
      <c r="C3077" s="32" t="s">
        <v>114</v>
      </c>
      <c r="D3077" s="32" t="s">
        <v>4334</v>
      </c>
      <c r="E3077" s="4" t="n">
        <v>1</v>
      </c>
      <c r="F3077" s="4" t="s">
        <v>144</v>
      </c>
      <c r="G3077" s="7" t="s">
        <v>163</v>
      </c>
      <c r="H3077" s="4" t="n">
        <v>1976</v>
      </c>
      <c r="I3077" s="4" t="s">
        <v>164</v>
      </c>
      <c r="J3077" s="25" t="str">
        <f aca="false">IF(M3077=1,"✓","")</f>
        <v>✓</v>
      </c>
      <c r="K3077" s="4" t="str">
        <f aca="false">IF(AND(M3077=0,P3077=0),"▶ NEXT","")</f>
        <v/>
      </c>
      <c r="L3077" s="4" t="n">
        <f aca="false">INDEX('Master List'!$F$2:$F$2594,O3077)</f>
        <v>8</v>
      </c>
      <c r="M3077" s="4" t="n">
        <f aca="false">INDEX('Master List'!$G$2:$G$2594,O3077)</f>
        <v>1</v>
      </c>
      <c r="N3077" s="4" t="str">
        <f aca="false">IF(K3077="","",A3077)</f>
        <v/>
      </c>
      <c r="O3077" s="4" t="n">
        <v>2248</v>
      </c>
      <c r="P3077" s="4" t="n">
        <f aca="false">IF(A3077=A3076,P3076+1-M3076,0)</f>
        <v>0</v>
      </c>
    </row>
    <row r="3078" customFormat="false" ht="15" hidden="false" customHeight="false" outlineLevel="0" collapsed="false">
      <c r="A3078" s="32" t="s">
        <v>4333</v>
      </c>
      <c r="B3078" s="32" t="s">
        <v>55</v>
      </c>
      <c r="C3078" s="32" t="s">
        <v>114</v>
      </c>
      <c r="D3078" s="32" t="s">
        <v>4334</v>
      </c>
      <c r="E3078" s="4" t="n">
        <v>2</v>
      </c>
      <c r="F3078" s="4" t="s">
        <v>144</v>
      </c>
      <c r="G3078" s="7" t="s">
        <v>440</v>
      </c>
      <c r="H3078" s="4" t="n">
        <v>2003</v>
      </c>
      <c r="I3078" s="4" t="s">
        <v>441</v>
      </c>
      <c r="J3078" s="25" t="str">
        <f aca="false">IF(M3078=1,"✓","")</f>
        <v>✓</v>
      </c>
      <c r="K3078" s="4" t="str">
        <f aca="false">IF(AND(M3078=0,P3078=0),"▶ NEXT","")</f>
        <v/>
      </c>
      <c r="L3078" s="4" t="n">
        <f aca="false">INDEX('Master List'!$F$2:$F$2594,O3078)</f>
        <v>3</v>
      </c>
      <c r="M3078" s="4" t="n">
        <f aca="false">INDEX('Master List'!$G$2:$G$2594,O3078)</f>
        <v>1</v>
      </c>
      <c r="N3078" s="4" t="str">
        <f aca="false">IF(K3078="","",A3078)</f>
        <v/>
      </c>
      <c r="O3078" s="4" t="n">
        <v>1385</v>
      </c>
      <c r="P3078" s="4" t="n">
        <f aca="false">IF(A3078=A3077,P3077+1-M3077,0)</f>
        <v>0</v>
      </c>
    </row>
    <row r="3079" customFormat="false" ht="15" hidden="false" customHeight="false" outlineLevel="0" collapsed="false">
      <c r="A3079" s="32" t="s">
        <v>4333</v>
      </c>
      <c r="B3079" s="32" t="s">
        <v>55</v>
      </c>
      <c r="C3079" s="32" t="s">
        <v>114</v>
      </c>
      <c r="D3079" s="32" t="s">
        <v>4334</v>
      </c>
      <c r="E3079" s="4" t="n">
        <v>3</v>
      </c>
      <c r="F3079" s="4" t="s">
        <v>213</v>
      </c>
      <c r="G3079" s="4" t="s">
        <v>1915</v>
      </c>
      <c r="H3079" s="4" t="n">
        <v>1954</v>
      </c>
      <c r="I3079" s="4" t="s">
        <v>402</v>
      </c>
      <c r="J3079" s="25" t="str">
        <f aca="false">IF(M3079=1,"✓","")</f>
        <v/>
      </c>
      <c r="K3079" s="4" t="str">
        <f aca="false">IF(AND(M3079=0,P3079=0),"▶ NEXT","")</f>
        <v>▶ NEXT</v>
      </c>
      <c r="L3079" s="4" t="n">
        <f aca="false">INDEX('Master List'!$F$2:$F$2594,O3079)</f>
        <v>1</v>
      </c>
      <c r="M3079" s="4" t="n">
        <f aca="false">INDEX('Master List'!$G$2:$G$2594,O3079)</f>
        <v>0</v>
      </c>
      <c r="N3079" s="4" t="str">
        <f aca="false">IF(K3079="","",A3079)</f>
        <v>N255</v>
      </c>
      <c r="O3079" s="4" t="n">
        <v>1917</v>
      </c>
      <c r="P3079" s="4" t="n">
        <f aca="false">IF(A3079=A3078,P3078+1-M3078,0)</f>
        <v>0</v>
      </c>
    </row>
    <row r="3080" customFormat="false" ht="15" hidden="false" customHeight="false" outlineLevel="0" collapsed="false">
      <c r="A3080" s="32" t="s">
        <v>4333</v>
      </c>
      <c r="B3080" s="32" t="s">
        <v>55</v>
      </c>
      <c r="C3080" s="32" t="s">
        <v>114</v>
      </c>
      <c r="D3080" s="32" t="s">
        <v>4334</v>
      </c>
      <c r="E3080" s="4" t="n">
        <v>4</v>
      </c>
      <c r="F3080" s="4" t="s">
        <v>213</v>
      </c>
      <c r="G3080" s="4" t="s">
        <v>465</v>
      </c>
      <c r="H3080" s="4" t="n">
        <v>1964</v>
      </c>
      <c r="I3080" s="4" t="s">
        <v>466</v>
      </c>
      <c r="J3080" s="25" t="str">
        <f aca="false">IF(M3080=1,"✓","")</f>
        <v/>
      </c>
      <c r="K3080" s="4" t="str">
        <f aca="false">IF(AND(M3080=0,P3080=0),"▶ NEXT","")</f>
        <v/>
      </c>
      <c r="L3080" s="4" t="n">
        <f aca="false">INDEX('Master List'!$F$2:$F$2594,O3080)</f>
        <v>3</v>
      </c>
      <c r="M3080" s="4" t="n">
        <f aca="false">INDEX('Master List'!$G$2:$G$2594,O3080)</f>
        <v>0</v>
      </c>
      <c r="N3080" s="4" t="str">
        <f aca="false">IF(K3080="","",A3080)</f>
        <v/>
      </c>
      <c r="O3080" s="4" t="n">
        <v>2543</v>
      </c>
      <c r="P3080" s="4" t="n">
        <f aca="false">IF(A3080=A3079,P3079+1-M3079,0)</f>
        <v>1</v>
      </c>
    </row>
    <row r="3081" customFormat="false" ht="15" hidden="false" customHeight="false" outlineLevel="0" collapsed="false">
      <c r="A3081" s="32" t="s">
        <v>4333</v>
      </c>
      <c r="B3081" s="32" t="s">
        <v>55</v>
      </c>
      <c r="C3081" s="32" t="s">
        <v>114</v>
      </c>
      <c r="D3081" s="32" t="s">
        <v>4334</v>
      </c>
      <c r="E3081" s="4" t="n">
        <v>5</v>
      </c>
      <c r="F3081" s="4" t="s">
        <v>213</v>
      </c>
      <c r="G3081" s="4" t="s">
        <v>171</v>
      </c>
      <c r="H3081" s="4" t="n">
        <v>1974</v>
      </c>
      <c r="I3081" s="4" t="s">
        <v>172</v>
      </c>
      <c r="J3081" s="25" t="str">
        <f aca="false">IF(M3081=1,"✓","")</f>
        <v>✓</v>
      </c>
      <c r="K3081" s="4" t="str">
        <f aca="false">IF(AND(M3081=0,P3081=0),"▶ NEXT","")</f>
        <v/>
      </c>
      <c r="L3081" s="4" t="n">
        <f aca="false">INDEX('Master List'!$F$2:$F$2594,O3081)</f>
        <v>8</v>
      </c>
      <c r="M3081" s="4" t="n">
        <f aca="false">INDEX('Master List'!$G$2:$G$2594,O3081)</f>
        <v>1</v>
      </c>
      <c r="N3081" s="4" t="str">
        <f aca="false">IF(K3081="","",A3081)</f>
        <v/>
      </c>
      <c r="O3081" s="4" t="n">
        <v>520</v>
      </c>
      <c r="P3081" s="4" t="n">
        <f aca="false">IF(A3081=A3080,P3080+1-M3080,0)</f>
        <v>2</v>
      </c>
    </row>
    <row r="3082" customFormat="false" ht="15" hidden="false" customHeight="false" outlineLevel="0" collapsed="false">
      <c r="A3082" s="32" t="s">
        <v>4333</v>
      </c>
      <c r="B3082" s="32" t="s">
        <v>55</v>
      </c>
      <c r="C3082" s="32" t="s">
        <v>114</v>
      </c>
      <c r="D3082" s="32" t="s">
        <v>4334</v>
      </c>
      <c r="E3082" s="4" t="n">
        <v>6</v>
      </c>
      <c r="F3082" s="4" t="s">
        <v>213</v>
      </c>
      <c r="G3082" s="4" t="s">
        <v>184</v>
      </c>
      <c r="H3082" s="4" t="n">
        <v>1975</v>
      </c>
      <c r="I3082" s="4" t="s">
        <v>185</v>
      </c>
      <c r="J3082" s="25" t="str">
        <f aca="false">IF(M3082=1,"✓","")</f>
        <v/>
      </c>
      <c r="K3082" s="4" t="str">
        <f aca="false">IF(AND(M3082=0,P3082=0),"▶ NEXT","")</f>
        <v/>
      </c>
      <c r="L3082" s="4" t="n">
        <f aca="false">INDEX('Master List'!$F$2:$F$2594,O3082)</f>
        <v>8</v>
      </c>
      <c r="M3082" s="4" t="n">
        <f aca="false">INDEX('Master List'!$G$2:$G$2594,O3082)</f>
        <v>0</v>
      </c>
      <c r="N3082" s="4" t="str">
        <f aca="false">IF(K3082="","",A3082)</f>
        <v/>
      </c>
      <c r="O3082" s="4" t="n">
        <v>1201</v>
      </c>
      <c r="P3082" s="4" t="n">
        <f aca="false">IF(A3082=A3081,P3081+1-M3081,0)</f>
        <v>2</v>
      </c>
    </row>
    <row r="3083" customFormat="false" ht="15" hidden="false" customHeight="false" outlineLevel="0" collapsed="false">
      <c r="A3083" s="32" t="s">
        <v>4333</v>
      </c>
      <c r="B3083" s="32" t="s">
        <v>55</v>
      </c>
      <c r="C3083" s="32" t="s">
        <v>114</v>
      </c>
      <c r="D3083" s="32" t="s">
        <v>4334</v>
      </c>
      <c r="E3083" s="4" t="n">
        <v>7</v>
      </c>
      <c r="F3083" s="4" t="s">
        <v>213</v>
      </c>
      <c r="G3083" s="4" t="s">
        <v>1193</v>
      </c>
      <c r="H3083" s="4" t="n">
        <v>2009</v>
      </c>
      <c r="I3083" s="4" t="s">
        <v>1194</v>
      </c>
      <c r="J3083" s="25" t="str">
        <f aca="false">IF(M3083=1,"✓","")</f>
        <v>✓</v>
      </c>
      <c r="K3083" s="4" t="str">
        <f aca="false">IF(AND(M3083=0,P3083=0),"▶ NEXT","")</f>
        <v/>
      </c>
      <c r="L3083" s="4" t="n">
        <f aca="false">INDEX('Master List'!$F$2:$F$2594,O3083)</f>
        <v>2</v>
      </c>
      <c r="M3083" s="4" t="n">
        <f aca="false">INDEX('Master List'!$G$2:$G$2594,O3083)</f>
        <v>1</v>
      </c>
      <c r="N3083" s="4" t="str">
        <f aca="false">IF(K3083="","",A3083)</f>
        <v/>
      </c>
      <c r="O3083" s="4" t="n">
        <v>1530</v>
      </c>
      <c r="P3083" s="4" t="n">
        <f aca="false">IF(A3083=A3082,P3082+1-M3082,0)</f>
        <v>3</v>
      </c>
    </row>
    <row r="3084" customFormat="false" ht="15" hidden="false" customHeight="false" outlineLevel="0" collapsed="false">
      <c r="A3084" s="32" t="s">
        <v>4333</v>
      </c>
      <c r="B3084" s="32" t="s">
        <v>55</v>
      </c>
      <c r="C3084" s="32" t="s">
        <v>114</v>
      </c>
      <c r="D3084" s="32" t="s">
        <v>4334</v>
      </c>
      <c r="E3084" s="4" t="n">
        <v>8</v>
      </c>
      <c r="F3084" s="4" t="s">
        <v>213</v>
      </c>
      <c r="G3084" s="4" t="s">
        <v>2890</v>
      </c>
      <c r="H3084" s="4" t="n">
        <v>2007</v>
      </c>
      <c r="I3084" s="4" t="s">
        <v>2891</v>
      </c>
      <c r="J3084" s="25" t="str">
        <f aca="false">IF(M3084=1,"✓","")</f>
        <v/>
      </c>
      <c r="K3084" s="4" t="str">
        <f aca="false">IF(AND(M3084=0,P3084=0),"▶ NEXT","")</f>
        <v/>
      </c>
      <c r="L3084" s="4" t="n">
        <f aca="false">INDEX('Master List'!$F$2:$F$2594,O3084)</f>
        <v>1</v>
      </c>
      <c r="M3084" s="4" t="n">
        <f aca="false">INDEX('Master List'!$G$2:$G$2594,O3084)</f>
        <v>0</v>
      </c>
      <c r="N3084" s="4" t="str">
        <f aca="false">IF(K3084="","",A3084)</f>
        <v/>
      </c>
      <c r="O3084" s="4" t="n">
        <v>1157</v>
      </c>
      <c r="P3084" s="4" t="n">
        <f aca="false">IF(A3084=A3083,P3083+1-M3083,0)</f>
        <v>3</v>
      </c>
    </row>
    <row r="3085" customFormat="false" ht="15" hidden="false" customHeight="false" outlineLevel="0" collapsed="false">
      <c r="A3085" s="32" t="s">
        <v>4333</v>
      </c>
      <c r="B3085" s="32" t="s">
        <v>55</v>
      </c>
      <c r="C3085" s="32" t="s">
        <v>114</v>
      </c>
      <c r="D3085" s="32" t="s">
        <v>4334</v>
      </c>
      <c r="E3085" s="4" t="n">
        <v>9</v>
      </c>
      <c r="F3085" s="4" t="s">
        <v>213</v>
      </c>
      <c r="G3085" s="4" t="s">
        <v>555</v>
      </c>
      <c r="H3085" s="4" t="n">
        <v>2013</v>
      </c>
      <c r="I3085" s="4" t="s">
        <v>508</v>
      </c>
      <c r="J3085" s="25" t="str">
        <f aca="false">IF(M3085=1,"✓","")</f>
        <v>✓</v>
      </c>
      <c r="K3085" s="4" t="str">
        <f aca="false">IF(AND(M3085=0,P3085=0),"▶ NEXT","")</f>
        <v/>
      </c>
      <c r="L3085" s="4" t="n">
        <f aca="false">INDEX('Master List'!$F$2:$F$2594,O3085)</f>
        <v>3</v>
      </c>
      <c r="M3085" s="4" t="n">
        <f aca="false">INDEX('Master List'!$G$2:$G$2594,O3085)</f>
        <v>1</v>
      </c>
      <c r="N3085" s="4" t="str">
        <f aca="false">IF(K3085="","",A3085)</f>
        <v/>
      </c>
      <c r="O3085" s="4" t="n">
        <v>1024</v>
      </c>
      <c r="P3085" s="4" t="n">
        <f aca="false">IF(A3085=A3084,P3084+1-M3084,0)</f>
        <v>4</v>
      </c>
    </row>
    <row r="3086" customFormat="false" ht="15" hidden="false" customHeight="false" outlineLevel="0" collapsed="false">
      <c r="A3086" s="32" t="s">
        <v>4333</v>
      </c>
      <c r="B3086" s="32" t="s">
        <v>55</v>
      </c>
      <c r="C3086" s="32" t="s">
        <v>114</v>
      </c>
      <c r="D3086" s="32" t="s">
        <v>4334</v>
      </c>
      <c r="E3086" s="4" t="n">
        <v>10</v>
      </c>
      <c r="F3086" s="4" t="s">
        <v>213</v>
      </c>
      <c r="G3086" s="4" t="s">
        <v>1253</v>
      </c>
      <c r="H3086" s="4" t="n">
        <v>2019</v>
      </c>
      <c r="I3086" s="4" t="s">
        <v>692</v>
      </c>
      <c r="J3086" s="25" t="str">
        <f aca="false">IF(M3086=1,"✓","")</f>
        <v>✓</v>
      </c>
      <c r="K3086" s="4" t="str">
        <f aca="false">IF(AND(M3086=0,P3086=0),"▶ NEXT","")</f>
        <v/>
      </c>
      <c r="L3086" s="4" t="n">
        <f aca="false">INDEX('Master List'!$F$2:$F$2594,O3086)</f>
        <v>2</v>
      </c>
      <c r="M3086" s="4" t="n">
        <f aca="false">INDEX('Master List'!$G$2:$G$2594,O3086)</f>
        <v>1</v>
      </c>
      <c r="N3086" s="4" t="str">
        <f aca="false">IF(K3086="","",A3086)</f>
        <v/>
      </c>
      <c r="O3086" s="4" t="n">
        <v>1337</v>
      </c>
      <c r="P3086" s="4" t="n">
        <f aca="false">IF(A3086=A3085,P3085+1-M3085,0)</f>
        <v>4</v>
      </c>
    </row>
    <row r="3087" customFormat="false" ht="15" hidden="false" customHeight="false" outlineLevel="0" collapsed="false">
      <c r="A3087" s="32" t="s">
        <v>4333</v>
      </c>
      <c r="B3087" s="32" t="s">
        <v>55</v>
      </c>
      <c r="C3087" s="32" t="s">
        <v>114</v>
      </c>
      <c r="D3087" s="32" t="s">
        <v>4334</v>
      </c>
      <c r="E3087" s="4" t="n">
        <v>11</v>
      </c>
      <c r="F3087" s="4" t="s">
        <v>213</v>
      </c>
      <c r="G3087" s="4" t="s">
        <v>697</v>
      </c>
      <c r="H3087" s="4" t="n">
        <v>2023</v>
      </c>
      <c r="I3087" s="4" t="s">
        <v>365</v>
      </c>
      <c r="J3087" s="25" t="str">
        <f aca="false">IF(M3087=1,"✓","")</f>
        <v>✓</v>
      </c>
      <c r="K3087" s="4" t="str">
        <f aca="false">IF(AND(M3087=0,P3087=0),"▶ NEXT","")</f>
        <v/>
      </c>
      <c r="L3087" s="4" t="n">
        <f aca="false">INDEX('Master List'!$F$2:$F$2594,O3087)</f>
        <v>3</v>
      </c>
      <c r="M3087" s="4" t="n">
        <f aca="false">INDEX('Master List'!$G$2:$G$2594,O3087)</f>
        <v>1</v>
      </c>
      <c r="N3087" s="4" t="str">
        <f aca="false">IF(K3087="","",A3087)</f>
        <v/>
      </c>
      <c r="O3087" s="4" t="n">
        <v>1745</v>
      </c>
      <c r="P3087" s="4" t="n">
        <f aca="false">IF(A3087=A3086,P3086+1-M3086,0)</f>
        <v>4</v>
      </c>
    </row>
    <row r="3088" customFormat="false" ht="15" hidden="false" customHeight="false" outlineLevel="0" collapsed="false">
      <c r="A3088" s="32" t="s">
        <v>4333</v>
      </c>
      <c r="B3088" s="32" t="s">
        <v>55</v>
      </c>
      <c r="C3088" s="32" t="s">
        <v>114</v>
      </c>
      <c r="D3088" s="32" t="s">
        <v>4334</v>
      </c>
      <c r="E3088" s="4" t="n">
        <v>12</v>
      </c>
      <c r="F3088" s="4" t="s">
        <v>1327</v>
      </c>
      <c r="G3088" s="4" t="s">
        <v>3806</v>
      </c>
      <c r="H3088" s="4" t="n">
        <v>2012</v>
      </c>
      <c r="I3088" s="4" t="s">
        <v>3807</v>
      </c>
      <c r="J3088" s="25" t="str">
        <f aca="false">IF(M3088=1,"✓","")</f>
        <v/>
      </c>
      <c r="K3088" s="4" t="str">
        <f aca="false">IF(AND(M3088=0,P3088=0),"▶ NEXT","")</f>
        <v/>
      </c>
      <c r="L3088" s="4" t="n">
        <f aca="false">INDEX('Master List'!$F$2:$F$2594,O3088)</f>
        <v>1</v>
      </c>
      <c r="M3088" s="4" t="n">
        <f aca="false">INDEX('Master List'!$G$2:$G$2594,O3088)</f>
        <v>0</v>
      </c>
      <c r="N3088" s="4" t="str">
        <f aca="false">IF(K3088="","",A3088)</f>
        <v/>
      </c>
      <c r="O3088" s="4" t="n">
        <v>2456</v>
      </c>
      <c r="P3088" s="4" t="n">
        <f aca="false">IF(A3088=A3087,P3087+1-M3087,0)</f>
        <v>4</v>
      </c>
    </row>
    <row r="3089" customFormat="false" ht="15" hidden="false" customHeight="false" outlineLevel="0" collapsed="false">
      <c r="A3089" s="32" t="s">
        <v>4333</v>
      </c>
      <c r="B3089" s="32" t="s">
        <v>55</v>
      </c>
      <c r="C3089" s="32" t="s">
        <v>114</v>
      </c>
      <c r="D3089" s="32" t="s">
        <v>4334</v>
      </c>
      <c r="E3089" s="4" t="n">
        <v>13</v>
      </c>
      <c r="F3089" s="4" t="s">
        <v>1327</v>
      </c>
      <c r="G3089" s="4" t="s">
        <v>1419</v>
      </c>
      <c r="H3089" s="4" t="n">
        <v>2018</v>
      </c>
      <c r="I3089" s="4" t="s">
        <v>1420</v>
      </c>
      <c r="J3089" s="25" t="str">
        <f aca="false">IF(M3089=1,"✓","")</f>
        <v/>
      </c>
      <c r="K3089" s="4" t="str">
        <f aca="false">IF(AND(M3089=0,P3089=0),"▶ NEXT","")</f>
        <v/>
      </c>
      <c r="L3089" s="4" t="n">
        <f aca="false">INDEX('Master List'!$F$2:$F$2594,O3089)</f>
        <v>2</v>
      </c>
      <c r="M3089" s="4" t="n">
        <f aca="false">INDEX('Master List'!$G$2:$G$2594,O3089)</f>
        <v>0</v>
      </c>
      <c r="N3089" s="4" t="str">
        <f aca="false">IF(K3089="","",A3089)</f>
        <v/>
      </c>
      <c r="O3089" s="4" t="n">
        <v>1315</v>
      </c>
      <c r="P3089" s="4" t="n">
        <f aca="false">IF(A3089=A3088,P3088+1-M3088,0)</f>
        <v>5</v>
      </c>
    </row>
    <row r="3090" customFormat="false" ht="15" hidden="false" customHeight="false" outlineLevel="0" collapsed="false">
      <c r="A3090" s="32" t="s">
        <v>4335</v>
      </c>
      <c r="B3090" s="32" t="s">
        <v>55</v>
      </c>
      <c r="C3090" s="32" t="s">
        <v>114</v>
      </c>
      <c r="D3090" s="32" t="s">
        <v>4336</v>
      </c>
      <c r="E3090" s="4" t="n">
        <v>1</v>
      </c>
      <c r="F3090" s="4" t="s">
        <v>144</v>
      </c>
      <c r="G3090" s="7" t="s">
        <v>259</v>
      </c>
      <c r="H3090" s="4" t="n">
        <v>1993</v>
      </c>
      <c r="I3090" s="4" t="s">
        <v>260</v>
      </c>
      <c r="J3090" s="25" t="str">
        <f aca="false">IF(M3090=1,"✓","")</f>
        <v>✓</v>
      </c>
      <c r="K3090" s="4" t="str">
        <f aca="false">IF(AND(M3090=0,P3090=0),"▶ NEXT","")</f>
        <v/>
      </c>
      <c r="L3090" s="4" t="n">
        <f aca="false">INDEX('Master List'!$F$2:$F$2594,O3090)</f>
        <v>5</v>
      </c>
      <c r="M3090" s="4" t="n">
        <f aca="false">INDEX('Master List'!$G$2:$G$2594,O3090)</f>
        <v>1</v>
      </c>
      <c r="N3090" s="4" t="str">
        <f aca="false">IF(K3090="","",A3090)</f>
        <v/>
      </c>
      <c r="O3090" s="4" t="n">
        <v>970</v>
      </c>
      <c r="P3090" s="4" t="n">
        <f aca="false">IF(A3090=A3089,P3089+1-M3089,0)</f>
        <v>0</v>
      </c>
    </row>
    <row r="3091" customFormat="false" ht="15" hidden="false" customHeight="false" outlineLevel="0" collapsed="false">
      <c r="A3091" s="32" t="s">
        <v>4335</v>
      </c>
      <c r="B3091" s="32" t="s">
        <v>55</v>
      </c>
      <c r="C3091" s="32" t="s">
        <v>114</v>
      </c>
      <c r="D3091" s="32" t="s">
        <v>4336</v>
      </c>
      <c r="E3091" s="4" t="n">
        <v>2</v>
      </c>
      <c r="F3091" s="4" t="s">
        <v>144</v>
      </c>
      <c r="G3091" s="7" t="s">
        <v>415</v>
      </c>
      <c r="H3091" s="4" t="n">
        <v>1962</v>
      </c>
      <c r="I3091" s="4" t="s">
        <v>416</v>
      </c>
      <c r="J3091" s="25" t="str">
        <f aca="false">IF(M3091=1,"✓","")</f>
        <v/>
      </c>
      <c r="K3091" s="4" t="str">
        <f aca="false">IF(AND(M3091=0,P3091=0),"▶ NEXT","")</f>
        <v>▶ NEXT</v>
      </c>
      <c r="L3091" s="4" t="n">
        <f aca="false">INDEX('Master List'!$F$2:$F$2594,O3091)</f>
        <v>3</v>
      </c>
      <c r="M3091" s="4" t="n">
        <f aca="false">INDEX('Master List'!$G$2:$G$2594,O3091)</f>
        <v>0</v>
      </c>
      <c r="N3091" s="4" t="str">
        <f aca="false">IF(K3091="","",A3091)</f>
        <v>N256</v>
      </c>
      <c r="O3091" s="4" t="n">
        <v>1205</v>
      </c>
      <c r="P3091" s="4" t="n">
        <f aca="false">IF(A3091=A3090,P3090+1-M3090,0)</f>
        <v>0</v>
      </c>
    </row>
    <row r="3092" customFormat="false" ht="15" hidden="false" customHeight="false" outlineLevel="0" collapsed="false">
      <c r="A3092" s="32" t="s">
        <v>4335</v>
      </c>
      <c r="B3092" s="32" t="s">
        <v>55</v>
      </c>
      <c r="C3092" s="32" t="s">
        <v>114</v>
      </c>
      <c r="D3092" s="32" t="s">
        <v>4336</v>
      </c>
      <c r="E3092" s="4" t="n">
        <v>3</v>
      </c>
      <c r="F3092" s="4" t="s">
        <v>213</v>
      </c>
      <c r="G3092" s="4" t="s">
        <v>271</v>
      </c>
      <c r="H3092" s="4" t="n">
        <v>1959</v>
      </c>
      <c r="I3092" s="4" t="s">
        <v>272</v>
      </c>
      <c r="J3092" s="25" t="str">
        <f aca="false">IF(M3092=1,"✓","")</f>
        <v/>
      </c>
      <c r="K3092" s="4" t="str">
        <f aca="false">IF(AND(M3092=0,P3092=0),"▶ NEXT","")</f>
        <v/>
      </c>
      <c r="L3092" s="4" t="n">
        <f aca="false">INDEX('Master List'!$F$2:$F$2594,O3092)</f>
        <v>6</v>
      </c>
      <c r="M3092" s="4" t="n">
        <f aca="false">INDEX('Master List'!$G$2:$G$2594,O3092)</f>
        <v>0</v>
      </c>
      <c r="N3092" s="4" t="str">
        <f aca="false">IF(K3092="","",A3092)</f>
        <v/>
      </c>
      <c r="O3092" s="4" t="n">
        <v>1040</v>
      </c>
      <c r="P3092" s="4" t="n">
        <f aca="false">IF(A3092=A3091,P3091+1-M3091,0)</f>
        <v>1</v>
      </c>
    </row>
    <row r="3093" customFormat="false" ht="15" hidden="false" customHeight="false" outlineLevel="0" collapsed="false">
      <c r="A3093" s="32" t="s">
        <v>4335</v>
      </c>
      <c r="B3093" s="32" t="s">
        <v>55</v>
      </c>
      <c r="C3093" s="32" t="s">
        <v>114</v>
      </c>
      <c r="D3093" s="32" t="s">
        <v>4336</v>
      </c>
      <c r="E3093" s="4" t="n">
        <v>4</v>
      </c>
      <c r="F3093" s="4" t="s">
        <v>213</v>
      </c>
      <c r="G3093" s="4" t="s">
        <v>1336</v>
      </c>
      <c r="H3093" s="4" t="n">
        <v>1968</v>
      </c>
      <c r="I3093" s="4" t="s">
        <v>272</v>
      </c>
      <c r="J3093" s="25" t="str">
        <f aca="false">IF(M3093=1,"✓","")</f>
        <v/>
      </c>
      <c r="K3093" s="4" t="str">
        <f aca="false">IF(AND(M3093=0,P3093=0),"▶ NEXT","")</f>
        <v/>
      </c>
      <c r="L3093" s="4" t="n">
        <f aca="false">INDEX('Master List'!$F$2:$F$2594,O3093)</f>
        <v>2</v>
      </c>
      <c r="M3093" s="4" t="n">
        <f aca="false">INDEX('Master List'!$G$2:$G$2594,O3093)</f>
        <v>0</v>
      </c>
      <c r="N3093" s="4" t="str">
        <f aca="false">IF(K3093="","",A3093)</f>
        <v/>
      </c>
      <c r="O3093" s="4" t="n">
        <v>1199</v>
      </c>
      <c r="P3093" s="4" t="n">
        <f aca="false">IF(A3093=A3092,P3092+1-M3092,0)</f>
        <v>2</v>
      </c>
    </row>
    <row r="3094" customFormat="false" ht="15" hidden="false" customHeight="false" outlineLevel="0" collapsed="false">
      <c r="A3094" s="32" t="s">
        <v>4335</v>
      </c>
      <c r="B3094" s="32" t="s">
        <v>55</v>
      </c>
      <c r="C3094" s="32" t="s">
        <v>114</v>
      </c>
      <c r="D3094" s="32" t="s">
        <v>4336</v>
      </c>
      <c r="E3094" s="4" t="n">
        <v>5</v>
      </c>
      <c r="F3094" s="4" t="s">
        <v>213</v>
      </c>
      <c r="G3094" s="4" t="s">
        <v>2212</v>
      </c>
      <c r="H3094" s="4" t="n">
        <v>1972</v>
      </c>
      <c r="I3094" s="4" t="s">
        <v>797</v>
      </c>
      <c r="J3094" s="25" t="str">
        <f aca="false">IF(M3094=1,"✓","")</f>
        <v/>
      </c>
      <c r="K3094" s="4" t="str">
        <f aca="false">IF(AND(M3094=0,P3094=0),"▶ NEXT","")</f>
        <v/>
      </c>
      <c r="L3094" s="4" t="n">
        <f aca="false">INDEX('Master List'!$F$2:$F$2594,O3094)</f>
        <v>1</v>
      </c>
      <c r="M3094" s="4" t="n">
        <f aca="false">INDEX('Master List'!$G$2:$G$2594,O3094)</f>
        <v>0</v>
      </c>
      <c r="N3094" s="4" t="str">
        <f aca="false">IF(K3094="","",A3094)</f>
        <v/>
      </c>
      <c r="O3094" s="4" t="n">
        <v>2088</v>
      </c>
      <c r="P3094" s="4" t="n">
        <f aca="false">IF(A3094=A3093,P3093+1-M3093,0)</f>
        <v>3</v>
      </c>
    </row>
    <row r="3095" customFormat="false" ht="15" hidden="false" customHeight="false" outlineLevel="0" collapsed="false">
      <c r="A3095" s="32" t="s">
        <v>4335</v>
      </c>
      <c r="B3095" s="32" t="s">
        <v>55</v>
      </c>
      <c r="C3095" s="32" t="s">
        <v>114</v>
      </c>
      <c r="D3095" s="32" t="s">
        <v>4336</v>
      </c>
      <c r="E3095" s="4" t="n">
        <v>6</v>
      </c>
      <c r="F3095" s="4" t="s">
        <v>213</v>
      </c>
      <c r="G3095" s="4" t="s">
        <v>229</v>
      </c>
      <c r="H3095" s="4" t="n">
        <v>1975</v>
      </c>
      <c r="I3095" s="4" t="s">
        <v>210</v>
      </c>
      <c r="J3095" s="25" t="str">
        <f aca="false">IF(M3095=1,"✓","")</f>
        <v/>
      </c>
      <c r="K3095" s="4" t="str">
        <f aca="false">IF(AND(M3095=0,P3095=0),"▶ NEXT","")</f>
        <v/>
      </c>
      <c r="L3095" s="4" t="n">
        <f aca="false">INDEX('Master List'!$F$2:$F$2594,O3095)</f>
        <v>6</v>
      </c>
      <c r="M3095" s="4" t="n">
        <f aca="false">INDEX('Master List'!$G$2:$G$2594,O3095)</f>
        <v>0</v>
      </c>
      <c r="N3095" s="4" t="str">
        <f aca="false">IF(K3095="","",A3095)</f>
        <v/>
      </c>
      <c r="O3095" s="4" t="n">
        <v>1512</v>
      </c>
      <c r="P3095" s="4" t="n">
        <f aca="false">IF(A3095=A3094,P3094+1-M3094,0)</f>
        <v>4</v>
      </c>
    </row>
    <row r="3096" customFormat="false" ht="15" hidden="false" customHeight="false" outlineLevel="0" collapsed="false">
      <c r="A3096" s="32" t="s">
        <v>4335</v>
      </c>
      <c r="B3096" s="32" t="s">
        <v>55</v>
      </c>
      <c r="C3096" s="32" t="s">
        <v>114</v>
      </c>
      <c r="D3096" s="32" t="s">
        <v>4336</v>
      </c>
      <c r="E3096" s="4" t="n">
        <v>7</v>
      </c>
      <c r="F3096" s="4" t="s">
        <v>213</v>
      </c>
      <c r="G3096" s="4" t="s">
        <v>1069</v>
      </c>
      <c r="H3096" s="4" t="n">
        <v>1985</v>
      </c>
      <c r="I3096" s="4" t="s">
        <v>1070</v>
      </c>
      <c r="J3096" s="25" t="str">
        <f aca="false">IF(M3096=1,"✓","")</f>
        <v>✓</v>
      </c>
      <c r="K3096" s="4" t="str">
        <f aca="false">IF(AND(M3096=0,P3096=0),"▶ NEXT","")</f>
        <v/>
      </c>
      <c r="L3096" s="4" t="n">
        <f aca="false">INDEX('Master List'!$F$2:$F$2594,O3096)</f>
        <v>2</v>
      </c>
      <c r="M3096" s="4" t="n">
        <f aca="false">INDEX('Master List'!$G$2:$G$2594,O3096)</f>
        <v>1</v>
      </c>
      <c r="N3096" s="4" t="str">
        <f aca="false">IF(K3096="","",A3096)</f>
        <v/>
      </c>
      <c r="O3096" s="4" t="n">
        <v>164</v>
      </c>
      <c r="P3096" s="4" t="n">
        <f aca="false">IF(A3096=A3095,P3095+1-M3095,0)</f>
        <v>5</v>
      </c>
    </row>
    <row r="3097" customFormat="false" ht="15" hidden="false" customHeight="false" outlineLevel="0" collapsed="false">
      <c r="A3097" s="32" t="s">
        <v>4335</v>
      </c>
      <c r="B3097" s="32" t="s">
        <v>55</v>
      </c>
      <c r="C3097" s="32" t="s">
        <v>114</v>
      </c>
      <c r="D3097" s="32" t="s">
        <v>4336</v>
      </c>
      <c r="E3097" s="4" t="n">
        <v>8</v>
      </c>
      <c r="F3097" s="4" t="s">
        <v>213</v>
      </c>
      <c r="G3097" s="4" t="s">
        <v>2617</v>
      </c>
      <c r="H3097" s="4" t="n">
        <v>1995</v>
      </c>
      <c r="I3097" s="4" t="s">
        <v>367</v>
      </c>
      <c r="J3097" s="25" t="str">
        <f aca="false">IF(M3097=1,"✓","")</f>
        <v/>
      </c>
      <c r="K3097" s="4" t="str">
        <f aca="false">IF(AND(M3097=0,P3097=0),"▶ NEXT","")</f>
        <v/>
      </c>
      <c r="L3097" s="4" t="n">
        <f aca="false">INDEX('Master List'!$F$2:$F$2594,O3097)</f>
        <v>1</v>
      </c>
      <c r="M3097" s="4" t="n">
        <f aca="false">INDEX('Master List'!$G$2:$G$2594,O3097)</f>
        <v>0</v>
      </c>
      <c r="N3097" s="4" t="str">
        <f aca="false">IF(K3097="","",A3097)</f>
        <v/>
      </c>
      <c r="O3097" s="4" t="n">
        <v>4</v>
      </c>
      <c r="P3097" s="4" t="n">
        <f aca="false">IF(A3097=A3096,P3096+1-M3096,0)</f>
        <v>5</v>
      </c>
    </row>
    <row r="3098" customFormat="false" ht="15" hidden="false" customHeight="false" outlineLevel="0" collapsed="false">
      <c r="A3098" s="32" t="s">
        <v>4335</v>
      </c>
      <c r="B3098" s="32" t="s">
        <v>55</v>
      </c>
      <c r="C3098" s="32" t="s">
        <v>114</v>
      </c>
      <c r="D3098" s="32" t="s">
        <v>4336</v>
      </c>
      <c r="E3098" s="4" t="n">
        <v>9</v>
      </c>
      <c r="F3098" s="4" t="s">
        <v>213</v>
      </c>
      <c r="G3098" s="4" t="s">
        <v>512</v>
      </c>
      <c r="H3098" s="4" t="n">
        <v>2004</v>
      </c>
      <c r="I3098" s="4" t="s">
        <v>513</v>
      </c>
      <c r="J3098" s="25" t="str">
        <f aca="false">IF(M3098=1,"✓","")</f>
        <v/>
      </c>
      <c r="K3098" s="4" t="str">
        <f aca="false">IF(AND(M3098=0,P3098=0),"▶ NEXT","")</f>
        <v/>
      </c>
      <c r="L3098" s="4" t="n">
        <f aca="false">INDEX('Master List'!$F$2:$F$2594,O3098)</f>
        <v>3</v>
      </c>
      <c r="M3098" s="4" t="n">
        <f aca="false">INDEX('Master List'!$G$2:$G$2594,O3098)</f>
        <v>0</v>
      </c>
      <c r="N3098" s="4" t="str">
        <f aca="false">IF(K3098="","",A3098)</f>
        <v/>
      </c>
      <c r="O3098" s="4" t="n">
        <v>1814</v>
      </c>
      <c r="P3098" s="4" t="n">
        <f aca="false">IF(A3098=A3097,P3097+1-M3097,0)</f>
        <v>6</v>
      </c>
    </row>
    <row r="3099" customFormat="false" ht="15" hidden="false" customHeight="false" outlineLevel="0" collapsed="false">
      <c r="A3099" s="32" t="s">
        <v>4335</v>
      </c>
      <c r="B3099" s="32" t="s">
        <v>55</v>
      </c>
      <c r="C3099" s="32" t="s">
        <v>114</v>
      </c>
      <c r="D3099" s="32" t="s">
        <v>4336</v>
      </c>
      <c r="E3099" s="4" t="n">
        <v>10</v>
      </c>
      <c r="F3099" s="4" t="s">
        <v>213</v>
      </c>
      <c r="G3099" s="4" t="s">
        <v>2892</v>
      </c>
      <c r="H3099" s="4" t="n">
        <v>2007</v>
      </c>
      <c r="I3099" s="4" t="s">
        <v>2893</v>
      </c>
      <c r="J3099" s="25" t="str">
        <f aca="false">IF(M3099=1,"✓","")</f>
        <v/>
      </c>
      <c r="K3099" s="4" t="str">
        <f aca="false">IF(AND(M3099=0,P3099=0),"▶ NEXT","")</f>
        <v/>
      </c>
      <c r="L3099" s="4" t="n">
        <f aca="false">INDEX('Master List'!$F$2:$F$2594,O3099)</f>
        <v>1</v>
      </c>
      <c r="M3099" s="4" t="n">
        <f aca="false">INDEX('Master List'!$G$2:$G$2594,O3099)</f>
        <v>0</v>
      </c>
      <c r="N3099" s="4" t="str">
        <f aca="false">IF(K3099="","",A3099)</f>
        <v/>
      </c>
      <c r="O3099" s="4" t="n">
        <v>2307</v>
      </c>
      <c r="P3099" s="4" t="n">
        <f aca="false">IF(A3099=A3098,P3098+1-M3098,0)</f>
        <v>7</v>
      </c>
    </row>
    <row r="3100" customFormat="false" ht="15" hidden="false" customHeight="false" outlineLevel="0" collapsed="false">
      <c r="A3100" s="32" t="s">
        <v>4335</v>
      </c>
      <c r="B3100" s="32" t="s">
        <v>55</v>
      </c>
      <c r="C3100" s="32" t="s">
        <v>114</v>
      </c>
      <c r="D3100" s="32" t="s">
        <v>4336</v>
      </c>
      <c r="E3100" s="4" t="n">
        <v>11</v>
      </c>
      <c r="F3100" s="4" t="s">
        <v>213</v>
      </c>
      <c r="G3100" s="4" t="s">
        <v>3013</v>
      </c>
      <c r="H3100" s="4" t="n">
        <v>2012</v>
      </c>
      <c r="I3100" s="4" t="s">
        <v>2833</v>
      </c>
      <c r="J3100" s="25" t="str">
        <f aca="false">IF(M3100=1,"✓","")</f>
        <v/>
      </c>
      <c r="K3100" s="4" t="str">
        <f aca="false">IF(AND(M3100=0,P3100=0),"▶ NEXT","")</f>
        <v/>
      </c>
      <c r="L3100" s="4" t="n">
        <f aca="false">INDEX('Master List'!$F$2:$F$2594,O3100)</f>
        <v>1</v>
      </c>
      <c r="M3100" s="4" t="n">
        <f aca="false">INDEX('Master List'!$G$2:$G$2594,O3100)</f>
        <v>0</v>
      </c>
      <c r="N3100" s="4" t="str">
        <f aca="false">IF(K3100="","",A3100)</f>
        <v/>
      </c>
      <c r="O3100" s="4" t="n">
        <v>1380</v>
      </c>
      <c r="P3100" s="4" t="n">
        <f aca="false">IF(A3100=A3099,P3099+1-M3099,0)</f>
        <v>8</v>
      </c>
    </row>
    <row r="3101" customFormat="false" ht="15" hidden="false" customHeight="false" outlineLevel="0" collapsed="false">
      <c r="A3101" s="32" t="s">
        <v>4335</v>
      </c>
      <c r="B3101" s="32" t="s">
        <v>55</v>
      </c>
      <c r="C3101" s="32" t="s">
        <v>114</v>
      </c>
      <c r="D3101" s="32" t="s">
        <v>4336</v>
      </c>
      <c r="E3101" s="4" t="n">
        <v>12</v>
      </c>
      <c r="F3101" s="4" t="s">
        <v>213</v>
      </c>
      <c r="G3101" s="4" t="s">
        <v>326</v>
      </c>
      <c r="H3101" s="4" t="n">
        <v>2016</v>
      </c>
      <c r="I3101" s="4" t="s">
        <v>327</v>
      </c>
      <c r="J3101" s="25" t="str">
        <f aca="false">IF(M3101=1,"✓","")</f>
        <v>✓</v>
      </c>
      <c r="K3101" s="4" t="str">
        <f aca="false">IF(AND(M3101=0,P3101=0),"▶ NEXT","")</f>
        <v/>
      </c>
      <c r="L3101" s="4" t="n">
        <f aca="false">INDEX('Master List'!$F$2:$F$2594,O3101)</f>
        <v>4</v>
      </c>
      <c r="M3101" s="4" t="n">
        <f aca="false">INDEX('Master List'!$G$2:$G$2594,O3101)</f>
        <v>1</v>
      </c>
      <c r="N3101" s="4" t="str">
        <f aca="false">IF(K3101="","",A3101)</f>
        <v/>
      </c>
      <c r="O3101" s="4" t="n">
        <v>130</v>
      </c>
      <c r="P3101" s="4" t="n">
        <f aca="false">IF(A3101=A3100,P3100+1-M3100,0)</f>
        <v>9</v>
      </c>
    </row>
    <row r="3102" customFormat="false" ht="15" hidden="false" customHeight="false" outlineLevel="0" collapsed="false">
      <c r="A3102" s="32" t="s">
        <v>4335</v>
      </c>
      <c r="B3102" s="32" t="s">
        <v>55</v>
      </c>
      <c r="C3102" s="32" t="s">
        <v>114</v>
      </c>
      <c r="D3102" s="32" t="s">
        <v>4336</v>
      </c>
      <c r="E3102" s="4" t="n">
        <v>13</v>
      </c>
      <c r="F3102" s="4" t="s">
        <v>213</v>
      </c>
      <c r="G3102" s="4" t="s">
        <v>3197</v>
      </c>
      <c r="H3102" s="4" t="n">
        <v>2020</v>
      </c>
      <c r="I3102" s="4" t="s">
        <v>3198</v>
      </c>
      <c r="J3102" s="25" t="str">
        <f aca="false">IF(M3102=1,"✓","")</f>
        <v/>
      </c>
      <c r="K3102" s="4" t="str">
        <f aca="false">IF(AND(M3102=0,P3102=0),"▶ NEXT","")</f>
        <v/>
      </c>
      <c r="L3102" s="4" t="n">
        <f aca="false">INDEX('Master List'!$F$2:$F$2594,O3102)</f>
        <v>1</v>
      </c>
      <c r="M3102" s="4" t="n">
        <f aca="false">INDEX('Master List'!$G$2:$G$2594,O3102)</f>
        <v>0</v>
      </c>
      <c r="N3102" s="4" t="str">
        <f aca="false">IF(K3102="","",A3102)</f>
        <v/>
      </c>
      <c r="O3102" s="4" t="n">
        <v>1710</v>
      </c>
      <c r="P3102" s="4" t="n">
        <f aca="false">IF(A3102=A3101,P3101+1-M3101,0)</f>
        <v>9</v>
      </c>
    </row>
    <row r="3103" customFormat="false" ht="15" hidden="false" customHeight="false" outlineLevel="0" collapsed="false">
      <c r="A3103" s="32" t="s">
        <v>4335</v>
      </c>
      <c r="B3103" s="32" t="s">
        <v>55</v>
      </c>
      <c r="C3103" s="32" t="s">
        <v>114</v>
      </c>
      <c r="D3103" s="32" t="s">
        <v>4336</v>
      </c>
      <c r="E3103" s="4" t="n">
        <v>14</v>
      </c>
      <c r="F3103" s="4" t="s">
        <v>213</v>
      </c>
      <c r="G3103" s="4" t="s">
        <v>3199</v>
      </c>
      <c r="H3103" s="4" t="n">
        <v>2020</v>
      </c>
      <c r="I3103" s="4" t="s">
        <v>342</v>
      </c>
      <c r="J3103" s="25" t="str">
        <f aca="false">IF(M3103=1,"✓","")</f>
        <v/>
      </c>
      <c r="K3103" s="4" t="str">
        <f aca="false">IF(AND(M3103=0,P3103=0),"▶ NEXT","")</f>
        <v/>
      </c>
      <c r="L3103" s="4" t="n">
        <f aca="false">INDEX('Master List'!$F$2:$F$2594,O3103)</f>
        <v>1</v>
      </c>
      <c r="M3103" s="4" t="n">
        <f aca="false">INDEX('Master List'!$G$2:$G$2594,O3103)</f>
        <v>0</v>
      </c>
      <c r="N3103" s="4" t="str">
        <f aca="false">IF(K3103="","",A3103)</f>
        <v/>
      </c>
      <c r="O3103" s="4" t="n">
        <v>2252</v>
      </c>
      <c r="P3103" s="4" t="n">
        <f aca="false">IF(A3103=A3102,P3102+1-M3102,0)</f>
        <v>10</v>
      </c>
    </row>
    <row r="3104" customFormat="false" ht="15" hidden="false" customHeight="false" outlineLevel="0" collapsed="false">
      <c r="A3104" s="32" t="s">
        <v>4335</v>
      </c>
      <c r="B3104" s="32" t="s">
        <v>55</v>
      </c>
      <c r="C3104" s="32" t="s">
        <v>114</v>
      </c>
      <c r="D3104" s="32" t="s">
        <v>4336</v>
      </c>
      <c r="E3104" s="4" t="n">
        <v>15</v>
      </c>
      <c r="F3104" s="4" t="s">
        <v>1327</v>
      </c>
      <c r="G3104" s="4" t="s">
        <v>3823</v>
      </c>
      <c r="H3104" s="4" t="n">
        <v>2014</v>
      </c>
      <c r="I3104" s="4" t="s">
        <v>3824</v>
      </c>
      <c r="J3104" s="25" t="str">
        <f aca="false">IF(M3104=1,"✓","")</f>
        <v/>
      </c>
      <c r="K3104" s="4" t="str">
        <f aca="false">IF(AND(M3104=0,P3104=0),"▶ NEXT","")</f>
        <v/>
      </c>
      <c r="L3104" s="4" t="n">
        <f aca="false">INDEX('Master List'!$F$2:$F$2594,O3104)</f>
        <v>1</v>
      </c>
      <c r="M3104" s="4" t="n">
        <f aca="false">INDEX('Master List'!$G$2:$G$2594,O3104)</f>
        <v>0</v>
      </c>
      <c r="N3104" s="4" t="str">
        <f aca="false">IF(K3104="","",A3104)</f>
        <v/>
      </c>
      <c r="O3104" s="4" t="n">
        <v>1808</v>
      </c>
      <c r="P3104" s="4" t="n">
        <f aca="false">IF(A3104=A3103,P3103+1-M3103,0)</f>
        <v>11</v>
      </c>
    </row>
    <row r="3105" customFormat="false" ht="15" hidden="false" customHeight="false" outlineLevel="0" collapsed="false">
      <c r="A3105" s="32" t="s">
        <v>4335</v>
      </c>
      <c r="B3105" s="32" t="s">
        <v>55</v>
      </c>
      <c r="C3105" s="32" t="s">
        <v>114</v>
      </c>
      <c r="D3105" s="32" t="s">
        <v>4336</v>
      </c>
      <c r="E3105" s="4" t="n">
        <v>16</v>
      </c>
      <c r="F3105" s="4" t="s">
        <v>1327</v>
      </c>
      <c r="G3105" s="4" t="s">
        <v>3784</v>
      </c>
      <c r="H3105" s="4" t="n">
        <v>2009</v>
      </c>
      <c r="I3105" s="4" t="s">
        <v>3785</v>
      </c>
      <c r="J3105" s="25" t="str">
        <f aca="false">IF(M3105=1,"✓","")</f>
        <v/>
      </c>
      <c r="K3105" s="4" t="str">
        <f aca="false">IF(AND(M3105=0,P3105=0),"▶ NEXT","")</f>
        <v/>
      </c>
      <c r="L3105" s="4" t="n">
        <f aca="false">INDEX('Master List'!$F$2:$F$2594,O3105)</f>
        <v>1</v>
      </c>
      <c r="M3105" s="4" t="n">
        <f aca="false">INDEX('Master List'!$G$2:$G$2594,O3105)</f>
        <v>0</v>
      </c>
      <c r="N3105" s="4" t="str">
        <f aca="false">IF(K3105="","",A3105)</f>
        <v/>
      </c>
      <c r="O3105" s="4" t="n">
        <v>2366</v>
      </c>
      <c r="P3105" s="4" t="n">
        <f aca="false">IF(A3105=A3104,P3104+1-M3104,0)</f>
        <v>12</v>
      </c>
    </row>
    <row r="3106" customFormat="false" ht="15" hidden="false" customHeight="false" outlineLevel="0" collapsed="false">
      <c r="A3106" s="32" t="s">
        <v>4337</v>
      </c>
      <c r="B3106" s="32" t="s">
        <v>55</v>
      </c>
      <c r="C3106" s="32" t="s">
        <v>115</v>
      </c>
      <c r="D3106" s="32" t="s">
        <v>4338</v>
      </c>
      <c r="E3106" s="4" t="n">
        <v>1</v>
      </c>
      <c r="F3106" s="4" t="s">
        <v>144</v>
      </c>
      <c r="G3106" s="7" t="s">
        <v>556</v>
      </c>
      <c r="H3106" s="4" t="n">
        <v>2023</v>
      </c>
      <c r="I3106" s="4" t="s">
        <v>342</v>
      </c>
      <c r="J3106" s="25" t="str">
        <f aca="false">IF(M3106=1,"✓","")</f>
        <v>✓</v>
      </c>
      <c r="K3106" s="4" t="str">
        <f aca="false">IF(AND(M3106=0,P3106=0),"▶ NEXT","")</f>
        <v/>
      </c>
      <c r="L3106" s="4" t="n">
        <f aca="false">INDEX('Master List'!$F$2:$F$2594,O3106)</f>
        <v>3</v>
      </c>
      <c r="M3106" s="4" t="n">
        <f aca="false">INDEX('Master List'!$G$2:$G$2594,O3106)</f>
        <v>1</v>
      </c>
      <c r="N3106" s="4" t="str">
        <f aca="false">IF(K3106="","",A3106)</f>
        <v/>
      </c>
      <c r="O3106" s="4" t="n">
        <v>1689</v>
      </c>
      <c r="P3106" s="4" t="n">
        <f aca="false">IF(A3106=A3105,P3105+1-M3105,0)</f>
        <v>0</v>
      </c>
    </row>
    <row r="3107" customFormat="false" ht="15" hidden="false" customHeight="false" outlineLevel="0" collapsed="false">
      <c r="A3107" s="32" t="s">
        <v>4337</v>
      </c>
      <c r="B3107" s="32" t="s">
        <v>55</v>
      </c>
      <c r="C3107" s="32" t="s">
        <v>115</v>
      </c>
      <c r="D3107" s="32" t="s">
        <v>4338</v>
      </c>
      <c r="E3107" s="4" t="n">
        <v>2</v>
      </c>
      <c r="F3107" s="4" t="s">
        <v>144</v>
      </c>
      <c r="G3107" s="7" t="s">
        <v>788</v>
      </c>
      <c r="H3107" s="4" t="n">
        <v>1971</v>
      </c>
      <c r="I3107" s="4" t="s">
        <v>789</v>
      </c>
      <c r="J3107" s="25" t="str">
        <f aca="false">IF(M3107=1,"✓","")</f>
        <v/>
      </c>
      <c r="K3107" s="4" t="str">
        <f aca="false">IF(AND(M3107=0,P3107=0),"▶ NEXT","")</f>
        <v>▶ NEXT</v>
      </c>
      <c r="L3107" s="4" t="n">
        <f aca="false">INDEX('Master List'!$F$2:$F$2594,O3107)</f>
        <v>2</v>
      </c>
      <c r="M3107" s="4" t="n">
        <f aca="false">INDEX('Master List'!$G$2:$G$2594,O3107)</f>
        <v>0</v>
      </c>
      <c r="N3107" s="4" t="str">
        <f aca="false">IF(K3107="","",A3107)</f>
        <v>N257</v>
      </c>
      <c r="O3107" s="4" t="n">
        <v>103</v>
      </c>
      <c r="P3107" s="4" t="n">
        <f aca="false">IF(A3107=A3106,P3106+1-M3106,0)</f>
        <v>0</v>
      </c>
    </row>
    <row r="3108" customFormat="false" ht="15" hidden="false" customHeight="false" outlineLevel="0" collapsed="false">
      <c r="A3108" s="32" t="s">
        <v>4337</v>
      </c>
      <c r="B3108" s="32" t="s">
        <v>55</v>
      </c>
      <c r="C3108" s="32" t="s">
        <v>115</v>
      </c>
      <c r="D3108" s="32" t="s">
        <v>4338</v>
      </c>
      <c r="E3108" s="4" t="n">
        <v>3</v>
      </c>
      <c r="F3108" s="4" t="s">
        <v>213</v>
      </c>
      <c r="G3108" s="4" t="s">
        <v>1767</v>
      </c>
      <c r="H3108" s="4" t="n">
        <v>1936</v>
      </c>
      <c r="I3108" s="4" t="s">
        <v>1768</v>
      </c>
      <c r="J3108" s="25" t="str">
        <f aca="false">IF(M3108=1,"✓","")</f>
        <v/>
      </c>
      <c r="K3108" s="4" t="str">
        <f aca="false">IF(AND(M3108=0,P3108=0),"▶ NEXT","")</f>
        <v/>
      </c>
      <c r="L3108" s="4" t="n">
        <f aca="false">INDEX('Master List'!$F$2:$F$2594,O3108)</f>
        <v>1</v>
      </c>
      <c r="M3108" s="4" t="n">
        <f aca="false">INDEX('Master List'!$G$2:$G$2594,O3108)</f>
        <v>0</v>
      </c>
      <c r="N3108" s="4" t="str">
        <f aca="false">IF(K3108="","",A3108)</f>
        <v/>
      </c>
      <c r="O3108" s="4" t="n">
        <v>2167</v>
      </c>
      <c r="P3108" s="4" t="n">
        <f aca="false">IF(A3108=A3107,P3107+1-M3107,0)</f>
        <v>1</v>
      </c>
    </row>
    <row r="3109" customFormat="false" ht="15" hidden="false" customHeight="false" outlineLevel="0" collapsed="false">
      <c r="A3109" s="32" t="s">
        <v>4337</v>
      </c>
      <c r="B3109" s="32" t="s">
        <v>55</v>
      </c>
      <c r="C3109" s="32" t="s">
        <v>115</v>
      </c>
      <c r="D3109" s="32" t="s">
        <v>4338</v>
      </c>
      <c r="E3109" s="4" t="n">
        <v>4</v>
      </c>
      <c r="F3109" s="4" t="s">
        <v>213</v>
      </c>
      <c r="G3109" s="4" t="s">
        <v>1813</v>
      </c>
      <c r="H3109" s="4" t="n">
        <v>1943</v>
      </c>
      <c r="I3109" s="4" t="s">
        <v>909</v>
      </c>
      <c r="J3109" s="25" t="str">
        <f aca="false">IF(M3109=1,"✓","")</f>
        <v/>
      </c>
      <c r="K3109" s="4" t="str">
        <f aca="false">IF(AND(M3109=0,P3109=0),"▶ NEXT","")</f>
        <v/>
      </c>
      <c r="L3109" s="4" t="n">
        <f aca="false">INDEX('Master List'!$F$2:$F$2594,O3109)</f>
        <v>1</v>
      </c>
      <c r="M3109" s="4" t="n">
        <f aca="false">INDEX('Master List'!$G$2:$G$2594,O3109)</f>
        <v>0</v>
      </c>
      <c r="N3109" s="4" t="str">
        <f aca="false">IF(K3109="","",A3109)</f>
        <v/>
      </c>
      <c r="O3109" s="4" t="n">
        <v>1408</v>
      </c>
      <c r="P3109" s="4" t="n">
        <f aca="false">IF(A3109=A3108,P3108+1-M3108,0)</f>
        <v>2</v>
      </c>
    </row>
    <row r="3110" customFormat="false" ht="15" hidden="false" customHeight="false" outlineLevel="0" collapsed="false">
      <c r="A3110" s="32" t="s">
        <v>4337</v>
      </c>
      <c r="B3110" s="32" t="s">
        <v>55</v>
      </c>
      <c r="C3110" s="32" t="s">
        <v>115</v>
      </c>
      <c r="D3110" s="32" t="s">
        <v>4338</v>
      </c>
      <c r="E3110" s="4" t="n">
        <v>5</v>
      </c>
      <c r="F3110" s="4" t="s">
        <v>213</v>
      </c>
      <c r="G3110" s="4" t="s">
        <v>2502</v>
      </c>
      <c r="H3110" s="4" t="n">
        <v>1989</v>
      </c>
      <c r="I3110" s="4" t="s">
        <v>2503</v>
      </c>
      <c r="J3110" s="25" t="str">
        <f aca="false">IF(M3110=1,"✓","")</f>
        <v/>
      </c>
      <c r="K3110" s="4" t="str">
        <f aca="false">IF(AND(M3110=0,P3110=0),"▶ NEXT","")</f>
        <v/>
      </c>
      <c r="L3110" s="4" t="n">
        <f aca="false">INDEX('Master List'!$F$2:$F$2594,O3110)</f>
        <v>1</v>
      </c>
      <c r="M3110" s="4" t="n">
        <f aca="false">INDEX('Master List'!$G$2:$G$2594,O3110)</f>
        <v>0</v>
      </c>
      <c r="N3110" s="4" t="str">
        <f aca="false">IF(K3110="","",A3110)</f>
        <v/>
      </c>
      <c r="O3110" s="4" t="n">
        <v>791</v>
      </c>
      <c r="P3110" s="4" t="n">
        <f aca="false">IF(A3110=A3109,P3109+1-M3109,0)</f>
        <v>3</v>
      </c>
    </row>
    <row r="3111" customFormat="false" ht="15" hidden="false" customHeight="false" outlineLevel="0" collapsed="false">
      <c r="A3111" s="32" t="s">
        <v>4337</v>
      </c>
      <c r="B3111" s="32" t="s">
        <v>55</v>
      </c>
      <c r="C3111" s="32" t="s">
        <v>115</v>
      </c>
      <c r="D3111" s="32" t="s">
        <v>4338</v>
      </c>
      <c r="E3111" s="4" t="n">
        <v>6</v>
      </c>
      <c r="F3111" s="4" t="s">
        <v>213</v>
      </c>
      <c r="G3111" s="4" t="s">
        <v>1120</v>
      </c>
      <c r="H3111" s="4" t="n">
        <v>1997</v>
      </c>
      <c r="I3111" s="4" t="s">
        <v>1070</v>
      </c>
      <c r="J3111" s="25" t="str">
        <f aca="false">IF(M3111=1,"✓","")</f>
        <v/>
      </c>
      <c r="K3111" s="4" t="str">
        <f aca="false">IF(AND(M3111=0,P3111=0),"▶ NEXT","")</f>
        <v/>
      </c>
      <c r="L3111" s="4" t="n">
        <f aca="false">INDEX('Master List'!$F$2:$F$2594,O3111)</f>
        <v>2</v>
      </c>
      <c r="M3111" s="4" t="n">
        <f aca="false">INDEX('Master List'!$G$2:$G$2594,O3111)</f>
        <v>0</v>
      </c>
      <c r="N3111" s="4" t="str">
        <f aca="false">IF(K3111="","",A3111)</f>
        <v/>
      </c>
      <c r="O3111" s="4" t="n">
        <v>516</v>
      </c>
      <c r="P3111" s="4" t="n">
        <f aca="false">IF(A3111=A3110,P3110+1-M3110,0)</f>
        <v>4</v>
      </c>
    </row>
    <row r="3112" customFormat="false" ht="15" hidden="false" customHeight="false" outlineLevel="0" collapsed="false">
      <c r="A3112" s="32" t="s">
        <v>4337</v>
      </c>
      <c r="B3112" s="32" t="s">
        <v>55</v>
      </c>
      <c r="C3112" s="32" t="s">
        <v>115</v>
      </c>
      <c r="D3112" s="32" t="s">
        <v>4338</v>
      </c>
      <c r="E3112" s="4" t="n">
        <v>7</v>
      </c>
      <c r="F3112" s="4" t="s">
        <v>213</v>
      </c>
      <c r="G3112" s="4" t="s">
        <v>2712</v>
      </c>
      <c r="H3112" s="4" t="n">
        <v>1999</v>
      </c>
      <c r="I3112" s="4" t="s">
        <v>2713</v>
      </c>
      <c r="J3112" s="25" t="str">
        <f aca="false">IF(M3112=1,"✓","")</f>
        <v/>
      </c>
      <c r="K3112" s="4" t="str">
        <f aca="false">IF(AND(M3112=0,P3112=0),"▶ NEXT","")</f>
        <v/>
      </c>
      <c r="L3112" s="4" t="n">
        <f aca="false">INDEX('Master List'!$F$2:$F$2594,O3112)</f>
        <v>1</v>
      </c>
      <c r="M3112" s="4" t="n">
        <f aca="false">INDEX('Master List'!$G$2:$G$2594,O3112)</f>
        <v>0</v>
      </c>
      <c r="N3112" s="4" t="str">
        <f aca="false">IF(K3112="","",A3112)</f>
        <v/>
      </c>
      <c r="O3112" s="4" t="n">
        <v>1647</v>
      </c>
      <c r="P3112" s="4" t="n">
        <f aca="false">IF(A3112=A3111,P3111+1-M3111,0)</f>
        <v>5</v>
      </c>
    </row>
    <row r="3113" customFormat="false" ht="15" hidden="false" customHeight="false" outlineLevel="0" collapsed="false">
      <c r="A3113" s="32" t="s">
        <v>4337</v>
      </c>
      <c r="B3113" s="32" t="s">
        <v>55</v>
      </c>
      <c r="C3113" s="32" t="s">
        <v>115</v>
      </c>
      <c r="D3113" s="32" t="s">
        <v>4338</v>
      </c>
      <c r="E3113" s="4" t="n">
        <v>8</v>
      </c>
      <c r="F3113" s="4" t="s">
        <v>213</v>
      </c>
      <c r="G3113" s="4" t="s">
        <v>2756</v>
      </c>
      <c r="H3113" s="4" t="n">
        <v>2001</v>
      </c>
      <c r="I3113" s="4" t="s">
        <v>1115</v>
      </c>
      <c r="J3113" s="25" t="str">
        <f aca="false">IF(M3113=1,"✓","")</f>
        <v/>
      </c>
      <c r="K3113" s="4" t="str">
        <f aca="false">IF(AND(M3113=0,P3113=0),"▶ NEXT","")</f>
        <v/>
      </c>
      <c r="L3113" s="4" t="n">
        <f aca="false">INDEX('Master List'!$F$2:$F$2594,O3113)</f>
        <v>1</v>
      </c>
      <c r="M3113" s="4" t="n">
        <f aca="false">INDEX('Master List'!$G$2:$G$2594,O3113)</f>
        <v>0</v>
      </c>
      <c r="N3113" s="4" t="str">
        <f aca="false">IF(K3113="","",A3113)</f>
        <v/>
      </c>
      <c r="O3113" s="4" t="n">
        <v>208</v>
      </c>
      <c r="P3113" s="4" t="n">
        <f aca="false">IF(A3113=A3112,P3112+1-M3112,0)</f>
        <v>6</v>
      </c>
    </row>
    <row r="3114" customFormat="false" ht="15" hidden="false" customHeight="false" outlineLevel="0" collapsed="false">
      <c r="A3114" s="32" t="s">
        <v>4337</v>
      </c>
      <c r="B3114" s="32" t="s">
        <v>55</v>
      </c>
      <c r="C3114" s="32" t="s">
        <v>115</v>
      </c>
      <c r="D3114" s="32" t="s">
        <v>4338</v>
      </c>
      <c r="E3114" s="4" t="n">
        <v>9</v>
      </c>
      <c r="F3114" s="4" t="s">
        <v>213</v>
      </c>
      <c r="G3114" s="4" t="s">
        <v>3060</v>
      </c>
      <c r="H3114" s="4" t="n">
        <v>2014</v>
      </c>
      <c r="I3114" s="4" t="s">
        <v>2906</v>
      </c>
      <c r="J3114" s="25" t="str">
        <f aca="false">IF(M3114=1,"✓","")</f>
        <v/>
      </c>
      <c r="K3114" s="4" t="str">
        <f aca="false">IF(AND(M3114=0,P3114=0),"▶ NEXT","")</f>
        <v/>
      </c>
      <c r="L3114" s="4" t="n">
        <f aca="false">INDEX('Master List'!$F$2:$F$2594,O3114)</f>
        <v>1</v>
      </c>
      <c r="M3114" s="4" t="n">
        <f aca="false">INDEX('Master List'!$G$2:$G$2594,O3114)</f>
        <v>0</v>
      </c>
      <c r="N3114" s="4" t="str">
        <f aca="false">IF(K3114="","",A3114)</f>
        <v/>
      </c>
      <c r="O3114" s="4" t="n">
        <v>2266</v>
      </c>
      <c r="P3114" s="4" t="n">
        <f aca="false">IF(A3114=A3113,P3113+1-M3113,0)</f>
        <v>7</v>
      </c>
    </row>
    <row r="3115" customFormat="false" ht="15" hidden="false" customHeight="false" outlineLevel="0" collapsed="false">
      <c r="A3115" s="32" t="s">
        <v>4337</v>
      </c>
      <c r="B3115" s="32" t="s">
        <v>55</v>
      </c>
      <c r="C3115" s="32" t="s">
        <v>115</v>
      </c>
      <c r="D3115" s="32" t="s">
        <v>4338</v>
      </c>
      <c r="E3115" s="4" t="n">
        <v>10</v>
      </c>
      <c r="F3115" s="4" t="s">
        <v>213</v>
      </c>
      <c r="G3115" s="4" t="s">
        <v>3061</v>
      </c>
      <c r="H3115" s="4" t="n">
        <v>2014</v>
      </c>
      <c r="I3115" s="4" t="s">
        <v>3062</v>
      </c>
      <c r="J3115" s="25" t="str">
        <f aca="false">IF(M3115=1,"✓","")</f>
        <v/>
      </c>
      <c r="K3115" s="4" t="str">
        <f aca="false">IF(AND(M3115=0,P3115=0),"▶ NEXT","")</f>
        <v/>
      </c>
      <c r="L3115" s="4" t="n">
        <f aca="false">INDEX('Master List'!$F$2:$F$2594,O3115)</f>
        <v>1</v>
      </c>
      <c r="M3115" s="4" t="n">
        <f aca="false">INDEX('Master List'!$G$2:$G$2594,O3115)</f>
        <v>0</v>
      </c>
      <c r="N3115" s="4" t="str">
        <f aca="false">IF(K3115="","",A3115)</f>
        <v/>
      </c>
      <c r="O3115" s="4" t="n">
        <v>1120</v>
      </c>
      <c r="P3115" s="4" t="n">
        <f aca="false">IF(A3115=A3114,P3114+1-M3114,0)</f>
        <v>8</v>
      </c>
    </row>
    <row r="3116" customFormat="false" ht="15" hidden="false" customHeight="false" outlineLevel="0" collapsed="false">
      <c r="A3116" s="32" t="s">
        <v>4337</v>
      </c>
      <c r="B3116" s="32" t="s">
        <v>55</v>
      </c>
      <c r="C3116" s="32" t="s">
        <v>115</v>
      </c>
      <c r="D3116" s="32" t="s">
        <v>4338</v>
      </c>
      <c r="E3116" s="4" t="n">
        <v>11</v>
      </c>
      <c r="F3116" s="4" t="s">
        <v>213</v>
      </c>
      <c r="G3116" s="4" t="s">
        <v>3110</v>
      </c>
      <c r="H3116" s="4" t="n">
        <v>2016</v>
      </c>
      <c r="I3116" s="4" t="s">
        <v>3111</v>
      </c>
      <c r="J3116" s="25" t="str">
        <f aca="false">IF(M3116=1,"✓","")</f>
        <v/>
      </c>
      <c r="K3116" s="4" t="str">
        <f aca="false">IF(AND(M3116=0,P3116=0),"▶ NEXT","")</f>
        <v/>
      </c>
      <c r="L3116" s="4" t="n">
        <f aca="false">INDEX('Master List'!$F$2:$F$2594,O3116)</f>
        <v>1</v>
      </c>
      <c r="M3116" s="4" t="n">
        <f aca="false">INDEX('Master List'!$G$2:$G$2594,O3116)</f>
        <v>0</v>
      </c>
      <c r="N3116" s="4" t="str">
        <f aca="false">IF(K3116="","",A3116)</f>
        <v/>
      </c>
      <c r="O3116" s="4" t="n">
        <v>1029</v>
      </c>
      <c r="P3116" s="4" t="n">
        <f aca="false">IF(A3116=A3115,P3115+1-M3115,0)</f>
        <v>9</v>
      </c>
    </row>
    <row r="3117" customFormat="false" ht="15" hidden="false" customHeight="false" outlineLevel="0" collapsed="false">
      <c r="A3117" s="32" t="s">
        <v>4337</v>
      </c>
      <c r="B3117" s="32" t="s">
        <v>55</v>
      </c>
      <c r="C3117" s="32" t="s">
        <v>115</v>
      </c>
      <c r="D3117" s="32" t="s">
        <v>4338</v>
      </c>
      <c r="E3117" s="4" t="n">
        <v>12</v>
      </c>
      <c r="F3117" s="4" t="s">
        <v>213</v>
      </c>
      <c r="G3117" s="4" t="s">
        <v>1114</v>
      </c>
      <c r="H3117" s="4" t="n">
        <v>1995</v>
      </c>
      <c r="I3117" s="4" t="s">
        <v>1115</v>
      </c>
      <c r="J3117" s="25" t="str">
        <f aca="false">IF(M3117=1,"✓","")</f>
        <v/>
      </c>
      <c r="K3117" s="4" t="str">
        <f aca="false">IF(AND(M3117=0,P3117=0),"▶ NEXT","")</f>
        <v/>
      </c>
      <c r="L3117" s="4" t="n">
        <f aca="false">INDEX('Master List'!$F$2:$F$2594,O3117)</f>
        <v>2</v>
      </c>
      <c r="M3117" s="4" t="n">
        <f aca="false">INDEX('Master List'!$G$2:$G$2594,O3117)</f>
        <v>0</v>
      </c>
      <c r="N3117" s="4" t="str">
        <f aca="false">IF(K3117="","",A3117)</f>
        <v/>
      </c>
      <c r="O3117" s="4" t="n">
        <v>122</v>
      </c>
      <c r="P3117" s="4" t="n">
        <f aca="false">IF(A3117=A3116,P3116+1-M3116,0)</f>
        <v>10</v>
      </c>
    </row>
    <row r="3118" customFormat="false" ht="15" hidden="false" customHeight="false" outlineLevel="0" collapsed="false">
      <c r="A3118" s="32" t="s">
        <v>4337</v>
      </c>
      <c r="B3118" s="32" t="s">
        <v>55</v>
      </c>
      <c r="C3118" s="32" t="s">
        <v>115</v>
      </c>
      <c r="D3118" s="32" t="s">
        <v>4338</v>
      </c>
      <c r="E3118" s="4" t="n">
        <v>13</v>
      </c>
      <c r="F3118" s="4" t="s">
        <v>1327</v>
      </c>
      <c r="G3118" s="4" t="s">
        <v>3816</v>
      </c>
      <c r="H3118" s="4" t="n">
        <v>2013</v>
      </c>
      <c r="I3118" s="4" t="s">
        <v>3817</v>
      </c>
      <c r="J3118" s="25" t="str">
        <f aca="false">IF(M3118=1,"✓","")</f>
        <v/>
      </c>
      <c r="K3118" s="4" t="str">
        <f aca="false">IF(AND(M3118=0,P3118=0),"▶ NEXT","")</f>
        <v/>
      </c>
      <c r="L3118" s="4" t="n">
        <f aca="false">INDEX('Master List'!$F$2:$F$2594,O3118)</f>
        <v>1</v>
      </c>
      <c r="M3118" s="4" t="n">
        <f aca="false">INDEX('Master List'!$G$2:$G$2594,O3118)</f>
        <v>0</v>
      </c>
      <c r="N3118" s="4" t="str">
        <f aca="false">IF(K3118="","",A3118)</f>
        <v/>
      </c>
      <c r="O3118" s="4" t="n">
        <v>1725</v>
      </c>
      <c r="P3118" s="4" t="n">
        <f aca="false">IF(A3118=A3117,P3117+1-M3117,0)</f>
        <v>11</v>
      </c>
    </row>
    <row r="3119" customFormat="false" ht="15" hidden="false" customHeight="false" outlineLevel="0" collapsed="false">
      <c r="A3119" s="32" t="s">
        <v>4337</v>
      </c>
      <c r="B3119" s="32" t="s">
        <v>55</v>
      </c>
      <c r="C3119" s="32" t="s">
        <v>115</v>
      </c>
      <c r="D3119" s="32" t="s">
        <v>4338</v>
      </c>
      <c r="E3119" s="4" t="n">
        <v>14</v>
      </c>
      <c r="F3119" s="4" t="s">
        <v>1327</v>
      </c>
      <c r="G3119" s="4" t="s">
        <v>3786</v>
      </c>
      <c r="H3119" s="4" t="n">
        <v>2009</v>
      </c>
      <c r="I3119" s="4" t="s">
        <v>3787</v>
      </c>
      <c r="J3119" s="25" t="str">
        <f aca="false">IF(M3119=1,"✓","")</f>
        <v/>
      </c>
      <c r="K3119" s="4" t="str">
        <f aca="false">IF(AND(M3119=0,P3119=0),"▶ NEXT","")</f>
        <v/>
      </c>
      <c r="L3119" s="4" t="n">
        <f aca="false">INDEX('Master List'!$F$2:$F$2594,O3119)</f>
        <v>1</v>
      </c>
      <c r="M3119" s="4" t="n">
        <f aca="false">INDEX('Master List'!$G$2:$G$2594,O3119)</f>
        <v>0</v>
      </c>
      <c r="N3119" s="4" t="str">
        <f aca="false">IF(K3119="","",A3119)</f>
        <v/>
      </c>
      <c r="O3119" s="4" t="n">
        <v>529</v>
      </c>
      <c r="P3119" s="4" t="n">
        <f aca="false">IF(A3119=A3118,P3118+1-M3118,0)</f>
        <v>12</v>
      </c>
    </row>
    <row r="3120" customFormat="false" ht="15" hidden="false" customHeight="false" outlineLevel="0" collapsed="false">
      <c r="A3120" s="32" t="s">
        <v>4339</v>
      </c>
      <c r="B3120" s="32" t="s">
        <v>55</v>
      </c>
      <c r="C3120" s="32" t="s">
        <v>115</v>
      </c>
      <c r="D3120" s="32" t="s">
        <v>4340</v>
      </c>
      <c r="E3120" s="4" t="n">
        <v>1</v>
      </c>
      <c r="F3120" s="4" t="s">
        <v>144</v>
      </c>
      <c r="G3120" s="7" t="s">
        <v>186</v>
      </c>
      <c r="H3120" s="4" t="n">
        <v>1968</v>
      </c>
      <c r="I3120" s="4" t="s">
        <v>187</v>
      </c>
      <c r="J3120" s="25" t="str">
        <f aca="false">IF(M3120=1,"✓","")</f>
        <v>✓</v>
      </c>
      <c r="K3120" s="4" t="str">
        <f aca="false">IF(AND(M3120=0,P3120=0),"▶ NEXT","")</f>
        <v/>
      </c>
      <c r="L3120" s="4" t="n">
        <f aca="false">INDEX('Master List'!$F$2:$F$2594,O3120)</f>
        <v>7</v>
      </c>
      <c r="M3120" s="4" t="n">
        <f aca="false">INDEX('Master List'!$G$2:$G$2594,O3120)</f>
        <v>1</v>
      </c>
      <c r="N3120" s="4" t="str">
        <f aca="false">IF(K3120="","",A3120)</f>
        <v/>
      </c>
      <c r="O3120" s="4" t="n">
        <v>12</v>
      </c>
      <c r="P3120" s="4" t="n">
        <f aca="false">IF(A3120=A3119,P3119+1-M3119,0)</f>
        <v>0</v>
      </c>
    </row>
    <row r="3121" customFormat="false" ht="15" hidden="false" customHeight="false" outlineLevel="0" collapsed="false">
      <c r="A3121" s="32" t="s">
        <v>4339</v>
      </c>
      <c r="B3121" s="32" t="s">
        <v>55</v>
      </c>
      <c r="C3121" s="32" t="s">
        <v>115</v>
      </c>
      <c r="D3121" s="32" t="s">
        <v>4340</v>
      </c>
      <c r="E3121" s="4" t="n">
        <v>2</v>
      </c>
      <c r="F3121" s="4" t="s">
        <v>144</v>
      </c>
      <c r="G3121" s="7" t="s">
        <v>555</v>
      </c>
      <c r="H3121" s="4" t="n">
        <v>2013</v>
      </c>
      <c r="I3121" s="4" t="s">
        <v>508</v>
      </c>
      <c r="J3121" s="25" t="str">
        <f aca="false">IF(M3121=1,"✓","")</f>
        <v>✓</v>
      </c>
      <c r="K3121" s="4" t="str">
        <f aca="false">IF(AND(M3121=0,P3121=0),"▶ NEXT","")</f>
        <v/>
      </c>
      <c r="L3121" s="4" t="n">
        <f aca="false">INDEX('Master List'!$F$2:$F$2594,O3121)</f>
        <v>3</v>
      </c>
      <c r="M3121" s="4" t="n">
        <f aca="false">INDEX('Master List'!$G$2:$G$2594,O3121)</f>
        <v>1</v>
      </c>
      <c r="N3121" s="4" t="str">
        <f aca="false">IF(K3121="","",A3121)</f>
        <v/>
      </c>
      <c r="O3121" s="4" t="n">
        <v>1024</v>
      </c>
      <c r="P3121" s="4" t="n">
        <f aca="false">IF(A3121=A3120,P3120+1-M3120,0)</f>
        <v>0</v>
      </c>
    </row>
    <row r="3122" customFormat="false" ht="15" hidden="false" customHeight="false" outlineLevel="0" collapsed="false">
      <c r="A3122" s="32" t="s">
        <v>4339</v>
      </c>
      <c r="B3122" s="32" t="s">
        <v>55</v>
      </c>
      <c r="C3122" s="32" t="s">
        <v>115</v>
      </c>
      <c r="D3122" s="32" t="s">
        <v>4340</v>
      </c>
      <c r="E3122" s="4" t="n">
        <v>3</v>
      </c>
      <c r="F3122" s="4" t="s">
        <v>213</v>
      </c>
      <c r="G3122" s="4" t="s">
        <v>2165</v>
      </c>
      <c r="H3122" s="4" t="n">
        <v>1970</v>
      </c>
      <c r="I3122" s="4" t="s">
        <v>1026</v>
      </c>
      <c r="J3122" s="25" t="str">
        <f aca="false">IF(M3122=1,"✓","")</f>
        <v/>
      </c>
      <c r="K3122" s="4" t="str">
        <f aca="false">IF(AND(M3122=0,P3122=0),"▶ NEXT","")</f>
        <v>▶ NEXT</v>
      </c>
      <c r="L3122" s="4" t="n">
        <f aca="false">INDEX('Master List'!$F$2:$F$2594,O3122)</f>
        <v>1</v>
      </c>
      <c r="M3122" s="4" t="n">
        <f aca="false">INDEX('Master List'!$G$2:$G$2594,O3122)</f>
        <v>0</v>
      </c>
      <c r="N3122" s="4" t="str">
        <f aca="false">IF(K3122="","",A3122)</f>
        <v>N258</v>
      </c>
      <c r="O3122" s="4" t="n">
        <v>499</v>
      </c>
      <c r="P3122" s="4" t="n">
        <f aca="false">IF(A3122=A3121,P3121+1-M3121,0)</f>
        <v>0</v>
      </c>
    </row>
    <row r="3123" customFormat="false" ht="15" hidden="false" customHeight="false" outlineLevel="0" collapsed="false">
      <c r="A3123" s="32" t="s">
        <v>4339</v>
      </c>
      <c r="B3123" s="32" t="s">
        <v>55</v>
      </c>
      <c r="C3123" s="32" t="s">
        <v>115</v>
      </c>
      <c r="D3123" s="32" t="s">
        <v>4340</v>
      </c>
      <c r="E3123" s="4" t="n">
        <v>4</v>
      </c>
      <c r="F3123" s="4" t="s">
        <v>213</v>
      </c>
      <c r="G3123" s="4" t="s">
        <v>2393</v>
      </c>
      <c r="H3123" s="4" t="n">
        <v>1983</v>
      </c>
      <c r="I3123" s="4" t="s">
        <v>2394</v>
      </c>
      <c r="J3123" s="25" t="str">
        <f aca="false">IF(M3123=1,"✓","")</f>
        <v/>
      </c>
      <c r="K3123" s="4" t="str">
        <f aca="false">IF(AND(M3123=0,P3123=0),"▶ NEXT","")</f>
        <v/>
      </c>
      <c r="L3123" s="4" t="n">
        <f aca="false">INDEX('Master List'!$F$2:$F$2594,O3123)</f>
        <v>1</v>
      </c>
      <c r="M3123" s="4" t="n">
        <f aca="false">INDEX('Master List'!$G$2:$G$2594,O3123)</f>
        <v>0</v>
      </c>
      <c r="N3123" s="4" t="str">
        <f aca="false">IF(K3123="","",A3123)</f>
        <v/>
      </c>
      <c r="O3123" s="4" t="n">
        <v>2467</v>
      </c>
      <c r="P3123" s="4" t="n">
        <f aca="false">IF(A3123=A3122,P3122+1-M3122,0)</f>
        <v>1</v>
      </c>
    </row>
    <row r="3124" customFormat="false" ht="15" hidden="false" customHeight="false" outlineLevel="0" collapsed="false">
      <c r="A3124" s="32" t="s">
        <v>4339</v>
      </c>
      <c r="B3124" s="32" t="s">
        <v>55</v>
      </c>
      <c r="C3124" s="32" t="s">
        <v>115</v>
      </c>
      <c r="D3124" s="32" t="s">
        <v>4340</v>
      </c>
      <c r="E3124" s="4" t="n">
        <v>5</v>
      </c>
      <c r="F3124" s="4" t="s">
        <v>213</v>
      </c>
      <c r="G3124" s="4" t="s">
        <v>173</v>
      </c>
      <c r="H3124" s="4" t="n">
        <v>1982</v>
      </c>
      <c r="I3124" s="4" t="s">
        <v>174</v>
      </c>
      <c r="J3124" s="25" t="str">
        <f aca="false">IF(M3124=1,"✓","")</f>
        <v>✓</v>
      </c>
      <c r="K3124" s="4" t="str">
        <f aca="false">IF(AND(M3124=0,P3124=0),"▶ NEXT","")</f>
        <v/>
      </c>
      <c r="L3124" s="4" t="n">
        <f aca="false">INDEX('Master List'!$F$2:$F$2594,O3124)</f>
        <v>8</v>
      </c>
      <c r="M3124" s="4" t="n">
        <f aca="false">INDEX('Master List'!$G$2:$G$2594,O3124)</f>
        <v>1</v>
      </c>
      <c r="N3124" s="4" t="str">
        <f aca="false">IF(K3124="","",A3124)</f>
        <v/>
      </c>
      <c r="O3124" s="4" t="n">
        <v>279</v>
      </c>
      <c r="P3124" s="4" t="n">
        <f aca="false">IF(A3124=A3123,P3123+1-M3123,0)</f>
        <v>2</v>
      </c>
    </row>
    <row r="3125" customFormat="false" ht="15" hidden="false" customHeight="false" outlineLevel="0" collapsed="false">
      <c r="A3125" s="32" t="s">
        <v>4339</v>
      </c>
      <c r="B3125" s="32" t="s">
        <v>55</v>
      </c>
      <c r="C3125" s="32" t="s">
        <v>115</v>
      </c>
      <c r="D3125" s="32" t="s">
        <v>4340</v>
      </c>
      <c r="E3125" s="4" t="n">
        <v>6</v>
      </c>
      <c r="F3125" s="4" t="s">
        <v>213</v>
      </c>
      <c r="G3125" s="4" t="s">
        <v>2618</v>
      </c>
      <c r="H3125" s="4" t="n">
        <v>1995</v>
      </c>
      <c r="I3125" s="4" t="s">
        <v>2619</v>
      </c>
      <c r="J3125" s="25" t="str">
        <f aca="false">IF(M3125=1,"✓","")</f>
        <v/>
      </c>
      <c r="K3125" s="4" t="str">
        <f aca="false">IF(AND(M3125=0,P3125=0),"▶ NEXT","")</f>
        <v/>
      </c>
      <c r="L3125" s="4" t="n">
        <f aca="false">INDEX('Master List'!$F$2:$F$2594,O3125)</f>
        <v>1</v>
      </c>
      <c r="M3125" s="4" t="n">
        <f aca="false">INDEX('Master List'!$G$2:$G$2594,O3125)</f>
        <v>0</v>
      </c>
      <c r="N3125" s="4" t="str">
        <f aca="false">IF(K3125="","",A3125)</f>
        <v/>
      </c>
      <c r="O3125" s="4" t="n">
        <v>974</v>
      </c>
      <c r="P3125" s="4" t="n">
        <f aca="false">IF(A3125=A3124,P3124+1-M3124,0)</f>
        <v>2</v>
      </c>
    </row>
    <row r="3126" customFormat="false" ht="15" hidden="false" customHeight="false" outlineLevel="0" collapsed="false">
      <c r="A3126" s="32" t="s">
        <v>4339</v>
      </c>
      <c r="B3126" s="32" t="s">
        <v>55</v>
      </c>
      <c r="C3126" s="32" t="s">
        <v>115</v>
      </c>
      <c r="D3126" s="32" t="s">
        <v>4340</v>
      </c>
      <c r="E3126" s="4" t="n">
        <v>7</v>
      </c>
      <c r="F3126" s="4" t="s">
        <v>213</v>
      </c>
      <c r="G3126" s="4" t="s">
        <v>640</v>
      </c>
      <c r="H3126" s="4" t="n">
        <v>2010</v>
      </c>
      <c r="I3126" s="4" t="s">
        <v>325</v>
      </c>
      <c r="J3126" s="25" t="str">
        <f aca="false">IF(M3126=1,"✓","")</f>
        <v>✓</v>
      </c>
      <c r="K3126" s="4" t="str">
        <f aca="false">IF(AND(M3126=0,P3126=0),"▶ NEXT","")</f>
        <v/>
      </c>
      <c r="L3126" s="4" t="n">
        <f aca="false">INDEX('Master List'!$F$2:$F$2594,O3126)</f>
        <v>3</v>
      </c>
      <c r="M3126" s="4" t="n">
        <f aca="false">INDEX('Master List'!$G$2:$G$2594,O3126)</f>
        <v>1</v>
      </c>
      <c r="N3126" s="4" t="str">
        <f aca="false">IF(K3126="","",A3126)</f>
        <v/>
      </c>
      <c r="O3126" s="4" t="n">
        <v>2102</v>
      </c>
      <c r="P3126" s="4" t="n">
        <f aca="false">IF(A3126=A3125,P3125+1-M3125,0)</f>
        <v>3</v>
      </c>
    </row>
    <row r="3127" customFormat="false" ht="15" hidden="false" customHeight="false" outlineLevel="0" collapsed="false">
      <c r="A3127" s="32" t="s">
        <v>4339</v>
      </c>
      <c r="B3127" s="32" t="s">
        <v>55</v>
      </c>
      <c r="C3127" s="32" t="s">
        <v>115</v>
      </c>
      <c r="D3127" s="32" t="s">
        <v>4340</v>
      </c>
      <c r="E3127" s="4" t="n">
        <v>8</v>
      </c>
      <c r="F3127" s="4" t="s">
        <v>213</v>
      </c>
      <c r="G3127" s="4" t="s">
        <v>645</v>
      </c>
      <c r="H3127" s="4" t="n">
        <v>2015</v>
      </c>
      <c r="I3127" s="4" t="s">
        <v>646</v>
      </c>
      <c r="J3127" s="25" t="str">
        <f aca="false">IF(M3127=1,"✓","")</f>
        <v/>
      </c>
      <c r="K3127" s="4" t="str">
        <f aca="false">IF(AND(M3127=0,P3127=0),"▶ NEXT","")</f>
        <v/>
      </c>
      <c r="L3127" s="4" t="n">
        <f aca="false">INDEX('Master List'!$F$2:$F$2594,O3127)</f>
        <v>3</v>
      </c>
      <c r="M3127" s="4" t="n">
        <f aca="false">INDEX('Master List'!$G$2:$G$2594,O3127)</f>
        <v>0</v>
      </c>
      <c r="N3127" s="4" t="str">
        <f aca="false">IF(K3127="","",A3127)</f>
        <v/>
      </c>
      <c r="O3127" s="4" t="n">
        <v>756</v>
      </c>
      <c r="P3127" s="4" t="n">
        <f aca="false">IF(A3127=A3126,P3126+1-M3126,0)</f>
        <v>3</v>
      </c>
    </row>
    <row r="3128" customFormat="false" ht="15" hidden="false" customHeight="false" outlineLevel="0" collapsed="false">
      <c r="A3128" s="32" t="s">
        <v>4339</v>
      </c>
      <c r="B3128" s="32" t="s">
        <v>55</v>
      </c>
      <c r="C3128" s="32" t="s">
        <v>115</v>
      </c>
      <c r="D3128" s="32" t="s">
        <v>4340</v>
      </c>
      <c r="E3128" s="4" t="n">
        <v>9</v>
      </c>
      <c r="F3128" s="4" t="s">
        <v>213</v>
      </c>
      <c r="G3128" s="4" t="s">
        <v>3063</v>
      </c>
      <c r="H3128" s="4" t="n">
        <v>2014</v>
      </c>
      <c r="I3128" s="4" t="s">
        <v>3064</v>
      </c>
      <c r="J3128" s="25" t="str">
        <f aca="false">IF(M3128=1,"✓","")</f>
        <v/>
      </c>
      <c r="K3128" s="4" t="str">
        <f aca="false">IF(AND(M3128=0,P3128=0),"▶ NEXT","")</f>
        <v/>
      </c>
      <c r="L3128" s="4" t="n">
        <f aca="false">INDEX('Master List'!$F$2:$F$2594,O3128)</f>
        <v>1</v>
      </c>
      <c r="M3128" s="4" t="n">
        <f aca="false">INDEX('Master List'!$G$2:$G$2594,O3128)</f>
        <v>0</v>
      </c>
      <c r="N3128" s="4" t="str">
        <f aca="false">IF(K3128="","",A3128)</f>
        <v/>
      </c>
      <c r="O3128" s="4" t="n">
        <v>463</v>
      </c>
      <c r="P3128" s="4" t="n">
        <f aca="false">IF(A3128=A3127,P3127+1-M3127,0)</f>
        <v>4</v>
      </c>
    </row>
    <row r="3129" customFormat="false" ht="15" hidden="false" customHeight="false" outlineLevel="0" collapsed="false">
      <c r="A3129" s="32" t="s">
        <v>4339</v>
      </c>
      <c r="B3129" s="32" t="s">
        <v>55</v>
      </c>
      <c r="C3129" s="32" t="s">
        <v>115</v>
      </c>
      <c r="D3129" s="32" t="s">
        <v>4340</v>
      </c>
      <c r="E3129" s="4" t="n">
        <v>10</v>
      </c>
      <c r="F3129" s="4" t="s">
        <v>213</v>
      </c>
      <c r="G3129" s="4" t="s">
        <v>3216</v>
      </c>
      <c r="H3129" s="4" t="n">
        <v>2021</v>
      </c>
      <c r="I3129" s="4" t="s">
        <v>1237</v>
      </c>
      <c r="J3129" s="25" t="str">
        <f aca="false">IF(M3129=1,"✓","")</f>
        <v/>
      </c>
      <c r="K3129" s="4" t="str">
        <f aca="false">IF(AND(M3129=0,P3129=0),"▶ NEXT","")</f>
        <v/>
      </c>
      <c r="L3129" s="4" t="n">
        <f aca="false">INDEX('Master List'!$F$2:$F$2594,O3129)</f>
        <v>1</v>
      </c>
      <c r="M3129" s="4" t="n">
        <f aca="false">INDEX('Master List'!$G$2:$G$2594,O3129)</f>
        <v>0</v>
      </c>
      <c r="N3129" s="4" t="str">
        <f aca="false">IF(K3129="","",A3129)</f>
        <v/>
      </c>
      <c r="O3129" s="4" t="n">
        <v>52</v>
      </c>
      <c r="P3129" s="4" t="n">
        <f aca="false">IF(A3129=A3128,P3128+1-M3128,0)</f>
        <v>5</v>
      </c>
    </row>
    <row r="3130" customFormat="false" ht="15" hidden="false" customHeight="false" outlineLevel="0" collapsed="false">
      <c r="A3130" s="32" t="s">
        <v>4339</v>
      </c>
      <c r="B3130" s="32" t="s">
        <v>55</v>
      </c>
      <c r="C3130" s="32" t="s">
        <v>115</v>
      </c>
      <c r="D3130" s="32" t="s">
        <v>4340</v>
      </c>
      <c r="E3130" s="4" t="n">
        <v>11</v>
      </c>
      <c r="F3130" s="4" t="s">
        <v>1327</v>
      </c>
      <c r="G3130" s="4" t="s">
        <v>714</v>
      </c>
      <c r="H3130" s="4" t="n">
        <v>2001</v>
      </c>
      <c r="I3130" s="4" t="s">
        <v>505</v>
      </c>
      <c r="J3130" s="25" t="str">
        <f aca="false">IF(M3130=1,"✓","")</f>
        <v/>
      </c>
      <c r="K3130" s="4" t="str">
        <f aca="false">IF(AND(M3130=0,P3130=0),"▶ NEXT","")</f>
        <v/>
      </c>
      <c r="L3130" s="4" t="n">
        <f aca="false">INDEX('Master List'!$F$2:$F$2594,O3130)</f>
        <v>3</v>
      </c>
      <c r="M3130" s="4" t="n">
        <f aca="false">INDEX('Master List'!$G$2:$G$2594,O3130)</f>
        <v>0</v>
      </c>
      <c r="N3130" s="4" t="str">
        <f aca="false">IF(K3130="","",A3130)</f>
        <v/>
      </c>
      <c r="O3130" s="4" t="n">
        <v>1831</v>
      </c>
      <c r="P3130" s="4" t="n">
        <f aca="false">IF(A3130=A3129,P3129+1-M3129,0)</f>
        <v>6</v>
      </c>
    </row>
    <row r="3131" customFormat="false" ht="15" hidden="false" customHeight="false" outlineLevel="0" collapsed="false">
      <c r="A3131" s="32" t="s">
        <v>4339</v>
      </c>
      <c r="B3131" s="32" t="s">
        <v>55</v>
      </c>
      <c r="C3131" s="32" t="s">
        <v>115</v>
      </c>
      <c r="D3131" s="32" t="s">
        <v>4340</v>
      </c>
      <c r="E3131" s="4" t="n">
        <v>12</v>
      </c>
      <c r="F3131" s="4" t="s">
        <v>1327</v>
      </c>
      <c r="G3131" s="4" t="s">
        <v>3788</v>
      </c>
      <c r="H3131" s="4" t="n">
        <v>2009</v>
      </c>
      <c r="I3131" s="4" t="s">
        <v>3789</v>
      </c>
      <c r="J3131" s="25" t="str">
        <f aca="false">IF(M3131=1,"✓","")</f>
        <v/>
      </c>
      <c r="K3131" s="4" t="str">
        <f aca="false">IF(AND(M3131=0,P3131=0),"▶ NEXT","")</f>
        <v/>
      </c>
      <c r="L3131" s="4" t="n">
        <f aca="false">INDEX('Master List'!$F$2:$F$2594,O3131)</f>
        <v>1</v>
      </c>
      <c r="M3131" s="4" t="n">
        <f aca="false">INDEX('Master List'!$G$2:$G$2594,O3131)</f>
        <v>0</v>
      </c>
      <c r="N3131" s="4" t="str">
        <f aca="false">IF(K3131="","",A3131)</f>
        <v/>
      </c>
      <c r="O3131" s="4" t="n">
        <v>2476</v>
      </c>
      <c r="P3131" s="4" t="n">
        <f aca="false">IF(A3131=A3130,P3130+1-M3130,0)</f>
        <v>7</v>
      </c>
    </row>
    <row r="3132" customFormat="false" ht="15" hidden="false" customHeight="false" outlineLevel="0" collapsed="false">
      <c r="A3132" s="32" t="s">
        <v>4341</v>
      </c>
      <c r="B3132" s="32" t="s">
        <v>55</v>
      </c>
      <c r="C3132" s="32" t="s">
        <v>115</v>
      </c>
      <c r="D3132" s="32" t="s">
        <v>4342</v>
      </c>
      <c r="E3132" s="4" t="n">
        <v>1</v>
      </c>
      <c r="F3132" s="4" t="s">
        <v>144</v>
      </c>
      <c r="G3132" s="7" t="s">
        <v>237</v>
      </c>
      <c r="H3132" s="4" t="n">
        <v>1964</v>
      </c>
      <c r="I3132" s="4" t="s">
        <v>187</v>
      </c>
      <c r="J3132" s="25" t="str">
        <f aca="false">IF(M3132=1,"✓","")</f>
        <v>✓</v>
      </c>
      <c r="K3132" s="4" t="str">
        <f aca="false">IF(AND(M3132=0,P3132=0),"▶ NEXT","")</f>
        <v/>
      </c>
      <c r="L3132" s="4" t="n">
        <f aca="false">INDEX('Master List'!$F$2:$F$2594,O3132)</f>
        <v>5</v>
      </c>
      <c r="M3132" s="4" t="n">
        <f aca="false">INDEX('Master List'!$G$2:$G$2594,O3132)</f>
        <v>1</v>
      </c>
      <c r="N3132" s="4" t="str">
        <f aca="false">IF(K3132="","",A3132)</f>
        <v/>
      </c>
      <c r="O3132" s="4" t="n">
        <v>671</v>
      </c>
      <c r="P3132" s="4" t="n">
        <f aca="false">IF(A3132=A3131,P3131+1-M3131,0)</f>
        <v>0</v>
      </c>
    </row>
    <row r="3133" customFormat="false" ht="15" hidden="false" customHeight="false" outlineLevel="0" collapsed="false">
      <c r="A3133" s="32" t="s">
        <v>4341</v>
      </c>
      <c r="B3133" s="32" t="s">
        <v>55</v>
      </c>
      <c r="C3133" s="32" t="s">
        <v>115</v>
      </c>
      <c r="D3133" s="32" t="s">
        <v>4342</v>
      </c>
      <c r="E3133" s="4" t="n">
        <v>2</v>
      </c>
      <c r="F3133" s="4" t="s">
        <v>144</v>
      </c>
      <c r="G3133" s="7" t="s">
        <v>406</v>
      </c>
      <c r="H3133" s="4" t="n">
        <v>1954</v>
      </c>
      <c r="I3133" s="4" t="s">
        <v>407</v>
      </c>
      <c r="J3133" s="25" t="str">
        <f aca="false">IF(M3133=1,"✓","")</f>
        <v/>
      </c>
      <c r="K3133" s="4" t="str">
        <f aca="false">IF(AND(M3133=0,P3133=0),"▶ NEXT","")</f>
        <v>▶ NEXT</v>
      </c>
      <c r="L3133" s="4" t="n">
        <f aca="false">INDEX('Master List'!$F$2:$F$2594,O3133)</f>
        <v>3</v>
      </c>
      <c r="M3133" s="4" t="n">
        <f aca="false">INDEX('Master List'!$G$2:$G$2594,O3133)</f>
        <v>0</v>
      </c>
      <c r="N3133" s="4" t="str">
        <f aca="false">IF(K3133="","",A3133)</f>
        <v>N259</v>
      </c>
      <c r="O3133" s="4" t="n">
        <v>911</v>
      </c>
      <c r="P3133" s="4" t="n">
        <f aca="false">IF(A3133=A3132,P3132+1-M3132,0)</f>
        <v>0</v>
      </c>
    </row>
    <row r="3134" customFormat="false" ht="15" hidden="false" customHeight="false" outlineLevel="0" collapsed="false">
      <c r="A3134" s="32" t="s">
        <v>4341</v>
      </c>
      <c r="B3134" s="32" t="s">
        <v>55</v>
      </c>
      <c r="C3134" s="32" t="s">
        <v>115</v>
      </c>
      <c r="D3134" s="32" t="s">
        <v>4342</v>
      </c>
      <c r="E3134" s="4" t="n">
        <v>3</v>
      </c>
      <c r="F3134" s="4" t="s">
        <v>213</v>
      </c>
      <c r="G3134" s="4" t="s">
        <v>271</v>
      </c>
      <c r="H3134" s="4" t="n">
        <v>1959</v>
      </c>
      <c r="I3134" s="4" t="s">
        <v>272</v>
      </c>
      <c r="J3134" s="25" t="str">
        <f aca="false">IF(M3134=1,"✓","")</f>
        <v/>
      </c>
      <c r="K3134" s="4" t="str">
        <f aca="false">IF(AND(M3134=0,P3134=0),"▶ NEXT","")</f>
        <v/>
      </c>
      <c r="L3134" s="4" t="n">
        <f aca="false">INDEX('Master List'!$F$2:$F$2594,O3134)</f>
        <v>6</v>
      </c>
      <c r="M3134" s="4" t="n">
        <f aca="false">INDEX('Master List'!$G$2:$G$2594,O3134)</f>
        <v>0</v>
      </c>
      <c r="N3134" s="4" t="str">
        <f aca="false">IF(K3134="","",A3134)</f>
        <v/>
      </c>
      <c r="O3134" s="4" t="n">
        <v>1040</v>
      </c>
      <c r="P3134" s="4" t="n">
        <f aca="false">IF(A3134=A3133,P3133+1-M3133,0)</f>
        <v>1</v>
      </c>
    </row>
    <row r="3135" customFormat="false" ht="15" hidden="false" customHeight="false" outlineLevel="0" collapsed="false">
      <c r="A3135" s="32" t="s">
        <v>4341</v>
      </c>
      <c r="B3135" s="32" t="s">
        <v>55</v>
      </c>
      <c r="C3135" s="32" t="s">
        <v>115</v>
      </c>
      <c r="D3135" s="32" t="s">
        <v>4342</v>
      </c>
      <c r="E3135" s="4" t="n">
        <v>4</v>
      </c>
      <c r="F3135" s="4" t="s">
        <v>213</v>
      </c>
      <c r="G3135" s="4" t="s">
        <v>1968</v>
      </c>
      <c r="H3135" s="4" t="n">
        <v>1959</v>
      </c>
      <c r="I3135" s="4" t="s">
        <v>1969</v>
      </c>
      <c r="J3135" s="25" t="str">
        <f aca="false">IF(M3135=1,"✓","")</f>
        <v/>
      </c>
      <c r="K3135" s="4" t="str">
        <f aca="false">IF(AND(M3135=0,P3135=0),"▶ NEXT","")</f>
        <v/>
      </c>
      <c r="L3135" s="4" t="n">
        <f aca="false">INDEX('Master List'!$F$2:$F$2594,O3135)</f>
        <v>1</v>
      </c>
      <c r="M3135" s="4" t="n">
        <f aca="false">INDEX('Master List'!$G$2:$G$2594,O3135)</f>
        <v>0</v>
      </c>
      <c r="N3135" s="4" t="str">
        <f aca="false">IF(K3135="","",A3135)</f>
        <v/>
      </c>
      <c r="O3135" s="4" t="n">
        <v>1664</v>
      </c>
      <c r="P3135" s="4" t="n">
        <f aca="false">IF(A3135=A3134,P3134+1-M3134,0)</f>
        <v>2</v>
      </c>
    </row>
    <row r="3136" customFormat="false" ht="15" hidden="false" customHeight="false" outlineLevel="0" collapsed="false">
      <c r="A3136" s="32" t="s">
        <v>4341</v>
      </c>
      <c r="B3136" s="32" t="s">
        <v>55</v>
      </c>
      <c r="C3136" s="32" t="s">
        <v>115</v>
      </c>
      <c r="D3136" s="32" t="s">
        <v>4342</v>
      </c>
      <c r="E3136" s="4" t="n">
        <v>5</v>
      </c>
      <c r="F3136" s="4" t="s">
        <v>213</v>
      </c>
      <c r="G3136" s="4" t="s">
        <v>982</v>
      </c>
      <c r="H3136" s="4" t="n">
        <v>1964</v>
      </c>
      <c r="I3136" s="4" t="s">
        <v>189</v>
      </c>
      <c r="J3136" s="25" t="str">
        <f aca="false">IF(M3136=1,"✓","")</f>
        <v>✓</v>
      </c>
      <c r="K3136" s="4" t="str">
        <f aca="false">IF(AND(M3136=0,P3136=0),"▶ NEXT","")</f>
        <v/>
      </c>
      <c r="L3136" s="4" t="n">
        <f aca="false">INDEX('Master List'!$F$2:$F$2594,O3136)</f>
        <v>2</v>
      </c>
      <c r="M3136" s="4" t="n">
        <f aca="false">INDEX('Master List'!$G$2:$G$2594,O3136)</f>
        <v>1</v>
      </c>
      <c r="N3136" s="4" t="str">
        <f aca="false">IF(K3136="","",A3136)</f>
        <v/>
      </c>
      <c r="O3136" s="4" t="n">
        <v>776</v>
      </c>
      <c r="P3136" s="4" t="n">
        <f aca="false">IF(A3136=A3135,P3135+1-M3135,0)</f>
        <v>3</v>
      </c>
    </row>
    <row r="3137" customFormat="false" ht="15" hidden="false" customHeight="false" outlineLevel="0" collapsed="false">
      <c r="A3137" s="32" t="s">
        <v>4341</v>
      </c>
      <c r="B3137" s="32" t="s">
        <v>55</v>
      </c>
      <c r="C3137" s="32" t="s">
        <v>115</v>
      </c>
      <c r="D3137" s="32" t="s">
        <v>4342</v>
      </c>
      <c r="E3137" s="4" t="n">
        <v>6</v>
      </c>
      <c r="F3137" s="4" t="s">
        <v>213</v>
      </c>
      <c r="G3137" s="4" t="s">
        <v>1334</v>
      </c>
      <c r="H3137" s="4" t="n">
        <v>1966</v>
      </c>
      <c r="I3137" s="4" t="s">
        <v>1335</v>
      </c>
      <c r="J3137" s="25" t="str">
        <f aca="false">IF(M3137=1,"✓","")</f>
        <v/>
      </c>
      <c r="K3137" s="4" t="str">
        <f aca="false">IF(AND(M3137=0,P3137=0),"▶ NEXT","")</f>
        <v/>
      </c>
      <c r="L3137" s="4" t="n">
        <f aca="false">INDEX('Master List'!$F$2:$F$2594,O3137)</f>
        <v>2</v>
      </c>
      <c r="M3137" s="4" t="n">
        <f aca="false">INDEX('Master List'!$G$2:$G$2594,O3137)</f>
        <v>0</v>
      </c>
      <c r="N3137" s="4" t="str">
        <f aca="false">IF(K3137="","",A3137)</f>
        <v/>
      </c>
      <c r="O3137" s="4" t="n">
        <v>2462</v>
      </c>
      <c r="P3137" s="4" t="n">
        <f aca="false">IF(A3137=A3136,P3136+1-M3136,0)</f>
        <v>3</v>
      </c>
    </row>
    <row r="3138" customFormat="false" ht="15" hidden="false" customHeight="false" outlineLevel="0" collapsed="false">
      <c r="A3138" s="32" t="s">
        <v>4341</v>
      </c>
      <c r="B3138" s="32" t="s">
        <v>55</v>
      </c>
      <c r="C3138" s="32" t="s">
        <v>115</v>
      </c>
      <c r="D3138" s="32" t="s">
        <v>4342</v>
      </c>
      <c r="E3138" s="4" t="n">
        <v>7</v>
      </c>
      <c r="F3138" s="4" t="s">
        <v>213</v>
      </c>
      <c r="G3138" s="4" t="s">
        <v>2330</v>
      </c>
      <c r="H3138" s="4" t="n">
        <v>1979</v>
      </c>
      <c r="I3138" s="4" t="s">
        <v>2233</v>
      </c>
      <c r="J3138" s="25" t="str">
        <f aca="false">IF(M3138=1,"✓","")</f>
        <v/>
      </c>
      <c r="K3138" s="4" t="str">
        <f aca="false">IF(AND(M3138=0,P3138=0),"▶ NEXT","")</f>
        <v/>
      </c>
      <c r="L3138" s="4" t="n">
        <f aca="false">INDEX('Master List'!$F$2:$F$2594,O3138)</f>
        <v>1</v>
      </c>
      <c r="M3138" s="4" t="n">
        <f aca="false">INDEX('Master List'!$G$2:$G$2594,O3138)</f>
        <v>0</v>
      </c>
      <c r="N3138" s="4" t="str">
        <f aca="false">IF(K3138="","",A3138)</f>
        <v/>
      </c>
      <c r="O3138" s="4" t="n">
        <v>449</v>
      </c>
      <c r="P3138" s="4" t="n">
        <f aca="false">IF(A3138=A3137,P3137+1-M3137,0)</f>
        <v>4</v>
      </c>
    </row>
    <row r="3139" customFormat="false" ht="15" hidden="false" customHeight="false" outlineLevel="0" collapsed="false">
      <c r="A3139" s="32" t="s">
        <v>4341</v>
      </c>
      <c r="B3139" s="32" t="s">
        <v>55</v>
      </c>
      <c r="C3139" s="32" t="s">
        <v>115</v>
      </c>
      <c r="D3139" s="32" t="s">
        <v>4342</v>
      </c>
      <c r="E3139" s="4" t="n">
        <v>8</v>
      </c>
      <c r="F3139" s="4" t="s">
        <v>213</v>
      </c>
      <c r="G3139" s="4" t="s">
        <v>2369</v>
      </c>
      <c r="H3139" s="4" t="n">
        <v>1982</v>
      </c>
      <c r="I3139" s="4" t="s">
        <v>2370</v>
      </c>
      <c r="J3139" s="25" t="str">
        <f aca="false">IF(M3139=1,"✓","")</f>
        <v/>
      </c>
      <c r="K3139" s="4" t="str">
        <f aca="false">IF(AND(M3139=0,P3139=0),"▶ NEXT","")</f>
        <v/>
      </c>
      <c r="L3139" s="4" t="n">
        <f aca="false">INDEX('Master List'!$F$2:$F$2594,O3139)</f>
        <v>1</v>
      </c>
      <c r="M3139" s="4" t="n">
        <f aca="false">INDEX('Master List'!$G$2:$G$2594,O3139)</f>
        <v>0</v>
      </c>
      <c r="N3139" s="4" t="str">
        <f aca="false">IF(K3139="","",A3139)</f>
        <v/>
      </c>
      <c r="O3139" s="4" t="n">
        <v>147</v>
      </c>
      <c r="P3139" s="4" t="n">
        <f aca="false">IF(A3139=A3138,P3138+1-M3138,0)</f>
        <v>5</v>
      </c>
    </row>
    <row r="3140" customFormat="false" ht="15" hidden="false" customHeight="false" outlineLevel="0" collapsed="false">
      <c r="A3140" s="32" t="s">
        <v>4341</v>
      </c>
      <c r="B3140" s="32" t="s">
        <v>55</v>
      </c>
      <c r="C3140" s="32" t="s">
        <v>115</v>
      </c>
      <c r="D3140" s="32" t="s">
        <v>4342</v>
      </c>
      <c r="E3140" s="4" t="n">
        <v>9</v>
      </c>
      <c r="F3140" s="4" t="s">
        <v>213</v>
      </c>
      <c r="G3140" s="4" t="s">
        <v>1065</v>
      </c>
      <c r="H3140" s="4" t="n">
        <v>1984</v>
      </c>
      <c r="I3140" s="4" t="s">
        <v>1066</v>
      </c>
      <c r="J3140" s="25" t="str">
        <f aca="false">IF(M3140=1,"✓","")</f>
        <v>✓</v>
      </c>
      <c r="K3140" s="4" t="str">
        <f aca="false">IF(AND(M3140=0,P3140=0),"▶ NEXT","")</f>
        <v/>
      </c>
      <c r="L3140" s="4" t="n">
        <f aca="false">INDEX('Master List'!$F$2:$F$2594,O3140)</f>
        <v>2</v>
      </c>
      <c r="M3140" s="4" t="n">
        <f aca="false">INDEX('Master List'!$G$2:$G$2594,O3140)</f>
        <v>1</v>
      </c>
      <c r="N3140" s="4" t="str">
        <f aca="false">IF(K3140="","",A3140)</f>
        <v/>
      </c>
      <c r="O3140" s="4" t="n">
        <v>2288</v>
      </c>
      <c r="P3140" s="4" t="n">
        <f aca="false">IF(A3140=A3139,P3139+1-M3139,0)</f>
        <v>6</v>
      </c>
    </row>
    <row r="3141" customFormat="false" ht="15" hidden="false" customHeight="false" outlineLevel="0" collapsed="false">
      <c r="A3141" s="32" t="s">
        <v>4341</v>
      </c>
      <c r="B3141" s="32" t="s">
        <v>55</v>
      </c>
      <c r="C3141" s="32" t="s">
        <v>115</v>
      </c>
      <c r="D3141" s="32" t="s">
        <v>4342</v>
      </c>
      <c r="E3141" s="4" t="n">
        <v>10</v>
      </c>
      <c r="F3141" s="4" t="s">
        <v>213</v>
      </c>
      <c r="G3141" s="4" t="s">
        <v>1078</v>
      </c>
      <c r="H3141" s="4" t="n">
        <v>1986</v>
      </c>
      <c r="I3141" s="4" t="s">
        <v>1079</v>
      </c>
      <c r="J3141" s="25" t="str">
        <f aca="false">IF(M3141=1,"✓","")</f>
        <v/>
      </c>
      <c r="K3141" s="4" t="str">
        <f aca="false">IF(AND(M3141=0,P3141=0),"▶ NEXT","")</f>
        <v/>
      </c>
      <c r="L3141" s="4" t="n">
        <f aca="false">INDEX('Master List'!$F$2:$F$2594,O3141)</f>
        <v>2</v>
      </c>
      <c r="M3141" s="4" t="n">
        <f aca="false">INDEX('Master List'!$G$2:$G$2594,O3141)</f>
        <v>0</v>
      </c>
      <c r="N3141" s="4" t="str">
        <f aca="false">IF(K3141="","",A3141)</f>
        <v/>
      </c>
      <c r="O3141" s="4" t="n">
        <v>2495</v>
      </c>
      <c r="P3141" s="4" t="n">
        <f aca="false">IF(A3141=A3140,P3140+1-M3140,0)</f>
        <v>6</v>
      </c>
    </row>
    <row r="3142" customFormat="false" ht="15" hidden="false" customHeight="false" outlineLevel="0" collapsed="false">
      <c r="A3142" s="32" t="s">
        <v>4341</v>
      </c>
      <c r="B3142" s="32" t="s">
        <v>55</v>
      </c>
      <c r="C3142" s="32" t="s">
        <v>115</v>
      </c>
      <c r="D3142" s="32" t="s">
        <v>4342</v>
      </c>
      <c r="E3142" s="4" t="n">
        <v>11</v>
      </c>
      <c r="F3142" s="4" t="s">
        <v>213</v>
      </c>
      <c r="G3142" s="4" t="s">
        <v>2395</v>
      </c>
      <c r="H3142" s="4" t="n">
        <v>1983</v>
      </c>
      <c r="I3142" s="4" t="s">
        <v>2396</v>
      </c>
      <c r="J3142" s="25" t="str">
        <f aca="false">IF(M3142=1,"✓","")</f>
        <v/>
      </c>
      <c r="K3142" s="4" t="str">
        <f aca="false">IF(AND(M3142=0,P3142=0),"▶ NEXT","")</f>
        <v/>
      </c>
      <c r="L3142" s="4" t="n">
        <f aca="false">INDEX('Master List'!$F$2:$F$2594,O3142)</f>
        <v>1</v>
      </c>
      <c r="M3142" s="4" t="n">
        <f aca="false">INDEX('Master List'!$G$2:$G$2594,O3142)</f>
        <v>0</v>
      </c>
      <c r="N3142" s="4" t="str">
        <f aca="false">IF(K3142="","",A3142)</f>
        <v/>
      </c>
      <c r="O3142" s="4" t="n">
        <v>187</v>
      </c>
      <c r="P3142" s="4" t="n">
        <f aca="false">IF(A3142=A3141,P3141+1-M3141,0)</f>
        <v>7</v>
      </c>
    </row>
    <row r="3143" customFormat="false" ht="15" hidden="false" customHeight="false" outlineLevel="0" collapsed="false">
      <c r="A3143" s="32" t="s">
        <v>4341</v>
      </c>
      <c r="B3143" s="32" t="s">
        <v>55</v>
      </c>
      <c r="C3143" s="32" t="s">
        <v>115</v>
      </c>
      <c r="D3143" s="32" t="s">
        <v>4342</v>
      </c>
      <c r="E3143" s="4" t="n">
        <v>12</v>
      </c>
      <c r="F3143" s="4" t="s">
        <v>213</v>
      </c>
      <c r="G3143" s="4" t="s">
        <v>556</v>
      </c>
      <c r="H3143" s="4" t="n">
        <v>2023</v>
      </c>
      <c r="I3143" s="4" t="s">
        <v>342</v>
      </c>
      <c r="J3143" s="25" t="str">
        <f aca="false">IF(M3143=1,"✓","")</f>
        <v>✓</v>
      </c>
      <c r="K3143" s="4" t="str">
        <f aca="false">IF(AND(M3143=0,P3143=0),"▶ NEXT","")</f>
        <v/>
      </c>
      <c r="L3143" s="4" t="n">
        <f aca="false">INDEX('Master List'!$F$2:$F$2594,O3143)</f>
        <v>3</v>
      </c>
      <c r="M3143" s="4" t="n">
        <f aca="false">INDEX('Master List'!$G$2:$G$2594,O3143)</f>
        <v>1</v>
      </c>
      <c r="N3143" s="4" t="str">
        <f aca="false">IF(K3143="","",A3143)</f>
        <v/>
      </c>
      <c r="O3143" s="4" t="n">
        <v>1689</v>
      </c>
      <c r="P3143" s="4" t="n">
        <f aca="false">IF(A3143=A3142,P3142+1-M3142,0)</f>
        <v>8</v>
      </c>
    </row>
    <row r="3144" customFormat="false" ht="15" hidden="false" customHeight="false" outlineLevel="0" collapsed="false">
      <c r="A3144" s="32" t="s">
        <v>4341</v>
      </c>
      <c r="B3144" s="32" t="s">
        <v>55</v>
      </c>
      <c r="C3144" s="32" t="s">
        <v>115</v>
      </c>
      <c r="D3144" s="32" t="s">
        <v>4342</v>
      </c>
      <c r="E3144" s="4" t="n">
        <v>13</v>
      </c>
      <c r="F3144" s="4" t="s">
        <v>1327</v>
      </c>
      <c r="G3144" s="4" t="s">
        <v>3659</v>
      </c>
      <c r="H3144" s="4" t="n">
        <v>1989</v>
      </c>
      <c r="I3144" s="4" t="s">
        <v>1986</v>
      </c>
      <c r="J3144" s="25" t="str">
        <f aca="false">IF(M3144=1,"✓","")</f>
        <v/>
      </c>
      <c r="K3144" s="4" t="str">
        <f aca="false">IF(AND(M3144=0,P3144=0),"▶ NEXT","")</f>
        <v/>
      </c>
      <c r="L3144" s="4" t="n">
        <f aca="false">INDEX('Master List'!$F$2:$F$2594,O3144)</f>
        <v>1</v>
      </c>
      <c r="M3144" s="4" t="n">
        <f aca="false">INDEX('Master List'!$G$2:$G$2594,O3144)</f>
        <v>0</v>
      </c>
      <c r="N3144" s="4" t="str">
        <f aca="false">IF(K3144="","",A3144)</f>
        <v/>
      </c>
      <c r="O3144" s="4" t="n">
        <v>270</v>
      </c>
      <c r="P3144" s="4" t="n">
        <f aca="false">IF(A3144=A3143,P3143+1-M3143,0)</f>
        <v>8</v>
      </c>
    </row>
    <row r="3145" customFormat="false" ht="15" hidden="false" customHeight="false" outlineLevel="0" collapsed="false">
      <c r="A3145" s="32" t="s">
        <v>4341</v>
      </c>
      <c r="B3145" s="32" t="s">
        <v>55</v>
      </c>
      <c r="C3145" s="32" t="s">
        <v>115</v>
      </c>
      <c r="D3145" s="32" t="s">
        <v>4342</v>
      </c>
      <c r="E3145" s="4" t="n">
        <v>14</v>
      </c>
      <c r="F3145" s="4" t="s">
        <v>1327</v>
      </c>
      <c r="G3145" s="4" t="s">
        <v>3618</v>
      </c>
      <c r="H3145" s="4" t="n">
        <v>1983</v>
      </c>
      <c r="I3145" s="4" t="s">
        <v>3619</v>
      </c>
      <c r="J3145" s="25" t="str">
        <f aca="false">IF(M3145=1,"✓","")</f>
        <v/>
      </c>
      <c r="K3145" s="4" t="str">
        <f aca="false">IF(AND(M3145=0,P3145=0),"▶ NEXT","")</f>
        <v/>
      </c>
      <c r="L3145" s="4" t="n">
        <f aca="false">INDEX('Master List'!$F$2:$F$2594,O3145)</f>
        <v>1</v>
      </c>
      <c r="M3145" s="4" t="n">
        <f aca="false">INDEX('Master List'!$G$2:$G$2594,O3145)</f>
        <v>0</v>
      </c>
      <c r="N3145" s="4" t="str">
        <f aca="false">IF(K3145="","",A3145)</f>
        <v/>
      </c>
      <c r="O3145" s="4" t="n">
        <v>2258</v>
      </c>
      <c r="P3145" s="4" t="n">
        <f aca="false">IF(A3145=A3144,P3144+1-M3144,0)</f>
        <v>9</v>
      </c>
    </row>
    <row r="3146" customFormat="false" ht="15" hidden="false" customHeight="false" outlineLevel="0" collapsed="false">
      <c r="A3146" s="32" t="s">
        <v>4343</v>
      </c>
      <c r="B3146" s="32" t="s">
        <v>55</v>
      </c>
      <c r="C3146" s="32" t="s">
        <v>116</v>
      </c>
      <c r="D3146" s="32" t="s">
        <v>4344</v>
      </c>
      <c r="E3146" s="4" t="n">
        <v>1</v>
      </c>
      <c r="F3146" s="4" t="s">
        <v>144</v>
      </c>
      <c r="G3146" s="7" t="s">
        <v>149</v>
      </c>
      <c r="H3146" s="4" t="n">
        <v>1959</v>
      </c>
      <c r="I3146" s="4" t="s">
        <v>150</v>
      </c>
      <c r="J3146" s="25" t="str">
        <f aca="false">IF(M3146=1,"✓","")</f>
        <v/>
      </c>
      <c r="K3146" s="4" t="str">
        <f aca="false">IF(AND(M3146=0,P3146=0),"▶ NEXT","")</f>
        <v>▶ NEXT</v>
      </c>
      <c r="L3146" s="4" t="n">
        <f aca="false">INDEX('Master List'!$F$2:$F$2594,O3146)</f>
        <v>8</v>
      </c>
      <c r="M3146" s="4" t="n">
        <f aca="false">INDEX('Master List'!$G$2:$G$2594,O3146)</f>
        <v>0</v>
      </c>
      <c r="N3146" s="4" t="str">
        <f aca="false">IF(K3146="","",A3146)</f>
        <v>N260</v>
      </c>
      <c r="O3146" s="4" t="n">
        <v>25</v>
      </c>
      <c r="P3146" s="4" t="n">
        <f aca="false">IF(A3146=A3145,P3145+1-M3145,0)</f>
        <v>0</v>
      </c>
    </row>
    <row r="3147" customFormat="false" ht="15" hidden="false" customHeight="false" outlineLevel="0" collapsed="false">
      <c r="A3147" s="32" t="s">
        <v>4343</v>
      </c>
      <c r="B3147" s="32" t="s">
        <v>55</v>
      </c>
      <c r="C3147" s="32" t="s">
        <v>116</v>
      </c>
      <c r="D3147" s="32" t="s">
        <v>4344</v>
      </c>
      <c r="E3147" s="4" t="n">
        <v>2</v>
      </c>
      <c r="F3147" s="4" t="s">
        <v>144</v>
      </c>
      <c r="G3147" s="7" t="s">
        <v>1534</v>
      </c>
      <c r="H3147" s="4" t="n">
        <v>1986</v>
      </c>
      <c r="I3147" s="4" t="s">
        <v>822</v>
      </c>
      <c r="J3147" s="25" t="str">
        <f aca="false">IF(M3147=1,"✓","")</f>
        <v>✓</v>
      </c>
      <c r="K3147" s="4" t="str">
        <f aca="false">IF(AND(M3147=0,P3147=0),"▶ NEXT","")</f>
        <v/>
      </c>
      <c r="L3147" s="4" t="n">
        <f aca="false">INDEX('Master List'!$F$2:$F$2594,O3147)</f>
        <v>1</v>
      </c>
      <c r="M3147" s="4" t="n">
        <f aca="false">INDEX('Master List'!$G$2:$G$2594,O3147)</f>
        <v>1</v>
      </c>
      <c r="N3147" s="4" t="str">
        <f aca="false">IF(K3147="","",A3147)</f>
        <v/>
      </c>
      <c r="O3147" s="4" t="n">
        <v>2147</v>
      </c>
      <c r="P3147" s="4" t="n">
        <f aca="false">IF(A3147=A3146,P3146+1-M3146,0)</f>
        <v>1</v>
      </c>
    </row>
    <row r="3148" customFormat="false" ht="15" hidden="false" customHeight="false" outlineLevel="0" collapsed="false">
      <c r="A3148" s="32" t="s">
        <v>4343</v>
      </c>
      <c r="B3148" s="32" t="s">
        <v>55</v>
      </c>
      <c r="C3148" s="32" t="s">
        <v>116</v>
      </c>
      <c r="D3148" s="32" t="s">
        <v>4344</v>
      </c>
      <c r="E3148" s="4" t="n">
        <v>3</v>
      </c>
      <c r="F3148" s="4" t="s">
        <v>213</v>
      </c>
      <c r="G3148" s="4" t="s">
        <v>269</v>
      </c>
      <c r="H3148" s="4" t="n">
        <v>1955</v>
      </c>
      <c r="I3148" s="4" t="s">
        <v>270</v>
      </c>
      <c r="J3148" s="25" t="str">
        <f aca="false">IF(M3148=1,"✓","")</f>
        <v/>
      </c>
      <c r="K3148" s="4" t="str">
        <f aca="false">IF(AND(M3148=0,P3148=0),"▶ NEXT","")</f>
        <v/>
      </c>
      <c r="L3148" s="4" t="n">
        <f aca="false">INDEX('Master List'!$F$2:$F$2594,O3148)</f>
        <v>5</v>
      </c>
      <c r="M3148" s="4" t="n">
        <f aca="false">INDEX('Master List'!$G$2:$G$2594,O3148)</f>
        <v>0</v>
      </c>
      <c r="N3148" s="4" t="str">
        <f aca="false">IF(K3148="","",A3148)</f>
        <v/>
      </c>
      <c r="O3148" s="4" t="n">
        <v>1868</v>
      </c>
      <c r="P3148" s="4" t="n">
        <f aca="false">IF(A3148=A3147,P3147+1-M3147,0)</f>
        <v>1</v>
      </c>
    </row>
    <row r="3149" customFormat="false" ht="15" hidden="false" customHeight="false" outlineLevel="0" collapsed="false">
      <c r="A3149" s="32" t="s">
        <v>4343</v>
      </c>
      <c r="B3149" s="32" t="s">
        <v>55</v>
      </c>
      <c r="C3149" s="32" t="s">
        <v>116</v>
      </c>
      <c r="D3149" s="32" t="s">
        <v>4344</v>
      </c>
      <c r="E3149" s="4" t="n">
        <v>4</v>
      </c>
      <c r="F3149" s="4" t="s">
        <v>213</v>
      </c>
      <c r="G3149" s="4" t="s">
        <v>358</v>
      </c>
      <c r="H3149" s="4" t="n">
        <v>1969</v>
      </c>
      <c r="I3149" s="4" t="s">
        <v>359</v>
      </c>
      <c r="J3149" s="25" t="str">
        <f aca="false">IF(M3149=1,"✓","")</f>
        <v/>
      </c>
      <c r="K3149" s="4" t="str">
        <f aca="false">IF(AND(M3149=0,P3149=0),"▶ NEXT","")</f>
        <v/>
      </c>
      <c r="L3149" s="4" t="n">
        <f aca="false">INDEX('Master List'!$F$2:$F$2594,O3149)</f>
        <v>4</v>
      </c>
      <c r="M3149" s="4" t="n">
        <f aca="false">INDEX('Master List'!$G$2:$G$2594,O3149)</f>
        <v>0</v>
      </c>
      <c r="N3149" s="4" t="str">
        <f aca="false">IF(K3149="","",A3149)</f>
        <v/>
      </c>
      <c r="O3149" s="4" t="n">
        <v>1236</v>
      </c>
      <c r="P3149" s="4" t="n">
        <f aca="false">IF(A3149=A3148,P3148+1-M3148,0)</f>
        <v>2</v>
      </c>
    </row>
    <row r="3150" customFormat="false" ht="15" hidden="false" customHeight="false" outlineLevel="0" collapsed="false">
      <c r="A3150" s="32" t="s">
        <v>4343</v>
      </c>
      <c r="B3150" s="32" t="s">
        <v>55</v>
      </c>
      <c r="C3150" s="32" t="s">
        <v>116</v>
      </c>
      <c r="D3150" s="32" t="s">
        <v>4344</v>
      </c>
      <c r="E3150" s="4" t="n">
        <v>5</v>
      </c>
      <c r="F3150" s="4" t="s">
        <v>213</v>
      </c>
      <c r="G3150" s="4" t="s">
        <v>392</v>
      </c>
      <c r="H3150" s="4" t="n">
        <v>1973</v>
      </c>
      <c r="I3150" s="4" t="s">
        <v>257</v>
      </c>
      <c r="J3150" s="25" t="str">
        <f aca="false">IF(M3150=1,"✓","")</f>
        <v/>
      </c>
      <c r="K3150" s="4" t="str">
        <f aca="false">IF(AND(M3150=0,P3150=0),"▶ NEXT","")</f>
        <v/>
      </c>
      <c r="L3150" s="4" t="n">
        <f aca="false">INDEX('Master List'!$F$2:$F$2594,O3150)</f>
        <v>4</v>
      </c>
      <c r="M3150" s="4" t="n">
        <f aca="false">INDEX('Master List'!$G$2:$G$2594,O3150)</f>
        <v>0</v>
      </c>
      <c r="N3150" s="4" t="str">
        <f aca="false">IF(K3150="","",A3150)</f>
        <v/>
      </c>
      <c r="O3150" s="4" t="n">
        <v>89</v>
      </c>
      <c r="P3150" s="4" t="n">
        <f aca="false">IF(A3150=A3149,P3149+1-M3149,0)</f>
        <v>3</v>
      </c>
    </row>
    <row r="3151" customFormat="false" ht="15" hidden="false" customHeight="false" outlineLevel="0" collapsed="false">
      <c r="A3151" s="32" t="s">
        <v>4343</v>
      </c>
      <c r="B3151" s="32" t="s">
        <v>55</v>
      </c>
      <c r="C3151" s="32" t="s">
        <v>116</v>
      </c>
      <c r="D3151" s="32" t="s">
        <v>4344</v>
      </c>
      <c r="E3151" s="4" t="n">
        <v>6</v>
      </c>
      <c r="F3151" s="4" t="s">
        <v>213</v>
      </c>
      <c r="G3151" s="4" t="s">
        <v>792</v>
      </c>
      <c r="H3151" s="4" t="n">
        <v>1973</v>
      </c>
      <c r="I3151" s="4" t="s">
        <v>793</v>
      </c>
      <c r="J3151" s="25" t="str">
        <f aca="false">IF(M3151=1,"✓","")</f>
        <v/>
      </c>
      <c r="K3151" s="4" t="str">
        <f aca="false">IF(AND(M3151=0,P3151=0),"▶ NEXT","")</f>
        <v/>
      </c>
      <c r="L3151" s="4" t="n">
        <f aca="false">INDEX('Master List'!$F$2:$F$2594,O3151)</f>
        <v>2</v>
      </c>
      <c r="M3151" s="4" t="n">
        <f aca="false">INDEX('Master List'!$G$2:$G$2594,O3151)</f>
        <v>0</v>
      </c>
      <c r="N3151" s="4" t="str">
        <f aca="false">IF(K3151="","",A3151)</f>
        <v/>
      </c>
      <c r="O3151" s="4" t="n">
        <v>2134</v>
      </c>
      <c r="P3151" s="4" t="n">
        <f aca="false">IF(A3151=A3150,P3150+1-M3150,0)</f>
        <v>4</v>
      </c>
    </row>
    <row r="3152" customFormat="false" ht="15" hidden="false" customHeight="false" outlineLevel="0" collapsed="false">
      <c r="A3152" s="32" t="s">
        <v>4343</v>
      </c>
      <c r="B3152" s="32" t="s">
        <v>55</v>
      </c>
      <c r="C3152" s="32" t="s">
        <v>116</v>
      </c>
      <c r="D3152" s="32" t="s">
        <v>4344</v>
      </c>
      <c r="E3152" s="4" t="n">
        <v>7</v>
      </c>
      <c r="F3152" s="4" t="s">
        <v>213</v>
      </c>
      <c r="G3152" s="4" t="s">
        <v>2421</v>
      </c>
      <c r="H3152" s="4" t="n">
        <v>1985</v>
      </c>
      <c r="I3152" s="4" t="s">
        <v>2422</v>
      </c>
      <c r="J3152" s="25" t="str">
        <f aca="false">IF(M3152=1,"✓","")</f>
        <v/>
      </c>
      <c r="K3152" s="4" t="str">
        <f aca="false">IF(AND(M3152=0,P3152=0),"▶ NEXT","")</f>
        <v/>
      </c>
      <c r="L3152" s="4" t="n">
        <f aca="false">INDEX('Master List'!$F$2:$F$2594,O3152)</f>
        <v>1</v>
      </c>
      <c r="M3152" s="4" t="n">
        <f aca="false">INDEX('Master List'!$G$2:$G$2594,O3152)</f>
        <v>0</v>
      </c>
      <c r="N3152" s="4" t="str">
        <f aca="false">IF(K3152="","",A3152)</f>
        <v/>
      </c>
      <c r="O3152" s="4" t="n">
        <v>1572</v>
      </c>
      <c r="P3152" s="4" t="n">
        <f aca="false">IF(A3152=A3151,P3151+1-M3151,0)</f>
        <v>5</v>
      </c>
    </row>
    <row r="3153" customFormat="false" ht="15" hidden="false" customHeight="false" outlineLevel="0" collapsed="false">
      <c r="A3153" s="32" t="s">
        <v>4343</v>
      </c>
      <c r="B3153" s="32" t="s">
        <v>55</v>
      </c>
      <c r="C3153" s="32" t="s">
        <v>116</v>
      </c>
      <c r="D3153" s="32" t="s">
        <v>4344</v>
      </c>
      <c r="E3153" s="4" t="n">
        <v>8</v>
      </c>
      <c r="F3153" s="4" t="s">
        <v>213</v>
      </c>
      <c r="G3153" s="4" t="s">
        <v>319</v>
      </c>
      <c r="H3153" s="4" t="n">
        <v>1993</v>
      </c>
      <c r="I3153" s="4" t="s">
        <v>320</v>
      </c>
      <c r="J3153" s="25" t="str">
        <f aca="false">IF(M3153=1,"✓","")</f>
        <v>✓</v>
      </c>
      <c r="K3153" s="4" t="str">
        <f aca="false">IF(AND(M3153=0,P3153=0),"▶ NEXT","")</f>
        <v/>
      </c>
      <c r="L3153" s="4" t="n">
        <f aca="false">INDEX('Master List'!$F$2:$F$2594,O3153)</f>
        <v>4</v>
      </c>
      <c r="M3153" s="4" t="n">
        <f aca="false">INDEX('Master List'!$G$2:$G$2594,O3153)</f>
        <v>1</v>
      </c>
      <c r="N3153" s="4" t="str">
        <f aca="false">IF(K3153="","",A3153)</f>
        <v/>
      </c>
      <c r="O3153" s="4" t="n">
        <v>582</v>
      </c>
      <c r="P3153" s="4" t="n">
        <f aca="false">IF(A3153=A3152,P3152+1-M3152,0)</f>
        <v>6</v>
      </c>
    </row>
    <row r="3154" customFormat="false" ht="15" hidden="false" customHeight="false" outlineLevel="0" collapsed="false">
      <c r="A3154" s="32" t="s">
        <v>4343</v>
      </c>
      <c r="B3154" s="32" t="s">
        <v>55</v>
      </c>
      <c r="C3154" s="32" t="s">
        <v>116</v>
      </c>
      <c r="D3154" s="32" t="s">
        <v>4344</v>
      </c>
      <c r="E3154" s="4" t="n">
        <v>9</v>
      </c>
      <c r="F3154" s="4" t="s">
        <v>213</v>
      </c>
      <c r="G3154" s="4" t="s">
        <v>712</v>
      </c>
      <c r="H3154" s="4" t="n">
        <v>1999</v>
      </c>
      <c r="I3154" s="4" t="s">
        <v>713</v>
      </c>
      <c r="J3154" s="25" t="str">
        <f aca="false">IF(M3154=1,"✓","")</f>
        <v/>
      </c>
      <c r="K3154" s="4" t="str">
        <f aca="false">IF(AND(M3154=0,P3154=0),"▶ NEXT","")</f>
        <v/>
      </c>
      <c r="L3154" s="4" t="n">
        <f aca="false">INDEX('Master List'!$F$2:$F$2594,O3154)</f>
        <v>3</v>
      </c>
      <c r="M3154" s="4" t="n">
        <f aca="false">INDEX('Master List'!$G$2:$G$2594,O3154)</f>
        <v>0</v>
      </c>
      <c r="N3154" s="4" t="str">
        <f aca="false">IF(K3154="","",A3154)</f>
        <v/>
      </c>
      <c r="O3154" s="4" t="n">
        <v>1862</v>
      </c>
      <c r="P3154" s="4" t="n">
        <f aca="false">IF(A3154=A3153,P3153+1-M3153,0)</f>
        <v>6</v>
      </c>
    </row>
    <row r="3155" customFormat="false" ht="15" hidden="false" customHeight="false" outlineLevel="0" collapsed="false">
      <c r="A3155" s="32" t="s">
        <v>4343</v>
      </c>
      <c r="B3155" s="32" t="s">
        <v>55</v>
      </c>
      <c r="C3155" s="32" t="s">
        <v>116</v>
      </c>
      <c r="D3155" s="32" t="s">
        <v>4344</v>
      </c>
      <c r="E3155" s="4" t="n">
        <v>10</v>
      </c>
      <c r="F3155" s="4" t="s">
        <v>213</v>
      </c>
      <c r="G3155" s="4" t="s">
        <v>851</v>
      </c>
      <c r="H3155" s="4" t="n">
        <v>2001</v>
      </c>
      <c r="I3155" s="4" t="s">
        <v>384</v>
      </c>
      <c r="J3155" s="25" t="str">
        <f aca="false">IF(M3155=1,"✓","")</f>
        <v/>
      </c>
      <c r="K3155" s="4" t="str">
        <f aca="false">IF(AND(M3155=0,P3155=0),"▶ NEXT","")</f>
        <v/>
      </c>
      <c r="L3155" s="4" t="n">
        <f aca="false">INDEX('Master List'!$F$2:$F$2594,O3155)</f>
        <v>2</v>
      </c>
      <c r="M3155" s="4" t="n">
        <f aca="false">INDEX('Master List'!$G$2:$G$2594,O3155)</f>
        <v>0</v>
      </c>
      <c r="N3155" s="4" t="str">
        <f aca="false">IF(K3155="","",A3155)</f>
        <v/>
      </c>
      <c r="O3155" s="4" t="n">
        <v>2563</v>
      </c>
      <c r="P3155" s="4" t="n">
        <f aca="false">IF(A3155=A3154,P3154+1-M3154,0)</f>
        <v>7</v>
      </c>
    </row>
    <row r="3156" customFormat="false" ht="15" hidden="false" customHeight="false" outlineLevel="0" collapsed="false">
      <c r="A3156" s="32" t="s">
        <v>4343</v>
      </c>
      <c r="B3156" s="32" t="s">
        <v>55</v>
      </c>
      <c r="C3156" s="32" t="s">
        <v>116</v>
      </c>
      <c r="D3156" s="32" t="s">
        <v>4344</v>
      </c>
      <c r="E3156" s="4" t="n">
        <v>11</v>
      </c>
      <c r="F3156" s="4" t="s">
        <v>213</v>
      </c>
      <c r="G3156" s="4" t="s">
        <v>525</v>
      </c>
      <c r="H3156" s="4" t="n">
        <v>2014</v>
      </c>
      <c r="I3156" s="4" t="s">
        <v>320</v>
      </c>
      <c r="J3156" s="25" t="str">
        <f aca="false">IF(M3156=1,"✓","")</f>
        <v/>
      </c>
      <c r="K3156" s="4" t="str">
        <f aca="false">IF(AND(M3156=0,P3156=0),"▶ NEXT","")</f>
        <v/>
      </c>
      <c r="L3156" s="4" t="n">
        <f aca="false">INDEX('Master List'!$F$2:$F$2594,O3156)</f>
        <v>3</v>
      </c>
      <c r="M3156" s="4" t="n">
        <f aca="false">INDEX('Master List'!$G$2:$G$2594,O3156)</f>
        <v>0</v>
      </c>
      <c r="N3156" s="4" t="str">
        <f aca="false">IF(K3156="","",A3156)</f>
        <v/>
      </c>
      <c r="O3156" s="4" t="n">
        <v>330</v>
      </c>
      <c r="P3156" s="4" t="n">
        <f aca="false">IF(A3156=A3155,P3155+1-M3155,0)</f>
        <v>8</v>
      </c>
    </row>
    <row r="3157" customFormat="false" ht="15" hidden="false" customHeight="false" outlineLevel="0" collapsed="false">
      <c r="A3157" s="32" t="s">
        <v>4343</v>
      </c>
      <c r="B3157" s="32" t="s">
        <v>55</v>
      </c>
      <c r="C3157" s="32" t="s">
        <v>116</v>
      </c>
      <c r="D3157" s="32" t="s">
        <v>4344</v>
      </c>
      <c r="E3157" s="4" t="n">
        <v>12</v>
      </c>
      <c r="F3157" s="4" t="s">
        <v>213</v>
      </c>
      <c r="G3157" s="4" t="s">
        <v>165</v>
      </c>
      <c r="H3157" s="4" t="n">
        <v>2016</v>
      </c>
      <c r="I3157" s="4" t="s">
        <v>166</v>
      </c>
      <c r="J3157" s="25" t="str">
        <f aca="false">IF(M3157=1,"✓","")</f>
        <v>✓</v>
      </c>
      <c r="K3157" s="4" t="str">
        <f aca="false">IF(AND(M3157=0,P3157=0),"▶ NEXT","")</f>
        <v/>
      </c>
      <c r="L3157" s="4" t="n">
        <f aca="false">INDEX('Master List'!$F$2:$F$2594,O3157)</f>
        <v>8</v>
      </c>
      <c r="M3157" s="4" t="n">
        <f aca="false">INDEX('Master List'!$G$2:$G$2594,O3157)</f>
        <v>1</v>
      </c>
      <c r="N3157" s="4" t="str">
        <f aca="false">IF(K3157="","",A3157)</f>
        <v/>
      </c>
      <c r="O3157" s="4" t="n">
        <v>1532</v>
      </c>
      <c r="P3157" s="4" t="n">
        <f aca="false">IF(A3157=A3156,P3156+1-M3156,0)</f>
        <v>9</v>
      </c>
    </row>
    <row r="3158" customFormat="false" ht="15" hidden="false" customHeight="false" outlineLevel="0" collapsed="false">
      <c r="A3158" s="32" t="s">
        <v>4343</v>
      </c>
      <c r="B3158" s="32" t="s">
        <v>55</v>
      </c>
      <c r="C3158" s="32" t="s">
        <v>116</v>
      </c>
      <c r="D3158" s="32" t="s">
        <v>4344</v>
      </c>
      <c r="E3158" s="4" t="n">
        <v>13</v>
      </c>
      <c r="F3158" s="4" t="s">
        <v>213</v>
      </c>
      <c r="G3158" s="4" t="s">
        <v>1239</v>
      </c>
      <c r="H3158" s="4" t="n">
        <v>2017</v>
      </c>
      <c r="I3158" s="4" t="s">
        <v>1240</v>
      </c>
      <c r="J3158" s="25" t="str">
        <f aca="false">IF(M3158=1,"✓","")</f>
        <v>✓</v>
      </c>
      <c r="K3158" s="4" t="str">
        <f aca="false">IF(AND(M3158=0,P3158=0),"▶ NEXT","")</f>
        <v/>
      </c>
      <c r="L3158" s="4" t="n">
        <f aca="false">INDEX('Master List'!$F$2:$F$2594,O3158)</f>
        <v>2</v>
      </c>
      <c r="M3158" s="4" t="n">
        <f aca="false">INDEX('Master List'!$G$2:$G$2594,O3158)</f>
        <v>1</v>
      </c>
      <c r="N3158" s="4" t="str">
        <f aca="false">IF(K3158="","",A3158)</f>
        <v/>
      </c>
      <c r="O3158" s="4" t="n">
        <v>1278</v>
      </c>
      <c r="P3158" s="4" t="n">
        <f aca="false">IF(A3158=A3157,P3157+1-M3157,0)</f>
        <v>9</v>
      </c>
    </row>
    <row r="3159" customFormat="false" ht="15" hidden="false" customHeight="false" outlineLevel="0" collapsed="false">
      <c r="A3159" s="32" t="s">
        <v>4343</v>
      </c>
      <c r="B3159" s="32" t="s">
        <v>55</v>
      </c>
      <c r="C3159" s="32" t="s">
        <v>116</v>
      </c>
      <c r="D3159" s="32" t="s">
        <v>4344</v>
      </c>
      <c r="E3159" s="4" t="n">
        <v>14</v>
      </c>
      <c r="F3159" s="4" t="s">
        <v>213</v>
      </c>
      <c r="G3159" s="4" t="s">
        <v>3156</v>
      </c>
      <c r="H3159" s="4" t="n">
        <v>2018</v>
      </c>
      <c r="I3159" s="4" t="s">
        <v>3157</v>
      </c>
      <c r="J3159" s="25" t="str">
        <f aca="false">IF(M3159=1,"✓","")</f>
        <v/>
      </c>
      <c r="K3159" s="4" t="str">
        <f aca="false">IF(AND(M3159=0,P3159=0),"▶ NEXT","")</f>
        <v/>
      </c>
      <c r="L3159" s="4" t="n">
        <f aca="false">INDEX('Master List'!$F$2:$F$2594,O3159)</f>
        <v>1</v>
      </c>
      <c r="M3159" s="4" t="n">
        <f aca="false">INDEX('Master List'!$G$2:$G$2594,O3159)</f>
        <v>0</v>
      </c>
      <c r="N3159" s="4" t="str">
        <f aca="false">IF(K3159="","",A3159)</f>
        <v/>
      </c>
      <c r="O3159" s="4" t="n">
        <v>714</v>
      </c>
      <c r="P3159" s="4" t="n">
        <f aca="false">IF(A3159=A3158,P3158+1-M3158,0)</f>
        <v>9</v>
      </c>
    </row>
    <row r="3160" customFormat="false" ht="15" hidden="false" customHeight="false" outlineLevel="0" collapsed="false">
      <c r="A3160" s="32" t="s">
        <v>4343</v>
      </c>
      <c r="B3160" s="32" t="s">
        <v>55</v>
      </c>
      <c r="C3160" s="32" t="s">
        <v>116</v>
      </c>
      <c r="D3160" s="32" t="s">
        <v>4344</v>
      </c>
      <c r="E3160" s="4" t="n">
        <v>15</v>
      </c>
      <c r="F3160" s="4" t="s">
        <v>213</v>
      </c>
      <c r="G3160" s="4" t="s">
        <v>211</v>
      </c>
      <c r="H3160" s="4" t="n">
        <v>2022</v>
      </c>
      <c r="I3160" s="4" t="s">
        <v>212</v>
      </c>
      <c r="J3160" s="25" t="str">
        <f aca="false">IF(M3160=1,"✓","")</f>
        <v/>
      </c>
      <c r="K3160" s="4" t="str">
        <f aca="false">IF(AND(M3160=0,P3160=0),"▶ NEXT","")</f>
        <v/>
      </c>
      <c r="L3160" s="4" t="n">
        <f aca="false">INDEX('Master List'!$F$2:$F$2594,O3160)</f>
        <v>7</v>
      </c>
      <c r="M3160" s="4" t="n">
        <f aca="false">INDEX('Master List'!$G$2:$G$2594,O3160)</f>
        <v>0</v>
      </c>
      <c r="N3160" s="4" t="str">
        <f aca="false">IF(K3160="","",A3160)</f>
        <v/>
      </c>
      <c r="O3160" s="4" t="n">
        <v>53</v>
      </c>
      <c r="P3160" s="4" t="n">
        <f aca="false">IF(A3160=A3159,P3159+1-M3159,0)</f>
        <v>10</v>
      </c>
    </row>
    <row r="3161" customFormat="false" ht="15" hidden="false" customHeight="false" outlineLevel="0" collapsed="false">
      <c r="A3161" s="32" t="s">
        <v>4343</v>
      </c>
      <c r="B3161" s="32" t="s">
        <v>55</v>
      </c>
      <c r="C3161" s="32" t="s">
        <v>116</v>
      </c>
      <c r="D3161" s="32" t="s">
        <v>4344</v>
      </c>
      <c r="E3161" s="4" t="n">
        <v>16</v>
      </c>
      <c r="F3161" s="4" t="s">
        <v>1327</v>
      </c>
      <c r="G3161" s="4" t="s">
        <v>3726</v>
      </c>
      <c r="H3161" s="4" t="n">
        <v>2001</v>
      </c>
      <c r="I3161" s="4" t="s">
        <v>3727</v>
      </c>
      <c r="J3161" s="25" t="str">
        <f aca="false">IF(M3161=1,"✓","")</f>
        <v/>
      </c>
      <c r="K3161" s="4" t="str">
        <f aca="false">IF(AND(M3161=0,P3161=0),"▶ NEXT","")</f>
        <v/>
      </c>
      <c r="L3161" s="4" t="n">
        <f aca="false">INDEX('Master List'!$F$2:$F$2594,O3161)</f>
        <v>1</v>
      </c>
      <c r="M3161" s="4" t="n">
        <f aca="false">INDEX('Master List'!$G$2:$G$2594,O3161)</f>
        <v>0</v>
      </c>
      <c r="N3161" s="4" t="str">
        <f aca="false">IF(K3161="","",A3161)</f>
        <v/>
      </c>
      <c r="O3161" s="4" t="n">
        <v>790</v>
      </c>
      <c r="P3161" s="4" t="n">
        <f aca="false">IF(A3161=A3160,P3160+1-M3160,0)</f>
        <v>11</v>
      </c>
    </row>
    <row r="3162" customFormat="false" ht="15" hidden="false" customHeight="false" outlineLevel="0" collapsed="false">
      <c r="A3162" s="32" t="s">
        <v>4343</v>
      </c>
      <c r="B3162" s="32" t="s">
        <v>55</v>
      </c>
      <c r="C3162" s="32" t="s">
        <v>116</v>
      </c>
      <c r="D3162" s="32" t="s">
        <v>4344</v>
      </c>
      <c r="E3162" s="4" t="n">
        <v>17</v>
      </c>
      <c r="F3162" s="4" t="s">
        <v>1327</v>
      </c>
      <c r="G3162" s="4" t="s">
        <v>1593</v>
      </c>
      <c r="H3162" s="4" t="n">
        <v>2005</v>
      </c>
      <c r="I3162" s="4" t="s">
        <v>870</v>
      </c>
      <c r="J3162" s="25" t="str">
        <f aca="false">IF(M3162=1,"✓","")</f>
        <v>✓</v>
      </c>
      <c r="K3162" s="4" t="str">
        <f aca="false">IF(AND(M3162=0,P3162=0),"▶ NEXT","")</f>
        <v/>
      </c>
      <c r="L3162" s="4" t="n">
        <f aca="false">INDEX('Master List'!$F$2:$F$2594,O3162)</f>
        <v>2</v>
      </c>
      <c r="M3162" s="4" t="n">
        <f aca="false">INDEX('Master List'!$G$2:$G$2594,O3162)</f>
        <v>1</v>
      </c>
      <c r="N3162" s="4" t="str">
        <f aca="false">IF(K3162="","",A3162)</f>
        <v/>
      </c>
      <c r="O3162" s="4" t="n">
        <v>2142</v>
      </c>
      <c r="P3162" s="4" t="n">
        <f aca="false">IF(A3162=A3161,P3161+1-M3161,0)</f>
        <v>12</v>
      </c>
    </row>
    <row r="3163" customFormat="false" ht="15" hidden="false" customHeight="false" outlineLevel="0" collapsed="false">
      <c r="A3163" s="32" t="s">
        <v>4345</v>
      </c>
      <c r="B3163" s="32" t="s">
        <v>55</v>
      </c>
      <c r="C3163" s="32" t="s">
        <v>116</v>
      </c>
      <c r="D3163" s="32" t="s">
        <v>4346</v>
      </c>
      <c r="E3163" s="4" t="n">
        <v>1</v>
      </c>
      <c r="F3163" s="4" t="s">
        <v>144</v>
      </c>
      <c r="G3163" s="7" t="s">
        <v>882</v>
      </c>
      <c r="H3163" s="4" t="n">
        <v>2023</v>
      </c>
      <c r="I3163" s="4" t="s">
        <v>429</v>
      </c>
      <c r="J3163" s="25" t="str">
        <f aca="false">IF(M3163=1,"✓","")</f>
        <v>✓</v>
      </c>
      <c r="K3163" s="4" t="str">
        <f aca="false">IF(AND(M3163=0,P3163=0),"▶ NEXT","")</f>
        <v/>
      </c>
      <c r="L3163" s="4" t="n">
        <f aca="false">INDEX('Master List'!$F$2:$F$2594,O3163)</f>
        <v>2</v>
      </c>
      <c r="M3163" s="4" t="n">
        <f aca="false">INDEX('Master List'!$G$2:$G$2594,O3163)</f>
        <v>1</v>
      </c>
      <c r="N3163" s="4" t="str">
        <f aca="false">IF(K3163="","",A3163)</f>
        <v/>
      </c>
      <c r="O3163" s="4" t="n">
        <v>1048</v>
      </c>
      <c r="P3163" s="4" t="n">
        <f aca="false">IF(A3163=A3162,P3162+1-M3162,0)</f>
        <v>0</v>
      </c>
    </row>
    <row r="3164" customFormat="false" ht="15" hidden="false" customHeight="false" outlineLevel="0" collapsed="false">
      <c r="A3164" s="32" t="s">
        <v>4345</v>
      </c>
      <c r="B3164" s="32" t="s">
        <v>55</v>
      </c>
      <c r="C3164" s="32" t="s">
        <v>116</v>
      </c>
      <c r="D3164" s="32" t="s">
        <v>4346</v>
      </c>
      <c r="E3164" s="4" t="n">
        <v>2</v>
      </c>
      <c r="F3164" s="4" t="s">
        <v>144</v>
      </c>
      <c r="G3164" s="7" t="s">
        <v>682</v>
      </c>
      <c r="H3164" s="4" t="n">
        <v>1989</v>
      </c>
      <c r="I3164" s="4" t="s">
        <v>439</v>
      </c>
      <c r="J3164" s="25" t="str">
        <f aca="false">IF(M3164=1,"✓","")</f>
        <v>✓</v>
      </c>
      <c r="K3164" s="4" t="str">
        <f aca="false">IF(AND(M3164=0,P3164=0),"▶ NEXT","")</f>
        <v/>
      </c>
      <c r="L3164" s="4" t="n">
        <f aca="false">INDEX('Master List'!$F$2:$F$2594,O3164)</f>
        <v>2</v>
      </c>
      <c r="M3164" s="4" t="n">
        <f aca="false">INDEX('Master List'!$G$2:$G$2594,O3164)</f>
        <v>1</v>
      </c>
      <c r="N3164" s="4" t="str">
        <f aca="false">IF(K3164="","",A3164)</f>
        <v/>
      </c>
      <c r="O3164" s="4" t="n">
        <v>586</v>
      </c>
      <c r="P3164" s="4" t="n">
        <f aca="false">IF(A3164=A3163,P3163+1-M3163,0)</f>
        <v>0</v>
      </c>
    </row>
    <row r="3165" customFormat="false" ht="15" hidden="false" customHeight="false" outlineLevel="0" collapsed="false">
      <c r="A3165" s="32" t="s">
        <v>4345</v>
      </c>
      <c r="B3165" s="32" t="s">
        <v>55</v>
      </c>
      <c r="C3165" s="32" t="s">
        <v>116</v>
      </c>
      <c r="D3165" s="32" t="s">
        <v>4346</v>
      </c>
      <c r="E3165" s="4" t="n">
        <v>3</v>
      </c>
      <c r="F3165" s="4" t="s">
        <v>213</v>
      </c>
      <c r="G3165" s="4" t="s">
        <v>1784</v>
      </c>
      <c r="H3165" s="4" t="n">
        <v>1939</v>
      </c>
      <c r="I3165" s="4" t="s">
        <v>734</v>
      </c>
      <c r="J3165" s="25" t="str">
        <f aca="false">IF(M3165=1,"✓","")</f>
        <v/>
      </c>
      <c r="K3165" s="4" t="str">
        <f aca="false">IF(AND(M3165=0,P3165=0),"▶ NEXT","")</f>
        <v>▶ NEXT</v>
      </c>
      <c r="L3165" s="4" t="n">
        <f aca="false">INDEX('Master List'!$F$2:$F$2594,O3165)</f>
        <v>1</v>
      </c>
      <c r="M3165" s="4" t="n">
        <f aca="false">INDEX('Master List'!$G$2:$G$2594,O3165)</f>
        <v>0</v>
      </c>
      <c r="N3165" s="4" t="str">
        <f aca="false">IF(K3165="","",A3165)</f>
        <v>N261</v>
      </c>
      <c r="O3165" s="4" t="n">
        <v>934</v>
      </c>
      <c r="P3165" s="4" t="n">
        <f aca="false">IF(A3165=A3164,P3164+1-M3164,0)</f>
        <v>0</v>
      </c>
    </row>
    <row r="3166" customFormat="false" ht="15" hidden="false" customHeight="false" outlineLevel="0" collapsed="false">
      <c r="A3166" s="32" t="s">
        <v>4345</v>
      </c>
      <c r="B3166" s="32" t="s">
        <v>55</v>
      </c>
      <c r="C3166" s="32" t="s">
        <v>116</v>
      </c>
      <c r="D3166" s="32" t="s">
        <v>4346</v>
      </c>
      <c r="E3166" s="4" t="n">
        <v>4</v>
      </c>
      <c r="F3166" s="4" t="s">
        <v>213</v>
      </c>
      <c r="G3166" s="4" t="s">
        <v>1928</v>
      </c>
      <c r="H3166" s="4" t="n">
        <v>1955</v>
      </c>
      <c r="I3166" s="4" t="s">
        <v>1929</v>
      </c>
      <c r="J3166" s="25" t="str">
        <f aca="false">IF(M3166=1,"✓","")</f>
        <v/>
      </c>
      <c r="K3166" s="4" t="str">
        <f aca="false">IF(AND(M3166=0,P3166=0),"▶ NEXT","")</f>
        <v/>
      </c>
      <c r="L3166" s="4" t="n">
        <f aca="false">INDEX('Master List'!$F$2:$F$2594,O3166)</f>
        <v>1</v>
      </c>
      <c r="M3166" s="4" t="n">
        <f aca="false">INDEX('Master List'!$G$2:$G$2594,O3166)</f>
        <v>0</v>
      </c>
      <c r="N3166" s="4" t="str">
        <f aca="false">IF(K3166="","",A3166)</f>
        <v/>
      </c>
      <c r="O3166" s="4" t="n">
        <v>274</v>
      </c>
      <c r="P3166" s="4" t="n">
        <f aca="false">IF(A3166=A3165,P3165+1-M3165,0)</f>
        <v>1</v>
      </c>
    </row>
    <row r="3167" customFormat="false" ht="15" hidden="false" customHeight="false" outlineLevel="0" collapsed="false">
      <c r="A3167" s="32" t="s">
        <v>4345</v>
      </c>
      <c r="B3167" s="32" t="s">
        <v>55</v>
      </c>
      <c r="C3167" s="32" t="s">
        <v>116</v>
      </c>
      <c r="D3167" s="32" t="s">
        <v>4346</v>
      </c>
      <c r="E3167" s="4" t="n">
        <v>5</v>
      </c>
      <c r="F3167" s="4" t="s">
        <v>213</v>
      </c>
      <c r="G3167" s="4" t="s">
        <v>2112</v>
      </c>
      <c r="H3167" s="4" t="n">
        <v>1967</v>
      </c>
      <c r="I3167" s="4" t="s">
        <v>2113</v>
      </c>
      <c r="J3167" s="25" t="str">
        <f aca="false">IF(M3167=1,"✓","")</f>
        <v/>
      </c>
      <c r="K3167" s="4" t="str">
        <f aca="false">IF(AND(M3167=0,P3167=0),"▶ NEXT","")</f>
        <v/>
      </c>
      <c r="L3167" s="4" t="n">
        <f aca="false">INDEX('Master List'!$F$2:$F$2594,O3167)</f>
        <v>1</v>
      </c>
      <c r="M3167" s="4" t="n">
        <f aca="false">INDEX('Master List'!$G$2:$G$2594,O3167)</f>
        <v>0</v>
      </c>
      <c r="N3167" s="4" t="str">
        <f aca="false">IF(K3167="","",A3167)</f>
        <v/>
      </c>
      <c r="O3167" s="4" t="n">
        <v>2321</v>
      </c>
      <c r="P3167" s="4" t="n">
        <f aca="false">IF(A3167=A3166,P3166+1-M3166,0)</f>
        <v>2</v>
      </c>
    </row>
    <row r="3168" customFormat="false" ht="15" hidden="false" customHeight="false" outlineLevel="0" collapsed="false">
      <c r="A3168" s="32" t="s">
        <v>4345</v>
      </c>
      <c r="B3168" s="32" t="s">
        <v>55</v>
      </c>
      <c r="C3168" s="32" t="s">
        <v>116</v>
      </c>
      <c r="D3168" s="32" t="s">
        <v>4346</v>
      </c>
      <c r="E3168" s="4" t="n">
        <v>6</v>
      </c>
      <c r="F3168" s="4" t="s">
        <v>213</v>
      </c>
      <c r="G3168" s="4" t="s">
        <v>2146</v>
      </c>
      <c r="H3168" s="4" t="n">
        <v>1969</v>
      </c>
      <c r="I3168" s="4" t="s">
        <v>1494</v>
      </c>
      <c r="J3168" s="25" t="str">
        <f aca="false">IF(M3168=1,"✓","")</f>
        <v/>
      </c>
      <c r="K3168" s="4" t="str">
        <f aca="false">IF(AND(M3168=0,P3168=0),"▶ NEXT","")</f>
        <v/>
      </c>
      <c r="L3168" s="4" t="n">
        <f aca="false">INDEX('Master List'!$F$2:$F$2594,O3168)</f>
        <v>1</v>
      </c>
      <c r="M3168" s="4" t="n">
        <f aca="false">INDEX('Master List'!$G$2:$G$2594,O3168)</f>
        <v>0</v>
      </c>
      <c r="N3168" s="4" t="str">
        <f aca="false">IF(K3168="","",A3168)</f>
        <v/>
      </c>
      <c r="O3168" s="4" t="n">
        <v>1813</v>
      </c>
      <c r="P3168" s="4" t="n">
        <f aca="false">IF(A3168=A3167,P3167+1-M3167,0)</f>
        <v>3</v>
      </c>
    </row>
    <row r="3169" customFormat="false" ht="15" hidden="false" customHeight="false" outlineLevel="0" collapsed="false">
      <c r="A3169" s="32" t="s">
        <v>4345</v>
      </c>
      <c r="B3169" s="32" t="s">
        <v>55</v>
      </c>
      <c r="C3169" s="32" t="s">
        <v>116</v>
      </c>
      <c r="D3169" s="32" t="s">
        <v>4346</v>
      </c>
      <c r="E3169" s="4" t="n">
        <v>7</v>
      </c>
      <c r="F3169" s="4" t="s">
        <v>213</v>
      </c>
      <c r="G3169" s="4" t="s">
        <v>2232</v>
      </c>
      <c r="H3169" s="4" t="n">
        <v>1973</v>
      </c>
      <c r="I3169" s="4" t="s">
        <v>2233</v>
      </c>
      <c r="J3169" s="25" t="str">
        <f aca="false">IF(M3169=1,"✓","")</f>
        <v/>
      </c>
      <c r="K3169" s="4" t="str">
        <f aca="false">IF(AND(M3169=0,P3169=0),"▶ NEXT","")</f>
        <v/>
      </c>
      <c r="L3169" s="4" t="n">
        <f aca="false">INDEX('Master List'!$F$2:$F$2594,O3169)</f>
        <v>1</v>
      </c>
      <c r="M3169" s="4" t="n">
        <f aca="false">INDEX('Master List'!$G$2:$G$2594,O3169)</f>
        <v>0</v>
      </c>
      <c r="N3169" s="4" t="str">
        <f aca="false">IF(K3169="","",A3169)</f>
        <v/>
      </c>
      <c r="O3169" s="4" t="n">
        <v>1714</v>
      </c>
      <c r="P3169" s="4" t="n">
        <f aca="false">IF(A3169=A3168,P3168+1-M3168,0)</f>
        <v>4</v>
      </c>
    </row>
    <row r="3170" customFormat="false" ht="15" hidden="false" customHeight="false" outlineLevel="0" collapsed="false">
      <c r="A3170" s="32" t="s">
        <v>4345</v>
      </c>
      <c r="B3170" s="32" t="s">
        <v>55</v>
      </c>
      <c r="C3170" s="32" t="s">
        <v>116</v>
      </c>
      <c r="D3170" s="32" t="s">
        <v>4346</v>
      </c>
      <c r="E3170" s="4" t="n">
        <v>8</v>
      </c>
      <c r="F3170" s="4" t="s">
        <v>213</v>
      </c>
      <c r="G3170" s="4" t="s">
        <v>2481</v>
      </c>
      <c r="H3170" s="4" t="n">
        <v>1988</v>
      </c>
      <c r="I3170" s="4" t="s">
        <v>2482</v>
      </c>
      <c r="J3170" s="25" t="str">
        <f aca="false">IF(M3170=1,"✓","")</f>
        <v/>
      </c>
      <c r="K3170" s="4" t="str">
        <f aca="false">IF(AND(M3170=0,P3170=0),"▶ NEXT","")</f>
        <v/>
      </c>
      <c r="L3170" s="4" t="n">
        <f aca="false">INDEX('Master List'!$F$2:$F$2594,O3170)</f>
        <v>1</v>
      </c>
      <c r="M3170" s="4" t="n">
        <f aca="false">INDEX('Master List'!$G$2:$G$2594,O3170)</f>
        <v>0</v>
      </c>
      <c r="N3170" s="4" t="str">
        <f aca="false">IF(K3170="","",A3170)</f>
        <v/>
      </c>
      <c r="O3170" s="4" t="n">
        <v>2146</v>
      </c>
      <c r="P3170" s="4" t="n">
        <f aca="false">IF(A3170=A3169,P3169+1-M3169,0)</f>
        <v>5</v>
      </c>
    </row>
    <row r="3171" customFormat="false" ht="15" hidden="false" customHeight="false" outlineLevel="0" collapsed="false">
      <c r="A3171" s="32" t="s">
        <v>4345</v>
      </c>
      <c r="B3171" s="32" t="s">
        <v>55</v>
      </c>
      <c r="C3171" s="32" t="s">
        <v>116</v>
      </c>
      <c r="D3171" s="32" t="s">
        <v>4346</v>
      </c>
      <c r="E3171" s="4" t="n">
        <v>9</v>
      </c>
      <c r="F3171" s="4" t="s">
        <v>213</v>
      </c>
      <c r="G3171" s="4" t="s">
        <v>2595</v>
      </c>
      <c r="H3171" s="4" t="n">
        <v>1994</v>
      </c>
      <c r="I3171" s="4" t="s">
        <v>2596</v>
      </c>
      <c r="J3171" s="25" t="str">
        <f aca="false">IF(M3171=1,"✓","")</f>
        <v/>
      </c>
      <c r="K3171" s="4" t="str">
        <f aca="false">IF(AND(M3171=0,P3171=0),"▶ NEXT","")</f>
        <v/>
      </c>
      <c r="L3171" s="4" t="n">
        <f aca="false">INDEX('Master List'!$F$2:$F$2594,O3171)</f>
        <v>1</v>
      </c>
      <c r="M3171" s="4" t="n">
        <f aca="false">INDEX('Master List'!$G$2:$G$2594,O3171)</f>
        <v>0</v>
      </c>
      <c r="N3171" s="4" t="str">
        <f aca="false">IF(K3171="","",A3171)</f>
        <v/>
      </c>
      <c r="O3171" s="4" t="n">
        <v>360</v>
      </c>
      <c r="P3171" s="4" t="n">
        <f aca="false">IF(A3171=A3170,P3170+1-M3170,0)</f>
        <v>6</v>
      </c>
    </row>
    <row r="3172" customFormat="false" ht="15" hidden="false" customHeight="false" outlineLevel="0" collapsed="false">
      <c r="A3172" s="32" t="s">
        <v>4345</v>
      </c>
      <c r="B3172" s="32" t="s">
        <v>55</v>
      </c>
      <c r="C3172" s="32" t="s">
        <v>116</v>
      </c>
      <c r="D3172" s="32" t="s">
        <v>4346</v>
      </c>
      <c r="E3172" s="4" t="n">
        <v>10</v>
      </c>
      <c r="F3172" s="4" t="s">
        <v>213</v>
      </c>
      <c r="G3172" s="4" t="s">
        <v>428</v>
      </c>
      <c r="H3172" s="4" t="n">
        <v>1999</v>
      </c>
      <c r="I3172" s="4" t="s">
        <v>429</v>
      </c>
      <c r="J3172" s="25" t="str">
        <f aca="false">IF(M3172=1,"✓","")</f>
        <v>✓</v>
      </c>
      <c r="K3172" s="4" t="str">
        <f aca="false">IF(AND(M3172=0,P3172=0),"▶ NEXT","")</f>
        <v/>
      </c>
      <c r="L3172" s="4" t="n">
        <f aca="false">INDEX('Master List'!$F$2:$F$2594,O3172)</f>
        <v>4</v>
      </c>
      <c r="M3172" s="4" t="n">
        <f aca="false">INDEX('Master List'!$G$2:$G$2594,O3172)</f>
        <v>1</v>
      </c>
      <c r="N3172" s="4" t="str">
        <f aca="false">IF(K3172="","",A3172)</f>
        <v/>
      </c>
      <c r="O3172" s="4" t="n">
        <v>716</v>
      </c>
      <c r="P3172" s="4" t="n">
        <f aca="false">IF(A3172=A3171,P3171+1-M3171,0)</f>
        <v>7</v>
      </c>
    </row>
    <row r="3173" customFormat="false" ht="15" hidden="false" customHeight="false" outlineLevel="0" collapsed="false">
      <c r="A3173" s="32" t="s">
        <v>4345</v>
      </c>
      <c r="B3173" s="32" t="s">
        <v>55</v>
      </c>
      <c r="C3173" s="32" t="s">
        <v>116</v>
      </c>
      <c r="D3173" s="32" t="s">
        <v>4346</v>
      </c>
      <c r="E3173" s="4" t="n">
        <v>11</v>
      </c>
      <c r="F3173" s="4" t="s">
        <v>213</v>
      </c>
      <c r="G3173" s="4" t="s">
        <v>1181</v>
      </c>
      <c r="H3173" s="4" t="n">
        <v>2008</v>
      </c>
      <c r="I3173" s="4" t="s">
        <v>1182</v>
      </c>
      <c r="J3173" s="25" t="str">
        <f aca="false">IF(M3173=1,"✓","")</f>
        <v/>
      </c>
      <c r="K3173" s="4" t="str">
        <f aca="false">IF(AND(M3173=0,P3173=0),"▶ NEXT","")</f>
        <v/>
      </c>
      <c r="L3173" s="4" t="n">
        <f aca="false">INDEX('Master List'!$F$2:$F$2594,O3173)</f>
        <v>2</v>
      </c>
      <c r="M3173" s="4" t="n">
        <f aca="false">INDEX('Master List'!$G$2:$G$2594,O3173)</f>
        <v>0</v>
      </c>
      <c r="N3173" s="4" t="str">
        <f aca="false">IF(K3173="","",A3173)</f>
        <v/>
      </c>
      <c r="O3173" s="4" t="n">
        <v>472</v>
      </c>
      <c r="P3173" s="4" t="n">
        <f aca="false">IF(A3173=A3172,P3172+1-M3172,0)</f>
        <v>7</v>
      </c>
    </row>
    <row r="3174" customFormat="false" ht="15" hidden="false" customHeight="false" outlineLevel="0" collapsed="false">
      <c r="A3174" s="32" t="s">
        <v>4345</v>
      </c>
      <c r="B3174" s="32" t="s">
        <v>55</v>
      </c>
      <c r="C3174" s="32" t="s">
        <v>116</v>
      </c>
      <c r="D3174" s="32" t="s">
        <v>4346</v>
      </c>
      <c r="E3174" s="4" t="n">
        <v>12</v>
      </c>
      <c r="F3174" s="4" t="s">
        <v>213</v>
      </c>
      <c r="G3174" s="4" t="s">
        <v>2980</v>
      </c>
      <c r="H3174" s="4" t="n">
        <v>2011</v>
      </c>
      <c r="I3174" s="4" t="s">
        <v>2981</v>
      </c>
      <c r="J3174" s="25" t="str">
        <f aca="false">IF(M3174=1,"✓","")</f>
        <v>✓</v>
      </c>
      <c r="K3174" s="4" t="str">
        <f aca="false">IF(AND(M3174=0,P3174=0),"▶ NEXT","")</f>
        <v/>
      </c>
      <c r="L3174" s="4" t="n">
        <f aca="false">INDEX('Master List'!$F$2:$F$2594,O3174)</f>
        <v>1</v>
      </c>
      <c r="M3174" s="4" t="n">
        <f aca="false">INDEX('Master List'!$G$2:$G$2594,O3174)</f>
        <v>1</v>
      </c>
      <c r="N3174" s="4" t="str">
        <f aca="false">IF(K3174="","",A3174)</f>
        <v/>
      </c>
      <c r="O3174" s="4" t="n">
        <v>615</v>
      </c>
      <c r="P3174" s="4" t="n">
        <f aca="false">IF(A3174=A3173,P3173+1-M3173,0)</f>
        <v>8</v>
      </c>
    </row>
    <row r="3175" customFormat="false" ht="15" hidden="false" customHeight="false" outlineLevel="0" collapsed="false">
      <c r="A3175" s="32" t="s">
        <v>4345</v>
      </c>
      <c r="B3175" s="32" t="s">
        <v>55</v>
      </c>
      <c r="C3175" s="32" t="s">
        <v>116</v>
      </c>
      <c r="D3175" s="32" t="s">
        <v>4346</v>
      </c>
      <c r="E3175" s="4" t="n">
        <v>13</v>
      </c>
      <c r="F3175" s="4" t="s">
        <v>213</v>
      </c>
      <c r="G3175" s="4" t="s">
        <v>1292</v>
      </c>
      <c r="H3175" s="4" t="n">
        <v>2014</v>
      </c>
      <c r="I3175" s="4" t="s">
        <v>1293</v>
      </c>
      <c r="J3175" s="25" t="str">
        <f aca="false">IF(M3175=1,"✓","")</f>
        <v>✓</v>
      </c>
      <c r="K3175" s="4" t="str">
        <f aca="false">IF(AND(M3175=0,P3175=0),"▶ NEXT","")</f>
        <v/>
      </c>
      <c r="L3175" s="4" t="n">
        <f aca="false">INDEX('Master List'!$F$2:$F$2594,O3175)</f>
        <v>2</v>
      </c>
      <c r="M3175" s="4" t="n">
        <f aca="false">INDEX('Master List'!$G$2:$G$2594,O3175)</f>
        <v>1</v>
      </c>
      <c r="N3175" s="4" t="str">
        <f aca="false">IF(K3175="","",A3175)</f>
        <v/>
      </c>
      <c r="O3175" s="4" t="n">
        <v>2497</v>
      </c>
      <c r="P3175" s="4" t="n">
        <f aca="false">IF(A3175=A3174,P3174+1-M3174,0)</f>
        <v>8</v>
      </c>
    </row>
    <row r="3176" customFormat="false" ht="15" hidden="false" customHeight="false" outlineLevel="0" collapsed="false">
      <c r="A3176" s="32" t="s">
        <v>4345</v>
      </c>
      <c r="B3176" s="32" t="s">
        <v>55</v>
      </c>
      <c r="C3176" s="32" t="s">
        <v>116</v>
      </c>
      <c r="D3176" s="32" t="s">
        <v>4346</v>
      </c>
      <c r="E3176" s="4" t="n">
        <v>14</v>
      </c>
      <c r="F3176" s="4" t="s">
        <v>1327</v>
      </c>
      <c r="G3176" s="4" t="s">
        <v>3730</v>
      </c>
      <c r="H3176" s="4" t="n">
        <v>2002</v>
      </c>
      <c r="I3176" s="4" t="s">
        <v>3731</v>
      </c>
      <c r="J3176" s="25" t="str">
        <f aca="false">IF(M3176=1,"✓","")</f>
        <v/>
      </c>
      <c r="K3176" s="4" t="str">
        <f aca="false">IF(AND(M3176=0,P3176=0),"▶ NEXT","")</f>
        <v/>
      </c>
      <c r="L3176" s="4" t="n">
        <f aca="false">INDEX('Master List'!$F$2:$F$2594,O3176)</f>
        <v>1</v>
      </c>
      <c r="M3176" s="4" t="n">
        <f aca="false">INDEX('Master List'!$G$2:$G$2594,O3176)</f>
        <v>0</v>
      </c>
      <c r="N3176" s="4" t="str">
        <f aca="false">IF(K3176="","",A3176)</f>
        <v/>
      </c>
      <c r="O3176" s="4" t="n">
        <v>746</v>
      </c>
      <c r="P3176" s="4" t="n">
        <f aca="false">IF(A3176=A3175,P3175+1-M3175,0)</f>
        <v>8</v>
      </c>
    </row>
    <row r="3177" customFormat="false" ht="15" hidden="false" customHeight="false" outlineLevel="0" collapsed="false">
      <c r="A3177" s="32" t="s">
        <v>4345</v>
      </c>
      <c r="B3177" s="32" t="s">
        <v>55</v>
      </c>
      <c r="C3177" s="32" t="s">
        <v>116</v>
      </c>
      <c r="D3177" s="32" t="s">
        <v>4346</v>
      </c>
      <c r="E3177" s="4" t="n">
        <v>15</v>
      </c>
      <c r="F3177" s="4" t="s">
        <v>1327</v>
      </c>
      <c r="G3177" s="4" t="s">
        <v>3760</v>
      </c>
      <c r="H3177" s="4" t="n">
        <v>2006</v>
      </c>
      <c r="I3177" s="4" t="s">
        <v>3761</v>
      </c>
      <c r="J3177" s="25" t="str">
        <f aca="false">IF(M3177=1,"✓","")</f>
        <v/>
      </c>
      <c r="K3177" s="4" t="str">
        <f aca="false">IF(AND(M3177=0,P3177=0),"▶ NEXT","")</f>
        <v/>
      </c>
      <c r="L3177" s="4" t="n">
        <f aca="false">INDEX('Master List'!$F$2:$F$2594,O3177)</f>
        <v>1</v>
      </c>
      <c r="M3177" s="4" t="n">
        <f aca="false">INDEX('Master List'!$G$2:$G$2594,O3177)</f>
        <v>0</v>
      </c>
      <c r="N3177" s="4" t="str">
        <f aca="false">IF(K3177="","",A3177)</f>
        <v/>
      </c>
      <c r="O3177" s="4" t="n">
        <v>979</v>
      </c>
      <c r="P3177" s="4" t="n">
        <f aca="false">IF(A3177=A3176,P3176+1-M3176,0)</f>
        <v>9</v>
      </c>
    </row>
    <row r="3178" customFormat="false" ht="15" hidden="false" customHeight="false" outlineLevel="0" collapsed="false">
      <c r="A3178" s="32" t="s">
        <v>4347</v>
      </c>
      <c r="B3178" s="32" t="s">
        <v>55</v>
      </c>
      <c r="C3178" s="32" t="s">
        <v>116</v>
      </c>
      <c r="D3178" s="32" t="s">
        <v>4348</v>
      </c>
      <c r="E3178" s="4" t="n">
        <v>1</v>
      </c>
      <c r="F3178" s="4" t="s">
        <v>144</v>
      </c>
      <c r="G3178" s="7" t="s">
        <v>799</v>
      </c>
      <c r="H3178" s="4" t="n">
        <v>1974</v>
      </c>
      <c r="I3178" s="4" t="s">
        <v>170</v>
      </c>
      <c r="J3178" s="25" t="str">
        <f aca="false">IF(M3178=1,"✓","")</f>
        <v/>
      </c>
      <c r="K3178" s="4" t="str">
        <f aca="false">IF(AND(M3178=0,P3178=0),"▶ NEXT","")</f>
        <v>▶ NEXT</v>
      </c>
      <c r="L3178" s="4" t="n">
        <f aca="false">INDEX('Master List'!$F$2:$F$2594,O3178)</f>
        <v>2</v>
      </c>
      <c r="M3178" s="4" t="n">
        <f aca="false">INDEX('Master List'!$G$2:$G$2594,O3178)</f>
        <v>0</v>
      </c>
      <c r="N3178" s="4" t="str">
        <f aca="false">IF(K3178="","",A3178)</f>
        <v>N262</v>
      </c>
      <c r="O3178" s="4" t="n">
        <v>1988</v>
      </c>
      <c r="P3178" s="4" t="n">
        <f aca="false">IF(A3178=A3177,P3177+1-M3177,0)</f>
        <v>0</v>
      </c>
    </row>
    <row r="3179" customFormat="false" ht="15" hidden="false" customHeight="false" outlineLevel="0" collapsed="false">
      <c r="A3179" s="32" t="s">
        <v>4347</v>
      </c>
      <c r="B3179" s="32" t="s">
        <v>55</v>
      </c>
      <c r="C3179" s="32" t="s">
        <v>116</v>
      </c>
      <c r="D3179" s="32" t="s">
        <v>4348</v>
      </c>
      <c r="E3179" s="4" t="n">
        <v>2</v>
      </c>
      <c r="F3179" s="4" t="s">
        <v>144</v>
      </c>
      <c r="G3179" s="7" t="s">
        <v>557</v>
      </c>
      <c r="H3179" s="4" t="n">
        <v>1979</v>
      </c>
      <c r="I3179" s="4" t="s">
        <v>558</v>
      </c>
      <c r="J3179" s="25" t="str">
        <f aca="false">IF(M3179=1,"✓","")</f>
        <v/>
      </c>
      <c r="K3179" s="4" t="str">
        <f aca="false">IF(AND(M3179=0,P3179=0),"▶ NEXT","")</f>
        <v/>
      </c>
      <c r="L3179" s="4" t="n">
        <f aca="false">INDEX('Master List'!$F$2:$F$2594,O3179)</f>
        <v>3</v>
      </c>
      <c r="M3179" s="4" t="n">
        <f aca="false">INDEX('Master List'!$G$2:$G$2594,O3179)</f>
        <v>0</v>
      </c>
      <c r="N3179" s="4" t="str">
        <f aca="false">IF(K3179="","",A3179)</f>
        <v/>
      </c>
      <c r="O3179" s="4" t="n">
        <v>1271</v>
      </c>
      <c r="P3179" s="4" t="n">
        <f aca="false">IF(A3179=A3178,P3178+1-M3178,0)</f>
        <v>1</v>
      </c>
    </row>
    <row r="3180" customFormat="false" ht="15" hidden="false" customHeight="false" outlineLevel="0" collapsed="false">
      <c r="A3180" s="32" t="s">
        <v>4347</v>
      </c>
      <c r="B3180" s="32" t="s">
        <v>55</v>
      </c>
      <c r="C3180" s="32" t="s">
        <v>116</v>
      </c>
      <c r="D3180" s="32" t="s">
        <v>4348</v>
      </c>
      <c r="E3180" s="4" t="n">
        <v>3</v>
      </c>
      <c r="F3180" s="4" t="s">
        <v>213</v>
      </c>
      <c r="G3180" s="4" t="s">
        <v>356</v>
      </c>
      <c r="H3180" s="4" t="n">
        <v>1966</v>
      </c>
      <c r="I3180" s="4" t="s">
        <v>357</v>
      </c>
      <c r="J3180" s="25" t="str">
        <f aca="false">IF(M3180=1,"✓","")</f>
        <v/>
      </c>
      <c r="K3180" s="4" t="str">
        <f aca="false">IF(AND(M3180=0,P3180=0),"▶ NEXT","")</f>
        <v/>
      </c>
      <c r="L3180" s="4" t="n">
        <f aca="false">INDEX('Master List'!$F$2:$F$2594,O3180)</f>
        <v>4</v>
      </c>
      <c r="M3180" s="4" t="n">
        <f aca="false">INDEX('Master List'!$G$2:$G$2594,O3180)</f>
        <v>0</v>
      </c>
      <c r="N3180" s="4" t="str">
        <f aca="false">IF(K3180="","",A3180)</f>
        <v/>
      </c>
      <c r="O3180" s="4" t="n">
        <v>2509</v>
      </c>
      <c r="P3180" s="4" t="n">
        <f aca="false">IF(A3180=A3179,P3179+1-M3179,0)</f>
        <v>2</v>
      </c>
    </row>
    <row r="3181" customFormat="false" ht="15" hidden="false" customHeight="false" outlineLevel="0" collapsed="false">
      <c r="A3181" s="32" t="s">
        <v>4347</v>
      </c>
      <c r="B3181" s="32" t="s">
        <v>55</v>
      </c>
      <c r="C3181" s="32" t="s">
        <v>116</v>
      </c>
      <c r="D3181" s="32" t="s">
        <v>4348</v>
      </c>
      <c r="E3181" s="4" t="n">
        <v>4</v>
      </c>
      <c r="F3181" s="4" t="s">
        <v>213</v>
      </c>
      <c r="G3181" s="4" t="s">
        <v>2114</v>
      </c>
      <c r="H3181" s="4" t="n">
        <v>1967</v>
      </c>
      <c r="I3181" s="4" t="s">
        <v>969</v>
      </c>
      <c r="J3181" s="25" t="str">
        <f aca="false">IF(M3181=1,"✓","")</f>
        <v/>
      </c>
      <c r="K3181" s="4" t="str">
        <f aca="false">IF(AND(M3181=0,P3181=0),"▶ NEXT","")</f>
        <v/>
      </c>
      <c r="L3181" s="4" t="n">
        <f aca="false">INDEX('Master List'!$F$2:$F$2594,O3181)</f>
        <v>1</v>
      </c>
      <c r="M3181" s="4" t="n">
        <f aca="false">INDEX('Master List'!$G$2:$G$2594,O3181)</f>
        <v>0</v>
      </c>
      <c r="N3181" s="4" t="str">
        <f aca="false">IF(K3181="","",A3181)</f>
        <v/>
      </c>
      <c r="O3181" s="4" t="n">
        <v>2390</v>
      </c>
      <c r="P3181" s="4" t="n">
        <f aca="false">IF(A3181=A3180,P3180+1-M3180,0)</f>
        <v>3</v>
      </c>
    </row>
    <row r="3182" customFormat="false" ht="15" hidden="false" customHeight="false" outlineLevel="0" collapsed="false">
      <c r="A3182" s="32" t="s">
        <v>4347</v>
      </c>
      <c r="B3182" s="32" t="s">
        <v>55</v>
      </c>
      <c r="C3182" s="32" t="s">
        <v>116</v>
      </c>
      <c r="D3182" s="32" t="s">
        <v>4348</v>
      </c>
      <c r="E3182" s="4" t="n">
        <v>5</v>
      </c>
      <c r="F3182" s="4" t="s">
        <v>213</v>
      </c>
      <c r="G3182" s="4" t="s">
        <v>2371</v>
      </c>
      <c r="H3182" s="4" t="n">
        <v>1982</v>
      </c>
      <c r="I3182" s="4" t="s">
        <v>2316</v>
      </c>
      <c r="J3182" s="25" t="str">
        <f aca="false">IF(M3182=1,"✓","")</f>
        <v/>
      </c>
      <c r="K3182" s="4" t="str">
        <f aca="false">IF(AND(M3182=0,P3182=0),"▶ NEXT","")</f>
        <v/>
      </c>
      <c r="L3182" s="4" t="n">
        <f aca="false">INDEX('Master List'!$F$2:$F$2594,O3182)</f>
        <v>1</v>
      </c>
      <c r="M3182" s="4" t="n">
        <f aca="false">INDEX('Master List'!$G$2:$G$2594,O3182)</f>
        <v>0</v>
      </c>
      <c r="N3182" s="4" t="str">
        <f aca="false">IF(K3182="","",A3182)</f>
        <v/>
      </c>
      <c r="O3182" s="4" t="n">
        <v>2052</v>
      </c>
      <c r="P3182" s="4" t="n">
        <f aca="false">IF(A3182=A3181,P3181+1-M3181,0)</f>
        <v>4</v>
      </c>
    </row>
    <row r="3183" customFormat="false" ht="15" hidden="false" customHeight="false" outlineLevel="0" collapsed="false">
      <c r="A3183" s="32" t="s">
        <v>4347</v>
      </c>
      <c r="B3183" s="32" t="s">
        <v>55</v>
      </c>
      <c r="C3183" s="32" t="s">
        <v>116</v>
      </c>
      <c r="D3183" s="32" t="s">
        <v>4348</v>
      </c>
      <c r="E3183" s="4" t="n">
        <v>6</v>
      </c>
      <c r="F3183" s="4" t="s">
        <v>213</v>
      </c>
      <c r="G3183" s="4" t="s">
        <v>2504</v>
      </c>
      <c r="H3183" s="4" t="n">
        <v>1989</v>
      </c>
      <c r="I3183" s="4" t="s">
        <v>2505</v>
      </c>
      <c r="J3183" s="25" t="str">
        <f aca="false">IF(M3183=1,"✓","")</f>
        <v/>
      </c>
      <c r="K3183" s="4" t="str">
        <f aca="false">IF(AND(M3183=0,P3183=0),"▶ NEXT","")</f>
        <v/>
      </c>
      <c r="L3183" s="4" t="n">
        <f aca="false">INDEX('Master List'!$F$2:$F$2594,O3183)</f>
        <v>1</v>
      </c>
      <c r="M3183" s="4" t="n">
        <f aca="false">INDEX('Master List'!$G$2:$G$2594,O3183)</f>
        <v>0</v>
      </c>
      <c r="N3183" s="4" t="str">
        <f aca="false">IF(K3183="","",A3183)</f>
        <v/>
      </c>
      <c r="O3183" s="4" t="n">
        <v>2463</v>
      </c>
      <c r="P3183" s="4" t="n">
        <f aca="false">IF(A3183=A3182,P3182+1-M3182,0)</f>
        <v>5</v>
      </c>
    </row>
    <row r="3184" customFormat="false" ht="15" hidden="false" customHeight="false" outlineLevel="0" collapsed="false">
      <c r="A3184" s="32" t="s">
        <v>4347</v>
      </c>
      <c r="B3184" s="32" t="s">
        <v>55</v>
      </c>
      <c r="C3184" s="32" t="s">
        <v>116</v>
      </c>
      <c r="D3184" s="32" t="s">
        <v>4348</v>
      </c>
      <c r="E3184" s="4" t="n">
        <v>7</v>
      </c>
      <c r="F3184" s="4" t="s">
        <v>213</v>
      </c>
      <c r="G3184" s="4" t="s">
        <v>2556</v>
      </c>
      <c r="H3184" s="4" t="n">
        <v>1992</v>
      </c>
      <c r="I3184" s="4" t="s">
        <v>604</v>
      </c>
      <c r="J3184" s="25" t="str">
        <f aca="false">IF(M3184=1,"✓","")</f>
        <v/>
      </c>
      <c r="K3184" s="4" t="str">
        <f aca="false">IF(AND(M3184=0,P3184=0),"▶ NEXT","")</f>
        <v/>
      </c>
      <c r="L3184" s="4" t="n">
        <f aca="false">INDEX('Master List'!$F$2:$F$2594,O3184)</f>
        <v>1</v>
      </c>
      <c r="M3184" s="4" t="n">
        <f aca="false">INDEX('Master List'!$G$2:$G$2594,O3184)</f>
        <v>0</v>
      </c>
      <c r="N3184" s="4" t="str">
        <f aca="false">IF(K3184="","",A3184)</f>
        <v/>
      </c>
      <c r="O3184" s="4" t="n">
        <v>1093</v>
      </c>
      <c r="P3184" s="4" t="n">
        <f aca="false">IF(A3184=A3183,P3183+1-M3183,0)</f>
        <v>6</v>
      </c>
    </row>
    <row r="3185" customFormat="false" ht="15" hidden="false" customHeight="false" outlineLevel="0" collapsed="false">
      <c r="A3185" s="32" t="s">
        <v>4347</v>
      </c>
      <c r="B3185" s="32" t="s">
        <v>55</v>
      </c>
      <c r="C3185" s="32" t="s">
        <v>116</v>
      </c>
      <c r="D3185" s="32" t="s">
        <v>4348</v>
      </c>
      <c r="E3185" s="4" t="n">
        <v>8</v>
      </c>
      <c r="F3185" s="4" t="s">
        <v>213</v>
      </c>
      <c r="G3185" s="4" t="s">
        <v>1593</v>
      </c>
      <c r="H3185" s="4" t="n">
        <v>2005</v>
      </c>
      <c r="I3185" s="4" t="s">
        <v>870</v>
      </c>
      <c r="J3185" s="25" t="str">
        <f aca="false">IF(M3185=1,"✓","")</f>
        <v>✓</v>
      </c>
      <c r="K3185" s="4" t="str">
        <f aca="false">IF(AND(M3185=0,P3185=0),"▶ NEXT","")</f>
        <v/>
      </c>
      <c r="L3185" s="4" t="n">
        <f aca="false">INDEX('Master List'!$F$2:$F$2594,O3185)</f>
        <v>2</v>
      </c>
      <c r="M3185" s="4" t="n">
        <f aca="false">INDEX('Master List'!$G$2:$G$2594,O3185)</f>
        <v>1</v>
      </c>
      <c r="N3185" s="4" t="str">
        <f aca="false">IF(K3185="","",A3185)</f>
        <v/>
      </c>
      <c r="O3185" s="4" t="n">
        <v>2142</v>
      </c>
      <c r="P3185" s="4" t="n">
        <f aca="false">IF(A3185=A3184,P3184+1-M3184,0)</f>
        <v>7</v>
      </c>
    </row>
    <row r="3186" customFormat="false" ht="15" hidden="false" customHeight="false" outlineLevel="0" collapsed="false">
      <c r="A3186" s="32" t="s">
        <v>4347</v>
      </c>
      <c r="B3186" s="32" t="s">
        <v>55</v>
      </c>
      <c r="C3186" s="32" t="s">
        <v>116</v>
      </c>
      <c r="D3186" s="32" t="s">
        <v>4348</v>
      </c>
      <c r="E3186" s="4" t="n">
        <v>9</v>
      </c>
      <c r="F3186" s="4" t="s">
        <v>213</v>
      </c>
      <c r="G3186" s="4" t="s">
        <v>2914</v>
      </c>
      <c r="H3186" s="4" t="n">
        <v>2008</v>
      </c>
      <c r="I3186" s="4" t="s">
        <v>1251</v>
      </c>
      <c r="J3186" s="25" t="str">
        <f aca="false">IF(M3186=1,"✓","")</f>
        <v/>
      </c>
      <c r="K3186" s="4" t="str">
        <f aca="false">IF(AND(M3186=0,P3186=0),"▶ NEXT","")</f>
        <v/>
      </c>
      <c r="L3186" s="4" t="n">
        <f aca="false">INDEX('Master List'!$F$2:$F$2594,O3186)</f>
        <v>1</v>
      </c>
      <c r="M3186" s="4" t="n">
        <f aca="false">INDEX('Master List'!$G$2:$G$2594,O3186)</f>
        <v>0</v>
      </c>
      <c r="N3186" s="4" t="str">
        <f aca="false">IF(K3186="","",A3186)</f>
        <v/>
      </c>
      <c r="O3186" s="4" t="n">
        <v>1897</v>
      </c>
      <c r="P3186" s="4" t="n">
        <f aca="false">IF(A3186=A3185,P3185+1-M3185,0)</f>
        <v>7</v>
      </c>
    </row>
    <row r="3187" customFormat="false" ht="15" hidden="false" customHeight="false" outlineLevel="0" collapsed="false">
      <c r="A3187" s="32" t="s">
        <v>4347</v>
      </c>
      <c r="B3187" s="32" t="s">
        <v>55</v>
      </c>
      <c r="C3187" s="32" t="s">
        <v>116</v>
      </c>
      <c r="D3187" s="32" t="s">
        <v>4348</v>
      </c>
      <c r="E3187" s="4" t="n">
        <v>10</v>
      </c>
      <c r="F3187" s="4" t="s">
        <v>213</v>
      </c>
      <c r="G3187" s="4" t="s">
        <v>2963</v>
      </c>
      <c r="H3187" s="4" t="n">
        <v>2010</v>
      </c>
      <c r="I3187" s="4" t="s">
        <v>2964</v>
      </c>
      <c r="J3187" s="25" t="str">
        <f aca="false">IF(M3187=1,"✓","")</f>
        <v/>
      </c>
      <c r="K3187" s="4" t="str">
        <f aca="false">IF(AND(M3187=0,P3187=0),"▶ NEXT","")</f>
        <v/>
      </c>
      <c r="L3187" s="4" t="n">
        <f aca="false">INDEX('Master List'!$F$2:$F$2594,O3187)</f>
        <v>1</v>
      </c>
      <c r="M3187" s="4" t="n">
        <f aca="false">INDEX('Master List'!$G$2:$G$2594,O3187)</f>
        <v>0</v>
      </c>
      <c r="N3187" s="4" t="str">
        <f aca="false">IF(K3187="","",A3187)</f>
        <v/>
      </c>
      <c r="O3187" s="4" t="n">
        <v>301</v>
      </c>
      <c r="P3187" s="4" t="n">
        <f aca="false">IF(A3187=A3186,P3186+1-M3186,0)</f>
        <v>8</v>
      </c>
    </row>
    <row r="3188" customFormat="false" ht="15" hidden="false" customHeight="false" outlineLevel="0" collapsed="false">
      <c r="A3188" s="32" t="s">
        <v>4347</v>
      </c>
      <c r="B3188" s="32" t="s">
        <v>55</v>
      </c>
      <c r="C3188" s="32" t="s">
        <v>116</v>
      </c>
      <c r="D3188" s="32" t="s">
        <v>4348</v>
      </c>
      <c r="E3188" s="4" t="n">
        <v>11</v>
      </c>
      <c r="F3188" s="4" t="s">
        <v>213</v>
      </c>
      <c r="G3188" s="4" t="s">
        <v>518</v>
      </c>
      <c r="H3188" s="4" t="n">
        <v>2011</v>
      </c>
      <c r="I3188" s="4" t="s">
        <v>519</v>
      </c>
      <c r="J3188" s="25" t="str">
        <f aca="false">IF(M3188=1,"✓","")</f>
        <v/>
      </c>
      <c r="K3188" s="4" t="str">
        <f aca="false">IF(AND(M3188=0,P3188=0),"▶ NEXT","")</f>
        <v/>
      </c>
      <c r="L3188" s="4" t="n">
        <f aca="false">INDEX('Master List'!$F$2:$F$2594,O3188)</f>
        <v>3</v>
      </c>
      <c r="M3188" s="4" t="n">
        <f aca="false">INDEX('Master List'!$G$2:$G$2594,O3188)</f>
        <v>0</v>
      </c>
      <c r="N3188" s="4" t="str">
        <f aca="false">IF(K3188="","",A3188)</f>
        <v/>
      </c>
      <c r="O3188" s="4" t="n">
        <v>2011</v>
      </c>
      <c r="P3188" s="4" t="n">
        <f aca="false">IF(A3188=A3187,P3187+1-M3187,0)</f>
        <v>9</v>
      </c>
    </row>
    <row r="3189" customFormat="false" ht="15" hidden="false" customHeight="false" outlineLevel="0" collapsed="false">
      <c r="A3189" s="32" t="s">
        <v>4347</v>
      </c>
      <c r="B3189" s="32" t="s">
        <v>55</v>
      </c>
      <c r="C3189" s="32" t="s">
        <v>116</v>
      </c>
      <c r="D3189" s="32" t="s">
        <v>4348</v>
      </c>
      <c r="E3189" s="4" t="n">
        <v>12</v>
      </c>
      <c r="F3189" s="4" t="s">
        <v>213</v>
      </c>
      <c r="G3189" s="4" t="s">
        <v>642</v>
      </c>
      <c r="H3189" s="4" t="n">
        <v>2014</v>
      </c>
      <c r="I3189" s="4" t="s">
        <v>643</v>
      </c>
      <c r="J3189" s="25" t="str">
        <f aca="false">IF(M3189=1,"✓","")</f>
        <v/>
      </c>
      <c r="K3189" s="4" t="str">
        <f aca="false">IF(AND(M3189=0,P3189=0),"▶ NEXT","")</f>
        <v/>
      </c>
      <c r="L3189" s="4" t="n">
        <f aca="false">INDEX('Master List'!$F$2:$F$2594,O3189)</f>
        <v>3</v>
      </c>
      <c r="M3189" s="4" t="n">
        <f aca="false">INDEX('Master List'!$G$2:$G$2594,O3189)</f>
        <v>0</v>
      </c>
      <c r="N3189" s="4" t="str">
        <f aca="false">IF(K3189="","",A3189)</f>
        <v/>
      </c>
      <c r="O3189" s="4" t="n">
        <v>833</v>
      </c>
      <c r="P3189" s="4" t="n">
        <f aca="false">IF(A3189=A3188,P3188+1-M3188,0)</f>
        <v>10</v>
      </c>
    </row>
    <row r="3190" customFormat="false" ht="15" hidden="false" customHeight="false" outlineLevel="0" collapsed="false">
      <c r="A3190" s="32" t="s">
        <v>4347</v>
      </c>
      <c r="B3190" s="32" t="s">
        <v>55</v>
      </c>
      <c r="C3190" s="32" t="s">
        <v>116</v>
      </c>
      <c r="D3190" s="32" t="s">
        <v>4348</v>
      </c>
      <c r="E3190" s="4" t="n">
        <v>13</v>
      </c>
      <c r="F3190" s="4" t="s">
        <v>213</v>
      </c>
      <c r="G3190" s="4" t="s">
        <v>1421</v>
      </c>
      <c r="H3190" s="4" t="n">
        <v>2019</v>
      </c>
      <c r="I3190" s="4" t="s">
        <v>870</v>
      </c>
      <c r="J3190" s="25" t="str">
        <f aca="false">IF(M3190=1,"✓","")</f>
        <v>✓</v>
      </c>
      <c r="K3190" s="4" t="str">
        <f aca="false">IF(AND(M3190=0,P3190=0),"▶ NEXT","")</f>
        <v/>
      </c>
      <c r="L3190" s="4" t="n">
        <f aca="false">INDEX('Master List'!$F$2:$F$2594,O3190)</f>
        <v>2</v>
      </c>
      <c r="M3190" s="4" t="n">
        <f aca="false">INDEX('Master List'!$G$2:$G$2594,O3190)</f>
        <v>1</v>
      </c>
      <c r="N3190" s="4" t="str">
        <f aca="false">IF(K3190="","",A3190)</f>
        <v/>
      </c>
      <c r="O3190" s="4" t="n">
        <v>1452</v>
      </c>
      <c r="P3190" s="4" t="n">
        <f aca="false">IF(A3190=A3189,P3189+1-M3189,0)</f>
        <v>11</v>
      </c>
    </row>
    <row r="3191" customFormat="false" ht="15" hidden="false" customHeight="false" outlineLevel="0" collapsed="false">
      <c r="A3191" s="32" t="s">
        <v>4347</v>
      </c>
      <c r="B3191" s="32" t="s">
        <v>55</v>
      </c>
      <c r="C3191" s="32" t="s">
        <v>116</v>
      </c>
      <c r="D3191" s="32" t="s">
        <v>4348</v>
      </c>
      <c r="E3191" s="4" t="n">
        <v>14</v>
      </c>
      <c r="F3191" s="4" t="s">
        <v>1327</v>
      </c>
      <c r="G3191" s="4" t="s">
        <v>1002</v>
      </c>
      <c r="H3191" s="4" t="n">
        <v>1968</v>
      </c>
      <c r="I3191" s="4" t="s">
        <v>801</v>
      </c>
      <c r="J3191" s="25" t="str">
        <f aca="false">IF(M3191=1,"✓","")</f>
        <v/>
      </c>
      <c r="K3191" s="4" t="str">
        <f aca="false">IF(AND(M3191=0,P3191=0),"▶ NEXT","")</f>
        <v/>
      </c>
      <c r="L3191" s="4" t="n">
        <f aca="false">INDEX('Master List'!$F$2:$F$2594,O3191)</f>
        <v>2</v>
      </c>
      <c r="M3191" s="4" t="n">
        <f aca="false">INDEX('Master List'!$G$2:$G$2594,O3191)</f>
        <v>0</v>
      </c>
      <c r="N3191" s="4" t="str">
        <f aca="false">IF(K3191="","",A3191)</f>
        <v/>
      </c>
      <c r="O3191" s="4" t="n">
        <v>773</v>
      </c>
      <c r="P3191" s="4" t="n">
        <f aca="false">IF(A3191=A3190,P3190+1-M3190,0)</f>
        <v>11</v>
      </c>
    </row>
    <row r="3192" customFormat="false" ht="15" hidden="false" customHeight="false" outlineLevel="0" collapsed="false">
      <c r="A3192" s="32" t="s">
        <v>4347</v>
      </c>
      <c r="B3192" s="32" t="s">
        <v>55</v>
      </c>
      <c r="C3192" s="32" t="s">
        <v>116</v>
      </c>
      <c r="D3192" s="32" t="s">
        <v>4348</v>
      </c>
      <c r="E3192" s="4" t="n">
        <v>15</v>
      </c>
      <c r="F3192" s="4" t="s">
        <v>1327</v>
      </c>
      <c r="G3192" s="4" t="s">
        <v>267</v>
      </c>
      <c r="H3192" s="4" t="n">
        <v>1954</v>
      </c>
      <c r="I3192" s="4" t="s">
        <v>268</v>
      </c>
      <c r="J3192" s="25" t="str">
        <f aca="false">IF(M3192=1,"✓","")</f>
        <v/>
      </c>
      <c r="K3192" s="4" t="str">
        <f aca="false">IF(AND(M3192=0,P3192=0),"▶ NEXT","")</f>
        <v/>
      </c>
      <c r="L3192" s="4" t="n">
        <f aca="false">INDEX('Master List'!$F$2:$F$2594,O3192)</f>
        <v>6</v>
      </c>
      <c r="M3192" s="4" t="n">
        <f aca="false">INDEX('Master List'!$G$2:$G$2594,O3192)</f>
        <v>0</v>
      </c>
      <c r="N3192" s="4" t="str">
        <f aca="false">IF(K3192="","",A3192)</f>
        <v/>
      </c>
      <c r="O3192" s="4" t="n">
        <v>1219</v>
      </c>
      <c r="P3192" s="4" t="n">
        <f aca="false">IF(A3192=A3191,P3191+1-M3191,0)</f>
        <v>12</v>
      </c>
    </row>
    <row r="3193" customFormat="false" ht="15" hidden="false" customHeight="false" outlineLevel="0" collapsed="false">
      <c r="A3193" s="32" t="s">
        <v>4349</v>
      </c>
      <c r="B3193" s="32" t="s">
        <v>55</v>
      </c>
      <c r="C3193" s="32" t="s">
        <v>116</v>
      </c>
      <c r="D3193" s="32" t="s">
        <v>4350</v>
      </c>
      <c r="E3193" s="4" t="n">
        <v>1</v>
      </c>
      <c r="F3193" s="4" t="s">
        <v>144</v>
      </c>
      <c r="G3193" s="7" t="s">
        <v>235</v>
      </c>
      <c r="H3193" s="4" t="n">
        <v>1952</v>
      </c>
      <c r="I3193" s="4" t="s">
        <v>156</v>
      </c>
      <c r="J3193" s="25" t="str">
        <f aca="false">IF(M3193=1,"✓","")</f>
        <v>✓</v>
      </c>
      <c r="K3193" s="4" t="str">
        <f aca="false">IF(AND(M3193=0,P3193=0),"▶ NEXT","")</f>
        <v/>
      </c>
      <c r="L3193" s="4" t="n">
        <f aca="false">INDEX('Master List'!$F$2:$F$2594,O3193)</f>
        <v>5</v>
      </c>
      <c r="M3193" s="4" t="n">
        <f aca="false">INDEX('Master List'!$G$2:$G$2594,O3193)</f>
        <v>1</v>
      </c>
      <c r="N3193" s="4" t="str">
        <f aca="false">IF(K3193="","",A3193)</f>
        <v/>
      </c>
      <c r="O3193" s="4" t="n">
        <v>1118</v>
      </c>
      <c r="P3193" s="4" t="n">
        <f aca="false">IF(A3193=A3192,P3192+1-M3192,0)</f>
        <v>0</v>
      </c>
    </row>
    <row r="3194" customFormat="false" ht="15" hidden="false" customHeight="false" outlineLevel="0" collapsed="false">
      <c r="A3194" s="32" t="s">
        <v>4349</v>
      </c>
      <c r="B3194" s="32" t="s">
        <v>55</v>
      </c>
      <c r="C3194" s="32" t="s">
        <v>116</v>
      </c>
      <c r="D3194" s="32" t="s">
        <v>4350</v>
      </c>
      <c r="E3194" s="4" t="n">
        <v>2</v>
      </c>
      <c r="F3194" s="4" t="s">
        <v>144</v>
      </c>
      <c r="G3194" s="7" t="s">
        <v>145</v>
      </c>
      <c r="H3194" s="4" t="n">
        <v>1953</v>
      </c>
      <c r="I3194" s="4" t="s">
        <v>146</v>
      </c>
      <c r="J3194" s="25" t="str">
        <f aca="false">IF(M3194=1,"✓","")</f>
        <v/>
      </c>
      <c r="K3194" s="4" t="str">
        <f aca="false">IF(AND(M3194=0,P3194=0),"▶ NEXT","")</f>
        <v>▶ NEXT</v>
      </c>
      <c r="L3194" s="4" t="n">
        <f aca="false">INDEX('Master List'!$F$2:$F$2594,O3194)</f>
        <v>10</v>
      </c>
      <c r="M3194" s="4" t="n">
        <f aca="false">INDEX('Master List'!$G$2:$G$2594,O3194)</f>
        <v>0</v>
      </c>
      <c r="N3194" s="4" t="str">
        <f aca="false">IF(K3194="","",A3194)</f>
        <v>N263</v>
      </c>
      <c r="O3194" s="4" t="n">
        <v>2328</v>
      </c>
      <c r="P3194" s="4" t="n">
        <f aca="false">IF(A3194=A3193,P3193+1-M3193,0)</f>
        <v>0</v>
      </c>
    </row>
    <row r="3195" customFormat="false" ht="15" hidden="false" customHeight="false" outlineLevel="0" collapsed="false">
      <c r="A3195" s="32" t="s">
        <v>4349</v>
      </c>
      <c r="B3195" s="32" t="s">
        <v>55</v>
      </c>
      <c r="C3195" s="32" t="s">
        <v>116</v>
      </c>
      <c r="D3195" s="32" t="s">
        <v>4350</v>
      </c>
      <c r="E3195" s="4" t="n">
        <v>3</v>
      </c>
      <c r="F3195" s="4" t="s">
        <v>213</v>
      </c>
      <c r="G3195" s="4" t="s">
        <v>1773</v>
      </c>
      <c r="H3195" s="4" t="n">
        <v>1937</v>
      </c>
      <c r="I3195" s="4" t="s">
        <v>450</v>
      </c>
      <c r="J3195" s="25" t="str">
        <f aca="false">IF(M3195=1,"✓","")</f>
        <v/>
      </c>
      <c r="K3195" s="4" t="str">
        <f aca="false">IF(AND(M3195=0,P3195=0),"▶ NEXT","")</f>
        <v/>
      </c>
      <c r="L3195" s="4" t="n">
        <f aca="false">INDEX('Master List'!$F$2:$F$2594,O3195)</f>
        <v>1</v>
      </c>
      <c r="M3195" s="4" t="n">
        <f aca="false">INDEX('Master List'!$G$2:$G$2594,O3195)</f>
        <v>0</v>
      </c>
      <c r="N3195" s="4" t="str">
        <f aca="false">IF(K3195="","",A3195)</f>
        <v/>
      </c>
      <c r="O3195" s="4" t="n">
        <v>1416</v>
      </c>
      <c r="P3195" s="4" t="n">
        <f aca="false">IF(A3195=A3194,P3194+1-M3194,0)</f>
        <v>1</v>
      </c>
    </row>
    <row r="3196" customFormat="false" ht="15" hidden="false" customHeight="false" outlineLevel="0" collapsed="false">
      <c r="A3196" s="32" t="s">
        <v>4349</v>
      </c>
      <c r="B3196" s="32" t="s">
        <v>55</v>
      </c>
      <c r="C3196" s="32" t="s">
        <v>116</v>
      </c>
      <c r="D3196" s="32" t="s">
        <v>4350</v>
      </c>
      <c r="E3196" s="4" t="n">
        <v>4</v>
      </c>
      <c r="F3196" s="4" t="s">
        <v>213</v>
      </c>
      <c r="G3196" s="4" t="s">
        <v>226</v>
      </c>
      <c r="H3196" s="4" t="n">
        <v>1952</v>
      </c>
      <c r="I3196" s="4" t="s">
        <v>160</v>
      </c>
      <c r="J3196" s="25" t="str">
        <f aca="false">IF(M3196=1,"✓","")</f>
        <v/>
      </c>
      <c r="K3196" s="4" t="str">
        <f aca="false">IF(AND(M3196=0,P3196=0),"▶ NEXT","")</f>
        <v/>
      </c>
      <c r="L3196" s="4" t="n">
        <f aca="false">INDEX('Master List'!$F$2:$F$2594,O3196)</f>
        <v>6</v>
      </c>
      <c r="M3196" s="4" t="n">
        <f aca="false">INDEX('Master List'!$G$2:$G$2594,O3196)</f>
        <v>0</v>
      </c>
      <c r="N3196" s="4" t="str">
        <f aca="false">IF(K3196="","",A3196)</f>
        <v/>
      </c>
      <c r="O3196" s="4" t="n">
        <v>2395</v>
      </c>
      <c r="P3196" s="4" t="n">
        <f aca="false">IF(A3196=A3195,P3195+1-M3195,0)</f>
        <v>2</v>
      </c>
    </row>
    <row r="3197" customFormat="false" ht="15" hidden="false" customHeight="false" outlineLevel="0" collapsed="false">
      <c r="A3197" s="32" t="s">
        <v>4349</v>
      </c>
      <c r="B3197" s="32" t="s">
        <v>55</v>
      </c>
      <c r="C3197" s="32" t="s">
        <v>116</v>
      </c>
      <c r="D3197" s="32" t="s">
        <v>4350</v>
      </c>
      <c r="E3197" s="4" t="n">
        <v>5</v>
      </c>
      <c r="F3197" s="4" t="s">
        <v>213</v>
      </c>
      <c r="G3197" s="4" t="s">
        <v>169</v>
      </c>
      <c r="H3197" s="4" t="n">
        <v>1957</v>
      </c>
      <c r="I3197" s="4" t="s">
        <v>170</v>
      </c>
      <c r="J3197" s="25" t="str">
        <f aca="false">IF(M3197=1,"✓","")</f>
        <v/>
      </c>
      <c r="K3197" s="4" t="str">
        <f aca="false">IF(AND(M3197=0,P3197=0),"▶ NEXT","")</f>
        <v/>
      </c>
      <c r="L3197" s="4" t="n">
        <f aca="false">INDEX('Master List'!$F$2:$F$2594,O3197)</f>
        <v>8</v>
      </c>
      <c r="M3197" s="4" t="n">
        <f aca="false">INDEX('Master List'!$G$2:$G$2594,O3197)</f>
        <v>0</v>
      </c>
      <c r="N3197" s="4" t="str">
        <f aca="false">IF(K3197="","",A3197)</f>
        <v/>
      </c>
      <c r="O3197" s="4" t="n">
        <v>2516</v>
      </c>
      <c r="P3197" s="4" t="n">
        <f aca="false">IF(A3197=A3196,P3196+1-M3196,0)</f>
        <v>3</v>
      </c>
    </row>
    <row r="3198" customFormat="false" ht="15" hidden="false" customHeight="false" outlineLevel="0" collapsed="false">
      <c r="A3198" s="32" t="s">
        <v>4349</v>
      </c>
      <c r="B3198" s="32" t="s">
        <v>55</v>
      </c>
      <c r="C3198" s="32" t="s">
        <v>116</v>
      </c>
      <c r="D3198" s="32" t="s">
        <v>4350</v>
      </c>
      <c r="E3198" s="4" t="n">
        <v>6</v>
      </c>
      <c r="F3198" s="4" t="s">
        <v>213</v>
      </c>
      <c r="G3198" s="4" t="s">
        <v>309</v>
      </c>
      <c r="H3198" s="4" t="n">
        <v>1971</v>
      </c>
      <c r="I3198" s="4" t="s">
        <v>310</v>
      </c>
      <c r="J3198" s="25" t="str">
        <f aca="false">IF(M3198=1,"✓","")</f>
        <v/>
      </c>
      <c r="K3198" s="4" t="str">
        <f aca="false">IF(AND(M3198=0,P3198=0),"▶ NEXT","")</f>
        <v/>
      </c>
      <c r="L3198" s="4" t="n">
        <f aca="false">INDEX('Master List'!$F$2:$F$2594,O3198)</f>
        <v>4</v>
      </c>
      <c r="M3198" s="4" t="n">
        <f aca="false">INDEX('Master List'!$G$2:$G$2594,O3198)</f>
        <v>0</v>
      </c>
      <c r="N3198" s="4" t="str">
        <f aca="false">IF(K3198="","",A3198)</f>
        <v/>
      </c>
      <c r="O3198" s="4" t="n">
        <v>999</v>
      </c>
      <c r="P3198" s="4" t="n">
        <f aca="false">IF(A3198=A3197,P3197+1-M3197,0)</f>
        <v>4</v>
      </c>
    </row>
    <row r="3199" customFormat="false" ht="15" hidden="false" customHeight="false" outlineLevel="0" collapsed="false">
      <c r="A3199" s="32" t="s">
        <v>4349</v>
      </c>
      <c r="B3199" s="32" t="s">
        <v>55</v>
      </c>
      <c r="C3199" s="32" t="s">
        <v>116</v>
      </c>
      <c r="D3199" s="32" t="s">
        <v>4350</v>
      </c>
      <c r="E3199" s="4" t="n">
        <v>7</v>
      </c>
      <c r="F3199" s="4" t="s">
        <v>213</v>
      </c>
      <c r="G3199" s="4" t="s">
        <v>1016</v>
      </c>
      <c r="H3199" s="4" t="n">
        <v>1972</v>
      </c>
      <c r="I3199" s="4" t="s">
        <v>170</v>
      </c>
      <c r="J3199" s="25" t="str">
        <f aca="false">IF(M3199=1,"✓","")</f>
        <v/>
      </c>
      <c r="K3199" s="4" t="str">
        <f aca="false">IF(AND(M3199=0,P3199=0),"▶ NEXT","")</f>
        <v/>
      </c>
      <c r="L3199" s="4" t="n">
        <f aca="false">INDEX('Master List'!$F$2:$F$2594,O3199)</f>
        <v>2</v>
      </c>
      <c r="M3199" s="4" t="n">
        <f aca="false">INDEX('Master List'!$G$2:$G$2594,O3199)</f>
        <v>0</v>
      </c>
      <c r="N3199" s="4" t="str">
        <f aca="false">IF(K3199="","",A3199)</f>
        <v/>
      </c>
      <c r="O3199" s="4" t="n">
        <v>535</v>
      </c>
      <c r="P3199" s="4" t="n">
        <f aca="false">IF(A3199=A3198,P3198+1-M3198,0)</f>
        <v>5</v>
      </c>
    </row>
    <row r="3200" customFormat="false" ht="15" hidden="false" customHeight="false" outlineLevel="0" collapsed="false">
      <c r="A3200" s="32" t="s">
        <v>4349</v>
      </c>
      <c r="B3200" s="32" t="s">
        <v>55</v>
      </c>
      <c r="C3200" s="32" t="s">
        <v>116</v>
      </c>
      <c r="D3200" s="32" t="s">
        <v>4350</v>
      </c>
      <c r="E3200" s="4" t="n">
        <v>8</v>
      </c>
      <c r="F3200" s="4" t="s">
        <v>213</v>
      </c>
      <c r="G3200" s="4" t="s">
        <v>1128</v>
      </c>
      <c r="H3200" s="4" t="n">
        <v>1999</v>
      </c>
      <c r="I3200" s="4" t="s">
        <v>154</v>
      </c>
      <c r="J3200" s="25" t="str">
        <f aca="false">IF(M3200=1,"✓","")</f>
        <v>✓</v>
      </c>
      <c r="K3200" s="4" t="str">
        <f aca="false">IF(AND(M3200=0,P3200=0),"▶ NEXT","")</f>
        <v/>
      </c>
      <c r="L3200" s="4" t="n">
        <f aca="false">INDEX('Master List'!$F$2:$F$2594,O3200)</f>
        <v>2</v>
      </c>
      <c r="M3200" s="4" t="n">
        <f aca="false">INDEX('Master List'!$G$2:$G$2594,O3200)</f>
        <v>1</v>
      </c>
      <c r="N3200" s="4" t="str">
        <f aca="false">IF(K3200="","",A3200)</f>
        <v/>
      </c>
      <c r="O3200" s="4" t="n">
        <v>2171</v>
      </c>
      <c r="P3200" s="4" t="n">
        <f aca="false">IF(A3200=A3199,P3199+1-M3199,0)</f>
        <v>6</v>
      </c>
    </row>
    <row r="3201" customFormat="false" ht="15" hidden="false" customHeight="false" outlineLevel="0" collapsed="false">
      <c r="A3201" s="32" t="s">
        <v>4349</v>
      </c>
      <c r="B3201" s="32" t="s">
        <v>55</v>
      </c>
      <c r="C3201" s="32" t="s">
        <v>116</v>
      </c>
      <c r="D3201" s="32" t="s">
        <v>4350</v>
      </c>
      <c r="E3201" s="4" t="n">
        <v>9</v>
      </c>
      <c r="F3201" s="4" t="s">
        <v>213</v>
      </c>
      <c r="G3201" s="4" t="s">
        <v>2788</v>
      </c>
      <c r="H3201" s="4" t="n">
        <v>2002</v>
      </c>
      <c r="I3201" s="4" t="s">
        <v>429</v>
      </c>
      <c r="J3201" s="25" t="str">
        <f aca="false">IF(M3201=1,"✓","")</f>
        <v/>
      </c>
      <c r="K3201" s="4" t="str">
        <f aca="false">IF(AND(M3201=0,P3201=0),"▶ NEXT","")</f>
        <v/>
      </c>
      <c r="L3201" s="4" t="n">
        <f aca="false">INDEX('Master List'!$F$2:$F$2594,O3201)</f>
        <v>1</v>
      </c>
      <c r="M3201" s="4" t="n">
        <f aca="false">INDEX('Master List'!$G$2:$G$2594,O3201)</f>
        <v>0</v>
      </c>
      <c r="N3201" s="4" t="str">
        <f aca="false">IF(K3201="","",A3201)</f>
        <v/>
      </c>
      <c r="O3201" s="4" t="n">
        <v>34</v>
      </c>
      <c r="P3201" s="4" t="n">
        <f aca="false">IF(A3201=A3200,P3200+1-M3200,0)</f>
        <v>6</v>
      </c>
    </row>
    <row r="3202" customFormat="false" ht="15" hidden="false" customHeight="false" outlineLevel="0" collapsed="false">
      <c r="A3202" s="32" t="s">
        <v>4349</v>
      </c>
      <c r="B3202" s="32" t="s">
        <v>55</v>
      </c>
      <c r="C3202" s="32" t="s">
        <v>116</v>
      </c>
      <c r="D3202" s="32" t="s">
        <v>4350</v>
      </c>
      <c r="E3202" s="4" t="n">
        <v>10</v>
      </c>
      <c r="F3202" s="4" t="s">
        <v>213</v>
      </c>
      <c r="G3202" s="4" t="s">
        <v>1203</v>
      </c>
      <c r="H3202" s="4" t="n">
        <v>2012</v>
      </c>
      <c r="I3202" s="4" t="s">
        <v>516</v>
      </c>
      <c r="J3202" s="25" t="str">
        <f aca="false">IF(M3202=1,"✓","")</f>
        <v/>
      </c>
      <c r="K3202" s="4" t="str">
        <f aca="false">IF(AND(M3202=0,P3202=0),"▶ NEXT","")</f>
        <v/>
      </c>
      <c r="L3202" s="4" t="n">
        <f aca="false">INDEX('Master List'!$F$2:$F$2594,O3202)</f>
        <v>2</v>
      </c>
      <c r="M3202" s="4" t="n">
        <f aca="false">INDEX('Master List'!$G$2:$G$2594,O3202)</f>
        <v>0</v>
      </c>
      <c r="N3202" s="4" t="str">
        <f aca="false">IF(K3202="","",A3202)</f>
        <v/>
      </c>
      <c r="O3202" s="4" t="n">
        <v>96</v>
      </c>
      <c r="P3202" s="4" t="n">
        <f aca="false">IF(A3202=A3201,P3201+1-M3201,0)</f>
        <v>7</v>
      </c>
    </row>
    <row r="3203" customFormat="false" ht="15" hidden="false" customHeight="false" outlineLevel="0" collapsed="false">
      <c r="A3203" s="32" t="s">
        <v>4349</v>
      </c>
      <c r="B3203" s="32" t="s">
        <v>55</v>
      </c>
      <c r="C3203" s="32" t="s">
        <v>116</v>
      </c>
      <c r="D3203" s="32" t="s">
        <v>4350</v>
      </c>
      <c r="E3203" s="4" t="n">
        <v>11</v>
      </c>
      <c r="F3203" s="4" t="s">
        <v>213</v>
      </c>
      <c r="G3203" s="4" t="s">
        <v>3112</v>
      </c>
      <c r="H3203" s="4" t="n">
        <v>2016</v>
      </c>
      <c r="I3203" s="4" t="s">
        <v>3113</v>
      </c>
      <c r="J3203" s="25" t="str">
        <f aca="false">IF(M3203=1,"✓","")</f>
        <v/>
      </c>
      <c r="K3203" s="4" t="str">
        <f aca="false">IF(AND(M3203=0,P3203=0),"▶ NEXT","")</f>
        <v/>
      </c>
      <c r="L3203" s="4" t="n">
        <f aca="false">INDEX('Master List'!$F$2:$F$2594,O3203)</f>
        <v>1</v>
      </c>
      <c r="M3203" s="4" t="n">
        <f aca="false">INDEX('Master List'!$G$2:$G$2594,O3203)</f>
        <v>0</v>
      </c>
      <c r="N3203" s="4" t="str">
        <f aca="false">IF(K3203="","",A3203)</f>
        <v/>
      </c>
      <c r="O3203" s="4" t="n">
        <v>1436</v>
      </c>
      <c r="P3203" s="4" t="n">
        <f aca="false">IF(A3203=A3202,P3202+1-M3202,0)</f>
        <v>8</v>
      </c>
    </row>
    <row r="3204" customFormat="false" ht="15" hidden="false" customHeight="false" outlineLevel="0" collapsed="false">
      <c r="A3204" s="32" t="s">
        <v>4349</v>
      </c>
      <c r="B3204" s="32" t="s">
        <v>55</v>
      </c>
      <c r="C3204" s="32" t="s">
        <v>116</v>
      </c>
      <c r="D3204" s="32" t="s">
        <v>4350</v>
      </c>
      <c r="E3204" s="4" t="n">
        <v>12</v>
      </c>
      <c r="F3204" s="4" t="s">
        <v>213</v>
      </c>
      <c r="G3204" s="4" t="s">
        <v>3200</v>
      </c>
      <c r="H3204" s="4" t="n">
        <v>2020</v>
      </c>
      <c r="I3204" s="4" t="s">
        <v>3201</v>
      </c>
      <c r="J3204" s="25" t="str">
        <f aca="false">IF(M3204=1,"✓","")</f>
        <v/>
      </c>
      <c r="K3204" s="4" t="str">
        <f aca="false">IF(AND(M3204=0,P3204=0),"▶ NEXT","")</f>
        <v/>
      </c>
      <c r="L3204" s="4" t="n">
        <f aca="false">INDEX('Master List'!$F$2:$F$2594,O3204)</f>
        <v>1</v>
      </c>
      <c r="M3204" s="4" t="n">
        <f aca="false">INDEX('Master List'!$G$2:$G$2594,O3204)</f>
        <v>0</v>
      </c>
      <c r="N3204" s="4" t="str">
        <f aca="false">IF(K3204="","",A3204)</f>
        <v/>
      </c>
      <c r="O3204" s="4" t="n">
        <v>793</v>
      </c>
      <c r="P3204" s="4" t="n">
        <f aca="false">IF(A3204=A3203,P3203+1-M3203,0)</f>
        <v>9</v>
      </c>
    </row>
    <row r="3205" customFormat="false" ht="15" hidden="false" customHeight="false" outlineLevel="0" collapsed="false">
      <c r="A3205" s="32" t="s">
        <v>4349</v>
      </c>
      <c r="B3205" s="32" t="s">
        <v>55</v>
      </c>
      <c r="C3205" s="32" t="s">
        <v>116</v>
      </c>
      <c r="D3205" s="32" t="s">
        <v>4350</v>
      </c>
      <c r="E3205" s="4" t="n">
        <v>13</v>
      </c>
      <c r="F3205" s="4" t="s">
        <v>213</v>
      </c>
      <c r="G3205" s="4" t="s">
        <v>3231</v>
      </c>
      <c r="H3205" s="4" t="n">
        <v>2022</v>
      </c>
      <c r="I3205" s="4" t="s">
        <v>3232</v>
      </c>
      <c r="J3205" s="25" t="str">
        <f aca="false">IF(M3205=1,"✓","")</f>
        <v/>
      </c>
      <c r="K3205" s="4" t="str">
        <f aca="false">IF(AND(M3205=0,P3205=0),"▶ NEXT","")</f>
        <v/>
      </c>
      <c r="L3205" s="4" t="n">
        <f aca="false">INDEX('Master List'!$F$2:$F$2594,O3205)</f>
        <v>1</v>
      </c>
      <c r="M3205" s="4" t="n">
        <f aca="false">INDEX('Master List'!$G$2:$G$2594,O3205)</f>
        <v>0</v>
      </c>
      <c r="N3205" s="4" t="str">
        <f aca="false">IF(K3205="","",A3205)</f>
        <v/>
      </c>
      <c r="O3205" s="4" t="n">
        <v>1359</v>
      </c>
      <c r="P3205" s="4" t="n">
        <f aca="false">IF(A3205=A3204,P3204+1-M3204,0)</f>
        <v>10</v>
      </c>
    </row>
    <row r="3206" customFormat="false" ht="15" hidden="false" customHeight="false" outlineLevel="0" collapsed="false">
      <c r="A3206" s="32" t="s">
        <v>4349</v>
      </c>
      <c r="B3206" s="32" t="s">
        <v>55</v>
      </c>
      <c r="C3206" s="32" t="s">
        <v>116</v>
      </c>
      <c r="D3206" s="32" t="s">
        <v>4350</v>
      </c>
      <c r="E3206" s="4" t="n">
        <v>14</v>
      </c>
      <c r="F3206" s="4" t="s">
        <v>1327</v>
      </c>
      <c r="G3206" s="4" t="s">
        <v>1407</v>
      </c>
      <c r="H3206" s="4" t="n">
        <v>2008</v>
      </c>
      <c r="I3206" s="4" t="s">
        <v>1205</v>
      </c>
      <c r="J3206" s="25" t="str">
        <f aca="false">IF(M3206=1,"✓","")</f>
        <v/>
      </c>
      <c r="K3206" s="4" t="str">
        <f aca="false">IF(AND(M3206=0,P3206=0),"▶ NEXT","")</f>
        <v/>
      </c>
      <c r="L3206" s="4" t="n">
        <f aca="false">INDEX('Master List'!$F$2:$F$2594,O3206)</f>
        <v>2</v>
      </c>
      <c r="M3206" s="4" t="n">
        <f aca="false">INDEX('Master List'!$G$2:$G$2594,O3206)</f>
        <v>0</v>
      </c>
      <c r="N3206" s="4" t="str">
        <f aca="false">IF(K3206="","",A3206)</f>
        <v/>
      </c>
      <c r="O3206" s="4" t="n">
        <v>2158</v>
      </c>
      <c r="P3206" s="4" t="n">
        <f aca="false">IF(A3206=A3205,P3205+1-M3205,0)</f>
        <v>11</v>
      </c>
    </row>
    <row r="3207" customFormat="false" ht="15" hidden="false" customHeight="false" outlineLevel="0" collapsed="false">
      <c r="A3207" s="32" t="s">
        <v>4349</v>
      </c>
      <c r="B3207" s="32" t="s">
        <v>55</v>
      </c>
      <c r="C3207" s="32" t="s">
        <v>116</v>
      </c>
      <c r="D3207" s="32" t="s">
        <v>4350</v>
      </c>
      <c r="E3207" s="4" t="n">
        <v>15</v>
      </c>
      <c r="F3207" s="4" t="s">
        <v>1327</v>
      </c>
      <c r="G3207" s="4" t="s">
        <v>3843</v>
      </c>
      <c r="H3207" s="4" t="n">
        <v>2017</v>
      </c>
      <c r="I3207" s="4" t="s">
        <v>3844</v>
      </c>
      <c r="J3207" s="25" t="str">
        <f aca="false">IF(M3207=1,"✓","")</f>
        <v>✓</v>
      </c>
      <c r="K3207" s="4" t="str">
        <f aca="false">IF(AND(M3207=0,P3207=0),"▶ NEXT","")</f>
        <v/>
      </c>
      <c r="L3207" s="4" t="n">
        <f aca="false">INDEX('Master List'!$F$2:$F$2594,O3207)</f>
        <v>1</v>
      </c>
      <c r="M3207" s="4" t="n">
        <f aca="false">INDEX('Master List'!$G$2:$G$2594,O3207)</f>
        <v>1</v>
      </c>
      <c r="N3207" s="4" t="str">
        <f aca="false">IF(K3207="","",A3207)</f>
        <v/>
      </c>
      <c r="O3207" s="4" t="n">
        <v>1396</v>
      </c>
      <c r="P3207" s="4" t="n">
        <f aca="false">IF(A3207=A3206,P3206+1-M3206,0)</f>
        <v>12</v>
      </c>
    </row>
    <row r="3208" customFormat="false" ht="15" hidden="false" customHeight="false" outlineLevel="0" collapsed="false">
      <c r="A3208" s="32" t="s">
        <v>4351</v>
      </c>
      <c r="B3208" s="32" t="s">
        <v>55</v>
      </c>
      <c r="C3208" s="32" t="s">
        <v>116</v>
      </c>
      <c r="D3208" s="32" t="s">
        <v>4352</v>
      </c>
      <c r="E3208" s="4" t="n">
        <v>1</v>
      </c>
      <c r="F3208" s="4" t="s">
        <v>144</v>
      </c>
      <c r="G3208" s="7" t="s">
        <v>159</v>
      </c>
      <c r="H3208" s="4" t="n">
        <v>1948</v>
      </c>
      <c r="I3208" s="4" t="s">
        <v>160</v>
      </c>
      <c r="J3208" s="25" t="str">
        <f aca="false">IF(M3208=1,"✓","")</f>
        <v/>
      </c>
      <c r="K3208" s="4" t="str">
        <f aca="false">IF(AND(M3208=0,P3208=0),"▶ NEXT","")</f>
        <v>▶ NEXT</v>
      </c>
      <c r="L3208" s="4" t="n">
        <f aca="false">INDEX('Master List'!$F$2:$F$2594,O3208)</f>
        <v>7</v>
      </c>
      <c r="M3208" s="4" t="n">
        <f aca="false">INDEX('Master List'!$G$2:$G$2594,O3208)</f>
        <v>0</v>
      </c>
      <c r="N3208" s="4" t="str">
        <f aca="false">IF(K3208="","",A3208)</f>
        <v>N264</v>
      </c>
      <c r="O3208" s="4" t="n">
        <v>238</v>
      </c>
      <c r="P3208" s="4" t="n">
        <f aca="false">IF(A3208=A3207,P3207+1-M3207,0)</f>
        <v>0</v>
      </c>
    </row>
    <row r="3209" customFormat="false" ht="15" hidden="false" customHeight="false" outlineLevel="0" collapsed="false">
      <c r="A3209" s="32" t="s">
        <v>4351</v>
      </c>
      <c r="B3209" s="32" t="s">
        <v>55</v>
      </c>
      <c r="C3209" s="32" t="s">
        <v>116</v>
      </c>
      <c r="D3209" s="32" t="s">
        <v>4352</v>
      </c>
      <c r="E3209" s="4" t="n">
        <v>2</v>
      </c>
      <c r="F3209" s="4" t="s">
        <v>144</v>
      </c>
      <c r="G3209" s="7" t="s">
        <v>423</v>
      </c>
      <c r="H3209" s="4" t="n">
        <v>1973</v>
      </c>
      <c r="I3209" s="4" t="s">
        <v>389</v>
      </c>
      <c r="J3209" s="25" t="str">
        <f aca="false">IF(M3209=1,"✓","")</f>
        <v>✓</v>
      </c>
      <c r="K3209" s="4" t="str">
        <f aca="false">IF(AND(M3209=0,P3209=0),"▶ NEXT","")</f>
        <v/>
      </c>
      <c r="L3209" s="4" t="n">
        <f aca="false">INDEX('Master List'!$F$2:$F$2594,O3209)</f>
        <v>3</v>
      </c>
      <c r="M3209" s="4" t="n">
        <f aca="false">INDEX('Master List'!$G$2:$G$2594,O3209)</f>
        <v>1</v>
      </c>
      <c r="N3209" s="4" t="str">
        <f aca="false">IF(K3209="","",A3209)</f>
        <v/>
      </c>
      <c r="O3209" s="4" t="n">
        <v>1715</v>
      </c>
      <c r="P3209" s="4" t="n">
        <f aca="false">IF(A3209=A3208,P3208+1-M3208,0)</f>
        <v>1</v>
      </c>
    </row>
    <row r="3210" customFormat="false" ht="15" hidden="false" customHeight="false" outlineLevel="0" collapsed="false">
      <c r="A3210" s="32" t="s">
        <v>4351</v>
      </c>
      <c r="B3210" s="32" t="s">
        <v>55</v>
      </c>
      <c r="C3210" s="32" t="s">
        <v>116</v>
      </c>
      <c r="D3210" s="32" t="s">
        <v>4352</v>
      </c>
      <c r="E3210" s="4" t="n">
        <v>3</v>
      </c>
      <c r="F3210" s="4" t="s">
        <v>213</v>
      </c>
      <c r="G3210" s="4" t="s">
        <v>897</v>
      </c>
      <c r="H3210" s="4" t="n">
        <v>1921</v>
      </c>
      <c r="I3210" s="4" t="s">
        <v>344</v>
      </c>
      <c r="J3210" s="25" t="str">
        <f aca="false">IF(M3210=1,"✓","")</f>
        <v/>
      </c>
      <c r="K3210" s="4" t="str">
        <f aca="false">IF(AND(M3210=0,P3210=0),"▶ NEXT","")</f>
        <v/>
      </c>
      <c r="L3210" s="4" t="n">
        <f aca="false">INDEX('Master List'!$F$2:$F$2594,O3210)</f>
        <v>2</v>
      </c>
      <c r="M3210" s="4" t="n">
        <f aca="false">INDEX('Master List'!$G$2:$G$2594,O3210)</f>
        <v>0</v>
      </c>
      <c r="N3210" s="4" t="str">
        <f aca="false">IF(K3210="","",A3210)</f>
        <v/>
      </c>
      <c r="O3210" s="4" t="n">
        <v>1237</v>
      </c>
      <c r="P3210" s="4" t="n">
        <f aca="false">IF(A3210=A3209,P3209+1-M3209,0)</f>
        <v>1</v>
      </c>
    </row>
    <row r="3211" customFormat="false" ht="15" hidden="false" customHeight="false" outlineLevel="0" collapsed="false">
      <c r="A3211" s="32" t="s">
        <v>4351</v>
      </c>
      <c r="B3211" s="32" t="s">
        <v>55</v>
      </c>
      <c r="C3211" s="32" t="s">
        <v>116</v>
      </c>
      <c r="D3211" s="32" t="s">
        <v>4352</v>
      </c>
      <c r="E3211" s="4" t="n">
        <v>4</v>
      </c>
      <c r="F3211" s="4" t="s">
        <v>213</v>
      </c>
      <c r="G3211" s="4" t="s">
        <v>1275</v>
      </c>
      <c r="H3211" s="4" t="n">
        <v>1955</v>
      </c>
      <c r="I3211" s="4" t="s">
        <v>375</v>
      </c>
      <c r="J3211" s="25" t="str">
        <f aca="false">IF(M3211=1,"✓","")</f>
        <v/>
      </c>
      <c r="K3211" s="4" t="str">
        <f aca="false">IF(AND(M3211=0,P3211=0),"▶ NEXT","")</f>
        <v/>
      </c>
      <c r="L3211" s="4" t="n">
        <f aca="false">INDEX('Master List'!$F$2:$F$2594,O3211)</f>
        <v>2</v>
      </c>
      <c r="M3211" s="4" t="n">
        <f aca="false">INDEX('Master List'!$G$2:$G$2594,O3211)</f>
        <v>0</v>
      </c>
      <c r="N3211" s="4" t="str">
        <f aca="false">IF(K3211="","",A3211)</f>
        <v/>
      </c>
      <c r="O3211" s="4" t="n">
        <v>703</v>
      </c>
      <c r="P3211" s="4" t="n">
        <f aca="false">IF(A3211=A3210,P3210+1-M3210,0)</f>
        <v>2</v>
      </c>
    </row>
    <row r="3212" customFormat="false" ht="15" hidden="false" customHeight="false" outlineLevel="0" collapsed="false">
      <c r="A3212" s="32" t="s">
        <v>4351</v>
      </c>
      <c r="B3212" s="32" t="s">
        <v>55</v>
      </c>
      <c r="C3212" s="32" t="s">
        <v>116</v>
      </c>
      <c r="D3212" s="32" t="s">
        <v>4352</v>
      </c>
      <c r="E3212" s="4" t="n">
        <v>5</v>
      </c>
      <c r="F3212" s="4" t="s">
        <v>213</v>
      </c>
      <c r="G3212" s="4" t="s">
        <v>557</v>
      </c>
      <c r="H3212" s="4" t="n">
        <v>1979</v>
      </c>
      <c r="I3212" s="4" t="s">
        <v>558</v>
      </c>
      <c r="J3212" s="25" t="str">
        <f aca="false">IF(M3212=1,"✓","")</f>
        <v/>
      </c>
      <c r="K3212" s="4" t="str">
        <f aca="false">IF(AND(M3212=0,P3212=0),"▶ NEXT","")</f>
        <v/>
      </c>
      <c r="L3212" s="4" t="n">
        <f aca="false">INDEX('Master List'!$F$2:$F$2594,O3212)</f>
        <v>3</v>
      </c>
      <c r="M3212" s="4" t="n">
        <f aca="false">INDEX('Master List'!$G$2:$G$2594,O3212)</f>
        <v>0</v>
      </c>
      <c r="N3212" s="4" t="str">
        <f aca="false">IF(K3212="","",A3212)</f>
        <v/>
      </c>
      <c r="O3212" s="4" t="n">
        <v>1271</v>
      </c>
      <c r="P3212" s="4" t="n">
        <f aca="false">IF(A3212=A3211,P3211+1-M3211,0)</f>
        <v>3</v>
      </c>
    </row>
    <row r="3213" customFormat="false" ht="15" hidden="false" customHeight="false" outlineLevel="0" collapsed="false">
      <c r="A3213" s="32" t="s">
        <v>4351</v>
      </c>
      <c r="B3213" s="32" t="s">
        <v>55</v>
      </c>
      <c r="C3213" s="32" t="s">
        <v>116</v>
      </c>
      <c r="D3213" s="32" t="s">
        <v>4352</v>
      </c>
      <c r="E3213" s="4" t="n">
        <v>6</v>
      </c>
      <c r="F3213" s="4" t="s">
        <v>213</v>
      </c>
      <c r="G3213" s="4" t="s">
        <v>1281</v>
      </c>
      <c r="H3213" s="4" t="n">
        <v>1989</v>
      </c>
      <c r="I3213" s="4" t="s">
        <v>1282</v>
      </c>
      <c r="J3213" s="25" t="str">
        <f aca="false">IF(M3213=1,"✓","")</f>
        <v>✓</v>
      </c>
      <c r="K3213" s="4" t="str">
        <f aca="false">IF(AND(M3213=0,P3213=0),"▶ NEXT","")</f>
        <v/>
      </c>
      <c r="L3213" s="4" t="n">
        <f aca="false">INDEX('Master List'!$F$2:$F$2594,O3213)</f>
        <v>2</v>
      </c>
      <c r="M3213" s="4" t="n">
        <f aca="false">INDEX('Master List'!$G$2:$G$2594,O3213)</f>
        <v>1</v>
      </c>
      <c r="N3213" s="4" t="str">
        <f aca="false">IF(K3213="","",A3213)</f>
        <v/>
      </c>
      <c r="O3213" s="4" t="n">
        <v>803</v>
      </c>
      <c r="P3213" s="4" t="n">
        <f aca="false">IF(A3213=A3212,P3212+1-M3212,0)</f>
        <v>4</v>
      </c>
    </row>
    <row r="3214" customFormat="false" ht="15" hidden="false" customHeight="false" outlineLevel="0" collapsed="false">
      <c r="A3214" s="32" t="s">
        <v>4351</v>
      </c>
      <c r="B3214" s="32" t="s">
        <v>55</v>
      </c>
      <c r="C3214" s="32" t="s">
        <v>116</v>
      </c>
      <c r="D3214" s="32" t="s">
        <v>4352</v>
      </c>
      <c r="E3214" s="4" t="n">
        <v>7</v>
      </c>
      <c r="F3214" s="4" t="s">
        <v>213</v>
      </c>
      <c r="G3214" s="4" t="s">
        <v>2809</v>
      </c>
      <c r="H3214" s="4" t="n">
        <v>2003</v>
      </c>
      <c r="I3214" s="4" t="s">
        <v>1111</v>
      </c>
      <c r="J3214" s="25" t="str">
        <f aca="false">IF(M3214=1,"✓","")</f>
        <v>✓</v>
      </c>
      <c r="K3214" s="4" t="str">
        <f aca="false">IF(AND(M3214=0,P3214=0),"▶ NEXT","")</f>
        <v/>
      </c>
      <c r="L3214" s="4" t="n">
        <f aca="false">INDEX('Master List'!$F$2:$F$2594,O3214)</f>
        <v>1</v>
      </c>
      <c r="M3214" s="4" t="n">
        <f aca="false">INDEX('Master List'!$G$2:$G$2594,O3214)</f>
        <v>1</v>
      </c>
      <c r="N3214" s="4" t="str">
        <f aca="false">IF(K3214="","",A3214)</f>
        <v/>
      </c>
      <c r="O3214" s="4" t="n">
        <v>241</v>
      </c>
      <c r="P3214" s="4" t="n">
        <f aca="false">IF(A3214=A3213,P3213+1-M3213,0)</f>
        <v>4</v>
      </c>
    </row>
    <row r="3215" customFormat="false" ht="15" hidden="false" customHeight="false" outlineLevel="0" collapsed="false">
      <c r="A3215" s="32" t="s">
        <v>4351</v>
      </c>
      <c r="B3215" s="32" t="s">
        <v>55</v>
      </c>
      <c r="C3215" s="32" t="s">
        <v>116</v>
      </c>
      <c r="D3215" s="32" t="s">
        <v>4352</v>
      </c>
      <c r="E3215" s="4" t="n">
        <v>8</v>
      </c>
      <c r="F3215" s="4" t="s">
        <v>213</v>
      </c>
      <c r="G3215" s="4" t="s">
        <v>2937</v>
      </c>
      <c r="H3215" s="4" t="n">
        <v>2009</v>
      </c>
      <c r="I3215" s="4" t="s">
        <v>2938</v>
      </c>
      <c r="J3215" s="25" t="str">
        <f aca="false">IF(M3215=1,"✓","")</f>
        <v>✓</v>
      </c>
      <c r="K3215" s="4" t="str">
        <f aca="false">IF(AND(M3215=0,P3215=0),"▶ NEXT","")</f>
        <v/>
      </c>
      <c r="L3215" s="4" t="n">
        <f aca="false">INDEX('Master List'!$F$2:$F$2594,O3215)</f>
        <v>1</v>
      </c>
      <c r="M3215" s="4" t="n">
        <f aca="false">INDEX('Master List'!$G$2:$G$2594,O3215)</f>
        <v>1</v>
      </c>
      <c r="N3215" s="4" t="str">
        <f aca="false">IF(K3215="","",A3215)</f>
        <v/>
      </c>
      <c r="O3215" s="4" t="n">
        <v>1914</v>
      </c>
      <c r="P3215" s="4" t="n">
        <f aca="false">IF(A3215=A3214,P3214+1-M3214,0)</f>
        <v>4</v>
      </c>
    </row>
    <row r="3216" customFormat="false" ht="15" hidden="false" customHeight="false" outlineLevel="0" collapsed="false">
      <c r="A3216" s="32" t="s">
        <v>4351</v>
      </c>
      <c r="B3216" s="32" t="s">
        <v>55</v>
      </c>
      <c r="C3216" s="32" t="s">
        <v>116</v>
      </c>
      <c r="D3216" s="32" t="s">
        <v>4352</v>
      </c>
      <c r="E3216" s="4" t="n">
        <v>9</v>
      </c>
      <c r="F3216" s="4" t="s">
        <v>213</v>
      </c>
      <c r="G3216" s="4" t="s">
        <v>1204</v>
      </c>
      <c r="H3216" s="4" t="n">
        <v>2013</v>
      </c>
      <c r="I3216" s="4" t="s">
        <v>1205</v>
      </c>
      <c r="J3216" s="25" t="str">
        <f aca="false">IF(M3216=1,"✓","")</f>
        <v/>
      </c>
      <c r="K3216" s="4" t="str">
        <f aca="false">IF(AND(M3216=0,P3216=0),"▶ NEXT","")</f>
        <v/>
      </c>
      <c r="L3216" s="4" t="n">
        <f aca="false">INDEX('Master List'!$F$2:$F$2594,O3216)</f>
        <v>2</v>
      </c>
      <c r="M3216" s="4" t="n">
        <f aca="false">INDEX('Master List'!$G$2:$G$2594,O3216)</f>
        <v>0</v>
      </c>
      <c r="N3216" s="4" t="str">
        <f aca="false">IF(K3216="","",A3216)</f>
        <v/>
      </c>
      <c r="O3216" s="4" t="n">
        <v>1338</v>
      </c>
      <c r="P3216" s="4" t="n">
        <f aca="false">IF(A3216=A3215,P3215+1-M3215,0)</f>
        <v>4</v>
      </c>
    </row>
    <row r="3217" customFormat="false" ht="15" hidden="false" customHeight="false" outlineLevel="0" collapsed="false">
      <c r="A3217" s="32" t="s">
        <v>4351</v>
      </c>
      <c r="B3217" s="32" t="s">
        <v>55</v>
      </c>
      <c r="C3217" s="32" t="s">
        <v>116</v>
      </c>
      <c r="D3217" s="32" t="s">
        <v>4352</v>
      </c>
      <c r="E3217" s="4" t="n">
        <v>10</v>
      </c>
      <c r="F3217" s="4" t="s">
        <v>213</v>
      </c>
      <c r="G3217" s="4" t="s">
        <v>690</v>
      </c>
      <c r="H3217" s="4" t="n">
        <v>2013</v>
      </c>
      <c r="I3217" s="4" t="s">
        <v>429</v>
      </c>
      <c r="J3217" s="25" t="str">
        <f aca="false">IF(M3217=1,"✓","")</f>
        <v>✓</v>
      </c>
      <c r="K3217" s="4" t="str">
        <f aca="false">IF(AND(M3217=0,P3217=0),"▶ NEXT","")</f>
        <v/>
      </c>
      <c r="L3217" s="4" t="n">
        <f aca="false">INDEX('Master List'!$F$2:$F$2594,O3217)</f>
        <v>3</v>
      </c>
      <c r="M3217" s="4" t="n">
        <f aca="false">INDEX('Master List'!$G$2:$G$2594,O3217)</f>
        <v>1</v>
      </c>
      <c r="N3217" s="4" t="str">
        <f aca="false">IF(K3217="","",A3217)</f>
        <v/>
      </c>
      <c r="O3217" s="4" t="n">
        <v>1591</v>
      </c>
      <c r="P3217" s="4" t="n">
        <f aca="false">IF(A3217=A3216,P3216+1-M3216,0)</f>
        <v>5</v>
      </c>
    </row>
    <row r="3218" customFormat="false" ht="15" hidden="false" customHeight="false" outlineLevel="0" collapsed="false">
      <c r="A3218" s="32" t="s">
        <v>4351</v>
      </c>
      <c r="B3218" s="32" t="s">
        <v>55</v>
      </c>
      <c r="C3218" s="32" t="s">
        <v>116</v>
      </c>
      <c r="D3218" s="32" t="s">
        <v>4352</v>
      </c>
      <c r="E3218" s="4" t="n">
        <v>11</v>
      </c>
      <c r="F3218" s="4" t="s">
        <v>213</v>
      </c>
      <c r="G3218" s="4" t="s">
        <v>211</v>
      </c>
      <c r="H3218" s="4" t="n">
        <v>2022</v>
      </c>
      <c r="I3218" s="4" t="s">
        <v>212</v>
      </c>
      <c r="J3218" s="25" t="str">
        <f aca="false">IF(M3218=1,"✓","")</f>
        <v/>
      </c>
      <c r="K3218" s="4" t="str">
        <f aca="false">IF(AND(M3218=0,P3218=0),"▶ NEXT","")</f>
        <v/>
      </c>
      <c r="L3218" s="4" t="n">
        <f aca="false">INDEX('Master List'!$F$2:$F$2594,O3218)</f>
        <v>7</v>
      </c>
      <c r="M3218" s="4" t="n">
        <f aca="false">INDEX('Master List'!$G$2:$G$2594,O3218)</f>
        <v>0</v>
      </c>
      <c r="N3218" s="4" t="str">
        <f aca="false">IF(K3218="","",A3218)</f>
        <v/>
      </c>
      <c r="O3218" s="4" t="n">
        <v>53</v>
      </c>
      <c r="P3218" s="4" t="n">
        <f aca="false">IF(A3218=A3217,P3217+1-M3217,0)</f>
        <v>5</v>
      </c>
    </row>
    <row r="3219" customFormat="false" ht="15" hidden="false" customHeight="false" outlineLevel="0" collapsed="false">
      <c r="A3219" s="32" t="s">
        <v>4351</v>
      </c>
      <c r="B3219" s="32" t="s">
        <v>55</v>
      </c>
      <c r="C3219" s="32" t="s">
        <v>116</v>
      </c>
      <c r="D3219" s="32" t="s">
        <v>4352</v>
      </c>
      <c r="E3219" s="4" t="n">
        <v>12</v>
      </c>
      <c r="F3219" s="4" t="s">
        <v>1327</v>
      </c>
      <c r="G3219" s="4" t="s">
        <v>613</v>
      </c>
      <c r="H3219" s="4" t="n">
        <v>1991</v>
      </c>
      <c r="I3219" s="4" t="s">
        <v>223</v>
      </c>
      <c r="J3219" s="25" t="str">
        <f aca="false">IF(M3219=1,"✓","")</f>
        <v/>
      </c>
      <c r="K3219" s="4" t="str">
        <f aca="false">IF(AND(M3219=0,P3219=0),"▶ NEXT","")</f>
        <v/>
      </c>
      <c r="L3219" s="4" t="n">
        <f aca="false">INDEX('Master List'!$F$2:$F$2594,O3219)</f>
        <v>3</v>
      </c>
      <c r="M3219" s="4" t="n">
        <f aca="false">INDEX('Master List'!$G$2:$G$2594,O3219)</f>
        <v>0</v>
      </c>
      <c r="N3219" s="4" t="str">
        <f aca="false">IF(K3219="","",A3219)</f>
        <v/>
      </c>
      <c r="O3219" s="4" t="n">
        <v>350</v>
      </c>
      <c r="P3219" s="4" t="n">
        <f aca="false">IF(A3219=A3218,P3218+1-M3218,0)</f>
        <v>6</v>
      </c>
    </row>
    <row r="3220" customFormat="false" ht="15" hidden="false" customHeight="false" outlineLevel="0" collapsed="false">
      <c r="A3220" s="32" t="s">
        <v>4351</v>
      </c>
      <c r="B3220" s="32" t="s">
        <v>55</v>
      </c>
      <c r="C3220" s="32" t="s">
        <v>116</v>
      </c>
      <c r="D3220" s="32" t="s">
        <v>4352</v>
      </c>
      <c r="E3220" s="4" t="n">
        <v>13</v>
      </c>
      <c r="F3220" s="4" t="s">
        <v>1327</v>
      </c>
      <c r="G3220" s="4" t="s">
        <v>1409</v>
      </c>
      <c r="H3220" s="4" t="n">
        <v>2010</v>
      </c>
      <c r="I3220" s="4" t="s">
        <v>1410</v>
      </c>
      <c r="J3220" s="25" t="str">
        <f aca="false">IF(M3220=1,"✓","")</f>
        <v/>
      </c>
      <c r="K3220" s="4" t="str">
        <f aca="false">IF(AND(M3220=0,P3220=0),"▶ NEXT","")</f>
        <v/>
      </c>
      <c r="L3220" s="4" t="n">
        <f aca="false">INDEX('Master List'!$F$2:$F$2594,O3220)</f>
        <v>2</v>
      </c>
      <c r="M3220" s="4" t="n">
        <f aca="false">INDEX('Master List'!$G$2:$G$2594,O3220)</f>
        <v>0</v>
      </c>
      <c r="N3220" s="4" t="str">
        <f aca="false">IF(K3220="","",A3220)</f>
        <v/>
      </c>
      <c r="O3220" s="4" t="n">
        <v>328</v>
      </c>
      <c r="P3220" s="4" t="n">
        <f aca="false">IF(A3220=A3219,P3219+1-M3219,0)</f>
        <v>7</v>
      </c>
    </row>
    <row r="3221" customFormat="false" ht="15" hidden="false" customHeight="false" outlineLevel="0" collapsed="false">
      <c r="A3221" s="32" t="s">
        <v>4353</v>
      </c>
      <c r="B3221" s="32" t="s">
        <v>55</v>
      </c>
      <c r="C3221" s="32" t="s">
        <v>117</v>
      </c>
      <c r="D3221" s="32" t="s">
        <v>4354</v>
      </c>
      <c r="E3221" s="4" t="n">
        <v>1</v>
      </c>
      <c r="F3221" s="4" t="s">
        <v>144</v>
      </c>
      <c r="G3221" s="7" t="s">
        <v>175</v>
      </c>
      <c r="H3221" s="4" t="n">
        <v>1934</v>
      </c>
      <c r="I3221" s="4" t="s">
        <v>176</v>
      </c>
      <c r="J3221" s="25" t="str">
        <f aca="false">IF(M3221=1,"✓","")</f>
        <v/>
      </c>
      <c r="K3221" s="4" t="str">
        <f aca="false">IF(AND(M3221=0,P3221=0),"▶ NEXT","")</f>
        <v>▶ NEXT</v>
      </c>
      <c r="L3221" s="4" t="n">
        <f aca="false">INDEX('Master List'!$F$2:$F$2594,O3221)</f>
        <v>7</v>
      </c>
      <c r="M3221" s="4" t="n">
        <f aca="false">INDEX('Master List'!$G$2:$G$2594,O3221)</f>
        <v>0</v>
      </c>
      <c r="N3221" s="4" t="str">
        <f aca="false">IF(K3221="","",A3221)</f>
        <v>N265</v>
      </c>
      <c r="O3221" s="4" t="n">
        <v>1176</v>
      </c>
      <c r="P3221" s="4" t="n">
        <f aca="false">IF(A3221=A3220,P3220+1-M3220,0)</f>
        <v>0</v>
      </c>
    </row>
    <row r="3222" customFormat="false" ht="15" hidden="false" customHeight="false" outlineLevel="0" collapsed="false">
      <c r="A3222" s="32" t="s">
        <v>4353</v>
      </c>
      <c r="B3222" s="32" t="s">
        <v>55</v>
      </c>
      <c r="C3222" s="32" t="s">
        <v>117</v>
      </c>
      <c r="D3222" s="32" t="s">
        <v>4354</v>
      </c>
      <c r="E3222" s="4" t="n">
        <v>2</v>
      </c>
      <c r="F3222" s="4" t="s">
        <v>144</v>
      </c>
      <c r="G3222" s="7" t="s">
        <v>476</v>
      </c>
      <c r="H3222" s="4" t="n">
        <v>1969</v>
      </c>
      <c r="I3222" s="4" t="s">
        <v>477</v>
      </c>
      <c r="J3222" s="25" t="str">
        <f aca="false">IF(M3222=1,"✓","")</f>
        <v/>
      </c>
      <c r="K3222" s="4" t="str">
        <f aca="false">IF(AND(M3222=0,P3222=0),"▶ NEXT","")</f>
        <v/>
      </c>
      <c r="L3222" s="4" t="n">
        <f aca="false">INDEX('Master List'!$F$2:$F$2594,O3222)</f>
        <v>3</v>
      </c>
      <c r="M3222" s="4" t="n">
        <f aca="false">INDEX('Master List'!$G$2:$G$2594,O3222)</f>
        <v>0</v>
      </c>
      <c r="N3222" s="4" t="str">
        <f aca="false">IF(K3222="","",A3222)</f>
        <v/>
      </c>
      <c r="O3222" s="4" t="n">
        <v>706</v>
      </c>
      <c r="P3222" s="4" t="n">
        <f aca="false">IF(A3222=A3221,P3221+1-M3221,0)</f>
        <v>1</v>
      </c>
    </row>
    <row r="3223" customFormat="false" ht="15" hidden="false" customHeight="false" outlineLevel="0" collapsed="false">
      <c r="A3223" s="32" t="s">
        <v>4353</v>
      </c>
      <c r="B3223" s="32" t="s">
        <v>55</v>
      </c>
      <c r="C3223" s="32" t="s">
        <v>117</v>
      </c>
      <c r="D3223" s="32" t="s">
        <v>4354</v>
      </c>
      <c r="E3223" s="4" t="n">
        <v>3</v>
      </c>
      <c r="F3223" s="4" t="s">
        <v>213</v>
      </c>
      <c r="G3223" s="4" t="s">
        <v>249</v>
      </c>
      <c r="H3223" s="4" t="n">
        <v>1941</v>
      </c>
      <c r="I3223" s="4" t="s">
        <v>250</v>
      </c>
      <c r="J3223" s="25" t="str">
        <f aca="false">IF(M3223=1,"✓","")</f>
        <v/>
      </c>
      <c r="K3223" s="4" t="str">
        <f aca="false">IF(AND(M3223=0,P3223=0),"▶ NEXT","")</f>
        <v/>
      </c>
      <c r="L3223" s="4" t="n">
        <f aca="false">INDEX('Master List'!$F$2:$F$2594,O3223)</f>
        <v>5</v>
      </c>
      <c r="M3223" s="4" t="n">
        <f aca="false">INDEX('Master List'!$G$2:$G$2594,O3223)</f>
        <v>0</v>
      </c>
      <c r="N3223" s="4" t="str">
        <f aca="false">IF(K3223="","",A3223)</f>
        <v/>
      </c>
      <c r="O3223" s="4" t="n">
        <v>2195</v>
      </c>
      <c r="P3223" s="4" t="n">
        <f aca="false">IF(A3223=A3222,P3222+1-M3222,0)</f>
        <v>2</v>
      </c>
    </row>
    <row r="3224" customFormat="false" ht="15" hidden="false" customHeight="false" outlineLevel="0" collapsed="false">
      <c r="A3224" s="32" t="s">
        <v>4353</v>
      </c>
      <c r="B3224" s="32" t="s">
        <v>55</v>
      </c>
      <c r="C3224" s="32" t="s">
        <v>117</v>
      </c>
      <c r="D3224" s="32" t="s">
        <v>4354</v>
      </c>
      <c r="E3224" s="4" t="n">
        <v>4</v>
      </c>
      <c r="F3224" s="4" t="s">
        <v>213</v>
      </c>
      <c r="G3224" s="4" t="s">
        <v>204</v>
      </c>
      <c r="H3224" s="4" t="n">
        <v>1940</v>
      </c>
      <c r="I3224" s="4" t="s">
        <v>205</v>
      </c>
      <c r="J3224" s="25" t="str">
        <f aca="false">IF(M3224=1,"✓","")</f>
        <v/>
      </c>
      <c r="K3224" s="4" t="str">
        <f aca="false">IF(AND(M3224=0,P3224=0),"▶ NEXT","")</f>
        <v/>
      </c>
      <c r="L3224" s="4" t="n">
        <f aca="false">INDEX('Master List'!$F$2:$F$2594,O3224)</f>
        <v>7</v>
      </c>
      <c r="M3224" s="4" t="n">
        <f aca="false">INDEX('Master List'!$G$2:$G$2594,O3224)</f>
        <v>0</v>
      </c>
      <c r="N3224" s="4" t="str">
        <f aca="false">IF(K3224="","",A3224)</f>
        <v/>
      </c>
      <c r="O3224" s="4" t="n">
        <v>946</v>
      </c>
      <c r="P3224" s="4" t="n">
        <f aca="false">IF(A3224=A3223,P3223+1-M3223,0)</f>
        <v>3</v>
      </c>
    </row>
    <row r="3225" customFormat="false" ht="15" hidden="false" customHeight="false" outlineLevel="0" collapsed="false">
      <c r="A3225" s="32" t="s">
        <v>4353</v>
      </c>
      <c r="B3225" s="32" t="s">
        <v>55</v>
      </c>
      <c r="C3225" s="32" t="s">
        <v>117</v>
      </c>
      <c r="D3225" s="32" t="s">
        <v>4354</v>
      </c>
      <c r="E3225" s="4" t="n">
        <v>5</v>
      </c>
      <c r="F3225" s="4" t="s">
        <v>213</v>
      </c>
      <c r="G3225" s="4" t="s">
        <v>959</v>
      </c>
      <c r="H3225" s="4" t="n">
        <v>1962</v>
      </c>
      <c r="I3225" s="4" t="s">
        <v>960</v>
      </c>
      <c r="J3225" s="25" t="str">
        <f aca="false">IF(M3225=1,"✓","")</f>
        <v/>
      </c>
      <c r="K3225" s="4" t="str">
        <f aca="false">IF(AND(M3225=0,P3225=0),"▶ NEXT","")</f>
        <v/>
      </c>
      <c r="L3225" s="4" t="n">
        <f aca="false">INDEX('Master List'!$F$2:$F$2594,O3225)</f>
        <v>2</v>
      </c>
      <c r="M3225" s="4" t="n">
        <f aca="false">INDEX('Master List'!$G$2:$G$2594,O3225)</f>
        <v>0</v>
      </c>
      <c r="N3225" s="4" t="str">
        <f aca="false">IF(K3225="","",A3225)</f>
        <v/>
      </c>
      <c r="O3225" s="4" t="n">
        <v>2118</v>
      </c>
      <c r="P3225" s="4" t="n">
        <f aca="false">IF(A3225=A3224,P3224+1-M3224,0)</f>
        <v>4</v>
      </c>
    </row>
    <row r="3226" customFormat="false" ht="15" hidden="false" customHeight="false" outlineLevel="0" collapsed="false">
      <c r="A3226" s="32" t="s">
        <v>4353</v>
      </c>
      <c r="B3226" s="32" t="s">
        <v>55</v>
      </c>
      <c r="C3226" s="32" t="s">
        <v>117</v>
      </c>
      <c r="D3226" s="32" t="s">
        <v>4354</v>
      </c>
      <c r="E3226" s="4" t="n">
        <v>6</v>
      </c>
      <c r="F3226" s="4" t="s">
        <v>213</v>
      </c>
      <c r="G3226" s="4" t="s">
        <v>1343</v>
      </c>
      <c r="H3226" s="4" t="n">
        <v>1971</v>
      </c>
      <c r="I3226" s="4" t="s">
        <v>1344</v>
      </c>
      <c r="J3226" s="25" t="str">
        <f aca="false">IF(M3226=1,"✓","")</f>
        <v/>
      </c>
      <c r="K3226" s="4" t="str">
        <f aca="false">IF(AND(M3226=0,P3226=0),"▶ NEXT","")</f>
        <v/>
      </c>
      <c r="L3226" s="4" t="n">
        <f aca="false">INDEX('Master List'!$F$2:$F$2594,O3226)</f>
        <v>2</v>
      </c>
      <c r="M3226" s="4" t="n">
        <f aca="false">INDEX('Master List'!$G$2:$G$2594,O3226)</f>
        <v>0</v>
      </c>
      <c r="N3226" s="4" t="str">
        <f aca="false">IF(K3226="","",A3226)</f>
        <v/>
      </c>
      <c r="O3226" s="4" t="n">
        <v>2391</v>
      </c>
      <c r="P3226" s="4" t="n">
        <f aca="false">IF(A3226=A3225,P3225+1-M3225,0)</f>
        <v>5</v>
      </c>
    </row>
    <row r="3227" customFormat="false" ht="15" hidden="false" customHeight="false" outlineLevel="0" collapsed="false">
      <c r="A3227" s="32" t="s">
        <v>4353</v>
      </c>
      <c r="B3227" s="32" t="s">
        <v>55</v>
      </c>
      <c r="C3227" s="32" t="s">
        <v>117</v>
      </c>
      <c r="D3227" s="32" t="s">
        <v>4354</v>
      </c>
      <c r="E3227" s="4" t="n">
        <v>7</v>
      </c>
      <c r="F3227" s="4" t="s">
        <v>213</v>
      </c>
      <c r="G3227" s="4" t="s">
        <v>481</v>
      </c>
      <c r="H3227" s="4" t="n">
        <v>1973</v>
      </c>
      <c r="I3227" s="4" t="s">
        <v>361</v>
      </c>
      <c r="J3227" s="25" t="str">
        <f aca="false">IF(M3227=1,"✓","")</f>
        <v>✓</v>
      </c>
      <c r="K3227" s="4" t="str">
        <f aca="false">IF(AND(M3227=0,P3227=0),"▶ NEXT","")</f>
        <v/>
      </c>
      <c r="L3227" s="4" t="n">
        <f aca="false">INDEX('Master List'!$F$2:$F$2594,O3227)</f>
        <v>3</v>
      </c>
      <c r="M3227" s="4" t="n">
        <f aca="false">INDEX('Master List'!$G$2:$G$2594,O3227)</f>
        <v>1</v>
      </c>
      <c r="N3227" s="4" t="str">
        <f aca="false">IF(K3227="","",A3227)</f>
        <v/>
      </c>
      <c r="O3227" s="4" t="n">
        <v>172</v>
      </c>
      <c r="P3227" s="4" t="n">
        <f aca="false">IF(A3227=A3226,P3226+1-M3226,0)</f>
        <v>6</v>
      </c>
    </row>
    <row r="3228" customFormat="false" ht="15" hidden="false" customHeight="false" outlineLevel="0" collapsed="false">
      <c r="A3228" s="32" t="s">
        <v>4353</v>
      </c>
      <c r="B3228" s="32" t="s">
        <v>55</v>
      </c>
      <c r="C3228" s="32" t="s">
        <v>117</v>
      </c>
      <c r="D3228" s="32" t="s">
        <v>4354</v>
      </c>
      <c r="E3228" s="4" t="n">
        <v>8</v>
      </c>
      <c r="F3228" s="4" t="s">
        <v>213</v>
      </c>
      <c r="G3228" s="4" t="s">
        <v>1023</v>
      </c>
      <c r="H3228" s="4" t="n">
        <v>1974</v>
      </c>
      <c r="I3228" s="4" t="s">
        <v>365</v>
      </c>
      <c r="J3228" s="25" t="str">
        <f aca="false">IF(M3228=1,"✓","")</f>
        <v/>
      </c>
      <c r="K3228" s="4" t="str">
        <f aca="false">IF(AND(M3228=0,P3228=0),"▶ NEXT","")</f>
        <v/>
      </c>
      <c r="L3228" s="4" t="n">
        <f aca="false">INDEX('Master List'!$F$2:$F$2594,O3228)</f>
        <v>2</v>
      </c>
      <c r="M3228" s="4" t="n">
        <f aca="false">INDEX('Master List'!$G$2:$G$2594,O3228)</f>
        <v>0</v>
      </c>
      <c r="N3228" s="4" t="str">
        <f aca="false">IF(K3228="","",A3228)</f>
        <v/>
      </c>
      <c r="O3228" s="4" t="n">
        <v>65</v>
      </c>
      <c r="P3228" s="4" t="n">
        <f aca="false">IF(A3228=A3227,P3227+1-M3227,0)</f>
        <v>6</v>
      </c>
    </row>
    <row r="3229" customFormat="false" ht="15" hidden="false" customHeight="false" outlineLevel="0" collapsed="false">
      <c r="A3229" s="32" t="s">
        <v>4353</v>
      </c>
      <c r="B3229" s="32" t="s">
        <v>55</v>
      </c>
      <c r="C3229" s="32" t="s">
        <v>117</v>
      </c>
      <c r="D3229" s="32" t="s">
        <v>4354</v>
      </c>
      <c r="E3229" s="4" t="n">
        <v>9</v>
      </c>
      <c r="F3229" s="4" t="s">
        <v>213</v>
      </c>
      <c r="G3229" s="4" t="s">
        <v>1352</v>
      </c>
      <c r="H3229" s="4" t="n">
        <v>1976</v>
      </c>
      <c r="I3229" s="4" t="s">
        <v>365</v>
      </c>
      <c r="J3229" s="25" t="str">
        <f aca="false">IF(M3229=1,"✓","")</f>
        <v/>
      </c>
      <c r="K3229" s="4" t="str">
        <f aca="false">IF(AND(M3229=0,P3229=0),"▶ NEXT","")</f>
        <v/>
      </c>
      <c r="L3229" s="4" t="n">
        <f aca="false">INDEX('Master List'!$F$2:$F$2594,O3229)</f>
        <v>2</v>
      </c>
      <c r="M3229" s="4" t="n">
        <f aca="false">INDEX('Master List'!$G$2:$G$2594,O3229)</f>
        <v>0</v>
      </c>
      <c r="N3229" s="4" t="str">
        <f aca="false">IF(K3229="","",A3229)</f>
        <v/>
      </c>
      <c r="O3229" s="4" t="n">
        <v>1262</v>
      </c>
      <c r="P3229" s="4" t="n">
        <f aca="false">IF(A3229=A3228,P3228+1-M3228,0)</f>
        <v>7</v>
      </c>
    </row>
    <row r="3230" customFormat="false" ht="15" hidden="false" customHeight="false" outlineLevel="0" collapsed="false">
      <c r="A3230" s="32" t="s">
        <v>4353</v>
      </c>
      <c r="B3230" s="32" t="s">
        <v>55</v>
      </c>
      <c r="C3230" s="32" t="s">
        <v>117</v>
      </c>
      <c r="D3230" s="32" t="s">
        <v>4354</v>
      </c>
      <c r="E3230" s="4" t="n">
        <v>10</v>
      </c>
      <c r="F3230" s="4" t="s">
        <v>213</v>
      </c>
      <c r="G3230" s="4" t="s">
        <v>364</v>
      </c>
      <c r="H3230" s="4" t="n">
        <v>1984</v>
      </c>
      <c r="I3230" s="4" t="s">
        <v>365</v>
      </c>
      <c r="J3230" s="25" t="str">
        <f aca="false">IF(M3230=1,"✓","")</f>
        <v>✓</v>
      </c>
      <c r="K3230" s="4" t="str">
        <f aca="false">IF(AND(M3230=0,P3230=0),"▶ NEXT","")</f>
        <v/>
      </c>
      <c r="L3230" s="4" t="n">
        <f aca="false">INDEX('Master List'!$F$2:$F$2594,O3230)</f>
        <v>4</v>
      </c>
      <c r="M3230" s="4" t="n">
        <f aca="false">INDEX('Master List'!$G$2:$G$2594,O3230)</f>
        <v>1</v>
      </c>
      <c r="N3230" s="4" t="str">
        <f aca="false">IF(K3230="","",A3230)</f>
        <v/>
      </c>
      <c r="O3230" s="4" t="n">
        <v>1724</v>
      </c>
      <c r="P3230" s="4" t="n">
        <f aca="false">IF(A3230=A3229,P3229+1-M3229,0)</f>
        <v>8</v>
      </c>
    </row>
    <row r="3231" customFormat="false" ht="15" hidden="false" customHeight="false" outlineLevel="0" collapsed="false">
      <c r="A3231" s="32" t="s">
        <v>4353</v>
      </c>
      <c r="B3231" s="32" t="s">
        <v>55</v>
      </c>
      <c r="C3231" s="32" t="s">
        <v>117</v>
      </c>
      <c r="D3231" s="32" t="s">
        <v>4354</v>
      </c>
      <c r="E3231" s="4" t="n">
        <v>11</v>
      </c>
      <c r="F3231" s="4" t="s">
        <v>213</v>
      </c>
      <c r="G3231" s="4" t="s">
        <v>2535</v>
      </c>
      <c r="H3231" s="4" t="n">
        <v>1991</v>
      </c>
      <c r="I3231" s="4" t="s">
        <v>174</v>
      </c>
      <c r="J3231" s="25" t="str">
        <f aca="false">IF(M3231=1,"✓","")</f>
        <v/>
      </c>
      <c r="K3231" s="4" t="str">
        <f aca="false">IF(AND(M3231=0,P3231=0),"▶ NEXT","")</f>
        <v/>
      </c>
      <c r="L3231" s="4" t="n">
        <f aca="false">INDEX('Master List'!$F$2:$F$2594,O3231)</f>
        <v>1</v>
      </c>
      <c r="M3231" s="4" t="n">
        <f aca="false">INDEX('Master List'!$G$2:$G$2594,O3231)</f>
        <v>0</v>
      </c>
      <c r="N3231" s="4" t="str">
        <f aca="false">IF(K3231="","",A3231)</f>
        <v/>
      </c>
      <c r="O3231" s="4" t="n">
        <v>2264</v>
      </c>
      <c r="P3231" s="4" t="n">
        <f aca="false">IF(A3231=A3230,P3230+1-M3230,0)</f>
        <v>8</v>
      </c>
    </row>
    <row r="3232" customFormat="false" ht="15" hidden="false" customHeight="false" outlineLevel="0" collapsed="false">
      <c r="A3232" s="32" t="s">
        <v>4353</v>
      </c>
      <c r="B3232" s="32" t="s">
        <v>55</v>
      </c>
      <c r="C3232" s="32" t="s">
        <v>117</v>
      </c>
      <c r="D3232" s="32" t="s">
        <v>4354</v>
      </c>
      <c r="E3232" s="4" t="n">
        <v>12</v>
      </c>
      <c r="F3232" s="4" t="s">
        <v>213</v>
      </c>
      <c r="G3232" s="4" t="s">
        <v>826</v>
      </c>
      <c r="H3232" s="4" t="n">
        <v>1991</v>
      </c>
      <c r="I3232" s="4" t="s">
        <v>827</v>
      </c>
      <c r="J3232" s="25" t="str">
        <f aca="false">IF(M3232=1,"✓","")</f>
        <v>✓</v>
      </c>
      <c r="K3232" s="4" t="str">
        <f aca="false">IF(AND(M3232=0,P3232=0),"▶ NEXT","")</f>
        <v/>
      </c>
      <c r="L3232" s="4" t="n">
        <f aca="false">INDEX('Master List'!$F$2:$F$2594,O3232)</f>
        <v>2</v>
      </c>
      <c r="M3232" s="4" t="n">
        <f aca="false">INDEX('Master List'!$G$2:$G$2594,O3232)</f>
        <v>1</v>
      </c>
      <c r="N3232" s="4" t="str">
        <f aca="false">IF(K3232="","",A3232)</f>
        <v/>
      </c>
      <c r="O3232" s="4" t="n">
        <v>1576</v>
      </c>
      <c r="P3232" s="4" t="n">
        <f aca="false">IF(A3232=A3231,P3231+1-M3231,0)</f>
        <v>9</v>
      </c>
    </row>
    <row r="3233" customFormat="false" ht="15" hidden="false" customHeight="false" outlineLevel="0" collapsed="false">
      <c r="A3233" s="32" t="s">
        <v>4353</v>
      </c>
      <c r="B3233" s="32" t="s">
        <v>55</v>
      </c>
      <c r="C3233" s="32" t="s">
        <v>117</v>
      </c>
      <c r="D3233" s="32" t="s">
        <v>4354</v>
      </c>
      <c r="E3233" s="4" t="n">
        <v>13</v>
      </c>
      <c r="F3233" s="4" t="s">
        <v>213</v>
      </c>
      <c r="G3233" s="4" t="s">
        <v>2865</v>
      </c>
      <c r="H3233" s="4" t="n">
        <v>2006</v>
      </c>
      <c r="I3233" s="4" t="s">
        <v>2866</v>
      </c>
      <c r="J3233" s="25" t="str">
        <f aca="false">IF(M3233=1,"✓","")</f>
        <v>✓</v>
      </c>
      <c r="K3233" s="4" t="str">
        <f aca="false">IF(AND(M3233=0,P3233=0),"▶ NEXT","")</f>
        <v/>
      </c>
      <c r="L3233" s="4" t="n">
        <f aca="false">INDEX('Master List'!$F$2:$F$2594,O3233)</f>
        <v>1</v>
      </c>
      <c r="M3233" s="4" t="n">
        <f aca="false">INDEX('Master List'!$G$2:$G$2594,O3233)</f>
        <v>1</v>
      </c>
      <c r="N3233" s="4" t="str">
        <f aca="false">IF(K3233="","",A3233)</f>
        <v/>
      </c>
      <c r="O3233" s="4" t="n">
        <v>1353</v>
      </c>
      <c r="P3233" s="4" t="n">
        <f aca="false">IF(A3233=A3232,P3232+1-M3232,0)</f>
        <v>9</v>
      </c>
    </row>
    <row r="3234" customFormat="false" ht="15" hidden="false" customHeight="false" outlineLevel="0" collapsed="false">
      <c r="A3234" s="32" t="s">
        <v>4353</v>
      </c>
      <c r="B3234" s="32" t="s">
        <v>55</v>
      </c>
      <c r="C3234" s="32" t="s">
        <v>117</v>
      </c>
      <c r="D3234" s="32" t="s">
        <v>4354</v>
      </c>
      <c r="E3234" s="4" t="n">
        <v>14</v>
      </c>
      <c r="F3234" s="4" t="s">
        <v>213</v>
      </c>
      <c r="G3234" s="4" t="s">
        <v>690</v>
      </c>
      <c r="H3234" s="4" t="n">
        <v>2013</v>
      </c>
      <c r="I3234" s="4" t="s">
        <v>429</v>
      </c>
      <c r="J3234" s="25" t="str">
        <f aca="false">IF(M3234=1,"✓","")</f>
        <v>✓</v>
      </c>
      <c r="K3234" s="4" t="str">
        <f aca="false">IF(AND(M3234=0,P3234=0),"▶ NEXT","")</f>
        <v/>
      </c>
      <c r="L3234" s="4" t="n">
        <f aca="false">INDEX('Master List'!$F$2:$F$2594,O3234)</f>
        <v>3</v>
      </c>
      <c r="M3234" s="4" t="n">
        <f aca="false">INDEX('Master List'!$G$2:$G$2594,O3234)</f>
        <v>1</v>
      </c>
      <c r="N3234" s="4" t="str">
        <f aca="false">IF(K3234="","",A3234)</f>
        <v/>
      </c>
      <c r="O3234" s="4" t="n">
        <v>1591</v>
      </c>
      <c r="P3234" s="4" t="n">
        <f aca="false">IF(A3234=A3233,P3233+1-M3233,0)</f>
        <v>9</v>
      </c>
    </row>
    <row r="3235" customFormat="false" ht="15" hidden="false" customHeight="false" outlineLevel="0" collapsed="false">
      <c r="A3235" s="32" t="s">
        <v>4353</v>
      </c>
      <c r="B3235" s="32" t="s">
        <v>55</v>
      </c>
      <c r="C3235" s="32" t="s">
        <v>117</v>
      </c>
      <c r="D3235" s="32" t="s">
        <v>4354</v>
      </c>
      <c r="E3235" s="4" t="n">
        <v>15</v>
      </c>
      <c r="F3235" s="4" t="s">
        <v>1327</v>
      </c>
      <c r="G3235" s="4" t="s">
        <v>1371</v>
      </c>
      <c r="H3235" s="4" t="n">
        <v>1985</v>
      </c>
      <c r="I3235" s="4" t="s">
        <v>158</v>
      </c>
      <c r="J3235" s="25" t="str">
        <f aca="false">IF(M3235=1,"✓","")</f>
        <v/>
      </c>
      <c r="K3235" s="4" t="str">
        <f aca="false">IF(AND(M3235=0,P3235=0),"▶ NEXT","")</f>
        <v/>
      </c>
      <c r="L3235" s="4" t="n">
        <f aca="false">INDEX('Master List'!$F$2:$F$2594,O3235)</f>
        <v>2</v>
      </c>
      <c r="M3235" s="4" t="n">
        <f aca="false">INDEX('Master List'!$G$2:$G$2594,O3235)</f>
        <v>0</v>
      </c>
      <c r="N3235" s="4" t="str">
        <f aca="false">IF(K3235="","",A3235)</f>
        <v/>
      </c>
      <c r="O3235" s="4" t="n">
        <v>2417</v>
      </c>
      <c r="P3235" s="4" t="n">
        <f aca="false">IF(A3235=A3234,P3234+1-M3234,0)</f>
        <v>9</v>
      </c>
    </row>
    <row r="3236" customFormat="false" ht="15" hidden="false" customHeight="false" outlineLevel="0" collapsed="false">
      <c r="A3236" s="32" t="s">
        <v>4353</v>
      </c>
      <c r="B3236" s="32" t="s">
        <v>55</v>
      </c>
      <c r="C3236" s="32" t="s">
        <v>117</v>
      </c>
      <c r="D3236" s="32" t="s">
        <v>4354</v>
      </c>
      <c r="E3236" s="4" t="n">
        <v>16</v>
      </c>
      <c r="F3236" s="4" t="s">
        <v>1327</v>
      </c>
      <c r="G3236" s="4" t="s">
        <v>1372</v>
      </c>
      <c r="H3236" s="4" t="n">
        <v>1987</v>
      </c>
      <c r="I3236" s="4" t="s">
        <v>1373</v>
      </c>
      <c r="J3236" s="25" t="str">
        <f aca="false">IF(M3236=1,"✓","")</f>
        <v>✓</v>
      </c>
      <c r="K3236" s="4" t="str">
        <f aca="false">IF(AND(M3236=0,P3236=0),"▶ NEXT","")</f>
        <v/>
      </c>
      <c r="L3236" s="4" t="n">
        <f aca="false">INDEX('Master List'!$F$2:$F$2594,O3236)</f>
        <v>2</v>
      </c>
      <c r="M3236" s="4" t="n">
        <f aca="false">INDEX('Master List'!$G$2:$G$2594,O3236)</f>
        <v>1</v>
      </c>
      <c r="N3236" s="4" t="str">
        <f aca="false">IF(K3236="","",A3236)</f>
        <v/>
      </c>
      <c r="O3236" s="4" t="n">
        <v>1775</v>
      </c>
      <c r="P3236" s="4" t="n">
        <f aca="false">IF(A3236=A3235,P3235+1-M3235,0)</f>
        <v>10</v>
      </c>
    </row>
    <row r="3237" customFormat="false" ht="15" hidden="false" customHeight="false" outlineLevel="0" collapsed="false">
      <c r="A3237" s="32" t="s">
        <v>4355</v>
      </c>
      <c r="B3237" s="32" t="s">
        <v>55</v>
      </c>
      <c r="C3237" s="32" t="s">
        <v>117</v>
      </c>
      <c r="D3237" s="32" t="s">
        <v>4356</v>
      </c>
      <c r="E3237" s="4" t="n">
        <v>1</v>
      </c>
      <c r="F3237" s="4" t="s">
        <v>144</v>
      </c>
      <c r="G3237" s="7" t="s">
        <v>1517</v>
      </c>
      <c r="H3237" s="4" t="n">
        <v>1979</v>
      </c>
      <c r="I3237" s="4" t="s">
        <v>604</v>
      </c>
      <c r="J3237" s="25" t="str">
        <f aca="false">IF(M3237=1,"✓","")</f>
        <v>✓</v>
      </c>
      <c r="K3237" s="4" t="str">
        <f aca="false">IF(AND(M3237=0,P3237=0),"▶ NEXT","")</f>
        <v/>
      </c>
      <c r="L3237" s="4" t="n">
        <f aca="false">INDEX('Master List'!$F$2:$F$2594,O3237)</f>
        <v>1</v>
      </c>
      <c r="M3237" s="4" t="n">
        <f aca="false">INDEX('Master List'!$G$2:$G$2594,O3237)</f>
        <v>1</v>
      </c>
      <c r="N3237" s="4" t="str">
        <f aca="false">IF(K3237="","",A3237)</f>
        <v/>
      </c>
      <c r="O3237" s="4" t="n">
        <v>1438</v>
      </c>
      <c r="P3237" s="4" t="n">
        <f aca="false">IF(A3237=A3236,P3236+1-M3236,0)</f>
        <v>0</v>
      </c>
    </row>
    <row r="3238" customFormat="false" ht="15" hidden="false" customHeight="false" outlineLevel="0" collapsed="false">
      <c r="A3238" s="32" t="s">
        <v>4355</v>
      </c>
      <c r="B3238" s="32" t="s">
        <v>55</v>
      </c>
      <c r="C3238" s="32" t="s">
        <v>117</v>
      </c>
      <c r="D3238" s="32" t="s">
        <v>4356</v>
      </c>
      <c r="E3238" s="4" t="n">
        <v>2</v>
      </c>
      <c r="F3238" s="4" t="s">
        <v>144</v>
      </c>
      <c r="G3238" s="7" t="s">
        <v>163</v>
      </c>
      <c r="H3238" s="4" t="n">
        <v>1976</v>
      </c>
      <c r="I3238" s="4" t="s">
        <v>164</v>
      </c>
      <c r="J3238" s="25" t="str">
        <f aca="false">IF(M3238=1,"✓","")</f>
        <v>✓</v>
      </c>
      <c r="K3238" s="4" t="str">
        <f aca="false">IF(AND(M3238=0,P3238=0),"▶ NEXT","")</f>
        <v/>
      </c>
      <c r="L3238" s="4" t="n">
        <f aca="false">INDEX('Master List'!$F$2:$F$2594,O3238)</f>
        <v>8</v>
      </c>
      <c r="M3238" s="4" t="n">
        <f aca="false">INDEX('Master List'!$G$2:$G$2594,O3238)</f>
        <v>1</v>
      </c>
      <c r="N3238" s="4" t="str">
        <f aca="false">IF(K3238="","",A3238)</f>
        <v/>
      </c>
      <c r="O3238" s="4" t="n">
        <v>2248</v>
      </c>
      <c r="P3238" s="4" t="n">
        <f aca="false">IF(A3238=A3237,P3237+1-M3237,0)</f>
        <v>0</v>
      </c>
    </row>
    <row r="3239" customFormat="false" ht="15" hidden="false" customHeight="false" outlineLevel="0" collapsed="false">
      <c r="A3239" s="32" t="s">
        <v>4355</v>
      </c>
      <c r="B3239" s="32" t="s">
        <v>55</v>
      </c>
      <c r="C3239" s="32" t="s">
        <v>117</v>
      </c>
      <c r="D3239" s="32" t="s">
        <v>4356</v>
      </c>
      <c r="E3239" s="4" t="n">
        <v>3</v>
      </c>
      <c r="F3239" s="4" t="s">
        <v>213</v>
      </c>
      <c r="G3239" s="4" t="s">
        <v>534</v>
      </c>
      <c r="H3239" s="4" t="n">
        <v>1928</v>
      </c>
      <c r="I3239" s="4" t="s">
        <v>535</v>
      </c>
      <c r="J3239" s="25" t="str">
        <f aca="false">IF(M3239=1,"✓","")</f>
        <v/>
      </c>
      <c r="K3239" s="4" t="str">
        <f aca="false">IF(AND(M3239=0,P3239=0),"▶ NEXT","")</f>
        <v>▶ NEXT</v>
      </c>
      <c r="L3239" s="4" t="n">
        <f aca="false">INDEX('Master List'!$F$2:$F$2594,O3239)</f>
        <v>3</v>
      </c>
      <c r="M3239" s="4" t="n">
        <f aca="false">INDEX('Master List'!$G$2:$G$2594,O3239)</f>
        <v>0</v>
      </c>
      <c r="N3239" s="4" t="str">
        <f aca="false">IF(K3239="","",A3239)</f>
        <v>N266</v>
      </c>
      <c r="O3239" s="4" t="n">
        <v>544</v>
      </c>
      <c r="P3239" s="4" t="n">
        <f aca="false">IF(A3239=A3238,P3238+1-M3238,0)</f>
        <v>0</v>
      </c>
    </row>
    <row r="3240" customFormat="false" ht="15" hidden="false" customHeight="false" outlineLevel="0" collapsed="false">
      <c r="A3240" s="32" t="s">
        <v>4355</v>
      </c>
      <c r="B3240" s="32" t="s">
        <v>55</v>
      </c>
      <c r="C3240" s="32" t="s">
        <v>117</v>
      </c>
      <c r="D3240" s="32" t="s">
        <v>4356</v>
      </c>
      <c r="E3240" s="4" t="n">
        <v>4</v>
      </c>
      <c r="F3240" s="4" t="s">
        <v>213</v>
      </c>
      <c r="G3240" s="4" t="s">
        <v>931</v>
      </c>
      <c r="H3240" s="4" t="n">
        <v>1949</v>
      </c>
      <c r="I3240" s="4" t="s">
        <v>225</v>
      </c>
      <c r="J3240" s="25" t="str">
        <f aca="false">IF(M3240=1,"✓","")</f>
        <v/>
      </c>
      <c r="K3240" s="4" t="str">
        <f aca="false">IF(AND(M3240=0,P3240=0),"▶ NEXT","")</f>
        <v/>
      </c>
      <c r="L3240" s="4" t="n">
        <f aca="false">INDEX('Master List'!$F$2:$F$2594,O3240)</f>
        <v>2</v>
      </c>
      <c r="M3240" s="4" t="n">
        <f aca="false">INDEX('Master List'!$G$2:$G$2594,O3240)</f>
        <v>0</v>
      </c>
      <c r="N3240" s="4" t="str">
        <f aca="false">IF(K3240="","",A3240)</f>
        <v/>
      </c>
      <c r="O3240" s="4" t="n">
        <v>1666</v>
      </c>
      <c r="P3240" s="4" t="n">
        <f aca="false">IF(A3240=A3239,P3239+1-M3239,0)</f>
        <v>1</v>
      </c>
    </row>
    <row r="3241" customFormat="false" ht="15" hidden="false" customHeight="false" outlineLevel="0" collapsed="false">
      <c r="A3241" s="32" t="s">
        <v>4355</v>
      </c>
      <c r="B3241" s="32" t="s">
        <v>55</v>
      </c>
      <c r="C3241" s="32" t="s">
        <v>117</v>
      </c>
      <c r="D3241" s="32" t="s">
        <v>4356</v>
      </c>
      <c r="E3241" s="4" t="n">
        <v>5</v>
      </c>
      <c r="F3241" s="4" t="s">
        <v>213</v>
      </c>
      <c r="G3241" s="4" t="s">
        <v>410</v>
      </c>
      <c r="H3241" s="4" t="n">
        <v>1957</v>
      </c>
      <c r="I3241" s="4" t="s">
        <v>411</v>
      </c>
      <c r="J3241" s="25" t="str">
        <f aca="false">IF(M3241=1,"✓","")</f>
        <v/>
      </c>
      <c r="K3241" s="4" t="str">
        <f aca="false">IF(AND(M3241=0,P3241=0),"▶ NEXT","")</f>
        <v/>
      </c>
      <c r="L3241" s="4" t="n">
        <f aca="false">INDEX('Master List'!$F$2:$F$2594,O3241)</f>
        <v>4</v>
      </c>
      <c r="M3241" s="4" t="n">
        <f aca="false">INDEX('Master List'!$G$2:$G$2594,O3241)</f>
        <v>0</v>
      </c>
      <c r="N3241" s="4" t="str">
        <f aca="false">IF(K3241="","",A3241)</f>
        <v/>
      </c>
      <c r="O3241" s="4" t="n">
        <v>2215</v>
      </c>
      <c r="P3241" s="4" t="n">
        <f aca="false">IF(A3241=A3240,P3240+1-M3240,0)</f>
        <v>2</v>
      </c>
    </row>
    <row r="3242" customFormat="false" ht="15" hidden="false" customHeight="false" outlineLevel="0" collapsed="false">
      <c r="A3242" s="32" t="s">
        <v>4355</v>
      </c>
      <c r="B3242" s="32" t="s">
        <v>55</v>
      </c>
      <c r="C3242" s="32" t="s">
        <v>117</v>
      </c>
      <c r="D3242" s="32" t="s">
        <v>4356</v>
      </c>
      <c r="E3242" s="4" t="n">
        <v>6</v>
      </c>
      <c r="F3242" s="4" t="s">
        <v>213</v>
      </c>
      <c r="G3242" s="4" t="s">
        <v>199</v>
      </c>
      <c r="H3242" s="4" t="n">
        <v>1960</v>
      </c>
      <c r="I3242" s="4" t="s">
        <v>200</v>
      </c>
      <c r="J3242" s="25" t="str">
        <f aca="false">IF(M3242=1,"✓","")</f>
        <v/>
      </c>
      <c r="K3242" s="4" t="str">
        <f aca="false">IF(AND(M3242=0,P3242=0),"▶ NEXT","")</f>
        <v/>
      </c>
      <c r="L3242" s="4" t="n">
        <f aca="false">INDEX('Master List'!$F$2:$F$2594,O3242)</f>
        <v>7</v>
      </c>
      <c r="M3242" s="4" t="n">
        <f aca="false">INDEX('Master List'!$G$2:$G$2594,O3242)</f>
        <v>0</v>
      </c>
      <c r="N3242" s="4" t="str">
        <f aca="false">IF(K3242="","",A3242)</f>
        <v/>
      </c>
      <c r="O3242" s="4" t="n">
        <v>120</v>
      </c>
      <c r="P3242" s="4" t="n">
        <f aca="false">IF(A3242=A3241,P3241+1-M3241,0)</f>
        <v>3</v>
      </c>
    </row>
    <row r="3243" customFormat="false" ht="15" hidden="false" customHeight="false" outlineLevel="0" collapsed="false">
      <c r="A3243" s="32" t="s">
        <v>4355</v>
      </c>
      <c r="B3243" s="32" t="s">
        <v>55</v>
      </c>
      <c r="C3243" s="32" t="s">
        <v>117</v>
      </c>
      <c r="D3243" s="32" t="s">
        <v>4356</v>
      </c>
      <c r="E3243" s="4" t="n">
        <v>7</v>
      </c>
      <c r="F3243" s="4" t="s">
        <v>213</v>
      </c>
      <c r="G3243" s="4" t="s">
        <v>2003</v>
      </c>
      <c r="H3243" s="4" t="n">
        <v>1961</v>
      </c>
      <c r="I3243" s="4" t="s">
        <v>2004</v>
      </c>
      <c r="J3243" s="25" t="str">
        <f aca="false">IF(M3243=1,"✓","")</f>
        <v/>
      </c>
      <c r="K3243" s="4" t="str">
        <f aca="false">IF(AND(M3243=0,P3243=0),"▶ NEXT","")</f>
        <v/>
      </c>
      <c r="L3243" s="4" t="n">
        <f aca="false">INDEX('Master List'!$F$2:$F$2594,O3243)</f>
        <v>1</v>
      </c>
      <c r="M3243" s="4" t="n">
        <f aca="false">INDEX('Master List'!$G$2:$G$2594,O3243)</f>
        <v>0</v>
      </c>
      <c r="N3243" s="4" t="str">
        <f aca="false">IF(K3243="","",A3243)</f>
        <v/>
      </c>
      <c r="O3243" s="4" t="n">
        <v>339</v>
      </c>
      <c r="P3243" s="4" t="n">
        <f aca="false">IF(A3243=A3242,P3242+1-M3242,0)</f>
        <v>4</v>
      </c>
    </row>
    <row r="3244" customFormat="false" ht="15" hidden="false" customHeight="false" outlineLevel="0" collapsed="false">
      <c r="A3244" s="32" t="s">
        <v>4355</v>
      </c>
      <c r="B3244" s="32" t="s">
        <v>55</v>
      </c>
      <c r="C3244" s="32" t="s">
        <v>117</v>
      </c>
      <c r="D3244" s="32" t="s">
        <v>4356</v>
      </c>
      <c r="E3244" s="4" t="n">
        <v>8</v>
      </c>
      <c r="F3244" s="4" t="s">
        <v>213</v>
      </c>
      <c r="G3244" s="4" t="s">
        <v>588</v>
      </c>
      <c r="H3244" s="4" t="n">
        <v>1969</v>
      </c>
      <c r="I3244" s="4" t="s">
        <v>589</v>
      </c>
      <c r="J3244" s="25" t="str">
        <f aca="false">IF(M3244=1,"✓","")</f>
        <v>✓</v>
      </c>
      <c r="K3244" s="4" t="str">
        <f aca="false">IF(AND(M3244=0,P3244=0),"▶ NEXT","")</f>
        <v/>
      </c>
      <c r="L3244" s="4" t="n">
        <f aca="false">INDEX('Master List'!$F$2:$F$2594,O3244)</f>
        <v>3</v>
      </c>
      <c r="M3244" s="4" t="n">
        <f aca="false">INDEX('Master List'!$G$2:$G$2594,O3244)</f>
        <v>1</v>
      </c>
      <c r="N3244" s="4" t="str">
        <f aca="false">IF(K3244="","",A3244)</f>
        <v/>
      </c>
      <c r="O3244" s="4" t="n">
        <v>1493</v>
      </c>
      <c r="P3244" s="4" t="n">
        <f aca="false">IF(A3244=A3243,P3243+1-M3243,0)</f>
        <v>5</v>
      </c>
    </row>
    <row r="3245" customFormat="false" ht="15" hidden="false" customHeight="false" outlineLevel="0" collapsed="false">
      <c r="A3245" s="32" t="s">
        <v>4355</v>
      </c>
      <c r="B3245" s="32" t="s">
        <v>55</v>
      </c>
      <c r="C3245" s="32" t="s">
        <v>117</v>
      </c>
      <c r="D3245" s="32" t="s">
        <v>4356</v>
      </c>
      <c r="E3245" s="4" t="n">
        <v>9</v>
      </c>
      <c r="F3245" s="4" t="s">
        <v>213</v>
      </c>
      <c r="G3245" s="4" t="s">
        <v>600</v>
      </c>
      <c r="H3245" s="4" t="n">
        <v>1973</v>
      </c>
      <c r="I3245" s="4" t="s">
        <v>164</v>
      </c>
      <c r="J3245" s="25" t="str">
        <f aca="false">IF(M3245=1,"✓","")</f>
        <v>✓</v>
      </c>
      <c r="K3245" s="4" t="str">
        <f aca="false">IF(AND(M3245=0,P3245=0),"▶ NEXT","")</f>
        <v/>
      </c>
      <c r="L3245" s="4" t="n">
        <f aca="false">INDEX('Master List'!$F$2:$F$2594,O3245)</f>
        <v>3</v>
      </c>
      <c r="M3245" s="4" t="n">
        <f aca="false">INDEX('Master List'!$G$2:$G$2594,O3245)</f>
        <v>1</v>
      </c>
      <c r="N3245" s="4" t="str">
        <f aca="false">IF(K3245="","",A3245)</f>
        <v/>
      </c>
      <c r="O3245" s="4" t="n">
        <v>1468</v>
      </c>
      <c r="P3245" s="4" t="n">
        <f aca="false">IF(A3245=A3244,P3244+1-M3244,0)</f>
        <v>5</v>
      </c>
    </row>
    <row r="3246" customFormat="false" ht="15" hidden="false" customHeight="false" outlineLevel="0" collapsed="false">
      <c r="A3246" s="32" t="s">
        <v>4355</v>
      </c>
      <c r="B3246" s="32" t="s">
        <v>55</v>
      </c>
      <c r="C3246" s="32" t="s">
        <v>117</v>
      </c>
      <c r="D3246" s="32" t="s">
        <v>4356</v>
      </c>
      <c r="E3246" s="4" t="n">
        <v>10</v>
      </c>
      <c r="F3246" s="4" t="s">
        <v>213</v>
      </c>
      <c r="G3246" s="4" t="s">
        <v>398</v>
      </c>
      <c r="H3246" s="4" t="n">
        <v>1985</v>
      </c>
      <c r="I3246" s="4" t="s">
        <v>164</v>
      </c>
      <c r="J3246" s="25" t="str">
        <f aca="false">IF(M3246=1,"✓","")</f>
        <v>✓</v>
      </c>
      <c r="K3246" s="4" t="str">
        <f aca="false">IF(AND(M3246=0,P3246=0),"▶ NEXT","")</f>
        <v/>
      </c>
      <c r="L3246" s="4" t="n">
        <f aca="false">INDEX('Master List'!$F$2:$F$2594,O3246)</f>
        <v>4</v>
      </c>
      <c r="M3246" s="4" t="n">
        <f aca="false">INDEX('Master List'!$G$2:$G$2594,O3246)</f>
        <v>1</v>
      </c>
      <c r="N3246" s="4" t="str">
        <f aca="false">IF(K3246="","",A3246)</f>
        <v/>
      </c>
      <c r="O3246" s="4" t="n">
        <v>49</v>
      </c>
      <c r="P3246" s="4" t="n">
        <f aca="false">IF(A3246=A3245,P3245+1-M3245,0)</f>
        <v>5</v>
      </c>
    </row>
    <row r="3247" customFormat="false" ht="15" hidden="false" customHeight="false" outlineLevel="0" collapsed="false">
      <c r="A3247" s="32" t="s">
        <v>4355</v>
      </c>
      <c r="B3247" s="32" t="s">
        <v>55</v>
      </c>
      <c r="C3247" s="32" t="s">
        <v>117</v>
      </c>
      <c r="D3247" s="32" t="s">
        <v>4356</v>
      </c>
      <c r="E3247" s="4" t="n">
        <v>11</v>
      </c>
      <c r="F3247" s="4" t="s">
        <v>213</v>
      </c>
      <c r="G3247" s="4" t="s">
        <v>147</v>
      </c>
      <c r="H3247" s="4" t="n">
        <v>1989</v>
      </c>
      <c r="I3247" s="4" t="s">
        <v>148</v>
      </c>
      <c r="J3247" s="25" t="str">
        <f aca="false">IF(M3247=1,"✓","")</f>
        <v>✓</v>
      </c>
      <c r="K3247" s="4" t="str">
        <f aca="false">IF(AND(M3247=0,P3247=0),"▶ NEXT","")</f>
        <v/>
      </c>
      <c r="L3247" s="4" t="n">
        <f aca="false">INDEX('Master List'!$F$2:$F$2594,O3247)</f>
        <v>11</v>
      </c>
      <c r="M3247" s="4" t="n">
        <f aca="false">INDEX('Master List'!$G$2:$G$2594,O3247)</f>
        <v>1</v>
      </c>
      <c r="N3247" s="4" t="str">
        <f aca="false">IF(K3247="","",A3247)</f>
        <v/>
      </c>
      <c r="O3247" s="4" t="n">
        <v>646</v>
      </c>
      <c r="P3247" s="4" t="n">
        <f aca="false">IF(A3247=A3246,P3246+1-M3246,0)</f>
        <v>5</v>
      </c>
    </row>
    <row r="3248" customFormat="false" ht="15" hidden="false" customHeight="false" outlineLevel="0" collapsed="false">
      <c r="A3248" s="32" t="s">
        <v>4355</v>
      </c>
      <c r="B3248" s="32" t="s">
        <v>55</v>
      </c>
      <c r="C3248" s="32" t="s">
        <v>117</v>
      </c>
      <c r="D3248" s="32" t="s">
        <v>4356</v>
      </c>
      <c r="E3248" s="4" t="n">
        <v>12</v>
      </c>
      <c r="F3248" s="4" t="s">
        <v>213</v>
      </c>
      <c r="G3248" s="4" t="s">
        <v>869</v>
      </c>
      <c r="H3248" s="4" t="n">
        <v>2012</v>
      </c>
      <c r="I3248" s="4" t="s">
        <v>870</v>
      </c>
      <c r="J3248" s="25" t="str">
        <f aca="false">IF(M3248=1,"✓","")</f>
        <v>✓</v>
      </c>
      <c r="K3248" s="4" t="str">
        <f aca="false">IF(AND(M3248=0,P3248=0),"▶ NEXT","")</f>
        <v/>
      </c>
      <c r="L3248" s="4" t="n">
        <f aca="false">INDEX('Master List'!$F$2:$F$2594,O3248)</f>
        <v>2</v>
      </c>
      <c r="M3248" s="4" t="n">
        <f aca="false">INDEX('Master List'!$G$2:$G$2594,O3248)</f>
        <v>1</v>
      </c>
      <c r="N3248" s="4" t="str">
        <f aca="false">IF(K3248="","",A3248)</f>
        <v/>
      </c>
      <c r="O3248" s="4" t="n">
        <v>845</v>
      </c>
      <c r="P3248" s="4" t="n">
        <f aca="false">IF(A3248=A3247,P3247+1-M3247,0)</f>
        <v>5</v>
      </c>
    </row>
    <row r="3249" customFormat="false" ht="15" hidden="false" customHeight="false" outlineLevel="0" collapsed="false">
      <c r="A3249" s="32" t="s">
        <v>4355</v>
      </c>
      <c r="B3249" s="32" t="s">
        <v>55</v>
      </c>
      <c r="C3249" s="32" t="s">
        <v>117</v>
      </c>
      <c r="D3249" s="32" t="s">
        <v>4356</v>
      </c>
      <c r="E3249" s="4" t="n">
        <v>13</v>
      </c>
      <c r="F3249" s="4" t="s">
        <v>213</v>
      </c>
      <c r="G3249" s="4" t="s">
        <v>1241</v>
      </c>
      <c r="H3249" s="4" t="n">
        <v>2017</v>
      </c>
      <c r="I3249" s="4" t="s">
        <v>653</v>
      </c>
      <c r="J3249" s="25" t="str">
        <f aca="false">IF(M3249=1,"✓","")</f>
        <v>✓</v>
      </c>
      <c r="K3249" s="4" t="str">
        <f aca="false">IF(AND(M3249=0,P3249=0),"▶ NEXT","")</f>
        <v/>
      </c>
      <c r="L3249" s="4" t="n">
        <f aca="false">INDEX('Master List'!$F$2:$F$2594,O3249)</f>
        <v>2</v>
      </c>
      <c r="M3249" s="4" t="n">
        <f aca="false">INDEX('Master List'!$G$2:$G$2594,O3249)</f>
        <v>1</v>
      </c>
      <c r="N3249" s="4" t="str">
        <f aca="false">IF(K3249="","",A3249)</f>
        <v/>
      </c>
      <c r="O3249" s="4" t="n">
        <v>930</v>
      </c>
      <c r="P3249" s="4" t="n">
        <f aca="false">IF(A3249=A3248,P3248+1-M3248,0)</f>
        <v>5</v>
      </c>
    </row>
    <row r="3250" customFormat="false" ht="15" hidden="false" customHeight="false" outlineLevel="0" collapsed="false">
      <c r="A3250" s="32" t="s">
        <v>4355</v>
      </c>
      <c r="B3250" s="32" t="s">
        <v>55</v>
      </c>
      <c r="C3250" s="32" t="s">
        <v>117</v>
      </c>
      <c r="D3250" s="32" t="s">
        <v>4356</v>
      </c>
      <c r="E3250" s="4" t="n">
        <v>14</v>
      </c>
      <c r="F3250" s="4" t="s">
        <v>1327</v>
      </c>
      <c r="G3250" s="4" t="s">
        <v>3373</v>
      </c>
      <c r="H3250" s="4" t="n">
        <v>1953</v>
      </c>
      <c r="I3250" s="4" t="s">
        <v>3374</v>
      </c>
      <c r="J3250" s="25" t="str">
        <f aca="false">IF(M3250=1,"✓","")</f>
        <v/>
      </c>
      <c r="K3250" s="4" t="str">
        <f aca="false">IF(AND(M3250=0,P3250=0),"▶ NEXT","")</f>
        <v/>
      </c>
      <c r="L3250" s="4" t="n">
        <f aca="false">INDEX('Master List'!$F$2:$F$2594,O3250)</f>
        <v>1</v>
      </c>
      <c r="M3250" s="4" t="n">
        <f aca="false">INDEX('Master List'!$G$2:$G$2594,O3250)</f>
        <v>0</v>
      </c>
      <c r="N3250" s="4" t="str">
        <f aca="false">IF(K3250="","",A3250)</f>
        <v/>
      </c>
      <c r="O3250" s="4" t="n">
        <v>1351</v>
      </c>
      <c r="P3250" s="4" t="n">
        <f aca="false">IF(A3250=A3249,P3249+1-M3249,0)</f>
        <v>5</v>
      </c>
    </row>
    <row r="3251" customFormat="false" ht="15" hidden="false" customHeight="false" outlineLevel="0" collapsed="false">
      <c r="A3251" s="32" t="s">
        <v>4355</v>
      </c>
      <c r="B3251" s="32" t="s">
        <v>55</v>
      </c>
      <c r="C3251" s="32" t="s">
        <v>117</v>
      </c>
      <c r="D3251" s="32" t="s">
        <v>4356</v>
      </c>
      <c r="E3251" s="4" t="n">
        <v>15</v>
      </c>
      <c r="F3251" s="4" t="s">
        <v>1327</v>
      </c>
      <c r="G3251" s="4" t="s">
        <v>895</v>
      </c>
      <c r="H3251" s="4" t="n">
        <v>1958</v>
      </c>
      <c r="I3251" s="4" t="s">
        <v>801</v>
      </c>
      <c r="J3251" s="25" t="str">
        <f aca="false">IF(M3251=1,"✓","")</f>
        <v/>
      </c>
      <c r="K3251" s="4" t="str">
        <f aca="false">IF(AND(M3251=0,P3251=0),"▶ NEXT","")</f>
        <v/>
      </c>
      <c r="L3251" s="4" t="n">
        <f aca="false">INDEX('Master List'!$F$2:$F$2594,O3251)</f>
        <v>3</v>
      </c>
      <c r="M3251" s="4" t="n">
        <f aca="false">INDEX('Master List'!$G$2:$G$2594,O3251)</f>
        <v>0</v>
      </c>
      <c r="N3251" s="4" t="str">
        <f aca="false">IF(K3251="","",A3251)</f>
        <v/>
      </c>
      <c r="O3251" s="4" t="n">
        <v>2029</v>
      </c>
      <c r="P3251" s="4" t="n">
        <f aca="false">IF(A3251=A3250,P3250+1-M3250,0)</f>
        <v>6</v>
      </c>
    </row>
    <row r="3252" customFormat="false" ht="15" hidden="false" customHeight="false" outlineLevel="0" collapsed="false">
      <c r="A3252" s="32" t="s">
        <v>4357</v>
      </c>
      <c r="B3252" s="32" t="s">
        <v>55</v>
      </c>
      <c r="C3252" s="32" t="s">
        <v>117</v>
      </c>
      <c r="D3252" s="32" t="s">
        <v>4358</v>
      </c>
      <c r="E3252" s="4" t="n">
        <v>1</v>
      </c>
      <c r="F3252" s="4" t="s">
        <v>144</v>
      </c>
      <c r="G3252" s="7" t="s">
        <v>194</v>
      </c>
      <c r="H3252" s="4" t="n">
        <v>1974</v>
      </c>
      <c r="I3252" s="4" t="s">
        <v>195</v>
      </c>
      <c r="J3252" s="25" t="str">
        <f aca="false">IF(M3252=1,"✓","")</f>
        <v>✓</v>
      </c>
      <c r="K3252" s="4" t="str">
        <f aca="false">IF(AND(M3252=0,P3252=0),"▶ NEXT","")</f>
        <v/>
      </c>
      <c r="L3252" s="4" t="n">
        <f aca="false">INDEX('Master List'!$F$2:$F$2594,O3252)</f>
        <v>6</v>
      </c>
      <c r="M3252" s="4" t="n">
        <f aca="false">INDEX('Master List'!$G$2:$G$2594,O3252)</f>
        <v>1</v>
      </c>
      <c r="N3252" s="4" t="str">
        <f aca="false">IF(K3252="","",A3252)</f>
        <v/>
      </c>
      <c r="O3252" s="4" t="n">
        <v>450</v>
      </c>
      <c r="P3252" s="4" t="n">
        <f aca="false">IF(A3252=A3251,P3251+1-M3251,0)</f>
        <v>0</v>
      </c>
    </row>
    <row r="3253" customFormat="false" ht="15" hidden="false" customHeight="false" outlineLevel="0" collapsed="false">
      <c r="A3253" s="32" t="s">
        <v>4357</v>
      </c>
      <c r="B3253" s="32" t="s">
        <v>55</v>
      </c>
      <c r="C3253" s="32" t="s">
        <v>117</v>
      </c>
      <c r="D3253" s="32" t="s">
        <v>4358</v>
      </c>
      <c r="E3253" s="4" t="n">
        <v>2</v>
      </c>
      <c r="F3253" s="4" t="s">
        <v>144</v>
      </c>
      <c r="G3253" s="7" t="s">
        <v>686</v>
      </c>
      <c r="H3253" s="4" t="n">
        <v>2003</v>
      </c>
      <c r="I3253" s="4" t="s">
        <v>687</v>
      </c>
      <c r="J3253" s="25" t="str">
        <f aca="false">IF(M3253=1,"✓","")</f>
        <v/>
      </c>
      <c r="K3253" s="4" t="str">
        <f aca="false">IF(AND(M3253=0,P3253=0),"▶ NEXT","")</f>
        <v>▶ NEXT</v>
      </c>
      <c r="L3253" s="4" t="n">
        <f aca="false">INDEX('Master List'!$F$2:$F$2594,O3253)</f>
        <v>3</v>
      </c>
      <c r="M3253" s="4" t="n">
        <f aca="false">INDEX('Master List'!$G$2:$G$2594,O3253)</f>
        <v>0</v>
      </c>
      <c r="N3253" s="4" t="str">
        <f aca="false">IF(K3253="","",A3253)</f>
        <v>N267</v>
      </c>
      <c r="O3253" s="4" t="n">
        <v>1382</v>
      </c>
      <c r="P3253" s="4" t="n">
        <f aca="false">IF(A3253=A3252,P3252+1-M3252,0)</f>
        <v>0</v>
      </c>
    </row>
    <row r="3254" customFormat="false" ht="15" hidden="false" customHeight="false" outlineLevel="0" collapsed="false">
      <c r="A3254" s="32" t="s">
        <v>4357</v>
      </c>
      <c r="B3254" s="32" t="s">
        <v>55</v>
      </c>
      <c r="C3254" s="32" t="s">
        <v>117</v>
      </c>
      <c r="D3254" s="32" t="s">
        <v>4358</v>
      </c>
      <c r="E3254" s="4" t="n">
        <v>3</v>
      </c>
      <c r="F3254" s="4" t="s">
        <v>213</v>
      </c>
      <c r="G3254" s="4" t="s">
        <v>284</v>
      </c>
      <c r="H3254" s="4" t="n">
        <v>1950</v>
      </c>
      <c r="I3254" s="4" t="s">
        <v>200</v>
      </c>
      <c r="J3254" s="25" t="str">
        <f aca="false">IF(M3254=1,"✓","")</f>
        <v>✓</v>
      </c>
      <c r="K3254" s="4" t="str">
        <f aca="false">IF(AND(M3254=0,P3254=0),"▶ NEXT","")</f>
        <v/>
      </c>
      <c r="L3254" s="4" t="n">
        <f aca="false">INDEX('Master List'!$F$2:$F$2594,O3254)</f>
        <v>5</v>
      </c>
      <c r="M3254" s="4" t="n">
        <f aca="false">INDEX('Master List'!$G$2:$G$2594,O3254)</f>
        <v>1</v>
      </c>
      <c r="N3254" s="4" t="str">
        <f aca="false">IF(K3254="","",A3254)</f>
        <v/>
      </c>
      <c r="O3254" s="4" t="n">
        <v>2203</v>
      </c>
      <c r="P3254" s="4" t="n">
        <f aca="false">IF(A3254=A3253,P3253+1-M3253,0)</f>
        <v>1</v>
      </c>
    </row>
    <row r="3255" customFormat="false" ht="15" hidden="false" customHeight="false" outlineLevel="0" collapsed="false">
      <c r="A3255" s="32" t="s">
        <v>4357</v>
      </c>
      <c r="B3255" s="32" t="s">
        <v>55</v>
      </c>
      <c r="C3255" s="32" t="s">
        <v>117</v>
      </c>
      <c r="D3255" s="32" t="s">
        <v>4358</v>
      </c>
      <c r="E3255" s="4" t="n">
        <v>4</v>
      </c>
      <c r="F3255" s="4" t="s">
        <v>213</v>
      </c>
      <c r="G3255" s="4" t="s">
        <v>219</v>
      </c>
      <c r="H3255" s="4" t="n">
        <v>1944</v>
      </c>
      <c r="I3255" s="4" t="s">
        <v>200</v>
      </c>
      <c r="J3255" s="25" t="str">
        <f aca="false">IF(M3255=1,"✓","")</f>
        <v>✓</v>
      </c>
      <c r="K3255" s="4" t="str">
        <f aca="false">IF(AND(M3255=0,P3255=0),"▶ NEXT","")</f>
        <v/>
      </c>
      <c r="L3255" s="4" t="n">
        <f aca="false">INDEX('Master List'!$F$2:$F$2594,O3255)</f>
        <v>6</v>
      </c>
      <c r="M3255" s="4" t="n">
        <f aca="false">INDEX('Master List'!$G$2:$G$2594,O3255)</f>
        <v>1</v>
      </c>
      <c r="N3255" s="4" t="str">
        <f aca="false">IF(K3255="","",A3255)</f>
        <v/>
      </c>
      <c r="O3255" s="4" t="n">
        <v>663</v>
      </c>
      <c r="P3255" s="4" t="n">
        <f aca="false">IF(A3255=A3254,P3254+1-M3254,0)</f>
        <v>1</v>
      </c>
    </row>
    <row r="3256" customFormat="false" ht="15" hidden="false" customHeight="false" outlineLevel="0" collapsed="false">
      <c r="A3256" s="32" t="s">
        <v>4357</v>
      </c>
      <c r="B3256" s="32" t="s">
        <v>55</v>
      </c>
      <c r="C3256" s="32" t="s">
        <v>117</v>
      </c>
      <c r="D3256" s="32" t="s">
        <v>4358</v>
      </c>
      <c r="E3256" s="4" t="n">
        <v>5</v>
      </c>
      <c r="F3256" s="4" t="s">
        <v>213</v>
      </c>
      <c r="G3256" s="4" t="s">
        <v>747</v>
      </c>
      <c r="H3256" s="4" t="n">
        <v>1955</v>
      </c>
      <c r="I3256" s="4" t="s">
        <v>748</v>
      </c>
      <c r="J3256" s="25" t="str">
        <f aca="false">IF(M3256=1,"✓","")</f>
        <v/>
      </c>
      <c r="K3256" s="4" t="str">
        <f aca="false">IF(AND(M3256=0,P3256=0),"▶ NEXT","")</f>
        <v/>
      </c>
      <c r="L3256" s="4" t="n">
        <f aca="false">INDEX('Master List'!$F$2:$F$2594,O3256)</f>
        <v>3</v>
      </c>
      <c r="M3256" s="4" t="n">
        <f aca="false">INDEX('Master List'!$G$2:$G$2594,O3256)</f>
        <v>0</v>
      </c>
      <c r="N3256" s="4" t="str">
        <f aca="false">IF(K3256="","",A3256)</f>
        <v/>
      </c>
      <c r="O3256" s="4" t="n">
        <v>1263</v>
      </c>
      <c r="P3256" s="4" t="n">
        <f aca="false">IF(A3256=A3255,P3255+1-M3255,0)</f>
        <v>1</v>
      </c>
    </row>
    <row r="3257" customFormat="false" ht="15" hidden="false" customHeight="false" outlineLevel="0" collapsed="false">
      <c r="A3257" s="32" t="s">
        <v>4357</v>
      </c>
      <c r="B3257" s="32" t="s">
        <v>55</v>
      </c>
      <c r="C3257" s="32" t="s">
        <v>117</v>
      </c>
      <c r="D3257" s="32" t="s">
        <v>4358</v>
      </c>
      <c r="E3257" s="4" t="n">
        <v>6</v>
      </c>
      <c r="F3257" s="4" t="s">
        <v>213</v>
      </c>
      <c r="G3257" s="4" t="s">
        <v>480</v>
      </c>
      <c r="H3257" s="4" t="n">
        <v>1973</v>
      </c>
      <c r="I3257" s="4" t="s">
        <v>197</v>
      </c>
      <c r="J3257" s="25" t="str">
        <f aca="false">IF(M3257=1,"✓","")</f>
        <v>✓</v>
      </c>
      <c r="K3257" s="4" t="str">
        <f aca="false">IF(AND(M3257=0,P3257=0),"▶ NEXT","")</f>
        <v/>
      </c>
      <c r="L3257" s="4" t="n">
        <f aca="false">INDEX('Master List'!$F$2:$F$2594,O3257)</f>
        <v>3</v>
      </c>
      <c r="M3257" s="4" t="n">
        <f aca="false">INDEX('Master List'!$G$2:$G$2594,O3257)</f>
        <v>1</v>
      </c>
      <c r="N3257" s="4" t="str">
        <f aca="false">IF(K3257="","",A3257)</f>
        <v/>
      </c>
      <c r="O3257" s="4" t="n">
        <v>1377</v>
      </c>
      <c r="P3257" s="4" t="n">
        <f aca="false">IF(A3257=A3256,P3256+1-M3256,0)</f>
        <v>2</v>
      </c>
    </row>
    <row r="3258" customFormat="false" ht="15" hidden="false" customHeight="false" outlineLevel="0" collapsed="false">
      <c r="A3258" s="32" t="s">
        <v>4357</v>
      </c>
      <c r="B3258" s="32" t="s">
        <v>55</v>
      </c>
      <c r="C3258" s="32" t="s">
        <v>117</v>
      </c>
      <c r="D3258" s="32" t="s">
        <v>4358</v>
      </c>
      <c r="E3258" s="4" t="n">
        <v>7</v>
      </c>
      <c r="F3258" s="4" t="s">
        <v>213</v>
      </c>
      <c r="G3258" s="4" t="s">
        <v>238</v>
      </c>
      <c r="H3258" s="4" t="n">
        <v>1978</v>
      </c>
      <c r="I3258" s="4" t="s">
        <v>239</v>
      </c>
      <c r="J3258" s="25" t="str">
        <f aca="false">IF(M3258=1,"✓","")</f>
        <v/>
      </c>
      <c r="K3258" s="4" t="str">
        <f aca="false">IF(AND(M3258=0,P3258=0),"▶ NEXT","")</f>
        <v/>
      </c>
      <c r="L3258" s="4" t="n">
        <f aca="false">INDEX('Master List'!$F$2:$F$2594,O3258)</f>
        <v>6</v>
      </c>
      <c r="M3258" s="4" t="n">
        <f aca="false">INDEX('Master List'!$G$2:$G$2594,O3258)</f>
        <v>0</v>
      </c>
      <c r="N3258" s="4" t="str">
        <f aca="false">IF(K3258="","",A3258)</f>
        <v/>
      </c>
      <c r="O3258" s="4" t="n">
        <v>1248</v>
      </c>
      <c r="P3258" s="4" t="n">
        <f aca="false">IF(A3258=A3257,P3257+1-M3257,0)</f>
        <v>2</v>
      </c>
    </row>
    <row r="3259" customFormat="false" ht="15" hidden="false" customHeight="false" outlineLevel="0" collapsed="false">
      <c r="A3259" s="32" t="s">
        <v>4357</v>
      </c>
      <c r="B3259" s="32" t="s">
        <v>55</v>
      </c>
      <c r="C3259" s="32" t="s">
        <v>117</v>
      </c>
      <c r="D3259" s="32" t="s">
        <v>4358</v>
      </c>
      <c r="E3259" s="4" t="n">
        <v>8</v>
      </c>
      <c r="F3259" s="4" t="s">
        <v>213</v>
      </c>
      <c r="G3259" s="4" t="s">
        <v>1067</v>
      </c>
      <c r="H3259" s="4" t="n">
        <v>1984</v>
      </c>
      <c r="I3259" s="4" t="s">
        <v>1068</v>
      </c>
      <c r="J3259" s="25" t="str">
        <f aca="false">IF(M3259=1,"✓","")</f>
        <v/>
      </c>
      <c r="K3259" s="4" t="str">
        <f aca="false">IF(AND(M3259=0,P3259=0),"▶ NEXT","")</f>
        <v/>
      </c>
      <c r="L3259" s="4" t="n">
        <f aca="false">INDEX('Master List'!$F$2:$F$2594,O3259)</f>
        <v>2</v>
      </c>
      <c r="M3259" s="4" t="n">
        <f aca="false">INDEX('Master List'!$G$2:$G$2594,O3259)</f>
        <v>0</v>
      </c>
      <c r="N3259" s="4" t="str">
        <f aca="false">IF(K3259="","",A3259)</f>
        <v/>
      </c>
      <c r="O3259" s="4" t="n">
        <v>1887</v>
      </c>
      <c r="P3259" s="4" t="n">
        <f aca="false">IF(A3259=A3258,P3258+1-M3258,0)</f>
        <v>3</v>
      </c>
    </row>
    <row r="3260" customFormat="false" ht="15" hidden="false" customHeight="false" outlineLevel="0" collapsed="false">
      <c r="A3260" s="32" t="s">
        <v>4357</v>
      </c>
      <c r="B3260" s="32" t="s">
        <v>55</v>
      </c>
      <c r="C3260" s="32" t="s">
        <v>117</v>
      </c>
      <c r="D3260" s="32" t="s">
        <v>4358</v>
      </c>
      <c r="E3260" s="4" t="n">
        <v>9</v>
      </c>
      <c r="F3260" s="4" t="s">
        <v>213</v>
      </c>
      <c r="G3260" s="4" t="s">
        <v>371</v>
      </c>
      <c r="H3260" s="4" t="n">
        <v>1991</v>
      </c>
      <c r="I3260" s="4" t="s">
        <v>372</v>
      </c>
      <c r="J3260" s="25" t="str">
        <f aca="false">IF(M3260=1,"✓","")</f>
        <v/>
      </c>
      <c r="K3260" s="4" t="str">
        <f aca="false">IF(AND(M3260=0,P3260=0),"▶ NEXT","")</f>
        <v/>
      </c>
      <c r="L3260" s="4" t="n">
        <f aca="false">INDEX('Master List'!$F$2:$F$2594,O3260)</f>
        <v>4</v>
      </c>
      <c r="M3260" s="4" t="n">
        <f aca="false">INDEX('Master List'!$G$2:$G$2594,O3260)</f>
        <v>0</v>
      </c>
      <c r="N3260" s="4" t="str">
        <f aca="false">IF(K3260="","",A3260)</f>
        <v/>
      </c>
      <c r="O3260" s="4" t="n">
        <v>333</v>
      </c>
      <c r="P3260" s="4" t="n">
        <f aca="false">IF(A3260=A3259,P3259+1-M3259,0)</f>
        <v>4</v>
      </c>
    </row>
    <row r="3261" customFormat="false" ht="15" hidden="false" customHeight="false" outlineLevel="0" collapsed="false">
      <c r="A3261" s="32" t="s">
        <v>4357</v>
      </c>
      <c r="B3261" s="32" t="s">
        <v>55</v>
      </c>
      <c r="C3261" s="32" t="s">
        <v>117</v>
      </c>
      <c r="D3261" s="32" t="s">
        <v>4358</v>
      </c>
      <c r="E3261" s="4" t="n">
        <v>10</v>
      </c>
      <c r="F3261" s="4" t="s">
        <v>213</v>
      </c>
      <c r="G3261" s="4" t="s">
        <v>294</v>
      </c>
      <c r="H3261" s="4" t="n">
        <v>1993</v>
      </c>
      <c r="I3261" s="4" t="s">
        <v>197</v>
      </c>
      <c r="J3261" s="25" t="str">
        <f aca="false">IF(M3261=1,"✓","")</f>
        <v>✓</v>
      </c>
      <c r="K3261" s="4" t="str">
        <f aca="false">IF(AND(M3261=0,P3261=0),"▶ NEXT","")</f>
        <v/>
      </c>
      <c r="L3261" s="4" t="n">
        <f aca="false">INDEX('Master List'!$F$2:$F$2594,O3261)</f>
        <v>5</v>
      </c>
      <c r="M3261" s="4" t="n">
        <f aca="false">INDEX('Master List'!$G$2:$G$2594,O3261)</f>
        <v>1</v>
      </c>
      <c r="N3261" s="4" t="str">
        <f aca="false">IF(K3261="","",A3261)</f>
        <v/>
      </c>
      <c r="O3261" s="4" t="n">
        <v>2058</v>
      </c>
      <c r="P3261" s="4" t="n">
        <f aca="false">IF(A3261=A3260,P3260+1-M3260,0)</f>
        <v>5</v>
      </c>
    </row>
    <row r="3262" customFormat="false" ht="15" hidden="false" customHeight="false" outlineLevel="0" collapsed="false">
      <c r="A3262" s="32" t="s">
        <v>4357</v>
      </c>
      <c r="B3262" s="32" t="s">
        <v>55</v>
      </c>
      <c r="C3262" s="32" t="s">
        <v>117</v>
      </c>
      <c r="D3262" s="32" t="s">
        <v>4358</v>
      </c>
      <c r="E3262" s="4" t="n">
        <v>11</v>
      </c>
      <c r="F3262" s="4" t="s">
        <v>213</v>
      </c>
      <c r="G3262" s="4" t="s">
        <v>295</v>
      </c>
      <c r="H3262" s="4" t="n">
        <v>1995</v>
      </c>
      <c r="I3262" s="4" t="s">
        <v>296</v>
      </c>
      <c r="J3262" s="25" t="str">
        <f aca="false">IF(M3262=1,"✓","")</f>
        <v>✓</v>
      </c>
      <c r="K3262" s="4" t="str">
        <f aca="false">IF(AND(M3262=0,P3262=0),"▶ NEXT","")</f>
        <v/>
      </c>
      <c r="L3262" s="4" t="n">
        <f aca="false">INDEX('Master List'!$F$2:$F$2594,O3262)</f>
        <v>4</v>
      </c>
      <c r="M3262" s="4" t="n">
        <f aca="false">INDEX('Master List'!$G$2:$G$2594,O3262)</f>
        <v>1</v>
      </c>
      <c r="N3262" s="4" t="str">
        <f aca="false">IF(K3262="","",A3262)</f>
        <v/>
      </c>
      <c r="O3262" s="4" t="n">
        <v>1011</v>
      </c>
      <c r="P3262" s="4" t="n">
        <f aca="false">IF(A3262=A3261,P3261+1-M3261,0)</f>
        <v>5</v>
      </c>
    </row>
    <row r="3263" customFormat="false" ht="15" hidden="false" customHeight="false" outlineLevel="0" collapsed="false">
      <c r="A3263" s="32" t="s">
        <v>4357</v>
      </c>
      <c r="B3263" s="32" t="s">
        <v>55</v>
      </c>
      <c r="C3263" s="32" t="s">
        <v>117</v>
      </c>
      <c r="D3263" s="32" t="s">
        <v>4358</v>
      </c>
      <c r="E3263" s="4" t="n">
        <v>12</v>
      </c>
      <c r="F3263" s="4" t="s">
        <v>213</v>
      </c>
      <c r="G3263" s="4" t="s">
        <v>626</v>
      </c>
      <c r="H3263" s="4" t="n">
        <v>1998</v>
      </c>
      <c r="I3263" s="4" t="s">
        <v>397</v>
      </c>
      <c r="J3263" s="25" t="str">
        <f aca="false">IF(M3263=1,"✓","")</f>
        <v>✓</v>
      </c>
      <c r="K3263" s="4" t="str">
        <f aca="false">IF(AND(M3263=0,P3263=0),"▶ NEXT","")</f>
        <v/>
      </c>
      <c r="L3263" s="4" t="n">
        <f aca="false">INDEX('Master List'!$F$2:$F$2594,O3263)</f>
        <v>3</v>
      </c>
      <c r="M3263" s="4" t="n">
        <f aca="false">INDEX('Master List'!$G$2:$G$2594,O3263)</f>
        <v>1</v>
      </c>
      <c r="N3263" s="4" t="str">
        <f aca="false">IF(K3263="","",A3263)</f>
        <v/>
      </c>
      <c r="O3263" s="4" t="n">
        <v>244</v>
      </c>
      <c r="P3263" s="4" t="n">
        <f aca="false">IF(A3263=A3262,P3262+1-M3262,0)</f>
        <v>5</v>
      </c>
    </row>
    <row r="3264" customFormat="false" ht="15" hidden="false" customHeight="false" outlineLevel="0" collapsed="false">
      <c r="A3264" s="32" t="s">
        <v>4357</v>
      </c>
      <c r="B3264" s="32" t="s">
        <v>55</v>
      </c>
      <c r="C3264" s="32" t="s">
        <v>117</v>
      </c>
      <c r="D3264" s="32" t="s">
        <v>4358</v>
      </c>
      <c r="E3264" s="4" t="n">
        <v>13</v>
      </c>
      <c r="F3264" s="4" t="s">
        <v>213</v>
      </c>
      <c r="G3264" s="4" t="s">
        <v>153</v>
      </c>
      <c r="H3264" s="4" t="n">
        <v>2001</v>
      </c>
      <c r="I3264" s="4" t="s">
        <v>154</v>
      </c>
      <c r="J3264" s="25" t="str">
        <f aca="false">IF(M3264=1,"✓","")</f>
        <v>✓</v>
      </c>
      <c r="K3264" s="4" t="str">
        <f aca="false">IF(AND(M3264=0,P3264=0),"▶ NEXT","")</f>
        <v/>
      </c>
      <c r="L3264" s="4" t="n">
        <f aca="false">INDEX('Master List'!$F$2:$F$2594,O3264)</f>
        <v>9</v>
      </c>
      <c r="M3264" s="4" t="n">
        <f aca="false">INDEX('Master List'!$G$2:$G$2594,O3264)</f>
        <v>1</v>
      </c>
      <c r="N3264" s="4" t="str">
        <f aca="false">IF(K3264="","",A3264)</f>
        <v/>
      </c>
      <c r="O3264" s="4" t="n">
        <v>1555</v>
      </c>
      <c r="P3264" s="4" t="n">
        <f aca="false">IF(A3264=A3263,P3263+1-M3263,0)</f>
        <v>5</v>
      </c>
    </row>
    <row r="3265" customFormat="false" ht="15" hidden="false" customHeight="false" outlineLevel="0" collapsed="false">
      <c r="A3265" s="32" t="s">
        <v>4357</v>
      </c>
      <c r="B3265" s="32" t="s">
        <v>55</v>
      </c>
      <c r="C3265" s="32" t="s">
        <v>117</v>
      </c>
      <c r="D3265" s="32" t="s">
        <v>4358</v>
      </c>
      <c r="E3265" s="4" t="n">
        <v>14</v>
      </c>
      <c r="F3265" s="4" t="s">
        <v>213</v>
      </c>
      <c r="G3265" s="4" t="s">
        <v>514</v>
      </c>
      <c r="H3265" s="4" t="n">
        <v>2004</v>
      </c>
      <c r="I3265" s="4" t="s">
        <v>296</v>
      </c>
      <c r="J3265" s="25" t="str">
        <f aca="false">IF(M3265=1,"✓","")</f>
        <v>✓</v>
      </c>
      <c r="K3265" s="4" t="str">
        <f aca="false">IF(AND(M3265=0,P3265=0),"▶ NEXT","")</f>
        <v/>
      </c>
      <c r="L3265" s="4" t="n">
        <f aca="false">INDEX('Master List'!$F$2:$F$2594,O3265)</f>
        <v>3</v>
      </c>
      <c r="M3265" s="4" t="n">
        <f aca="false">INDEX('Master List'!$G$2:$G$2594,O3265)</f>
        <v>1</v>
      </c>
      <c r="N3265" s="4" t="str">
        <f aca="false">IF(K3265="","",A3265)</f>
        <v/>
      </c>
      <c r="O3265" s="4" t="n">
        <v>495</v>
      </c>
      <c r="P3265" s="4" t="n">
        <f aca="false">IF(A3265=A3264,P3264+1-M3264,0)</f>
        <v>5</v>
      </c>
    </row>
    <row r="3266" customFormat="false" ht="15" hidden="false" customHeight="false" outlineLevel="0" collapsed="false">
      <c r="A3266" s="32" t="s">
        <v>4357</v>
      </c>
      <c r="B3266" s="32" t="s">
        <v>55</v>
      </c>
      <c r="C3266" s="32" t="s">
        <v>117</v>
      </c>
      <c r="D3266" s="32" t="s">
        <v>4358</v>
      </c>
      <c r="E3266" s="4" t="n">
        <v>15</v>
      </c>
      <c r="F3266" s="4" t="s">
        <v>213</v>
      </c>
      <c r="G3266" s="4" t="s">
        <v>693</v>
      </c>
      <c r="H3266" s="4" t="n">
        <v>2015</v>
      </c>
      <c r="I3266" s="4" t="s">
        <v>694</v>
      </c>
      <c r="J3266" s="25" t="str">
        <f aca="false">IF(M3266=1,"✓","")</f>
        <v/>
      </c>
      <c r="K3266" s="4" t="str">
        <f aca="false">IF(AND(M3266=0,P3266=0),"▶ NEXT","")</f>
        <v/>
      </c>
      <c r="L3266" s="4" t="n">
        <f aca="false">INDEX('Master List'!$F$2:$F$2594,O3266)</f>
        <v>3</v>
      </c>
      <c r="M3266" s="4" t="n">
        <f aca="false">INDEX('Master List'!$G$2:$G$2594,O3266)</f>
        <v>0</v>
      </c>
      <c r="N3266" s="4" t="str">
        <f aca="false">IF(K3266="","",A3266)</f>
        <v/>
      </c>
      <c r="O3266" s="4" t="n">
        <v>2239</v>
      </c>
      <c r="P3266" s="4" t="n">
        <f aca="false">IF(A3266=A3265,P3265+1-M3265,0)</f>
        <v>5</v>
      </c>
    </row>
    <row r="3267" customFormat="false" ht="15" hidden="false" customHeight="false" outlineLevel="0" collapsed="false">
      <c r="A3267" s="32" t="s">
        <v>4357</v>
      </c>
      <c r="B3267" s="32" t="s">
        <v>55</v>
      </c>
      <c r="C3267" s="32" t="s">
        <v>117</v>
      </c>
      <c r="D3267" s="32" t="s">
        <v>4358</v>
      </c>
      <c r="E3267" s="4" t="n">
        <v>16</v>
      </c>
      <c r="F3267" s="4" t="s">
        <v>1327</v>
      </c>
      <c r="G3267" s="4" t="s">
        <v>3410</v>
      </c>
      <c r="H3267" s="4" t="n">
        <v>1961</v>
      </c>
      <c r="I3267" s="4" t="s">
        <v>3411</v>
      </c>
      <c r="J3267" s="25" t="str">
        <f aca="false">IF(M3267=1,"✓","")</f>
        <v/>
      </c>
      <c r="K3267" s="4" t="str">
        <f aca="false">IF(AND(M3267=0,P3267=0),"▶ NEXT","")</f>
        <v/>
      </c>
      <c r="L3267" s="4" t="n">
        <f aca="false">INDEX('Master List'!$F$2:$F$2594,O3267)</f>
        <v>1</v>
      </c>
      <c r="M3267" s="4" t="n">
        <f aca="false">INDEX('Master List'!$G$2:$G$2594,O3267)</f>
        <v>0</v>
      </c>
      <c r="N3267" s="4" t="str">
        <f aca="false">IF(K3267="","",A3267)</f>
        <v/>
      </c>
      <c r="O3267" s="4" t="n">
        <v>1609</v>
      </c>
      <c r="P3267" s="4" t="n">
        <f aca="false">IF(A3267=A3266,P3266+1-M3266,0)</f>
        <v>6</v>
      </c>
    </row>
    <row r="3268" customFormat="false" ht="15" hidden="false" customHeight="false" outlineLevel="0" collapsed="false">
      <c r="A3268" s="32" t="s">
        <v>4359</v>
      </c>
      <c r="B3268" s="32" t="s">
        <v>55</v>
      </c>
      <c r="C3268" s="32" t="s">
        <v>117</v>
      </c>
      <c r="D3268" s="32" t="s">
        <v>4360</v>
      </c>
      <c r="E3268" s="4" t="n">
        <v>1</v>
      </c>
      <c r="F3268" s="4" t="s">
        <v>144</v>
      </c>
      <c r="G3268" s="7" t="s">
        <v>161</v>
      </c>
      <c r="H3268" s="4" t="n">
        <v>1958</v>
      </c>
      <c r="I3268" s="4" t="s">
        <v>162</v>
      </c>
      <c r="J3268" s="25" t="str">
        <f aca="false">IF(M3268=1,"✓","")</f>
        <v/>
      </c>
      <c r="K3268" s="4" t="str">
        <f aca="false">IF(AND(M3268=0,P3268=0),"▶ NEXT","")</f>
        <v>▶ NEXT</v>
      </c>
      <c r="L3268" s="4" t="n">
        <f aca="false">INDEX('Master List'!$F$2:$F$2594,O3268)</f>
        <v>7</v>
      </c>
      <c r="M3268" s="4" t="n">
        <f aca="false">INDEX('Master List'!$G$2:$G$2594,O3268)</f>
        <v>0</v>
      </c>
      <c r="N3268" s="4" t="str">
        <f aca="false">IF(K3268="","",A3268)</f>
        <v>N268</v>
      </c>
      <c r="O3268" s="4" t="n">
        <v>2429</v>
      </c>
      <c r="P3268" s="4" t="n">
        <f aca="false">IF(A3268=A3267,P3267+1-M3267,0)</f>
        <v>0</v>
      </c>
    </row>
    <row r="3269" customFormat="false" ht="15" hidden="false" customHeight="false" outlineLevel="0" collapsed="false">
      <c r="A3269" s="32" t="s">
        <v>4359</v>
      </c>
      <c r="B3269" s="32" t="s">
        <v>55</v>
      </c>
      <c r="C3269" s="32" t="s">
        <v>117</v>
      </c>
      <c r="D3269" s="32" t="s">
        <v>4360</v>
      </c>
      <c r="E3269" s="4" t="n">
        <v>2</v>
      </c>
      <c r="F3269" s="4" t="s">
        <v>144</v>
      </c>
      <c r="G3269" s="7" t="s">
        <v>171</v>
      </c>
      <c r="H3269" s="4" t="n">
        <v>1974</v>
      </c>
      <c r="I3269" s="4" t="s">
        <v>172</v>
      </c>
      <c r="J3269" s="25" t="str">
        <f aca="false">IF(M3269=1,"✓","")</f>
        <v>✓</v>
      </c>
      <c r="K3269" s="4" t="str">
        <f aca="false">IF(AND(M3269=0,P3269=0),"▶ NEXT","")</f>
        <v/>
      </c>
      <c r="L3269" s="4" t="n">
        <f aca="false">INDEX('Master List'!$F$2:$F$2594,O3269)</f>
        <v>8</v>
      </c>
      <c r="M3269" s="4" t="n">
        <f aca="false">INDEX('Master List'!$G$2:$G$2594,O3269)</f>
        <v>1</v>
      </c>
      <c r="N3269" s="4" t="str">
        <f aca="false">IF(K3269="","",A3269)</f>
        <v/>
      </c>
      <c r="O3269" s="4" t="n">
        <v>520</v>
      </c>
      <c r="P3269" s="4" t="n">
        <f aca="false">IF(A3269=A3268,P3268+1-M3268,0)</f>
        <v>1</v>
      </c>
    </row>
    <row r="3270" customFormat="false" ht="15" hidden="false" customHeight="false" outlineLevel="0" collapsed="false">
      <c r="A3270" s="32" t="s">
        <v>4359</v>
      </c>
      <c r="B3270" s="32" t="s">
        <v>55</v>
      </c>
      <c r="C3270" s="32" t="s">
        <v>117</v>
      </c>
      <c r="D3270" s="32" t="s">
        <v>4360</v>
      </c>
      <c r="E3270" s="4" t="n">
        <v>3</v>
      </c>
      <c r="F3270" s="4" t="s">
        <v>213</v>
      </c>
      <c r="G3270" s="4" t="s">
        <v>282</v>
      </c>
      <c r="H3270" s="4" t="n">
        <v>1941</v>
      </c>
      <c r="I3270" s="4" t="s">
        <v>283</v>
      </c>
      <c r="J3270" s="25" t="str">
        <f aca="false">IF(M3270=1,"✓","")</f>
        <v/>
      </c>
      <c r="K3270" s="4" t="str">
        <f aca="false">IF(AND(M3270=0,P3270=0),"▶ NEXT","")</f>
        <v/>
      </c>
      <c r="L3270" s="4" t="n">
        <f aca="false">INDEX('Master List'!$F$2:$F$2594,O3270)</f>
        <v>5</v>
      </c>
      <c r="M3270" s="4" t="n">
        <f aca="false">INDEX('Master List'!$G$2:$G$2594,O3270)</f>
        <v>0</v>
      </c>
      <c r="N3270" s="4" t="str">
        <f aca="false">IF(K3270="","",A3270)</f>
        <v/>
      </c>
      <c r="O3270" s="4" t="n">
        <v>1419</v>
      </c>
      <c r="P3270" s="4" t="n">
        <f aca="false">IF(A3270=A3269,P3269+1-M3269,0)</f>
        <v>1</v>
      </c>
    </row>
    <row r="3271" customFormat="false" ht="15" hidden="false" customHeight="false" outlineLevel="0" collapsed="false">
      <c r="A3271" s="32" t="s">
        <v>4359</v>
      </c>
      <c r="B3271" s="32" t="s">
        <v>55</v>
      </c>
      <c r="C3271" s="32" t="s">
        <v>117</v>
      </c>
      <c r="D3271" s="32" t="s">
        <v>4360</v>
      </c>
      <c r="E3271" s="4" t="n">
        <v>4</v>
      </c>
      <c r="F3271" s="4" t="s">
        <v>213</v>
      </c>
      <c r="G3271" s="4" t="s">
        <v>1846</v>
      </c>
      <c r="H3271" s="4" t="n">
        <v>1947</v>
      </c>
      <c r="I3271" s="4" t="s">
        <v>1847</v>
      </c>
      <c r="J3271" s="25" t="str">
        <f aca="false">IF(M3271=1,"✓","")</f>
        <v/>
      </c>
      <c r="K3271" s="4" t="str">
        <f aca="false">IF(AND(M3271=0,P3271=0),"▶ NEXT","")</f>
        <v/>
      </c>
      <c r="L3271" s="4" t="n">
        <f aca="false">INDEX('Master List'!$F$2:$F$2594,O3271)</f>
        <v>1</v>
      </c>
      <c r="M3271" s="4" t="n">
        <f aca="false">INDEX('Master List'!$G$2:$G$2594,O3271)</f>
        <v>0</v>
      </c>
      <c r="N3271" s="4" t="str">
        <f aca="false">IF(K3271="","",A3271)</f>
        <v/>
      </c>
      <c r="O3271" s="4" t="n">
        <v>564</v>
      </c>
      <c r="P3271" s="4" t="n">
        <f aca="false">IF(A3271=A3270,P3270+1-M3270,0)</f>
        <v>2</v>
      </c>
    </row>
    <row r="3272" customFormat="false" ht="15" hidden="false" customHeight="false" outlineLevel="0" collapsed="false">
      <c r="A3272" s="32" t="s">
        <v>4359</v>
      </c>
      <c r="B3272" s="32" t="s">
        <v>55</v>
      </c>
      <c r="C3272" s="32" t="s">
        <v>117</v>
      </c>
      <c r="D3272" s="32" t="s">
        <v>4360</v>
      </c>
      <c r="E3272" s="4" t="n">
        <v>5</v>
      </c>
      <c r="F3272" s="4" t="s">
        <v>213</v>
      </c>
      <c r="G3272" s="4" t="s">
        <v>572</v>
      </c>
      <c r="H3272" s="4" t="n">
        <v>1947</v>
      </c>
      <c r="I3272" s="4" t="s">
        <v>143</v>
      </c>
      <c r="J3272" s="25" t="str">
        <f aca="false">IF(M3272=1,"✓","")</f>
        <v/>
      </c>
      <c r="K3272" s="4" t="str">
        <f aca="false">IF(AND(M3272=0,P3272=0),"▶ NEXT","")</f>
        <v/>
      </c>
      <c r="L3272" s="4" t="n">
        <f aca="false">INDEX('Master List'!$F$2:$F$2594,O3272)</f>
        <v>3</v>
      </c>
      <c r="M3272" s="4" t="n">
        <f aca="false">INDEX('Master List'!$G$2:$G$2594,O3272)</f>
        <v>0</v>
      </c>
      <c r="N3272" s="4" t="str">
        <f aca="false">IF(K3272="","",A3272)</f>
        <v/>
      </c>
      <c r="O3272" s="4" t="n">
        <v>1280</v>
      </c>
      <c r="P3272" s="4" t="n">
        <f aca="false">IF(A3272=A3271,P3271+1-M3271,0)</f>
        <v>3</v>
      </c>
    </row>
    <row r="3273" customFormat="false" ht="15" hidden="false" customHeight="false" outlineLevel="0" collapsed="false">
      <c r="A3273" s="32" t="s">
        <v>4359</v>
      </c>
      <c r="B3273" s="32" t="s">
        <v>55</v>
      </c>
      <c r="C3273" s="32" t="s">
        <v>117</v>
      </c>
      <c r="D3273" s="32" t="s">
        <v>4360</v>
      </c>
      <c r="E3273" s="4" t="n">
        <v>6</v>
      </c>
      <c r="F3273" s="4" t="s">
        <v>213</v>
      </c>
      <c r="G3273" s="4" t="s">
        <v>586</v>
      </c>
      <c r="H3273" s="4" t="n">
        <v>1968</v>
      </c>
      <c r="I3273" s="4" t="s">
        <v>587</v>
      </c>
      <c r="J3273" s="25" t="str">
        <f aca="false">IF(M3273=1,"✓","")</f>
        <v/>
      </c>
      <c r="K3273" s="4" t="str">
        <f aca="false">IF(AND(M3273=0,P3273=0),"▶ NEXT","")</f>
        <v/>
      </c>
      <c r="L3273" s="4" t="n">
        <f aca="false">INDEX('Master List'!$F$2:$F$2594,O3273)</f>
        <v>3</v>
      </c>
      <c r="M3273" s="4" t="n">
        <f aca="false">INDEX('Master List'!$G$2:$G$2594,O3273)</f>
        <v>0</v>
      </c>
      <c r="N3273" s="4" t="str">
        <f aca="false">IF(K3273="","",A3273)</f>
        <v/>
      </c>
      <c r="O3273" s="4" t="n">
        <v>367</v>
      </c>
      <c r="P3273" s="4" t="n">
        <f aca="false">IF(A3273=A3272,P3272+1-M3272,0)</f>
        <v>4</v>
      </c>
    </row>
    <row r="3274" customFormat="false" ht="15" hidden="false" customHeight="false" outlineLevel="0" collapsed="false">
      <c r="A3274" s="32" t="s">
        <v>4359</v>
      </c>
      <c r="B3274" s="32" t="s">
        <v>55</v>
      </c>
      <c r="C3274" s="32" t="s">
        <v>117</v>
      </c>
      <c r="D3274" s="32" t="s">
        <v>4360</v>
      </c>
      <c r="E3274" s="4" t="n">
        <v>7</v>
      </c>
      <c r="F3274" s="4" t="s">
        <v>213</v>
      </c>
      <c r="G3274" s="4" t="s">
        <v>1013</v>
      </c>
      <c r="H3274" s="4" t="n">
        <v>1971</v>
      </c>
      <c r="I3274" s="4" t="s">
        <v>409</v>
      </c>
      <c r="J3274" s="25" t="str">
        <f aca="false">IF(M3274=1,"✓","")</f>
        <v>✓</v>
      </c>
      <c r="K3274" s="4" t="str">
        <f aca="false">IF(AND(M3274=0,P3274=0),"▶ NEXT","")</f>
        <v/>
      </c>
      <c r="L3274" s="4" t="n">
        <f aca="false">INDEX('Master List'!$F$2:$F$2594,O3274)</f>
        <v>2</v>
      </c>
      <c r="M3274" s="4" t="n">
        <f aca="false">INDEX('Master List'!$G$2:$G$2594,O3274)</f>
        <v>1</v>
      </c>
      <c r="N3274" s="4" t="str">
        <f aca="false">IF(K3274="","",A3274)</f>
        <v/>
      </c>
      <c r="O3274" s="4" t="n">
        <v>633</v>
      </c>
      <c r="P3274" s="4" t="n">
        <f aca="false">IF(A3274=A3273,P3273+1-M3273,0)</f>
        <v>5</v>
      </c>
    </row>
    <row r="3275" customFormat="false" ht="15" hidden="false" customHeight="false" outlineLevel="0" collapsed="false">
      <c r="A3275" s="32" t="s">
        <v>4359</v>
      </c>
      <c r="B3275" s="32" t="s">
        <v>55</v>
      </c>
      <c r="C3275" s="32" t="s">
        <v>117</v>
      </c>
      <c r="D3275" s="32" t="s">
        <v>4360</v>
      </c>
      <c r="E3275" s="4" t="n">
        <v>8</v>
      </c>
      <c r="F3275" s="4" t="s">
        <v>213</v>
      </c>
      <c r="G3275" s="4" t="s">
        <v>408</v>
      </c>
      <c r="H3275" s="4" t="n">
        <v>1978</v>
      </c>
      <c r="I3275" s="4" t="s">
        <v>2317</v>
      </c>
      <c r="J3275" s="25" t="str">
        <f aca="false">IF(M3275=1,"✓","")</f>
        <v>✓</v>
      </c>
      <c r="K3275" s="4" t="str">
        <f aca="false">IF(AND(M3275=0,P3275=0),"▶ NEXT","")</f>
        <v/>
      </c>
      <c r="L3275" s="4" t="n">
        <f aca="false">INDEX('Master List'!$F$2:$F$2594,O3275)</f>
        <v>1</v>
      </c>
      <c r="M3275" s="4" t="n">
        <f aca="false">INDEX('Master List'!$G$2:$G$2594,O3275)</f>
        <v>1</v>
      </c>
      <c r="N3275" s="4" t="str">
        <f aca="false">IF(K3275="","",A3275)</f>
        <v/>
      </c>
      <c r="O3275" s="4" t="n">
        <v>1161</v>
      </c>
      <c r="P3275" s="4" t="n">
        <f aca="false">IF(A3275=A3274,P3274+1-M3274,0)</f>
        <v>5</v>
      </c>
    </row>
    <row r="3276" customFormat="false" ht="15" hidden="false" customHeight="false" outlineLevel="0" collapsed="false">
      <c r="A3276" s="32" t="s">
        <v>4359</v>
      </c>
      <c r="B3276" s="32" t="s">
        <v>55</v>
      </c>
      <c r="C3276" s="32" t="s">
        <v>117</v>
      </c>
      <c r="D3276" s="32" t="s">
        <v>4360</v>
      </c>
      <c r="E3276" s="4" t="n">
        <v>9</v>
      </c>
      <c r="F3276" s="4" t="s">
        <v>213</v>
      </c>
      <c r="G3276" s="4" t="s">
        <v>888</v>
      </c>
      <c r="H3276" s="4" t="n">
        <v>1979</v>
      </c>
      <c r="I3276" s="4" t="s">
        <v>409</v>
      </c>
      <c r="J3276" s="25" t="str">
        <f aca="false">IF(M3276=1,"✓","")</f>
        <v/>
      </c>
      <c r="K3276" s="4" t="str">
        <f aca="false">IF(AND(M3276=0,P3276=0),"▶ NEXT","")</f>
        <v/>
      </c>
      <c r="L3276" s="4" t="n">
        <f aca="false">INDEX('Master List'!$F$2:$F$2594,O3276)</f>
        <v>2</v>
      </c>
      <c r="M3276" s="4" t="n">
        <f aca="false">INDEX('Master List'!$G$2:$G$2594,O3276)</f>
        <v>0</v>
      </c>
      <c r="N3276" s="4" t="str">
        <f aca="false">IF(K3276="","",A3276)</f>
        <v/>
      </c>
      <c r="O3276" s="4" t="n">
        <v>743</v>
      </c>
      <c r="P3276" s="4" t="n">
        <f aca="false">IF(A3276=A3275,P3275+1-M3275,0)</f>
        <v>5</v>
      </c>
    </row>
    <row r="3277" customFormat="false" ht="15" hidden="false" customHeight="false" outlineLevel="0" collapsed="false">
      <c r="A3277" s="32" t="s">
        <v>4359</v>
      </c>
      <c r="B3277" s="32" t="s">
        <v>55</v>
      </c>
      <c r="C3277" s="32" t="s">
        <v>117</v>
      </c>
      <c r="D3277" s="32" t="s">
        <v>4360</v>
      </c>
      <c r="E3277" s="4" t="n">
        <v>10</v>
      </c>
      <c r="F3277" s="4" t="s">
        <v>213</v>
      </c>
      <c r="G3277" s="4" t="s">
        <v>2915</v>
      </c>
      <c r="H3277" s="4" t="n">
        <v>2008</v>
      </c>
      <c r="I3277" s="4" t="s">
        <v>827</v>
      </c>
      <c r="J3277" s="25" t="str">
        <f aca="false">IF(M3277=1,"✓","")</f>
        <v/>
      </c>
      <c r="K3277" s="4" t="str">
        <f aca="false">IF(AND(M3277=0,P3277=0),"▶ NEXT","")</f>
        <v/>
      </c>
      <c r="L3277" s="4" t="n">
        <f aca="false">INDEX('Master List'!$F$2:$F$2594,O3277)</f>
        <v>1</v>
      </c>
      <c r="M3277" s="4" t="n">
        <f aca="false">INDEX('Master List'!$G$2:$G$2594,O3277)</f>
        <v>0</v>
      </c>
      <c r="N3277" s="4" t="str">
        <f aca="false">IF(K3277="","",A3277)</f>
        <v/>
      </c>
      <c r="O3277" s="4" t="n">
        <v>1501</v>
      </c>
      <c r="P3277" s="4" t="n">
        <f aca="false">IF(A3277=A3276,P3276+1-M3276,0)</f>
        <v>6</v>
      </c>
    </row>
    <row r="3278" customFormat="false" ht="15" hidden="false" customHeight="false" outlineLevel="0" collapsed="false">
      <c r="A3278" s="32" t="s">
        <v>4359</v>
      </c>
      <c r="B3278" s="32" t="s">
        <v>55</v>
      </c>
      <c r="C3278" s="32" t="s">
        <v>117</v>
      </c>
      <c r="D3278" s="32" t="s">
        <v>4360</v>
      </c>
      <c r="E3278" s="4" t="n">
        <v>11</v>
      </c>
      <c r="F3278" s="4" t="s">
        <v>213</v>
      </c>
      <c r="G3278" s="4" t="s">
        <v>3182</v>
      </c>
      <c r="H3278" s="4" t="n">
        <v>2019</v>
      </c>
      <c r="I3278" s="4" t="s">
        <v>3183</v>
      </c>
      <c r="J3278" s="25" t="str">
        <f aca="false">IF(M3278=1,"✓","")</f>
        <v/>
      </c>
      <c r="K3278" s="4" t="str">
        <f aca="false">IF(AND(M3278=0,P3278=0),"▶ NEXT","")</f>
        <v/>
      </c>
      <c r="L3278" s="4" t="n">
        <f aca="false">INDEX('Master List'!$F$2:$F$2594,O3278)</f>
        <v>1</v>
      </c>
      <c r="M3278" s="4" t="n">
        <f aca="false">INDEX('Master List'!$G$2:$G$2594,O3278)</f>
        <v>0</v>
      </c>
      <c r="N3278" s="4" t="str">
        <f aca="false">IF(K3278="","",A3278)</f>
        <v/>
      </c>
      <c r="O3278" s="4" t="n">
        <v>1293</v>
      </c>
      <c r="P3278" s="4" t="n">
        <f aca="false">IF(A3278=A3277,P3277+1-M3277,0)</f>
        <v>7</v>
      </c>
    </row>
    <row r="3279" customFormat="false" ht="15" hidden="false" customHeight="false" outlineLevel="0" collapsed="false">
      <c r="A3279" s="32" t="s">
        <v>4359</v>
      </c>
      <c r="B3279" s="32" t="s">
        <v>55</v>
      </c>
      <c r="C3279" s="32" t="s">
        <v>117</v>
      </c>
      <c r="D3279" s="32" t="s">
        <v>4360</v>
      </c>
      <c r="E3279" s="4" t="n">
        <v>12</v>
      </c>
      <c r="F3279" s="4" t="s">
        <v>1327</v>
      </c>
      <c r="G3279" s="4" t="s">
        <v>725</v>
      </c>
      <c r="H3279" s="4" t="n">
        <v>1924</v>
      </c>
      <c r="I3279" s="4" t="s">
        <v>726</v>
      </c>
      <c r="J3279" s="25" t="str">
        <f aca="false">IF(M3279=1,"✓","")</f>
        <v/>
      </c>
      <c r="K3279" s="4" t="str">
        <f aca="false">IF(AND(M3279=0,P3279=0),"▶ NEXT","")</f>
        <v/>
      </c>
      <c r="L3279" s="4" t="n">
        <f aca="false">INDEX('Master List'!$F$2:$F$2594,O3279)</f>
        <v>3</v>
      </c>
      <c r="M3279" s="4" t="n">
        <f aca="false">INDEX('Master List'!$G$2:$G$2594,O3279)</f>
        <v>0</v>
      </c>
      <c r="N3279" s="4" t="str">
        <f aca="false">IF(K3279="","",A3279)</f>
        <v/>
      </c>
      <c r="O3279" s="4" t="n">
        <v>959</v>
      </c>
      <c r="P3279" s="4" t="n">
        <f aca="false">IF(A3279=A3278,P3278+1-M3278,0)</f>
        <v>8</v>
      </c>
    </row>
    <row r="3280" customFormat="false" ht="15" hidden="false" customHeight="false" outlineLevel="0" collapsed="false">
      <c r="A3280" s="32" t="s">
        <v>4359</v>
      </c>
      <c r="B3280" s="32" t="s">
        <v>55</v>
      </c>
      <c r="C3280" s="32" t="s">
        <v>117</v>
      </c>
      <c r="D3280" s="32" t="s">
        <v>4360</v>
      </c>
      <c r="E3280" s="4" t="n">
        <v>13</v>
      </c>
      <c r="F3280" s="4" t="s">
        <v>1327</v>
      </c>
      <c r="G3280" s="4" t="s">
        <v>3611</v>
      </c>
      <c r="H3280" s="4" t="n">
        <v>1982</v>
      </c>
      <c r="I3280" s="4" t="s">
        <v>3612</v>
      </c>
      <c r="J3280" s="25" t="str">
        <f aca="false">IF(M3280=1,"✓","")</f>
        <v/>
      </c>
      <c r="K3280" s="4" t="str">
        <f aca="false">IF(AND(M3280=0,P3280=0),"▶ NEXT","")</f>
        <v/>
      </c>
      <c r="L3280" s="4" t="n">
        <f aca="false">INDEX('Master List'!$F$2:$F$2594,O3280)</f>
        <v>1</v>
      </c>
      <c r="M3280" s="4" t="n">
        <f aca="false">INDEX('Master List'!$G$2:$G$2594,O3280)</f>
        <v>0</v>
      </c>
      <c r="N3280" s="4" t="str">
        <f aca="false">IF(K3280="","",A3280)</f>
        <v/>
      </c>
      <c r="O3280" s="4" t="n">
        <v>427</v>
      </c>
      <c r="P3280" s="4" t="n">
        <f aca="false">IF(A3280=A3279,P3279+1-M3279,0)</f>
        <v>9</v>
      </c>
    </row>
    <row r="3281" customFormat="false" ht="15" hidden="false" customHeight="false" outlineLevel="0" collapsed="false">
      <c r="A3281" s="32" t="s">
        <v>4361</v>
      </c>
      <c r="B3281" s="32" t="s">
        <v>55</v>
      </c>
      <c r="C3281" s="32" t="s">
        <v>117</v>
      </c>
      <c r="D3281" s="32" t="s">
        <v>4362</v>
      </c>
      <c r="E3281" s="4" t="n">
        <v>1</v>
      </c>
      <c r="F3281" s="4" t="s">
        <v>144</v>
      </c>
      <c r="G3281" s="7" t="s">
        <v>157</v>
      </c>
      <c r="H3281" s="4" t="n">
        <v>1962</v>
      </c>
      <c r="I3281" s="4" t="s">
        <v>158</v>
      </c>
      <c r="J3281" s="25" t="str">
        <f aca="false">IF(M3281=1,"✓","")</f>
        <v/>
      </c>
      <c r="K3281" s="4" t="str">
        <f aca="false">IF(AND(M3281=0,P3281=0),"▶ NEXT","")</f>
        <v>▶ NEXT</v>
      </c>
      <c r="L3281" s="4" t="n">
        <f aca="false">INDEX('Master List'!$F$2:$F$2594,O3281)</f>
        <v>7</v>
      </c>
      <c r="M3281" s="4" t="n">
        <f aca="false">INDEX('Master List'!$G$2:$G$2594,O3281)</f>
        <v>0</v>
      </c>
      <c r="N3281" s="4" t="str">
        <f aca="false">IF(K3281="","",A3281)</f>
        <v>N269</v>
      </c>
      <c r="O3281" s="4" t="n">
        <v>475</v>
      </c>
      <c r="P3281" s="4" t="n">
        <f aca="false">IF(A3281=A3280,P3280+1-M3280,0)</f>
        <v>0</v>
      </c>
    </row>
    <row r="3282" customFormat="false" ht="15" hidden="false" customHeight="false" outlineLevel="0" collapsed="false">
      <c r="A3282" s="32" t="s">
        <v>4361</v>
      </c>
      <c r="B3282" s="32" t="s">
        <v>55</v>
      </c>
      <c r="C3282" s="32" t="s">
        <v>117</v>
      </c>
      <c r="D3282" s="32" t="s">
        <v>4362</v>
      </c>
      <c r="E3282" s="4" t="n">
        <v>2</v>
      </c>
      <c r="F3282" s="4" t="s">
        <v>144</v>
      </c>
      <c r="G3282" s="7" t="s">
        <v>440</v>
      </c>
      <c r="H3282" s="4" t="n">
        <v>2003</v>
      </c>
      <c r="I3282" s="4" t="s">
        <v>441</v>
      </c>
      <c r="J3282" s="25" t="str">
        <f aca="false">IF(M3282=1,"✓","")</f>
        <v>✓</v>
      </c>
      <c r="K3282" s="4" t="str">
        <f aca="false">IF(AND(M3282=0,P3282=0),"▶ NEXT","")</f>
        <v/>
      </c>
      <c r="L3282" s="4" t="n">
        <f aca="false">INDEX('Master List'!$F$2:$F$2594,O3282)</f>
        <v>3</v>
      </c>
      <c r="M3282" s="4" t="n">
        <f aca="false">INDEX('Master List'!$G$2:$G$2594,O3282)</f>
        <v>1</v>
      </c>
      <c r="N3282" s="4" t="str">
        <f aca="false">IF(K3282="","",A3282)</f>
        <v/>
      </c>
      <c r="O3282" s="4" t="n">
        <v>1385</v>
      </c>
      <c r="P3282" s="4" t="n">
        <f aca="false">IF(A3282=A3281,P3281+1-M3281,0)</f>
        <v>1</v>
      </c>
    </row>
    <row r="3283" customFormat="false" ht="15" hidden="false" customHeight="false" outlineLevel="0" collapsed="false">
      <c r="A3283" s="32" t="s">
        <v>4361</v>
      </c>
      <c r="B3283" s="32" t="s">
        <v>55</v>
      </c>
      <c r="C3283" s="32" t="s">
        <v>117</v>
      </c>
      <c r="D3283" s="32" t="s">
        <v>4362</v>
      </c>
      <c r="E3283" s="4" t="n">
        <v>3</v>
      </c>
      <c r="F3283" s="4" t="s">
        <v>213</v>
      </c>
      <c r="G3283" s="4" t="s">
        <v>956</v>
      </c>
      <c r="H3283" s="4" t="n">
        <v>1961</v>
      </c>
      <c r="I3283" s="4" t="s">
        <v>957</v>
      </c>
      <c r="J3283" s="25" t="str">
        <f aca="false">IF(M3283=1,"✓","")</f>
        <v/>
      </c>
      <c r="K3283" s="4" t="str">
        <f aca="false">IF(AND(M3283=0,P3283=0),"▶ NEXT","")</f>
        <v/>
      </c>
      <c r="L3283" s="4" t="n">
        <f aca="false">INDEX('Master List'!$F$2:$F$2594,O3283)</f>
        <v>2</v>
      </c>
      <c r="M3283" s="4" t="n">
        <f aca="false">INDEX('Master List'!$G$2:$G$2594,O3283)</f>
        <v>0</v>
      </c>
      <c r="N3283" s="4" t="str">
        <f aca="false">IF(K3283="","",A3283)</f>
        <v/>
      </c>
      <c r="O3283" s="4" t="n">
        <v>1721</v>
      </c>
      <c r="P3283" s="4" t="n">
        <f aca="false">IF(A3283=A3282,P3282+1-M3282,0)</f>
        <v>1</v>
      </c>
    </row>
    <row r="3284" customFormat="false" ht="15" hidden="false" customHeight="false" outlineLevel="0" collapsed="false">
      <c r="A3284" s="32" t="s">
        <v>4361</v>
      </c>
      <c r="B3284" s="32" t="s">
        <v>55</v>
      </c>
      <c r="C3284" s="32" t="s">
        <v>117</v>
      </c>
      <c r="D3284" s="32" t="s">
        <v>4362</v>
      </c>
      <c r="E3284" s="4" t="n">
        <v>4</v>
      </c>
      <c r="F3284" s="4" t="s">
        <v>213</v>
      </c>
      <c r="G3284" s="4" t="s">
        <v>149</v>
      </c>
      <c r="H3284" s="4" t="n">
        <v>1959</v>
      </c>
      <c r="I3284" s="4" t="s">
        <v>150</v>
      </c>
      <c r="J3284" s="25" t="str">
        <f aca="false">IF(M3284=1,"✓","")</f>
        <v/>
      </c>
      <c r="K3284" s="4" t="str">
        <f aca="false">IF(AND(M3284=0,P3284=0),"▶ NEXT","")</f>
        <v/>
      </c>
      <c r="L3284" s="4" t="n">
        <f aca="false">INDEX('Master List'!$F$2:$F$2594,O3284)</f>
        <v>8</v>
      </c>
      <c r="M3284" s="4" t="n">
        <f aca="false">INDEX('Master List'!$G$2:$G$2594,O3284)</f>
        <v>0</v>
      </c>
      <c r="N3284" s="4" t="str">
        <f aca="false">IF(K3284="","",A3284)</f>
        <v/>
      </c>
      <c r="O3284" s="4" t="n">
        <v>25</v>
      </c>
      <c r="P3284" s="4" t="n">
        <f aca="false">IF(A3284=A3283,P3283+1-M3283,0)</f>
        <v>2</v>
      </c>
    </row>
    <row r="3285" customFormat="false" ht="15" hidden="false" customHeight="false" outlineLevel="0" collapsed="false">
      <c r="A3285" s="32" t="s">
        <v>4361</v>
      </c>
      <c r="B3285" s="32" t="s">
        <v>55</v>
      </c>
      <c r="C3285" s="32" t="s">
        <v>117</v>
      </c>
      <c r="D3285" s="32" t="s">
        <v>4362</v>
      </c>
      <c r="E3285" s="4" t="n">
        <v>5</v>
      </c>
      <c r="F3285" s="4" t="s">
        <v>213</v>
      </c>
      <c r="G3285" s="4" t="s">
        <v>1152</v>
      </c>
      <c r="H3285" s="4" t="n">
        <v>2001</v>
      </c>
      <c r="I3285" s="4" t="s">
        <v>1153</v>
      </c>
      <c r="J3285" s="25" t="str">
        <f aca="false">IF(M3285=1,"✓","")</f>
        <v/>
      </c>
      <c r="K3285" s="4" t="str">
        <f aca="false">IF(AND(M3285=0,P3285=0),"▶ NEXT","")</f>
        <v/>
      </c>
      <c r="L3285" s="4" t="n">
        <f aca="false">INDEX('Master List'!$F$2:$F$2594,O3285)</f>
        <v>2</v>
      </c>
      <c r="M3285" s="4" t="n">
        <f aca="false">INDEX('Master List'!$G$2:$G$2594,O3285)</f>
        <v>0</v>
      </c>
      <c r="N3285" s="4" t="str">
        <f aca="false">IF(K3285="","",A3285)</f>
        <v/>
      </c>
      <c r="O3285" s="4" t="n">
        <v>86</v>
      </c>
      <c r="P3285" s="4" t="n">
        <f aca="false">IF(A3285=A3284,P3284+1-M3284,0)</f>
        <v>3</v>
      </c>
    </row>
    <row r="3286" customFormat="false" ht="15" hidden="false" customHeight="false" outlineLevel="0" collapsed="false">
      <c r="A3286" s="32" t="s">
        <v>4361</v>
      </c>
      <c r="B3286" s="32" t="s">
        <v>55</v>
      </c>
      <c r="C3286" s="32" t="s">
        <v>117</v>
      </c>
      <c r="D3286" s="32" t="s">
        <v>4362</v>
      </c>
      <c r="E3286" s="4" t="n">
        <v>6</v>
      </c>
      <c r="F3286" s="4" t="s">
        <v>213</v>
      </c>
      <c r="G3286" s="4" t="s">
        <v>425</v>
      </c>
      <c r="H3286" s="4" t="n">
        <v>1995</v>
      </c>
      <c r="I3286" s="4" t="s">
        <v>426</v>
      </c>
      <c r="J3286" s="25" t="str">
        <f aca="false">IF(M3286=1,"✓","")</f>
        <v>✓</v>
      </c>
      <c r="K3286" s="4" t="str">
        <f aca="false">IF(AND(M3286=0,P3286=0),"▶ NEXT","")</f>
        <v/>
      </c>
      <c r="L3286" s="4" t="n">
        <f aca="false">INDEX('Master List'!$F$2:$F$2594,O3286)</f>
        <v>3</v>
      </c>
      <c r="M3286" s="4" t="n">
        <f aca="false">INDEX('Master List'!$G$2:$G$2594,O3286)</f>
        <v>1</v>
      </c>
      <c r="N3286" s="4" t="str">
        <f aca="false">IF(K3286="","",A3286)</f>
        <v/>
      </c>
      <c r="O3286" s="4" t="n">
        <v>978</v>
      </c>
      <c r="P3286" s="4" t="n">
        <f aca="false">IF(A3286=A3285,P3285+1-M3285,0)</f>
        <v>4</v>
      </c>
    </row>
    <row r="3287" customFormat="false" ht="15" hidden="false" customHeight="false" outlineLevel="0" collapsed="false">
      <c r="A3287" s="32" t="s">
        <v>4361</v>
      </c>
      <c r="B3287" s="32" t="s">
        <v>55</v>
      </c>
      <c r="C3287" s="32" t="s">
        <v>117</v>
      </c>
      <c r="D3287" s="32" t="s">
        <v>4362</v>
      </c>
      <c r="E3287" s="4" t="n">
        <v>7</v>
      </c>
      <c r="F3287" s="4" t="s">
        <v>213</v>
      </c>
      <c r="G3287" s="4" t="s">
        <v>145</v>
      </c>
      <c r="H3287" s="4" t="n">
        <v>1953</v>
      </c>
      <c r="I3287" s="4" t="s">
        <v>146</v>
      </c>
      <c r="J3287" s="25" t="str">
        <f aca="false">IF(M3287=1,"✓","")</f>
        <v/>
      </c>
      <c r="K3287" s="4" t="str">
        <f aca="false">IF(AND(M3287=0,P3287=0),"▶ NEXT","")</f>
        <v/>
      </c>
      <c r="L3287" s="4" t="n">
        <f aca="false">INDEX('Master List'!$F$2:$F$2594,O3287)</f>
        <v>10</v>
      </c>
      <c r="M3287" s="4" t="n">
        <f aca="false">INDEX('Master List'!$G$2:$G$2594,O3287)</f>
        <v>0</v>
      </c>
      <c r="N3287" s="4" t="str">
        <f aca="false">IF(K3287="","",A3287)</f>
        <v/>
      </c>
      <c r="O3287" s="4" t="n">
        <v>2328</v>
      </c>
      <c r="P3287" s="4" t="n">
        <f aca="false">IF(A3287=A3286,P3286+1-M3286,0)</f>
        <v>4</v>
      </c>
    </row>
    <row r="3288" customFormat="false" ht="15" hidden="false" customHeight="false" outlineLevel="0" collapsed="false">
      <c r="A3288" s="32" t="s">
        <v>4361</v>
      </c>
      <c r="B3288" s="32" t="s">
        <v>55</v>
      </c>
      <c r="C3288" s="32" t="s">
        <v>117</v>
      </c>
      <c r="D3288" s="32" t="s">
        <v>4362</v>
      </c>
      <c r="E3288" s="4" t="n">
        <v>8</v>
      </c>
      <c r="F3288" s="4" t="s">
        <v>213</v>
      </c>
      <c r="G3288" s="4" t="s">
        <v>351</v>
      </c>
      <c r="H3288" s="4" t="n">
        <v>1949</v>
      </c>
      <c r="I3288" s="4" t="s">
        <v>156</v>
      </c>
      <c r="J3288" s="25" t="str">
        <f aca="false">IF(M3288=1,"✓","")</f>
        <v/>
      </c>
      <c r="K3288" s="4" t="str">
        <f aca="false">IF(AND(M3288=0,P3288=0),"▶ NEXT","")</f>
        <v/>
      </c>
      <c r="L3288" s="4" t="n">
        <f aca="false">INDEX('Master List'!$F$2:$F$2594,O3288)</f>
        <v>4</v>
      </c>
      <c r="M3288" s="4" t="n">
        <f aca="false">INDEX('Master List'!$G$2:$G$2594,O3288)</f>
        <v>0</v>
      </c>
      <c r="N3288" s="4" t="str">
        <f aca="false">IF(K3288="","",A3288)</f>
        <v/>
      </c>
      <c r="O3288" s="4" t="n">
        <v>2179</v>
      </c>
      <c r="P3288" s="4" t="n">
        <f aca="false">IF(A3288=A3287,P3287+1-M3287,0)</f>
        <v>5</v>
      </c>
    </row>
    <row r="3289" customFormat="false" ht="15" hidden="false" customHeight="false" outlineLevel="0" collapsed="false">
      <c r="A3289" s="32" t="s">
        <v>4361</v>
      </c>
      <c r="B3289" s="32" t="s">
        <v>55</v>
      </c>
      <c r="C3289" s="32" t="s">
        <v>117</v>
      </c>
      <c r="D3289" s="32" t="s">
        <v>4362</v>
      </c>
      <c r="E3289" s="4" t="n">
        <v>9</v>
      </c>
      <c r="F3289" s="4" t="s">
        <v>213</v>
      </c>
      <c r="G3289" s="4" t="s">
        <v>703</v>
      </c>
      <c r="H3289" s="4" t="n">
        <v>1966</v>
      </c>
      <c r="I3289" s="4" t="s">
        <v>472</v>
      </c>
      <c r="J3289" s="25" t="str">
        <f aca="false">IF(M3289=1,"✓","")</f>
        <v/>
      </c>
      <c r="K3289" s="4" t="str">
        <f aca="false">IF(AND(M3289=0,P3289=0),"▶ NEXT","")</f>
        <v/>
      </c>
      <c r="L3289" s="4" t="n">
        <f aca="false">INDEX('Master List'!$F$2:$F$2594,O3289)</f>
        <v>3</v>
      </c>
      <c r="M3289" s="4" t="n">
        <f aca="false">INDEX('Master List'!$G$2:$G$2594,O3289)</f>
        <v>0</v>
      </c>
      <c r="N3289" s="4" t="str">
        <f aca="false">IF(K3289="","",A3289)</f>
        <v/>
      </c>
      <c r="O3289" s="4" t="n">
        <v>2324</v>
      </c>
      <c r="P3289" s="4" t="n">
        <f aca="false">IF(A3289=A3288,P3288+1-M3288,0)</f>
        <v>6</v>
      </c>
    </row>
    <row r="3290" customFormat="false" ht="15" hidden="false" customHeight="false" outlineLevel="0" collapsed="false">
      <c r="A3290" s="32" t="s">
        <v>4361</v>
      </c>
      <c r="B3290" s="32" t="s">
        <v>55</v>
      </c>
      <c r="C3290" s="32" t="s">
        <v>117</v>
      </c>
      <c r="D3290" s="32" t="s">
        <v>4362</v>
      </c>
      <c r="E3290" s="4" t="n">
        <v>10</v>
      </c>
      <c r="F3290" s="4" t="s">
        <v>213</v>
      </c>
      <c r="G3290" s="4" t="s">
        <v>634</v>
      </c>
      <c r="H3290" s="4" t="n">
        <v>2003</v>
      </c>
      <c r="I3290" s="4" t="s">
        <v>635</v>
      </c>
      <c r="J3290" s="25" t="str">
        <f aca="false">IF(M3290=1,"✓","")</f>
        <v/>
      </c>
      <c r="K3290" s="4" t="str">
        <f aca="false">IF(AND(M3290=0,P3290=0),"▶ NEXT","")</f>
        <v/>
      </c>
      <c r="L3290" s="4" t="n">
        <f aca="false">INDEX('Master List'!$F$2:$F$2594,O3290)</f>
        <v>3</v>
      </c>
      <c r="M3290" s="4" t="n">
        <f aca="false">INDEX('Master List'!$G$2:$G$2594,O3290)</f>
        <v>0</v>
      </c>
      <c r="N3290" s="4" t="str">
        <f aca="false">IF(K3290="","",A3290)</f>
        <v/>
      </c>
      <c r="O3290" s="4" t="n">
        <v>2326</v>
      </c>
      <c r="P3290" s="4" t="n">
        <f aca="false">IF(A3290=A3289,P3289+1-M3289,0)</f>
        <v>7</v>
      </c>
    </row>
    <row r="3291" customFormat="false" ht="15" hidden="false" customHeight="false" outlineLevel="0" collapsed="false">
      <c r="A3291" s="32" t="s">
        <v>4361</v>
      </c>
      <c r="B3291" s="32" t="s">
        <v>55</v>
      </c>
      <c r="C3291" s="32" t="s">
        <v>117</v>
      </c>
      <c r="D3291" s="32" t="s">
        <v>4362</v>
      </c>
      <c r="E3291" s="4" t="n">
        <v>11</v>
      </c>
      <c r="F3291" s="4" t="s">
        <v>213</v>
      </c>
      <c r="G3291" s="4" t="s">
        <v>1180</v>
      </c>
      <c r="H3291" s="4" t="n">
        <v>2008</v>
      </c>
      <c r="I3291" s="4" t="s">
        <v>505</v>
      </c>
      <c r="J3291" s="25" t="str">
        <f aca="false">IF(M3291=1,"✓","")</f>
        <v/>
      </c>
      <c r="K3291" s="4" t="str">
        <f aca="false">IF(AND(M3291=0,P3291=0),"▶ NEXT","")</f>
        <v/>
      </c>
      <c r="L3291" s="4" t="n">
        <f aca="false">INDEX('Master List'!$F$2:$F$2594,O3291)</f>
        <v>2</v>
      </c>
      <c r="M3291" s="4" t="n">
        <f aca="false">INDEX('Master List'!$G$2:$G$2594,O3291)</f>
        <v>0</v>
      </c>
      <c r="N3291" s="4" t="str">
        <f aca="false">IF(K3291="","",A3291)</f>
        <v/>
      </c>
      <c r="O3291" s="4" t="n">
        <v>2327</v>
      </c>
      <c r="P3291" s="4" t="n">
        <f aca="false">IF(A3291=A3290,P3290+1-M3290,0)</f>
        <v>8</v>
      </c>
    </row>
    <row r="3292" customFormat="false" ht="15" hidden="false" customHeight="false" outlineLevel="0" collapsed="false">
      <c r="A3292" s="32" t="s">
        <v>4361</v>
      </c>
      <c r="B3292" s="32" t="s">
        <v>55</v>
      </c>
      <c r="C3292" s="32" t="s">
        <v>117</v>
      </c>
      <c r="D3292" s="32" t="s">
        <v>4362</v>
      </c>
      <c r="E3292" s="4" t="n">
        <v>12</v>
      </c>
      <c r="F3292" s="4" t="s">
        <v>213</v>
      </c>
      <c r="G3292" s="4" t="s">
        <v>697</v>
      </c>
      <c r="H3292" s="4" t="n">
        <v>2023</v>
      </c>
      <c r="I3292" s="4" t="s">
        <v>365</v>
      </c>
      <c r="J3292" s="25" t="str">
        <f aca="false">IF(M3292=1,"✓","")</f>
        <v>✓</v>
      </c>
      <c r="K3292" s="4" t="str">
        <f aca="false">IF(AND(M3292=0,P3292=0),"▶ NEXT","")</f>
        <v/>
      </c>
      <c r="L3292" s="4" t="n">
        <f aca="false">INDEX('Master List'!$F$2:$F$2594,O3292)</f>
        <v>3</v>
      </c>
      <c r="M3292" s="4" t="n">
        <f aca="false">INDEX('Master List'!$G$2:$G$2594,O3292)</f>
        <v>1</v>
      </c>
      <c r="N3292" s="4" t="str">
        <f aca="false">IF(K3292="","",A3292)</f>
        <v/>
      </c>
      <c r="O3292" s="4" t="n">
        <v>1745</v>
      </c>
      <c r="P3292" s="4" t="n">
        <f aca="false">IF(A3292=A3291,P3291+1-M3291,0)</f>
        <v>9</v>
      </c>
    </row>
    <row r="3293" customFormat="false" ht="15" hidden="false" customHeight="false" outlineLevel="0" collapsed="false">
      <c r="A3293" s="32" t="s">
        <v>4361</v>
      </c>
      <c r="B3293" s="32" t="s">
        <v>55</v>
      </c>
      <c r="C3293" s="32" t="s">
        <v>117</v>
      </c>
      <c r="D3293" s="32" t="s">
        <v>4362</v>
      </c>
      <c r="E3293" s="4" t="n">
        <v>13</v>
      </c>
      <c r="F3293" s="4" t="s">
        <v>1327</v>
      </c>
      <c r="G3293" s="4" t="s">
        <v>3599</v>
      </c>
      <c r="H3293" s="4" t="n">
        <v>1981</v>
      </c>
      <c r="I3293" s="4" t="s">
        <v>957</v>
      </c>
      <c r="J3293" s="25" t="str">
        <f aca="false">IF(M3293=1,"✓","")</f>
        <v/>
      </c>
      <c r="K3293" s="4" t="str">
        <f aca="false">IF(AND(M3293=0,P3293=0),"▶ NEXT","")</f>
        <v/>
      </c>
      <c r="L3293" s="4" t="n">
        <f aca="false">INDEX('Master List'!$F$2:$F$2594,O3293)</f>
        <v>1</v>
      </c>
      <c r="M3293" s="4" t="n">
        <f aca="false">INDEX('Master List'!$G$2:$G$2594,O3293)</f>
        <v>0</v>
      </c>
      <c r="N3293" s="4" t="str">
        <f aca="false">IF(K3293="","",A3293)</f>
        <v/>
      </c>
      <c r="O3293" s="4" t="n">
        <v>1792</v>
      </c>
      <c r="P3293" s="4" t="n">
        <f aca="false">IF(A3293=A3292,P3292+1-M3292,0)</f>
        <v>9</v>
      </c>
    </row>
    <row r="3294" customFormat="false" ht="15" hidden="false" customHeight="false" outlineLevel="0" collapsed="false">
      <c r="A3294" s="32" t="s">
        <v>4361</v>
      </c>
      <c r="B3294" s="32" t="s">
        <v>55</v>
      </c>
      <c r="C3294" s="32" t="s">
        <v>117</v>
      </c>
      <c r="D3294" s="32" t="s">
        <v>4362</v>
      </c>
      <c r="E3294" s="4" t="n">
        <v>14</v>
      </c>
      <c r="F3294" s="4" t="s">
        <v>1327</v>
      </c>
      <c r="G3294" s="4" t="s">
        <v>3631</v>
      </c>
      <c r="H3294" s="4" t="n">
        <v>1985</v>
      </c>
      <c r="I3294" s="4" t="s">
        <v>365</v>
      </c>
      <c r="J3294" s="25" t="str">
        <f aca="false">IF(M3294=1,"✓","")</f>
        <v/>
      </c>
      <c r="K3294" s="4" t="str">
        <f aca="false">IF(AND(M3294=0,P3294=0),"▶ NEXT","")</f>
        <v/>
      </c>
      <c r="L3294" s="4" t="n">
        <f aca="false">INDEX('Master List'!$F$2:$F$2594,O3294)</f>
        <v>1</v>
      </c>
      <c r="M3294" s="4" t="n">
        <f aca="false">INDEX('Master List'!$G$2:$G$2594,O3294)</f>
        <v>0</v>
      </c>
      <c r="N3294" s="4" t="str">
        <f aca="false">IF(K3294="","",A3294)</f>
        <v/>
      </c>
      <c r="O3294" s="4" t="n">
        <v>2325</v>
      </c>
      <c r="P3294" s="4" t="n">
        <f aca="false">IF(A3294=A3293,P3293+1-M3293,0)</f>
        <v>10</v>
      </c>
    </row>
    <row r="3295" customFormat="false" ht="15" hidden="false" customHeight="false" outlineLevel="0" collapsed="false">
      <c r="A3295" s="32" t="s">
        <v>4363</v>
      </c>
      <c r="B3295" s="32" t="s">
        <v>55</v>
      </c>
      <c r="C3295" s="32" t="s">
        <v>118</v>
      </c>
      <c r="D3295" s="32" t="s">
        <v>4364</v>
      </c>
      <c r="E3295" s="4" t="n">
        <v>1</v>
      </c>
      <c r="F3295" s="4" t="s">
        <v>144</v>
      </c>
      <c r="G3295" s="7" t="s">
        <v>244</v>
      </c>
      <c r="H3295" s="4" t="n">
        <v>1980</v>
      </c>
      <c r="I3295" s="4" t="s">
        <v>164</v>
      </c>
      <c r="J3295" s="25" t="str">
        <f aca="false">IF(M3295=1,"✓","")</f>
        <v>✓</v>
      </c>
      <c r="K3295" s="4" t="str">
        <f aca="false">IF(AND(M3295=0,P3295=0),"▶ NEXT","")</f>
        <v/>
      </c>
      <c r="L3295" s="4" t="n">
        <f aca="false">INDEX('Master List'!$F$2:$F$2594,O3295)</f>
        <v>5</v>
      </c>
      <c r="M3295" s="4" t="n">
        <f aca="false">INDEX('Master List'!$G$2:$G$2594,O3295)</f>
        <v>1</v>
      </c>
      <c r="N3295" s="4" t="str">
        <f aca="false">IF(K3295="","",A3295)</f>
        <v/>
      </c>
      <c r="O3295" s="4" t="n">
        <v>1850</v>
      </c>
      <c r="P3295" s="4" t="n">
        <f aca="false">IF(A3295=A3294,P3294+1-M3294,0)</f>
        <v>0</v>
      </c>
    </row>
    <row r="3296" customFormat="false" ht="15" hidden="false" customHeight="false" outlineLevel="0" collapsed="false">
      <c r="A3296" s="32" t="s">
        <v>4363</v>
      </c>
      <c r="B3296" s="32" t="s">
        <v>55</v>
      </c>
      <c r="C3296" s="32" t="s">
        <v>118</v>
      </c>
      <c r="D3296" s="32" t="s">
        <v>4364</v>
      </c>
      <c r="E3296" s="4" t="n">
        <v>2</v>
      </c>
      <c r="F3296" s="4" t="s">
        <v>144</v>
      </c>
      <c r="G3296" s="7" t="s">
        <v>501</v>
      </c>
      <c r="H3296" s="4" t="n">
        <v>1994</v>
      </c>
      <c r="I3296" s="4" t="s">
        <v>502</v>
      </c>
      <c r="J3296" s="25" t="str">
        <f aca="false">IF(M3296=1,"✓","")</f>
        <v/>
      </c>
      <c r="K3296" s="4" t="str">
        <f aca="false">IF(AND(M3296=0,P3296=0),"▶ NEXT","")</f>
        <v>▶ NEXT</v>
      </c>
      <c r="L3296" s="4" t="n">
        <f aca="false">INDEX('Master List'!$F$2:$F$2594,O3296)</f>
        <v>3</v>
      </c>
      <c r="M3296" s="4" t="n">
        <f aca="false">INDEX('Master List'!$G$2:$G$2594,O3296)</f>
        <v>0</v>
      </c>
      <c r="N3296" s="4" t="str">
        <f aca="false">IF(K3296="","",A3296)</f>
        <v>N270</v>
      </c>
      <c r="O3296" s="4" t="n">
        <v>1059</v>
      </c>
      <c r="P3296" s="4" t="n">
        <f aca="false">IF(A3296=A3295,P3295+1-M3295,0)</f>
        <v>0</v>
      </c>
    </row>
    <row r="3297" customFormat="false" ht="15" hidden="false" customHeight="false" outlineLevel="0" collapsed="false">
      <c r="A3297" s="32" t="s">
        <v>4363</v>
      </c>
      <c r="B3297" s="32" t="s">
        <v>55</v>
      </c>
      <c r="C3297" s="32" t="s">
        <v>118</v>
      </c>
      <c r="D3297" s="32" t="s">
        <v>4364</v>
      </c>
      <c r="E3297" s="4" t="n">
        <v>3</v>
      </c>
      <c r="F3297" s="4" t="s">
        <v>213</v>
      </c>
      <c r="G3297" s="4" t="s">
        <v>2005</v>
      </c>
      <c r="H3297" s="4" t="n">
        <v>1961</v>
      </c>
      <c r="I3297" s="4" t="s">
        <v>1873</v>
      </c>
      <c r="J3297" s="25" t="str">
        <f aca="false">IF(M3297=1,"✓","")</f>
        <v/>
      </c>
      <c r="K3297" s="4" t="str">
        <f aca="false">IF(AND(M3297=0,P3297=0),"▶ NEXT","")</f>
        <v/>
      </c>
      <c r="L3297" s="4" t="n">
        <f aca="false">INDEX('Master List'!$F$2:$F$2594,O3297)</f>
        <v>1</v>
      </c>
      <c r="M3297" s="4" t="n">
        <f aca="false">INDEX('Master List'!$G$2:$G$2594,O3297)</f>
        <v>0</v>
      </c>
      <c r="N3297" s="4" t="str">
        <f aca="false">IF(K3297="","",A3297)</f>
        <v/>
      </c>
      <c r="O3297" s="4" t="n">
        <v>1095</v>
      </c>
      <c r="P3297" s="4" t="n">
        <f aca="false">IF(A3297=A3296,P3296+1-M3296,0)</f>
        <v>1</v>
      </c>
    </row>
    <row r="3298" customFormat="false" ht="15" hidden="false" customHeight="false" outlineLevel="0" collapsed="false">
      <c r="A3298" s="32" t="s">
        <v>4363</v>
      </c>
      <c r="B3298" s="32" t="s">
        <v>55</v>
      </c>
      <c r="C3298" s="32" t="s">
        <v>118</v>
      </c>
      <c r="D3298" s="32" t="s">
        <v>4364</v>
      </c>
      <c r="E3298" s="4" t="n">
        <v>4</v>
      </c>
      <c r="F3298" s="4" t="s">
        <v>213</v>
      </c>
      <c r="G3298" s="4" t="s">
        <v>2213</v>
      </c>
      <c r="H3298" s="4" t="n">
        <v>1972</v>
      </c>
      <c r="I3298" s="4" t="s">
        <v>283</v>
      </c>
      <c r="J3298" s="25" t="str">
        <f aca="false">IF(M3298=1,"✓","")</f>
        <v/>
      </c>
      <c r="K3298" s="4" t="str">
        <f aca="false">IF(AND(M3298=0,P3298=0),"▶ NEXT","")</f>
        <v/>
      </c>
      <c r="L3298" s="4" t="n">
        <f aca="false">INDEX('Master List'!$F$2:$F$2594,O3298)</f>
        <v>1</v>
      </c>
      <c r="M3298" s="4" t="n">
        <f aca="false">INDEX('Master List'!$G$2:$G$2594,O3298)</f>
        <v>0</v>
      </c>
      <c r="N3298" s="4" t="str">
        <f aca="false">IF(K3298="","",A3298)</f>
        <v/>
      </c>
      <c r="O3298" s="4" t="n">
        <v>789</v>
      </c>
      <c r="P3298" s="4" t="n">
        <f aca="false">IF(A3298=A3297,P3297+1-M3297,0)</f>
        <v>2</v>
      </c>
    </row>
    <row r="3299" customFormat="false" ht="15" hidden="false" customHeight="false" outlineLevel="0" collapsed="false">
      <c r="A3299" s="32" t="s">
        <v>4363</v>
      </c>
      <c r="B3299" s="32" t="s">
        <v>55</v>
      </c>
      <c r="C3299" s="32" t="s">
        <v>118</v>
      </c>
      <c r="D3299" s="32" t="s">
        <v>4364</v>
      </c>
      <c r="E3299" s="4" t="n">
        <v>5</v>
      </c>
      <c r="F3299" s="4" t="s">
        <v>213</v>
      </c>
      <c r="G3299" s="4" t="s">
        <v>1032</v>
      </c>
      <c r="H3299" s="4" t="n">
        <v>1976</v>
      </c>
      <c r="I3299" s="4" t="s">
        <v>1033</v>
      </c>
      <c r="J3299" s="25" t="str">
        <f aca="false">IF(M3299=1,"✓","")</f>
        <v>✓</v>
      </c>
      <c r="K3299" s="4" t="str">
        <f aca="false">IF(AND(M3299=0,P3299=0),"▶ NEXT","")</f>
        <v/>
      </c>
      <c r="L3299" s="4" t="n">
        <f aca="false">INDEX('Master List'!$F$2:$F$2594,O3299)</f>
        <v>2</v>
      </c>
      <c r="M3299" s="4" t="n">
        <f aca="false">INDEX('Master List'!$G$2:$G$2594,O3299)</f>
        <v>1</v>
      </c>
      <c r="N3299" s="4" t="str">
        <f aca="false">IF(K3299="","",A3299)</f>
        <v/>
      </c>
      <c r="O3299" s="4" t="n">
        <v>1921</v>
      </c>
      <c r="P3299" s="4" t="n">
        <f aca="false">IF(A3299=A3298,P3298+1-M3298,0)</f>
        <v>3</v>
      </c>
    </row>
    <row r="3300" customFormat="false" ht="15" hidden="false" customHeight="false" outlineLevel="0" collapsed="false">
      <c r="A3300" s="32" t="s">
        <v>4363</v>
      </c>
      <c r="B3300" s="32" t="s">
        <v>55</v>
      </c>
      <c r="C3300" s="32" t="s">
        <v>118</v>
      </c>
      <c r="D3300" s="32" t="s">
        <v>4364</v>
      </c>
      <c r="E3300" s="4" t="n">
        <v>6</v>
      </c>
      <c r="F3300" s="4" t="s">
        <v>213</v>
      </c>
      <c r="G3300" s="4" t="s">
        <v>1045</v>
      </c>
      <c r="H3300" s="4" t="n">
        <v>1979</v>
      </c>
      <c r="I3300" s="4" t="s">
        <v>587</v>
      </c>
      <c r="J3300" s="25" t="str">
        <f aca="false">IF(M3300=1,"✓","")</f>
        <v/>
      </c>
      <c r="K3300" s="4" t="str">
        <f aca="false">IF(AND(M3300=0,P3300=0),"▶ NEXT","")</f>
        <v/>
      </c>
      <c r="L3300" s="4" t="n">
        <f aca="false">INDEX('Master List'!$F$2:$F$2594,O3300)</f>
        <v>2</v>
      </c>
      <c r="M3300" s="4" t="n">
        <f aca="false">INDEX('Master List'!$G$2:$G$2594,O3300)</f>
        <v>0</v>
      </c>
      <c r="N3300" s="4" t="str">
        <f aca="false">IF(K3300="","",A3300)</f>
        <v/>
      </c>
      <c r="O3300" s="4" t="n">
        <v>340</v>
      </c>
      <c r="P3300" s="4" t="n">
        <f aca="false">IF(A3300=A3299,P3299+1-M3299,0)</f>
        <v>3</v>
      </c>
    </row>
    <row r="3301" customFormat="false" ht="15" hidden="false" customHeight="false" outlineLevel="0" collapsed="false">
      <c r="A3301" s="32" t="s">
        <v>4363</v>
      </c>
      <c r="B3301" s="32" t="s">
        <v>55</v>
      </c>
      <c r="C3301" s="32" t="s">
        <v>118</v>
      </c>
      <c r="D3301" s="32" t="s">
        <v>4364</v>
      </c>
      <c r="E3301" s="4" t="n">
        <v>7</v>
      </c>
      <c r="F3301" s="4" t="s">
        <v>213</v>
      </c>
      <c r="G3301" s="4" t="s">
        <v>2303</v>
      </c>
      <c r="H3301" s="4" t="n">
        <v>1977</v>
      </c>
      <c r="I3301" s="4" t="s">
        <v>797</v>
      </c>
      <c r="J3301" s="25" t="str">
        <f aca="false">IF(M3301=1,"✓","")</f>
        <v/>
      </c>
      <c r="K3301" s="4" t="str">
        <f aca="false">IF(AND(M3301=0,P3301=0),"▶ NEXT","")</f>
        <v/>
      </c>
      <c r="L3301" s="4" t="n">
        <f aca="false">INDEX('Master List'!$F$2:$F$2594,O3301)</f>
        <v>1</v>
      </c>
      <c r="M3301" s="4" t="n">
        <f aca="false">INDEX('Master List'!$G$2:$G$2594,O3301)</f>
        <v>0</v>
      </c>
      <c r="N3301" s="4" t="str">
        <f aca="false">IF(K3301="","",A3301)</f>
        <v/>
      </c>
      <c r="O3301" s="4" t="n">
        <v>2087</v>
      </c>
      <c r="P3301" s="4" t="n">
        <f aca="false">IF(A3301=A3300,P3300+1-M3300,0)</f>
        <v>4</v>
      </c>
    </row>
    <row r="3302" customFormat="false" ht="15" hidden="false" customHeight="false" outlineLevel="0" collapsed="false">
      <c r="A3302" s="32" t="s">
        <v>4363</v>
      </c>
      <c r="B3302" s="32" t="s">
        <v>55</v>
      </c>
      <c r="C3302" s="32" t="s">
        <v>118</v>
      </c>
      <c r="D3302" s="32" t="s">
        <v>4364</v>
      </c>
      <c r="E3302" s="4" t="n">
        <v>8</v>
      </c>
      <c r="F3302" s="4" t="s">
        <v>213</v>
      </c>
      <c r="G3302" s="4" t="s">
        <v>2483</v>
      </c>
      <c r="H3302" s="4" t="n">
        <v>1988</v>
      </c>
      <c r="I3302" s="4" t="s">
        <v>2484</v>
      </c>
      <c r="J3302" s="25" t="str">
        <f aca="false">IF(M3302=1,"✓","")</f>
        <v/>
      </c>
      <c r="K3302" s="4" t="str">
        <f aca="false">IF(AND(M3302=0,P3302=0),"▶ NEXT","")</f>
        <v/>
      </c>
      <c r="L3302" s="4" t="n">
        <f aca="false">INDEX('Master List'!$F$2:$F$2594,O3302)</f>
        <v>1</v>
      </c>
      <c r="M3302" s="4" t="n">
        <f aca="false">INDEX('Master List'!$G$2:$G$2594,O3302)</f>
        <v>0</v>
      </c>
      <c r="N3302" s="4" t="str">
        <f aca="false">IF(K3302="","",A3302)</f>
        <v/>
      </c>
      <c r="O3302" s="4" t="n">
        <v>365</v>
      </c>
      <c r="P3302" s="4" t="n">
        <f aca="false">IF(A3302=A3301,P3301+1-M3301,0)</f>
        <v>5</v>
      </c>
    </row>
    <row r="3303" customFormat="false" ht="15" hidden="false" customHeight="false" outlineLevel="0" collapsed="false">
      <c r="A3303" s="32" t="s">
        <v>4363</v>
      </c>
      <c r="B3303" s="32" t="s">
        <v>55</v>
      </c>
      <c r="C3303" s="32" t="s">
        <v>118</v>
      </c>
      <c r="D3303" s="32" t="s">
        <v>4364</v>
      </c>
      <c r="E3303" s="4" t="n">
        <v>9</v>
      </c>
      <c r="F3303" s="4" t="s">
        <v>213</v>
      </c>
      <c r="G3303" s="4" t="s">
        <v>1281</v>
      </c>
      <c r="H3303" s="4" t="n">
        <v>1989</v>
      </c>
      <c r="I3303" s="4" t="s">
        <v>1282</v>
      </c>
      <c r="J3303" s="25" t="str">
        <f aca="false">IF(M3303=1,"✓","")</f>
        <v>✓</v>
      </c>
      <c r="K3303" s="4" t="str">
        <f aca="false">IF(AND(M3303=0,P3303=0),"▶ NEXT","")</f>
        <v/>
      </c>
      <c r="L3303" s="4" t="n">
        <f aca="false">INDEX('Master List'!$F$2:$F$2594,O3303)</f>
        <v>2</v>
      </c>
      <c r="M3303" s="4" t="n">
        <f aca="false">INDEX('Master List'!$G$2:$G$2594,O3303)</f>
        <v>1</v>
      </c>
      <c r="N3303" s="4" t="str">
        <f aca="false">IF(K3303="","",A3303)</f>
        <v/>
      </c>
      <c r="O3303" s="4" t="n">
        <v>803</v>
      </c>
      <c r="P3303" s="4" t="n">
        <f aca="false">IF(A3303=A3302,P3302+1-M3302,0)</f>
        <v>6</v>
      </c>
    </row>
    <row r="3304" customFormat="false" ht="15" hidden="false" customHeight="false" outlineLevel="0" collapsed="false">
      <c r="A3304" s="32" t="s">
        <v>4363</v>
      </c>
      <c r="B3304" s="32" t="s">
        <v>55</v>
      </c>
      <c r="C3304" s="32" t="s">
        <v>118</v>
      </c>
      <c r="D3304" s="32" t="s">
        <v>4364</v>
      </c>
      <c r="E3304" s="4" t="n">
        <v>10</v>
      </c>
      <c r="F3304" s="4" t="s">
        <v>213</v>
      </c>
      <c r="G3304" s="4" t="s">
        <v>2557</v>
      </c>
      <c r="H3304" s="4" t="n">
        <v>1992</v>
      </c>
      <c r="I3304" s="4" t="s">
        <v>2484</v>
      </c>
      <c r="J3304" s="25" t="str">
        <f aca="false">IF(M3304=1,"✓","")</f>
        <v/>
      </c>
      <c r="K3304" s="4" t="str">
        <f aca="false">IF(AND(M3304=0,P3304=0),"▶ NEXT","")</f>
        <v/>
      </c>
      <c r="L3304" s="4" t="n">
        <f aca="false">INDEX('Master List'!$F$2:$F$2594,O3304)</f>
        <v>1</v>
      </c>
      <c r="M3304" s="4" t="n">
        <f aca="false">INDEX('Master List'!$G$2:$G$2594,O3304)</f>
        <v>0</v>
      </c>
      <c r="N3304" s="4" t="str">
        <f aca="false">IF(K3304="","",A3304)</f>
        <v/>
      </c>
      <c r="O3304" s="4" t="n">
        <v>2505</v>
      </c>
      <c r="P3304" s="4" t="n">
        <f aca="false">IF(A3304=A3303,P3303+1-M3303,0)</f>
        <v>6</v>
      </c>
    </row>
    <row r="3305" customFormat="false" ht="15" hidden="false" customHeight="false" outlineLevel="0" collapsed="false">
      <c r="A3305" s="32" t="s">
        <v>4363</v>
      </c>
      <c r="B3305" s="32" t="s">
        <v>55</v>
      </c>
      <c r="C3305" s="32" t="s">
        <v>118</v>
      </c>
      <c r="D3305" s="32" t="s">
        <v>4364</v>
      </c>
      <c r="E3305" s="4" t="n">
        <v>11</v>
      </c>
      <c r="F3305" s="4" t="s">
        <v>213</v>
      </c>
      <c r="G3305" s="4" t="s">
        <v>2651</v>
      </c>
      <c r="H3305" s="4" t="n">
        <v>1996</v>
      </c>
      <c r="I3305" s="4" t="s">
        <v>1376</v>
      </c>
      <c r="J3305" s="25" t="str">
        <f aca="false">IF(M3305=1,"✓","")</f>
        <v/>
      </c>
      <c r="K3305" s="4" t="str">
        <f aca="false">IF(AND(M3305=0,P3305=0),"▶ NEXT","")</f>
        <v/>
      </c>
      <c r="L3305" s="4" t="n">
        <f aca="false">INDEX('Master List'!$F$2:$F$2594,O3305)</f>
        <v>1</v>
      </c>
      <c r="M3305" s="4" t="n">
        <f aca="false">INDEX('Master List'!$G$2:$G$2594,O3305)</f>
        <v>0</v>
      </c>
      <c r="N3305" s="4" t="str">
        <f aca="false">IF(K3305="","",A3305)</f>
        <v/>
      </c>
      <c r="O3305" s="4" t="n">
        <v>1203</v>
      </c>
      <c r="P3305" s="4" t="n">
        <f aca="false">IF(A3305=A3304,P3304+1-M3304,0)</f>
        <v>7</v>
      </c>
    </row>
    <row r="3306" customFormat="false" ht="15" hidden="false" customHeight="false" outlineLevel="0" collapsed="false">
      <c r="A3306" s="32" t="s">
        <v>4363</v>
      </c>
      <c r="B3306" s="32" t="s">
        <v>55</v>
      </c>
      <c r="C3306" s="32" t="s">
        <v>118</v>
      </c>
      <c r="D3306" s="32" t="s">
        <v>4364</v>
      </c>
      <c r="E3306" s="4" t="n">
        <v>12</v>
      </c>
      <c r="F3306" s="4" t="s">
        <v>213</v>
      </c>
      <c r="G3306" s="4" t="s">
        <v>2829</v>
      </c>
      <c r="H3306" s="4" t="n">
        <v>2004</v>
      </c>
      <c r="I3306" s="4" t="s">
        <v>2830</v>
      </c>
      <c r="J3306" s="25" t="str">
        <f aca="false">IF(M3306=1,"✓","")</f>
        <v/>
      </c>
      <c r="K3306" s="4" t="str">
        <f aca="false">IF(AND(M3306=0,P3306=0),"▶ NEXT","")</f>
        <v/>
      </c>
      <c r="L3306" s="4" t="n">
        <f aca="false">INDEX('Master List'!$F$2:$F$2594,O3306)</f>
        <v>1</v>
      </c>
      <c r="M3306" s="4" t="n">
        <f aca="false">INDEX('Master List'!$G$2:$G$2594,O3306)</f>
        <v>0</v>
      </c>
      <c r="N3306" s="4" t="str">
        <f aca="false">IF(K3306="","",A3306)</f>
        <v/>
      </c>
      <c r="O3306" s="4" t="n">
        <v>857</v>
      </c>
      <c r="P3306" s="4" t="n">
        <f aca="false">IF(A3306=A3305,P3305+1-M3305,0)</f>
        <v>8</v>
      </c>
    </row>
    <row r="3307" customFormat="false" ht="15" hidden="false" customHeight="false" outlineLevel="0" collapsed="false">
      <c r="A3307" s="32" t="s">
        <v>4363</v>
      </c>
      <c r="B3307" s="32" t="s">
        <v>55</v>
      </c>
      <c r="C3307" s="32" t="s">
        <v>118</v>
      </c>
      <c r="D3307" s="32" t="s">
        <v>4364</v>
      </c>
      <c r="E3307" s="4" t="n">
        <v>13</v>
      </c>
      <c r="F3307" s="4" t="s">
        <v>213</v>
      </c>
      <c r="G3307" s="4" t="s">
        <v>2982</v>
      </c>
      <c r="H3307" s="4" t="n">
        <v>2011</v>
      </c>
      <c r="I3307" s="4" t="s">
        <v>2983</v>
      </c>
      <c r="J3307" s="25" t="str">
        <f aca="false">IF(M3307=1,"✓","")</f>
        <v>✓</v>
      </c>
      <c r="K3307" s="4" t="str">
        <f aca="false">IF(AND(M3307=0,P3307=0),"▶ NEXT","")</f>
        <v/>
      </c>
      <c r="L3307" s="4" t="n">
        <f aca="false">INDEX('Master List'!$F$2:$F$2594,O3307)</f>
        <v>1</v>
      </c>
      <c r="M3307" s="4" t="n">
        <f aca="false">INDEX('Master List'!$G$2:$G$2594,O3307)</f>
        <v>1</v>
      </c>
      <c r="N3307" s="4" t="str">
        <f aca="false">IF(K3307="","",A3307)</f>
        <v/>
      </c>
      <c r="O3307" s="4" t="n">
        <v>1525</v>
      </c>
      <c r="P3307" s="4" t="n">
        <f aca="false">IF(A3307=A3306,P3306+1-M3306,0)</f>
        <v>9</v>
      </c>
    </row>
    <row r="3308" customFormat="false" ht="15" hidden="false" customHeight="false" outlineLevel="0" collapsed="false">
      <c r="A3308" s="32" t="s">
        <v>4363</v>
      </c>
      <c r="B3308" s="32" t="s">
        <v>55</v>
      </c>
      <c r="C3308" s="32" t="s">
        <v>118</v>
      </c>
      <c r="D3308" s="32" t="s">
        <v>4364</v>
      </c>
      <c r="E3308" s="4" t="n">
        <v>14</v>
      </c>
      <c r="F3308" s="4" t="s">
        <v>213</v>
      </c>
      <c r="G3308" s="4" t="s">
        <v>3065</v>
      </c>
      <c r="H3308" s="4" t="n">
        <v>2014</v>
      </c>
      <c r="I3308" s="4" t="s">
        <v>2983</v>
      </c>
      <c r="J3308" s="25" t="str">
        <f aca="false">IF(M3308=1,"✓","")</f>
        <v>✓</v>
      </c>
      <c r="K3308" s="4" t="str">
        <f aca="false">IF(AND(M3308=0,P3308=0),"▶ NEXT","")</f>
        <v/>
      </c>
      <c r="L3308" s="4" t="n">
        <f aca="false">INDEX('Master List'!$F$2:$F$2594,O3308)</f>
        <v>1</v>
      </c>
      <c r="M3308" s="4" t="n">
        <f aca="false">INDEX('Master List'!$G$2:$G$2594,O3308)</f>
        <v>1</v>
      </c>
      <c r="N3308" s="4" t="str">
        <f aca="false">IF(K3308="","",A3308)</f>
        <v/>
      </c>
      <c r="O3308" s="4" t="n">
        <v>843</v>
      </c>
      <c r="P3308" s="4" t="n">
        <f aca="false">IF(A3308=A3307,P3307+1-M3307,0)</f>
        <v>9</v>
      </c>
    </row>
    <row r="3309" customFormat="false" ht="15" hidden="false" customHeight="false" outlineLevel="0" collapsed="false">
      <c r="A3309" s="32" t="s">
        <v>4363</v>
      </c>
      <c r="B3309" s="32" t="s">
        <v>55</v>
      </c>
      <c r="C3309" s="32" t="s">
        <v>118</v>
      </c>
      <c r="D3309" s="32" t="s">
        <v>4364</v>
      </c>
      <c r="E3309" s="4" t="n">
        <v>15</v>
      </c>
      <c r="F3309" s="4" t="s">
        <v>213</v>
      </c>
      <c r="G3309" s="4" t="s">
        <v>2916</v>
      </c>
      <c r="H3309" s="4" t="n">
        <v>2008</v>
      </c>
      <c r="I3309" s="4" t="s">
        <v>2917</v>
      </c>
      <c r="J3309" s="25" t="str">
        <f aca="false">IF(M3309=1,"✓","")</f>
        <v>✓</v>
      </c>
      <c r="K3309" s="4" t="str">
        <f aca="false">IF(AND(M3309=0,P3309=0),"▶ NEXT","")</f>
        <v/>
      </c>
      <c r="L3309" s="4" t="n">
        <f aca="false">INDEX('Master List'!$F$2:$F$2594,O3309)</f>
        <v>1</v>
      </c>
      <c r="M3309" s="4" t="n">
        <f aca="false">INDEX('Master List'!$G$2:$G$2594,O3309)</f>
        <v>1</v>
      </c>
      <c r="N3309" s="4" t="str">
        <f aca="false">IF(K3309="","",A3309)</f>
        <v/>
      </c>
      <c r="O3309" s="4" t="n">
        <v>2557</v>
      </c>
      <c r="P3309" s="4" t="n">
        <f aca="false">IF(A3309=A3308,P3308+1-M3308,0)</f>
        <v>9</v>
      </c>
    </row>
    <row r="3310" customFormat="false" ht="15" hidden="false" customHeight="false" outlineLevel="0" collapsed="false">
      <c r="A3310" s="32" t="s">
        <v>4363</v>
      </c>
      <c r="B3310" s="32" t="s">
        <v>55</v>
      </c>
      <c r="C3310" s="32" t="s">
        <v>118</v>
      </c>
      <c r="D3310" s="32" t="s">
        <v>4364</v>
      </c>
      <c r="E3310" s="4" t="n">
        <v>16</v>
      </c>
      <c r="F3310" s="4" t="s">
        <v>1327</v>
      </c>
      <c r="G3310" s="4" t="s">
        <v>3330</v>
      </c>
      <c r="H3310" s="4" t="n">
        <v>1938</v>
      </c>
      <c r="I3310" s="4" t="s">
        <v>1739</v>
      </c>
      <c r="J3310" s="25" t="str">
        <f aca="false">IF(M3310=1,"✓","")</f>
        <v/>
      </c>
      <c r="K3310" s="4" t="str">
        <f aca="false">IF(AND(M3310=0,P3310=0),"▶ NEXT","")</f>
        <v/>
      </c>
      <c r="L3310" s="4" t="n">
        <f aca="false">INDEX('Master List'!$F$2:$F$2594,O3310)</f>
        <v>1</v>
      </c>
      <c r="M3310" s="4" t="n">
        <f aca="false">INDEX('Master List'!$G$2:$G$2594,O3310)</f>
        <v>0</v>
      </c>
      <c r="N3310" s="4" t="str">
        <f aca="false">IF(K3310="","",A3310)</f>
        <v/>
      </c>
      <c r="O3310" s="4" t="n">
        <v>1660</v>
      </c>
      <c r="P3310" s="4" t="n">
        <f aca="false">IF(A3310=A3309,P3309+1-M3309,0)</f>
        <v>9</v>
      </c>
    </row>
    <row r="3311" customFormat="false" ht="15" hidden="false" customHeight="false" outlineLevel="0" collapsed="false">
      <c r="A3311" s="32" t="s">
        <v>4363</v>
      </c>
      <c r="B3311" s="32" t="s">
        <v>55</v>
      </c>
      <c r="C3311" s="32" t="s">
        <v>118</v>
      </c>
      <c r="D3311" s="32" t="s">
        <v>4364</v>
      </c>
      <c r="E3311" s="4" t="n">
        <v>17</v>
      </c>
      <c r="F3311" s="4" t="s">
        <v>1327</v>
      </c>
      <c r="G3311" s="4" t="s">
        <v>3793</v>
      </c>
      <c r="H3311" s="4" t="n">
        <v>2010</v>
      </c>
      <c r="I3311" s="4" t="s">
        <v>3079</v>
      </c>
      <c r="J3311" s="25" t="str">
        <f aca="false">IF(M3311=1,"✓","")</f>
        <v/>
      </c>
      <c r="K3311" s="4" t="str">
        <f aca="false">IF(AND(M3311=0,P3311=0),"▶ NEXT","")</f>
        <v/>
      </c>
      <c r="L3311" s="4" t="n">
        <f aca="false">INDEX('Master List'!$F$2:$F$2594,O3311)</f>
        <v>1</v>
      </c>
      <c r="M3311" s="4" t="n">
        <f aca="false">INDEX('Master List'!$G$2:$G$2594,O3311)</f>
        <v>0</v>
      </c>
      <c r="N3311" s="4" t="str">
        <f aca="false">IF(K3311="","",A3311)</f>
        <v/>
      </c>
      <c r="O3311" s="4" t="n">
        <v>2009</v>
      </c>
      <c r="P3311" s="4" t="n">
        <f aca="false">IF(A3311=A3310,P3310+1-M3310,0)</f>
        <v>10</v>
      </c>
    </row>
    <row r="3312" customFormat="false" ht="15" hidden="false" customHeight="false" outlineLevel="0" collapsed="false">
      <c r="A3312" s="32" t="s">
        <v>4363</v>
      </c>
      <c r="B3312" s="32" t="s">
        <v>55</v>
      </c>
      <c r="C3312" s="32" t="s">
        <v>118</v>
      </c>
      <c r="D3312" s="32" t="s">
        <v>4364</v>
      </c>
      <c r="E3312" s="4" t="n">
        <v>18</v>
      </c>
      <c r="F3312" s="4" t="s">
        <v>1327</v>
      </c>
      <c r="G3312" s="4" t="s">
        <v>3867</v>
      </c>
      <c r="H3312" s="4" t="n">
        <v>2024</v>
      </c>
      <c r="I3312" s="4" t="s">
        <v>3115</v>
      </c>
      <c r="J3312" s="25" t="str">
        <f aca="false">IF(M3312=1,"✓","")</f>
        <v/>
      </c>
      <c r="K3312" s="4" t="str">
        <f aca="false">IF(AND(M3312=0,P3312=0),"▶ NEXT","")</f>
        <v/>
      </c>
      <c r="L3312" s="4" t="n">
        <f aca="false">INDEX('Master List'!$F$2:$F$2594,O3312)</f>
        <v>1</v>
      </c>
      <c r="M3312" s="4" t="n">
        <f aca="false">INDEX('Master List'!$G$2:$G$2594,O3312)</f>
        <v>0</v>
      </c>
      <c r="N3312" s="4" t="str">
        <f aca="false">IF(K3312="","",A3312)</f>
        <v/>
      </c>
      <c r="O3312" s="4" t="n">
        <v>425</v>
      </c>
      <c r="P3312" s="4" t="n">
        <f aca="false">IF(A3312=A3311,P3311+1-M3311,0)</f>
        <v>11</v>
      </c>
    </row>
    <row r="3313" customFormat="false" ht="15" hidden="false" customHeight="false" outlineLevel="0" collapsed="false">
      <c r="A3313" s="32" t="s">
        <v>4365</v>
      </c>
      <c r="B3313" s="32" t="s">
        <v>55</v>
      </c>
      <c r="C3313" s="32" t="s">
        <v>118</v>
      </c>
      <c r="D3313" s="32" t="s">
        <v>4366</v>
      </c>
      <c r="E3313" s="4" t="n">
        <v>1</v>
      </c>
      <c r="F3313" s="4" t="s">
        <v>144</v>
      </c>
      <c r="G3313" s="7" t="s">
        <v>522</v>
      </c>
      <c r="H3313" s="4" t="n">
        <v>2013</v>
      </c>
      <c r="I3313" s="4" t="s">
        <v>323</v>
      </c>
      <c r="J3313" s="25" t="str">
        <f aca="false">IF(M3313=1,"✓","")</f>
        <v>✓</v>
      </c>
      <c r="K3313" s="4" t="str">
        <f aca="false">IF(AND(M3313=0,P3313=0),"▶ NEXT","")</f>
        <v/>
      </c>
      <c r="L3313" s="4" t="n">
        <f aca="false">INDEX('Master List'!$F$2:$F$2594,O3313)</f>
        <v>3</v>
      </c>
      <c r="M3313" s="4" t="n">
        <f aca="false">INDEX('Master List'!$G$2:$G$2594,O3313)</f>
        <v>1</v>
      </c>
      <c r="N3313" s="4" t="str">
        <f aca="false">IF(K3313="","",A3313)</f>
        <v/>
      </c>
      <c r="O3313" s="4" t="n">
        <v>1149</v>
      </c>
      <c r="P3313" s="4" t="n">
        <f aca="false">IF(A3313=A3312,P3312+1-M3312,0)</f>
        <v>0</v>
      </c>
    </row>
    <row r="3314" customFormat="false" ht="15" hidden="false" customHeight="false" outlineLevel="0" collapsed="false">
      <c r="A3314" s="32" t="s">
        <v>4365</v>
      </c>
      <c r="B3314" s="32" t="s">
        <v>55</v>
      </c>
      <c r="C3314" s="32" t="s">
        <v>118</v>
      </c>
      <c r="D3314" s="32" t="s">
        <v>4366</v>
      </c>
      <c r="E3314" s="4" t="n">
        <v>2</v>
      </c>
      <c r="F3314" s="4" t="s">
        <v>144</v>
      </c>
      <c r="G3314" s="7" t="s">
        <v>1577</v>
      </c>
      <c r="H3314" s="4" t="n">
        <v>2000</v>
      </c>
      <c r="I3314" s="4" t="s">
        <v>1376</v>
      </c>
      <c r="J3314" s="25" t="str">
        <f aca="false">IF(M3314=1,"✓","")</f>
        <v/>
      </c>
      <c r="K3314" s="4" t="str">
        <f aca="false">IF(AND(M3314=0,P3314=0),"▶ NEXT","")</f>
        <v>▶ NEXT</v>
      </c>
      <c r="L3314" s="4" t="n">
        <f aca="false">INDEX('Master List'!$F$2:$F$2594,O3314)</f>
        <v>1</v>
      </c>
      <c r="M3314" s="4" t="n">
        <f aca="false">INDEX('Master List'!$G$2:$G$2594,O3314)</f>
        <v>0</v>
      </c>
      <c r="N3314" s="4" t="str">
        <f aca="false">IF(K3314="","",A3314)</f>
        <v>N271</v>
      </c>
      <c r="O3314" s="4" t="n">
        <v>80</v>
      </c>
      <c r="P3314" s="4" t="n">
        <f aca="false">IF(A3314=A3313,P3313+1-M3313,0)</f>
        <v>0</v>
      </c>
    </row>
    <row r="3315" customFormat="false" ht="15" hidden="false" customHeight="false" outlineLevel="0" collapsed="false">
      <c r="A3315" s="32" t="s">
        <v>4365</v>
      </c>
      <c r="B3315" s="32" t="s">
        <v>55</v>
      </c>
      <c r="C3315" s="32" t="s">
        <v>118</v>
      </c>
      <c r="D3315" s="32" t="s">
        <v>4366</v>
      </c>
      <c r="E3315" s="4" t="n">
        <v>3</v>
      </c>
      <c r="F3315" s="4" t="s">
        <v>213</v>
      </c>
      <c r="G3315" s="4" t="s">
        <v>977</v>
      </c>
      <c r="H3315" s="4" t="n">
        <v>1964</v>
      </c>
      <c r="I3315" s="4" t="s">
        <v>978</v>
      </c>
      <c r="J3315" s="25" t="str">
        <f aca="false">IF(M3315=1,"✓","")</f>
        <v/>
      </c>
      <c r="K3315" s="4" t="str">
        <f aca="false">IF(AND(M3315=0,P3315=0),"▶ NEXT","")</f>
        <v/>
      </c>
      <c r="L3315" s="4" t="n">
        <f aca="false">INDEX('Master List'!$F$2:$F$2594,O3315)</f>
        <v>2</v>
      </c>
      <c r="M3315" s="4" t="n">
        <f aca="false">INDEX('Master List'!$G$2:$G$2594,O3315)</f>
        <v>0</v>
      </c>
      <c r="N3315" s="4" t="str">
        <f aca="false">IF(K3315="","",A3315)</f>
        <v/>
      </c>
      <c r="O3315" s="4" t="n">
        <v>994</v>
      </c>
      <c r="P3315" s="4" t="n">
        <f aca="false">IF(A3315=A3314,P3314+1-M3314,0)</f>
        <v>1</v>
      </c>
    </row>
    <row r="3316" customFormat="false" ht="15" hidden="false" customHeight="false" outlineLevel="0" collapsed="false">
      <c r="A3316" s="32" t="s">
        <v>4365</v>
      </c>
      <c r="B3316" s="32" t="s">
        <v>55</v>
      </c>
      <c r="C3316" s="32" t="s">
        <v>118</v>
      </c>
      <c r="D3316" s="32" t="s">
        <v>4366</v>
      </c>
      <c r="E3316" s="4" t="n">
        <v>4</v>
      </c>
      <c r="F3316" s="4" t="s">
        <v>213</v>
      </c>
      <c r="G3316" s="4" t="s">
        <v>196</v>
      </c>
      <c r="H3316" s="4" t="n">
        <v>1975</v>
      </c>
      <c r="I3316" s="4" t="s">
        <v>197</v>
      </c>
      <c r="J3316" s="25" t="str">
        <f aca="false">IF(M3316=1,"✓","")</f>
        <v>✓</v>
      </c>
      <c r="K3316" s="4" t="str">
        <f aca="false">IF(AND(M3316=0,P3316=0),"▶ NEXT","")</f>
        <v/>
      </c>
      <c r="L3316" s="4" t="n">
        <f aca="false">INDEX('Master List'!$F$2:$F$2594,O3316)</f>
        <v>6</v>
      </c>
      <c r="M3316" s="4" t="n">
        <f aca="false">INDEX('Master List'!$G$2:$G$2594,O3316)</f>
        <v>1</v>
      </c>
      <c r="N3316" s="4" t="str">
        <f aca="false">IF(K3316="","",A3316)</f>
        <v/>
      </c>
      <c r="O3316" s="4" t="n">
        <v>1587</v>
      </c>
      <c r="P3316" s="4" t="n">
        <f aca="false">IF(A3316=A3315,P3315+1-M3315,0)</f>
        <v>2</v>
      </c>
    </row>
    <row r="3317" customFormat="false" ht="15" hidden="false" customHeight="false" outlineLevel="0" collapsed="false">
      <c r="A3317" s="32" t="s">
        <v>4365</v>
      </c>
      <c r="B3317" s="32" t="s">
        <v>55</v>
      </c>
      <c r="C3317" s="32" t="s">
        <v>118</v>
      </c>
      <c r="D3317" s="32" t="s">
        <v>4366</v>
      </c>
      <c r="E3317" s="4" t="n">
        <v>5</v>
      </c>
      <c r="F3317" s="4" t="s">
        <v>213</v>
      </c>
      <c r="G3317" s="4" t="s">
        <v>2442</v>
      </c>
      <c r="H3317" s="4" t="n">
        <v>1986</v>
      </c>
      <c r="I3317" s="4" t="s">
        <v>2443</v>
      </c>
      <c r="J3317" s="25" t="str">
        <f aca="false">IF(M3317=1,"✓","")</f>
        <v/>
      </c>
      <c r="K3317" s="4" t="str">
        <f aca="false">IF(AND(M3317=0,P3317=0),"▶ NEXT","")</f>
        <v/>
      </c>
      <c r="L3317" s="4" t="n">
        <f aca="false">INDEX('Master List'!$F$2:$F$2594,O3317)</f>
        <v>1</v>
      </c>
      <c r="M3317" s="4" t="n">
        <f aca="false">INDEX('Master List'!$G$2:$G$2594,O3317)</f>
        <v>0</v>
      </c>
      <c r="N3317" s="4" t="str">
        <f aca="false">IF(K3317="","",A3317)</f>
        <v/>
      </c>
      <c r="O3317" s="4" t="n">
        <v>1938</v>
      </c>
      <c r="P3317" s="4" t="n">
        <f aca="false">IF(A3317=A3316,P3316+1-M3316,0)</f>
        <v>2</v>
      </c>
    </row>
    <row r="3318" customFormat="false" ht="15" hidden="false" customHeight="false" outlineLevel="0" collapsed="false">
      <c r="A3318" s="32" t="s">
        <v>4365</v>
      </c>
      <c r="B3318" s="32" t="s">
        <v>55</v>
      </c>
      <c r="C3318" s="32" t="s">
        <v>118</v>
      </c>
      <c r="D3318" s="32" t="s">
        <v>4366</v>
      </c>
      <c r="E3318" s="4" t="n">
        <v>6</v>
      </c>
      <c r="F3318" s="4" t="s">
        <v>213</v>
      </c>
      <c r="G3318" s="4" t="s">
        <v>2485</v>
      </c>
      <c r="H3318" s="4" t="n">
        <v>1988</v>
      </c>
      <c r="I3318" s="4" t="s">
        <v>829</v>
      </c>
      <c r="J3318" s="25" t="str">
        <f aca="false">IF(M3318=1,"✓","")</f>
        <v/>
      </c>
      <c r="K3318" s="4" t="str">
        <f aca="false">IF(AND(M3318=0,P3318=0),"▶ NEXT","")</f>
        <v/>
      </c>
      <c r="L3318" s="4" t="n">
        <f aca="false">INDEX('Master List'!$F$2:$F$2594,O3318)</f>
        <v>1</v>
      </c>
      <c r="M3318" s="4" t="n">
        <f aca="false">INDEX('Master List'!$G$2:$G$2594,O3318)</f>
        <v>0</v>
      </c>
      <c r="N3318" s="4" t="str">
        <f aca="false">IF(K3318="","",A3318)</f>
        <v/>
      </c>
      <c r="O3318" s="4" t="n">
        <v>253</v>
      </c>
      <c r="P3318" s="4" t="n">
        <f aca="false">IF(A3318=A3317,P3317+1-M3317,0)</f>
        <v>3</v>
      </c>
    </row>
    <row r="3319" customFormat="false" ht="15" hidden="false" customHeight="false" outlineLevel="0" collapsed="false">
      <c r="A3319" s="32" t="s">
        <v>4365</v>
      </c>
      <c r="B3319" s="32" t="s">
        <v>55</v>
      </c>
      <c r="C3319" s="32" t="s">
        <v>118</v>
      </c>
      <c r="D3319" s="32" t="s">
        <v>4366</v>
      </c>
      <c r="E3319" s="4" t="n">
        <v>7</v>
      </c>
      <c r="F3319" s="4" t="s">
        <v>213</v>
      </c>
      <c r="G3319" s="4" t="s">
        <v>2536</v>
      </c>
      <c r="H3319" s="4" t="n">
        <v>1991</v>
      </c>
      <c r="I3319" s="4" t="s">
        <v>2316</v>
      </c>
      <c r="J3319" s="25" t="str">
        <f aca="false">IF(M3319=1,"✓","")</f>
        <v/>
      </c>
      <c r="K3319" s="4" t="str">
        <f aca="false">IF(AND(M3319=0,P3319=0),"▶ NEXT","")</f>
        <v/>
      </c>
      <c r="L3319" s="4" t="n">
        <f aca="false">INDEX('Master List'!$F$2:$F$2594,O3319)</f>
        <v>1</v>
      </c>
      <c r="M3319" s="4" t="n">
        <f aca="false">INDEX('Master List'!$G$2:$G$2594,O3319)</f>
        <v>0</v>
      </c>
      <c r="N3319" s="4" t="str">
        <f aca="false">IF(K3319="","",A3319)</f>
        <v/>
      </c>
      <c r="O3319" s="4" t="n">
        <v>507</v>
      </c>
      <c r="P3319" s="4" t="n">
        <f aca="false">IF(A3319=A3318,P3318+1-M3318,0)</f>
        <v>4</v>
      </c>
    </row>
    <row r="3320" customFormat="false" ht="15" hidden="false" customHeight="false" outlineLevel="0" collapsed="false">
      <c r="A3320" s="32" t="s">
        <v>4365</v>
      </c>
      <c r="B3320" s="32" t="s">
        <v>55</v>
      </c>
      <c r="C3320" s="32" t="s">
        <v>118</v>
      </c>
      <c r="D3320" s="32" t="s">
        <v>4366</v>
      </c>
      <c r="E3320" s="4" t="n">
        <v>8</v>
      </c>
      <c r="F3320" s="4" t="s">
        <v>213</v>
      </c>
      <c r="G3320" s="4" t="s">
        <v>2652</v>
      </c>
      <c r="H3320" s="4" t="n">
        <v>1996</v>
      </c>
      <c r="I3320" s="4" t="s">
        <v>2653</v>
      </c>
      <c r="J3320" s="25" t="str">
        <f aca="false">IF(M3320=1,"✓","")</f>
        <v>✓</v>
      </c>
      <c r="K3320" s="4" t="str">
        <f aca="false">IF(AND(M3320=0,P3320=0),"▶ NEXT","")</f>
        <v/>
      </c>
      <c r="L3320" s="4" t="n">
        <f aca="false">INDEX('Master List'!$F$2:$F$2594,O3320)</f>
        <v>1</v>
      </c>
      <c r="M3320" s="4" t="n">
        <f aca="false">INDEX('Master List'!$G$2:$G$2594,O3320)</f>
        <v>1</v>
      </c>
      <c r="N3320" s="4" t="str">
        <f aca="false">IF(K3320="","",A3320)</f>
        <v/>
      </c>
      <c r="O3320" s="4" t="n">
        <v>2262</v>
      </c>
      <c r="P3320" s="4" t="n">
        <f aca="false">IF(A3320=A3319,P3319+1-M3319,0)</f>
        <v>5</v>
      </c>
    </row>
    <row r="3321" customFormat="false" ht="15" hidden="false" customHeight="false" outlineLevel="0" collapsed="false">
      <c r="A3321" s="32" t="s">
        <v>4365</v>
      </c>
      <c r="B3321" s="32" t="s">
        <v>55</v>
      </c>
      <c r="C3321" s="32" t="s">
        <v>118</v>
      </c>
      <c r="D3321" s="32" t="s">
        <v>4366</v>
      </c>
      <c r="E3321" s="4" t="n">
        <v>9</v>
      </c>
      <c r="F3321" s="4" t="s">
        <v>213</v>
      </c>
      <c r="G3321" s="4" t="s">
        <v>2689</v>
      </c>
      <c r="H3321" s="4" t="n">
        <v>1998</v>
      </c>
      <c r="I3321" s="4" t="s">
        <v>718</v>
      </c>
      <c r="J3321" s="25" t="str">
        <f aca="false">IF(M3321=1,"✓","")</f>
        <v/>
      </c>
      <c r="K3321" s="4" t="str">
        <f aca="false">IF(AND(M3321=0,P3321=0),"▶ NEXT","")</f>
        <v/>
      </c>
      <c r="L3321" s="4" t="n">
        <f aca="false">INDEX('Master List'!$F$2:$F$2594,O3321)</f>
        <v>1</v>
      </c>
      <c r="M3321" s="4" t="n">
        <f aca="false">INDEX('Master List'!$G$2:$G$2594,O3321)</f>
        <v>0</v>
      </c>
      <c r="N3321" s="4" t="str">
        <f aca="false">IF(K3321="","",A3321)</f>
        <v/>
      </c>
      <c r="O3321" s="4" t="n">
        <v>2425</v>
      </c>
      <c r="P3321" s="4" t="n">
        <f aca="false">IF(A3321=A3320,P3320+1-M3320,0)</f>
        <v>5</v>
      </c>
    </row>
    <row r="3322" customFormat="false" ht="15" hidden="false" customHeight="false" outlineLevel="0" collapsed="false">
      <c r="A3322" s="32" t="s">
        <v>4365</v>
      </c>
      <c r="B3322" s="32" t="s">
        <v>55</v>
      </c>
      <c r="C3322" s="32" t="s">
        <v>118</v>
      </c>
      <c r="D3322" s="32" t="s">
        <v>4366</v>
      </c>
      <c r="E3322" s="4" t="n">
        <v>10</v>
      </c>
      <c r="F3322" s="4" t="s">
        <v>213</v>
      </c>
      <c r="G3322" s="4" t="s">
        <v>2729</v>
      </c>
      <c r="H3322" s="4" t="n">
        <v>2000</v>
      </c>
      <c r="I3322" s="4" t="s">
        <v>1284</v>
      </c>
      <c r="J3322" s="25" t="str">
        <f aca="false">IF(M3322=1,"✓","")</f>
        <v>✓</v>
      </c>
      <c r="K3322" s="4" t="str">
        <f aca="false">IF(AND(M3322=0,P3322=0),"▶ NEXT","")</f>
        <v/>
      </c>
      <c r="L3322" s="4" t="n">
        <f aca="false">INDEX('Master List'!$F$2:$F$2594,O3322)</f>
        <v>1</v>
      </c>
      <c r="M3322" s="4" t="n">
        <f aca="false">INDEX('Master List'!$G$2:$G$2594,O3322)</f>
        <v>1</v>
      </c>
      <c r="N3322" s="4" t="str">
        <f aca="false">IF(K3322="","",A3322)</f>
        <v/>
      </c>
      <c r="O3322" s="4" t="n">
        <v>1033</v>
      </c>
      <c r="P3322" s="4" t="n">
        <f aca="false">IF(A3322=A3321,P3321+1-M3321,0)</f>
        <v>6</v>
      </c>
    </row>
    <row r="3323" customFormat="false" ht="15" hidden="false" customHeight="false" outlineLevel="0" collapsed="false">
      <c r="A3323" s="32" t="s">
        <v>4365</v>
      </c>
      <c r="B3323" s="32" t="s">
        <v>55</v>
      </c>
      <c r="C3323" s="32" t="s">
        <v>118</v>
      </c>
      <c r="D3323" s="32" t="s">
        <v>4366</v>
      </c>
      <c r="E3323" s="4" t="n">
        <v>11</v>
      </c>
      <c r="F3323" s="4" t="s">
        <v>213</v>
      </c>
      <c r="G3323" s="4" t="s">
        <v>2789</v>
      </c>
      <c r="H3323" s="4" t="n">
        <v>2002</v>
      </c>
      <c r="I3323" s="4" t="s">
        <v>2790</v>
      </c>
      <c r="J3323" s="25" t="str">
        <f aca="false">IF(M3323=1,"✓","")</f>
        <v/>
      </c>
      <c r="K3323" s="4" t="str">
        <f aca="false">IF(AND(M3323=0,P3323=0),"▶ NEXT","")</f>
        <v/>
      </c>
      <c r="L3323" s="4" t="n">
        <f aca="false">INDEX('Master List'!$F$2:$F$2594,O3323)</f>
        <v>1</v>
      </c>
      <c r="M3323" s="4" t="n">
        <f aca="false">INDEX('Master List'!$G$2:$G$2594,O3323)</f>
        <v>0</v>
      </c>
      <c r="N3323" s="4" t="str">
        <f aca="false">IF(K3323="","",A3323)</f>
        <v/>
      </c>
      <c r="O3323" s="4" t="n">
        <v>15</v>
      </c>
      <c r="P3323" s="4" t="n">
        <f aca="false">IF(A3323=A3322,P3322+1-M3322,0)</f>
        <v>6</v>
      </c>
    </row>
    <row r="3324" customFormat="false" ht="15" hidden="false" customHeight="false" outlineLevel="0" collapsed="false">
      <c r="A3324" s="32" t="s">
        <v>4365</v>
      </c>
      <c r="B3324" s="32" t="s">
        <v>55</v>
      </c>
      <c r="C3324" s="32" t="s">
        <v>118</v>
      </c>
      <c r="D3324" s="32" t="s">
        <v>4366</v>
      </c>
      <c r="E3324" s="4" t="n">
        <v>12</v>
      </c>
      <c r="F3324" s="4" t="s">
        <v>213</v>
      </c>
      <c r="G3324" s="4" t="s">
        <v>2894</v>
      </c>
      <c r="H3324" s="4" t="n">
        <v>2007</v>
      </c>
      <c r="I3324" s="4" t="s">
        <v>718</v>
      </c>
      <c r="J3324" s="25" t="str">
        <f aca="false">IF(M3324=1,"✓","")</f>
        <v/>
      </c>
      <c r="K3324" s="4" t="str">
        <f aca="false">IF(AND(M3324=0,P3324=0),"▶ NEXT","")</f>
        <v/>
      </c>
      <c r="L3324" s="4" t="n">
        <f aca="false">INDEX('Master List'!$F$2:$F$2594,O3324)</f>
        <v>1</v>
      </c>
      <c r="M3324" s="4" t="n">
        <f aca="false">INDEX('Master List'!$G$2:$G$2594,O3324)</f>
        <v>0</v>
      </c>
      <c r="N3324" s="4" t="str">
        <f aca="false">IF(K3324="","",A3324)</f>
        <v/>
      </c>
      <c r="O3324" s="4" t="n">
        <v>1105</v>
      </c>
      <c r="P3324" s="4" t="n">
        <f aca="false">IF(A3324=A3323,P3323+1-M3323,0)</f>
        <v>7</v>
      </c>
    </row>
    <row r="3325" customFormat="false" ht="15" hidden="false" customHeight="false" outlineLevel="0" collapsed="false">
      <c r="A3325" s="32" t="s">
        <v>4365</v>
      </c>
      <c r="B3325" s="32" t="s">
        <v>55</v>
      </c>
      <c r="C3325" s="32" t="s">
        <v>118</v>
      </c>
      <c r="D3325" s="32" t="s">
        <v>4366</v>
      </c>
      <c r="E3325" s="4" t="n">
        <v>13</v>
      </c>
      <c r="F3325" s="4" t="s">
        <v>213</v>
      </c>
      <c r="G3325" s="4" t="s">
        <v>1405</v>
      </c>
      <c r="H3325" s="4" t="n">
        <v>2007</v>
      </c>
      <c r="I3325" s="4" t="s">
        <v>1406</v>
      </c>
      <c r="J3325" s="25" t="str">
        <f aca="false">IF(M3325=1,"✓","")</f>
        <v/>
      </c>
      <c r="K3325" s="4" t="str">
        <f aca="false">IF(AND(M3325=0,P3325=0),"▶ NEXT","")</f>
        <v/>
      </c>
      <c r="L3325" s="4" t="n">
        <f aca="false">INDEX('Master List'!$F$2:$F$2594,O3325)</f>
        <v>2</v>
      </c>
      <c r="M3325" s="4" t="n">
        <f aca="false">INDEX('Master List'!$G$2:$G$2594,O3325)</f>
        <v>0</v>
      </c>
      <c r="N3325" s="4" t="str">
        <f aca="false">IF(K3325="","",A3325)</f>
        <v/>
      </c>
      <c r="O3325" s="4" t="n">
        <v>1668</v>
      </c>
      <c r="P3325" s="4" t="n">
        <f aca="false">IF(A3325=A3324,P3324+1-M3324,0)</f>
        <v>8</v>
      </c>
    </row>
    <row r="3326" customFormat="false" ht="15" hidden="false" customHeight="false" outlineLevel="0" collapsed="false">
      <c r="A3326" s="32" t="s">
        <v>4365</v>
      </c>
      <c r="B3326" s="32" t="s">
        <v>55</v>
      </c>
      <c r="C3326" s="32" t="s">
        <v>118</v>
      </c>
      <c r="D3326" s="32" t="s">
        <v>4366</v>
      </c>
      <c r="E3326" s="4" t="n">
        <v>14</v>
      </c>
      <c r="F3326" s="4" t="s">
        <v>213</v>
      </c>
      <c r="G3326" s="4" t="s">
        <v>1292</v>
      </c>
      <c r="H3326" s="4" t="n">
        <v>2014</v>
      </c>
      <c r="I3326" s="4" t="s">
        <v>1293</v>
      </c>
      <c r="J3326" s="25" t="str">
        <f aca="false">IF(M3326=1,"✓","")</f>
        <v>✓</v>
      </c>
      <c r="K3326" s="4" t="str">
        <f aca="false">IF(AND(M3326=0,P3326=0),"▶ NEXT","")</f>
        <v/>
      </c>
      <c r="L3326" s="4" t="n">
        <f aca="false">INDEX('Master List'!$F$2:$F$2594,O3326)</f>
        <v>2</v>
      </c>
      <c r="M3326" s="4" t="n">
        <f aca="false">INDEX('Master List'!$G$2:$G$2594,O3326)</f>
        <v>1</v>
      </c>
      <c r="N3326" s="4" t="str">
        <f aca="false">IF(K3326="","",A3326)</f>
        <v/>
      </c>
      <c r="O3326" s="4" t="n">
        <v>2497</v>
      </c>
      <c r="P3326" s="4" t="n">
        <f aca="false">IF(A3326=A3325,P3325+1-M3325,0)</f>
        <v>9</v>
      </c>
    </row>
    <row r="3327" customFormat="false" ht="15" hidden="false" customHeight="false" outlineLevel="0" collapsed="false">
      <c r="A3327" s="32" t="s">
        <v>4365</v>
      </c>
      <c r="B3327" s="32" t="s">
        <v>55</v>
      </c>
      <c r="C3327" s="32" t="s">
        <v>118</v>
      </c>
      <c r="D3327" s="32" t="s">
        <v>4366</v>
      </c>
      <c r="E3327" s="4" t="n">
        <v>15</v>
      </c>
      <c r="F3327" s="4" t="s">
        <v>213</v>
      </c>
      <c r="G3327" s="4" t="s">
        <v>1248</v>
      </c>
      <c r="H3327" s="4" t="n">
        <v>2019</v>
      </c>
      <c r="I3327" s="4" t="s">
        <v>1249</v>
      </c>
      <c r="J3327" s="25" t="str">
        <f aca="false">IF(M3327=1,"✓","")</f>
        <v>✓</v>
      </c>
      <c r="K3327" s="4" t="str">
        <f aca="false">IF(AND(M3327=0,P3327=0),"▶ NEXT","")</f>
        <v/>
      </c>
      <c r="L3327" s="4" t="n">
        <f aca="false">INDEX('Master List'!$F$2:$F$2594,O3327)</f>
        <v>2</v>
      </c>
      <c r="M3327" s="4" t="n">
        <f aca="false">INDEX('Master List'!$G$2:$G$2594,O3327)</f>
        <v>1</v>
      </c>
      <c r="N3327" s="4" t="str">
        <f aca="false">IF(K3327="","",A3327)</f>
        <v/>
      </c>
      <c r="O3327" s="4" t="n">
        <v>2121</v>
      </c>
      <c r="P3327" s="4" t="n">
        <f aca="false">IF(A3327=A3326,P3326+1-M3326,0)</f>
        <v>9</v>
      </c>
    </row>
    <row r="3328" customFormat="false" ht="15" hidden="false" customHeight="false" outlineLevel="0" collapsed="false">
      <c r="A3328" s="32" t="s">
        <v>4365</v>
      </c>
      <c r="B3328" s="32" t="s">
        <v>55</v>
      </c>
      <c r="C3328" s="32" t="s">
        <v>118</v>
      </c>
      <c r="D3328" s="32" t="s">
        <v>4366</v>
      </c>
      <c r="E3328" s="4" t="n">
        <v>16</v>
      </c>
      <c r="F3328" s="4" t="s">
        <v>1327</v>
      </c>
      <c r="G3328" s="4" t="s">
        <v>3834</v>
      </c>
      <c r="H3328" s="4" t="n">
        <v>2016</v>
      </c>
      <c r="I3328" s="4" t="s">
        <v>1406</v>
      </c>
      <c r="J3328" s="25" t="str">
        <f aca="false">IF(M3328=1,"✓","")</f>
        <v/>
      </c>
      <c r="K3328" s="4" t="str">
        <f aca="false">IF(AND(M3328=0,P3328=0),"▶ NEXT","")</f>
        <v/>
      </c>
      <c r="L3328" s="4" t="n">
        <f aca="false">INDEX('Master List'!$F$2:$F$2594,O3328)</f>
        <v>1</v>
      </c>
      <c r="M3328" s="4" t="n">
        <f aca="false">INDEX('Master List'!$G$2:$G$2594,O3328)</f>
        <v>0</v>
      </c>
      <c r="N3328" s="4" t="str">
        <f aca="false">IF(K3328="","",A3328)</f>
        <v/>
      </c>
      <c r="O3328" s="4" t="n">
        <v>2079</v>
      </c>
      <c r="P3328" s="4" t="n">
        <f aca="false">IF(A3328=A3327,P3327+1-M3327,0)</f>
        <v>9</v>
      </c>
    </row>
    <row r="3329" customFormat="false" ht="15" hidden="false" customHeight="false" outlineLevel="0" collapsed="false">
      <c r="A3329" s="32" t="s">
        <v>4365</v>
      </c>
      <c r="B3329" s="32" t="s">
        <v>55</v>
      </c>
      <c r="C3329" s="32" t="s">
        <v>118</v>
      </c>
      <c r="D3329" s="32" t="s">
        <v>4366</v>
      </c>
      <c r="E3329" s="4" t="n">
        <v>17</v>
      </c>
      <c r="F3329" s="4" t="s">
        <v>1327</v>
      </c>
      <c r="G3329" s="4" t="s">
        <v>3770</v>
      </c>
      <c r="H3329" s="4" t="n">
        <v>2007</v>
      </c>
      <c r="I3329" s="4" t="s">
        <v>3771</v>
      </c>
      <c r="J3329" s="25" t="str">
        <f aca="false">IF(M3329=1,"✓","")</f>
        <v/>
      </c>
      <c r="K3329" s="4" t="str">
        <f aca="false">IF(AND(M3329=0,P3329=0),"▶ NEXT","")</f>
        <v/>
      </c>
      <c r="L3329" s="4" t="n">
        <f aca="false">INDEX('Master List'!$F$2:$F$2594,O3329)</f>
        <v>1</v>
      </c>
      <c r="M3329" s="4" t="n">
        <f aca="false">INDEX('Master List'!$G$2:$G$2594,O3329)</f>
        <v>0</v>
      </c>
      <c r="N3329" s="4" t="str">
        <f aca="false">IF(K3329="","",A3329)</f>
        <v/>
      </c>
      <c r="O3329" s="4" t="n">
        <v>519</v>
      </c>
      <c r="P3329" s="4" t="n">
        <f aca="false">IF(A3329=A3328,P3328+1-M3328,0)</f>
        <v>10</v>
      </c>
    </row>
    <row r="3330" customFormat="false" ht="15" hidden="false" customHeight="false" outlineLevel="0" collapsed="false">
      <c r="A3330" s="32" t="s">
        <v>4367</v>
      </c>
      <c r="B3330" s="32" t="s">
        <v>55</v>
      </c>
      <c r="C3330" s="32" t="s">
        <v>118</v>
      </c>
      <c r="D3330" s="32" t="s">
        <v>4368</v>
      </c>
      <c r="E3330" s="4" t="n">
        <v>1</v>
      </c>
      <c r="F3330" s="4" t="s">
        <v>144</v>
      </c>
      <c r="G3330" s="7" t="s">
        <v>1532</v>
      </c>
      <c r="H3330" s="4" t="n">
        <v>1985</v>
      </c>
      <c r="I3330" s="4" t="s">
        <v>1533</v>
      </c>
      <c r="J3330" s="25" t="str">
        <f aca="false">IF(M3330=1,"✓","")</f>
        <v/>
      </c>
      <c r="K3330" s="4" t="str">
        <f aca="false">IF(AND(M3330=0,P3330=0),"▶ NEXT","")</f>
        <v>▶ NEXT</v>
      </c>
      <c r="L3330" s="4" t="n">
        <f aca="false">INDEX('Master List'!$F$2:$F$2594,O3330)</f>
        <v>1</v>
      </c>
      <c r="M3330" s="4" t="n">
        <f aca="false">INDEX('Master List'!$G$2:$G$2594,O3330)</f>
        <v>0</v>
      </c>
      <c r="N3330" s="4" t="str">
        <f aca="false">IF(K3330="","",A3330)</f>
        <v>N272</v>
      </c>
      <c r="O3330" s="4" t="n">
        <v>2238</v>
      </c>
      <c r="P3330" s="4" t="n">
        <f aca="false">IF(A3330=A3329,P3329+1-M3329,0)</f>
        <v>0</v>
      </c>
    </row>
    <row r="3331" customFormat="false" ht="15" hidden="false" customHeight="false" outlineLevel="0" collapsed="false">
      <c r="A3331" s="32" t="s">
        <v>4367</v>
      </c>
      <c r="B3331" s="32" t="s">
        <v>55</v>
      </c>
      <c r="C3331" s="32" t="s">
        <v>118</v>
      </c>
      <c r="D3331" s="32" t="s">
        <v>4368</v>
      </c>
      <c r="E3331" s="4" t="n">
        <v>2</v>
      </c>
      <c r="F3331" s="4" t="s">
        <v>144</v>
      </c>
      <c r="G3331" s="7" t="s">
        <v>1536</v>
      </c>
      <c r="H3331" s="4" t="n">
        <v>1987</v>
      </c>
      <c r="I3331" s="4" t="s">
        <v>1537</v>
      </c>
      <c r="J3331" s="25" t="str">
        <f aca="false">IF(M3331=1,"✓","")</f>
        <v/>
      </c>
      <c r="K3331" s="4" t="str">
        <f aca="false">IF(AND(M3331=0,P3331=0),"▶ NEXT","")</f>
        <v/>
      </c>
      <c r="L3331" s="4" t="n">
        <f aca="false">INDEX('Master List'!$F$2:$F$2594,O3331)</f>
        <v>1</v>
      </c>
      <c r="M3331" s="4" t="n">
        <f aca="false">INDEX('Master List'!$G$2:$G$2594,O3331)</f>
        <v>0</v>
      </c>
      <c r="N3331" s="4" t="str">
        <f aca="false">IF(K3331="","",A3331)</f>
        <v/>
      </c>
      <c r="O3331" s="4" t="n">
        <v>159</v>
      </c>
      <c r="P3331" s="4" t="n">
        <f aca="false">IF(A3331=A3330,P3330+1-M3330,0)</f>
        <v>1</v>
      </c>
    </row>
    <row r="3332" customFormat="false" ht="15" hidden="false" customHeight="false" outlineLevel="0" collapsed="false">
      <c r="A3332" s="32" t="s">
        <v>4367</v>
      </c>
      <c r="B3332" s="32" t="s">
        <v>55</v>
      </c>
      <c r="C3332" s="32" t="s">
        <v>118</v>
      </c>
      <c r="D3332" s="32" t="s">
        <v>4368</v>
      </c>
      <c r="E3332" s="4" t="n">
        <v>3</v>
      </c>
      <c r="F3332" s="4" t="s">
        <v>213</v>
      </c>
      <c r="G3332" s="4" t="s">
        <v>2654</v>
      </c>
      <c r="H3332" s="4" t="n">
        <v>1996</v>
      </c>
      <c r="I3332" s="4" t="s">
        <v>2655</v>
      </c>
      <c r="J3332" s="25" t="str">
        <f aca="false">IF(M3332=1,"✓","")</f>
        <v/>
      </c>
      <c r="K3332" s="4" t="str">
        <f aca="false">IF(AND(M3332=0,P3332=0),"▶ NEXT","")</f>
        <v/>
      </c>
      <c r="L3332" s="4" t="n">
        <f aca="false">INDEX('Master List'!$F$2:$F$2594,O3332)</f>
        <v>1</v>
      </c>
      <c r="M3332" s="4" t="n">
        <f aca="false">INDEX('Master List'!$G$2:$G$2594,O3332)</f>
        <v>0</v>
      </c>
      <c r="N3332" s="4" t="str">
        <f aca="false">IF(K3332="","",A3332)</f>
        <v/>
      </c>
      <c r="O3332" s="4" t="n">
        <v>245</v>
      </c>
      <c r="P3332" s="4" t="n">
        <f aca="false">IF(A3332=A3331,P3331+1-M3331,0)</f>
        <v>2</v>
      </c>
    </row>
    <row r="3333" customFormat="false" ht="15" hidden="false" customHeight="false" outlineLevel="0" collapsed="false">
      <c r="A3333" s="32" t="s">
        <v>4367</v>
      </c>
      <c r="B3333" s="32" t="s">
        <v>55</v>
      </c>
      <c r="C3333" s="32" t="s">
        <v>118</v>
      </c>
      <c r="D3333" s="32" t="s">
        <v>4368</v>
      </c>
      <c r="E3333" s="4" t="n">
        <v>4</v>
      </c>
      <c r="F3333" s="4" t="s">
        <v>213</v>
      </c>
      <c r="G3333" s="4" t="s">
        <v>2597</v>
      </c>
      <c r="H3333" s="4" t="n">
        <v>1994</v>
      </c>
      <c r="I3333" s="4" t="s">
        <v>1169</v>
      </c>
      <c r="J3333" s="25" t="str">
        <f aca="false">IF(M3333=1,"✓","")</f>
        <v/>
      </c>
      <c r="K3333" s="4" t="str">
        <f aca="false">IF(AND(M3333=0,P3333=0),"▶ NEXT","")</f>
        <v/>
      </c>
      <c r="L3333" s="4" t="n">
        <f aca="false">INDEX('Master List'!$F$2:$F$2594,O3333)</f>
        <v>1</v>
      </c>
      <c r="M3333" s="4" t="n">
        <f aca="false">INDEX('Master List'!$G$2:$G$2594,O3333)</f>
        <v>0</v>
      </c>
      <c r="N3333" s="4" t="str">
        <f aca="false">IF(K3333="","",A3333)</f>
        <v/>
      </c>
      <c r="O3333" s="4" t="n">
        <v>707</v>
      </c>
      <c r="P3333" s="4" t="n">
        <f aca="false">IF(A3333=A3332,P3332+1-M3332,0)</f>
        <v>3</v>
      </c>
    </row>
    <row r="3334" customFormat="false" ht="15" hidden="false" customHeight="false" outlineLevel="0" collapsed="false">
      <c r="A3334" s="32" t="s">
        <v>4367</v>
      </c>
      <c r="B3334" s="32" t="s">
        <v>55</v>
      </c>
      <c r="C3334" s="32" t="s">
        <v>118</v>
      </c>
      <c r="D3334" s="32" t="s">
        <v>4368</v>
      </c>
      <c r="E3334" s="4" t="n">
        <v>5</v>
      </c>
      <c r="F3334" s="4" t="s">
        <v>213</v>
      </c>
      <c r="G3334" s="4" t="s">
        <v>2558</v>
      </c>
      <c r="H3334" s="4" t="n">
        <v>1992</v>
      </c>
      <c r="I3334" s="4" t="s">
        <v>2559</v>
      </c>
      <c r="J3334" s="25" t="str">
        <f aca="false">IF(M3334=1,"✓","")</f>
        <v/>
      </c>
      <c r="K3334" s="4" t="str">
        <f aca="false">IF(AND(M3334=0,P3334=0),"▶ NEXT","")</f>
        <v/>
      </c>
      <c r="L3334" s="4" t="n">
        <f aca="false">INDEX('Master List'!$F$2:$F$2594,O3334)</f>
        <v>1</v>
      </c>
      <c r="M3334" s="4" t="n">
        <f aca="false">INDEX('Master List'!$G$2:$G$2594,O3334)</f>
        <v>0</v>
      </c>
      <c r="N3334" s="4" t="str">
        <f aca="false">IF(K3334="","",A3334)</f>
        <v/>
      </c>
      <c r="O3334" s="4" t="n">
        <v>1340</v>
      </c>
      <c r="P3334" s="4" t="n">
        <f aca="false">IF(A3334=A3333,P3333+1-M3333,0)</f>
        <v>4</v>
      </c>
    </row>
    <row r="3335" customFormat="false" ht="15" hidden="false" customHeight="false" outlineLevel="0" collapsed="false">
      <c r="A3335" s="32" t="s">
        <v>4367</v>
      </c>
      <c r="B3335" s="32" t="s">
        <v>55</v>
      </c>
      <c r="C3335" s="32" t="s">
        <v>118</v>
      </c>
      <c r="D3335" s="32" t="s">
        <v>4368</v>
      </c>
      <c r="E3335" s="4" t="n">
        <v>6</v>
      </c>
      <c r="F3335" s="4" t="s">
        <v>213</v>
      </c>
      <c r="G3335" s="4" t="s">
        <v>2757</v>
      </c>
      <c r="H3335" s="4" t="n">
        <v>2001</v>
      </c>
      <c r="I3335" s="4" t="s">
        <v>2758</v>
      </c>
      <c r="J3335" s="25" t="str">
        <f aca="false">IF(M3335=1,"✓","")</f>
        <v/>
      </c>
      <c r="K3335" s="4" t="str">
        <f aca="false">IF(AND(M3335=0,P3335=0),"▶ NEXT","")</f>
        <v/>
      </c>
      <c r="L3335" s="4" t="n">
        <f aca="false">INDEX('Master List'!$F$2:$F$2594,O3335)</f>
        <v>1</v>
      </c>
      <c r="M3335" s="4" t="n">
        <f aca="false">INDEX('Master List'!$G$2:$G$2594,O3335)</f>
        <v>0</v>
      </c>
      <c r="N3335" s="4" t="str">
        <f aca="false">IF(K3335="","",A3335)</f>
        <v/>
      </c>
      <c r="O3335" s="4" t="n">
        <v>1536</v>
      </c>
      <c r="P3335" s="4" t="n">
        <f aca="false">IF(A3335=A3334,P3334+1-M3334,0)</f>
        <v>5</v>
      </c>
    </row>
    <row r="3336" customFormat="false" ht="15" hidden="false" customHeight="false" outlineLevel="0" collapsed="false">
      <c r="A3336" s="32" t="s">
        <v>4367</v>
      </c>
      <c r="B3336" s="32" t="s">
        <v>55</v>
      </c>
      <c r="C3336" s="32" t="s">
        <v>118</v>
      </c>
      <c r="D3336" s="32" t="s">
        <v>4368</v>
      </c>
      <c r="E3336" s="4" t="n">
        <v>7</v>
      </c>
      <c r="F3336" s="4" t="s">
        <v>213</v>
      </c>
      <c r="G3336" s="4" t="s">
        <v>1178</v>
      </c>
      <c r="H3336" s="4" t="n">
        <v>2007</v>
      </c>
      <c r="I3336" s="4" t="s">
        <v>1179</v>
      </c>
      <c r="J3336" s="25" t="str">
        <f aca="false">IF(M3336=1,"✓","")</f>
        <v>✓</v>
      </c>
      <c r="K3336" s="4" t="str">
        <f aca="false">IF(AND(M3336=0,P3336=0),"▶ NEXT","")</f>
        <v/>
      </c>
      <c r="L3336" s="4" t="n">
        <f aca="false">INDEX('Master List'!$F$2:$F$2594,O3336)</f>
        <v>2</v>
      </c>
      <c r="M3336" s="4" t="n">
        <f aca="false">INDEX('Master List'!$G$2:$G$2594,O3336)</f>
        <v>1</v>
      </c>
      <c r="N3336" s="4" t="str">
        <f aca="false">IF(K3336="","",A3336)</f>
        <v/>
      </c>
      <c r="O3336" s="4" t="n">
        <v>1861</v>
      </c>
      <c r="P3336" s="4" t="n">
        <f aca="false">IF(A3336=A3335,P3335+1-M3335,0)</f>
        <v>6</v>
      </c>
    </row>
    <row r="3337" customFormat="false" ht="15" hidden="false" customHeight="false" outlineLevel="0" collapsed="false">
      <c r="A3337" s="32" t="s">
        <v>4367</v>
      </c>
      <c r="B3337" s="32" t="s">
        <v>55</v>
      </c>
      <c r="C3337" s="32" t="s">
        <v>118</v>
      </c>
      <c r="D3337" s="32" t="s">
        <v>4368</v>
      </c>
      <c r="E3337" s="4" t="n">
        <v>8</v>
      </c>
      <c r="F3337" s="4" t="s">
        <v>213</v>
      </c>
      <c r="G3337" s="4" t="s">
        <v>2984</v>
      </c>
      <c r="H3337" s="4" t="n">
        <v>2011</v>
      </c>
      <c r="I3337" s="4" t="s">
        <v>2985</v>
      </c>
      <c r="J3337" s="25" t="str">
        <f aca="false">IF(M3337=1,"✓","")</f>
        <v/>
      </c>
      <c r="K3337" s="4" t="str">
        <f aca="false">IF(AND(M3337=0,P3337=0),"▶ NEXT","")</f>
        <v/>
      </c>
      <c r="L3337" s="4" t="n">
        <f aca="false">INDEX('Master List'!$F$2:$F$2594,O3337)</f>
        <v>1</v>
      </c>
      <c r="M3337" s="4" t="n">
        <f aca="false">INDEX('Master List'!$G$2:$G$2594,O3337)</f>
        <v>0</v>
      </c>
      <c r="N3337" s="4" t="str">
        <f aca="false">IF(K3337="","",A3337)</f>
        <v/>
      </c>
      <c r="O3337" s="4" t="n">
        <v>1209</v>
      </c>
      <c r="P3337" s="4" t="n">
        <f aca="false">IF(A3337=A3336,P3336+1-M3336,0)</f>
        <v>6</v>
      </c>
    </row>
    <row r="3338" customFormat="false" ht="15" hidden="false" customHeight="false" outlineLevel="0" collapsed="false">
      <c r="A3338" s="32" t="s">
        <v>4367</v>
      </c>
      <c r="B3338" s="32" t="s">
        <v>55</v>
      </c>
      <c r="C3338" s="32" t="s">
        <v>118</v>
      </c>
      <c r="D3338" s="32" t="s">
        <v>4368</v>
      </c>
      <c r="E3338" s="4" t="n">
        <v>9</v>
      </c>
      <c r="F3338" s="4" t="s">
        <v>213</v>
      </c>
      <c r="G3338" s="4" t="s">
        <v>1221</v>
      </c>
      <c r="H3338" s="4" t="n">
        <v>2014</v>
      </c>
      <c r="I3338" s="4" t="s">
        <v>1222</v>
      </c>
      <c r="J3338" s="25" t="str">
        <f aca="false">IF(M3338=1,"✓","")</f>
        <v>✓</v>
      </c>
      <c r="K3338" s="4" t="str">
        <f aca="false">IF(AND(M3338=0,P3338=0),"▶ NEXT","")</f>
        <v/>
      </c>
      <c r="L3338" s="4" t="n">
        <f aca="false">INDEX('Master List'!$F$2:$F$2594,O3338)</f>
        <v>2</v>
      </c>
      <c r="M3338" s="4" t="n">
        <f aca="false">INDEX('Master List'!$G$2:$G$2594,O3338)</f>
        <v>1</v>
      </c>
      <c r="N3338" s="4" t="str">
        <f aca="false">IF(K3338="","",A3338)</f>
        <v/>
      </c>
      <c r="O3338" s="4" t="n">
        <v>435</v>
      </c>
      <c r="P3338" s="4" t="n">
        <f aca="false">IF(A3338=A3337,P3337+1-M3337,0)</f>
        <v>7</v>
      </c>
    </row>
    <row r="3339" customFormat="false" ht="15" hidden="false" customHeight="false" outlineLevel="0" collapsed="false">
      <c r="A3339" s="32" t="s">
        <v>4367</v>
      </c>
      <c r="B3339" s="32" t="s">
        <v>55</v>
      </c>
      <c r="C3339" s="32" t="s">
        <v>118</v>
      </c>
      <c r="D3339" s="32" t="s">
        <v>4368</v>
      </c>
      <c r="E3339" s="4" t="n">
        <v>10</v>
      </c>
      <c r="F3339" s="4" t="s">
        <v>213</v>
      </c>
      <c r="G3339" s="4" t="s">
        <v>3247</v>
      </c>
      <c r="H3339" s="4" t="n">
        <v>2023</v>
      </c>
      <c r="I3339" s="4" t="s">
        <v>3248</v>
      </c>
      <c r="J3339" s="25" t="str">
        <f aca="false">IF(M3339=1,"✓","")</f>
        <v/>
      </c>
      <c r="K3339" s="4" t="str">
        <f aca="false">IF(AND(M3339=0,P3339=0),"▶ NEXT","")</f>
        <v/>
      </c>
      <c r="L3339" s="4" t="n">
        <f aca="false">INDEX('Master List'!$F$2:$F$2594,O3339)</f>
        <v>1</v>
      </c>
      <c r="M3339" s="4" t="n">
        <f aca="false">INDEX('Master List'!$G$2:$G$2594,O3339)</f>
        <v>0</v>
      </c>
      <c r="N3339" s="4" t="str">
        <f aca="false">IF(K3339="","",A3339)</f>
        <v/>
      </c>
      <c r="O3339" s="4" t="n">
        <v>2247</v>
      </c>
      <c r="P3339" s="4" t="n">
        <f aca="false">IF(A3339=A3338,P3338+1-M3338,0)</f>
        <v>7</v>
      </c>
    </row>
    <row r="3340" customFormat="false" ht="15" hidden="false" customHeight="false" outlineLevel="0" collapsed="false">
      <c r="A3340" s="32" t="s">
        <v>4367</v>
      </c>
      <c r="B3340" s="32" t="s">
        <v>55</v>
      </c>
      <c r="C3340" s="32" t="s">
        <v>118</v>
      </c>
      <c r="D3340" s="32" t="s">
        <v>4368</v>
      </c>
      <c r="E3340" s="4" t="n">
        <v>11</v>
      </c>
      <c r="F3340" s="4" t="s">
        <v>1327</v>
      </c>
      <c r="G3340" s="4" t="s">
        <v>3526</v>
      </c>
      <c r="H3340" s="4" t="n">
        <v>1973</v>
      </c>
      <c r="I3340" s="4" t="s">
        <v>3527</v>
      </c>
      <c r="J3340" s="25" t="str">
        <f aca="false">IF(M3340=1,"✓","")</f>
        <v/>
      </c>
      <c r="K3340" s="4" t="str">
        <f aca="false">IF(AND(M3340=0,P3340=0),"▶ NEXT","")</f>
        <v/>
      </c>
      <c r="L3340" s="4" t="n">
        <f aca="false">INDEX('Master List'!$F$2:$F$2594,O3340)</f>
        <v>1</v>
      </c>
      <c r="M3340" s="4" t="n">
        <f aca="false">INDEX('Master List'!$G$2:$G$2594,O3340)</f>
        <v>0</v>
      </c>
      <c r="N3340" s="4" t="str">
        <f aca="false">IF(K3340="","",A3340)</f>
        <v/>
      </c>
      <c r="O3340" s="4" t="n">
        <v>943</v>
      </c>
      <c r="P3340" s="4" t="n">
        <f aca="false">IF(A3340=A3339,P3339+1-M3339,0)</f>
        <v>8</v>
      </c>
    </row>
    <row r="3341" customFormat="false" ht="15" hidden="false" customHeight="false" outlineLevel="0" collapsed="false">
      <c r="A3341" s="32" t="s">
        <v>4367</v>
      </c>
      <c r="B3341" s="32" t="s">
        <v>55</v>
      </c>
      <c r="C3341" s="32" t="s">
        <v>118</v>
      </c>
      <c r="D3341" s="32" t="s">
        <v>4368</v>
      </c>
      <c r="E3341" s="4" t="n">
        <v>12</v>
      </c>
      <c r="F3341" s="4" t="s">
        <v>1327</v>
      </c>
      <c r="G3341" s="4" t="s">
        <v>3859</v>
      </c>
      <c r="H3341" s="4" t="n">
        <v>2021</v>
      </c>
      <c r="I3341" s="4" t="s">
        <v>3860</v>
      </c>
      <c r="J3341" s="25" t="str">
        <f aca="false">IF(M3341=1,"✓","")</f>
        <v>✓</v>
      </c>
      <c r="K3341" s="4" t="str">
        <f aca="false">IF(AND(M3341=0,P3341=0),"▶ NEXT","")</f>
        <v/>
      </c>
      <c r="L3341" s="4" t="n">
        <f aca="false">INDEX('Master List'!$F$2:$F$2594,O3341)</f>
        <v>1</v>
      </c>
      <c r="M3341" s="4" t="n">
        <f aca="false">INDEX('Master List'!$G$2:$G$2594,O3341)</f>
        <v>1</v>
      </c>
      <c r="N3341" s="4" t="str">
        <f aca="false">IF(K3341="","",A3341)</f>
        <v/>
      </c>
      <c r="O3341" s="4" t="n">
        <v>1766</v>
      </c>
      <c r="P3341" s="4" t="n">
        <f aca="false">IF(A3341=A3340,P3340+1-M3340,0)</f>
        <v>9</v>
      </c>
    </row>
    <row r="3342" customFormat="false" ht="15" hidden="false" customHeight="false" outlineLevel="0" collapsed="false">
      <c r="A3342" s="32" t="s">
        <v>4369</v>
      </c>
      <c r="B3342" s="32" t="s">
        <v>55</v>
      </c>
      <c r="C3342" s="32" t="s">
        <v>118</v>
      </c>
      <c r="D3342" s="32" t="s">
        <v>4370</v>
      </c>
      <c r="E3342" s="4" t="n">
        <v>1</v>
      </c>
      <c r="F3342" s="4" t="s">
        <v>144</v>
      </c>
      <c r="G3342" s="7" t="s">
        <v>284</v>
      </c>
      <c r="H3342" s="4" t="n">
        <v>1950</v>
      </c>
      <c r="I3342" s="4" t="s">
        <v>200</v>
      </c>
      <c r="J3342" s="25" t="str">
        <f aca="false">IF(M3342=1,"✓","")</f>
        <v>✓</v>
      </c>
      <c r="K3342" s="4" t="str">
        <f aca="false">IF(AND(M3342=0,P3342=0),"▶ NEXT","")</f>
        <v/>
      </c>
      <c r="L3342" s="4" t="n">
        <f aca="false">INDEX('Master List'!$F$2:$F$2594,O3342)</f>
        <v>5</v>
      </c>
      <c r="M3342" s="4" t="n">
        <f aca="false">INDEX('Master List'!$G$2:$G$2594,O3342)</f>
        <v>1</v>
      </c>
      <c r="N3342" s="4" t="str">
        <f aca="false">IF(K3342="","",A3342)</f>
        <v/>
      </c>
      <c r="O3342" s="4" t="n">
        <v>2203</v>
      </c>
      <c r="P3342" s="4" t="n">
        <f aca="false">IF(A3342=A3341,P3341+1-M3341,0)</f>
        <v>0</v>
      </c>
    </row>
    <row r="3343" customFormat="false" ht="15" hidden="false" customHeight="false" outlineLevel="0" collapsed="false">
      <c r="A3343" s="32" t="s">
        <v>4369</v>
      </c>
      <c r="B3343" s="32" t="s">
        <v>55</v>
      </c>
      <c r="C3343" s="32" t="s">
        <v>118</v>
      </c>
      <c r="D3343" s="32" t="s">
        <v>4370</v>
      </c>
      <c r="E3343" s="4" t="n">
        <v>2</v>
      </c>
      <c r="F3343" s="4" t="s">
        <v>144</v>
      </c>
      <c r="G3343" s="7" t="s">
        <v>178</v>
      </c>
      <c r="H3343" s="4" t="n">
        <v>1963</v>
      </c>
      <c r="I3343" s="4" t="s">
        <v>179</v>
      </c>
      <c r="J3343" s="25" t="str">
        <f aca="false">IF(M3343=1,"✓","")</f>
        <v/>
      </c>
      <c r="K3343" s="4" t="str">
        <f aca="false">IF(AND(M3343=0,P3343=0),"▶ NEXT","")</f>
        <v>▶ NEXT</v>
      </c>
      <c r="L3343" s="4" t="n">
        <f aca="false">INDEX('Master List'!$F$2:$F$2594,O3343)</f>
        <v>7</v>
      </c>
      <c r="M3343" s="4" t="n">
        <f aca="false">INDEX('Master List'!$G$2:$G$2594,O3343)</f>
        <v>0</v>
      </c>
      <c r="N3343" s="4" t="str">
        <f aca="false">IF(K3343="","",A3343)</f>
        <v>N273</v>
      </c>
      <c r="O3343" s="4" t="n">
        <v>32</v>
      </c>
      <c r="P3343" s="4" t="n">
        <f aca="false">IF(A3343=A3342,P3342+1-M3342,0)</f>
        <v>0</v>
      </c>
    </row>
    <row r="3344" customFormat="false" ht="15" hidden="false" customHeight="false" outlineLevel="0" collapsed="false">
      <c r="A3344" s="32" t="s">
        <v>4369</v>
      </c>
      <c r="B3344" s="32" t="s">
        <v>55</v>
      </c>
      <c r="C3344" s="32" t="s">
        <v>118</v>
      </c>
      <c r="D3344" s="32" t="s">
        <v>4370</v>
      </c>
      <c r="E3344" s="4" t="n">
        <v>3</v>
      </c>
      <c r="F3344" s="4" t="s">
        <v>213</v>
      </c>
      <c r="G3344" s="4" t="s">
        <v>332</v>
      </c>
      <c r="H3344" s="4" t="n">
        <v>1924</v>
      </c>
      <c r="I3344" s="4" t="s">
        <v>333</v>
      </c>
      <c r="J3344" s="25" t="str">
        <f aca="false">IF(M3344=1,"✓","")</f>
        <v/>
      </c>
      <c r="K3344" s="4" t="str">
        <f aca="false">IF(AND(M3344=0,P3344=0),"▶ NEXT","")</f>
        <v/>
      </c>
      <c r="L3344" s="4" t="n">
        <f aca="false">INDEX('Master List'!$F$2:$F$2594,O3344)</f>
        <v>4</v>
      </c>
      <c r="M3344" s="4" t="n">
        <f aca="false">INDEX('Master List'!$G$2:$G$2594,O3344)</f>
        <v>0</v>
      </c>
      <c r="N3344" s="4" t="str">
        <f aca="false">IF(K3344="","",A3344)</f>
        <v/>
      </c>
      <c r="O3344" s="4" t="n">
        <v>2043</v>
      </c>
      <c r="P3344" s="4" t="n">
        <f aca="false">IF(A3344=A3343,P3343+1-M3343,0)</f>
        <v>1</v>
      </c>
    </row>
    <row r="3345" customFormat="false" ht="15" hidden="false" customHeight="false" outlineLevel="0" collapsed="false">
      <c r="A3345" s="32" t="s">
        <v>4369</v>
      </c>
      <c r="B3345" s="32" t="s">
        <v>55</v>
      </c>
      <c r="C3345" s="32" t="s">
        <v>118</v>
      </c>
      <c r="D3345" s="32" t="s">
        <v>4370</v>
      </c>
      <c r="E3345" s="4" t="n">
        <v>4</v>
      </c>
      <c r="F3345" s="4" t="s">
        <v>213</v>
      </c>
      <c r="G3345" s="4" t="s">
        <v>249</v>
      </c>
      <c r="H3345" s="4" t="n">
        <v>1941</v>
      </c>
      <c r="I3345" s="4" t="s">
        <v>250</v>
      </c>
      <c r="J3345" s="25" t="str">
        <f aca="false">IF(M3345=1,"✓","")</f>
        <v/>
      </c>
      <c r="K3345" s="4" t="str">
        <f aca="false">IF(AND(M3345=0,P3345=0),"▶ NEXT","")</f>
        <v/>
      </c>
      <c r="L3345" s="4" t="n">
        <f aca="false">INDEX('Master List'!$F$2:$F$2594,O3345)</f>
        <v>5</v>
      </c>
      <c r="M3345" s="4" t="n">
        <f aca="false">INDEX('Master List'!$G$2:$G$2594,O3345)</f>
        <v>0</v>
      </c>
      <c r="N3345" s="4" t="str">
        <f aca="false">IF(K3345="","",A3345)</f>
        <v/>
      </c>
      <c r="O3345" s="4" t="n">
        <v>2195</v>
      </c>
      <c r="P3345" s="4" t="n">
        <f aca="false">IF(A3345=A3344,P3344+1-M3344,0)</f>
        <v>2</v>
      </c>
    </row>
    <row r="3346" customFormat="false" ht="15" hidden="false" customHeight="false" outlineLevel="0" collapsed="false">
      <c r="A3346" s="32" t="s">
        <v>4369</v>
      </c>
      <c r="B3346" s="32" t="s">
        <v>55</v>
      </c>
      <c r="C3346" s="32" t="s">
        <v>118</v>
      </c>
      <c r="D3346" s="32" t="s">
        <v>4370</v>
      </c>
      <c r="E3346" s="4" t="n">
        <v>5</v>
      </c>
      <c r="F3346" s="4" t="s">
        <v>213</v>
      </c>
      <c r="G3346" s="4" t="s">
        <v>1889</v>
      </c>
      <c r="H3346" s="4" t="n">
        <v>1952</v>
      </c>
      <c r="I3346" s="4" t="s">
        <v>570</v>
      </c>
      <c r="J3346" s="25" t="str">
        <f aca="false">IF(M3346=1,"✓","")</f>
        <v/>
      </c>
      <c r="K3346" s="4" t="str">
        <f aca="false">IF(AND(M3346=0,P3346=0),"▶ NEXT","")</f>
        <v/>
      </c>
      <c r="L3346" s="4" t="n">
        <f aca="false">INDEX('Master List'!$F$2:$F$2594,O3346)</f>
        <v>1</v>
      </c>
      <c r="M3346" s="4" t="n">
        <f aca="false">INDEX('Master List'!$G$2:$G$2594,O3346)</f>
        <v>0</v>
      </c>
      <c r="N3346" s="4" t="str">
        <f aca="false">IF(K3346="","",A3346)</f>
        <v/>
      </c>
      <c r="O3346" s="4" t="n">
        <v>166</v>
      </c>
      <c r="P3346" s="4" t="n">
        <f aca="false">IF(A3346=A3345,P3345+1-M3345,0)</f>
        <v>3</v>
      </c>
    </row>
    <row r="3347" customFormat="false" ht="15" hidden="false" customHeight="false" outlineLevel="0" collapsed="false">
      <c r="A3347" s="32" t="s">
        <v>4369</v>
      </c>
      <c r="B3347" s="32" t="s">
        <v>55</v>
      </c>
      <c r="C3347" s="32" t="s">
        <v>118</v>
      </c>
      <c r="D3347" s="32" t="s">
        <v>4370</v>
      </c>
      <c r="E3347" s="4" t="n">
        <v>6</v>
      </c>
      <c r="F3347" s="4" t="s">
        <v>213</v>
      </c>
      <c r="G3347" s="4" t="s">
        <v>224</v>
      </c>
      <c r="H3347" s="4" t="n">
        <v>1952</v>
      </c>
      <c r="I3347" s="4" t="s">
        <v>225</v>
      </c>
      <c r="J3347" s="25" t="str">
        <f aca="false">IF(M3347=1,"✓","")</f>
        <v/>
      </c>
      <c r="K3347" s="4" t="str">
        <f aca="false">IF(AND(M3347=0,P3347=0),"▶ NEXT","")</f>
        <v/>
      </c>
      <c r="L3347" s="4" t="n">
        <f aca="false">INDEX('Master List'!$F$2:$F$2594,O3347)</f>
        <v>6</v>
      </c>
      <c r="M3347" s="4" t="n">
        <f aca="false">INDEX('Master List'!$G$2:$G$2594,O3347)</f>
        <v>0</v>
      </c>
      <c r="N3347" s="4" t="str">
        <f aca="false">IF(K3347="","",A3347)</f>
        <v/>
      </c>
      <c r="O3347" s="4" t="n">
        <v>2080</v>
      </c>
      <c r="P3347" s="4" t="n">
        <f aca="false">IF(A3347=A3346,P3346+1-M3346,0)</f>
        <v>4</v>
      </c>
    </row>
    <row r="3348" customFormat="false" ht="15" hidden="false" customHeight="false" outlineLevel="0" collapsed="false">
      <c r="A3348" s="32" t="s">
        <v>4369</v>
      </c>
      <c r="B3348" s="32" t="s">
        <v>55</v>
      </c>
      <c r="C3348" s="32" t="s">
        <v>118</v>
      </c>
      <c r="D3348" s="32" t="s">
        <v>4370</v>
      </c>
      <c r="E3348" s="4" t="n">
        <v>7</v>
      </c>
      <c r="F3348" s="4" t="s">
        <v>213</v>
      </c>
      <c r="G3348" s="4" t="s">
        <v>462</v>
      </c>
      <c r="H3348" s="4" t="n">
        <v>1963</v>
      </c>
      <c r="I3348" s="4" t="s">
        <v>152</v>
      </c>
      <c r="J3348" s="25" t="str">
        <f aca="false">IF(M3348=1,"✓","")</f>
        <v/>
      </c>
      <c r="K3348" s="4" t="str">
        <f aca="false">IF(AND(M3348=0,P3348=0),"▶ NEXT","")</f>
        <v/>
      </c>
      <c r="L3348" s="4" t="n">
        <f aca="false">INDEX('Master List'!$F$2:$F$2594,O3348)</f>
        <v>3</v>
      </c>
      <c r="M3348" s="4" t="n">
        <f aca="false">INDEX('Master List'!$G$2:$G$2594,O3348)</f>
        <v>0</v>
      </c>
      <c r="N3348" s="4" t="str">
        <f aca="false">IF(K3348="","",A3348)</f>
        <v/>
      </c>
      <c r="O3348" s="4" t="n">
        <v>518</v>
      </c>
      <c r="P3348" s="4" t="n">
        <f aca="false">IF(A3348=A3347,P3347+1-M3347,0)</f>
        <v>5</v>
      </c>
    </row>
    <row r="3349" customFormat="false" ht="15" hidden="false" customHeight="false" outlineLevel="0" collapsed="false">
      <c r="A3349" s="32" t="s">
        <v>4369</v>
      </c>
      <c r="B3349" s="32" t="s">
        <v>55</v>
      </c>
      <c r="C3349" s="32" t="s">
        <v>118</v>
      </c>
      <c r="D3349" s="32" t="s">
        <v>4370</v>
      </c>
      <c r="E3349" s="4" t="n">
        <v>8</v>
      </c>
      <c r="F3349" s="4" t="s">
        <v>213</v>
      </c>
      <c r="G3349" s="4" t="s">
        <v>1020</v>
      </c>
      <c r="H3349" s="4" t="n">
        <v>1973</v>
      </c>
      <c r="I3349" s="4" t="s">
        <v>150</v>
      </c>
      <c r="J3349" s="25" t="str">
        <f aca="false">IF(M3349=1,"✓","")</f>
        <v/>
      </c>
      <c r="K3349" s="4" t="str">
        <f aca="false">IF(AND(M3349=0,P3349=0),"▶ NEXT","")</f>
        <v/>
      </c>
      <c r="L3349" s="4" t="n">
        <f aca="false">INDEX('Master List'!$F$2:$F$2594,O3349)</f>
        <v>2</v>
      </c>
      <c r="M3349" s="4" t="n">
        <f aca="false">INDEX('Master List'!$G$2:$G$2594,O3349)</f>
        <v>0</v>
      </c>
      <c r="N3349" s="4" t="str">
        <f aca="false">IF(K3349="","",A3349)</f>
        <v/>
      </c>
      <c r="O3349" s="4" t="n">
        <v>572</v>
      </c>
      <c r="P3349" s="4" t="n">
        <f aca="false">IF(A3349=A3348,P3348+1-M3348,0)</f>
        <v>6</v>
      </c>
    </row>
    <row r="3350" customFormat="false" ht="15" hidden="false" customHeight="false" outlineLevel="0" collapsed="false">
      <c r="A3350" s="32" t="s">
        <v>4369</v>
      </c>
      <c r="B3350" s="32" t="s">
        <v>55</v>
      </c>
      <c r="C3350" s="32" t="s">
        <v>118</v>
      </c>
      <c r="D3350" s="32" t="s">
        <v>4370</v>
      </c>
      <c r="E3350" s="4" t="n">
        <v>9</v>
      </c>
      <c r="F3350" s="4" t="s">
        <v>213</v>
      </c>
      <c r="G3350" s="4" t="s">
        <v>2486</v>
      </c>
      <c r="H3350" s="4" t="n">
        <v>1988</v>
      </c>
      <c r="I3350" s="4" t="s">
        <v>2487</v>
      </c>
      <c r="J3350" s="25" t="str">
        <f aca="false">IF(M3350=1,"✓","")</f>
        <v/>
      </c>
      <c r="K3350" s="4" t="str">
        <f aca="false">IF(AND(M3350=0,P3350=0),"▶ NEXT","")</f>
        <v/>
      </c>
      <c r="L3350" s="4" t="n">
        <f aca="false">INDEX('Master List'!$F$2:$F$2594,O3350)</f>
        <v>1</v>
      </c>
      <c r="M3350" s="4" t="n">
        <f aca="false">INDEX('Master List'!$G$2:$G$2594,O3350)</f>
        <v>0</v>
      </c>
      <c r="N3350" s="4" t="str">
        <f aca="false">IF(K3350="","",A3350)</f>
        <v/>
      </c>
      <c r="O3350" s="4" t="n">
        <v>460</v>
      </c>
      <c r="P3350" s="4" t="n">
        <f aca="false">IF(A3350=A3349,P3349+1-M3349,0)</f>
        <v>7</v>
      </c>
    </row>
    <row r="3351" customFormat="false" ht="15" hidden="false" customHeight="false" outlineLevel="0" collapsed="false">
      <c r="A3351" s="32" t="s">
        <v>4369</v>
      </c>
      <c r="B3351" s="32" t="s">
        <v>55</v>
      </c>
      <c r="C3351" s="32" t="s">
        <v>118</v>
      </c>
      <c r="D3351" s="32" t="s">
        <v>4370</v>
      </c>
      <c r="E3351" s="4" t="n">
        <v>10</v>
      </c>
      <c r="F3351" s="4" t="s">
        <v>213</v>
      </c>
      <c r="G3351" s="4" t="s">
        <v>616</v>
      </c>
      <c r="H3351" s="4" t="n">
        <v>1992</v>
      </c>
      <c r="I3351" s="4" t="s">
        <v>197</v>
      </c>
      <c r="J3351" s="25" t="str">
        <f aca="false">IF(M3351=1,"✓","")</f>
        <v>✓</v>
      </c>
      <c r="K3351" s="4" t="str">
        <f aca="false">IF(AND(M3351=0,P3351=0),"▶ NEXT","")</f>
        <v/>
      </c>
      <c r="L3351" s="4" t="n">
        <f aca="false">INDEX('Master List'!$F$2:$F$2594,O3351)</f>
        <v>3</v>
      </c>
      <c r="M3351" s="4" t="n">
        <f aca="false">INDEX('Master List'!$G$2:$G$2594,O3351)</f>
        <v>1</v>
      </c>
      <c r="N3351" s="4" t="str">
        <f aca="false">IF(K3351="","",A3351)</f>
        <v/>
      </c>
      <c r="O3351" s="4" t="n">
        <v>1779</v>
      </c>
      <c r="P3351" s="4" t="n">
        <f aca="false">IF(A3351=A3350,P3350+1-M3350,0)</f>
        <v>8</v>
      </c>
    </row>
    <row r="3352" customFormat="false" ht="15" hidden="false" customHeight="false" outlineLevel="0" collapsed="false">
      <c r="A3352" s="32" t="s">
        <v>4369</v>
      </c>
      <c r="B3352" s="32" t="s">
        <v>55</v>
      </c>
      <c r="C3352" s="32" t="s">
        <v>118</v>
      </c>
      <c r="D3352" s="32" t="s">
        <v>4370</v>
      </c>
      <c r="E3352" s="4" t="n">
        <v>11</v>
      </c>
      <c r="F3352" s="4" t="s">
        <v>213</v>
      </c>
      <c r="G3352" s="4" t="s">
        <v>1110</v>
      </c>
      <c r="H3352" s="4" t="n">
        <v>1994</v>
      </c>
      <c r="I3352" s="4" t="s">
        <v>1111</v>
      </c>
      <c r="J3352" s="25" t="str">
        <f aca="false">IF(M3352=1,"✓","")</f>
        <v/>
      </c>
      <c r="K3352" s="4" t="str">
        <f aca="false">IF(AND(M3352=0,P3352=0),"▶ NEXT","")</f>
        <v/>
      </c>
      <c r="L3352" s="4" t="n">
        <f aca="false">INDEX('Master List'!$F$2:$F$2594,O3352)</f>
        <v>2</v>
      </c>
      <c r="M3352" s="4" t="n">
        <f aca="false">INDEX('Master List'!$G$2:$G$2594,O3352)</f>
        <v>0</v>
      </c>
      <c r="N3352" s="4" t="str">
        <f aca="false">IF(K3352="","",A3352)</f>
        <v/>
      </c>
      <c r="O3352" s="4" t="n">
        <v>709</v>
      </c>
      <c r="P3352" s="4" t="n">
        <f aca="false">IF(A3352=A3351,P3351+1-M3351,0)</f>
        <v>8</v>
      </c>
    </row>
    <row r="3353" customFormat="false" ht="15" hidden="false" customHeight="false" outlineLevel="0" collapsed="false">
      <c r="A3353" s="32" t="s">
        <v>4369</v>
      </c>
      <c r="B3353" s="32" t="s">
        <v>55</v>
      </c>
      <c r="C3353" s="32" t="s">
        <v>118</v>
      </c>
      <c r="D3353" s="32" t="s">
        <v>4370</v>
      </c>
      <c r="E3353" s="4" t="n">
        <v>12</v>
      </c>
      <c r="F3353" s="4" t="s">
        <v>213</v>
      </c>
      <c r="G3353" s="4" t="s">
        <v>2620</v>
      </c>
      <c r="H3353" s="4" t="n">
        <v>1995</v>
      </c>
      <c r="I3353" s="4" t="s">
        <v>2621</v>
      </c>
      <c r="J3353" s="25" t="str">
        <f aca="false">IF(M3353=1,"✓","")</f>
        <v/>
      </c>
      <c r="K3353" s="4" t="str">
        <f aca="false">IF(AND(M3353=0,P3353=0),"▶ NEXT","")</f>
        <v/>
      </c>
      <c r="L3353" s="4" t="n">
        <f aca="false">INDEX('Master List'!$F$2:$F$2594,O3353)</f>
        <v>1</v>
      </c>
      <c r="M3353" s="4" t="n">
        <f aca="false">INDEX('Master List'!$G$2:$G$2594,O3353)</f>
        <v>0</v>
      </c>
      <c r="N3353" s="4" t="str">
        <f aca="false">IF(K3353="","",A3353)</f>
        <v/>
      </c>
      <c r="O3353" s="4" t="n">
        <v>1361</v>
      </c>
      <c r="P3353" s="4" t="n">
        <f aca="false">IF(A3353=A3352,P3352+1-M3352,0)</f>
        <v>9</v>
      </c>
    </row>
    <row r="3354" customFormat="false" ht="15" hidden="false" customHeight="false" outlineLevel="0" collapsed="false">
      <c r="A3354" s="32" t="s">
        <v>4369</v>
      </c>
      <c r="B3354" s="32" t="s">
        <v>55</v>
      </c>
      <c r="C3354" s="32" t="s">
        <v>118</v>
      </c>
      <c r="D3354" s="32" t="s">
        <v>4370</v>
      </c>
      <c r="E3354" s="4" t="n">
        <v>13</v>
      </c>
      <c r="F3354" s="4" t="s">
        <v>213</v>
      </c>
      <c r="G3354" s="4" t="s">
        <v>153</v>
      </c>
      <c r="H3354" s="4" t="n">
        <v>2001</v>
      </c>
      <c r="I3354" s="4" t="s">
        <v>154</v>
      </c>
      <c r="J3354" s="25" t="str">
        <f aca="false">IF(M3354=1,"✓","")</f>
        <v>✓</v>
      </c>
      <c r="K3354" s="4" t="str">
        <f aca="false">IF(AND(M3354=0,P3354=0),"▶ NEXT","")</f>
        <v/>
      </c>
      <c r="L3354" s="4" t="n">
        <f aca="false">INDEX('Master List'!$F$2:$F$2594,O3354)</f>
        <v>9</v>
      </c>
      <c r="M3354" s="4" t="n">
        <f aca="false">INDEX('Master List'!$G$2:$G$2594,O3354)</f>
        <v>1</v>
      </c>
      <c r="N3354" s="4" t="str">
        <f aca="false">IF(K3354="","",A3354)</f>
        <v/>
      </c>
      <c r="O3354" s="4" t="n">
        <v>1555</v>
      </c>
      <c r="P3354" s="4" t="n">
        <f aca="false">IF(A3354=A3353,P3353+1-M3353,0)</f>
        <v>10</v>
      </c>
    </row>
    <row r="3355" customFormat="false" ht="15" hidden="false" customHeight="false" outlineLevel="0" collapsed="false">
      <c r="A3355" s="32" t="s">
        <v>4369</v>
      </c>
      <c r="B3355" s="32" t="s">
        <v>55</v>
      </c>
      <c r="C3355" s="32" t="s">
        <v>118</v>
      </c>
      <c r="D3355" s="32" t="s">
        <v>4370</v>
      </c>
      <c r="E3355" s="4" t="n">
        <v>14</v>
      </c>
      <c r="F3355" s="4" t="s">
        <v>213</v>
      </c>
      <c r="G3355" s="4" t="s">
        <v>1266</v>
      </c>
      <c r="H3355" s="4" t="n">
        <v>2022</v>
      </c>
      <c r="I3355" s="4" t="s">
        <v>183</v>
      </c>
      <c r="J3355" s="25" t="str">
        <f aca="false">IF(M3355=1,"✓","")</f>
        <v/>
      </c>
      <c r="K3355" s="4" t="str">
        <f aca="false">IF(AND(M3355=0,P3355=0),"▶ NEXT","")</f>
        <v/>
      </c>
      <c r="L3355" s="4" t="n">
        <f aca="false">INDEX('Master List'!$F$2:$F$2594,O3355)</f>
        <v>2</v>
      </c>
      <c r="M3355" s="4" t="n">
        <f aca="false">INDEX('Master List'!$G$2:$G$2594,O3355)</f>
        <v>0</v>
      </c>
      <c r="N3355" s="4" t="str">
        <f aca="false">IF(K3355="","",A3355)</f>
        <v/>
      </c>
      <c r="O3355" s="4" t="n">
        <v>769</v>
      </c>
      <c r="P3355" s="4" t="n">
        <f aca="false">IF(A3355=A3354,P3354+1-M3354,0)</f>
        <v>10</v>
      </c>
    </row>
    <row r="3356" customFormat="false" ht="15" hidden="false" customHeight="false" outlineLevel="0" collapsed="false">
      <c r="A3356" s="32" t="s">
        <v>4369</v>
      </c>
      <c r="B3356" s="32" t="s">
        <v>55</v>
      </c>
      <c r="C3356" s="32" t="s">
        <v>118</v>
      </c>
      <c r="D3356" s="32" t="s">
        <v>4370</v>
      </c>
      <c r="E3356" s="4" t="n">
        <v>15</v>
      </c>
      <c r="F3356" s="4" t="s">
        <v>213</v>
      </c>
      <c r="G3356" s="4" t="s">
        <v>3233</v>
      </c>
      <c r="H3356" s="4" t="n">
        <v>2022</v>
      </c>
      <c r="I3356" s="4" t="s">
        <v>1293</v>
      </c>
      <c r="J3356" s="25" t="str">
        <f aca="false">IF(M3356=1,"✓","")</f>
        <v/>
      </c>
      <c r="K3356" s="4" t="str">
        <f aca="false">IF(AND(M3356=0,P3356=0),"▶ NEXT","")</f>
        <v/>
      </c>
      <c r="L3356" s="4" t="n">
        <f aca="false">INDEX('Master List'!$F$2:$F$2594,O3356)</f>
        <v>1</v>
      </c>
      <c r="M3356" s="4" t="n">
        <f aca="false">INDEX('Master List'!$G$2:$G$2594,O3356)</f>
        <v>0</v>
      </c>
      <c r="N3356" s="4" t="str">
        <f aca="false">IF(K3356="","",A3356)</f>
        <v/>
      </c>
      <c r="O3356" s="4" t="n">
        <v>162</v>
      </c>
      <c r="P3356" s="4" t="n">
        <f aca="false">IF(A3356=A3355,P3355+1-M3355,0)</f>
        <v>11</v>
      </c>
    </row>
    <row r="3357" customFormat="false" ht="15" hidden="false" customHeight="false" outlineLevel="0" collapsed="false">
      <c r="A3357" s="32" t="s">
        <v>4369</v>
      </c>
      <c r="B3357" s="32" t="s">
        <v>55</v>
      </c>
      <c r="C3357" s="32" t="s">
        <v>118</v>
      </c>
      <c r="D3357" s="32" t="s">
        <v>4370</v>
      </c>
      <c r="E3357" s="4" t="n">
        <v>16</v>
      </c>
      <c r="F3357" s="4" t="s">
        <v>1327</v>
      </c>
      <c r="G3357" s="4" t="s">
        <v>1390</v>
      </c>
      <c r="H3357" s="4" t="n">
        <v>1996</v>
      </c>
      <c r="I3357" s="4" t="s">
        <v>1391</v>
      </c>
      <c r="J3357" s="25" t="str">
        <f aca="false">IF(M3357=1,"✓","")</f>
        <v/>
      </c>
      <c r="K3357" s="4" t="str">
        <f aca="false">IF(AND(M3357=0,P3357=0),"▶ NEXT","")</f>
        <v/>
      </c>
      <c r="L3357" s="4" t="n">
        <f aca="false">INDEX('Master List'!$F$2:$F$2594,O3357)</f>
        <v>2</v>
      </c>
      <c r="M3357" s="4" t="n">
        <f aca="false">INDEX('Master List'!$G$2:$G$2594,O3357)</f>
        <v>0</v>
      </c>
      <c r="N3357" s="4" t="str">
        <f aca="false">IF(K3357="","",A3357)</f>
        <v/>
      </c>
      <c r="O3357" s="4" t="n">
        <v>1165</v>
      </c>
      <c r="P3357" s="4" t="n">
        <f aca="false">IF(A3357=A3356,P3356+1-M3356,0)</f>
        <v>12</v>
      </c>
    </row>
    <row r="3358" customFormat="false" ht="15" hidden="false" customHeight="false" outlineLevel="0" collapsed="false">
      <c r="A3358" s="32" t="s">
        <v>4369</v>
      </c>
      <c r="B3358" s="32" t="s">
        <v>55</v>
      </c>
      <c r="C3358" s="32" t="s">
        <v>118</v>
      </c>
      <c r="D3358" s="32" t="s">
        <v>4370</v>
      </c>
      <c r="E3358" s="4" t="n">
        <v>17</v>
      </c>
      <c r="F3358" s="4" t="s">
        <v>1327</v>
      </c>
      <c r="G3358" s="4" t="s">
        <v>202</v>
      </c>
      <c r="H3358" s="4" t="n">
        <v>1990</v>
      </c>
      <c r="I3358" s="4" t="s">
        <v>203</v>
      </c>
      <c r="J3358" s="25" t="str">
        <f aca="false">IF(M3358=1,"✓","")</f>
        <v/>
      </c>
      <c r="K3358" s="4" t="str">
        <f aca="false">IF(AND(M3358=0,P3358=0),"▶ NEXT","")</f>
        <v/>
      </c>
      <c r="L3358" s="4" t="n">
        <f aca="false">INDEX('Master List'!$F$2:$F$2594,O3358)</f>
        <v>7</v>
      </c>
      <c r="M3358" s="4" t="n">
        <f aca="false">INDEX('Master List'!$G$2:$G$2594,O3358)</f>
        <v>0</v>
      </c>
      <c r="N3358" s="4" t="str">
        <f aca="false">IF(K3358="","",A3358)</f>
        <v/>
      </c>
      <c r="O3358" s="4" t="n">
        <v>480</v>
      </c>
      <c r="P3358" s="4" t="n">
        <f aca="false">IF(A3358=A3357,P3357+1-M3357,0)</f>
        <v>13</v>
      </c>
    </row>
    <row r="3359" customFormat="false" ht="15" hidden="false" customHeight="false" outlineLevel="0" collapsed="false">
      <c r="A3359" s="32" t="s">
        <v>4371</v>
      </c>
      <c r="B3359" s="32" t="s">
        <v>55</v>
      </c>
      <c r="C3359" s="32" t="s">
        <v>118</v>
      </c>
      <c r="D3359" s="32" t="s">
        <v>4372</v>
      </c>
      <c r="E3359" s="4" t="n">
        <v>1</v>
      </c>
      <c r="F3359" s="4" t="s">
        <v>144</v>
      </c>
      <c r="G3359" s="7" t="s">
        <v>204</v>
      </c>
      <c r="H3359" s="4" t="n">
        <v>1940</v>
      </c>
      <c r="I3359" s="4" t="s">
        <v>205</v>
      </c>
      <c r="J3359" s="25" t="str">
        <f aca="false">IF(M3359=1,"✓","")</f>
        <v/>
      </c>
      <c r="K3359" s="4" t="str">
        <f aca="false">IF(AND(M3359=0,P3359=0),"▶ NEXT","")</f>
        <v>▶ NEXT</v>
      </c>
      <c r="L3359" s="4" t="n">
        <f aca="false">INDEX('Master List'!$F$2:$F$2594,O3359)</f>
        <v>7</v>
      </c>
      <c r="M3359" s="4" t="n">
        <f aca="false">INDEX('Master List'!$G$2:$G$2594,O3359)</f>
        <v>0</v>
      </c>
      <c r="N3359" s="4" t="str">
        <f aca="false">IF(K3359="","",A3359)</f>
        <v>N274</v>
      </c>
      <c r="O3359" s="4" t="n">
        <v>946</v>
      </c>
      <c r="P3359" s="4" t="n">
        <f aca="false">IF(A3359=A3358,P3358+1-M3358,0)</f>
        <v>0</v>
      </c>
    </row>
    <row r="3360" customFormat="false" ht="15" hidden="false" customHeight="false" outlineLevel="0" collapsed="false">
      <c r="A3360" s="32" t="s">
        <v>4371</v>
      </c>
      <c r="B3360" s="32" t="s">
        <v>55</v>
      </c>
      <c r="C3360" s="32" t="s">
        <v>118</v>
      </c>
      <c r="D3360" s="32" t="s">
        <v>4372</v>
      </c>
      <c r="E3360" s="4" t="n">
        <v>2</v>
      </c>
      <c r="F3360" s="4" t="s">
        <v>144</v>
      </c>
      <c r="G3360" s="7" t="s">
        <v>432</v>
      </c>
      <c r="H3360" s="4" t="n">
        <v>1962</v>
      </c>
      <c r="I3360" s="4" t="s">
        <v>433</v>
      </c>
      <c r="J3360" s="25" t="str">
        <f aca="false">IF(M3360=1,"✓","")</f>
        <v/>
      </c>
      <c r="K3360" s="4" t="str">
        <f aca="false">IF(AND(M3360=0,P3360=0),"▶ NEXT","")</f>
        <v/>
      </c>
      <c r="L3360" s="4" t="n">
        <f aca="false">INDEX('Master List'!$F$2:$F$2594,O3360)</f>
        <v>3</v>
      </c>
      <c r="M3360" s="4" t="n">
        <f aca="false">INDEX('Master List'!$G$2:$G$2594,O3360)</f>
        <v>0</v>
      </c>
      <c r="N3360" s="4" t="str">
        <f aca="false">IF(K3360="","",A3360)</f>
        <v/>
      </c>
      <c r="O3360" s="4" t="n">
        <v>2318</v>
      </c>
      <c r="P3360" s="4" t="n">
        <f aca="false">IF(A3360=A3359,P3359+1-M3359,0)</f>
        <v>1</v>
      </c>
    </row>
    <row r="3361" customFormat="false" ht="15" hidden="false" customHeight="false" outlineLevel="0" collapsed="false">
      <c r="A3361" s="32" t="s">
        <v>4371</v>
      </c>
      <c r="B3361" s="32" t="s">
        <v>55</v>
      </c>
      <c r="C3361" s="32" t="s">
        <v>118</v>
      </c>
      <c r="D3361" s="32" t="s">
        <v>4372</v>
      </c>
      <c r="E3361" s="4" t="n">
        <v>3</v>
      </c>
      <c r="F3361" s="4" t="s">
        <v>213</v>
      </c>
      <c r="G3361" s="4" t="s">
        <v>282</v>
      </c>
      <c r="H3361" s="4" t="n">
        <v>1941</v>
      </c>
      <c r="I3361" s="4" t="s">
        <v>283</v>
      </c>
      <c r="J3361" s="25" t="str">
        <f aca="false">IF(M3361=1,"✓","")</f>
        <v/>
      </c>
      <c r="K3361" s="4" t="str">
        <f aca="false">IF(AND(M3361=0,P3361=0),"▶ NEXT","")</f>
        <v/>
      </c>
      <c r="L3361" s="4" t="n">
        <f aca="false">INDEX('Master List'!$F$2:$F$2594,O3361)</f>
        <v>5</v>
      </c>
      <c r="M3361" s="4" t="n">
        <f aca="false">INDEX('Master List'!$G$2:$G$2594,O3361)</f>
        <v>0</v>
      </c>
      <c r="N3361" s="4" t="str">
        <f aca="false">IF(K3361="","",A3361)</f>
        <v/>
      </c>
      <c r="O3361" s="4" t="n">
        <v>1419</v>
      </c>
      <c r="P3361" s="4" t="n">
        <f aca="false">IF(A3361=A3360,P3360+1-M3360,0)</f>
        <v>2</v>
      </c>
    </row>
    <row r="3362" customFormat="false" ht="15" hidden="false" customHeight="false" outlineLevel="0" collapsed="false">
      <c r="A3362" s="32" t="s">
        <v>4371</v>
      </c>
      <c r="B3362" s="32" t="s">
        <v>55</v>
      </c>
      <c r="C3362" s="32" t="s">
        <v>118</v>
      </c>
      <c r="D3362" s="32" t="s">
        <v>4372</v>
      </c>
      <c r="E3362" s="4" t="n">
        <v>4</v>
      </c>
      <c r="F3362" s="4" t="s">
        <v>213</v>
      </c>
      <c r="G3362" s="4" t="s">
        <v>571</v>
      </c>
      <c r="H3362" s="4" t="n">
        <v>1946</v>
      </c>
      <c r="I3362" s="4" t="s">
        <v>168</v>
      </c>
      <c r="J3362" s="25" t="str">
        <f aca="false">IF(M3362=1,"✓","")</f>
        <v/>
      </c>
      <c r="K3362" s="4" t="str">
        <f aca="false">IF(AND(M3362=0,P3362=0),"▶ NEXT","")</f>
        <v/>
      </c>
      <c r="L3362" s="4" t="n">
        <f aca="false">INDEX('Master List'!$F$2:$F$2594,O3362)</f>
        <v>3</v>
      </c>
      <c r="M3362" s="4" t="n">
        <f aca="false">INDEX('Master List'!$G$2:$G$2594,O3362)</f>
        <v>0</v>
      </c>
      <c r="N3362" s="4" t="str">
        <f aca="false">IF(K3362="","",A3362)</f>
        <v/>
      </c>
      <c r="O3362" s="4" t="n">
        <v>248</v>
      </c>
      <c r="P3362" s="4" t="n">
        <f aca="false">IF(A3362=A3361,P3361+1-M3361,0)</f>
        <v>3</v>
      </c>
    </row>
    <row r="3363" customFormat="false" ht="15" hidden="false" customHeight="false" outlineLevel="0" collapsed="false">
      <c r="A3363" s="32" t="s">
        <v>4371</v>
      </c>
      <c r="B3363" s="32" t="s">
        <v>55</v>
      </c>
      <c r="C3363" s="32" t="s">
        <v>118</v>
      </c>
      <c r="D3363" s="32" t="s">
        <v>4372</v>
      </c>
      <c r="E3363" s="4" t="n">
        <v>5</v>
      </c>
      <c r="F3363" s="4" t="s">
        <v>213</v>
      </c>
      <c r="G3363" s="4" t="s">
        <v>573</v>
      </c>
      <c r="H3363" s="4" t="n">
        <v>1951</v>
      </c>
      <c r="I3363" s="4" t="s">
        <v>375</v>
      </c>
      <c r="J3363" s="25" t="str">
        <f aca="false">IF(M3363=1,"✓","")</f>
        <v/>
      </c>
      <c r="K3363" s="4" t="str">
        <f aca="false">IF(AND(M3363=0,P3363=0),"▶ NEXT","")</f>
        <v/>
      </c>
      <c r="L3363" s="4" t="n">
        <f aca="false">INDEX('Master List'!$F$2:$F$2594,O3363)</f>
        <v>3</v>
      </c>
      <c r="M3363" s="4" t="n">
        <f aca="false">INDEX('Master List'!$G$2:$G$2594,O3363)</f>
        <v>0</v>
      </c>
      <c r="N3363" s="4" t="str">
        <f aca="false">IF(K3363="","",A3363)</f>
        <v/>
      </c>
      <c r="O3363" s="4" t="n">
        <v>2184</v>
      </c>
      <c r="P3363" s="4" t="n">
        <f aca="false">IF(A3363=A3362,P3362+1-M3362,0)</f>
        <v>4</v>
      </c>
    </row>
    <row r="3364" customFormat="false" ht="15" hidden="false" customHeight="false" outlineLevel="0" collapsed="false">
      <c r="A3364" s="32" t="s">
        <v>4371</v>
      </c>
      <c r="B3364" s="32" t="s">
        <v>55</v>
      </c>
      <c r="C3364" s="32" t="s">
        <v>118</v>
      </c>
      <c r="D3364" s="32" t="s">
        <v>4372</v>
      </c>
      <c r="E3364" s="4" t="n">
        <v>6</v>
      </c>
      <c r="F3364" s="4" t="s">
        <v>213</v>
      </c>
      <c r="G3364" s="4" t="s">
        <v>1275</v>
      </c>
      <c r="H3364" s="4" t="n">
        <v>1955</v>
      </c>
      <c r="I3364" s="4" t="s">
        <v>375</v>
      </c>
      <c r="J3364" s="25" t="str">
        <f aca="false">IF(M3364=1,"✓","")</f>
        <v/>
      </c>
      <c r="K3364" s="4" t="str">
        <f aca="false">IF(AND(M3364=0,P3364=0),"▶ NEXT","")</f>
        <v/>
      </c>
      <c r="L3364" s="4" t="n">
        <f aca="false">INDEX('Master List'!$F$2:$F$2594,O3364)</f>
        <v>2</v>
      </c>
      <c r="M3364" s="4" t="n">
        <f aca="false">INDEX('Master List'!$G$2:$G$2594,O3364)</f>
        <v>0</v>
      </c>
      <c r="N3364" s="4" t="str">
        <f aca="false">IF(K3364="","",A3364)</f>
        <v/>
      </c>
      <c r="O3364" s="4" t="n">
        <v>703</v>
      </c>
      <c r="P3364" s="4" t="n">
        <f aca="false">IF(A3364=A3363,P3363+1-M3363,0)</f>
        <v>5</v>
      </c>
    </row>
    <row r="3365" customFormat="false" ht="15" hidden="false" customHeight="false" outlineLevel="0" collapsed="false">
      <c r="A3365" s="32" t="s">
        <v>4371</v>
      </c>
      <c r="B3365" s="32" t="s">
        <v>55</v>
      </c>
      <c r="C3365" s="32" t="s">
        <v>118</v>
      </c>
      <c r="D3365" s="32" t="s">
        <v>4372</v>
      </c>
      <c r="E3365" s="4" t="n">
        <v>7</v>
      </c>
      <c r="F3365" s="4" t="s">
        <v>213</v>
      </c>
      <c r="G3365" s="4" t="s">
        <v>354</v>
      </c>
      <c r="H3365" s="4" t="n">
        <v>1955</v>
      </c>
      <c r="I3365" s="4" t="s">
        <v>355</v>
      </c>
      <c r="J3365" s="25" t="str">
        <f aca="false">IF(M3365=1,"✓","")</f>
        <v>✓</v>
      </c>
      <c r="K3365" s="4" t="str">
        <f aca="false">IF(AND(M3365=0,P3365=0),"▶ NEXT","")</f>
        <v/>
      </c>
      <c r="L3365" s="4" t="n">
        <f aca="false">INDEX('Master List'!$F$2:$F$2594,O3365)</f>
        <v>4</v>
      </c>
      <c r="M3365" s="4" t="n">
        <f aca="false">INDEX('Master List'!$G$2:$G$2594,O3365)</f>
        <v>1</v>
      </c>
      <c r="N3365" s="4" t="str">
        <f aca="false">IF(K3365="","",A3365)</f>
        <v/>
      </c>
      <c r="O3365" s="4" t="n">
        <v>1606</v>
      </c>
      <c r="P3365" s="4" t="n">
        <f aca="false">IF(A3365=A3364,P3364+1-M3364,0)</f>
        <v>6</v>
      </c>
    </row>
    <row r="3366" customFormat="false" ht="15" hidden="false" customHeight="false" outlineLevel="0" collapsed="false">
      <c r="A3366" s="32" t="s">
        <v>4371</v>
      </c>
      <c r="B3366" s="32" t="s">
        <v>55</v>
      </c>
      <c r="C3366" s="32" t="s">
        <v>118</v>
      </c>
      <c r="D3366" s="32" t="s">
        <v>4372</v>
      </c>
      <c r="E3366" s="4" t="n">
        <v>8</v>
      </c>
      <c r="F3366" s="4" t="s">
        <v>213</v>
      </c>
      <c r="G3366" s="4" t="s">
        <v>2252</v>
      </c>
      <c r="H3366" s="4" t="n">
        <v>1974</v>
      </c>
      <c r="I3366" s="4" t="s">
        <v>765</v>
      </c>
      <c r="J3366" s="25" t="str">
        <f aca="false">IF(M3366=1,"✓","")</f>
        <v/>
      </c>
      <c r="K3366" s="4" t="str">
        <f aca="false">IF(AND(M3366=0,P3366=0),"▶ NEXT","")</f>
        <v/>
      </c>
      <c r="L3366" s="4" t="n">
        <f aca="false">INDEX('Master List'!$F$2:$F$2594,O3366)</f>
        <v>1</v>
      </c>
      <c r="M3366" s="4" t="n">
        <f aca="false">INDEX('Master List'!$G$2:$G$2594,O3366)</f>
        <v>0</v>
      </c>
      <c r="N3366" s="4" t="str">
        <f aca="false">IF(K3366="","",A3366)</f>
        <v/>
      </c>
      <c r="O3366" s="4" t="n">
        <v>954</v>
      </c>
      <c r="P3366" s="4" t="n">
        <f aca="false">IF(A3366=A3365,P3365+1-M3365,0)</f>
        <v>6</v>
      </c>
    </row>
    <row r="3367" customFormat="false" ht="15" hidden="false" customHeight="false" outlineLevel="0" collapsed="false">
      <c r="A3367" s="32" t="s">
        <v>4371</v>
      </c>
      <c r="B3367" s="32" t="s">
        <v>55</v>
      </c>
      <c r="C3367" s="32" t="s">
        <v>118</v>
      </c>
      <c r="D3367" s="32" t="s">
        <v>4372</v>
      </c>
      <c r="E3367" s="4" t="n">
        <v>9</v>
      </c>
      <c r="F3367" s="4" t="s">
        <v>213</v>
      </c>
      <c r="G3367" s="4" t="s">
        <v>547</v>
      </c>
      <c r="H3367" s="4" t="n">
        <v>1975</v>
      </c>
      <c r="I3367" s="4" t="s">
        <v>548</v>
      </c>
      <c r="J3367" s="25" t="str">
        <f aca="false">IF(M3367=1,"✓","")</f>
        <v>✓</v>
      </c>
      <c r="K3367" s="4" t="str">
        <f aca="false">IF(AND(M3367=0,P3367=0),"▶ NEXT","")</f>
        <v/>
      </c>
      <c r="L3367" s="4" t="n">
        <f aca="false">INDEX('Master List'!$F$2:$F$2594,O3367)</f>
        <v>3</v>
      </c>
      <c r="M3367" s="4" t="n">
        <f aca="false">INDEX('Master List'!$G$2:$G$2594,O3367)</f>
        <v>1</v>
      </c>
      <c r="N3367" s="4" t="str">
        <f aca="false">IF(K3367="","",A3367)</f>
        <v/>
      </c>
      <c r="O3367" s="4" t="n">
        <v>1678</v>
      </c>
      <c r="P3367" s="4" t="n">
        <f aca="false">IF(A3367=A3366,P3366+1-M3366,0)</f>
        <v>7</v>
      </c>
    </row>
    <row r="3368" customFormat="false" ht="15" hidden="false" customHeight="false" outlineLevel="0" collapsed="false">
      <c r="A3368" s="32" t="s">
        <v>4371</v>
      </c>
      <c r="B3368" s="32" t="s">
        <v>55</v>
      </c>
      <c r="C3368" s="32" t="s">
        <v>118</v>
      </c>
      <c r="D3368" s="32" t="s">
        <v>4372</v>
      </c>
      <c r="E3368" s="4" t="n">
        <v>10</v>
      </c>
      <c r="F3368" s="4" t="s">
        <v>213</v>
      </c>
      <c r="G3368" s="4" t="s">
        <v>1103</v>
      </c>
      <c r="H3368" s="4" t="n">
        <v>1993</v>
      </c>
      <c r="I3368" s="4" t="s">
        <v>164</v>
      </c>
      <c r="J3368" s="25" t="str">
        <f aca="false">IF(M3368=1,"✓","")</f>
        <v/>
      </c>
      <c r="K3368" s="4" t="str">
        <f aca="false">IF(AND(M3368=0,P3368=0),"▶ NEXT","")</f>
        <v/>
      </c>
      <c r="L3368" s="4" t="n">
        <f aca="false">INDEX('Master List'!$F$2:$F$2594,O3368)</f>
        <v>2</v>
      </c>
      <c r="M3368" s="4" t="n">
        <f aca="false">INDEX('Master List'!$G$2:$G$2594,O3368)</f>
        <v>0</v>
      </c>
      <c r="N3368" s="4" t="str">
        <f aca="false">IF(K3368="","",A3368)</f>
        <v/>
      </c>
      <c r="O3368" s="4" t="n">
        <v>55</v>
      </c>
      <c r="P3368" s="4" t="n">
        <f aca="false">IF(A3368=A3367,P3367+1-M3367,0)</f>
        <v>7</v>
      </c>
    </row>
    <row r="3369" customFormat="false" ht="15" hidden="false" customHeight="false" outlineLevel="0" collapsed="false">
      <c r="A3369" s="32" t="s">
        <v>4371</v>
      </c>
      <c r="B3369" s="32" t="s">
        <v>55</v>
      </c>
      <c r="C3369" s="32" t="s">
        <v>118</v>
      </c>
      <c r="D3369" s="32" t="s">
        <v>4372</v>
      </c>
      <c r="E3369" s="4" t="n">
        <v>11</v>
      </c>
      <c r="F3369" s="4" t="s">
        <v>213</v>
      </c>
      <c r="G3369" s="4" t="s">
        <v>294</v>
      </c>
      <c r="H3369" s="4" t="n">
        <v>1993</v>
      </c>
      <c r="I3369" s="4" t="s">
        <v>197</v>
      </c>
      <c r="J3369" s="25" t="str">
        <f aca="false">IF(M3369=1,"✓","")</f>
        <v>✓</v>
      </c>
      <c r="K3369" s="4" t="str">
        <f aca="false">IF(AND(M3369=0,P3369=0),"▶ NEXT","")</f>
        <v/>
      </c>
      <c r="L3369" s="4" t="n">
        <f aca="false">INDEX('Master List'!$F$2:$F$2594,O3369)</f>
        <v>5</v>
      </c>
      <c r="M3369" s="4" t="n">
        <f aca="false">INDEX('Master List'!$G$2:$G$2594,O3369)</f>
        <v>1</v>
      </c>
      <c r="N3369" s="4" t="str">
        <f aca="false">IF(K3369="","",A3369)</f>
        <v/>
      </c>
      <c r="O3369" s="4" t="n">
        <v>2058</v>
      </c>
      <c r="P3369" s="4" t="n">
        <f aca="false">IF(A3369=A3368,P3368+1-M3368,0)</f>
        <v>8</v>
      </c>
    </row>
    <row r="3370" customFormat="false" ht="15" hidden="false" customHeight="false" outlineLevel="0" collapsed="false">
      <c r="A3370" s="32" t="s">
        <v>4371</v>
      </c>
      <c r="B3370" s="32" t="s">
        <v>55</v>
      </c>
      <c r="C3370" s="32" t="s">
        <v>118</v>
      </c>
      <c r="D3370" s="32" t="s">
        <v>4372</v>
      </c>
      <c r="E3370" s="4" t="n">
        <v>12</v>
      </c>
      <c r="F3370" s="4" t="s">
        <v>213</v>
      </c>
      <c r="G3370" s="4" t="s">
        <v>322</v>
      </c>
      <c r="H3370" s="4" t="n">
        <v>2007</v>
      </c>
      <c r="I3370" s="4" t="s">
        <v>323</v>
      </c>
      <c r="J3370" s="25" t="str">
        <f aca="false">IF(M3370=1,"✓","")</f>
        <v>✓</v>
      </c>
      <c r="K3370" s="4" t="str">
        <f aca="false">IF(AND(M3370=0,P3370=0),"▶ NEXT","")</f>
        <v/>
      </c>
      <c r="L3370" s="4" t="n">
        <f aca="false">INDEX('Master List'!$F$2:$F$2594,O3370)</f>
        <v>4</v>
      </c>
      <c r="M3370" s="4" t="n">
        <f aca="false">INDEX('Master List'!$G$2:$G$2594,O3370)</f>
        <v>1</v>
      </c>
      <c r="N3370" s="4" t="str">
        <f aca="false">IF(K3370="","",A3370)</f>
        <v/>
      </c>
      <c r="O3370" s="4" t="n">
        <v>1622</v>
      </c>
      <c r="P3370" s="4" t="n">
        <f aca="false">IF(A3370=A3369,P3369+1-M3369,0)</f>
        <v>8</v>
      </c>
    </row>
    <row r="3371" customFormat="false" ht="15" hidden="false" customHeight="false" outlineLevel="0" collapsed="false">
      <c r="A3371" s="32" t="s">
        <v>4371</v>
      </c>
      <c r="B3371" s="32" t="s">
        <v>55</v>
      </c>
      <c r="C3371" s="32" t="s">
        <v>118</v>
      </c>
      <c r="D3371" s="32" t="s">
        <v>4372</v>
      </c>
      <c r="E3371" s="4" t="n">
        <v>13</v>
      </c>
      <c r="F3371" s="4" t="s">
        <v>213</v>
      </c>
      <c r="G3371" s="4" t="s">
        <v>277</v>
      </c>
      <c r="H3371" s="4" t="n">
        <v>2007</v>
      </c>
      <c r="I3371" s="4" t="s">
        <v>278</v>
      </c>
      <c r="J3371" s="25" t="str">
        <f aca="false">IF(M3371=1,"✓","")</f>
        <v>✓</v>
      </c>
      <c r="K3371" s="4" t="str">
        <f aca="false">IF(AND(M3371=0,P3371=0),"▶ NEXT","")</f>
        <v/>
      </c>
      <c r="L3371" s="4" t="n">
        <f aca="false">INDEX('Master List'!$F$2:$F$2594,O3371)</f>
        <v>5</v>
      </c>
      <c r="M3371" s="4" t="n">
        <f aca="false">INDEX('Master List'!$G$2:$G$2594,O3371)</f>
        <v>1</v>
      </c>
      <c r="N3371" s="4" t="str">
        <f aca="false">IF(K3371="","",A3371)</f>
        <v/>
      </c>
      <c r="O3371" s="4" t="n">
        <v>2269</v>
      </c>
      <c r="P3371" s="4" t="n">
        <f aca="false">IF(A3371=A3370,P3370+1-M3370,0)</f>
        <v>8</v>
      </c>
    </row>
    <row r="3372" customFormat="false" ht="15" hidden="false" customHeight="false" outlineLevel="0" collapsed="false">
      <c r="A3372" s="32" t="s">
        <v>4371</v>
      </c>
      <c r="B3372" s="32" t="s">
        <v>55</v>
      </c>
      <c r="C3372" s="32" t="s">
        <v>118</v>
      </c>
      <c r="D3372" s="32" t="s">
        <v>4372</v>
      </c>
      <c r="E3372" s="4" t="n">
        <v>14</v>
      </c>
      <c r="F3372" s="4" t="s">
        <v>213</v>
      </c>
      <c r="G3372" s="4" t="s">
        <v>644</v>
      </c>
      <c r="H3372" s="4" t="n">
        <v>2014</v>
      </c>
      <c r="I3372" s="4" t="s">
        <v>278</v>
      </c>
      <c r="J3372" s="25" t="str">
        <f aca="false">IF(M3372=1,"✓","")</f>
        <v>✓</v>
      </c>
      <c r="K3372" s="4" t="str">
        <f aca="false">IF(AND(M3372=0,P3372=0),"▶ NEXT","")</f>
        <v/>
      </c>
      <c r="L3372" s="4" t="n">
        <f aca="false">INDEX('Master List'!$F$2:$F$2594,O3372)</f>
        <v>3</v>
      </c>
      <c r="M3372" s="4" t="n">
        <f aca="false">INDEX('Master List'!$G$2:$G$2594,O3372)</f>
        <v>1</v>
      </c>
      <c r="N3372" s="4" t="str">
        <f aca="false">IF(K3372="","",A3372)</f>
        <v/>
      </c>
      <c r="O3372" s="4" t="n">
        <v>1140</v>
      </c>
      <c r="P3372" s="4" t="n">
        <f aca="false">IF(A3372=A3371,P3371+1-M3371,0)</f>
        <v>8</v>
      </c>
    </row>
    <row r="3373" customFormat="false" ht="15" hidden="false" customHeight="false" outlineLevel="0" collapsed="false">
      <c r="A3373" s="32" t="s">
        <v>4371</v>
      </c>
      <c r="B3373" s="32" t="s">
        <v>55</v>
      </c>
      <c r="C3373" s="32" t="s">
        <v>118</v>
      </c>
      <c r="D3373" s="32" t="s">
        <v>4372</v>
      </c>
      <c r="E3373" s="4" t="n">
        <v>15</v>
      </c>
      <c r="F3373" s="4" t="s">
        <v>1327</v>
      </c>
      <c r="G3373" s="4" t="s">
        <v>1363</v>
      </c>
      <c r="H3373" s="4" t="n">
        <v>1979</v>
      </c>
      <c r="I3373" s="4" t="s">
        <v>283</v>
      </c>
      <c r="J3373" s="25" t="str">
        <f aca="false">IF(M3373=1,"✓","")</f>
        <v/>
      </c>
      <c r="K3373" s="4" t="str">
        <f aca="false">IF(AND(M3373=0,P3373=0),"▶ NEXT","")</f>
        <v/>
      </c>
      <c r="L3373" s="4" t="n">
        <f aca="false">INDEX('Master List'!$F$2:$F$2594,O3373)</f>
        <v>2</v>
      </c>
      <c r="M3373" s="4" t="n">
        <f aca="false">INDEX('Master List'!$G$2:$G$2594,O3373)</f>
        <v>0</v>
      </c>
      <c r="N3373" s="4" t="str">
        <f aca="false">IF(K3373="","",A3373)</f>
        <v/>
      </c>
      <c r="O3373" s="4" t="n">
        <v>2532</v>
      </c>
      <c r="P3373" s="4" t="n">
        <f aca="false">IF(A3373=A3372,P3372+1-M3372,0)</f>
        <v>8</v>
      </c>
    </row>
    <row r="3374" customFormat="false" ht="15" hidden="false" customHeight="false" outlineLevel="0" collapsed="false">
      <c r="A3374" s="32" t="s">
        <v>4371</v>
      </c>
      <c r="B3374" s="32" t="s">
        <v>55</v>
      </c>
      <c r="C3374" s="32" t="s">
        <v>118</v>
      </c>
      <c r="D3374" s="32" t="s">
        <v>4372</v>
      </c>
      <c r="E3374" s="4" t="n">
        <v>16</v>
      </c>
      <c r="F3374" s="4" t="s">
        <v>1327</v>
      </c>
      <c r="G3374" s="4" t="s">
        <v>764</v>
      </c>
      <c r="H3374" s="4" t="n">
        <v>1961</v>
      </c>
      <c r="I3374" s="4" t="s">
        <v>765</v>
      </c>
      <c r="J3374" s="25" t="str">
        <f aca="false">IF(M3374=1,"✓","")</f>
        <v/>
      </c>
      <c r="K3374" s="4" t="str">
        <f aca="false">IF(AND(M3374=0,P3374=0),"▶ NEXT","")</f>
        <v/>
      </c>
      <c r="L3374" s="4" t="n">
        <f aca="false">INDEX('Master List'!$F$2:$F$2594,O3374)</f>
        <v>3</v>
      </c>
      <c r="M3374" s="4" t="n">
        <f aca="false">INDEX('Master List'!$G$2:$G$2594,O3374)</f>
        <v>0</v>
      </c>
      <c r="N3374" s="4" t="str">
        <f aca="false">IF(K3374="","",A3374)</f>
        <v/>
      </c>
      <c r="O3374" s="4" t="n">
        <v>1144</v>
      </c>
      <c r="P3374" s="4" t="n">
        <f aca="false">IF(A3374=A3373,P3373+1-M3373,0)</f>
        <v>9</v>
      </c>
    </row>
    <row r="3375" customFormat="false" ht="15" hidden="false" customHeight="false" outlineLevel="0" collapsed="false">
      <c r="A3375" s="32" t="s">
        <v>4373</v>
      </c>
      <c r="B3375" s="32" t="s">
        <v>55</v>
      </c>
      <c r="C3375" s="32" t="s">
        <v>118</v>
      </c>
      <c r="D3375" s="32" t="s">
        <v>4374</v>
      </c>
      <c r="E3375" s="4" t="n">
        <v>1</v>
      </c>
      <c r="F3375" s="4" t="s">
        <v>144</v>
      </c>
      <c r="G3375" s="7" t="s">
        <v>1547</v>
      </c>
      <c r="H3375" s="4" t="n">
        <v>1992</v>
      </c>
      <c r="I3375" s="4" t="s">
        <v>296</v>
      </c>
      <c r="J3375" s="25" t="str">
        <f aca="false">IF(M3375=1,"✓","")</f>
        <v/>
      </c>
      <c r="K3375" s="4" t="str">
        <f aca="false">IF(AND(M3375=0,P3375=0),"▶ NEXT","")</f>
        <v>▶ NEXT</v>
      </c>
      <c r="L3375" s="4" t="n">
        <f aca="false">INDEX('Master List'!$F$2:$F$2594,O3375)</f>
        <v>1</v>
      </c>
      <c r="M3375" s="4" t="n">
        <f aca="false">INDEX('Master List'!$G$2:$G$2594,O3375)</f>
        <v>0</v>
      </c>
      <c r="N3375" s="4" t="str">
        <f aca="false">IF(K3375="","",A3375)</f>
        <v>N275</v>
      </c>
      <c r="O3375" s="4" t="n">
        <v>1299</v>
      </c>
      <c r="P3375" s="4" t="n">
        <f aca="false">IF(A3375=A3374,P3374+1-M3374,0)</f>
        <v>0</v>
      </c>
    </row>
    <row r="3376" customFormat="false" ht="15" hidden="false" customHeight="false" outlineLevel="0" collapsed="false">
      <c r="A3376" s="32" t="s">
        <v>4373</v>
      </c>
      <c r="B3376" s="32" t="s">
        <v>55</v>
      </c>
      <c r="C3376" s="32" t="s">
        <v>118</v>
      </c>
      <c r="D3376" s="32" t="s">
        <v>4374</v>
      </c>
      <c r="E3376" s="4" t="n">
        <v>2</v>
      </c>
      <c r="F3376" s="4" t="s">
        <v>144</v>
      </c>
      <c r="G3376" s="7" t="s">
        <v>554</v>
      </c>
      <c r="H3376" s="4" t="n">
        <v>2012</v>
      </c>
      <c r="I3376" s="4" t="s">
        <v>183</v>
      </c>
      <c r="J3376" s="25" t="str">
        <f aca="false">IF(M3376=1,"✓","")</f>
        <v/>
      </c>
      <c r="K3376" s="4" t="str">
        <f aca="false">IF(AND(M3376=0,P3376=0),"▶ NEXT","")</f>
        <v/>
      </c>
      <c r="L3376" s="4" t="n">
        <f aca="false">INDEX('Master List'!$F$2:$F$2594,O3376)</f>
        <v>3</v>
      </c>
      <c r="M3376" s="4" t="n">
        <f aca="false">INDEX('Master List'!$G$2:$G$2594,O3376)</f>
        <v>0</v>
      </c>
      <c r="N3376" s="4" t="str">
        <f aca="false">IF(K3376="","",A3376)</f>
        <v/>
      </c>
      <c r="O3376" s="4" t="n">
        <v>1343</v>
      </c>
      <c r="P3376" s="4" t="n">
        <f aca="false">IF(A3376=A3375,P3375+1-M3375,0)</f>
        <v>1</v>
      </c>
    </row>
    <row r="3377" customFormat="false" ht="15" hidden="false" customHeight="false" outlineLevel="0" collapsed="false">
      <c r="A3377" s="32" t="s">
        <v>4373</v>
      </c>
      <c r="B3377" s="32" t="s">
        <v>55</v>
      </c>
      <c r="C3377" s="32" t="s">
        <v>118</v>
      </c>
      <c r="D3377" s="32" t="s">
        <v>4374</v>
      </c>
      <c r="E3377" s="4" t="n">
        <v>3</v>
      </c>
      <c r="F3377" s="4" t="s">
        <v>213</v>
      </c>
      <c r="G3377" s="4" t="s">
        <v>3042</v>
      </c>
      <c r="H3377" s="4" t="n">
        <v>2013</v>
      </c>
      <c r="I3377" s="4" t="s">
        <v>2913</v>
      </c>
      <c r="J3377" s="25" t="str">
        <f aca="false">IF(M3377=1,"✓","")</f>
        <v/>
      </c>
      <c r="K3377" s="4" t="str">
        <f aca="false">IF(AND(M3377=0,P3377=0),"▶ NEXT","")</f>
        <v/>
      </c>
      <c r="L3377" s="4" t="n">
        <f aca="false">INDEX('Master List'!$F$2:$F$2594,O3377)</f>
        <v>1</v>
      </c>
      <c r="M3377" s="4" t="n">
        <f aca="false">INDEX('Master List'!$G$2:$G$2594,O3377)</f>
        <v>0</v>
      </c>
      <c r="N3377" s="4" t="str">
        <f aca="false">IF(K3377="","",A3377)</f>
        <v/>
      </c>
      <c r="O3377" s="4" t="n">
        <v>5</v>
      </c>
      <c r="P3377" s="4" t="n">
        <f aca="false">IF(A3377=A3376,P3376+1-M3376,0)</f>
        <v>2</v>
      </c>
    </row>
    <row r="3378" customFormat="false" ht="15" hidden="false" customHeight="false" outlineLevel="0" collapsed="false">
      <c r="A3378" s="32" t="s">
        <v>4373</v>
      </c>
      <c r="B3378" s="32" t="s">
        <v>55</v>
      </c>
      <c r="C3378" s="32" t="s">
        <v>118</v>
      </c>
      <c r="D3378" s="32" t="s">
        <v>4374</v>
      </c>
      <c r="E3378" s="4" t="n">
        <v>4</v>
      </c>
      <c r="F3378" s="4" t="s">
        <v>213</v>
      </c>
      <c r="G3378" s="4" t="s">
        <v>2506</v>
      </c>
      <c r="H3378" s="4" t="n">
        <v>1989</v>
      </c>
      <c r="I3378" s="4" t="s">
        <v>2507</v>
      </c>
      <c r="J3378" s="25" t="str">
        <f aca="false">IF(M3378=1,"✓","")</f>
        <v/>
      </c>
      <c r="K3378" s="4" t="str">
        <f aca="false">IF(AND(M3378=0,P3378=0),"▶ NEXT","")</f>
        <v/>
      </c>
      <c r="L3378" s="4" t="n">
        <f aca="false">INDEX('Master List'!$F$2:$F$2594,O3378)</f>
        <v>1</v>
      </c>
      <c r="M3378" s="4" t="n">
        <f aca="false">INDEX('Master List'!$G$2:$G$2594,O3378)</f>
        <v>0</v>
      </c>
      <c r="N3378" s="4" t="str">
        <f aca="false">IF(K3378="","",A3378)</f>
        <v/>
      </c>
      <c r="O3378" s="4" t="n">
        <v>906</v>
      </c>
      <c r="P3378" s="4" t="n">
        <f aca="false">IF(A3378=A3377,P3377+1-M3377,0)</f>
        <v>3</v>
      </c>
    </row>
    <row r="3379" customFormat="false" ht="15" hidden="false" customHeight="false" outlineLevel="0" collapsed="false">
      <c r="A3379" s="32" t="s">
        <v>4373</v>
      </c>
      <c r="B3379" s="32" t="s">
        <v>55</v>
      </c>
      <c r="C3379" s="32" t="s">
        <v>118</v>
      </c>
      <c r="D3379" s="32" t="s">
        <v>4374</v>
      </c>
      <c r="E3379" s="4" t="n">
        <v>5</v>
      </c>
      <c r="F3379" s="4" t="s">
        <v>213</v>
      </c>
      <c r="G3379" s="4" t="s">
        <v>2791</v>
      </c>
      <c r="H3379" s="4" t="n">
        <v>2002</v>
      </c>
      <c r="I3379" s="4" t="s">
        <v>164</v>
      </c>
      <c r="J3379" s="25" t="str">
        <f aca="false">IF(M3379=1,"✓","")</f>
        <v>✓</v>
      </c>
      <c r="K3379" s="4" t="str">
        <f aca="false">IF(AND(M3379=0,P3379=0),"▶ NEXT","")</f>
        <v/>
      </c>
      <c r="L3379" s="4" t="n">
        <f aca="false">INDEX('Master List'!$F$2:$F$2594,O3379)</f>
        <v>1</v>
      </c>
      <c r="M3379" s="4" t="n">
        <f aca="false">INDEX('Master List'!$G$2:$G$2594,O3379)</f>
        <v>1</v>
      </c>
      <c r="N3379" s="4" t="str">
        <f aca="false">IF(K3379="","",A3379)</f>
        <v/>
      </c>
      <c r="O3379" s="4" t="n">
        <v>876</v>
      </c>
      <c r="P3379" s="4" t="n">
        <f aca="false">IF(A3379=A3378,P3378+1-M3378,0)</f>
        <v>4</v>
      </c>
    </row>
    <row r="3380" customFormat="false" ht="15" hidden="false" customHeight="false" outlineLevel="0" collapsed="false">
      <c r="A3380" s="32" t="s">
        <v>4373</v>
      </c>
      <c r="B3380" s="32" t="s">
        <v>55</v>
      </c>
      <c r="C3380" s="32" t="s">
        <v>118</v>
      </c>
      <c r="D3380" s="32" t="s">
        <v>4374</v>
      </c>
      <c r="E3380" s="4" t="n">
        <v>6</v>
      </c>
      <c r="F3380" s="4" t="s">
        <v>213</v>
      </c>
      <c r="G3380" s="4" t="s">
        <v>360</v>
      </c>
      <c r="H3380" s="4" t="n">
        <v>1978</v>
      </c>
      <c r="I3380" s="4" t="s">
        <v>361</v>
      </c>
      <c r="J3380" s="25" t="str">
        <f aca="false">IF(M3380=1,"✓","")</f>
        <v>✓</v>
      </c>
      <c r="K3380" s="4" t="str">
        <f aca="false">IF(AND(M3380=0,P3380=0),"▶ NEXT","")</f>
        <v/>
      </c>
      <c r="L3380" s="4" t="n">
        <f aca="false">INDEX('Master List'!$F$2:$F$2594,O3380)</f>
        <v>4</v>
      </c>
      <c r="M3380" s="4" t="n">
        <f aca="false">INDEX('Master List'!$G$2:$G$2594,O3380)</f>
        <v>1</v>
      </c>
      <c r="N3380" s="4" t="str">
        <f aca="false">IF(K3380="","",A3380)</f>
        <v/>
      </c>
      <c r="O3380" s="4" t="n">
        <v>580</v>
      </c>
      <c r="P3380" s="4" t="n">
        <f aca="false">IF(A3380=A3379,P3379+1-M3379,0)</f>
        <v>4</v>
      </c>
    </row>
    <row r="3381" customFormat="false" ht="15" hidden="false" customHeight="false" outlineLevel="0" collapsed="false">
      <c r="A3381" s="32" t="s">
        <v>4373</v>
      </c>
      <c r="B3381" s="32" t="s">
        <v>55</v>
      </c>
      <c r="C3381" s="32" t="s">
        <v>118</v>
      </c>
      <c r="D3381" s="32" t="s">
        <v>4374</v>
      </c>
      <c r="E3381" s="4" t="n">
        <v>7</v>
      </c>
      <c r="F3381" s="4" t="s">
        <v>213</v>
      </c>
      <c r="G3381" s="4" t="s">
        <v>654</v>
      </c>
      <c r="H3381" s="4" t="n">
        <v>2023</v>
      </c>
      <c r="I3381" s="4" t="s">
        <v>164</v>
      </c>
      <c r="J3381" s="25" t="str">
        <f aca="false">IF(M3381=1,"✓","")</f>
        <v/>
      </c>
      <c r="K3381" s="4" t="str">
        <f aca="false">IF(AND(M3381=0,P3381=0),"▶ NEXT","")</f>
        <v/>
      </c>
      <c r="L3381" s="4" t="n">
        <f aca="false">INDEX('Master List'!$F$2:$F$2594,O3381)</f>
        <v>3</v>
      </c>
      <c r="M3381" s="4" t="n">
        <f aca="false">INDEX('Master List'!$G$2:$G$2594,O3381)</f>
        <v>0</v>
      </c>
      <c r="N3381" s="4" t="str">
        <f aca="false">IF(K3381="","",A3381)</f>
        <v/>
      </c>
      <c r="O3381" s="4" t="n">
        <v>1251</v>
      </c>
      <c r="P3381" s="4" t="n">
        <f aca="false">IF(A3381=A3380,P3380+1-M3380,0)</f>
        <v>4</v>
      </c>
    </row>
    <row r="3382" customFormat="false" ht="15" hidden="false" customHeight="false" outlineLevel="0" collapsed="false">
      <c r="A3382" s="32" t="s">
        <v>4373</v>
      </c>
      <c r="B3382" s="32" t="s">
        <v>55</v>
      </c>
      <c r="C3382" s="32" t="s">
        <v>118</v>
      </c>
      <c r="D3382" s="32" t="s">
        <v>4374</v>
      </c>
      <c r="E3382" s="4" t="n">
        <v>8</v>
      </c>
      <c r="F3382" s="4" t="s">
        <v>213</v>
      </c>
      <c r="G3382" s="4" t="s">
        <v>1279</v>
      </c>
      <c r="H3382" s="4" t="n">
        <v>1987</v>
      </c>
      <c r="I3382" s="4" t="s">
        <v>1280</v>
      </c>
      <c r="J3382" s="25" t="str">
        <f aca="false">IF(M3382=1,"✓","")</f>
        <v/>
      </c>
      <c r="K3382" s="4" t="str">
        <f aca="false">IF(AND(M3382=0,P3382=0),"▶ NEXT","")</f>
        <v/>
      </c>
      <c r="L3382" s="4" t="n">
        <f aca="false">INDEX('Master List'!$F$2:$F$2594,O3382)</f>
        <v>2</v>
      </c>
      <c r="M3382" s="4" t="n">
        <f aca="false">INDEX('Master List'!$G$2:$G$2594,O3382)</f>
        <v>0</v>
      </c>
      <c r="N3382" s="4" t="str">
        <f aca="false">IF(K3382="","",A3382)</f>
        <v/>
      </c>
      <c r="O3382" s="4" t="n">
        <v>1463</v>
      </c>
      <c r="P3382" s="4" t="n">
        <f aca="false">IF(A3382=A3381,P3381+1-M3381,0)</f>
        <v>5</v>
      </c>
    </row>
    <row r="3383" customFormat="false" ht="15" hidden="false" customHeight="false" outlineLevel="0" collapsed="false">
      <c r="A3383" s="32" t="s">
        <v>4373</v>
      </c>
      <c r="B3383" s="32" t="s">
        <v>55</v>
      </c>
      <c r="C3383" s="32" t="s">
        <v>118</v>
      </c>
      <c r="D3383" s="32" t="s">
        <v>4374</v>
      </c>
      <c r="E3383" s="4" t="n">
        <v>9</v>
      </c>
      <c r="F3383" s="4" t="s">
        <v>213</v>
      </c>
      <c r="G3383" s="4" t="s">
        <v>204</v>
      </c>
      <c r="H3383" s="4" t="n">
        <v>1940</v>
      </c>
      <c r="I3383" s="4" t="s">
        <v>205</v>
      </c>
      <c r="J3383" s="25" t="str">
        <f aca="false">IF(M3383=1,"✓","")</f>
        <v/>
      </c>
      <c r="K3383" s="4" t="str">
        <f aca="false">IF(AND(M3383=0,P3383=0),"▶ NEXT","")</f>
        <v/>
      </c>
      <c r="L3383" s="4" t="n">
        <f aca="false">INDEX('Master List'!$F$2:$F$2594,O3383)</f>
        <v>7</v>
      </c>
      <c r="M3383" s="4" t="n">
        <f aca="false">INDEX('Master List'!$G$2:$G$2594,O3383)</f>
        <v>0</v>
      </c>
      <c r="N3383" s="4" t="str">
        <f aca="false">IF(K3383="","",A3383)</f>
        <v/>
      </c>
      <c r="O3383" s="4" t="n">
        <v>946</v>
      </c>
      <c r="P3383" s="4" t="n">
        <f aca="false">IF(A3383=A3382,P3382+1-M3382,0)</f>
        <v>6</v>
      </c>
    </row>
    <row r="3384" customFormat="false" ht="15" hidden="false" customHeight="false" outlineLevel="0" collapsed="false">
      <c r="A3384" s="32" t="s">
        <v>4373</v>
      </c>
      <c r="B3384" s="32" t="s">
        <v>55</v>
      </c>
      <c r="C3384" s="32" t="s">
        <v>118</v>
      </c>
      <c r="D3384" s="32" t="s">
        <v>4374</v>
      </c>
      <c r="E3384" s="4" t="n">
        <v>10</v>
      </c>
      <c r="F3384" s="4" t="s">
        <v>213</v>
      </c>
      <c r="G3384" s="4" t="s">
        <v>497</v>
      </c>
      <c r="H3384" s="4" t="n">
        <v>1992</v>
      </c>
      <c r="I3384" s="4" t="s">
        <v>148</v>
      </c>
      <c r="J3384" s="25" t="str">
        <f aca="false">IF(M3384=1,"✓","")</f>
        <v/>
      </c>
      <c r="K3384" s="4" t="str">
        <f aca="false">IF(AND(M3384=0,P3384=0),"▶ NEXT","")</f>
        <v/>
      </c>
      <c r="L3384" s="4" t="n">
        <f aca="false">INDEX('Master List'!$F$2:$F$2594,O3384)</f>
        <v>3</v>
      </c>
      <c r="M3384" s="4" t="n">
        <f aca="false">INDEX('Master List'!$G$2:$G$2594,O3384)</f>
        <v>0</v>
      </c>
      <c r="N3384" s="4" t="str">
        <f aca="false">IF(K3384="","",A3384)</f>
        <v/>
      </c>
      <c r="O3384" s="4" t="n">
        <v>1418</v>
      </c>
      <c r="P3384" s="4" t="n">
        <f aca="false">IF(A3384=A3383,P3383+1-M3383,0)</f>
        <v>7</v>
      </c>
    </row>
    <row r="3385" customFormat="false" ht="15" hidden="false" customHeight="false" outlineLevel="0" collapsed="false">
      <c r="A3385" s="32" t="s">
        <v>4373</v>
      </c>
      <c r="B3385" s="32" t="s">
        <v>55</v>
      </c>
      <c r="C3385" s="32" t="s">
        <v>118</v>
      </c>
      <c r="D3385" s="32" t="s">
        <v>4374</v>
      </c>
      <c r="E3385" s="4" t="n">
        <v>11</v>
      </c>
      <c r="F3385" s="4" t="s">
        <v>213</v>
      </c>
      <c r="G3385" s="4" t="s">
        <v>1218</v>
      </c>
      <c r="H3385" s="4" t="n">
        <v>2014</v>
      </c>
      <c r="I3385" s="4" t="s">
        <v>1219</v>
      </c>
      <c r="J3385" s="25" t="str">
        <f aca="false">IF(M3385=1,"✓","")</f>
        <v/>
      </c>
      <c r="K3385" s="4" t="str">
        <f aca="false">IF(AND(M3385=0,P3385=0),"▶ NEXT","")</f>
        <v/>
      </c>
      <c r="L3385" s="4" t="n">
        <f aca="false">INDEX('Master List'!$F$2:$F$2594,O3385)</f>
        <v>2</v>
      </c>
      <c r="M3385" s="4" t="n">
        <f aca="false">INDEX('Master List'!$G$2:$G$2594,O3385)</f>
        <v>0</v>
      </c>
      <c r="N3385" s="4" t="str">
        <f aca="false">IF(K3385="","",A3385)</f>
        <v/>
      </c>
      <c r="O3385" s="4" t="n">
        <v>2008</v>
      </c>
      <c r="P3385" s="4" t="n">
        <f aca="false">IF(A3385=A3384,P3384+1-M3384,0)</f>
        <v>8</v>
      </c>
    </row>
    <row r="3386" customFormat="false" ht="15" hidden="false" customHeight="false" outlineLevel="0" collapsed="false">
      <c r="A3386" s="32" t="s">
        <v>4373</v>
      </c>
      <c r="B3386" s="32" t="s">
        <v>55</v>
      </c>
      <c r="C3386" s="32" t="s">
        <v>118</v>
      </c>
      <c r="D3386" s="32" t="s">
        <v>4374</v>
      </c>
      <c r="E3386" s="4" t="n">
        <v>12</v>
      </c>
      <c r="F3386" s="4" t="s">
        <v>213</v>
      </c>
      <c r="G3386" s="4" t="s">
        <v>1101</v>
      </c>
      <c r="H3386" s="4" t="n">
        <v>1991</v>
      </c>
      <c r="I3386" s="4" t="s">
        <v>816</v>
      </c>
      <c r="J3386" s="25" t="str">
        <f aca="false">IF(M3386=1,"✓","")</f>
        <v/>
      </c>
      <c r="K3386" s="4" t="str">
        <f aca="false">IF(AND(M3386=0,P3386=0),"▶ NEXT","")</f>
        <v/>
      </c>
      <c r="L3386" s="4" t="n">
        <f aca="false">INDEX('Master List'!$F$2:$F$2594,O3386)</f>
        <v>2</v>
      </c>
      <c r="M3386" s="4" t="n">
        <f aca="false">INDEX('Master List'!$G$2:$G$2594,O3386)</f>
        <v>0</v>
      </c>
      <c r="N3386" s="4" t="str">
        <f aca="false">IF(K3386="","",A3386)</f>
        <v/>
      </c>
      <c r="O3386" s="4" t="n">
        <v>1206</v>
      </c>
      <c r="P3386" s="4" t="n">
        <f aca="false">IF(A3386=A3385,P3385+1-M3385,0)</f>
        <v>9</v>
      </c>
    </row>
    <row r="3387" customFormat="false" ht="15" hidden="false" customHeight="false" outlineLevel="0" collapsed="false">
      <c r="A3387" s="32" t="s">
        <v>4373</v>
      </c>
      <c r="B3387" s="32" t="s">
        <v>55</v>
      </c>
      <c r="C3387" s="32" t="s">
        <v>118</v>
      </c>
      <c r="D3387" s="32" t="s">
        <v>4374</v>
      </c>
      <c r="E3387" s="4" t="n">
        <v>13</v>
      </c>
      <c r="F3387" s="4" t="s">
        <v>213</v>
      </c>
      <c r="G3387" s="4" t="s">
        <v>242</v>
      </c>
      <c r="H3387" s="4" t="n">
        <v>1976</v>
      </c>
      <c r="I3387" s="4" t="s">
        <v>243</v>
      </c>
      <c r="J3387" s="25" t="str">
        <f aca="false">IF(M3387=1,"✓","")</f>
        <v>✓</v>
      </c>
      <c r="K3387" s="4" t="str">
        <f aca="false">IF(AND(M3387=0,P3387=0),"▶ NEXT","")</f>
        <v/>
      </c>
      <c r="L3387" s="4" t="n">
        <f aca="false">INDEX('Master List'!$F$2:$F$2594,O3387)</f>
        <v>5</v>
      </c>
      <c r="M3387" s="4" t="n">
        <f aca="false">INDEX('Master List'!$G$2:$G$2594,O3387)</f>
        <v>1</v>
      </c>
      <c r="N3387" s="4" t="str">
        <f aca="false">IF(K3387="","",A3387)</f>
        <v/>
      </c>
      <c r="O3387" s="4" t="n">
        <v>78</v>
      </c>
      <c r="P3387" s="4" t="n">
        <f aca="false">IF(A3387=A3386,P3386+1-M3386,0)</f>
        <v>10</v>
      </c>
    </row>
    <row r="3388" customFormat="false" ht="15" hidden="false" customHeight="false" outlineLevel="0" collapsed="false">
      <c r="A3388" s="32" t="s">
        <v>4373</v>
      </c>
      <c r="B3388" s="32" t="s">
        <v>55</v>
      </c>
      <c r="C3388" s="32" t="s">
        <v>118</v>
      </c>
      <c r="D3388" s="32" t="s">
        <v>4374</v>
      </c>
      <c r="E3388" s="4" t="n">
        <v>14</v>
      </c>
      <c r="F3388" s="4" t="s">
        <v>213</v>
      </c>
      <c r="G3388" s="4" t="s">
        <v>3132</v>
      </c>
      <c r="H3388" s="4" t="n">
        <v>2017</v>
      </c>
      <c r="I3388" s="4" t="s">
        <v>865</v>
      </c>
      <c r="J3388" s="25" t="str">
        <f aca="false">IF(M3388=1,"✓","")</f>
        <v/>
      </c>
      <c r="K3388" s="4" t="str">
        <f aca="false">IF(AND(M3388=0,P3388=0),"▶ NEXT","")</f>
        <v/>
      </c>
      <c r="L3388" s="4" t="n">
        <f aca="false">INDEX('Master List'!$F$2:$F$2594,O3388)</f>
        <v>1</v>
      </c>
      <c r="M3388" s="4" t="n">
        <f aca="false">INDEX('Master List'!$G$2:$G$2594,O3388)</f>
        <v>0</v>
      </c>
      <c r="N3388" s="4" t="str">
        <f aca="false">IF(K3388="","",A3388)</f>
        <v/>
      </c>
      <c r="O3388" s="4" t="n">
        <v>617</v>
      </c>
      <c r="P3388" s="4" t="n">
        <f aca="false">IF(A3388=A3387,P3387+1-M3387,0)</f>
        <v>10</v>
      </c>
    </row>
    <row r="3389" customFormat="false" ht="15" hidden="false" customHeight="false" outlineLevel="0" collapsed="false">
      <c r="A3389" s="32" t="s">
        <v>4373</v>
      </c>
      <c r="B3389" s="32" t="s">
        <v>55</v>
      </c>
      <c r="C3389" s="32" t="s">
        <v>118</v>
      </c>
      <c r="D3389" s="32" t="s">
        <v>4374</v>
      </c>
      <c r="E3389" s="4" t="n">
        <v>15</v>
      </c>
      <c r="F3389" s="4" t="s">
        <v>1327</v>
      </c>
      <c r="G3389" s="4" t="s">
        <v>3600</v>
      </c>
      <c r="H3389" s="4" t="n">
        <v>1981</v>
      </c>
      <c r="I3389" s="4" t="s">
        <v>3601</v>
      </c>
      <c r="J3389" s="25" t="str">
        <f aca="false">IF(M3389=1,"✓","")</f>
        <v/>
      </c>
      <c r="K3389" s="4" t="str">
        <f aca="false">IF(AND(M3389=0,P3389=0),"▶ NEXT","")</f>
        <v/>
      </c>
      <c r="L3389" s="4" t="n">
        <f aca="false">INDEX('Master List'!$F$2:$F$2594,O3389)</f>
        <v>1</v>
      </c>
      <c r="M3389" s="4" t="n">
        <f aca="false">INDEX('Master List'!$G$2:$G$2594,O3389)</f>
        <v>0</v>
      </c>
      <c r="N3389" s="4" t="str">
        <f aca="false">IF(K3389="","",A3389)</f>
        <v/>
      </c>
      <c r="O3389" s="4" t="n">
        <v>1880</v>
      </c>
      <c r="P3389" s="4" t="n">
        <f aca="false">IF(A3389=A3388,P3388+1-M3388,0)</f>
        <v>11</v>
      </c>
    </row>
    <row r="3390" customFormat="false" ht="15" hidden="false" customHeight="false" outlineLevel="0" collapsed="false">
      <c r="A3390" s="32" t="s">
        <v>4373</v>
      </c>
      <c r="B3390" s="32" t="s">
        <v>55</v>
      </c>
      <c r="C3390" s="32" t="s">
        <v>118</v>
      </c>
      <c r="D3390" s="32" t="s">
        <v>4374</v>
      </c>
      <c r="E3390" s="4" t="n">
        <v>16</v>
      </c>
      <c r="F3390" s="4" t="s">
        <v>1327</v>
      </c>
      <c r="G3390" s="4" t="s">
        <v>3650</v>
      </c>
      <c r="H3390" s="4" t="n">
        <v>1988</v>
      </c>
      <c r="I3390" s="4" t="s">
        <v>1280</v>
      </c>
      <c r="J3390" s="25" t="str">
        <f aca="false">IF(M3390=1,"✓","")</f>
        <v/>
      </c>
      <c r="K3390" s="4" t="str">
        <f aca="false">IF(AND(M3390=0,P3390=0),"▶ NEXT","")</f>
        <v/>
      </c>
      <c r="L3390" s="4" t="n">
        <f aca="false">INDEX('Master List'!$F$2:$F$2594,O3390)</f>
        <v>1</v>
      </c>
      <c r="M3390" s="4" t="n">
        <f aca="false">INDEX('Master List'!$G$2:$G$2594,O3390)</f>
        <v>0</v>
      </c>
      <c r="N3390" s="4" t="str">
        <f aca="false">IF(K3390="","",A3390)</f>
        <v/>
      </c>
      <c r="O3390" s="4" t="n">
        <v>713</v>
      </c>
      <c r="P3390" s="4" t="n">
        <f aca="false">IF(A3390=A3389,P3389+1-M3389,0)</f>
        <v>12</v>
      </c>
    </row>
    <row r="3391" customFormat="false" ht="15" hidden="false" customHeight="false" outlineLevel="0" collapsed="false">
      <c r="A3391" s="33" t="s">
        <v>4375</v>
      </c>
      <c r="B3391" s="33" t="s">
        <v>56</v>
      </c>
      <c r="C3391" s="33" t="s">
        <v>119</v>
      </c>
      <c r="D3391" s="33" t="s">
        <v>4376</v>
      </c>
      <c r="E3391" s="4" t="n">
        <v>1</v>
      </c>
      <c r="F3391" s="4" t="s">
        <v>144</v>
      </c>
      <c r="G3391" s="7" t="s">
        <v>352</v>
      </c>
      <c r="H3391" s="4" t="n">
        <v>1952</v>
      </c>
      <c r="I3391" s="4" t="s">
        <v>353</v>
      </c>
      <c r="J3391" s="25" t="str">
        <f aca="false">IF(M3391=1,"✓","")</f>
        <v/>
      </c>
      <c r="K3391" s="4" t="str">
        <f aca="false">IF(AND(M3391=0,P3391=0),"▶ NEXT","")</f>
        <v>▶ NEXT</v>
      </c>
      <c r="L3391" s="4" t="n">
        <f aca="false">INDEX('Master List'!$F$2:$F$2594,O3391)</f>
        <v>4</v>
      </c>
      <c r="M3391" s="4" t="n">
        <f aca="false">INDEX('Master List'!$G$2:$G$2594,O3391)</f>
        <v>0</v>
      </c>
      <c r="N3391" s="4" t="str">
        <f aca="false">IF(K3391="","",A3391)</f>
        <v>N276</v>
      </c>
      <c r="O3391" s="4" t="n">
        <v>1035</v>
      </c>
      <c r="P3391" s="4" t="n">
        <f aca="false">IF(A3391=A3390,P3390+1-M3390,0)</f>
        <v>0</v>
      </c>
    </row>
    <row r="3392" customFormat="false" ht="15" hidden="false" customHeight="false" outlineLevel="0" collapsed="false">
      <c r="A3392" s="33" t="s">
        <v>4375</v>
      </c>
      <c r="B3392" s="33" t="s">
        <v>56</v>
      </c>
      <c r="C3392" s="33" t="s">
        <v>119</v>
      </c>
      <c r="D3392" s="33" t="s">
        <v>4376</v>
      </c>
      <c r="E3392" s="4" t="n">
        <v>2</v>
      </c>
      <c r="F3392" s="4" t="s">
        <v>144</v>
      </c>
      <c r="G3392" s="7" t="s">
        <v>157</v>
      </c>
      <c r="H3392" s="4" t="n">
        <v>1962</v>
      </c>
      <c r="I3392" s="4" t="s">
        <v>158</v>
      </c>
      <c r="J3392" s="25" t="str">
        <f aca="false">IF(M3392=1,"✓","")</f>
        <v/>
      </c>
      <c r="K3392" s="4" t="str">
        <f aca="false">IF(AND(M3392=0,P3392=0),"▶ NEXT","")</f>
        <v/>
      </c>
      <c r="L3392" s="4" t="n">
        <f aca="false">INDEX('Master List'!$F$2:$F$2594,O3392)</f>
        <v>7</v>
      </c>
      <c r="M3392" s="4" t="n">
        <f aca="false">INDEX('Master List'!$G$2:$G$2594,O3392)</f>
        <v>0</v>
      </c>
      <c r="N3392" s="4" t="str">
        <f aca="false">IF(K3392="","",A3392)</f>
        <v/>
      </c>
      <c r="O3392" s="4" t="n">
        <v>475</v>
      </c>
      <c r="P3392" s="4" t="n">
        <f aca="false">IF(A3392=A3391,P3391+1-M3391,0)</f>
        <v>1</v>
      </c>
    </row>
    <row r="3393" customFormat="false" ht="15" hidden="false" customHeight="false" outlineLevel="0" collapsed="false">
      <c r="A3393" s="33" t="s">
        <v>4375</v>
      </c>
      <c r="B3393" s="33" t="s">
        <v>56</v>
      </c>
      <c r="C3393" s="33" t="s">
        <v>119</v>
      </c>
      <c r="D3393" s="33" t="s">
        <v>4376</v>
      </c>
      <c r="E3393" s="4" t="n">
        <v>3</v>
      </c>
      <c r="F3393" s="4" t="s">
        <v>213</v>
      </c>
      <c r="G3393" s="4" t="s">
        <v>251</v>
      </c>
      <c r="H3393" s="4" t="n">
        <v>1948</v>
      </c>
      <c r="I3393" s="4" t="s">
        <v>162</v>
      </c>
      <c r="J3393" s="25" t="str">
        <f aca="false">IF(M3393=1,"✓","")</f>
        <v/>
      </c>
      <c r="K3393" s="4" t="str">
        <f aca="false">IF(AND(M3393=0,P3393=0),"▶ NEXT","")</f>
        <v/>
      </c>
      <c r="L3393" s="4" t="n">
        <f aca="false">INDEX('Master List'!$F$2:$F$2594,O3393)</f>
        <v>5</v>
      </c>
      <c r="M3393" s="4" t="n">
        <f aca="false">INDEX('Master List'!$G$2:$G$2594,O3393)</f>
        <v>0</v>
      </c>
      <c r="N3393" s="4" t="str">
        <f aca="false">IF(K3393="","",A3393)</f>
        <v/>
      </c>
      <c r="O3393" s="4" t="n">
        <v>1933</v>
      </c>
      <c r="P3393" s="4" t="n">
        <f aca="false">IF(A3393=A3392,P3392+1-M3392,0)</f>
        <v>2</v>
      </c>
    </row>
    <row r="3394" customFormat="false" ht="15" hidden="false" customHeight="false" outlineLevel="0" collapsed="false">
      <c r="A3394" s="33" t="s">
        <v>4375</v>
      </c>
      <c r="B3394" s="33" t="s">
        <v>56</v>
      </c>
      <c r="C3394" s="33" t="s">
        <v>119</v>
      </c>
      <c r="D3394" s="33" t="s">
        <v>4376</v>
      </c>
      <c r="E3394" s="4" t="n">
        <v>4</v>
      </c>
      <c r="F3394" s="4" t="s">
        <v>213</v>
      </c>
      <c r="G3394" s="4" t="s">
        <v>1874</v>
      </c>
      <c r="H3394" s="4" t="n">
        <v>1949</v>
      </c>
      <c r="I3394" s="4" t="s">
        <v>789</v>
      </c>
      <c r="J3394" s="25" t="str">
        <f aca="false">IF(M3394=1,"✓","")</f>
        <v/>
      </c>
      <c r="K3394" s="4" t="str">
        <f aca="false">IF(AND(M3394=0,P3394=0),"▶ NEXT","")</f>
        <v/>
      </c>
      <c r="L3394" s="4" t="n">
        <f aca="false">INDEX('Master List'!$F$2:$F$2594,O3394)</f>
        <v>1</v>
      </c>
      <c r="M3394" s="4" t="n">
        <f aca="false">INDEX('Master List'!$G$2:$G$2594,O3394)</f>
        <v>0</v>
      </c>
      <c r="N3394" s="4" t="str">
        <f aca="false">IF(K3394="","",A3394)</f>
        <v/>
      </c>
      <c r="O3394" s="4" t="n">
        <v>2016</v>
      </c>
      <c r="P3394" s="4" t="n">
        <f aca="false">IF(A3394=A3393,P3393+1-M3393,0)</f>
        <v>3</v>
      </c>
    </row>
    <row r="3395" customFormat="false" ht="15" hidden="false" customHeight="false" outlineLevel="0" collapsed="false">
      <c r="A3395" s="33" t="s">
        <v>4375</v>
      </c>
      <c r="B3395" s="33" t="s">
        <v>56</v>
      </c>
      <c r="C3395" s="33" t="s">
        <v>119</v>
      </c>
      <c r="D3395" s="33" t="s">
        <v>4376</v>
      </c>
      <c r="E3395" s="4" t="n">
        <v>5</v>
      </c>
      <c r="F3395" s="4" t="s">
        <v>213</v>
      </c>
      <c r="G3395" s="4" t="s">
        <v>236</v>
      </c>
      <c r="H3395" s="4" t="n">
        <v>1957</v>
      </c>
      <c r="I3395" s="4" t="s">
        <v>189</v>
      </c>
      <c r="J3395" s="25" t="str">
        <f aca="false">IF(M3395=1,"✓","")</f>
        <v>✓</v>
      </c>
      <c r="K3395" s="4" t="str">
        <f aca="false">IF(AND(M3395=0,P3395=0),"▶ NEXT","")</f>
        <v/>
      </c>
      <c r="L3395" s="4" t="n">
        <f aca="false">INDEX('Master List'!$F$2:$F$2594,O3395)</f>
        <v>5</v>
      </c>
      <c r="M3395" s="4" t="n">
        <f aca="false">INDEX('Master List'!$G$2:$G$2594,O3395)</f>
        <v>1</v>
      </c>
      <c r="N3395" s="4" t="str">
        <f aca="false">IF(K3395="","",A3395)</f>
        <v/>
      </c>
      <c r="O3395" s="4" t="n">
        <v>3</v>
      </c>
      <c r="P3395" s="4" t="n">
        <f aca="false">IF(A3395=A3394,P3394+1-M3394,0)</f>
        <v>4</v>
      </c>
    </row>
    <row r="3396" customFormat="false" ht="15" hidden="false" customHeight="false" outlineLevel="0" collapsed="false">
      <c r="A3396" s="33" t="s">
        <v>4375</v>
      </c>
      <c r="B3396" s="33" t="s">
        <v>56</v>
      </c>
      <c r="C3396" s="33" t="s">
        <v>119</v>
      </c>
      <c r="D3396" s="33" t="s">
        <v>4376</v>
      </c>
      <c r="E3396" s="4" t="n">
        <v>6</v>
      </c>
      <c r="F3396" s="4" t="s">
        <v>213</v>
      </c>
      <c r="G3396" s="4" t="s">
        <v>2622</v>
      </c>
      <c r="H3396" s="4" t="n">
        <v>1995</v>
      </c>
      <c r="I3396" s="4" t="s">
        <v>2394</v>
      </c>
      <c r="J3396" s="25" t="str">
        <f aca="false">IF(M3396=1,"✓","")</f>
        <v/>
      </c>
      <c r="K3396" s="4" t="str">
        <f aca="false">IF(AND(M3396=0,P3396=0),"▶ NEXT","")</f>
        <v/>
      </c>
      <c r="L3396" s="4" t="n">
        <f aca="false">INDEX('Master List'!$F$2:$F$2594,O3396)</f>
        <v>1</v>
      </c>
      <c r="M3396" s="4" t="n">
        <f aca="false">INDEX('Master List'!$G$2:$G$2594,O3396)</f>
        <v>0</v>
      </c>
      <c r="N3396" s="4" t="str">
        <f aca="false">IF(K3396="","",A3396)</f>
        <v/>
      </c>
      <c r="O3396" s="4" t="n">
        <v>1599</v>
      </c>
      <c r="P3396" s="4" t="n">
        <f aca="false">IF(A3396=A3395,P3395+1-M3395,0)</f>
        <v>4</v>
      </c>
    </row>
    <row r="3397" customFormat="false" ht="15" hidden="false" customHeight="false" outlineLevel="0" collapsed="false">
      <c r="A3397" s="33" t="s">
        <v>4375</v>
      </c>
      <c r="B3397" s="33" t="s">
        <v>56</v>
      </c>
      <c r="C3397" s="33" t="s">
        <v>119</v>
      </c>
      <c r="D3397" s="33" t="s">
        <v>4376</v>
      </c>
      <c r="E3397" s="4" t="n">
        <v>7</v>
      </c>
      <c r="F3397" s="4" t="s">
        <v>213</v>
      </c>
      <c r="G3397" s="4" t="s">
        <v>2730</v>
      </c>
      <c r="H3397" s="4" t="n">
        <v>2000</v>
      </c>
      <c r="I3397" s="4" t="s">
        <v>2596</v>
      </c>
      <c r="J3397" s="25" t="str">
        <f aca="false">IF(M3397=1,"✓","")</f>
        <v/>
      </c>
      <c r="K3397" s="4" t="str">
        <f aca="false">IF(AND(M3397=0,P3397=0),"▶ NEXT","")</f>
        <v/>
      </c>
      <c r="L3397" s="4" t="n">
        <f aca="false">INDEX('Master List'!$F$2:$F$2594,O3397)</f>
        <v>1</v>
      </c>
      <c r="M3397" s="4" t="n">
        <f aca="false">INDEX('Master List'!$G$2:$G$2594,O3397)</f>
        <v>0</v>
      </c>
      <c r="N3397" s="4" t="str">
        <f aca="false">IF(K3397="","",A3397)</f>
        <v/>
      </c>
      <c r="O3397" s="4" t="n">
        <v>2306</v>
      </c>
      <c r="P3397" s="4" t="n">
        <f aca="false">IF(A3397=A3396,P3396+1-M3396,0)</f>
        <v>5</v>
      </c>
    </row>
    <row r="3398" customFormat="false" ht="15" hidden="false" customHeight="false" outlineLevel="0" collapsed="false">
      <c r="A3398" s="33" t="s">
        <v>4375</v>
      </c>
      <c r="B3398" s="33" t="s">
        <v>56</v>
      </c>
      <c r="C3398" s="33" t="s">
        <v>119</v>
      </c>
      <c r="D3398" s="33" t="s">
        <v>4376</v>
      </c>
      <c r="E3398" s="4" t="n">
        <v>8</v>
      </c>
      <c r="F3398" s="4" t="s">
        <v>213</v>
      </c>
      <c r="G3398" s="4" t="s">
        <v>1223</v>
      </c>
      <c r="H3398" s="4" t="n">
        <v>2015</v>
      </c>
      <c r="I3398" s="4" t="s">
        <v>1224</v>
      </c>
      <c r="J3398" s="25" t="str">
        <f aca="false">IF(M3398=1,"✓","")</f>
        <v/>
      </c>
      <c r="K3398" s="4" t="str">
        <f aca="false">IF(AND(M3398=0,P3398=0),"▶ NEXT","")</f>
        <v/>
      </c>
      <c r="L3398" s="4" t="n">
        <f aca="false">INDEX('Master List'!$F$2:$F$2594,O3398)</f>
        <v>2</v>
      </c>
      <c r="M3398" s="4" t="n">
        <f aca="false">INDEX('Master List'!$G$2:$G$2594,O3398)</f>
        <v>0</v>
      </c>
      <c r="N3398" s="4" t="str">
        <f aca="false">IF(K3398="","",A3398)</f>
        <v/>
      </c>
      <c r="O3398" s="4" t="n">
        <v>2432</v>
      </c>
      <c r="P3398" s="4" t="n">
        <f aca="false">IF(A3398=A3397,P3397+1-M3397,0)</f>
        <v>6</v>
      </c>
    </row>
    <row r="3399" customFormat="false" ht="15" hidden="false" customHeight="false" outlineLevel="0" collapsed="false">
      <c r="A3399" s="33" t="s">
        <v>4375</v>
      </c>
      <c r="B3399" s="33" t="s">
        <v>56</v>
      </c>
      <c r="C3399" s="33" t="s">
        <v>119</v>
      </c>
      <c r="D3399" s="33" t="s">
        <v>4376</v>
      </c>
      <c r="E3399" s="4" t="n">
        <v>9</v>
      </c>
      <c r="F3399" s="4" t="s">
        <v>213</v>
      </c>
      <c r="G3399" s="4" t="s">
        <v>3158</v>
      </c>
      <c r="H3399" s="4" t="n">
        <v>2018</v>
      </c>
      <c r="I3399" s="4" t="s">
        <v>3159</v>
      </c>
      <c r="J3399" s="25" t="str">
        <f aca="false">IF(M3399=1,"✓","")</f>
        <v/>
      </c>
      <c r="K3399" s="4" t="str">
        <f aca="false">IF(AND(M3399=0,P3399=0),"▶ NEXT","")</f>
        <v/>
      </c>
      <c r="L3399" s="4" t="n">
        <f aca="false">INDEX('Master List'!$F$2:$F$2594,O3399)</f>
        <v>1</v>
      </c>
      <c r="M3399" s="4" t="n">
        <f aca="false">INDEX('Master List'!$G$2:$G$2594,O3399)</f>
        <v>0</v>
      </c>
      <c r="N3399" s="4" t="str">
        <f aca="false">IF(K3399="","",A3399)</f>
        <v/>
      </c>
      <c r="O3399" s="4" t="n">
        <v>972</v>
      </c>
      <c r="P3399" s="4" t="n">
        <f aca="false">IF(A3399=A3398,P3398+1-M3398,0)</f>
        <v>7</v>
      </c>
    </row>
    <row r="3400" customFormat="false" ht="15" hidden="false" customHeight="false" outlineLevel="0" collapsed="false">
      <c r="A3400" s="33" t="s">
        <v>4375</v>
      </c>
      <c r="B3400" s="33" t="s">
        <v>56</v>
      </c>
      <c r="C3400" s="33" t="s">
        <v>119</v>
      </c>
      <c r="D3400" s="33" t="s">
        <v>4376</v>
      </c>
      <c r="E3400" s="4" t="n">
        <v>10</v>
      </c>
      <c r="F3400" s="4" t="s">
        <v>1327</v>
      </c>
      <c r="G3400" s="4" t="s">
        <v>1396</v>
      </c>
      <c r="H3400" s="4" t="n">
        <v>2002</v>
      </c>
      <c r="I3400" s="4" t="s">
        <v>1397</v>
      </c>
      <c r="J3400" s="25" t="str">
        <f aca="false">IF(M3400=1,"✓","")</f>
        <v/>
      </c>
      <c r="K3400" s="4" t="str">
        <f aca="false">IF(AND(M3400=0,P3400=0),"▶ NEXT","")</f>
        <v/>
      </c>
      <c r="L3400" s="4" t="n">
        <f aca="false">INDEX('Master List'!$F$2:$F$2594,O3400)</f>
        <v>2</v>
      </c>
      <c r="M3400" s="4" t="n">
        <f aca="false">INDEX('Master List'!$G$2:$G$2594,O3400)</f>
        <v>0</v>
      </c>
      <c r="N3400" s="4" t="str">
        <f aca="false">IF(K3400="","",A3400)</f>
        <v/>
      </c>
      <c r="O3400" s="4" t="n">
        <v>1949</v>
      </c>
      <c r="P3400" s="4" t="n">
        <f aca="false">IF(A3400=A3399,P3399+1-M3399,0)</f>
        <v>8</v>
      </c>
    </row>
    <row r="3401" customFormat="false" ht="15" hidden="false" customHeight="false" outlineLevel="0" collapsed="false">
      <c r="A3401" s="33" t="s">
        <v>4377</v>
      </c>
      <c r="B3401" s="33" t="s">
        <v>56</v>
      </c>
      <c r="C3401" s="33" t="s">
        <v>119</v>
      </c>
      <c r="D3401" s="33" t="s">
        <v>4378</v>
      </c>
      <c r="E3401" s="4" t="n">
        <v>1</v>
      </c>
      <c r="F3401" s="4" t="s">
        <v>144</v>
      </c>
      <c r="G3401" s="7" t="s">
        <v>236</v>
      </c>
      <c r="H3401" s="4" t="n">
        <v>1957</v>
      </c>
      <c r="I3401" s="4" t="s">
        <v>189</v>
      </c>
      <c r="J3401" s="25" t="str">
        <f aca="false">IF(M3401=1,"✓","")</f>
        <v>✓</v>
      </c>
      <c r="K3401" s="4" t="str">
        <f aca="false">IF(AND(M3401=0,P3401=0),"▶ NEXT","")</f>
        <v/>
      </c>
      <c r="L3401" s="4" t="n">
        <f aca="false">INDEX('Master List'!$F$2:$F$2594,O3401)</f>
        <v>5</v>
      </c>
      <c r="M3401" s="4" t="n">
        <f aca="false">INDEX('Master List'!$G$2:$G$2594,O3401)</f>
        <v>1</v>
      </c>
      <c r="N3401" s="4" t="str">
        <f aca="false">IF(K3401="","",A3401)</f>
        <v/>
      </c>
      <c r="O3401" s="4" t="n">
        <v>3</v>
      </c>
      <c r="P3401" s="4" t="n">
        <f aca="false">IF(A3401=A3400,P3400+1-M3400,0)</f>
        <v>0</v>
      </c>
    </row>
    <row r="3402" customFormat="false" ht="15" hidden="false" customHeight="false" outlineLevel="0" collapsed="false">
      <c r="A3402" s="33" t="s">
        <v>4377</v>
      </c>
      <c r="B3402" s="33" t="s">
        <v>56</v>
      </c>
      <c r="C3402" s="33" t="s">
        <v>119</v>
      </c>
      <c r="D3402" s="33" t="s">
        <v>4378</v>
      </c>
      <c r="E3402" s="4" t="n">
        <v>2</v>
      </c>
      <c r="F3402" s="4" t="s">
        <v>144</v>
      </c>
      <c r="G3402" s="7" t="s">
        <v>258</v>
      </c>
      <c r="H3402" s="4" t="n">
        <v>1992</v>
      </c>
      <c r="I3402" s="4" t="s">
        <v>208</v>
      </c>
      <c r="J3402" s="25" t="str">
        <f aca="false">IF(M3402=1,"✓","")</f>
        <v>✓</v>
      </c>
      <c r="K3402" s="4" t="str">
        <f aca="false">IF(AND(M3402=0,P3402=0),"▶ NEXT","")</f>
        <v/>
      </c>
      <c r="L3402" s="4" t="n">
        <f aca="false">INDEX('Master List'!$F$2:$F$2594,O3402)</f>
        <v>5</v>
      </c>
      <c r="M3402" s="4" t="n">
        <f aca="false">INDEX('Master List'!$G$2:$G$2594,O3402)</f>
        <v>1</v>
      </c>
      <c r="N3402" s="4" t="str">
        <f aca="false">IF(K3402="","",A3402)</f>
        <v/>
      </c>
      <c r="O3402" s="4" t="n">
        <v>1892</v>
      </c>
      <c r="P3402" s="4" t="n">
        <f aca="false">IF(A3402=A3401,P3401+1-M3401,0)</f>
        <v>0</v>
      </c>
    </row>
    <row r="3403" customFormat="false" ht="15" hidden="false" customHeight="false" outlineLevel="0" collapsed="false">
      <c r="A3403" s="33" t="s">
        <v>4377</v>
      </c>
      <c r="B3403" s="33" t="s">
        <v>56</v>
      </c>
      <c r="C3403" s="33" t="s">
        <v>119</v>
      </c>
      <c r="D3403" s="33" t="s">
        <v>4378</v>
      </c>
      <c r="E3403" s="4" t="n">
        <v>3</v>
      </c>
      <c r="F3403" s="4" t="s">
        <v>213</v>
      </c>
      <c r="G3403" s="4" t="s">
        <v>1313</v>
      </c>
      <c r="H3403" s="4" t="n">
        <v>1944</v>
      </c>
      <c r="I3403" s="4" t="s">
        <v>162</v>
      </c>
      <c r="J3403" s="25" t="str">
        <f aca="false">IF(M3403=1,"✓","")</f>
        <v/>
      </c>
      <c r="K3403" s="4" t="str">
        <f aca="false">IF(AND(M3403=0,P3403=0),"▶ NEXT","")</f>
        <v>▶ NEXT</v>
      </c>
      <c r="L3403" s="4" t="n">
        <f aca="false">INDEX('Master List'!$F$2:$F$2594,O3403)</f>
        <v>2</v>
      </c>
      <c r="M3403" s="4" t="n">
        <f aca="false">INDEX('Master List'!$G$2:$G$2594,O3403)</f>
        <v>0</v>
      </c>
      <c r="N3403" s="4" t="str">
        <f aca="false">IF(K3403="","",A3403)</f>
        <v>N277</v>
      </c>
      <c r="O3403" s="4" t="n">
        <v>1335</v>
      </c>
      <c r="P3403" s="4" t="n">
        <f aca="false">IF(A3403=A3402,P3402+1-M3402,0)</f>
        <v>0</v>
      </c>
    </row>
    <row r="3404" customFormat="false" ht="15" hidden="false" customHeight="false" outlineLevel="0" collapsed="false">
      <c r="A3404" s="33" t="s">
        <v>4377</v>
      </c>
      <c r="B3404" s="33" t="s">
        <v>56</v>
      </c>
      <c r="C3404" s="33" t="s">
        <v>119</v>
      </c>
      <c r="D3404" s="33" t="s">
        <v>4378</v>
      </c>
      <c r="E3404" s="4" t="n">
        <v>4</v>
      </c>
      <c r="F3404" s="4" t="s">
        <v>213</v>
      </c>
      <c r="G3404" s="4" t="s">
        <v>251</v>
      </c>
      <c r="H3404" s="4" t="n">
        <v>1948</v>
      </c>
      <c r="I3404" s="4" t="s">
        <v>162</v>
      </c>
      <c r="J3404" s="25" t="str">
        <f aca="false">IF(M3404=1,"✓","")</f>
        <v/>
      </c>
      <c r="K3404" s="4" t="str">
        <f aca="false">IF(AND(M3404=0,P3404=0),"▶ NEXT","")</f>
        <v/>
      </c>
      <c r="L3404" s="4" t="n">
        <f aca="false">INDEX('Master List'!$F$2:$F$2594,O3404)</f>
        <v>5</v>
      </c>
      <c r="M3404" s="4" t="n">
        <f aca="false">INDEX('Master List'!$G$2:$G$2594,O3404)</f>
        <v>0</v>
      </c>
      <c r="N3404" s="4" t="str">
        <f aca="false">IF(K3404="","",A3404)</f>
        <v/>
      </c>
      <c r="O3404" s="4" t="n">
        <v>1933</v>
      </c>
      <c r="P3404" s="4" t="n">
        <f aca="false">IF(A3404=A3403,P3403+1-M3403,0)</f>
        <v>1</v>
      </c>
    </row>
    <row r="3405" customFormat="false" ht="15" hidden="false" customHeight="false" outlineLevel="0" collapsed="false">
      <c r="A3405" s="33" t="s">
        <v>4377</v>
      </c>
      <c r="B3405" s="33" t="s">
        <v>56</v>
      </c>
      <c r="C3405" s="33" t="s">
        <v>119</v>
      </c>
      <c r="D3405" s="33" t="s">
        <v>4378</v>
      </c>
      <c r="E3405" s="4" t="n">
        <v>5</v>
      </c>
      <c r="F3405" s="4" t="s">
        <v>213</v>
      </c>
      <c r="G3405" s="4" t="s">
        <v>584</v>
      </c>
      <c r="H3405" s="4" t="n">
        <v>1962</v>
      </c>
      <c r="I3405" s="4" t="s">
        <v>402</v>
      </c>
      <c r="J3405" s="25" t="str">
        <f aca="false">IF(M3405=1,"✓","")</f>
        <v/>
      </c>
      <c r="K3405" s="4" t="str">
        <f aca="false">IF(AND(M3405=0,P3405=0),"▶ NEXT","")</f>
        <v/>
      </c>
      <c r="L3405" s="4" t="n">
        <f aca="false">INDEX('Master List'!$F$2:$F$2594,O3405)</f>
        <v>3</v>
      </c>
      <c r="M3405" s="4" t="n">
        <f aca="false">INDEX('Master List'!$G$2:$G$2594,O3405)</f>
        <v>0</v>
      </c>
      <c r="N3405" s="4" t="str">
        <f aca="false">IF(K3405="","",A3405)</f>
        <v/>
      </c>
      <c r="O3405" s="4" t="n">
        <v>765</v>
      </c>
      <c r="P3405" s="4" t="n">
        <f aca="false">IF(A3405=A3404,P3404+1-M3404,0)</f>
        <v>2</v>
      </c>
    </row>
    <row r="3406" customFormat="false" ht="15" hidden="false" customHeight="false" outlineLevel="0" collapsed="false">
      <c r="A3406" s="33" t="s">
        <v>4377</v>
      </c>
      <c r="B3406" s="33" t="s">
        <v>56</v>
      </c>
      <c r="C3406" s="33" t="s">
        <v>119</v>
      </c>
      <c r="D3406" s="33" t="s">
        <v>4378</v>
      </c>
      <c r="E3406" s="4" t="n">
        <v>6</v>
      </c>
      <c r="F3406" s="4" t="s">
        <v>213</v>
      </c>
      <c r="G3406" s="4" t="s">
        <v>356</v>
      </c>
      <c r="H3406" s="4" t="n">
        <v>1966</v>
      </c>
      <c r="I3406" s="4" t="s">
        <v>357</v>
      </c>
      <c r="J3406" s="25" t="str">
        <f aca="false">IF(M3406=1,"✓","")</f>
        <v/>
      </c>
      <c r="K3406" s="4" t="str">
        <f aca="false">IF(AND(M3406=0,P3406=0),"▶ NEXT","")</f>
        <v/>
      </c>
      <c r="L3406" s="4" t="n">
        <f aca="false">INDEX('Master List'!$F$2:$F$2594,O3406)</f>
        <v>4</v>
      </c>
      <c r="M3406" s="4" t="n">
        <f aca="false">INDEX('Master List'!$G$2:$G$2594,O3406)</f>
        <v>0</v>
      </c>
      <c r="N3406" s="4" t="str">
        <f aca="false">IF(K3406="","",A3406)</f>
        <v/>
      </c>
      <c r="O3406" s="4" t="n">
        <v>2509</v>
      </c>
      <c r="P3406" s="4" t="n">
        <f aca="false">IF(A3406=A3405,P3405+1-M3405,0)</f>
        <v>3</v>
      </c>
    </row>
    <row r="3407" customFormat="false" ht="15" hidden="false" customHeight="false" outlineLevel="0" collapsed="false">
      <c r="A3407" s="33" t="s">
        <v>4377</v>
      </c>
      <c r="B3407" s="33" t="s">
        <v>56</v>
      </c>
      <c r="C3407" s="33" t="s">
        <v>119</v>
      </c>
      <c r="D3407" s="33" t="s">
        <v>4378</v>
      </c>
      <c r="E3407" s="4" t="n">
        <v>7</v>
      </c>
      <c r="F3407" s="4" t="s">
        <v>213</v>
      </c>
      <c r="G3407" s="4" t="s">
        <v>2214</v>
      </c>
      <c r="H3407" s="4" t="n">
        <v>1972</v>
      </c>
      <c r="I3407" s="4" t="s">
        <v>933</v>
      </c>
      <c r="J3407" s="25" t="str">
        <f aca="false">IF(M3407=1,"✓","")</f>
        <v/>
      </c>
      <c r="K3407" s="4" t="str">
        <f aca="false">IF(AND(M3407=0,P3407=0),"▶ NEXT","")</f>
        <v/>
      </c>
      <c r="L3407" s="4" t="n">
        <f aca="false">INDEX('Master List'!$F$2:$F$2594,O3407)</f>
        <v>1</v>
      </c>
      <c r="M3407" s="4" t="n">
        <f aca="false">INDEX('Master List'!$G$2:$G$2594,O3407)</f>
        <v>0</v>
      </c>
      <c r="N3407" s="4" t="str">
        <f aca="false">IF(K3407="","",A3407)</f>
        <v/>
      </c>
      <c r="O3407" s="4" t="n">
        <v>2093</v>
      </c>
      <c r="P3407" s="4" t="n">
        <f aca="false">IF(A3407=A3406,P3406+1-M3406,0)</f>
        <v>4</v>
      </c>
    </row>
    <row r="3408" customFormat="false" ht="15" hidden="false" customHeight="false" outlineLevel="0" collapsed="false">
      <c r="A3408" s="33" t="s">
        <v>4377</v>
      </c>
      <c r="B3408" s="33" t="s">
        <v>56</v>
      </c>
      <c r="C3408" s="33" t="s">
        <v>119</v>
      </c>
      <c r="D3408" s="33" t="s">
        <v>4378</v>
      </c>
      <c r="E3408" s="4" t="n">
        <v>8</v>
      </c>
      <c r="F3408" s="4" t="s">
        <v>213</v>
      </c>
      <c r="G3408" s="4" t="s">
        <v>812</v>
      </c>
      <c r="H3408" s="4" t="n">
        <v>1981</v>
      </c>
      <c r="I3408" s="4" t="s">
        <v>813</v>
      </c>
      <c r="J3408" s="25" t="str">
        <f aca="false">IF(M3408=1,"✓","")</f>
        <v>✓</v>
      </c>
      <c r="K3408" s="4" t="str">
        <f aca="false">IF(AND(M3408=0,P3408=0),"▶ NEXT","")</f>
        <v/>
      </c>
      <c r="L3408" s="4" t="n">
        <f aca="false">INDEX('Master List'!$F$2:$F$2594,O3408)</f>
        <v>2</v>
      </c>
      <c r="M3408" s="4" t="n">
        <f aca="false">INDEX('Master List'!$G$2:$G$2594,O3408)</f>
        <v>1</v>
      </c>
      <c r="N3408" s="4" t="str">
        <f aca="false">IF(K3408="","",A3408)</f>
        <v/>
      </c>
      <c r="O3408" s="4" t="n">
        <v>1571</v>
      </c>
      <c r="P3408" s="4" t="n">
        <f aca="false">IF(A3408=A3407,P3407+1-M3407,0)</f>
        <v>5</v>
      </c>
    </row>
    <row r="3409" customFormat="false" ht="15" hidden="false" customHeight="false" outlineLevel="0" collapsed="false">
      <c r="A3409" s="33" t="s">
        <v>4377</v>
      </c>
      <c r="B3409" s="33" t="s">
        <v>56</v>
      </c>
      <c r="C3409" s="33" t="s">
        <v>119</v>
      </c>
      <c r="D3409" s="33" t="s">
        <v>4378</v>
      </c>
      <c r="E3409" s="4" t="n">
        <v>9</v>
      </c>
      <c r="F3409" s="4" t="s">
        <v>213</v>
      </c>
      <c r="G3409" s="4" t="s">
        <v>2423</v>
      </c>
      <c r="H3409" s="4" t="n">
        <v>1985</v>
      </c>
      <c r="I3409" s="4" t="s">
        <v>2424</v>
      </c>
      <c r="J3409" s="25" t="str">
        <f aca="false">IF(M3409=1,"✓","")</f>
        <v/>
      </c>
      <c r="K3409" s="4" t="str">
        <f aca="false">IF(AND(M3409=0,P3409=0),"▶ NEXT","")</f>
        <v/>
      </c>
      <c r="L3409" s="4" t="n">
        <f aca="false">INDEX('Master List'!$F$2:$F$2594,O3409)</f>
        <v>1</v>
      </c>
      <c r="M3409" s="4" t="n">
        <f aca="false">INDEX('Master List'!$G$2:$G$2594,O3409)</f>
        <v>0</v>
      </c>
      <c r="N3409" s="4" t="str">
        <f aca="false">IF(K3409="","",A3409)</f>
        <v/>
      </c>
      <c r="O3409" s="4" t="n">
        <v>487</v>
      </c>
      <c r="P3409" s="4" t="n">
        <f aca="false">IF(A3409=A3408,P3408+1-M3408,0)</f>
        <v>5</v>
      </c>
    </row>
    <row r="3410" customFormat="false" ht="15" hidden="false" customHeight="false" outlineLevel="0" collapsed="false">
      <c r="A3410" s="33" t="s">
        <v>4377</v>
      </c>
      <c r="B3410" s="33" t="s">
        <v>56</v>
      </c>
      <c r="C3410" s="33" t="s">
        <v>119</v>
      </c>
      <c r="D3410" s="33" t="s">
        <v>4378</v>
      </c>
      <c r="E3410" s="4" t="n">
        <v>10</v>
      </c>
      <c r="F3410" s="4" t="s">
        <v>213</v>
      </c>
      <c r="G3410" s="4" t="s">
        <v>1288</v>
      </c>
      <c r="H3410" s="4" t="n">
        <v>1997</v>
      </c>
      <c r="I3410" s="4" t="s">
        <v>1289</v>
      </c>
      <c r="J3410" s="25" t="str">
        <f aca="false">IF(M3410=1,"✓","")</f>
        <v>✓</v>
      </c>
      <c r="K3410" s="4" t="str">
        <f aca="false">IF(AND(M3410=0,P3410=0),"▶ NEXT","")</f>
        <v/>
      </c>
      <c r="L3410" s="4" t="n">
        <f aca="false">INDEX('Master List'!$F$2:$F$2594,O3410)</f>
        <v>2</v>
      </c>
      <c r="M3410" s="4" t="n">
        <f aca="false">INDEX('Master List'!$G$2:$G$2594,O3410)</f>
        <v>1</v>
      </c>
      <c r="N3410" s="4" t="str">
        <f aca="false">IF(K3410="","",A3410)</f>
        <v/>
      </c>
      <c r="O3410" s="4" t="n">
        <v>547</v>
      </c>
      <c r="P3410" s="4" t="n">
        <f aca="false">IF(A3410=A3409,P3409+1-M3409,0)</f>
        <v>6</v>
      </c>
    </row>
    <row r="3411" customFormat="false" ht="15" hidden="false" customHeight="false" outlineLevel="0" collapsed="false">
      <c r="A3411" s="33" t="s">
        <v>4377</v>
      </c>
      <c r="B3411" s="33" t="s">
        <v>56</v>
      </c>
      <c r="C3411" s="33" t="s">
        <v>119</v>
      </c>
      <c r="D3411" s="33" t="s">
        <v>4378</v>
      </c>
      <c r="E3411" s="4" t="n">
        <v>11</v>
      </c>
      <c r="F3411" s="4" t="s">
        <v>213</v>
      </c>
      <c r="G3411" s="4" t="s">
        <v>1149</v>
      </c>
      <c r="H3411" s="4" t="n">
        <v>2001</v>
      </c>
      <c r="I3411" s="4" t="s">
        <v>320</v>
      </c>
      <c r="J3411" s="25" t="str">
        <f aca="false">IF(M3411=1,"✓","")</f>
        <v>✓</v>
      </c>
      <c r="K3411" s="4" t="str">
        <f aca="false">IF(AND(M3411=0,P3411=0),"▶ NEXT","")</f>
        <v/>
      </c>
      <c r="L3411" s="4" t="n">
        <f aca="false">INDEX('Master List'!$F$2:$F$2594,O3411)</f>
        <v>2</v>
      </c>
      <c r="M3411" s="4" t="n">
        <f aca="false">INDEX('Master List'!$G$2:$G$2594,O3411)</f>
        <v>1</v>
      </c>
      <c r="N3411" s="4" t="str">
        <f aca="false">IF(K3411="","",A3411)</f>
        <v/>
      </c>
      <c r="O3411" s="4" t="n">
        <v>2241</v>
      </c>
      <c r="P3411" s="4" t="n">
        <f aca="false">IF(A3411=A3410,P3410+1-M3410,0)</f>
        <v>6</v>
      </c>
    </row>
    <row r="3412" customFormat="false" ht="15" hidden="false" customHeight="false" outlineLevel="0" collapsed="false">
      <c r="A3412" s="33" t="s">
        <v>4377</v>
      </c>
      <c r="B3412" s="33" t="s">
        <v>56</v>
      </c>
      <c r="C3412" s="33" t="s">
        <v>119</v>
      </c>
      <c r="D3412" s="33" t="s">
        <v>4378</v>
      </c>
      <c r="E3412" s="4" t="n">
        <v>12</v>
      </c>
      <c r="F3412" s="4" t="s">
        <v>213</v>
      </c>
      <c r="G3412" s="4" t="s">
        <v>2792</v>
      </c>
      <c r="H3412" s="4" t="n">
        <v>2002</v>
      </c>
      <c r="I3412" s="4" t="s">
        <v>2793</v>
      </c>
      <c r="J3412" s="25" t="str">
        <f aca="false">IF(M3412=1,"✓","")</f>
        <v>✓</v>
      </c>
      <c r="K3412" s="4" t="str">
        <f aca="false">IF(AND(M3412=0,P3412=0),"▶ NEXT","")</f>
        <v/>
      </c>
      <c r="L3412" s="4" t="n">
        <f aca="false">INDEX('Master List'!$F$2:$F$2594,O3412)</f>
        <v>1</v>
      </c>
      <c r="M3412" s="4" t="n">
        <f aca="false">INDEX('Master List'!$G$2:$G$2594,O3412)</f>
        <v>1</v>
      </c>
      <c r="N3412" s="4" t="str">
        <f aca="false">IF(K3412="","",A3412)</f>
        <v/>
      </c>
      <c r="O3412" s="4" t="n">
        <v>1759</v>
      </c>
      <c r="P3412" s="4" t="n">
        <f aca="false">IF(A3412=A3411,P3411+1-M3411,0)</f>
        <v>6</v>
      </c>
    </row>
    <row r="3413" customFormat="false" ht="15" hidden="false" customHeight="false" outlineLevel="0" collapsed="false">
      <c r="A3413" s="33" t="s">
        <v>4377</v>
      </c>
      <c r="B3413" s="33" t="s">
        <v>56</v>
      </c>
      <c r="C3413" s="33" t="s">
        <v>119</v>
      </c>
      <c r="D3413" s="33" t="s">
        <v>4378</v>
      </c>
      <c r="E3413" s="4" t="n">
        <v>13</v>
      </c>
      <c r="F3413" s="4" t="s">
        <v>213</v>
      </c>
      <c r="G3413" s="4" t="s">
        <v>3043</v>
      </c>
      <c r="H3413" s="4" t="n">
        <v>2013</v>
      </c>
      <c r="I3413" s="4" t="s">
        <v>3044</v>
      </c>
      <c r="J3413" s="25" t="str">
        <f aca="false">IF(M3413=1,"✓","")</f>
        <v/>
      </c>
      <c r="K3413" s="4" t="str">
        <f aca="false">IF(AND(M3413=0,P3413=0),"▶ NEXT","")</f>
        <v/>
      </c>
      <c r="L3413" s="4" t="n">
        <f aca="false">INDEX('Master List'!$F$2:$F$2594,O3413)</f>
        <v>1</v>
      </c>
      <c r="M3413" s="4" t="n">
        <f aca="false">INDEX('Master List'!$G$2:$G$2594,O3413)</f>
        <v>0</v>
      </c>
      <c r="N3413" s="4" t="str">
        <f aca="false">IF(K3413="","",A3413)</f>
        <v/>
      </c>
      <c r="O3413" s="4" t="n">
        <v>1364</v>
      </c>
      <c r="P3413" s="4" t="n">
        <f aca="false">IF(A3413=A3412,P3412+1-M3412,0)</f>
        <v>6</v>
      </c>
    </row>
    <row r="3414" customFormat="false" ht="15" hidden="false" customHeight="false" outlineLevel="0" collapsed="false">
      <c r="A3414" s="33" t="s">
        <v>4377</v>
      </c>
      <c r="B3414" s="33" t="s">
        <v>56</v>
      </c>
      <c r="C3414" s="33" t="s">
        <v>119</v>
      </c>
      <c r="D3414" s="33" t="s">
        <v>4378</v>
      </c>
      <c r="E3414" s="4" t="n">
        <v>14</v>
      </c>
      <c r="F3414" s="4" t="s">
        <v>213</v>
      </c>
      <c r="G3414" s="4" t="s">
        <v>2986</v>
      </c>
      <c r="H3414" s="4" t="n">
        <v>2011</v>
      </c>
      <c r="I3414" s="4" t="s">
        <v>195</v>
      </c>
      <c r="J3414" s="25" t="str">
        <f aca="false">IF(M3414=1,"✓","")</f>
        <v/>
      </c>
      <c r="K3414" s="4" t="str">
        <f aca="false">IF(AND(M3414=0,P3414=0),"▶ NEXT","")</f>
        <v/>
      </c>
      <c r="L3414" s="4" t="n">
        <f aca="false">INDEX('Master List'!$F$2:$F$2594,O3414)</f>
        <v>1</v>
      </c>
      <c r="M3414" s="4" t="n">
        <f aca="false">INDEX('Master List'!$G$2:$G$2594,O3414)</f>
        <v>0</v>
      </c>
      <c r="N3414" s="4" t="str">
        <f aca="false">IF(K3414="","",A3414)</f>
        <v/>
      </c>
      <c r="O3414" s="4" t="n">
        <v>398</v>
      </c>
      <c r="P3414" s="4" t="n">
        <f aca="false">IF(A3414=A3413,P3413+1-M3413,0)</f>
        <v>7</v>
      </c>
    </row>
    <row r="3415" customFormat="false" ht="15" hidden="false" customHeight="false" outlineLevel="0" collapsed="false">
      <c r="A3415" s="33" t="s">
        <v>4377</v>
      </c>
      <c r="B3415" s="33" t="s">
        <v>56</v>
      </c>
      <c r="C3415" s="33" t="s">
        <v>119</v>
      </c>
      <c r="D3415" s="33" t="s">
        <v>4378</v>
      </c>
      <c r="E3415" s="4" t="n">
        <v>15</v>
      </c>
      <c r="F3415" s="4" t="s">
        <v>213</v>
      </c>
      <c r="G3415" s="4" t="s">
        <v>2895</v>
      </c>
      <c r="H3415" s="4" t="n">
        <v>2007</v>
      </c>
      <c r="I3415" s="4" t="s">
        <v>2896</v>
      </c>
      <c r="J3415" s="25" t="str">
        <f aca="false">IF(M3415=1,"✓","")</f>
        <v/>
      </c>
      <c r="K3415" s="4" t="str">
        <f aca="false">IF(AND(M3415=0,P3415=0),"▶ NEXT","")</f>
        <v/>
      </c>
      <c r="L3415" s="4" t="n">
        <f aca="false">INDEX('Master List'!$F$2:$F$2594,O3415)</f>
        <v>1</v>
      </c>
      <c r="M3415" s="4" t="n">
        <f aca="false">INDEX('Master List'!$G$2:$G$2594,O3415)</f>
        <v>0</v>
      </c>
      <c r="N3415" s="4" t="str">
        <f aca="false">IF(K3415="","",A3415)</f>
        <v/>
      </c>
      <c r="O3415" s="4" t="n">
        <v>1423</v>
      </c>
      <c r="P3415" s="4" t="n">
        <f aca="false">IF(A3415=A3414,P3414+1-M3414,0)</f>
        <v>8</v>
      </c>
    </row>
    <row r="3416" customFormat="false" ht="15" hidden="false" customHeight="false" outlineLevel="0" collapsed="false">
      <c r="A3416" s="33" t="s">
        <v>4377</v>
      </c>
      <c r="B3416" s="33" t="s">
        <v>56</v>
      </c>
      <c r="C3416" s="33" t="s">
        <v>119</v>
      </c>
      <c r="D3416" s="33" t="s">
        <v>4378</v>
      </c>
      <c r="E3416" s="4" t="n">
        <v>16</v>
      </c>
      <c r="F3416" s="4" t="s">
        <v>1327</v>
      </c>
      <c r="G3416" s="4" t="s">
        <v>3794</v>
      </c>
      <c r="H3416" s="4" t="n">
        <v>2010</v>
      </c>
      <c r="I3416" s="4" t="s">
        <v>3795</v>
      </c>
      <c r="J3416" s="25" t="str">
        <f aca="false">IF(M3416=1,"✓","")</f>
        <v/>
      </c>
      <c r="K3416" s="4" t="str">
        <f aca="false">IF(AND(M3416=0,P3416=0),"▶ NEXT","")</f>
        <v/>
      </c>
      <c r="L3416" s="4" t="n">
        <f aca="false">INDEX('Master List'!$F$2:$F$2594,O3416)</f>
        <v>1</v>
      </c>
      <c r="M3416" s="4" t="n">
        <f aca="false">INDEX('Master List'!$G$2:$G$2594,O3416)</f>
        <v>0</v>
      </c>
      <c r="N3416" s="4" t="str">
        <f aca="false">IF(K3416="","",A3416)</f>
        <v/>
      </c>
      <c r="O3416" s="4" t="n">
        <v>369</v>
      </c>
      <c r="P3416" s="4" t="n">
        <f aca="false">IF(A3416=A3415,P3415+1-M3415,0)</f>
        <v>9</v>
      </c>
    </row>
    <row r="3417" customFormat="false" ht="15" hidden="false" customHeight="false" outlineLevel="0" collapsed="false">
      <c r="A3417" s="33" t="s">
        <v>4377</v>
      </c>
      <c r="B3417" s="33" t="s">
        <v>56</v>
      </c>
      <c r="C3417" s="33" t="s">
        <v>119</v>
      </c>
      <c r="D3417" s="33" t="s">
        <v>4378</v>
      </c>
      <c r="E3417" s="4" t="n">
        <v>17</v>
      </c>
      <c r="F3417" s="4" t="s">
        <v>1327</v>
      </c>
      <c r="G3417" s="4" t="s">
        <v>1413</v>
      </c>
      <c r="H3417" s="4" t="n">
        <v>2013</v>
      </c>
      <c r="I3417" s="4" t="s">
        <v>1414</v>
      </c>
      <c r="J3417" s="25" t="str">
        <f aca="false">IF(M3417=1,"✓","")</f>
        <v/>
      </c>
      <c r="K3417" s="4" t="str">
        <f aca="false">IF(AND(M3417=0,P3417=0),"▶ NEXT","")</f>
        <v/>
      </c>
      <c r="L3417" s="4" t="n">
        <f aca="false">INDEX('Master List'!$F$2:$F$2594,O3417)</f>
        <v>2</v>
      </c>
      <c r="M3417" s="4" t="n">
        <f aca="false">INDEX('Master List'!$G$2:$G$2594,O3417)</f>
        <v>0</v>
      </c>
      <c r="N3417" s="4" t="str">
        <f aca="false">IF(K3417="","",A3417)</f>
        <v/>
      </c>
      <c r="O3417" s="4" t="n">
        <v>493</v>
      </c>
      <c r="P3417" s="4" t="n">
        <f aca="false">IF(A3417=A3416,P3416+1-M3416,0)</f>
        <v>10</v>
      </c>
    </row>
    <row r="3418" customFormat="false" ht="15" hidden="false" customHeight="false" outlineLevel="0" collapsed="false">
      <c r="A3418" s="33" t="s">
        <v>4379</v>
      </c>
      <c r="B3418" s="33" t="s">
        <v>56</v>
      </c>
      <c r="C3418" s="33" t="s">
        <v>119</v>
      </c>
      <c r="D3418" s="33" t="s">
        <v>4380</v>
      </c>
      <c r="E3418" s="4" t="n">
        <v>1</v>
      </c>
      <c r="F3418" s="4" t="s">
        <v>144</v>
      </c>
      <c r="G3418" s="7" t="s">
        <v>663</v>
      </c>
      <c r="H3418" s="4" t="n">
        <v>1964</v>
      </c>
      <c r="I3418" s="4" t="s">
        <v>541</v>
      </c>
      <c r="J3418" s="25" t="str">
        <f aca="false">IF(M3418=1,"✓","")</f>
        <v/>
      </c>
      <c r="K3418" s="4" t="str">
        <f aca="false">IF(AND(M3418=0,P3418=0),"▶ NEXT","")</f>
        <v>▶ NEXT</v>
      </c>
      <c r="L3418" s="4" t="n">
        <f aca="false">INDEX('Master List'!$F$2:$F$2594,O3418)</f>
        <v>2</v>
      </c>
      <c r="M3418" s="4" t="n">
        <f aca="false">INDEX('Master List'!$G$2:$G$2594,O3418)</f>
        <v>0</v>
      </c>
      <c r="N3418" s="4" t="str">
        <f aca="false">IF(K3418="","",A3418)</f>
        <v>N278</v>
      </c>
      <c r="O3418" s="4" t="n">
        <v>1275</v>
      </c>
      <c r="P3418" s="4" t="n">
        <f aca="false">IF(A3418=A3417,P3417+1-M3417,0)</f>
        <v>0</v>
      </c>
    </row>
    <row r="3419" customFormat="false" ht="15" hidden="false" customHeight="false" outlineLevel="0" collapsed="false">
      <c r="A3419" s="33" t="s">
        <v>4379</v>
      </c>
      <c r="B3419" s="33" t="s">
        <v>56</v>
      </c>
      <c r="C3419" s="33" t="s">
        <v>119</v>
      </c>
      <c r="D3419" s="33" t="s">
        <v>4380</v>
      </c>
      <c r="E3419" s="4" t="n">
        <v>2</v>
      </c>
      <c r="F3419" s="4" t="s">
        <v>144</v>
      </c>
      <c r="G3419" s="7" t="s">
        <v>614</v>
      </c>
      <c r="H3419" s="4" t="n">
        <v>1991</v>
      </c>
      <c r="I3419" s="4" t="s">
        <v>615</v>
      </c>
      <c r="J3419" s="25" t="str">
        <f aca="false">IF(M3419=1,"✓","")</f>
        <v/>
      </c>
      <c r="K3419" s="4" t="str">
        <f aca="false">IF(AND(M3419=0,P3419=0),"▶ NEXT","")</f>
        <v/>
      </c>
      <c r="L3419" s="4" t="n">
        <f aca="false">INDEX('Master List'!$F$2:$F$2594,O3419)</f>
        <v>3</v>
      </c>
      <c r="M3419" s="4" t="n">
        <f aca="false">INDEX('Master List'!$G$2:$G$2594,O3419)</f>
        <v>0</v>
      </c>
      <c r="N3419" s="4" t="str">
        <f aca="false">IF(K3419="","",A3419)</f>
        <v/>
      </c>
      <c r="O3419" s="4" t="n">
        <v>1608</v>
      </c>
      <c r="P3419" s="4" t="n">
        <f aca="false">IF(A3419=A3418,P3418+1-M3418,0)</f>
        <v>1</v>
      </c>
    </row>
    <row r="3420" customFormat="false" ht="15" hidden="false" customHeight="false" outlineLevel="0" collapsed="false">
      <c r="A3420" s="33" t="s">
        <v>4379</v>
      </c>
      <c r="B3420" s="33" t="s">
        <v>56</v>
      </c>
      <c r="C3420" s="33" t="s">
        <v>119</v>
      </c>
      <c r="D3420" s="33" t="s">
        <v>4380</v>
      </c>
      <c r="E3420" s="4" t="n">
        <v>3</v>
      </c>
      <c r="F3420" s="4" t="s">
        <v>213</v>
      </c>
      <c r="G3420" s="4" t="s">
        <v>922</v>
      </c>
      <c r="H3420" s="4" t="n">
        <v>1945</v>
      </c>
      <c r="I3420" s="4" t="s">
        <v>923</v>
      </c>
      <c r="J3420" s="25" t="str">
        <f aca="false">IF(M3420=1,"✓","")</f>
        <v/>
      </c>
      <c r="K3420" s="4" t="str">
        <f aca="false">IF(AND(M3420=0,P3420=0),"▶ NEXT","")</f>
        <v/>
      </c>
      <c r="L3420" s="4" t="n">
        <f aca="false">INDEX('Master List'!$F$2:$F$2594,O3420)</f>
        <v>2</v>
      </c>
      <c r="M3420" s="4" t="n">
        <f aca="false">INDEX('Master List'!$G$2:$G$2594,O3420)</f>
        <v>0</v>
      </c>
      <c r="N3420" s="4" t="str">
        <f aca="false">IF(K3420="","",A3420)</f>
        <v/>
      </c>
      <c r="O3420" s="4" t="n">
        <v>584</v>
      </c>
      <c r="P3420" s="4" t="n">
        <f aca="false">IF(A3420=A3419,P3419+1-M3419,0)</f>
        <v>2</v>
      </c>
    </row>
    <row r="3421" customFormat="false" ht="15" hidden="false" customHeight="false" outlineLevel="0" collapsed="false">
      <c r="A3421" s="33" t="s">
        <v>4379</v>
      </c>
      <c r="B3421" s="33" t="s">
        <v>56</v>
      </c>
      <c r="C3421" s="33" t="s">
        <v>119</v>
      </c>
      <c r="D3421" s="33" t="s">
        <v>4380</v>
      </c>
      <c r="E3421" s="4" t="n">
        <v>4</v>
      </c>
      <c r="F3421" s="4" t="s">
        <v>213</v>
      </c>
      <c r="G3421" s="4" t="s">
        <v>967</v>
      </c>
      <c r="H3421" s="4" t="n">
        <v>1963</v>
      </c>
      <c r="I3421" s="4" t="s">
        <v>761</v>
      </c>
      <c r="J3421" s="25" t="str">
        <f aca="false">IF(M3421=1,"✓","")</f>
        <v/>
      </c>
      <c r="K3421" s="4" t="str">
        <f aca="false">IF(AND(M3421=0,P3421=0),"▶ NEXT","")</f>
        <v/>
      </c>
      <c r="L3421" s="4" t="n">
        <f aca="false">INDEX('Master List'!$F$2:$F$2594,O3421)</f>
        <v>2</v>
      </c>
      <c r="M3421" s="4" t="n">
        <f aca="false">INDEX('Master List'!$G$2:$G$2594,O3421)</f>
        <v>0</v>
      </c>
      <c r="N3421" s="4" t="str">
        <f aca="false">IF(K3421="","",A3421)</f>
        <v/>
      </c>
      <c r="O3421" s="4" t="n">
        <v>271</v>
      </c>
      <c r="P3421" s="4" t="n">
        <f aca="false">IF(A3421=A3420,P3420+1-M3420,0)</f>
        <v>3</v>
      </c>
    </row>
    <row r="3422" customFormat="false" ht="15" hidden="false" customHeight="false" outlineLevel="0" collapsed="false">
      <c r="A3422" s="33" t="s">
        <v>4379</v>
      </c>
      <c r="B3422" s="33" t="s">
        <v>56</v>
      </c>
      <c r="C3422" s="33" t="s">
        <v>119</v>
      </c>
      <c r="D3422" s="33" t="s">
        <v>4380</v>
      </c>
      <c r="E3422" s="4" t="n">
        <v>5</v>
      </c>
      <c r="F3422" s="4" t="s">
        <v>213</v>
      </c>
      <c r="G3422" s="4" t="s">
        <v>2372</v>
      </c>
      <c r="H3422" s="4" t="n">
        <v>1982</v>
      </c>
      <c r="I3422" s="4" t="s">
        <v>475</v>
      </c>
      <c r="J3422" s="25" t="str">
        <f aca="false">IF(M3422=1,"✓","")</f>
        <v/>
      </c>
      <c r="K3422" s="4" t="str">
        <f aca="false">IF(AND(M3422=0,P3422=0),"▶ NEXT","")</f>
        <v/>
      </c>
      <c r="L3422" s="4" t="n">
        <f aca="false">INDEX('Master List'!$F$2:$F$2594,O3422)</f>
        <v>1</v>
      </c>
      <c r="M3422" s="4" t="n">
        <f aca="false">INDEX('Master List'!$G$2:$G$2594,O3422)</f>
        <v>0</v>
      </c>
      <c r="N3422" s="4" t="str">
        <f aca="false">IF(K3422="","",A3422)</f>
        <v/>
      </c>
      <c r="O3422" s="4" t="n">
        <v>532</v>
      </c>
      <c r="P3422" s="4" t="n">
        <f aca="false">IF(A3422=A3421,P3421+1-M3421,0)</f>
        <v>4</v>
      </c>
    </row>
    <row r="3423" customFormat="false" ht="15" hidden="false" customHeight="false" outlineLevel="0" collapsed="false">
      <c r="A3423" s="33" t="s">
        <v>4379</v>
      </c>
      <c r="B3423" s="33" t="s">
        <v>56</v>
      </c>
      <c r="C3423" s="33" t="s">
        <v>119</v>
      </c>
      <c r="D3423" s="33" t="s">
        <v>4380</v>
      </c>
      <c r="E3423" s="4" t="n">
        <v>6</v>
      </c>
      <c r="F3423" s="4" t="s">
        <v>213</v>
      </c>
      <c r="G3423" s="4" t="s">
        <v>823</v>
      </c>
      <c r="H3423" s="4" t="n">
        <v>1989</v>
      </c>
      <c r="I3423" s="4" t="s">
        <v>615</v>
      </c>
      <c r="J3423" s="25" t="str">
        <f aca="false">IF(M3423=1,"✓","")</f>
        <v/>
      </c>
      <c r="K3423" s="4" t="str">
        <f aca="false">IF(AND(M3423=0,P3423=0),"▶ NEXT","")</f>
        <v/>
      </c>
      <c r="L3423" s="4" t="n">
        <f aca="false">INDEX('Master List'!$F$2:$F$2594,O3423)</f>
        <v>3</v>
      </c>
      <c r="M3423" s="4" t="n">
        <f aca="false">INDEX('Master List'!$G$2:$G$2594,O3423)</f>
        <v>0</v>
      </c>
      <c r="N3423" s="4" t="str">
        <f aca="false">IF(K3423="","",A3423)</f>
        <v/>
      </c>
      <c r="O3423" s="4" t="n">
        <v>1577</v>
      </c>
      <c r="P3423" s="4" t="n">
        <f aca="false">IF(A3423=A3422,P3422+1-M3422,0)</f>
        <v>5</v>
      </c>
    </row>
    <row r="3424" customFormat="false" ht="15" hidden="false" customHeight="false" outlineLevel="0" collapsed="false">
      <c r="A3424" s="33" t="s">
        <v>4379</v>
      </c>
      <c r="B3424" s="33" t="s">
        <v>56</v>
      </c>
      <c r="C3424" s="33" t="s">
        <v>119</v>
      </c>
      <c r="D3424" s="33" t="s">
        <v>4380</v>
      </c>
      <c r="E3424" s="4" t="n">
        <v>7</v>
      </c>
      <c r="F3424" s="4" t="s">
        <v>213</v>
      </c>
      <c r="G3424" s="4" t="s">
        <v>1377</v>
      </c>
      <c r="H3424" s="4" t="n">
        <v>1990</v>
      </c>
      <c r="I3424" s="4" t="s">
        <v>156</v>
      </c>
      <c r="J3424" s="25" t="str">
        <f aca="false">IF(M3424=1,"✓","")</f>
        <v/>
      </c>
      <c r="K3424" s="4" t="str">
        <f aca="false">IF(AND(M3424=0,P3424=0),"▶ NEXT","")</f>
        <v/>
      </c>
      <c r="L3424" s="4" t="n">
        <f aca="false">INDEX('Master List'!$F$2:$F$2594,O3424)</f>
        <v>2</v>
      </c>
      <c r="M3424" s="4" t="n">
        <f aca="false">INDEX('Master List'!$G$2:$G$2594,O3424)</f>
        <v>0</v>
      </c>
      <c r="N3424" s="4" t="str">
        <f aca="false">IF(K3424="","",A3424)</f>
        <v/>
      </c>
      <c r="O3424" s="4" t="n">
        <v>675</v>
      </c>
      <c r="P3424" s="4" t="n">
        <f aca="false">IF(A3424=A3423,P3423+1-M3423,0)</f>
        <v>6</v>
      </c>
    </row>
    <row r="3425" customFormat="false" ht="15" hidden="false" customHeight="false" outlineLevel="0" collapsed="false">
      <c r="A3425" s="33" t="s">
        <v>4379</v>
      </c>
      <c r="B3425" s="33" t="s">
        <v>56</v>
      </c>
      <c r="C3425" s="33" t="s">
        <v>119</v>
      </c>
      <c r="D3425" s="33" t="s">
        <v>4380</v>
      </c>
      <c r="E3425" s="4" t="n">
        <v>8</v>
      </c>
      <c r="F3425" s="4" t="s">
        <v>213</v>
      </c>
      <c r="G3425" s="4" t="s">
        <v>2623</v>
      </c>
      <c r="H3425" s="4" t="n">
        <v>1995</v>
      </c>
      <c r="I3425" s="4" t="s">
        <v>2624</v>
      </c>
      <c r="J3425" s="25" t="str">
        <f aca="false">IF(M3425=1,"✓","")</f>
        <v/>
      </c>
      <c r="K3425" s="4" t="str">
        <f aca="false">IF(AND(M3425=0,P3425=0),"▶ NEXT","")</f>
        <v/>
      </c>
      <c r="L3425" s="4" t="n">
        <f aca="false">INDEX('Master List'!$F$2:$F$2594,O3425)</f>
        <v>1</v>
      </c>
      <c r="M3425" s="4" t="n">
        <f aca="false">INDEX('Master List'!$G$2:$G$2594,O3425)</f>
        <v>0</v>
      </c>
      <c r="N3425" s="4" t="str">
        <f aca="false">IF(K3425="","",A3425)</f>
        <v/>
      </c>
      <c r="O3425" s="4" t="n">
        <v>841</v>
      </c>
      <c r="P3425" s="4" t="n">
        <f aca="false">IF(A3425=A3424,P3424+1-M3424,0)</f>
        <v>7</v>
      </c>
    </row>
    <row r="3426" customFormat="false" ht="15" hidden="false" customHeight="false" outlineLevel="0" collapsed="false">
      <c r="A3426" s="33" t="s">
        <v>4379</v>
      </c>
      <c r="B3426" s="33" t="s">
        <v>56</v>
      </c>
      <c r="C3426" s="33" t="s">
        <v>119</v>
      </c>
      <c r="D3426" s="33" t="s">
        <v>4380</v>
      </c>
      <c r="E3426" s="4" t="n">
        <v>9</v>
      </c>
      <c r="F3426" s="4" t="s">
        <v>213</v>
      </c>
      <c r="G3426" s="4" t="s">
        <v>636</v>
      </c>
      <c r="H3426" s="4" t="n">
        <v>2003</v>
      </c>
      <c r="I3426" s="4" t="s">
        <v>615</v>
      </c>
      <c r="J3426" s="25" t="str">
        <f aca="false">IF(M3426=1,"✓","")</f>
        <v>✓</v>
      </c>
      <c r="K3426" s="4" t="str">
        <f aca="false">IF(AND(M3426=0,P3426=0),"▶ NEXT","")</f>
        <v/>
      </c>
      <c r="L3426" s="4" t="n">
        <f aca="false">INDEX('Master List'!$F$2:$F$2594,O3426)</f>
        <v>3</v>
      </c>
      <c r="M3426" s="4" t="n">
        <f aca="false">INDEX('Master List'!$G$2:$G$2594,O3426)</f>
        <v>1</v>
      </c>
      <c r="N3426" s="4" t="str">
        <f aca="false">IF(K3426="","",A3426)</f>
        <v/>
      </c>
      <c r="O3426" s="4" t="n">
        <v>491</v>
      </c>
      <c r="P3426" s="4" t="n">
        <f aca="false">IF(A3426=A3425,P3425+1-M3425,0)</f>
        <v>8</v>
      </c>
    </row>
    <row r="3427" customFormat="false" ht="15" hidden="false" customHeight="false" outlineLevel="0" collapsed="false">
      <c r="A3427" s="33" t="s">
        <v>4379</v>
      </c>
      <c r="B3427" s="33" t="s">
        <v>56</v>
      </c>
      <c r="C3427" s="33" t="s">
        <v>119</v>
      </c>
      <c r="D3427" s="33" t="s">
        <v>4380</v>
      </c>
      <c r="E3427" s="4" t="n">
        <v>10</v>
      </c>
      <c r="F3427" s="4" t="s">
        <v>213</v>
      </c>
      <c r="G3427" s="4" t="s">
        <v>1210</v>
      </c>
      <c r="H3427" s="4" t="n">
        <v>2014</v>
      </c>
      <c r="I3427" s="4" t="s">
        <v>1211</v>
      </c>
      <c r="J3427" s="25" t="str">
        <f aca="false">IF(M3427=1,"✓","")</f>
        <v/>
      </c>
      <c r="K3427" s="4" t="str">
        <f aca="false">IF(AND(M3427=0,P3427=0),"▶ NEXT","")</f>
        <v/>
      </c>
      <c r="L3427" s="4" t="n">
        <f aca="false">INDEX('Master List'!$F$2:$F$2594,O3427)</f>
        <v>2</v>
      </c>
      <c r="M3427" s="4" t="n">
        <f aca="false">INDEX('Master List'!$G$2:$G$2594,O3427)</f>
        <v>0</v>
      </c>
      <c r="N3427" s="4" t="str">
        <f aca="false">IF(K3427="","",A3427)</f>
        <v/>
      </c>
      <c r="O3427" s="4" t="n">
        <v>2517</v>
      </c>
      <c r="P3427" s="4" t="n">
        <f aca="false">IF(A3427=A3426,P3426+1-M3426,0)</f>
        <v>8</v>
      </c>
    </row>
    <row r="3428" customFormat="false" ht="15" hidden="false" customHeight="false" outlineLevel="0" collapsed="false">
      <c r="A3428" s="33" t="s">
        <v>4379</v>
      </c>
      <c r="B3428" s="33" t="s">
        <v>56</v>
      </c>
      <c r="C3428" s="33" t="s">
        <v>119</v>
      </c>
      <c r="D3428" s="33" t="s">
        <v>4380</v>
      </c>
      <c r="E3428" s="4" t="n">
        <v>11</v>
      </c>
      <c r="F3428" s="4" t="s">
        <v>213</v>
      </c>
      <c r="G3428" s="4" t="s">
        <v>1245</v>
      </c>
      <c r="H3428" s="4" t="n">
        <v>2018</v>
      </c>
      <c r="I3428" s="4" t="s">
        <v>323</v>
      </c>
      <c r="J3428" s="25" t="str">
        <f aca="false">IF(M3428=1,"✓","")</f>
        <v>✓</v>
      </c>
      <c r="K3428" s="4" t="str">
        <f aca="false">IF(AND(M3428=0,P3428=0),"▶ NEXT","")</f>
        <v/>
      </c>
      <c r="L3428" s="4" t="n">
        <f aca="false">INDEX('Master List'!$F$2:$F$2594,O3428)</f>
        <v>2</v>
      </c>
      <c r="M3428" s="4" t="n">
        <f aca="false">INDEX('Master List'!$G$2:$G$2594,O3428)</f>
        <v>1</v>
      </c>
      <c r="N3428" s="4" t="str">
        <f aca="false">IF(K3428="","",A3428)</f>
        <v/>
      </c>
      <c r="O3428" s="4" t="n">
        <v>176</v>
      </c>
      <c r="P3428" s="4" t="n">
        <f aca="false">IF(A3428=A3427,P3427+1-M3427,0)</f>
        <v>9</v>
      </c>
    </row>
    <row r="3429" customFormat="false" ht="15" hidden="false" customHeight="false" outlineLevel="0" collapsed="false">
      <c r="A3429" s="33" t="s">
        <v>4379</v>
      </c>
      <c r="B3429" s="33" t="s">
        <v>56</v>
      </c>
      <c r="C3429" s="33" t="s">
        <v>119</v>
      </c>
      <c r="D3429" s="33" t="s">
        <v>4380</v>
      </c>
      <c r="E3429" s="4" t="n">
        <v>12</v>
      </c>
      <c r="F3429" s="4" t="s">
        <v>213</v>
      </c>
      <c r="G3429" s="4" t="s">
        <v>1259</v>
      </c>
      <c r="H3429" s="4" t="n">
        <v>2021</v>
      </c>
      <c r="I3429" s="4" t="s">
        <v>881</v>
      </c>
      <c r="J3429" s="25" t="str">
        <f aca="false">IF(M3429=1,"✓","")</f>
        <v/>
      </c>
      <c r="K3429" s="4" t="str">
        <f aca="false">IF(AND(M3429=0,P3429=0),"▶ NEXT","")</f>
        <v/>
      </c>
      <c r="L3429" s="4" t="n">
        <f aca="false">INDEX('Master List'!$F$2:$F$2594,O3429)</f>
        <v>2</v>
      </c>
      <c r="M3429" s="4" t="n">
        <f aca="false">INDEX('Master List'!$G$2:$G$2594,O3429)</f>
        <v>0</v>
      </c>
      <c r="N3429" s="4" t="str">
        <f aca="false">IF(K3429="","",A3429)</f>
        <v/>
      </c>
      <c r="O3429" s="4" t="n">
        <v>2491</v>
      </c>
      <c r="P3429" s="4" t="n">
        <f aca="false">IF(A3429=A3428,P3428+1-M3428,0)</f>
        <v>9</v>
      </c>
    </row>
    <row r="3430" customFormat="false" ht="15" hidden="false" customHeight="false" outlineLevel="0" collapsed="false">
      <c r="A3430" s="33" t="s">
        <v>4379</v>
      </c>
      <c r="B3430" s="33" t="s">
        <v>56</v>
      </c>
      <c r="C3430" s="33" t="s">
        <v>119</v>
      </c>
      <c r="D3430" s="33" t="s">
        <v>4380</v>
      </c>
      <c r="E3430" s="4" t="n">
        <v>13</v>
      </c>
      <c r="F3430" s="4" t="s">
        <v>1327</v>
      </c>
      <c r="G3430" s="4" t="s">
        <v>3772</v>
      </c>
      <c r="H3430" s="4" t="n">
        <v>2007</v>
      </c>
      <c r="I3430" s="4" t="s">
        <v>3773</v>
      </c>
      <c r="J3430" s="25" t="str">
        <f aca="false">IF(M3430=1,"✓","")</f>
        <v/>
      </c>
      <c r="K3430" s="4" t="str">
        <f aca="false">IF(AND(M3430=0,P3430=0),"▶ NEXT","")</f>
        <v/>
      </c>
      <c r="L3430" s="4" t="n">
        <f aca="false">INDEX('Master List'!$F$2:$F$2594,O3430)</f>
        <v>1</v>
      </c>
      <c r="M3430" s="4" t="n">
        <f aca="false">INDEX('Master List'!$G$2:$G$2594,O3430)</f>
        <v>0</v>
      </c>
      <c r="N3430" s="4" t="str">
        <f aca="false">IF(K3430="","",A3430)</f>
        <v/>
      </c>
      <c r="O3430" s="4" t="n">
        <v>2367</v>
      </c>
      <c r="P3430" s="4" t="n">
        <f aca="false">IF(A3430=A3429,P3429+1-M3429,0)</f>
        <v>10</v>
      </c>
    </row>
    <row r="3431" customFormat="false" ht="15" hidden="false" customHeight="false" outlineLevel="0" collapsed="false">
      <c r="A3431" s="33" t="s">
        <v>4379</v>
      </c>
      <c r="B3431" s="33" t="s">
        <v>56</v>
      </c>
      <c r="C3431" s="33" t="s">
        <v>119</v>
      </c>
      <c r="D3431" s="33" t="s">
        <v>4380</v>
      </c>
      <c r="E3431" s="4" t="n">
        <v>14</v>
      </c>
      <c r="F3431" s="4" t="s">
        <v>1327</v>
      </c>
      <c r="G3431" s="4" t="s">
        <v>3762</v>
      </c>
      <c r="H3431" s="4" t="n">
        <v>2006</v>
      </c>
      <c r="I3431" s="4" t="s">
        <v>3763</v>
      </c>
      <c r="J3431" s="25" t="str">
        <f aca="false">IF(M3431=1,"✓","")</f>
        <v/>
      </c>
      <c r="K3431" s="4" t="str">
        <f aca="false">IF(AND(M3431=0,P3431=0),"▶ NEXT","")</f>
        <v/>
      </c>
      <c r="L3431" s="4" t="n">
        <f aca="false">INDEX('Master List'!$F$2:$F$2594,O3431)</f>
        <v>1</v>
      </c>
      <c r="M3431" s="4" t="n">
        <f aca="false">INDEX('Master List'!$G$2:$G$2594,O3431)</f>
        <v>0</v>
      </c>
      <c r="N3431" s="4" t="str">
        <f aca="false">IF(K3431="","",A3431)</f>
        <v/>
      </c>
      <c r="O3431" s="4" t="n">
        <v>1723</v>
      </c>
      <c r="P3431" s="4" t="n">
        <f aca="false">IF(A3431=A3430,P3430+1-M3430,0)</f>
        <v>11</v>
      </c>
    </row>
    <row r="3432" customFormat="false" ht="15" hidden="false" customHeight="false" outlineLevel="0" collapsed="false">
      <c r="A3432" s="33" t="s">
        <v>4381</v>
      </c>
      <c r="B3432" s="33" t="s">
        <v>56</v>
      </c>
      <c r="C3432" s="33" t="s">
        <v>119</v>
      </c>
      <c r="D3432" s="33" t="s">
        <v>4382</v>
      </c>
      <c r="E3432" s="4" t="n">
        <v>1</v>
      </c>
      <c r="F3432" s="4" t="s">
        <v>144</v>
      </c>
      <c r="G3432" s="7" t="s">
        <v>525</v>
      </c>
      <c r="H3432" s="4" t="n">
        <v>2014</v>
      </c>
      <c r="I3432" s="4" t="s">
        <v>320</v>
      </c>
      <c r="J3432" s="25" t="str">
        <f aca="false">IF(M3432=1,"✓","")</f>
        <v/>
      </c>
      <c r="K3432" s="4" t="str">
        <f aca="false">IF(AND(M3432=0,P3432=0),"▶ NEXT","")</f>
        <v>▶ NEXT</v>
      </c>
      <c r="L3432" s="4" t="n">
        <f aca="false">INDEX('Master List'!$F$2:$F$2594,O3432)</f>
        <v>3</v>
      </c>
      <c r="M3432" s="4" t="n">
        <f aca="false">INDEX('Master List'!$G$2:$G$2594,O3432)</f>
        <v>0</v>
      </c>
      <c r="N3432" s="4" t="str">
        <f aca="false">IF(K3432="","",A3432)</f>
        <v>N279</v>
      </c>
      <c r="O3432" s="4" t="n">
        <v>330</v>
      </c>
      <c r="P3432" s="4" t="n">
        <f aca="false">IF(A3432=A3431,P3431+1-M3431,0)</f>
        <v>0</v>
      </c>
    </row>
    <row r="3433" customFormat="false" ht="15" hidden="false" customHeight="false" outlineLevel="0" collapsed="false">
      <c r="A3433" s="33" t="s">
        <v>4381</v>
      </c>
      <c r="B3433" s="33" t="s">
        <v>56</v>
      </c>
      <c r="C3433" s="33" t="s">
        <v>119</v>
      </c>
      <c r="D3433" s="33" t="s">
        <v>4382</v>
      </c>
      <c r="E3433" s="4" t="n">
        <v>2</v>
      </c>
      <c r="F3433" s="4" t="s">
        <v>144</v>
      </c>
      <c r="G3433" s="7" t="s">
        <v>1466</v>
      </c>
      <c r="H3433" s="4" t="n">
        <v>1964</v>
      </c>
      <c r="I3433" s="4" t="s">
        <v>1467</v>
      </c>
      <c r="J3433" s="25" t="str">
        <f aca="false">IF(M3433=1,"✓","")</f>
        <v/>
      </c>
      <c r="K3433" s="4" t="str">
        <f aca="false">IF(AND(M3433=0,P3433=0),"▶ NEXT","")</f>
        <v/>
      </c>
      <c r="L3433" s="4" t="n">
        <f aca="false">INDEX('Master List'!$F$2:$F$2594,O3433)</f>
        <v>1</v>
      </c>
      <c r="M3433" s="4" t="n">
        <f aca="false">INDEX('Master List'!$G$2:$G$2594,O3433)</f>
        <v>0</v>
      </c>
      <c r="N3433" s="4" t="str">
        <f aca="false">IF(K3433="","",A3433)</f>
        <v/>
      </c>
      <c r="O3433" s="4" t="n">
        <v>2022</v>
      </c>
      <c r="P3433" s="4" t="n">
        <f aca="false">IF(A3433=A3432,P3432+1-M3432,0)</f>
        <v>1</v>
      </c>
    </row>
    <row r="3434" customFormat="false" ht="15" hidden="false" customHeight="false" outlineLevel="0" collapsed="false">
      <c r="A3434" s="33" t="s">
        <v>4381</v>
      </c>
      <c r="B3434" s="33" t="s">
        <v>56</v>
      </c>
      <c r="C3434" s="33" t="s">
        <v>119</v>
      </c>
      <c r="D3434" s="33" t="s">
        <v>4382</v>
      </c>
      <c r="E3434" s="4" t="n">
        <v>3</v>
      </c>
      <c r="F3434" s="4" t="s">
        <v>213</v>
      </c>
      <c r="G3434" s="4" t="s">
        <v>373</v>
      </c>
      <c r="H3434" s="4" t="n">
        <v>1995</v>
      </c>
      <c r="I3434" s="4" t="s">
        <v>320</v>
      </c>
      <c r="J3434" s="25" t="str">
        <f aca="false">IF(M3434=1,"✓","")</f>
        <v>✓</v>
      </c>
      <c r="K3434" s="4" t="str">
        <f aca="false">IF(AND(M3434=0,P3434=0),"▶ NEXT","")</f>
        <v/>
      </c>
      <c r="L3434" s="4" t="n">
        <f aca="false">INDEX('Master List'!$F$2:$F$2594,O3434)</f>
        <v>4</v>
      </c>
      <c r="M3434" s="4" t="n">
        <f aca="false">INDEX('Master List'!$G$2:$G$2594,O3434)</f>
        <v>1</v>
      </c>
      <c r="N3434" s="4" t="str">
        <f aca="false">IF(K3434="","",A3434)</f>
        <v/>
      </c>
      <c r="O3434" s="4" t="n">
        <v>212</v>
      </c>
      <c r="P3434" s="4" t="n">
        <f aca="false">IF(A3434=A3433,P3433+1-M3433,0)</f>
        <v>2</v>
      </c>
    </row>
    <row r="3435" customFormat="false" ht="15" hidden="false" customHeight="false" outlineLevel="0" collapsed="false">
      <c r="A3435" s="33" t="s">
        <v>4381</v>
      </c>
      <c r="B3435" s="33" t="s">
        <v>56</v>
      </c>
      <c r="C3435" s="33" t="s">
        <v>119</v>
      </c>
      <c r="D3435" s="33" t="s">
        <v>4382</v>
      </c>
      <c r="E3435" s="4" t="n">
        <v>4</v>
      </c>
      <c r="F3435" s="4" t="s">
        <v>213</v>
      </c>
      <c r="G3435" s="4" t="s">
        <v>637</v>
      </c>
      <c r="H3435" s="4" t="n">
        <v>2004</v>
      </c>
      <c r="I3435" s="4" t="s">
        <v>320</v>
      </c>
      <c r="J3435" s="25" t="str">
        <f aca="false">IF(M3435=1,"✓","")</f>
        <v>✓</v>
      </c>
      <c r="K3435" s="4" t="str">
        <f aca="false">IF(AND(M3435=0,P3435=0),"▶ NEXT","")</f>
        <v/>
      </c>
      <c r="L3435" s="4" t="n">
        <f aca="false">INDEX('Master List'!$F$2:$F$2594,O3435)</f>
        <v>3</v>
      </c>
      <c r="M3435" s="4" t="n">
        <f aca="false">INDEX('Master List'!$G$2:$G$2594,O3435)</f>
        <v>1</v>
      </c>
      <c r="N3435" s="4" t="str">
        <f aca="false">IF(K3435="","",A3435)</f>
        <v/>
      </c>
      <c r="O3435" s="4" t="n">
        <v>213</v>
      </c>
      <c r="P3435" s="4" t="n">
        <f aca="false">IF(A3435=A3434,P3434+1-M3434,0)</f>
        <v>2</v>
      </c>
    </row>
    <row r="3436" customFormat="false" ht="15" hidden="false" customHeight="false" outlineLevel="0" collapsed="false">
      <c r="A3436" s="33" t="s">
        <v>4381</v>
      </c>
      <c r="B3436" s="33" t="s">
        <v>56</v>
      </c>
      <c r="C3436" s="33" t="s">
        <v>119</v>
      </c>
      <c r="D3436" s="33" t="s">
        <v>4382</v>
      </c>
      <c r="E3436" s="4" t="n">
        <v>5</v>
      </c>
      <c r="F3436" s="4" t="s">
        <v>213</v>
      </c>
      <c r="G3436" s="4" t="s">
        <v>523</v>
      </c>
      <c r="H3436" s="4" t="n">
        <v>2013</v>
      </c>
      <c r="I3436" s="4" t="s">
        <v>320</v>
      </c>
      <c r="J3436" s="25" t="str">
        <f aca="false">IF(M3436=1,"✓","")</f>
        <v>✓</v>
      </c>
      <c r="K3436" s="4" t="str">
        <f aca="false">IF(AND(M3436=0,P3436=0),"▶ NEXT","")</f>
        <v/>
      </c>
      <c r="L3436" s="4" t="n">
        <f aca="false">INDEX('Master List'!$F$2:$F$2594,O3436)</f>
        <v>3</v>
      </c>
      <c r="M3436" s="4" t="n">
        <f aca="false">INDEX('Master List'!$G$2:$G$2594,O3436)</f>
        <v>1</v>
      </c>
      <c r="N3436" s="4" t="str">
        <f aca="false">IF(K3436="","",A3436)</f>
        <v/>
      </c>
      <c r="O3436" s="4" t="n">
        <v>211</v>
      </c>
      <c r="P3436" s="4" t="n">
        <f aca="false">IF(A3436=A3435,P3435+1-M3435,0)</f>
        <v>2</v>
      </c>
    </row>
    <row r="3437" customFormat="false" ht="15" hidden="false" customHeight="false" outlineLevel="0" collapsed="false">
      <c r="A3437" s="33" t="s">
        <v>4381</v>
      </c>
      <c r="B3437" s="33" t="s">
        <v>56</v>
      </c>
      <c r="C3437" s="33" t="s">
        <v>119</v>
      </c>
      <c r="D3437" s="33" t="s">
        <v>4382</v>
      </c>
      <c r="E3437" s="4" t="n">
        <v>6</v>
      </c>
      <c r="F3437" s="4" t="s">
        <v>213</v>
      </c>
      <c r="G3437" s="4" t="s">
        <v>149</v>
      </c>
      <c r="H3437" s="4" t="n">
        <v>1959</v>
      </c>
      <c r="I3437" s="4" t="s">
        <v>150</v>
      </c>
      <c r="J3437" s="25" t="str">
        <f aca="false">IF(M3437=1,"✓","")</f>
        <v/>
      </c>
      <c r="K3437" s="4" t="str">
        <f aca="false">IF(AND(M3437=0,P3437=0),"▶ NEXT","")</f>
        <v/>
      </c>
      <c r="L3437" s="4" t="n">
        <f aca="false">INDEX('Master List'!$F$2:$F$2594,O3437)</f>
        <v>8</v>
      </c>
      <c r="M3437" s="4" t="n">
        <f aca="false">INDEX('Master List'!$G$2:$G$2594,O3437)</f>
        <v>0</v>
      </c>
      <c r="N3437" s="4" t="str">
        <f aca="false">IF(K3437="","",A3437)</f>
        <v/>
      </c>
      <c r="O3437" s="4" t="n">
        <v>25</v>
      </c>
      <c r="P3437" s="4" t="n">
        <f aca="false">IF(A3437=A3436,P3436+1-M3436,0)</f>
        <v>2</v>
      </c>
    </row>
    <row r="3438" customFormat="false" ht="15" hidden="false" customHeight="false" outlineLevel="0" collapsed="false">
      <c r="A3438" s="33" t="s">
        <v>4381</v>
      </c>
      <c r="B3438" s="33" t="s">
        <v>56</v>
      </c>
      <c r="C3438" s="33" t="s">
        <v>119</v>
      </c>
      <c r="D3438" s="33" t="s">
        <v>4382</v>
      </c>
      <c r="E3438" s="4" t="n">
        <v>7</v>
      </c>
      <c r="F3438" s="4" t="s">
        <v>213</v>
      </c>
      <c r="G3438" s="4" t="s">
        <v>1001</v>
      </c>
      <c r="H3438" s="4" t="n">
        <v>1968</v>
      </c>
      <c r="I3438" s="4" t="s">
        <v>150</v>
      </c>
      <c r="J3438" s="25" t="str">
        <f aca="false">IF(M3438=1,"✓","")</f>
        <v/>
      </c>
      <c r="K3438" s="4" t="str">
        <f aca="false">IF(AND(M3438=0,P3438=0),"▶ NEXT","")</f>
        <v/>
      </c>
      <c r="L3438" s="4" t="n">
        <f aca="false">INDEX('Master List'!$F$2:$F$2594,O3438)</f>
        <v>2</v>
      </c>
      <c r="M3438" s="4" t="n">
        <f aca="false">INDEX('Master List'!$G$2:$G$2594,O3438)</f>
        <v>0</v>
      </c>
      <c r="N3438" s="4" t="str">
        <f aca="false">IF(K3438="","",A3438)</f>
        <v/>
      </c>
      <c r="O3438" s="4" t="n">
        <v>2160</v>
      </c>
      <c r="P3438" s="4" t="n">
        <f aca="false">IF(A3438=A3437,P3437+1-M3437,0)</f>
        <v>3</v>
      </c>
    </row>
    <row r="3439" customFormat="false" ht="15" hidden="false" customHeight="false" outlineLevel="0" collapsed="false">
      <c r="A3439" s="33" t="s">
        <v>4381</v>
      </c>
      <c r="B3439" s="33" t="s">
        <v>56</v>
      </c>
      <c r="C3439" s="33" t="s">
        <v>119</v>
      </c>
      <c r="D3439" s="33" t="s">
        <v>4382</v>
      </c>
      <c r="E3439" s="4" t="n">
        <v>8</v>
      </c>
      <c r="F3439" s="4" t="s">
        <v>213</v>
      </c>
      <c r="G3439" s="4" t="s">
        <v>501</v>
      </c>
      <c r="H3439" s="4" t="n">
        <v>1994</v>
      </c>
      <c r="I3439" s="4" t="s">
        <v>502</v>
      </c>
      <c r="J3439" s="25" t="str">
        <f aca="false">IF(M3439=1,"✓","")</f>
        <v/>
      </c>
      <c r="K3439" s="4" t="str">
        <f aca="false">IF(AND(M3439=0,P3439=0),"▶ NEXT","")</f>
        <v/>
      </c>
      <c r="L3439" s="4" t="n">
        <f aca="false">INDEX('Master List'!$F$2:$F$2594,O3439)</f>
        <v>3</v>
      </c>
      <c r="M3439" s="4" t="n">
        <f aca="false">INDEX('Master List'!$G$2:$G$2594,O3439)</f>
        <v>0</v>
      </c>
      <c r="N3439" s="4" t="str">
        <f aca="false">IF(K3439="","",A3439)</f>
        <v/>
      </c>
      <c r="O3439" s="4" t="n">
        <v>1059</v>
      </c>
      <c r="P3439" s="4" t="n">
        <f aca="false">IF(A3439=A3438,P3438+1-M3438,0)</f>
        <v>4</v>
      </c>
    </row>
    <row r="3440" customFormat="false" ht="15" hidden="false" customHeight="false" outlineLevel="0" collapsed="false">
      <c r="A3440" s="33" t="s">
        <v>4381</v>
      </c>
      <c r="B3440" s="33" t="s">
        <v>56</v>
      </c>
      <c r="C3440" s="33" t="s">
        <v>119</v>
      </c>
      <c r="D3440" s="33" t="s">
        <v>4382</v>
      </c>
      <c r="E3440" s="4" t="n">
        <v>9</v>
      </c>
      <c r="F3440" s="4" t="s">
        <v>1327</v>
      </c>
      <c r="G3440" s="4" t="s">
        <v>3753</v>
      </c>
      <c r="H3440" s="4" t="n">
        <v>2005</v>
      </c>
      <c r="I3440" s="4" t="s">
        <v>3754</v>
      </c>
      <c r="J3440" s="25" t="str">
        <f aca="false">IF(M3440=1,"✓","")</f>
        <v/>
      </c>
      <c r="K3440" s="4" t="str">
        <f aca="false">IF(AND(M3440=0,P3440=0),"▶ NEXT","")</f>
        <v/>
      </c>
      <c r="L3440" s="4" t="n">
        <f aca="false">INDEX('Master List'!$F$2:$F$2594,O3440)</f>
        <v>1</v>
      </c>
      <c r="M3440" s="4" t="n">
        <f aca="false">INDEX('Master List'!$G$2:$G$2594,O3440)</f>
        <v>0</v>
      </c>
      <c r="N3440" s="4" t="str">
        <f aca="false">IF(K3440="","",A3440)</f>
        <v/>
      </c>
      <c r="O3440" s="4" t="n">
        <v>27</v>
      </c>
      <c r="P3440" s="4" t="n">
        <f aca="false">IF(A3440=A3439,P3439+1-M3439,0)</f>
        <v>5</v>
      </c>
    </row>
    <row r="3441" customFormat="false" ht="15" hidden="false" customHeight="false" outlineLevel="0" collapsed="false">
      <c r="A3441" s="33" t="s">
        <v>4381</v>
      </c>
      <c r="B3441" s="33" t="s">
        <v>56</v>
      </c>
      <c r="C3441" s="33" t="s">
        <v>119</v>
      </c>
      <c r="D3441" s="33" t="s">
        <v>4382</v>
      </c>
      <c r="E3441" s="4" t="n">
        <v>10</v>
      </c>
      <c r="F3441" s="4" t="s">
        <v>1327</v>
      </c>
      <c r="G3441" s="4" t="s">
        <v>3851</v>
      </c>
      <c r="H3441" s="4" t="n">
        <v>2019</v>
      </c>
      <c r="I3441" s="4" t="s">
        <v>3754</v>
      </c>
      <c r="J3441" s="25" t="str">
        <f aca="false">IF(M3441=1,"✓","")</f>
        <v/>
      </c>
      <c r="K3441" s="4" t="str">
        <f aca="false">IF(AND(M3441=0,P3441=0),"▶ NEXT","")</f>
        <v/>
      </c>
      <c r="L3441" s="4" t="n">
        <f aca="false">INDEX('Master List'!$F$2:$F$2594,O3441)</f>
        <v>1</v>
      </c>
      <c r="M3441" s="4" t="n">
        <f aca="false">INDEX('Master List'!$G$2:$G$2594,O3441)</f>
        <v>0</v>
      </c>
      <c r="N3441" s="4" t="str">
        <f aca="false">IF(K3441="","",A3441)</f>
        <v/>
      </c>
      <c r="O3441" s="4" t="n">
        <v>29</v>
      </c>
      <c r="P3441" s="4" t="n">
        <f aca="false">IF(A3441=A3440,P3440+1-M3440,0)</f>
        <v>6</v>
      </c>
    </row>
    <row r="3442" customFormat="false" ht="15" hidden="false" customHeight="false" outlineLevel="0" collapsed="false">
      <c r="A3442" s="33" t="s">
        <v>4383</v>
      </c>
      <c r="B3442" s="33" t="s">
        <v>56</v>
      </c>
      <c r="C3442" s="33" t="s">
        <v>120</v>
      </c>
      <c r="D3442" s="33" t="s">
        <v>4384</v>
      </c>
      <c r="E3442" s="4" t="n">
        <v>1</v>
      </c>
      <c r="F3442" s="4" t="s">
        <v>144</v>
      </c>
      <c r="G3442" s="7" t="s">
        <v>809</v>
      </c>
      <c r="H3442" s="4" t="n">
        <v>1981</v>
      </c>
      <c r="I3442" s="4" t="s">
        <v>810</v>
      </c>
      <c r="J3442" s="25" t="str">
        <f aca="false">IF(M3442=1,"✓","")</f>
        <v/>
      </c>
      <c r="K3442" s="4" t="str">
        <f aca="false">IF(AND(M3442=0,P3442=0),"▶ NEXT","")</f>
        <v>▶ NEXT</v>
      </c>
      <c r="L3442" s="4" t="n">
        <f aca="false">INDEX('Master List'!$F$2:$F$2594,O3442)</f>
        <v>2</v>
      </c>
      <c r="M3442" s="4" t="n">
        <f aca="false">INDEX('Master List'!$G$2:$G$2594,O3442)</f>
        <v>0</v>
      </c>
      <c r="N3442" s="4" t="str">
        <f aca="false">IF(K3442="","",A3442)</f>
        <v>N280</v>
      </c>
      <c r="O3442" s="4" t="n">
        <v>316</v>
      </c>
      <c r="P3442" s="4" t="n">
        <f aca="false">IF(A3442=A3441,P3441+1-M3441,0)</f>
        <v>0</v>
      </c>
    </row>
    <row r="3443" customFormat="false" ht="15" hidden="false" customHeight="false" outlineLevel="0" collapsed="false">
      <c r="A3443" s="33" t="s">
        <v>4383</v>
      </c>
      <c r="B3443" s="33" t="s">
        <v>56</v>
      </c>
      <c r="C3443" s="33" t="s">
        <v>120</v>
      </c>
      <c r="D3443" s="33" t="s">
        <v>4384</v>
      </c>
      <c r="E3443" s="4" t="n">
        <v>2</v>
      </c>
      <c r="F3443" s="4" t="s">
        <v>144</v>
      </c>
      <c r="G3443" s="7" t="s">
        <v>890</v>
      </c>
      <c r="H3443" s="4" t="n">
        <v>1990</v>
      </c>
      <c r="I3443" s="4" t="s">
        <v>369</v>
      </c>
      <c r="J3443" s="25" t="str">
        <f aca="false">IF(M3443=1,"✓","")</f>
        <v/>
      </c>
      <c r="K3443" s="4" t="str">
        <f aca="false">IF(AND(M3443=0,P3443=0),"▶ NEXT","")</f>
        <v/>
      </c>
      <c r="L3443" s="4" t="n">
        <f aca="false">INDEX('Master List'!$F$2:$F$2594,O3443)</f>
        <v>2</v>
      </c>
      <c r="M3443" s="4" t="n">
        <f aca="false">INDEX('Master List'!$G$2:$G$2594,O3443)</f>
        <v>0</v>
      </c>
      <c r="N3443" s="4" t="str">
        <f aca="false">IF(K3443="","",A3443)</f>
        <v/>
      </c>
      <c r="O3443" s="4" t="n">
        <v>1089</v>
      </c>
      <c r="P3443" s="4" t="n">
        <f aca="false">IF(A3443=A3442,P3442+1-M3442,0)</f>
        <v>1</v>
      </c>
    </row>
    <row r="3444" customFormat="false" ht="15" hidden="false" customHeight="false" outlineLevel="0" collapsed="false">
      <c r="A3444" s="33" t="s">
        <v>4383</v>
      </c>
      <c r="B3444" s="33" t="s">
        <v>56</v>
      </c>
      <c r="C3444" s="33" t="s">
        <v>120</v>
      </c>
      <c r="D3444" s="33" t="s">
        <v>4384</v>
      </c>
      <c r="E3444" s="4" t="n">
        <v>3</v>
      </c>
      <c r="F3444" s="4" t="s">
        <v>213</v>
      </c>
      <c r="G3444" s="4" t="s">
        <v>1957</v>
      </c>
      <c r="H3444" s="4" t="n">
        <v>1958</v>
      </c>
      <c r="I3444" s="4" t="s">
        <v>789</v>
      </c>
      <c r="J3444" s="25" t="str">
        <f aca="false">IF(M3444=1,"✓","")</f>
        <v/>
      </c>
      <c r="K3444" s="4" t="str">
        <f aca="false">IF(AND(M3444=0,P3444=0),"▶ NEXT","")</f>
        <v/>
      </c>
      <c r="L3444" s="4" t="n">
        <f aca="false">INDEX('Master List'!$F$2:$F$2594,O3444)</f>
        <v>1</v>
      </c>
      <c r="M3444" s="4" t="n">
        <f aca="false">INDEX('Master List'!$G$2:$G$2594,O3444)</f>
        <v>0</v>
      </c>
      <c r="N3444" s="4" t="str">
        <f aca="false">IF(K3444="","",A3444)</f>
        <v/>
      </c>
      <c r="O3444" s="4" t="n">
        <v>1946</v>
      </c>
      <c r="P3444" s="4" t="n">
        <f aca="false">IF(A3444=A3443,P3443+1-M3443,0)</f>
        <v>2</v>
      </c>
    </row>
    <row r="3445" customFormat="false" ht="15" hidden="false" customHeight="false" outlineLevel="0" collapsed="false">
      <c r="A3445" s="33" t="s">
        <v>4383</v>
      </c>
      <c r="B3445" s="33" t="s">
        <v>56</v>
      </c>
      <c r="C3445" s="33" t="s">
        <v>120</v>
      </c>
      <c r="D3445" s="33" t="s">
        <v>4384</v>
      </c>
      <c r="E3445" s="4" t="n">
        <v>4</v>
      </c>
      <c r="F3445" s="4" t="s">
        <v>213</v>
      </c>
      <c r="G3445" s="4" t="s">
        <v>2130</v>
      </c>
      <c r="H3445" s="4" t="n">
        <v>1968</v>
      </c>
      <c r="I3445" s="4" t="s">
        <v>971</v>
      </c>
      <c r="J3445" s="25" t="str">
        <f aca="false">IF(M3445=1,"✓","")</f>
        <v/>
      </c>
      <c r="K3445" s="4" t="str">
        <f aca="false">IF(AND(M3445=0,P3445=0),"▶ NEXT","")</f>
        <v/>
      </c>
      <c r="L3445" s="4" t="n">
        <f aca="false">INDEX('Master List'!$F$2:$F$2594,O3445)</f>
        <v>1</v>
      </c>
      <c r="M3445" s="4" t="n">
        <f aca="false">INDEX('Master List'!$G$2:$G$2594,O3445)</f>
        <v>0</v>
      </c>
      <c r="N3445" s="4" t="str">
        <f aca="false">IF(K3445="","",A3445)</f>
        <v/>
      </c>
      <c r="O3445" s="4" t="n">
        <v>1112</v>
      </c>
      <c r="P3445" s="4" t="n">
        <f aca="false">IF(A3445=A3444,P3444+1-M3444,0)</f>
        <v>3</v>
      </c>
    </row>
    <row r="3446" customFormat="false" ht="15" hidden="false" customHeight="false" outlineLevel="0" collapsed="false">
      <c r="A3446" s="33" t="s">
        <v>4383</v>
      </c>
      <c r="B3446" s="33" t="s">
        <v>56</v>
      </c>
      <c r="C3446" s="33" t="s">
        <v>120</v>
      </c>
      <c r="D3446" s="33" t="s">
        <v>4384</v>
      </c>
      <c r="E3446" s="4" t="n">
        <v>5</v>
      </c>
      <c r="F3446" s="4" t="s">
        <v>213</v>
      </c>
      <c r="G3446" s="4" t="s">
        <v>2625</v>
      </c>
      <c r="H3446" s="4" t="n">
        <v>1995</v>
      </c>
      <c r="I3446" s="4" t="s">
        <v>2426</v>
      </c>
      <c r="J3446" s="25" t="str">
        <f aca="false">IF(M3446=1,"✓","")</f>
        <v/>
      </c>
      <c r="K3446" s="4" t="str">
        <f aca="false">IF(AND(M3446=0,P3446=0),"▶ NEXT","")</f>
        <v/>
      </c>
      <c r="L3446" s="4" t="n">
        <f aca="false">INDEX('Master List'!$F$2:$F$2594,O3446)</f>
        <v>1</v>
      </c>
      <c r="M3446" s="4" t="n">
        <f aca="false">INDEX('Master List'!$G$2:$G$2594,O3446)</f>
        <v>0</v>
      </c>
      <c r="N3446" s="4" t="str">
        <f aca="false">IF(K3446="","",A3446)</f>
        <v/>
      </c>
      <c r="O3446" s="4" t="n">
        <v>540</v>
      </c>
      <c r="P3446" s="4" t="n">
        <f aca="false">IF(A3446=A3445,P3445+1-M3445,0)</f>
        <v>4</v>
      </c>
    </row>
    <row r="3447" customFormat="false" ht="15" hidden="false" customHeight="false" outlineLevel="0" collapsed="false">
      <c r="A3447" s="33" t="s">
        <v>4383</v>
      </c>
      <c r="B3447" s="33" t="s">
        <v>56</v>
      </c>
      <c r="C3447" s="33" t="s">
        <v>120</v>
      </c>
      <c r="D3447" s="33" t="s">
        <v>4384</v>
      </c>
      <c r="E3447" s="4" t="n">
        <v>6</v>
      </c>
      <c r="F3447" s="4" t="s">
        <v>213</v>
      </c>
      <c r="G3447" s="4" t="s">
        <v>2794</v>
      </c>
      <c r="H3447" s="4" t="n">
        <v>2002</v>
      </c>
      <c r="I3447" s="4" t="s">
        <v>865</v>
      </c>
      <c r="J3447" s="25" t="str">
        <f aca="false">IF(M3447=1,"✓","")</f>
        <v/>
      </c>
      <c r="K3447" s="4" t="str">
        <f aca="false">IF(AND(M3447=0,P3447=0),"▶ NEXT","")</f>
        <v/>
      </c>
      <c r="L3447" s="4" t="n">
        <f aca="false">INDEX('Master List'!$F$2:$F$2594,O3447)</f>
        <v>1</v>
      </c>
      <c r="M3447" s="4" t="n">
        <f aca="false">INDEX('Master List'!$G$2:$G$2594,O3447)</f>
        <v>0</v>
      </c>
      <c r="N3447" s="4" t="str">
        <f aca="false">IF(K3447="","",A3447)</f>
        <v/>
      </c>
      <c r="O3447" s="4" t="n">
        <v>1227</v>
      </c>
      <c r="P3447" s="4" t="n">
        <f aca="false">IF(A3447=A3446,P3446+1-M3446,0)</f>
        <v>5</v>
      </c>
    </row>
    <row r="3448" customFormat="false" ht="15" hidden="false" customHeight="false" outlineLevel="0" collapsed="false">
      <c r="A3448" s="33" t="s">
        <v>4383</v>
      </c>
      <c r="B3448" s="33" t="s">
        <v>56</v>
      </c>
      <c r="C3448" s="33" t="s">
        <v>120</v>
      </c>
      <c r="D3448" s="33" t="s">
        <v>4384</v>
      </c>
      <c r="E3448" s="4" t="n">
        <v>7</v>
      </c>
      <c r="F3448" s="4" t="s">
        <v>213</v>
      </c>
      <c r="G3448" s="4" t="s">
        <v>2795</v>
      </c>
      <c r="H3448" s="4" t="n">
        <v>2002</v>
      </c>
      <c r="I3448" s="4" t="s">
        <v>2796</v>
      </c>
      <c r="J3448" s="25" t="str">
        <f aca="false">IF(M3448=1,"✓","")</f>
        <v/>
      </c>
      <c r="K3448" s="4" t="str">
        <f aca="false">IF(AND(M3448=0,P3448=0),"▶ NEXT","")</f>
        <v/>
      </c>
      <c r="L3448" s="4" t="n">
        <f aca="false">INDEX('Master List'!$F$2:$F$2594,O3448)</f>
        <v>1</v>
      </c>
      <c r="M3448" s="4" t="n">
        <f aca="false">INDEX('Master List'!$G$2:$G$2594,O3448)</f>
        <v>0</v>
      </c>
      <c r="N3448" s="4" t="str">
        <f aca="false">IF(K3448="","",A3448)</f>
        <v/>
      </c>
      <c r="O3448" s="4" t="n">
        <v>222</v>
      </c>
      <c r="P3448" s="4" t="n">
        <f aca="false">IF(A3448=A3447,P3447+1-M3447,0)</f>
        <v>6</v>
      </c>
    </row>
    <row r="3449" customFormat="false" ht="15" hidden="false" customHeight="false" outlineLevel="0" collapsed="false">
      <c r="A3449" s="33" t="s">
        <v>4383</v>
      </c>
      <c r="B3449" s="33" t="s">
        <v>56</v>
      </c>
      <c r="C3449" s="33" t="s">
        <v>120</v>
      </c>
      <c r="D3449" s="33" t="s">
        <v>4384</v>
      </c>
      <c r="E3449" s="4" t="n">
        <v>8</v>
      </c>
      <c r="F3449" s="4" t="s">
        <v>1327</v>
      </c>
      <c r="G3449" s="4" t="s">
        <v>3825</v>
      </c>
      <c r="H3449" s="4" t="n">
        <v>2014</v>
      </c>
      <c r="I3449" s="4" t="s">
        <v>854</v>
      </c>
      <c r="J3449" s="25" t="str">
        <f aca="false">IF(M3449=1,"✓","")</f>
        <v/>
      </c>
      <c r="K3449" s="4" t="str">
        <f aca="false">IF(AND(M3449=0,P3449=0),"▶ NEXT","")</f>
        <v/>
      </c>
      <c r="L3449" s="4" t="n">
        <f aca="false">INDEX('Master List'!$F$2:$F$2594,O3449)</f>
        <v>1</v>
      </c>
      <c r="M3449" s="4" t="n">
        <f aca="false">INDEX('Master List'!$G$2:$G$2594,O3449)</f>
        <v>0</v>
      </c>
      <c r="N3449" s="4" t="str">
        <f aca="false">IF(K3449="","",A3449)</f>
        <v/>
      </c>
      <c r="O3449" s="4" t="n">
        <v>272</v>
      </c>
      <c r="P3449" s="4" t="n">
        <f aca="false">IF(A3449=A3448,P3448+1-M3448,0)</f>
        <v>7</v>
      </c>
    </row>
    <row r="3450" customFormat="false" ht="15" hidden="false" customHeight="false" outlineLevel="0" collapsed="false">
      <c r="A3450" s="33" t="s">
        <v>4385</v>
      </c>
      <c r="B3450" s="33" t="s">
        <v>56</v>
      </c>
      <c r="C3450" s="33" t="s">
        <v>120</v>
      </c>
      <c r="D3450" s="33" t="s">
        <v>4386</v>
      </c>
      <c r="E3450" s="4" t="n">
        <v>1</v>
      </c>
      <c r="F3450" s="4" t="s">
        <v>144</v>
      </c>
      <c r="G3450" s="7" t="s">
        <v>798</v>
      </c>
      <c r="H3450" s="4" t="n">
        <v>1926</v>
      </c>
      <c r="I3450" s="4" t="s">
        <v>1430</v>
      </c>
      <c r="J3450" s="25" t="str">
        <f aca="false">IF(M3450=1,"✓","")</f>
        <v/>
      </c>
      <c r="K3450" s="4" t="str">
        <f aca="false">IF(AND(M3450=0,P3450=0),"▶ NEXT","")</f>
        <v>▶ NEXT</v>
      </c>
      <c r="L3450" s="4" t="n">
        <f aca="false">INDEX('Master List'!$F$2:$F$2594,O3450)</f>
        <v>1</v>
      </c>
      <c r="M3450" s="4" t="n">
        <f aca="false">INDEX('Master List'!$G$2:$G$2594,O3450)</f>
        <v>0</v>
      </c>
      <c r="N3450" s="4" t="str">
        <f aca="false">IF(K3450="","",A3450)</f>
        <v>N281</v>
      </c>
      <c r="O3450" s="4" t="n">
        <v>1055</v>
      </c>
      <c r="P3450" s="4" t="n">
        <f aca="false">IF(A3450=A3449,P3449+1-M3449,0)</f>
        <v>0</v>
      </c>
    </row>
    <row r="3451" customFormat="false" ht="15" hidden="false" customHeight="false" outlineLevel="0" collapsed="false">
      <c r="A3451" s="33" t="s">
        <v>4385</v>
      </c>
      <c r="B3451" s="33" t="s">
        <v>56</v>
      </c>
      <c r="C3451" s="33" t="s">
        <v>120</v>
      </c>
      <c r="D3451" s="33" t="s">
        <v>4386</v>
      </c>
      <c r="E3451" s="4" t="n">
        <v>2</v>
      </c>
      <c r="F3451" s="4" t="s">
        <v>144</v>
      </c>
      <c r="G3451" s="7" t="s">
        <v>853</v>
      </c>
      <c r="H3451" s="4" t="n">
        <v>2003</v>
      </c>
      <c r="I3451" s="4" t="s">
        <v>854</v>
      </c>
      <c r="J3451" s="25" t="str">
        <f aca="false">IF(M3451=1,"✓","")</f>
        <v/>
      </c>
      <c r="K3451" s="4" t="str">
        <f aca="false">IF(AND(M3451=0,P3451=0),"▶ NEXT","")</f>
        <v/>
      </c>
      <c r="L3451" s="4" t="n">
        <f aca="false">INDEX('Master List'!$F$2:$F$2594,O3451)</f>
        <v>2</v>
      </c>
      <c r="M3451" s="4" t="n">
        <f aca="false">INDEX('Master List'!$G$2:$G$2594,O3451)</f>
        <v>0</v>
      </c>
      <c r="N3451" s="4" t="str">
        <f aca="false">IF(K3451="","",A3451)</f>
        <v/>
      </c>
      <c r="O3451" s="4" t="n">
        <v>2348</v>
      </c>
      <c r="P3451" s="4" t="n">
        <f aca="false">IF(A3451=A3450,P3450+1-M3450,0)</f>
        <v>1</v>
      </c>
    </row>
    <row r="3452" customFormat="false" ht="15" hidden="false" customHeight="false" outlineLevel="0" collapsed="false">
      <c r="A3452" s="33" t="s">
        <v>4385</v>
      </c>
      <c r="B3452" s="33" t="s">
        <v>56</v>
      </c>
      <c r="C3452" s="33" t="s">
        <v>120</v>
      </c>
      <c r="D3452" s="33" t="s">
        <v>4386</v>
      </c>
      <c r="E3452" s="4" t="n">
        <v>3</v>
      </c>
      <c r="F3452" s="4" t="s">
        <v>213</v>
      </c>
      <c r="G3452" s="4" t="s">
        <v>1705</v>
      </c>
      <c r="H3452" s="4" t="n">
        <v>1929</v>
      </c>
      <c r="I3452" s="4" t="s">
        <v>1706</v>
      </c>
      <c r="J3452" s="25" t="str">
        <f aca="false">IF(M3452=1,"✓","")</f>
        <v/>
      </c>
      <c r="K3452" s="4" t="str">
        <f aca="false">IF(AND(M3452=0,P3452=0),"▶ NEXT","")</f>
        <v/>
      </c>
      <c r="L3452" s="4" t="n">
        <f aca="false">INDEX('Master List'!$F$2:$F$2594,O3452)</f>
        <v>1</v>
      </c>
      <c r="M3452" s="4" t="n">
        <f aca="false">INDEX('Master List'!$G$2:$G$2594,O3452)</f>
        <v>0</v>
      </c>
      <c r="N3452" s="4" t="str">
        <f aca="false">IF(K3452="","",A3452)</f>
        <v/>
      </c>
      <c r="O3452" s="4" t="n">
        <v>2503</v>
      </c>
      <c r="P3452" s="4" t="n">
        <f aca="false">IF(A3452=A3451,P3451+1-M3451,0)</f>
        <v>2</v>
      </c>
    </row>
    <row r="3453" customFormat="false" ht="15" hidden="false" customHeight="false" outlineLevel="0" collapsed="false">
      <c r="A3453" s="33" t="s">
        <v>4385</v>
      </c>
      <c r="B3453" s="33" t="s">
        <v>56</v>
      </c>
      <c r="C3453" s="33" t="s">
        <v>120</v>
      </c>
      <c r="D3453" s="33" t="s">
        <v>4386</v>
      </c>
      <c r="E3453" s="4" t="n">
        <v>4</v>
      </c>
      <c r="F3453" s="4" t="s">
        <v>213</v>
      </c>
      <c r="G3453" s="4" t="s">
        <v>1738</v>
      </c>
      <c r="H3453" s="4" t="n">
        <v>1932</v>
      </c>
      <c r="I3453" s="4" t="s">
        <v>1739</v>
      </c>
      <c r="J3453" s="25" t="str">
        <f aca="false">IF(M3453=1,"✓","")</f>
        <v/>
      </c>
      <c r="K3453" s="4" t="str">
        <f aca="false">IF(AND(M3453=0,P3453=0),"▶ NEXT","")</f>
        <v/>
      </c>
      <c r="L3453" s="4" t="n">
        <f aca="false">INDEX('Master List'!$F$2:$F$2594,O3453)</f>
        <v>1</v>
      </c>
      <c r="M3453" s="4" t="n">
        <f aca="false">INDEX('Master List'!$G$2:$G$2594,O3453)</f>
        <v>0</v>
      </c>
      <c r="N3453" s="4" t="str">
        <f aca="false">IF(K3453="","",A3453)</f>
        <v/>
      </c>
      <c r="O3453" s="4" t="n">
        <v>300</v>
      </c>
      <c r="P3453" s="4" t="n">
        <f aca="false">IF(A3453=A3452,P3452+1-M3452,0)</f>
        <v>3</v>
      </c>
    </row>
    <row r="3454" customFormat="false" ht="15" hidden="false" customHeight="false" outlineLevel="0" collapsed="false">
      <c r="A3454" s="33" t="s">
        <v>4385</v>
      </c>
      <c r="B3454" s="33" t="s">
        <v>56</v>
      </c>
      <c r="C3454" s="33" t="s">
        <v>120</v>
      </c>
      <c r="D3454" s="33" t="s">
        <v>4386</v>
      </c>
      <c r="E3454" s="4" t="n">
        <v>5</v>
      </c>
      <c r="F3454" s="4" t="s">
        <v>213</v>
      </c>
      <c r="G3454" s="4" t="s">
        <v>2278</v>
      </c>
      <c r="H3454" s="4" t="n">
        <v>1975</v>
      </c>
      <c r="I3454" s="4" t="s">
        <v>829</v>
      </c>
      <c r="J3454" s="25" t="str">
        <f aca="false">IF(M3454=1,"✓","")</f>
        <v/>
      </c>
      <c r="K3454" s="4" t="str">
        <f aca="false">IF(AND(M3454=0,P3454=0),"▶ NEXT","")</f>
        <v/>
      </c>
      <c r="L3454" s="4" t="n">
        <f aca="false">INDEX('Master List'!$F$2:$F$2594,O3454)</f>
        <v>1</v>
      </c>
      <c r="M3454" s="4" t="n">
        <f aca="false">INDEX('Master List'!$G$2:$G$2594,O3454)</f>
        <v>0</v>
      </c>
      <c r="N3454" s="4" t="str">
        <f aca="false">IF(K3454="","",A3454)</f>
        <v/>
      </c>
      <c r="O3454" s="4" t="n">
        <v>712</v>
      </c>
      <c r="P3454" s="4" t="n">
        <f aca="false">IF(A3454=A3453,P3453+1-M3453,0)</f>
        <v>4</v>
      </c>
    </row>
    <row r="3455" customFormat="false" ht="15" hidden="false" customHeight="false" outlineLevel="0" collapsed="false">
      <c r="A3455" s="33" t="s">
        <v>4385</v>
      </c>
      <c r="B3455" s="33" t="s">
        <v>56</v>
      </c>
      <c r="C3455" s="33" t="s">
        <v>120</v>
      </c>
      <c r="D3455" s="33" t="s">
        <v>4386</v>
      </c>
      <c r="E3455" s="4" t="n">
        <v>6</v>
      </c>
      <c r="F3455" s="4" t="s">
        <v>213</v>
      </c>
      <c r="G3455" s="4" t="s">
        <v>2918</v>
      </c>
      <c r="H3455" s="4" t="n">
        <v>2008</v>
      </c>
      <c r="I3455" s="4" t="s">
        <v>2919</v>
      </c>
      <c r="J3455" s="25" t="str">
        <f aca="false">IF(M3455=1,"✓","")</f>
        <v/>
      </c>
      <c r="K3455" s="4" t="str">
        <f aca="false">IF(AND(M3455=0,P3455=0),"▶ NEXT","")</f>
        <v/>
      </c>
      <c r="L3455" s="4" t="n">
        <f aca="false">INDEX('Master List'!$F$2:$F$2594,O3455)</f>
        <v>1</v>
      </c>
      <c r="M3455" s="4" t="n">
        <f aca="false">INDEX('Master List'!$G$2:$G$2594,O3455)</f>
        <v>0</v>
      </c>
      <c r="N3455" s="4" t="str">
        <f aca="false">IF(K3455="","",A3455)</f>
        <v/>
      </c>
      <c r="O3455" s="4" t="n">
        <v>1631</v>
      </c>
      <c r="P3455" s="4" t="n">
        <f aca="false">IF(A3455=A3454,P3454+1-M3454,0)</f>
        <v>5</v>
      </c>
    </row>
    <row r="3456" customFormat="false" ht="15" hidden="false" customHeight="false" outlineLevel="0" collapsed="false">
      <c r="A3456" s="33" t="s">
        <v>4385</v>
      </c>
      <c r="B3456" s="33" t="s">
        <v>56</v>
      </c>
      <c r="C3456" s="33" t="s">
        <v>120</v>
      </c>
      <c r="D3456" s="33" t="s">
        <v>4386</v>
      </c>
      <c r="E3456" s="4" t="n">
        <v>7</v>
      </c>
      <c r="F3456" s="4" t="s">
        <v>213</v>
      </c>
      <c r="G3456" s="4" t="s">
        <v>3160</v>
      </c>
      <c r="H3456" s="4" t="n">
        <v>2018</v>
      </c>
      <c r="I3456" s="4" t="s">
        <v>3161</v>
      </c>
      <c r="J3456" s="25" t="str">
        <f aca="false">IF(M3456=1,"✓","")</f>
        <v/>
      </c>
      <c r="K3456" s="4" t="str">
        <f aca="false">IF(AND(M3456=0,P3456=0),"▶ NEXT","")</f>
        <v/>
      </c>
      <c r="L3456" s="4" t="n">
        <f aca="false">INDEX('Master List'!$F$2:$F$2594,O3456)</f>
        <v>1</v>
      </c>
      <c r="M3456" s="4" t="n">
        <f aca="false">INDEX('Master List'!$G$2:$G$2594,O3456)</f>
        <v>0</v>
      </c>
      <c r="N3456" s="4" t="str">
        <f aca="false">IF(K3456="","",A3456)</f>
        <v/>
      </c>
      <c r="O3456" s="4" t="n">
        <v>849</v>
      </c>
      <c r="P3456" s="4" t="n">
        <f aca="false">IF(A3456=A3455,P3455+1-M3455,0)</f>
        <v>6</v>
      </c>
    </row>
    <row r="3457" customFormat="false" ht="15" hidden="false" customHeight="false" outlineLevel="0" collapsed="false">
      <c r="A3457" s="33" t="s">
        <v>4385</v>
      </c>
      <c r="B3457" s="33" t="s">
        <v>56</v>
      </c>
      <c r="C3457" s="33" t="s">
        <v>120</v>
      </c>
      <c r="D3457" s="33" t="s">
        <v>4386</v>
      </c>
      <c r="E3457" s="4" t="n">
        <v>8</v>
      </c>
      <c r="F3457" s="4" t="s">
        <v>213</v>
      </c>
      <c r="G3457" s="4" t="s">
        <v>3084</v>
      </c>
      <c r="H3457" s="4" t="n">
        <v>2015</v>
      </c>
      <c r="I3457" s="4" t="s">
        <v>3085</v>
      </c>
      <c r="J3457" s="25" t="str">
        <f aca="false">IF(M3457=1,"✓","")</f>
        <v/>
      </c>
      <c r="K3457" s="4" t="str">
        <f aca="false">IF(AND(M3457=0,P3457=0),"▶ NEXT","")</f>
        <v/>
      </c>
      <c r="L3457" s="4" t="n">
        <f aca="false">INDEX('Master List'!$F$2:$F$2594,O3457)</f>
        <v>1</v>
      </c>
      <c r="M3457" s="4" t="n">
        <f aca="false">INDEX('Master List'!$G$2:$G$2594,O3457)</f>
        <v>0</v>
      </c>
      <c r="N3457" s="4" t="str">
        <f aca="false">IF(K3457="","",A3457)</f>
        <v/>
      </c>
      <c r="O3457" s="4" t="n">
        <v>1485</v>
      </c>
      <c r="P3457" s="4" t="n">
        <f aca="false">IF(A3457=A3456,P3456+1-M3456,0)</f>
        <v>7</v>
      </c>
    </row>
    <row r="3458" customFormat="false" ht="15" hidden="false" customHeight="false" outlineLevel="0" collapsed="false">
      <c r="A3458" s="33" t="s">
        <v>4385</v>
      </c>
      <c r="B3458" s="33" t="s">
        <v>56</v>
      </c>
      <c r="C3458" s="33" t="s">
        <v>120</v>
      </c>
      <c r="D3458" s="33" t="s">
        <v>4386</v>
      </c>
      <c r="E3458" s="4" t="n">
        <v>9</v>
      </c>
      <c r="F3458" s="4" t="s">
        <v>1327</v>
      </c>
      <c r="G3458" s="4" t="s">
        <v>3808</v>
      </c>
      <c r="H3458" s="4" t="n">
        <v>2012</v>
      </c>
      <c r="I3458" s="4" t="s">
        <v>3809</v>
      </c>
      <c r="J3458" s="25" t="str">
        <f aca="false">IF(M3458=1,"✓","")</f>
        <v/>
      </c>
      <c r="K3458" s="4" t="str">
        <f aca="false">IF(AND(M3458=0,P3458=0),"▶ NEXT","")</f>
        <v/>
      </c>
      <c r="L3458" s="4" t="n">
        <f aca="false">INDEX('Master List'!$F$2:$F$2594,O3458)</f>
        <v>1</v>
      </c>
      <c r="M3458" s="4" t="n">
        <f aca="false">INDEX('Master List'!$G$2:$G$2594,O3458)</f>
        <v>0</v>
      </c>
      <c r="N3458" s="4" t="str">
        <f aca="false">IF(K3458="","",A3458)</f>
        <v/>
      </c>
      <c r="O3458" s="4" t="n">
        <v>2200</v>
      </c>
      <c r="P3458" s="4" t="n">
        <f aca="false">IF(A3458=A3457,P3457+1-M3457,0)</f>
        <v>8</v>
      </c>
    </row>
    <row r="3459" customFormat="false" ht="15" hidden="false" customHeight="false" outlineLevel="0" collapsed="false">
      <c r="A3459" s="33" t="s">
        <v>4387</v>
      </c>
      <c r="B3459" s="33" t="s">
        <v>56</v>
      </c>
      <c r="C3459" s="33" t="s">
        <v>120</v>
      </c>
      <c r="D3459" s="33" t="s">
        <v>4388</v>
      </c>
      <c r="E3459" s="4" t="n">
        <v>1</v>
      </c>
      <c r="F3459" s="4" t="s">
        <v>144</v>
      </c>
      <c r="G3459" s="7" t="s">
        <v>1493</v>
      </c>
      <c r="H3459" s="4" t="n">
        <v>1972</v>
      </c>
      <c r="I3459" s="4" t="s">
        <v>1494</v>
      </c>
      <c r="J3459" s="25" t="str">
        <f aca="false">IF(M3459=1,"✓","")</f>
        <v/>
      </c>
      <c r="K3459" s="4" t="str">
        <f aca="false">IF(AND(M3459=0,P3459=0),"▶ NEXT","")</f>
        <v>▶ NEXT</v>
      </c>
      <c r="L3459" s="4" t="n">
        <f aca="false">INDEX('Master List'!$F$2:$F$2594,O3459)</f>
        <v>1</v>
      </c>
      <c r="M3459" s="4" t="n">
        <f aca="false">INDEX('Master List'!$G$2:$G$2594,O3459)</f>
        <v>0</v>
      </c>
      <c r="N3459" s="4" t="str">
        <f aca="false">IF(K3459="","",A3459)</f>
        <v>N282</v>
      </c>
      <c r="O3459" s="4" t="n">
        <v>1800</v>
      </c>
      <c r="P3459" s="4" t="n">
        <f aca="false">IF(A3459=A3458,P3458+1-M3458,0)</f>
        <v>0</v>
      </c>
    </row>
    <row r="3460" customFormat="false" ht="15" hidden="false" customHeight="false" outlineLevel="0" collapsed="false">
      <c r="A3460" s="33" t="s">
        <v>4387</v>
      </c>
      <c r="B3460" s="33" t="s">
        <v>56</v>
      </c>
      <c r="C3460" s="33" t="s">
        <v>120</v>
      </c>
      <c r="D3460" s="33" t="s">
        <v>4388</v>
      </c>
      <c r="E3460" s="4" t="n">
        <v>2</v>
      </c>
      <c r="F3460" s="4" t="s">
        <v>144</v>
      </c>
      <c r="G3460" s="7" t="s">
        <v>1502</v>
      </c>
      <c r="H3460" s="4" t="n">
        <v>1974</v>
      </c>
      <c r="I3460" s="4" t="s">
        <v>1503</v>
      </c>
      <c r="J3460" s="25" t="str">
        <f aca="false">IF(M3460=1,"✓","")</f>
        <v/>
      </c>
      <c r="K3460" s="4" t="str">
        <f aca="false">IF(AND(M3460=0,P3460=0),"▶ NEXT","")</f>
        <v/>
      </c>
      <c r="L3460" s="4" t="n">
        <f aca="false">INDEX('Master List'!$F$2:$F$2594,O3460)</f>
        <v>1</v>
      </c>
      <c r="M3460" s="4" t="n">
        <f aca="false">INDEX('Master List'!$G$2:$G$2594,O3460)</f>
        <v>0</v>
      </c>
      <c r="N3460" s="4" t="str">
        <f aca="false">IF(K3460="","",A3460)</f>
        <v/>
      </c>
      <c r="O3460" s="4" t="n">
        <v>2352</v>
      </c>
      <c r="P3460" s="4" t="n">
        <f aca="false">IF(A3460=A3459,P3459+1-M3459,0)</f>
        <v>1</v>
      </c>
    </row>
    <row r="3461" customFormat="false" ht="15" hidden="false" customHeight="false" outlineLevel="0" collapsed="false">
      <c r="A3461" s="33" t="s">
        <v>4387</v>
      </c>
      <c r="B3461" s="33" t="s">
        <v>56</v>
      </c>
      <c r="C3461" s="33" t="s">
        <v>120</v>
      </c>
      <c r="D3461" s="33" t="s">
        <v>4388</v>
      </c>
      <c r="E3461" s="4" t="n">
        <v>3</v>
      </c>
      <c r="F3461" s="4" t="s">
        <v>213</v>
      </c>
      <c r="G3461" s="4" t="s">
        <v>2166</v>
      </c>
      <c r="H3461" s="4" t="n">
        <v>1970</v>
      </c>
      <c r="I3461" s="4" t="s">
        <v>1849</v>
      </c>
      <c r="J3461" s="25" t="str">
        <f aca="false">IF(M3461=1,"✓","")</f>
        <v/>
      </c>
      <c r="K3461" s="4" t="str">
        <f aca="false">IF(AND(M3461=0,P3461=0),"▶ NEXT","")</f>
        <v/>
      </c>
      <c r="L3461" s="4" t="n">
        <f aca="false">INDEX('Master List'!$F$2:$F$2594,O3461)</f>
        <v>1</v>
      </c>
      <c r="M3461" s="4" t="n">
        <f aca="false">INDEX('Master List'!$G$2:$G$2594,O3461)</f>
        <v>0</v>
      </c>
      <c r="N3461" s="4" t="str">
        <f aca="false">IF(K3461="","",A3461)</f>
        <v/>
      </c>
      <c r="O3461" s="4" t="n">
        <v>59</v>
      </c>
      <c r="P3461" s="4" t="n">
        <f aca="false">IF(A3461=A3460,P3460+1-M3460,0)</f>
        <v>2</v>
      </c>
    </row>
    <row r="3462" customFormat="false" ht="15" hidden="false" customHeight="false" outlineLevel="0" collapsed="false">
      <c r="A3462" s="33" t="s">
        <v>4387</v>
      </c>
      <c r="B3462" s="33" t="s">
        <v>56</v>
      </c>
      <c r="C3462" s="33" t="s">
        <v>120</v>
      </c>
      <c r="D3462" s="33" t="s">
        <v>4388</v>
      </c>
      <c r="E3462" s="4" t="n">
        <v>4</v>
      </c>
      <c r="F3462" s="4" t="s">
        <v>213</v>
      </c>
      <c r="G3462" s="4" t="s">
        <v>2253</v>
      </c>
      <c r="H3462" s="4" t="n">
        <v>1974</v>
      </c>
      <c r="I3462" s="4" t="s">
        <v>1807</v>
      </c>
      <c r="J3462" s="25" t="str">
        <f aca="false">IF(M3462=1,"✓","")</f>
        <v/>
      </c>
      <c r="K3462" s="4" t="str">
        <f aca="false">IF(AND(M3462=0,P3462=0),"▶ NEXT","")</f>
        <v/>
      </c>
      <c r="L3462" s="4" t="n">
        <f aca="false">INDEX('Master List'!$F$2:$F$2594,O3462)</f>
        <v>1</v>
      </c>
      <c r="M3462" s="4" t="n">
        <f aca="false">INDEX('Master List'!$G$2:$G$2594,O3462)</f>
        <v>0</v>
      </c>
      <c r="N3462" s="4" t="str">
        <f aca="false">IF(K3462="","",A3462)</f>
        <v/>
      </c>
      <c r="O3462" s="4" t="n">
        <v>702</v>
      </c>
      <c r="P3462" s="4" t="n">
        <f aca="false">IF(A3462=A3461,P3461+1-M3461,0)</f>
        <v>3</v>
      </c>
    </row>
    <row r="3463" customFormat="false" ht="15" hidden="false" customHeight="false" outlineLevel="0" collapsed="false">
      <c r="A3463" s="33" t="s">
        <v>4387</v>
      </c>
      <c r="B3463" s="33" t="s">
        <v>56</v>
      </c>
      <c r="C3463" s="33" t="s">
        <v>120</v>
      </c>
      <c r="D3463" s="33" t="s">
        <v>4388</v>
      </c>
      <c r="E3463" s="4" t="n">
        <v>5</v>
      </c>
      <c r="F3463" s="4" t="s">
        <v>213</v>
      </c>
      <c r="G3463" s="4" t="s">
        <v>182</v>
      </c>
      <c r="H3463" s="4" t="n">
        <v>1975</v>
      </c>
      <c r="I3463" s="4" t="s">
        <v>183</v>
      </c>
      <c r="J3463" s="25" t="str">
        <f aca="false">IF(M3463=1,"✓","")</f>
        <v>✓</v>
      </c>
      <c r="K3463" s="4" t="str">
        <f aca="false">IF(AND(M3463=0,P3463=0),"▶ NEXT","")</f>
        <v/>
      </c>
      <c r="L3463" s="4" t="n">
        <f aca="false">INDEX('Master List'!$F$2:$F$2594,O3463)</f>
        <v>7</v>
      </c>
      <c r="M3463" s="4" t="n">
        <f aca="false">INDEX('Master List'!$G$2:$G$2594,O3463)</f>
        <v>1</v>
      </c>
      <c r="N3463" s="4" t="str">
        <f aca="false">IF(K3463="","",A3463)</f>
        <v/>
      </c>
      <c r="O3463" s="4" t="n">
        <v>1196</v>
      </c>
      <c r="P3463" s="4" t="n">
        <f aca="false">IF(A3463=A3462,P3462+1-M3462,0)</f>
        <v>4</v>
      </c>
    </row>
    <row r="3464" customFormat="false" ht="15" hidden="false" customHeight="false" outlineLevel="0" collapsed="false">
      <c r="A3464" s="33" t="s">
        <v>4387</v>
      </c>
      <c r="B3464" s="33" t="s">
        <v>56</v>
      </c>
      <c r="C3464" s="33" t="s">
        <v>120</v>
      </c>
      <c r="D3464" s="33" t="s">
        <v>4388</v>
      </c>
      <c r="E3464" s="4" t="n">
        <v>6</v>
      </c>
      <c r="F3464" s="4" t="s">
        <v>213</v>
      </c>
      <c r="G3464" s="4" t="s">
        <v>2656</v>
      </c>
      <c r="H3464" s="4" t="n">
        <v>1996</v>
      </c>
      <c r="I3464" s="4" t="s">
        <v>2585</v>
      </c>
      <c r="J3464" s="25" t="str">
        <f aca="false">IF(M3464=1,"✓","")</f>
        <v>✓</v>
      </c>
      <c r="K3464" s="4" t="str">
        <f aca="false">IF(AND(M3464=0,P3464=0),"▶ NEXT","")</f>
        <v/>
      </c>
      <c r="L3464" s="4" t="n">
        <f aca="false">INDEX('Master List'!$F$2:$F$2594,O3464)</f>
        <v>1</v>
      </c>
      <c r="M3464" s="4" t="n">
        <f aca="false">INDEX('Master List'!$G$2:$G$2594,O3464)</f>
        <v>1</v>
      </c>
      <c r="N3464" s="4" t="str">
        <f aca="false">IF(K3464="","",A3464)</f>
        <v/>
      </c>
      <c r="O3464" s="4" t="n">
        <v>2388</v>
      </c>
      <c r="P3464" s="4" t="n">
        <f aca="false">IF(A3464=A3463,P3463+1-M3463,0)</f>
        <v>4</v>
      </c>
    </row>
    <row r="3465" customFormat="false" ht="15" hidden="false" customHeight="false" outlineLevel="0" collapsed="false">
      <c r="A3465" s="33" t="s">
        <v>4387</v>
      </c>
      <c r="B3465" s="33" t="s">
        <v>56</v>
      </c>
      <c r="C3465" s="33" t="s">
        <v>120</v>
      </c>
      <c r="D3465" s="33" t="s">
        <v>4388</v>
      </c>
      <c r="E3465" s="4" t="n">
        <v>7</v>
      </c>
      <c r="F3465" s="4" t="s">
        <v>213</v>
      </c>
      <c r="G3465" s="4" t="s">
        <v>1123</v>
      </c>
      <c r="H3465" s="4" t="n">
        <v>1997</v>
      </c>
      <c r="I3465" s="4" t="s">
        <v>892</v>
      </c>
      <c r="J3465" s="25" t="str">
        <f aca="false">IF(M3465=1,"✓","")</f>
        <v/>
      </c>
      <c r="K3465" s="4" t="str">
        <f aca="false">IF(AND(M3465=0,P3465=0),"▶ NEXT","")</f>
        <v/>
      </c>
      <c r="L3465" s="4" t="n">
        <f aca="false">INDEX('Master List'!$F$2:$F$2594,O3465)</f>
        <v>2</v>
      </c>
      <c r="M3465" s="4" t="n">
        <f aca="false">INDEX('Master List'!$G$2:$G$2594,O3465)</f>
        <v>0</v>
      </c>
      <c r="N3465" s="4" t="str">
        <f aca="false">IF(K3465="","",A3465)</f>
        <v/>
      </c>
      <c r="O3465" s="4" t="n">
        <v>2312</v>
      </c>
      <c r="P3465" s="4" t="n">
        <f aca="false">IF(A3465=A3464,P3464+1-M3464,0)</f>
        <v>4</v>
      </c>
    </row>
    <row r="3466" customFormat="false" ht="15" hidden="false" customHeight="false" outlineLevel="0" collapsed="false">
      <c r="A3466" s="33" t="s">
        <v>4387</v>
      </c>
      <c r="B3466" s="33" t="s">
        <v>56</v>
      </c>
      <c r="C3466" s="33" t="s">
        <v>120</v>
      </c>
      <c r="D3466" s="33" t="s">
        <v>4388</v>
      </c>
      <c r="E3466" s="4" t="n">
        <v>8</v>
      </c>
      <c r="F3466" s="4" t="s">
        <v>213</v>
      </c>
      <c r="G3466" s="4" t="s">
        <v>3014</v>
      </c>
      <c r="H3466" s="4" t="n">
        <v>2012</v>
      </c>
      <c r="I3466" s="4" t="s">
        <v>2875</v>
      </c>
      <c r="J3466" s="25" t="str">
        <f aca="false">IF(M3466=1,"✓","")</f>
        <v/>
      </c>
      <c r="K3466" s="4" t="str">
        <f aca="false">IF(AND(M3466=0,P3466=0),"▶ NEXT","")</f>
        <v/>
      </c>
      <c r="L3466" s="4" t="n">
        <f aca="false">INDEX('Master List'!$F$2:$F$2594,O3466)</f>
        <v>1</v>
      </c>
      <c r="M3466" s="4" t="n">
        <f aca="false">INDEX('Master List'!$G$2:$G$2594,O3466)</f>
        <v>0</v>
      </c>
      <c r="N3466" s="4" t="str">
        <f aca="false">IF(K3466="","",A3466)</f>
        <v/>
      </c>
      <c r="O3466" s="4" t="n">
        <v>1123</v>
      </c>
      <c r="P3466" s="4" t="n">
        <f aca="false">IF(A3466=A3465,P3465+1-M3465,0)</f>
        <v>5</v>
      </c>
    </row>
    <row r="3467" customFormat="false" ht="15" hidden="false" customHeight="false" outlineLevel="0" collapsed="false">
      <c r="A3467" s="33" t="s">
        <v>4387</v>
      </c>
      <c r="B3467" s="33" t="s">
        <v>56</v>
      </c>
      <c r="C3467" s="33" t="s">
        <v>120</v>
      </c>
      <c r="D3467" s="33" t="s">
        <v>4388</v>
      </c>
      <c r="E3467" s="4" t="n">
        <v>9</v>
      </c>
      <c r="F3467" s="4" t="s">
        <v>213</v>
      </c>
      <c r="G3467" s="4" t="s">
        <v>1200</v>
      </c>
      <c r="H3467" s="4" t="n">
        <v>2011</v>
      </c>
      <c r="I3467" s="4" t="s">
        <v>490</v>
      </c>
      <c r="J3467" s="25" t="str">
        <f aca="false">IF(M3467=1,"✓","")</f>
        <v>✓</v>
      </c>
      <c r="K3467" s="4" t="str">
        <f aca="false">IF(AND(M3467=0,P3467=0),"▶ NEXT","")</f>
        <v/>
      </c>
      <c r="L3467" s="4" t="n">
        <f aca="false">INDEX('Master List'!$F$2:$F$2594,O3467)</f>
        <v>2</v>
      </c>
      <c r="M3467" s="4" t="n">
        <f aca="false">INDEX('Master List'!$G$2:$G$2594,O3467)</f>
        <v>1</v>
      </c>
      <c r="N3467" s="4" t="str">
        <f aca="false">IF(K3467="","",A3467)</f>
        <v/>
      </c>
      <c r="O3467" s="4" t="n">
        <v>517</v>
      </c>
      <c r="P3467" s="4" t="n">
        <f aca="false">IF(A3467=A3466,P3466+1-M3466,0)</f>
        <v>6</v>
      </c>
    </row>
    <row r="3468" customFormat="false" ht="15" hidden="false" customHeight="false" outlineLevel="0" collapsed="false">
      <c r="A3468" s="33" t="s">
        <v>4387</v>
      </c>
      <c r="B3468" s="33" t="s">
        <v>56</v>
      </c>
      <c r="C3468" s="33" t="s">
        <v>120</v>
      </c>
      <c r="D3468" s="33" t="s">
        <v>4388</v>
      </c>
      <c r="E3468" s="4" t="n">
        <v>10</v>
      </c>
      <c r="F3468" s="4" t="s">
        <v>1327</v>
      </c>
      <c r="G3468" s="4" t="s">
        <v>1316</v>
      </c>
      <c r="H3468" s="4" t="n">
        <v>1953</v>
      </c>
      <c r="I3468" s="4" t="s">
        <v>1317</v>
      </c>
      <c r="J3468" s="25" t="str">
        <f aca="false">IF(M3468=1,"✓","")</f>
        <v/>
      </c>
      <c r="K3468" s="4" t="str">
        <f aca="false">IF(AND(M3468=0,P3468=0),"▶ NEXT","")</f>
        <v/>
      </c>
      <c r="L3468" s="4" t="n">
        <f aca="false">INDEX('Master List'!$F$2:$F$2594,O3468)</f>
        <v>2</v>
      </c>
      <c r="M3468" s="4" t="n">
        <f aca="false">INDEX('Master List'!$G$2:$G$2594,O3468)</f>
        <v>0</v>
      </c>
      <c r="N3468" s="4" t="str">
        <f aca="false">IF(K3468="","",A3468)</f>
        <v/>
      </c>
      <c r="O3468" s="4" t="n">
        <v>2448</v>
      </c>
      <c r="P3468" s="4" t="n">
        <f aca="false">IF(A3468=A3467,P3467+1-M3467,0)</f>
        <v>6</v>
      </c>
    </row>
    <row r="3469" customFormat="false" ht="15" hidden="false" customHeight="false" outlineLevel="0" collapsed="false">
      <c r="A3469" s="33" t="s">
        <v>4389</v>
      </c>
      <c r="B3469" s="33" t="s">
        <v>56</v>
      </c>
      <c r="C3469" s="33" t="s">
        <v>120</v>
      </c>
      <c r="D3469" s="33" t="s">
        <v>4390</v>
      </c>
      <c r="E3469" s="4" t="n">
        <v>1</v>
      </c>
      <c r="F3469" s="4" t="s">
        <v>144</v>
      </c>
      <c r="G3469" s="7" t="s">
        <v>406</v>
      </c>
      <c r="H3469" s="4" t="n">
        <v>1954</v>
      </c>
      <c r="I3469" s="4" t="s">
        <v>407</v>
      </c>
      <c r="J3469" s="25" t="str">
        <f aca="false">IF(M3469=1,"✓","")</f>
        <v/>
      </c>
      <c r="K3469" s="4" t="str">
        <f aca="false">IF(AND(M3469=0,P3469=0),"▶ NEXT","")</f>
        <v>▶ NEXT</v>
      </c>
      <c r="L3469" s="4" t="n">
        <f aca="false">INDEX('Master List'!$F$2:$F$2594,O3469)</f>
        <v>3</v>
      </c>
      <c r="M3469" s="4" t="n">
        <f aca="false">INDEX('Master List'!$G$2:$G$2594,O3469)</f>
        <v>0</v>
      </c>
      <c r="N3469" s="4" t="str">
        <f aca="false">IF(K3469="","",A3469)</f>
        <v>N283</v>
      </c>
      <c r="O3469" s="4" t="n">
        <v>911</v>
      </c>
      <c r="P3469" s="4" t="n">
        <f aca="false">IF(A3469=A3468,P3468+1-M3468,0)</f>
        <v>0</v>
      </c>
    </row>
    <row r="3470" customFormat="false" ht="15" hidden="false" customHeight="false" outlineLevel="0" collapsed="false">
      <c r="A3470" s="33" t="s">
        <v>4389</v>
      </c>
      <c r="B3470" s="33" t="s">
        <v>56</v>
      </c>
      <c r="C3470" s="33" t="s">
        <v>120</v>
      </c>
      <c r="D3470" s="33" t="s">
        <v>4390</v>
      </c>
      <c r="E3470" s="4" t="n">
        <v>2</v>
      </c>
      <c r="F3470" s="4" t="s">
        <v>144</v>
      </c>
      <c r="G3470" s="7" t="s">
        <v>1634</v>
      </c>
      <c r="H3470" s="4" t="n">
        <v>2016</v>
      </c>
      <c r="I3470" s="4" t="s">
        <v>1635</v>
      </c>
      <c r="J3470" s="25" t="str">
        <f aca="false">IF(M3470=1,"✓","")</f>
        <v/>
      </c>
      <c r="K3470" s="4" t="str">
        <f aca="false">IF(AND(M3470=0,P3470=0),"▶ NEXT","")</f>
        <v/>
      </c>
      <c r="L3470" s="4" t="n">
        <f aca="false">INDEX('Master List'!$F$2:$F$2594,O3470)</f>
        <v>1</v>
      </c>
      <c r="M3470" s="4" t="n">
        <f aca="false">INDEX('Master List'!$G$2:$G$2594,O3470)</f>
        <v>0</v>
      </c>
      <c r="N3470" s="4" t="str">
        <f aca="false">IF(K3470="","",A3470)</f>
        <v/>
      </c>
      <c r="O3470" s="4" t="n">
        <v>2045</v>
      </c>
      <c r="P3470" s="4" t="n">
        <f aca="false">IF(A3470=A3469,P3469+1-M3469,0)</f>
        <v>1</v>
      </c>
    </row>
    <row r="3471" customFormat="false" ht="15" hidden="false" customHeight="false" outlineLevel="0" collapsed="false">
      <c r="A3471" s="33" t="s">
        <v>4389</v>
      </c>
      <c r="B3471" s="33" t="s">
        <v>56</v>
      </c>
      <c r="C3471" s="33" t="s">
        <v>120</v>
      </c>
      <c r="D3471" s="33" t="s">
        <v>4390</v>
      </c>
      <c r="E3471" s="4" t="n">
        <v>3</v>
      </c>
      <c r="F3471" s="4" t="s">
        <v>213</v>
      </c>
      <c r="G3471" s="4" t="s">
        <v>566</v>
      </c>
      <c r="H3471" s="4" t="n">
        <v>1933</v>
      </c>
      <c r="I3471" s="4" t="s">
        <v>567</v>
      </c>
      <c r="J3471" s="25" t="str">
        <f aca="false">IF(M3471=1,"✓","")</f>
        <v/>
      </c>
      <c r="K3471" s="4" t="str">
        <f aca="false">IF(AND(M3471=0,P3471=0),"▶ NEXT","")</f>
        <v/>
      </c>
      <c r="L3471" s="4" t="n">
        <f aca="false">INDEX('Master List'!$F$2:$F$2594,O3471)</f>
        <v>3</v>
      </c>
      <c r="M3471" s="4" t="n">
        <f aca="false">INDEX('Master List'!$G$2:$G$2594,O3471)</f>
        <v>0</v>
      </c>
      <c r="N3471" s="4" t="str">
        <f aca="false">IF(K3471="","",A3471)</f>
        <v/>
      </c>
      <c r="O3471" s="4" t="n">
        <v>1257</v>
      </c>
      <c r="P3471" s="4" t="n">
        <f aca="false">IF(A3471=A3470,P3470+1-M3470,0)</f>
        <v>2</v>
      </c>
    </row>
    <row r="3472" customFormat="false" ht="15" hidden="false" customHeight="false" outlineLevel="0" collapsed="false">
      <c r="A3472" s="33" t="s">
        <v>4389</v>
      </c>
      <c r="B3472" s="33" t="s">
        <v>56</v>
      </c>
      <c r="C3472" s="33" t="s">
        <v>120</v>
      </c>
      <c r="D3472" s="33" t="s">
        <v>4390</v>
      </c>
      <c r="E3472" s="4" t="n">
        <v>4</v>
      </c>
      <c r="F3472" s="4" t="s">
        <v>213</v>
      </c>
      <c r="G3472" s="4" t="s">
        <v>1936</v>
      </c>
      <c r="H3472" s="4" t="n">
        <v>1956</v>
      </c>
      <c r="I3472" s="4" t="s">
        <v>407</v>
      </c>
      <c r="J3472" s="25" t="str">
        <f aca="false">IF(M3472=1,"✓","")</f>
        <v/>
      </c>
      <c r="K3472" s="4" t="str">
        <f aca="false">IF(AND(M3472=0,P3472=0),"▶ NEXT","")</f>
        <v/>
      </c>
      <c r="L3472" s="4" t="n">
        <f aca="false">INDEX('Master List'!$F$2:$F$2594,O3472)</f>
        <v>1</v>
      </c>
      <c r="M3472" s="4" t="n">
        <f aca="false">INDEX('Master List'!$G$2:$G$2594,O3472)</f>
        <v>0</v>
      </c>
      <c r="N3472" s="4" t="str">
        <f aca="false">IF(K3472="","",A3472)</f>
        <v/>
      </c>
      <c r="O3472" s="4" t="n">
        <v>1923</v>
      </c>
      <c r="P3472" s="4" t="n">
        <f aca="false">IF(A3472=A3471,P3471+1-M3471,0)</f>
        <v>3</v>
      </c>
    </row>
    <row r="3473" customFormat="false" ht="15" hidden="false" customHeight="false" outlineLevel="0" collapsed="false">
      <c r="A3473" s="33" t="s">
        <v>4389</v>
      </c>
      <c r="B3473" s="33" t="s">
        <v>56</v>
      </c>
      <c r="C3473" s="33" t="s">
        <v>120</v>
      </c>
      <c r="D3473" s="33" t="s">
        <v>4390</v>
      </c>
      <c r="E3473" s="4" t="n">
        <v>5</v>
      </c>
      <c r="F3473" s="4" t="s">
        <v>213</v>
      </c>
      <c r="G3473" s="4" t="s">
        <v>2006</v>
      </c>
      <c r="H3473" s="4" t="n">
        <v>1961</v>
      </c>
      <c r="I3473" s="4" t="s">
        <v>407</v>
      </c>
      <c r="J3473" s="25" t="str">
        <f aca="false">IF(M3473=1,"✓","")</f>
        <v/>
      </c>
      <c r="K3473" s="4" t="str">
        <f aca="false">IF(AND(M3473=0,P3473=0),"▶ NEXT","")</f>
        <v/>
      </c>
      <c r="L3473" s="4" t="n">
        <f aca="false">INDEX('Master List'!$F$2:$F$2594,O3473)</f>
        <v>1</v>
      </c>
      <c r="M3473" s="4" t="n">
        <f aca="false">INDEX('Master List'!$G$2:$G$2594,O3473)</f>
        <v>0</v>
      </c>
      <c r="N3473" s="4" t="str">
        <f aca="false">IF(K3473="","",A3473)</f>
        <v/>
      </c>
      <c r="O3473" s="4" t="n">
        <v>1542</v>
      </c>
      <c r="P3473" s="4" t="n">
        <f aca="false">IF(A3473=A3472,P3472+1-M3472,0)</f>
        <v>4</v>
      </c>
    </row>
    <row r="3474" customFormat="false" ht="15" hidden="false" customHeight="false" outlineLevel="0" collapsed="false">
      <c r="A3474" s="33" t="s">
        <v>4389</v>
      </c>
      <c r="B3474" s="33" t="s">
        <v>56</v>
      </c>
      <c r="C3474" s="33" t="s">
        <v>120</v>
      </c>
      <c r="D3474" s="33" t="s">
        <v>4390</v>
      </c>
      <c r="E3474" s="4" t="n">
        <v>6</v>
      </c>
      <c r="F3474" s="4" t="s">
        <v>213</v>
      </c>
      <c r="G3474" s="4" t="s">
        <v>2626</v>
      </c>
      <c r="H3474" s="4" t="n">
        <v>1995</v>
      </c>
      <c r="I3474" s="4" t="s">
        <v>2627</v>
      </c>
      <c r="J3474" s="25" t="str">
        <f aca="false">IF(M3474=1,"✓","")</f>
        <v/>
      </c>
      <c r="K3474" s="4" t="str">
        <f aca="false">IF(AND(M3474=0,P3474=0),"▶ NEXT","")</f>
        <v/>
      </c>
      <c r="L3474" s="4" t="n">
        <f aca="false">INDEX('Master List'!$F$2:$F$2594,O3474)</f>
        <v>1</v>
      </c>
      <c r="M3474" s="4" t="n">
        <f aca="false">INDEX('Master List'!$G$2:$G$2594,O3474)</f>
        <v>0</v>
      </c>
      <c r="N3474" s="4" t="str">
        <f aca="false">IF(K3474="","",A3474)</f>
        <v/>
      </c>
      <c r="O3474" s="4" t="n">
        <v>875</v>
      </c>
      <c r="P3474" s="4" t="n">
        <f aca="false">IF(A3474=A3473,P3473+1-M3473,0)</f>
        <v>5</v>
      </c>
    </row>
    <row r="3475" customFormat="false" ht="15" hidden="false" customHeight="false" outlineLevel="0" collapsed="false">
      <c r="A3475" s="33" t="s">
        <v>4389</v>
      </c>
      <c r="B3475" s="33" t="s">
        <v>56</v>
      </c>
      <c r="C3475" s="33" t="s">
        <v>120</v>
      </c>
      <c r="D3475" s="33" t="s">
        <v>4390</v>
      </c>
      <c r="E3475" s="4" t="n">
        <v>7</v>
      </c>
      <c r="F3475" s="4" t="s">
        <v>213</v>
      </c>
      <c r="G3475" s="4" t="s">
        <v>638</v>
      </c>
      <c r="H3475" s="4" t="n">
        <v>2006</v>
      </c>
      <c r="I3475" s="4" t="s">
        <v>276</v>
      </c>
      <c r="J3475" s="25" t="str">
        <f aca="false">IF(M3475=1,"✓","")</f>
        <v/>
      </c>
      <c r="K3475" s="4" t="str">
        <f aca="false">IF(AND(M3475=0,P3475=0),"▶ NEXT","")</f>
        <v/>
      </c>
      <c r="L3475" s="4" t="n">
        <f aca="false">INDEX('Master List'!$F$2:$F$2594,O3475)</f>
        <v>3</v>
      </c>
      <c r="M3475" s="4" t="n">
        <f aca="false">INDEX('Master List'!$G$2:$G$2594,O3475)</f>
        <v>0</v>
      </c>
      <c r="N3475" s="4" t="str">
        <f aca="false">IF(K3475="","",A3475)</f>
        <v/>
      </c>
      <c r="O3475" s="4" t="n">
        <v>1063</v>
      </c>
      <c r="P3475" s="4" t="n">
        <f aca="false">IF(A3475=A3474,P3474+1-M3474,0)</f>
        <v>6</v>
      </c>
    </row>
    <row r="3476" customFormat="false" ht="15" hidden="false" customHeight="false" outlineLevel="0" collapsed="false">
      <c r="A3476" s="33" t="s">
        <v>4389</v>
      </c>
      <c r="B3476" s="33" t="s">
        <v>56</v>
      </c>
      <c r="C3476" s="33" t="s">
        <v>120</v>
      </c>
      <c r="D3476" s="33" t="s">
        <v>4390</v>
      </c>
      <c r="E3476" s="4" t="n">
        <v>8</v>
      </c>
      <c r="F3476" s="4" t="s">
        <v>213</v>
      </c>
      <c r="G3476" s="4" t="s">
        <v>1183</v>
      </c>
      <c r="H3476" s="4" t="n">
        <v>2008</v>
      </c>
      <c r="I3476" s="4" t="s">
        <v>1184</v>
      </c>
      <c r="J3476" s="25" t="str">
        <f aca="false">IF(M3476=1,"✓","")</f>
        <v/>
      </c>
      <c r="K3476" s="4" t="str">
        <f aca="false">IF(AND(M3476=0,P3476=0),"▶ NEXT","")</f>
        <v/>
      </c>
      <c r="L3476" s="4" t="n">
        <f aca="false">INDEX('Master List'!$F$2:$F$2594,O3476)</f>
        <v>2</v>
      </c>
      <c r="M3476" s="4" t="n">
        <f aca="false">INDEX('Master List'!$G$2:$G$2594,O3476)</f>
        <v>0</v>
      </c>
      <c r="N3476" s="4" t="str">
        <f aca="false">IF(K3476="","",A3476)</f>
        <v/>
      </c>
      <c r="O3476" s="4" t="n">
        <v>486</v>
      </c>
      <c r="P3476" s="4" t="n">
        <f aca="false">IF(A3476=A3475,P3475+1-M3475,0)</f>
        <v>7</v>
      </c>
    </row>
    <row r="3477" customFormat="false" ht="15" hidden="false" customHeight="false" outlineLevel="0" collapsed="false">
      <c r="A3477" s="33" t="s">
        <v>4389</v>
      </c>
      <c r="B3477" s="33" t="s">
        <v>56</v>
      </c>
      <c r="C3477" s="33" t="s">
        <v>120</v>
      </c>
      <c r="D3477" s="33" t="s">
        <v>4390</v>
      </c>
      <c r="E3477" s="4" t="n">
        <v>9</v>
      </c>
      <c r="F3477" s="4" t="s">
        <v>213</v>
      </c>
      <c r="G3477" s="4" t="s">
        <v>3249</v>
      </c>
      <c r="H3477" s="4" t="n">
        <v>2023</v>
      </c>
      <c r="I3477" s="4" t="s">
        <v>3250</v>
      </c>
      <c r="J3477" s="25" t="str">
        <f aca="false">IF(M3477=1,"✓","")</f>
        <v/>
      </c>
      <c r="K3477" s="4" t="str">
        <f aca="false">IF(AND(M3477=0,P3477=0),"▶ NEXT","")</f>
        <v/>
      </c>
      <c r="L3477" s="4" t="n">
        <f aca="false">INDEX('Master List'!$F$2:$F$2594,O3477)</f>
        <v>1</v>
      </c>
      <c r="M3477" s="4" t="n">
        <f aca="false">INDEX('Master List'!$G$2:$G$2594,O3477)</f>
        <v>0</v>
      </c>
      <c r="N3477" s="4" t="str">
        <f aca="false">IF(K3477="","",A3477)</f>
        <v/>
      </c>
      <c r="O3477" s="4" t="n">
        <v>912</v>
      </c>
      <c r="P3477" s="4" t="n">
        <f aca="false">IF(A3477=A3476,P3476+1-M3476,0)</f>
        <v>8</v>
      </c>
    </row>
    <row r="3478" customFormat="false" ht="15" hidden="false" customHeight="false" outlineLevel="0" collapsed="false">
      <c r="A3478" s="33" t="s">
        <v>4389</v>
      </c>
      <c r="B3478" s="33" t="s">
        <v>56</v>
      </c>
      <c r="C3478" s="33" t="s">
        <v>120</v>
      </c>
      <c r="D3478" s="33" t="s">
        <v>4390</v>
      </c>
      <c r="E3478" s="4" t="n">
        <v>10</v>
      </c>
      <c r="F3478" s="4" t="s">
        <v>1327</v>
      </c>
      <c r="G3478" s="4" t="s">
        <v>3458</v>
      </c>
      <c r="H3478" s="4" t="n">
        <v>1968</v>
      </c>
      <c r="I3478" s="4" t="s">
        <v>407</v>
      </c>
      <c r="J3478" s="25" t="str">
        <f aca="false">IF(M3478=1,"✓","")</f>
        <v/>
      </c>
      <c r="K3478" s="4" t="str">
        <f aca="false">IF(AND(M3478=0,P3478=0),"▶ NEXT","")</f>
        <v/>
      </c>
      <c r="L3478" s="4" t="n">
        <f aca="false">INDEX('Master List'!$F$2:$F$2594,O3478)</f>
        <v>1</v>
      </c>
      <c r="M3478" s="4" t="n">
        <f aca="false">INDEX('Master List'!$G$2:$G$2594,O3478)</f>
        <v>0</v>
      </c>
      <c r="N3478" s="4" t="str">
        <f aca="false">IF(K3478="","",A3478)</f>
        <v/>
      </c>
      <c r="O3478" s="4" t="n">
        <v>614</v>
      </c>
      <c r="P3478" s="4" t="n">
        <f aca="false">IF(A3478=A3477,P3477+1-M3477,0)</f>
        <v>9</v>
      </c>
    </row>
    <row r="3479" customFormat="false" ht="15" hidden="false" customHeight="false" outlineLevel="0" collapsed="false">
      <c r="A3479" s="33" t="s">
        <v>4391</v>
      </c>
      <c r="B3479" s="33" t="s">
        <v>56</v>
      </c>
      <c r="C3479" s="33" t="s">
        <v>120</v>
      </c>
      <c r="D3479" s="33" t="s">
        <v>4392</v>
      </c>
      <c r="E3479" s="4" t="n">
        <v>1</v>
      </c>
      <c r="F3479" s="4" t="s">
        <v>144</v>
      </c>
      <c r="G3479" s="7" t="s">
        <v>354</v>
      </c>
      <c r="H3479" s="4" t="n">
        <v>1955</v>
      </c>
      <c r="I3479" s="4" t="s">
        <v>355</v>
      </c>
      <c r="J3479" s="25" t="str">
        <f aca="false">IF(M3479=1,"✓","")</f>
        <v>✓</v>
      </c>
      <c r="K3479" s="4" t="str">
        <f aca="false">IF(AND(M3479=0,P3479=0),"▶ NEXT","")</f>
        <v/>
      </c>
      <c r="L3479" s="4" t="n">
        <f aca="false">INDEX('Master List'!$F$2:$F$2594,O3479)</f>
        <v>4</v>
      </c>
      <c r="M3479" s="4" t="n">
        <f aca="false">INDEX('Master List'!$G$2:$G$2594,O3479)</f>
        <v>1</v>
      </c>
      <c r="N3479" s="4" t="str">
        <f aca="false">IF(K3479="","",A3479)</f>
        <v/>
      </c>
      <c r="O3479" s="4" t="n">
        <v>1606</v>
      </c>
      <c r="P3479" s="4" t="n">
        <f aca="false">IF(A3479=A3478,P3478+1-M3478,0)</f>
        <v>0</v>
      </c>
    </row>
    <row r="3480" customFormat="false" ht="15" hidden="false" customHeight="false" outlineLevel="0" collapsed="false">
      <c r="A3480" s="33" t="s">
        <v>4391</v>
      </c>
      <c r="B3480" s="33" t="s">
        <v>56</v>
      </c>
      <c r="C3480" s="33" t="s">
        <v>120</v>
      </c>
      <c r="D3480" s="33" t="s">
        <v>4392</v>
      </c>
      <c r="E3480" s="4" t="n">
        <v>2</v>
      </c>
      <c r="F3480" s="4" t="s">
        <v>144</v>
      </c>
      <c r="G3480" s="7" t="s">
        <v>840</v>
      </c>
      <c r="H3480" s="4" t="n">
        <v>1997</v>
      </c>
      <c r="I3480" s="4" t="s">
        <v>841</v>
      </c>
      <c r="J3480" s="25" t="str">
        <f aca="false">IF(M3480=1,"✓","")</f>
        <v/>
      </c>
      <c r="K3480" s="4" t="str">
        <f aca="false">IF(AND(M3480=0,P3480=0),"▶ NEXT","")</f>
        <v>▶ NEXT</v>
      </c>
      <c r="L3480" s="4" t="n">
        <f aca="false">INDEX('Master List'!$F$2:$F$2594,O3480)</f>
        <v>2</v>
      </c>
      <c r="M3480" s="4" t="n">
        <f aca="false">INDEX('Master List'!$G$2:$G$2594,O3480)</f>
        <v>0</v>
      </c>
      <c r="N3480" s="4" t="str">
        <f aca="false">IF(K3480="","",A3480)</f>
        <v>N284</v>
      </c>
      <c r="O3480" s="4" t="n">
        <v>749</v>
      </c>
      <c r="P3480" s="4" t="n">
        <f aca="false">IF(A3480=A3479,P3479+1-M3479,0)</f>
        <v>0</v>
      </c>
    </row>
    <row r="3481" customFormat="false" ht="15" hidden="false" customHeight="false" outlineLevel="0" collapsed="false">
      <c r="A3481" s="33" t="s">
        <v>4391</v>
      </c>
      <c r="B3481" s="33" t="s">
        <v>56</v>
      </c>
      <c r="C3481" s="33" t="s">
        <v>120</v>
      </c>
      <c r="D3481" s="33" t="s">
        <v>4392</v>
      </c>
      <c r="E3481" s="4" t="n">
        <v>3</v>
      </c>
      <c r="F3481" s="4" t="s">
        <v>213</v>
      </c>
      <c r="G3481" s="4" t="s">
        <v>1937</v>
      </c>
      <c r="H3481" s="4" t="n">
        <v>1956</v>
      </c>
      <c r="I3481" s="4" t="s">
        <v>375</v>
      </c>
      <c r="J3481" s="25" t="str">
        <f aca="false">IF(M3481=1,"✓","")</f>
        <v/>
      </c>
      <c r="K3481" s="4" t="str">
        <f aca="false">IF(AND(M3481=0,P3481=0),"▶ NEXT","")</f>
        <v/>
      </c>
      <c r="L3481" s="4" t="n">
        <f aca="false">INDEX('Master List'!$F$2:$F$2594,O3481)</f>
        <v>1</v>
      </c>
      <c r="M3481" s="4" t="n">
        <f aca="false">INDEX('Master List'!$G$2:$G$2594,O3481)</f>
        <v>0</v>
      </c>
      <c r="N3481" s="4" t="str">
        <f aca="false">IF(K3481="","",A3481)</f>
        <v/>
      </c>
      <c r="O3481" s="4" t="n">
        <v>160</v>
      </c>
      <c r="P3481" s="4" t="n">
        <f aca="false">IF(A3481=A3480,P3480+1-M3480,0)</f>
        <v>1</v>
      </c>
    </row>
    <row r="3482" customFormat="false" ht="15" hidden="false" customHeight="false" outlineLevel="0" collapsed="false">
      <c r="A3482" s="33" t="s">
        <v>4391</v>
      </c>
      <c r="B3482" s="33" t="s">
        <v>56</v>
      </c>
      <c r="C3482" s="33" t="s">
        <v>120</v>
      </c>
      <c r="D3482" s="33" t="s">
        <v>4392</v>
      </c>
      <c r="E3482" s="4" t="n">
        <v>4</v>
      </c>
      <c r="F3482" s="4" t="s">
        <v>213</v>
      </c>
      <c r="G3482" s="4" t="s">
        <v>2017</v>
      </c>
      <c r="H3482" s="4" t="n">
        <v>1962</v>
      </c>
      <c r="I3482" s="4" t="s">
        <v>2018</v>
      </c>
      <c r="J3482" s="25" t="str">
        <f aca="false">IF(M3482=1,"✓","")</f>
        <v/>
      </c>
      <c r="K3482" s="4" t="str">
        <f aca="false">IF(AND(M3482=0,P3482=0),"▶ NEXT","")</f>
        <v/>
      </c>
      <c r="L3482" s="4" t="n">
        <f aca="false">INDEX('Master List'!$F$2:$F$2594,O3482)</f>
        <v>1</v>
      </c>
      <c r="M3482" s="4" t="n">
        <f aca="false">INDEX('Master List'!$G$2:$G$2594,O3482)</f>
        <v>0</v>
      </c>
      <c r="N3482" s="4" t="str">
        <f aca="false">IF(K3482="","",A3482)</f>
        <v/>
      </c>
      <c r="O3482" s="4" t="n">
        <v>390</v>
      </c>
      <c r="P3482" s="4" t="n">
        <f aca="false">IF(A3482=A3481,P3481+1-M3481,0)</f>
        <v>2</v>
      </c>
    </row>
    <row r="3483" customFormat="false" ht="15" hidden="false" customHeight="false" outlineLevel="0" collapsed="false">
      <c r="A3483" s="33" t="s">
        <v>4391</v>
      </c>
      <c r="B3483" s="33" t="s">
        <v>56</v>
      </c>
      <c r="C3483" s="33" t="s">
        <v>120</v>
      </c>
      <c r="D3483" s="33" t="s">
        <v>4392</v>
      </c>
      <c r="E3483" s="4" t="n">
        <v>5</v>
      </c>
      <c r="F3483" s="4" t="s">
        <v>213</v>
      </c>
      <c r="G3483" s="4" t="s">
        <v>2057</v>
      </c>
      <c r="H3483" s="4" t="n">
        <v>1964</v>
      </c>
      <c r="I3483" s="4" t="s">
        <v>748</v>
      </c>
      <c r="J3483" s="25" t="str">
        <f aca="false">IF(M3483=1,"✓","")</f>
        <v/>
      </c>
      <c r="K3483" s="4" t="str">
        <f aca="false">IF(AND(M3483=0,P3483=0),"▶ NEXT","")</f>
        <v/>
      </c>
      <c r="L3483" s="4" t="n">
        <f aca="false">INDEX('Master List'!$F$2:$F$2594,O3483)</f>
        <v>1</v>
      </c>
      <c r="M3483" s="4" t="n">
        <f aca="false">INDEX('Master List'!$G$2:$G$2594,O3483)</f>
        <v>0</v>
      </c>
      <c r="N3483" s="4" t="str">
        <f aca="false">IF(K3483="","",A3483)</f>
        <v/>
      </c>
      <c r="O3483" s="4" t="n">
        <v>1094</v>
      </c>
      <c r="P3483" s="4" t="n">
        <f aca="false">IF(A3483=A3482,P3482+1-M3482,0)</f>
        <v>3</v>
      </c>
    </row>
    <row r="3484" customFormat="false" ht="15" hidden="false" customHeight="false" outlineLevel="0" collapsed="false">
      <c r="A3484" s="33" t="s">
        <v>4391</v>
      </c>
      <c r="B3484" s="33" t="s">
        <v>56</v>
      </c>
      <c r="C3484" s="33" t="s">
        <v>120</v>
      </c>
      <c r="D3484" s="33" t="s">
        <v>4392</v>
      </c>
      <c r="E3484" s="4" t="n">
        <v>6</v>
      </c>
      <c r="F3484" s="4" t="s">
        <v>213</v>
      </c>
      <c r="G3484" s="4" t="s">
        <v>1363</v>
      </c>
      <c r="H3484" s="4" t="n">
        <v>1979</v>
      </c>
      <c r="I3484" s="4" t="s">
        <v>283</v>
      </c>
      <c r="J3484" s="25" t="str">
        <f aca="false">IF(M3484=1,"✓","")</f>
        <v/>
      </c>
      <c r="K3484" s="4" t="str">
        <f aca="false">IF(AND(M3484=0,P3484=0),"▶ NEXT","")</f>
        <v/>
      </c>
      <c r="L3484" s="4" t="n">
        <f aca="false">INDEX('Master List'!$F$2:$F$2594,O3484)</f>
        <v>2</v>
      </c>
      <c r="M3484" s="4" t="n">
        <f aca="false">INDEX('Master List'!$G$2:$G$2594,O3484)</f>
        <v>0</v>
      </c>
      <c r="N3484" s="4" t="str">
        <f aca="false">IF(K3484="","",A3484)</f>
        <v/>
      </c>
      <c r="O3484" s="4" t="n">
        <v>2532</v>
      </c>
      <c r="P3484" s="4" t="n">
        <f aca="false">IF(A3484=A3483,P3483+1-M3483,0)</f>
        <v>4</v>
      </c>
    </row>
    <row r="3485" customFormat="false" ht="15" hidden="false" customHeight="false" outlineLevel="0" collapsed="false">
      <c r="A3485" s="33" t="s">
        <v>4391</v>
      </c>
      <c r="B3485" s="33" t="s">
        <v>56</v>
      </c>
      <c r="C3485" s="33" t="s">
        <v>120</v>
      </c>
      <c r="D3485" s="33" t="s">
        <v>4392</v>
      </c>
      <c r="E3485" s="4" t="n">
        <v>7</v>
      </c>
      <c r="F3485" s="4" t="s">
        <v>213</v>
      </c>
      <c r="G3485" s="4" t="s">
        <v>2657</v>
      </c>
      <c r="H3485" s="4" t="n">
        <v>1996</v>
      </c>
      <c r="I3485" s="4" t="s">
        <v>2658</v>
      </c>
      <c r="J3485" s="25" t="str">
        <f aca="false">IF(M3485=1,"✓","")</f>
        <v/>
      </c>
      <c r="K3485" s="4" t="str">
        <f aca="false">IF(AND(M3485=0,P3485=0),"▶ NEXT","")</f>
        <v/>
      </c>
      <c r="L3485" s="4" t="n">
        <f aca="false">INDEX('Master List'!$F$2:$F$2594,O3485)</f>
        <v>1</v>
      </c>
      <c r="M3485" s="4" t="n">
        <f aca="false">INDEX('Master List'!$G$2:$G$2594,O3485)</f>
        <v>0</v>
      </c>
      <c r="N3485" s="4" t="str">
        <f aca="false">IF(K3485="","",A3485)</f>
        <v/>
      </c>
      <c r="O3485" s="4" t="n">
        <v>2094</v>
      </c>
      <c r="P3485" s="4" t="n">
        <f aca="false">IF(A3485=A3484,P3484+1-M3484,0)</f>
        <v>5</v>
      </c>
    </row>
    <row r="3486" customFormat="false" ht="15" hidden="false" customHeight="false" outlineLevel="0" collapsed="false">
      <c r="A3486" s="33" t="s">
        <v>4391</v>
      </c>
      <c r="B3486" s="33" t="s">
        <v>56</v>
      </c>
      <c r="C3486" s="33" t="s">
        <v>120</v>
      </c>
      <c r="D3486" s="33" t="s">
        <v>4392</v>
      </c>
      <c r="E3486" s="4" t="n">
        <v>8</v>
      </c>
      <c r="F3486" s="4" t="s">
        <v>213</v>
      </c>
      <c r="G3486" s="4" t="s">
        <v>3015</v>
      </c>
      <c r="H3486" s="4" t="n">
        <v>2012</v>
      </c>
      <c r="I3486" s="4" t="s">
        <v>1412</v>
      </c>
      <c r="J3486" s="25" t="str">
        <f aca="false">IF(M3486=1,"✓","")</f>
        <v/>
      </c>
      <c r="K3486" s="4" t="str">
        <f aca="false">IF(AND(M3486=0,P3486=0),"▶ NEXT","")</f>
        <v/>
      </c>
      <c r="L3486" s="4" t="n">
        <f aca="false">INDEX('Master List'!$F$2:$F$2594,O3486)</f>
        <v>1</v>
      </c>
      <c r="M3486" s="4" t="n">
        <f aca="false">INDEX('Master List'!$G$2:$G$2594,O3486)</f>
        <v>0</v>
      </c>
      <c r="N3486" s="4" t="str">
        <f aca="false">IF(K3486="","",A3486)</f>
        <v/>
      </c>
      <c r="O3486" s="4" t="n">
        <v>1552</v>
      </c>
      <c r="P3486" s="4" t="n">
        <f aca="false">IF(A3486=A3485,P3485+1-M3485,0)</f>
        <v>6</v>
      </c>
    </row>
    <row r="3487" customFormat="false" ht="15" hidden="false" customHeight="false" outlineLevel="0" collapsed="false">
      <c r="A3487" s="33" t="s">
        <v>4391</v>
      </c>
      <c r="B3487" s="33" t="s">
        <v>56</v>
      </c>
      <c r="C3487" s="33" t="s">
        <v>120</v>
      </c>
      <c r="D3487" s="33" t="s">
        <v>4392</v>
      </c>
      <c r="E3487" s="4" t="n">
        <v>9</v>
      </c>
      <c r="F3487" s="4" t="s">
        <v>213</v>
      </c>
      <c r="G3487" s="4" t="s">
        <v>3016</v>
      </c>
      <c r="H3487" s="4" t="n">
        <v>2012</v>
      </c>
      <c r="I3487" s="4" t="s">
        <v>3017</v>
      </c>
      <c r="J3487" s="25" t="str">
        <f aca="false">IF(M3487=1,"✓","")</f>
        <v/>
      </c>
      <c r="K3487" s="4" t="str">
        <f aca="false">IF(AND(M3487=0,P3487=0),"▶ NEXT","")</f>
        <v/>
      </c>
      <c r="L3487" s="4" t="n">
        <f aca="false">INDEX('Master List'!$F$2:$F$2594,O3487)</f>
        <v>1</v>
      </c>
      <c r="M3487" s="4" t="n">
        <f aca="false">INDEX('Master List'!$G$2:$G$2594,O3487)</f>
        <v>0</v>
      </c>
      <c r="N3487" s="4" t="str">
        <f aca="false">IF(K3487="","",A3487)</f>
        <v/>
      </c>
      <c r="O3487" s="4" t="n">
        <v>203</v>
      </c>
      <c r="P3487" s="4" t="n">
        <f aca="false">IF(A3487=A3486,P3486+1-M3486,0)</f>
        <v>7</v>
      </c>
    </row>
    <row r="3488" customFormat="false" ht="15" hidden="false" customHeight="false" outlineLevel="0" collapsed="false">
      <c r="A3488" s="33" t="s">
        <v>4391</v>
      </c>
      <c r="B3488" s="33" t="s">
        <v>56</v>
      </c>
      <c r="C3488" s="33" t="s">
        <v>120</v>
      </c>
      <c r="D3488" s="33" t="s">
        <v>4392</v>
      </c>
      <c r="E3488" s="4" t="n">
        <v>10</v>
      </c>
      <c r="F3488" s="4" t="s">
        <v>213</v>
      </c>
      <c r="G3488" s="4" t="s">
        <v>2987</v>
      </c>
      <c r="H3488" s="4" t="n">
        <v>2011</v>
      </c>
      <c r="I3488" s="4" t="s">
        <v>479</v>
      </c>
      <c r="J3488" s="25" t="str">
        <f aca="false">IF(M3488=1,"✓","")</f>
        <v/>
      </c>
      <c r="K3488" s="4" t="str">
        <f aca="false">IF(AND(M3488=0,P3488=0),"▶ NEXT","")</f>
        <v/>
      </c>
      <c r="L3488" s="4" t="n">
        <f aca="false">INDEX('Master List'!$F$2:$F$2594,O3488)</f>
        <v>1</v>
      </c>
      <c r="M3488" s="4" t="n">
        <f aca="false">INDEX('Master List'!$G$2:$G$2594,O3488)</f>
        <v>0</v>
      </c>
      <c r="N3488" s="4" t="str">
        <f aca="false">IF(K3488="","",A3488)</f>
        <v/>
      </c>
      <c r="O3488" s="4" t="n">
        <v>1247</v>
      </c>
      <c r="P3488" s="4" t="n">
        <f aca="false">IF(A3488=A3487,P3487+1-M3487,0)</f>
        <v>8</v>
      </c>
    </row>
    <row r="3489" customFormat="false" ht="15" hidden="false" customHeight="false" outlineLevel="0" collapsed="false">
      <c r="A3489" s="33" t="s">
        <v>4391</v>
      </c>
      <c r="B3489" s="33" t="s">
        <v>56</v>
      </c>
      <c r="C3489" s="33" t="s">
        <v>120</v>
      </c>
      <c r="D3489" s="33" t="s">
        <v>4392</v>
      </c>
      <c r="E3489" s="4" t="n">
        <v>11</v>
      </c>
      <c r="F3489" s="4" t="s">
        <v>1327</v>
      </c>
      <c r="G3489" s="4" t="s">
        <v>3427</v>
      </c>
      <c r="H3489" s="4" t="n">
        <v>1964</v>
      </c>
      <c r="I3489" s="4" t="s">
        <v>2040</v>
      </c>
      <c r="J3489" s="25" t="str">
        <f aca="false">IF(M3489=1,"✓","")</f>
        <v/>
      </c>
      <c r="K3489" s="4" t="str">
        <f aca="false">IF(AND(M3489=0,P3489=0),"▶ NEXT","")</f>
        <v/>
      </c>
      <c r="L3489" s="4" t="n">
        <f aca="false">INDEX('Master List'!$F$2:$F$2594,O3489)</f>
        <v>1</v>
      </c>
      <c r="M3489" s="4" t="n">
        <f aca="false">INDEX('Master List'!$G$2:$G$2594,O3489)</f>
        <v>0</v>
      </c>
      <c r="N3489" s="4" t="str">
        <f aca="false">IF(K3489="","",A3489)</f>
        <v/>
      </c>
      <c r="O3489" s="4" t="n">
        <v>2392</v>
      </c>
      <c r="P3489" s="4" t="n">
        <f aca="false">IF(A3489=A3488,P3488+1-M3488,0)</f>
        <v>9</v>
      </c>
    </row>
    <row r="3490" customFormat="false" ht="15" hidden="false" customHeight="false" outlineLevel="0" collapsed="false">
      <c r="A3490" s="33" t="s">
        <v>4391</v>
      </c>
      <c r="B3490" s="33" t="s">
        <v>56</v>
      </c>
      <c r="C3490" s="33" t="s">
        <v>120</v>
      </c>
      <c r="D3490" s="33" t="s">
        <v>4392</v>
      </c>
      <c r="E3490" s="4" t="n">
        <v>12</v>
      </c>
      <c r="F3490" s="4" t="s">
        <v>1327</v>
      </c>
      <c r="G3490" s="4" t="s">
        <v>3493</v>
      </c>
      <c r="H3490" s="4" t="n">
        <v>1971</v>
      </c>
      <c r="I3490" s="4" t="s">
        <v>409</v>
      </c>
      <c r="J3490" s="25" t="str">
        <f aca="false">IF(M3490=1,"✓","")</f>
        <v/>
      </c>
      <c r="K3490" s="4" t="str">
        <f aca="false">IF(AND(M3490=0,P3490=0),"▶ NEXT","")</f>
        <v/>
      </c>
      <c r="L3490" s="4" t="n">
        <f aca="false">INDEX('Master List'!$F$2:$F$2594,O3490)</f>
        <v>1</v>
      </c>
      <c r="M3490" s="4" t="n">
        <f aca="false">INDEX('Master List'!$G$2:$G$2594,O3490)</f>
        <v>0</v>
      </c>
      <c r="N3490" s="4" t="str">
        <f aca="false">IF(K3490="","",A3490)</f>
        <v/>
      </c>
      <c r="O3490" s="4" t="n">
        <v>215</v>
      </c>
      <c r="P3490" s="4" t="n">
        <f aca="false">IF(A3490=A3489,P3489+1-M3489,0)</f>
        <v>10</v>
      </c>
    </row>
    <row r="3491" customFormat="false" ht="15" hidden="false" customHeight="false" outlineLevel="0" collapsed="false">
      <c r="A3491" s="33" t="s">
        <v>4393</v>
      </c>
      <c r="B3491" s="33" t="s">
        <v>56</v>
      </c>
      <c r="C3491" s="33" t="s">
        <v>120</v>
      </c>
      <c r="D3491" s="33" t="s">
        <v>4394</v>
      </c>
      <c r="E3491" s="4" t="n">
        <v>1</v>
      </c>
      <c r="F3491" s="4" t="s">
        <v>144</v>
      </c>
      <c r="G3491" s="7" t="s">
        <v>371</v>
      </c>
      <c r="H3491" s="4" t="n">
        <v>1991</v>
      </c>
      <c r="I3491" s="4" t="s">
        <v>372</v>
      </c>
      <c r="J3491" s="25" t="str">
        <f aca="false">IF(M3491=1,"✓","")</f>
        <v/>
      </c>
      <c r="K3491" s="4" t="str">
        <f aca="false">IF(AND(M3491=0,P3491=0),"▶ NEXT","")</f>
        <v>▶ NEXT</v>
      </c>
      <c r="L3491" s="4" t="n">
        <f aca="false">INDEX('Master List'!$F$2:$F$2594,O3491)</f>
        <v>4</v>
      </c>
      <c r="M3491" s="4" t="n">
        <f aca="false">INDEX('Master List'!$G$2:$G$2594,O3491)</f>
        <v>0</v>
      </c>
      <c r="N3491" s="4" t="str">
        <f aca="false">IF(K3491="","",A3491)</f>
        <v>N285</v>
      </c>
      <c r="O3491" s="4" t="n">
        <v>333</v>
      </c>
      <c r="P3491" s="4" t="n">
        <f aca="false">IF(A3491=A3490,P3490+1-M3490,0)</f>
        <v>0</v>
      </c>
    </row>
    <row r="3492" customFormat="false" ht="15" hidden="false" customHeight="false" outlineLevel="0" collapsed="false">
      <c r="A3492" s="33" t="s">
        <v>4393</v>
      </c>
      <c r="B3492" s="33" t="s">
        <v>56</v>
      </c>
      <c r="C3492" s="33" t="s">
        <v>120</v>
      </c>
      <c r="D3492" s="33" t="s">
        <v>4394</v>
      </c>
      <c r="E3492" s="4" t="n">
        <v>2</v>
      </c>
      <c r="F3492" s="4" t="s">
        <v>144</v>
      </c>
      <c r="G3492" s="7" t="s">
        <v>499</v>
      </c>
      <c r="H3492" s="4" t="n">
        <v>1993</v>
      </c>
      <c r="I3492" s="4" t="s">
        <v>500</v>
      </c>
      <c r="J3492" s="25" t="str">
        <f aca="false">IF(M3492=1,"✓","")</f>
        <v/>
      </c>
      <c r="K3492" s="4" t="str">
        <f aca="false">IF(AND(M3492=0,P3492=0),"▶ NEXT","")</f>
        <v/>
      </c>
      <c r="L3492" s="4" t="n">
        <f aca="false">INDEX('Master List'!$F$2:$F$2594,O3492)</f>
        <v>3</v>
      </c>
      <c r="M3492" s="4" t="n">
        <f aca="false">INDEX('Master List'!$G$2:$G$2594,O3492)</f>
        <v>0</v>
      </c>
      <c r="N3492" s="4" t="str">
        <f aca="false">IF(K3492="","",A3492)</f>
        <v/>
      </c>
      <c r="O3492" s="4" t="n">
        <v>1480</v>
      </c>
      <c r="P3492" s="4" t="n">
        <f aca="false">IF(A3492=A3491,P3491+1-M3491,0)</f>
        <v>1</v>
      </c>
    </row>
    <row r="3493" customFormat="false" ht="15" hidden="false" customHeight="false" outlineLevel="0" collapsed="false">
      <c r="A3493" s="33" t="s">
        <v>4393</v>
      </c>
      <c r="B3493" s="33" t="s">
        <v>56</v>
      </c>
      <c r="C3493" s="33" t="s">
        <v>120</v>
      </c>
      <c r="D3493" s="33" t="s">
        <v>4394</v>
      </c>
      <c r="E3493" s="4" t="n">
        <v>3</v>
      </c>
      <c r="F3493" s="4" t="s">
        <v>213</v>
      </c>
      <c r="G3493" s="4" t="s">
        <v>2537</v>
      </c>
      <c r="H3493" s="4" t="n">
        <v>1991</v>
      </c>
      <c r="I3493" s="4" t="s">
        <v>2538</v>
      </c>
      <c r="J3493" s="25" t="str">
        <f aca="false">IF(M3493=1,"✓","")</f>
        <v/>
      </c>
      <c r="K3493" s="4" t="str">
        <f aca="false">IF(AND(M3493=0,P3493=0),"▶ NEXT","")</f>
        <v/>
      </c>
      <c r="L3493" s="4" t="n">
        <f aca="false">INDEX('Master List'!$F$2:$F$2594,O3493)</f>
        <v>1</v>
      </c>
      <c r="M3493" s="4" t="n">
        <f aca="false">INDEX('Master List'!$G$2:$G$2594,O3493)</f>
        <v>0</v>
      </c>
      <c r="N3493" s="4" t="str">
        <f aca="false">IF(K3493="","",A3493)</f>
        <v/>
      </c>
      <c r="O3493" s="4" t="n">
        <v>1595</v>
      </c>
      <c r="P3493" s="4" t="n">
        <f aca="false">IF(A3493=A3492,P3492+1-M3492,0)</f>
        <v>2</v>
      </c>
    </row>
    <row r="3494" customFormat="false" ht="15" hidden="false" customHeight="false" outlineLevel="0" collapsed="false">
      <c r="A3494" s="33" t="s">
        <v>4393</v>
      </c>
      <c r="B3494" s="33" t="s">
        <v>56</v>
      </c>
      <c r="C3494" s="33" t="s">
        <v>120</v>
      </c>
      <c r="D3494" s="33" t="s">
        <v>4394</v>
      </c>
      <c r="E3494" s="4" t="n">
        <v>4</v>
      </c>
      <c r="F3494" s="4" t="s">
        <v>213</v>
      </c>
      <c r="G3494" s="4" t="s">
        <v>2539</v>
      </c>
      <c r="H3494" s="4" t="n">
        <v>1991</v>
      </c>
      <c r="I3494" s="4" t="s">
        <v>2540</v>
      </c>
      <c r="J3494" s="25" t="str">
        <f aca="false">IF(M3494=1,"✓","")</f>
        <v/>
      </c>
      <c r="K3494" s="4" t="str">
        <f aca="false">IF(AND(M3494=0,P3494=0),"▶ NEXT","")</f>
        <v/>
      </c>
      <c r="L3494" s="4" t="n">
        <f aca="false">INDEX('Master List'!$F$2:$F$2594,O3494)</f>
        <v>1</v>
      </c>
      <c r="M3494" s="4" t="n">
        <f aca="false">INDEX('Master List'!$G$2:$G$2594,O3494)</f>
        <v>0</v>
      </c>
      <c r="N3494" s="4" t="str">
        <f aca="false">IF(K3494="","",A3494)</f>
        <v/>
      </c>
      <c r="O3494" s="4" t="n">
        <v>2170</v>
      </c>
      <c r="P3494" s="4" t="n">
        <f aca="false">IF(A3494=A3493,P3493+1-M3493,0)</f>
        <v>3</v>
      </c>
    </row>
    <row r="3495" customFormat="false" ht="15" hidden="false" customHeight="false" outlineLevel="0" collapsed="false">
      <c r="A3495" s="33" t="s">
        <v>4393</v>
      </c>
      <c r="B3495" s="33" t="s">
        <v>56</v>
      </c>
      <c r="C3495" s="33" t="s">
        <v>120</v>
      </c>
      <c r="D3495" s="33" t="s">
        <v>4394</v>
      </c>
      <c r="E3495" s="4" t="n">
        <v>5</v>
      </c>
      <c r="F3495" s="4" t="s">
        <v>213</v>
      </c>
      <c r="G3495" s="4" t="s">
        <v>1384</v>
      </c>
      <c r="H3495" s="4" t="n">
        <v>1992</v>
      </c>
      <c r="I3495" s="4" t="s">
        <v>1385</v>
      </c>
      <c r="J3495" s="25" t="str">
        <f aca="false">IF(M3495=1,"✓","")</f>
        <v/>
      </c>
      <c r="K3495" s="4" t="str">
        <f aca="false">IF(AND(M3495=0,P3495=0),"▶ NEXT","")</f>
        <v/>
      </c>
      <c r="L3495" s="4" t="n">
        <f aca="false">INDEX('Master List'!$F$2:$F$2594,O3495)</f>
        <v>2</v>
      </c>
      <c r="M3495" s="4" t="n">
        <f aca="false">INDEX('Master List'!$G$2:$G$2594,O3495)</f>
        <v>0</v>
      </c>
      <c r="N3495" s="4" t="str">
        <f aca="false">IF(K3495="","",A3495)</f>
        <v/>
      </c>
      <c r="O3495" s="4" t="n">
        <v>1222</v>
      </c>
      <c r="P3495" s="4" t="n">
        <f aca="false">IF(A3495=A3494,P3494+1-M3494,0)</f>
        <v>4</v>
      </c>
    </row>
    <row r="3496" customFormat="false" ht="15" hidden="false" customHeight="false" outlineLevel="0" collapsed="false">
      <c r="A3496" s="33" t="s">
        <v>4393</v>
      </c>
      <c r="B3496" s="33" t="s">
        <v>56</v>
      </c>
      <c r="C3496" s="33" t="s">
        <v>120</v>
      </c>
      <c r="D3496" s="33" t="s">
        <v>4394</v>
      </c>
      <c r="E3496" s="4" t="n">
        <v>6</v>
      </c>
      <c r="F3496" s="4" t="s">
        <v>213</v>
      </c>
      <c r="G3496" s="4" t="s">
        <v>1113</v>
      </c>
      <c r="H3496" s="4" t="n">
        <v>1995</v>
      </c>
      <c r="I3496" s="4" t="s">
        <v>148</v>
      </c>
      <c r="J3496" s="25" t="str">
        <f aca="false">IF(M3496=1,"✓","")</f>
        <v>✓</v>
      </c>
      <c r="K3496" s="4" t="str">
        <f aca="false">IF(AND(M3496=0,P3496=0),"▶ NEXT","")</f>
        <v/>
      </c>
      <c r="L3496" s="4" t="n">
        <f aca="false">INDEX('Master List'!$F$2:$F$2594,O3496)</f>
        <v>2</v>
      </c>
      <c r="M3496" s="4" t="n">
        <f aca="false">INDEX('Master List'!$G$2:$G$2594,O3496)</f>
        <v>1</v>
      </c>
      <c r="N3496" s="4" t="str">
        <f aca="false">IF(K3496="","",A3496)</f>
        <v/>
      </c>
      <c r="O3496" s="4" t="n">
        <v>477</v>
      </c>
      <c r="P3496" s="4" t="n">
        <f aca="false">IF(A3496=A3495,P3495+1-M3495,0)</f>
        <v>5</v>
      </c>
    </row>
    <row r="3497" customFormat="false" ht="15" hidden="false" customHeight="false" outlineLevel="0" collapsed="false">
      <c r="A3497" s="33" t="s">
        <v>4393</v>
      </c>
      <c r="B3497" s="33" t="s">
        <v>56</v>
      </c>
      <c r="C3497" s="33" t="s">
        <v>120</v>
      </c>
      <c r="D3497" s="33" t="s">
        <v>4394</v>
      </c>
      <c r="E3497" s="4" t="n">
        <v>7</v>
      </c>
      <c r="F3497" s="4" t="s">
        <v>213</v>
      </c>
      <c r="G3497" s="4" t="s">
        <v>1286</v>
      </c>
      <c r="H3497" s="4" t="n">
        <v>1995</v>
      </c>
      <c r="I3497" s="4" t="s">
        <v>1287</v>
      </c>
      <c r="J3497" s="25" t="str">
        <f aca="false">IF(M3497=1,"✓","")</f>
        <v>✓</v>
      </c>
      <c r="K3497" s="4" t="str">
        <f aca="false">IF(AND(M3497=0,P3497=0),"▶ NEXT","")</f>
        <v/>
      </c>
      <c r="L3497" s="4" t="n">
        <f aca="false">INDEX('Master List'!$F$2:$F$2594,O3497)</f>
        <v>2</v>
      </c>
      <c r="M3497" s="4" t="n">
        <f aca="false">INDEX('Master List'!$G$2:$G$2594,O3497)</f>
        <v>1</v>
      </c>
      <c r="N3497" s="4" t="str">
        <f aca="false">IF(K3497="","",A3497)</f>
        <v/>
      </c>
      <c r="O3497" s="4" t="n">
        <v>855</v>
      </c>
      <c r="P3497" s="4" t="n">
        <f aca="false">IF(A3497=A3496,P3496+1-M3496,0)</f>
        <v>5</v>
      </c>
    </row>
    <row r="3498" customFormat="false" ht="15" hidden="false" customHeight="false" outlineLevel="0" collapsed="false">
      <c r="A3498" s="33" t="s">
        <v>4393</v>
      </c>
      <c r="B3498" s="33" t="s">
        <v>56</v>
      </c>
      <c r="C3498" s="33" t="s">
        <v>120</v>
      </c>
      <c r="D3498" s="33" t="s">
        <v>4394</v>
      </c>
      <c r="E3498" s="4" t="n">
        <v>8</v>
      </c>
      <c r="F3498" s="4" t="s">
        <v>213</v>
      </c>
      <c r="G3498" s="4" t="s">
        <v>2659</v>
      </c>
      <c r="H3498" s="4" t="n">
        <v>1996</v>
      </c>
      <c r="I3498" s="4" t="s">
        <v>1287</v>
      </c>
      <c r="J3498" s="25" t="str">
        <f aca="false">IF(M3498=1,"✓","")</f>
        <v/>
      </c>
      <c r="K3498" s="4" t="str">
        <f aca="false">IF(AND(M3498=0,P3498=0),"▶ NEXT","")</f>
        <v/>
      </c>
      <c r="L3498" s="4" t="n">
        <f aca="false">INDEX('Master List'!$F$2:$F$2594,O3498)</f>
        <v>1</v>
      </c>
      <c r="M3498" s="4" t="n">
        <f aca="false">INDEX('Master List'!$G$2:$G$2594,O3498)</f>
        <v>0</v>
      </c>
      <c r="N3498" s="4" t="str">
        <f aca="false">IF(K3498="","",A3498)</f>
        <v/>
      </c>
      <c r="O3498" s="4" t="n">
        <v>2015</v>
      </c>
      <c r="P3498" s="4" t="n">
        <f aca="false">IF(A3498=A3497,P3497+1-M3497,0)</f>
        <v>5</v>
      </c>
    </row>
    <row r="3499" customFormat="false" ht="15" hidden="false" customHeight="false" outlineLevel="0" collapsed="false">
      <c r="A3499" s="33" t="s">
        <v>4393</v>
      </c>
      <c r="B3499" s="33" t="s">
        <v>56</v>
      </c>
      <c r="C3499" s="33" t="s">
        <v>120</v>
      </c>
      <c r="D3499" s="33" t="s">
        <v>4394</v>
      </c>
      <c r="E3499" s="4" t="n">
        <v>9</v>
      </c>
      <c r="F3499" s="4" t="s">
        <v>213</v>
      </c>
      <c r="G3499" s="4" t="s">
        <v>2690</v>
      </c>
      <c r="H3499" s="4" t="n">
        <v>1998</v>
      </c>
      <c r="I3499" s="4" t="s">
        <v>2691</v>
      </c>
      <c r="J3499" s="25" t="str">
        <f aca="false">IF(M3499=1,"✓","")</f>
        <v/>
      </c>
      <c r="K3499" s="4" t="str">
        <f aca="false">IF(AND(M3499=0,P3499=0),"▶ NEXT","")</f>
        <v/>
      </c>
      <c r="L3499" s="4" t="n">
        <f aca="false">INDEX('Master List'!$F$2:$F$2594,O3499)</f>
        <v>1</v>
      </c>
      <c r="M3499" s="4" t="n">
        <f aca="false">INDEX('Master List'!$G$2:$G$2594,O3499)</f>
        <v>0</v>
      </c>
      <c r="N3499" s="4" t="str">
        <f aca="false">IF(K3499="","",A3499)</f>
        <v/>
      </c>
      <c r="O3499" s="4" t="n">
        <v>221</v>
      </c>
      <c r="P3499" s="4" t="n">
        <f aca="false">IF(A3499=A3498,P3498+1-M3498,0)</f>
        <v>6</v>
      </c>
    </row>
    <row r="3500" customFormat="false" ht="15" hidden="false" customHeight="false" outlineLevel="0" collapsed="false">
      <c r="A3500" s="33" t="s">
        <v>4395</v>
      </c>
      <c r="B3500" s="33" t="s">
        <v>56</v>
      </c>
      <c r="C3500" s="33" t="s">
        <v>120</v>
      </c>
      <c r="D3500" s="33" t="s">
        <v>4396</v>
      </c>
      <c r="E3500" s="4" t="n">
        <v>1</v>
      </c>
      <c r="F3500" s="4" t="s">
        <v>144</v>
      </c>
      <c r="G3500" s="7" t="s">
        <v>1518</v>
      </c>
      <c r="H3500" s="4" t="n">
        <v>1979</v>
      </c>
      <c r="I3500" s="4" t="s">
        <v>1519</v>
      </c>
      <c r="J3500" s="25" t="str">
        <f aca="false">IF(M3500=1,"✓","")</f>
        <v/>
      </c>
      <c r="K3500" s="4" t="str">
        <f aca="false">IF(AND(M3500=0,P3500=0),"▶ NEXT","")</f>
        <v>▶ NEXT</v>
      </c>
      <c r="L3500" s="4" t="n">
        <f aca="false">INDEX('Master List'!$F$2:$F$2594,O3500)</f>
        <v>1</v>
      </c>
      <c r="M3500" s="4" t="n">
        <f aca="false">INDEX('Master List'!$G$2:$G$2594,O3500)</f>
        <v>0</v>
      </c>
      <c r="N3500" s="4" t="str">
        <f aca="false">IF(K3500="","",A3500)</f>
        <v>N286</v>
      </c>
      <c r="O3500" s="4" t="n">
        <v>1838</v>
      </c>
      <c r="P3500" s="4" t="n">
        <f aca="false">IF(A3500=A3499,P3499+1-M3499,0)</f>
        <v>0</v>
      </c>
    </row>
    <row r="3501" customFormat="false" ht="15" hidden="false" customHeight="false" outlineLevel="0" collapsed="false">
      <c r="A3501" s="33" t="s">
        <v>4395</v>
      </c>
      <c r="B3501" s="33" t="s">
        <v>56</v>
      </c>
      <c r="C3501" s="33" t="s">
        <v>120</v>
      </c>
      <c r="D3501" s="33" t="s">
        <v>4396</v>
      </c>
      <c r="E3501" s="4" t="n">
        <v>2</v>
      </c>
      <c r="F3501" s="4" t="s">
        <v>144</v>
      </c>
      <c r="G3501" s="7" t="s">
        <v>1640</v>
      </c>
      <c r="H3501" s="4" t="n">
        <v>2018</v>
      </c>
      <c r="I3501" s="4" t="s">
        <v>1641</v>
      </c>
      <c r="J3501" s="25" t="str">
        <f aca="false">IF(M3501=1,"✓","")</f>
        <v>✓</v>
      </c>
      <c r="K3501" s="4" t="str">
        <f aca="false">IF(AND(M3501=0,P3501=0),"▶ NEXT","")</f>
        <v/>
      </c>
      <c r="L3501" s="4" t="n">
        <f aca="false">INDEX('Master List'!$F$2:$F$2594,O3501)</f>
        <v>1</v>
      </c>
      <c r="M3501" s="4" t="n">
        <f aca="false">INDEX('Master List'!$G$2:$G$2594,O3501)</f>
        <v>1</v>
      </c>
      <c r="N3501" s="4" t="str">
        <f aca="false">IF(K3501="","",A3501)</f>
        <v/>
      </c>
      <c r="O3501" s="4" t="n">
        <v>1490</v>
      </c>
      <c r="P3501" s="4" t="n">
        <f aca="false">IF(A3501=A3500,P3500+1-M3500,0)</f>
        <v>1</v>
      </c>
    </row>
    <row r="3502" customFormat="false" ht="15" hidden="false" customHeight="false" outlineLevel="0" collapsed="false">
      <c r="A3502" s="33" t="s">
        <v>4395</v>
      </c>
      <c r="B3502" s="33" t="s">
        <v>56</v>
      </c>
      <c r="C3502" s="33" t="s">
        <v>120</v>
      </c>
      <c r="D3502" s="33" t="s">
        <v>4396</v>
      </c>
      <c r="E3502" s="4" t="n">
        <v>3</v>
      </c>
      <c r="F3502" s="4" t="s">
        <v>213</v>
      </c>
      <c r="G3502" s="4" t="s">
        <v>2088</v>
      </c>
      <c r="H3502" s="4" t="n">
        <v>1966</v>
      </c>
      <c r="I3502" s="4" t="s">
        <v>2089</v>
      </c>
      <c r="J3502" s="25" t="str">
        <f aca="false">IF(M3502=1,"✓","")</f>
        <v/>
      </c>
      <c r="K3502" s="4" t="str">
        <f aca="false">IF(AND(M3502=0,P3502=0),"▶ NEXT","")</f>
        <v/>
      </c>
      <c r="L3502" s="4" t="n">
        <f aca="false">INDEX('Master List'!$F$2:$F$2594,O3502)</f>
        <v>1</v>
      </c>
      <c r="M3502" s="4" t="n">
        <f aca="false">INDEX('Master List'!$G$2:$G$2594,O3502)</f>
        <v>0</v>
      </c>
      <c r="N3502" s="4" t="str">
        <f aca="false">IF(K3502="","",A3502)</f>
        <v/>
      </c>
      <c r="O3502" s="4" t="n">
        <v>731</v>
      </c>
      <c r="P3502" s="4" t="n">
        <f aca="false">IF(A3502=A3501,P3501+1-M3501,0)</f>
        <v>1</v>
      </c>
    </row>
    <row r="3503" customFormat="false" ht="15" hidden="false" customHeight="false" outlineLevel="0" collapsed="false">
      <c r="A3503" s="33" t="s">
        <v>4395</v>
      </c>
      <c r="B3503" s="33" t="s">
        <v>56</v>
      </c>
      <c r="C3503" s="33" t="s">
        <v>120</v>
      </c>
      <c r="D3503" s="33" t="s">
        <v>4396</v>
      </c>
      <c r="E3503" s="4" t="n">
        <v>4</v>
      </c>
      <c r="F3503" s="4" t="s">
        <v>213</v>
      </c>
      <c r="G3503" s="4" t="s">
        <v>2318</v>
      </c>
      <c r="H3503" s="4" t="n">
        <v>1978</v>
      </c>
      <c r="I3503" s="4" t="s">
        <v>2319</v>
      </c>
      <c r="J3503" s="25" t="str">
        <f aca="false">IF(M3503=1,"✓","")</f>
        <v/>
      </c>
      <c r="K3503" s="4" t="str">
        <f aca="false">IF(AND(M3503=0,P3503=0),"▶ NEXT","")</f>
        <v/>
      </c>
      <c r="L3503" s="4" t="n">
        <f aca="false">INDEX('Master List'!$F$2:$F$2594,O3503)</f>
        <v>1</v>
      </c>
      <c r="M3503" s="4" t="n">
        <f aca="false">INDEX('Master List'!$G$2:$G$2594,O3503)</f>
        <v>0</v>
      </c>
      <c r="N3503" s="4" t="str">
        <f aca="false">IF(K3503="","",A3503)</f>
        <v/>
      </c>
      <c r="O3503" s="4" t="n">
        <v>251</v>
      </c>
      <c r="P3503" s="4" t="n">
        <f aca="false">IF(A3503=A3502,P3502+1-M3502,0)</f>
        <v>2</v>
      </c>
    </row>
    <row r="3504" customFormat="false" ht="15" hidden="false" customHeight="false" outlineLevel="0" collapsed="false">
      <c r="A3504" s="33" t="s">
        <v>4395</v>
      </c>
      <c r="B3504" s="33" t="s">
        <v>56</v>
      </c>
      <c r="C3504" s="33" t="s">
        <v>120</v>
      </c>
      <c r="D3504" s="33" t="s">
        <v>4396</v>
      </c>
      <c r="E3504" s="4" t="n">
        <v>5</v>
      </c>
      <c r="F3504" s="4" t="s">
        <v>213</v>
      </c>
      <c r="G3504" s="4" t="s">
        <v>2628</v>
      </c>
      <c r="H3504" s="4" t="n">
        <v>1995</v>
      </c>
      <c r="I3504" s="4" t="s">
        <v>2629</v>
      </c>
      <c r="J3504" s="25" t="str">
        <f aca="false">IF(M3504=1,"✓","")</f>
        <v/>
      </c>
      <c r="K3504" s="4" t="str">
        <f aca="false">IF(AND(M3504=0,P3504=0),"▶ NEXT","")</f>
        <v/>
      </c>
      <c r="L3504" s="4" t="n">
        <f aca="false">INDEX('Master List'!$F$2:$F$2594,O3504)</f>
        <v>1</v>
      </c>
      <c r="M3504" s="4" t="n">
        <f aca="false">INDEX('Master List'!$G$2:$G$2594,O3504)</f>
        <v>0</v>
      </c>
      <c r="N3504" s="4" t="str">
        <f aca="false">IF(K3504="","",A3504)</f>
        <v/>
      </c>
      <c r="O3504" s="4" t="n">
        <v>1238</v>
      </c>
      <c r="P3504" s="4" t="n">
        <f aca="false">IF(A3504=A3503,P3503+1-M3503,0)</f>
        <v>3</v>
      </c>
    </row>
    <row r="3505" customFormat="false" ht="15" hidden="false" customHeight="false" outlineLevel="0" collapsed="false">
      <c r="A3505" s="33" t="s">
        <v>4395</v>
      </c>
      <c r="B3505" s="33" t="s">
        <v>56</v>
      </c>
      <c r="C3505" s="33" t="s">
        <v>120</v>
      </c>
      <c r="D3505" s="33" t="s">
        <v>4396</v>
      </c>
      <c r="E3505" s="4" t="n">
        <v>6</v>
      </c>
      <c r="F3505" s="4" t="s">
        <v>213</v>
      </c>
      <c r="G3505" s="4" t="s">
        <v>2759</v>
      </c>
      <c r="H3505" s="4" t="n">
        <v>2001</v>
      </c>
      <c r="I3505" s="4" t="s">
        <v>2760</v>
      </c>
      <c r="J3505" s="25" t="str">
        <f aca="false">IF(M3505=1,"✓","")</f>
        <v/>
      </c>
      <c r="K3505" s="4" t="str">
        <f aca="false">IF(AND(M3505=0,P3505=0),"▶ NEXT","")</f>
        <v/>
      </c>
      <c r="L3505" s="4" t="n">
        <f aca="false">INDEX('Master List'!$F$2:$F$2594,O3505)</f>
        <v>1</v>
      </c>
      <c r="M3505" s="4" t="n">
        <f aca="false">INDEX('Master List'!$G$2:$G$2594,O3505)</f>
        <v>0</v>
      </c>
      <c r="N3505" s="4" t="str">
        <f aca="false">IF(K3505="","",A3505)</f>
        <v/>
      </c>
      <c r="O3505" s="4" t="n">
        <v>654</v>
      </c>
      <c r="P3505" s="4" t="n">
        <f aca="false">IF(A3505=A3504,P3504+1-M3504,0)</f>
        <v>4</v>
      </c>
    </row>
    <row r="3506" customFormat="false" ht="15" hidden="false" customHeight="false" outlineLevel="0" collapsed="false">
      <c r="A3506" s="33" t="s">
        <v>4395</v>
      </c>
      <c r="B3506" s="33" t="s">
        <v>56</v>
      </c>
      <c r="C3506" s="33" t="s">
        <v>120</v>
      </c>
      <c r="D3506" s="33" t="s">
        <v>4396</v>
      </c>
      <c r="E3506" s="4" t="n">
        <v>7</v>
      </c>
      <c r="F3506" s="4" t="s">
        <v>213</v>
      </c>
      <c r="G3506" s="4" t="s">
        <v>2846</v>
      </c>
      <c r="H3506" s="4" t="n">
        <v>2005</v>
      </c>
      <c r="I3506" s="4" t="s">
        <v>2847</v>
      </c>
      <c r="J3506" s="25" t="str">
        <f aca="false">IF(M3506=1,"✓","")</f>
        <v/>
      </c>
      <c r="K3506" s="4" t="str">
        <f aca="false">IF(AND(M3506=0,P3506=0),"▶ NEXT","")</f>
        <v/>
      </c>
      <c r="L3506" s="4" t="n">
        <f aca="false">INDEX('Master List'!$F$2:$F$2594,O3506)</f>
        <v>1</v>
      </c>
      <c r="M3506" s="4" t="n">
        <f aca="false">INDEX('Master List'!$G$2:$G$2594,O3506)</f>
        <v>0</v>
      </c>
      <c r="N3506" s="4" t="str">
        <f aca="false">IF(K3506="","",A3506)</f>
        <v/>
      </c>
      <c r="O3506" s="4" t="n">
        <v>1381</v>
      </c>
      <c r="P3506" s="4" t="n">
        <f aca="false">IF(A3506=A3505,P3505+1-M3505,0)</f>
        <v>5</v>
      </c>
    </row>
    <row r="3507" customFormat="false" ht="15" hidden="false" customHeight="false" outlineLevel="0" collapsed="false">
      <c r="A3507" s="33" t="s">
        <v>4395</v>
      </c>
      <c r="B3507" s="33" t="s">
        <v>56</v>
      </c>
      <c r="C3507" s="33" t="s">
        <v>120</v>
      </c>
      <c r="D3507" s="33" t="s">
        <v>4396</v>
      </c>
      <c r="E3507" s="4" t="n">
        <v>8</v>
      </c>
      <c r="F3507" s="4" t="s">
        <v>213</v>
      </c>
      <c r="G3507" s="4" t="s">
        <v>2867</v>
      </c>
      <c r="H3507" s="4" t="n">
        <v>2006</v>
      </c>
      <c r="I3507" s="4" t="s">
        <v>2868</v>
      </c>
      <c r="J3507" s="25" t="str">
        <f aca="false">IF(M3507=1,"✓","")</f>
        <v/>
      </c>
      <c r="K3507" s="4" t="str">
        <f aca="false">IF(AND(M3507=0,P3507=0),"▶ NEXT","")</f>
        <v/>
      </c>
      <c r="L3507" s="4" t="n">
        <f aca="false">INDEX('Master List'!$F$2:$F$2594,O3507)</f>
        <v>1</v>
      </c>
      <c r="M3507" s="4" t="n">
        <f aca="false">INDEX('Master List'!$G$2:$G$2594,O3507)</f>
        <v>0</v>
      </c>
      <c r="N3507" s="4" t="str">
        <f aca="false">IF(K3507="","",A3507)</f>
        <v/>
      </c>
      <c r="O3507" s="4" t="n">
        <v>2283</v>
      </c>
      <c r="P3507" s="4" t="n">
        <f aca="false">IF(A3507=A3506,P3506+1-M3506,0)</f>
        <v>6</v>
      </c>
    </row>
    <row r="3508" customFormat="false" ht="15" hidden="false" customHeight="false" outlineLevel="0" collapsed="false">
      <c r="A3508" s="33" t="s">
        <v>4395</v>
      </c>
      <c r="B3508" s="33" t="s">
        <v>56</v>
      </c>
      <c r="C3508" s="33" t="s">
        <v>120</v>
      </c>
      <c r="D3508" s="33" t="s">
        <v>4396</v>
      </c>
      <c r="E3508" s="4" t="n">
        <v>9</v>
      </c>
      <c r="F3508" s="4" t="s">
        <v>213</v>
      </c>
      <c r="G3508" s="4" t="s">
        <v>3162</v>
      </c>
      <c r="H3508" s="4" t="n">
        <v>2018</v>
      </c>
      <c r="I3508" s="4" t="s">
        <v>3163</v>
      </c>
      <c r="J3508" s="25" t="str">
        <f aca="false">IF(M3508=1,"✓","")</f>
        <v/>
      </c>
      <c r="K3508" s="4" t="str">
        <f aca="false">IF(AND(M3508=0,P3508=0),"▶ NEXT","")</f>
        <v/>
      </c>
      <c r="L3508" s="4" t="n">
        <f aca="false">INDEX('Master List'!$F$2:$F$2594,O3508)</f>
        <v>1</v>
      </c>
      <c r="M3508" s="4" t="n">
        <f aca="false">INDEX('Master List'!$G$2:$G$2594,O3508)</f>
        <v>0</v>
      </c>
      <c r="N3508" s="4" t="str">
        <f aca="false">IF(K3508="","",A3508)</f>
        <v/>
      </c>
      <c r="O3508" s="4" t="n">
        <v>1507</v>
      </c>
      <c r="P3508" s="4" t="n">
        <f aca="false">IF(A3508=A3507,P3507+1-M3507,0)</f>
        <v>7</v>
      </c>
    </row>
    <row r="3509" customFormat="false" ht="15" hidden="false" customHeight="false" outlineLevel="0" collapsed="false">
      <c r="A3509" s="33" t="s">
        <v>4395</v>
      </c>
      <c r="B3509" s="33" t="s">
        <v>56</v>
      </c>
      <c r="C3509" s="33" t="s">
        <v>120</v>
      </c>
      <c r="D3509" s="33" t="s">
        <v>4396</v>
      </c>
      <c r="E3509" s="4" t="n">
        <v>10</v>
      </c>
      <c r="F3509" s="4" t="s">
        <v>1327</v>
      </c>
      <c r="G3509" s="4" t="s">
        <v>3620</v>
      </c>
      <c r="H3509" s="4" t="n">
        <v>1983</v>
      </c>
      <c r="I3509" s="4" t="s">
        <v>3603</v>
      </c>
      <c r="J3509" s="25" t="str">
        <f aca="false">IF(M3509=1,"✓","")</f>
        <v/>
      </c>
      <c r="K3509" s="4" t="str">
        <f aca="false">IF(AND(M3509=0,P3509=0),"▶ NEXT","")</f>
        <v/>
      </c>
      <c r="L3509" s="4" t="n">
        <f aca="false">INDEX('Master List'!$F$2:$F$2594,O3509)</f>
        <v>1</v>
      </c>
      <c r="M3509" s="4" t="n">
        <f aca="false">INDEX('Master List'!$G$2:$G$2594,O3509)</f>
        <v>0</v>
      </c>
      <c r="N3509" s="4" t="str">
        <f aca="false">IF(K3509="","",A3509)</f>
        <v/>
      </c>
      <c r="O3509" s="4" t="n">
        <v>2191</v>
      </c>
      <c r="P3509" s="4" t="n">
        <f aca="false">IF(A3509=A3508,P3508+1-M3508,0)</f>
        <v>8</v>
      </c>
    </row>
    <row r="3510" customFormat="false" ht="15" hidden="false" customHeight="false" outlineLevel="0" collapsed="false">
      <c r="A3510" s="33" t="s">
        <v>4395</v>
      </c>
      <c r="B3510" s="33" t="s">
        <v>56</v>
      </c>
      <c r="C3510" s="33" t="s">
        <v>120</v>
      </c>
      <c r="D3510" s="33" t="s">
        <v>4396</v>
      </c>
      <c r="E3510" s="4" t="n">
        <v>11</v>
      </c>
      <c r="F3510" s="4" t="s">
        <v>1327</v>
      </c>
      <c r="G3510" s="4" t="s">
        <v>3602</v>
      </c>
      <c r="H3510" s="4" t="n">
        <v>1981</v>
      </c>
      <c r="I3510" s="4" t="s">
        <v>3603</v>
      </c>
      <c r="J3510" s="25" t="str">
        <f aca="false">IF(M3510=1,"✓","")</f>
        <v/>
      </c>
      <c r="K3510" s="4" t="str">
        <f aca="false">IF(AND(M3510=0,P3510=0),"▶ NEXT","")</f>
        <v/>
      </c>
      <c r="L3510" s="4" t="n">
        <f aca="false">INDEX('Master List'!$F$2:$F$2594,O3510)</f>
        <v>1</v>
      </c>
      <c r="M3510" s="4" t="n">
        <f aca="false">INDEX('Master List'!$G$2:$G$2594,O3510)</f>
        <v>0</v>
      </c>
      <c r="N3510" s="4" t="str">
        <f aca="false">IF(K3510="","",A3510)</f>
        <v/>
      </c>
      <c r="O3510" s="4" t="n">
        <v>602</v>
      </c>
      <c r="P3510" s="4" t="n">
        <f aca="false">IF(A3510=A3509,P3509+1-M3509,0)</f>
        <v>9</v>
      </c>
    </row>
    <row r="3511" customFormat="false" ht="15" hidden="false" customHeight="false" outlineLevel="0" collapsed="false">
      <c r="A3511" s="33" t="s">
        <v>4397</v>
      </c>
      <c r="B3511" s="33" t="s">
        <v>56</v>
      </c>
      <c r="C3511" s="33" t="s">
        <v>120</v>
      </c>
      <c r="D3511" s="33" t="s">
        <v>4398</v>
      </c>
      <c r="E3511" s="4" t="n">
        <v>1</v>
      </c>
      <c r="F3511" s="4" t="s">
        <v>144</v>
      </c>
      <c r="G3511" s="7" t="s">
        <v>319</v>
      </c>
      <c r="H3511" s="4" t="n">
        <v>1993</v>
      </c>
      <c r="I3511" s="4" t="s">
        <v>320</v>
      </c>
      <c r="J3511" s="25" t="str">
        <f aca="false">IF(M3511=1,"✓","")</f>
        <v>✓</v>
      </c>
      <c r="K3511" s="4" t="str">
        <f aca="false">IF(AND(M3511=0,P3511=0),"▶ NEXT","")</f>
        <v/>
      </c>
      <c r="L3511" s="4" t="n">
        <f aca="false">INDEX('Master List'!$F$2:$F$2594,O3511)</f>
        <v>4</v>
      </c>
      <c r="M3511" s="4" t="n">
        <f aca="false">INDEX('Master List'!$G$2:$G$2594,O3511)</f>
        <v>1</v>
      </c>
      <c r="N3511" s="4" t="str">
        <f aca="false">IF(K3511="","",A3511)</f>
        <v/>
      </c>
      <c r="O3511" s="4" t="n">
        <v>582</v>
      </c>
      <c r="P3511" s="4" t="n">
        <f aca="false">IF(A3511=A3510,P3510+1-M3510,0)</f>
        <v>0</v>
      </c>
    </row>
    <row r="3512" customFormat="false" ht="15" hidden="false" customHeight="false" outlineLevel="0" collapsed="false">
      <c r="A3512" s="33" t="s">
        <v>4397</v>
      </c>
      <c r="B3512" s="33" t="s">
        <v>56</v>
      </c>
      <c r="C3512" s="33" t="s">
        <v>120</v>
      </c>
      <c r="D3512" s="33" t="s">
        <v>4398</v>
      </c>
      <c r="E3512" s="4" t="n">
        <v>2</v>
      </c>
      <c r="F3512" s="4" t="s">
        <v>144</v>
      </c>
      <c r="G3512" s="7" t="s">
        <v>414</v>
      </c>
      <c r="H3512" s="4" t="n">
        <v>1959</v>
      </c>
      <c r="I3512" s="4" t="s">
        <v>168</v>
      </c>
      <c r="J3512" s="25" t="str">
        <f aca="false">IF(M3512=1,"✓","")</f>
        <v/>
      </c>
      <c r="K3512" s="4" t="str">
        <f aca="false">IF(AND(M3512=0,P3512=0),"▶ NEXT","")</f>
        <v>▶ NEXT</v>
      </c>
      <c r="L3512" s="4" t="n">
        <f aca="false">INDEX('Master List'!$F$2:$F$2594,O3512)</f>
        <v>3</v>
      </c>
      <c r="M3512" s="4" t="n">
        <f aca="false">INDEX('Master List'!$G$2:$G$2594,O3512)</f>
        <v>0</v>
      </c>
      <c r="N3512" s="4" t="str">
        <f aca="false">IF(K3512="","",A3512)</f>
        <v>N287</v>
      </c>
      <c r="O3512" s="4" t="n">
        <v>1909</v>
      </c>
      <c r="P3512" s="4" t="n">
        <f aca="false">IF(A3512=A3511,P3511+1-M3511,0)</f>
        <v>0</v>
      </c>
    </row>
    <row r="3513" customFormat="false" ht="15" hidden="false" customHeight="false" outlineLevel="0" collapsed="false">
      <c r="A3513" s="33" t="s">
        <v>4397</v>
      </c>
      <c r="B3513" s="33" t="s">
        <v>56</v>
      </c>
      <c r="C3513" s="33" t="s">
        <v>120</v>
      </c>
      <c r="D3513" s="33" t="s">
        <v>4398</v>
      </c>
      <c r="E3513" s="4" t="n">
        <v>3</v>
      </c>
      <c r="F3513" s="4" t="s">
        <v>213</v>
      </c>
      <c r="G3513" s="4" t="s">
        <v>392</v>
      </c>
      <c r="H3513" s="4" t="n">
        <v>1973</v>
      </c>
      <c r="I3513" s="4" t="s">
        <v>257</v>
      </c>
      <c r="J3513" s="25" t="str">
        <f aca="false">IF(M3513=1,"✓","")</f>
        <v/>
      </c>
      <c r="K3513" s="4" t="str">
        <f aca="false">IF(AND(M3513=0,P3513=0),"▶ NEXT","")</f>
        <v/>
      </c>
      <c r="L3513" s="4" t="n">
        <f aca="false">INDEX('Master List'!$F$2:$F$2594,O3513)</f>
        <v>4</v>
      </c>
      <c r="M3513" s="4" t="n">
        <f aca="false">INDEX('Master List'!$G$2:$G$2594,O3513)</f>
        <v>0</v>
      </c>
      <c r="N3513" s="4" t="str">
        <f aca="false">IF(K3513="","",A3513)</f>
        <v/>
      </c>
      <c r="O3513" s="4" t="n">
        <v>89</v>
      </c>
      <c r="P3513" s="4" t="n">
        <f aca="false">IF(A3513=A3512,P3512+1-M3512,0)</f>
        <v>1</v>
      </c>
    </row>
    <row r="3514" customFormat="false" ht="15" hidden="false" customHeight="false" outlineLevel="0" collapsed="false">
      <c r="A3514" s="33" t="s">
        <v>4397</v>
      </c>
      <c r="B3514" s="33" t="s">
        <v>56</v>
      </c>
      <c r="C3514" s="33" t="s">
        <v>120</v>
      </c>
      <c r="D3514" s="33" t="s">
        <v>4398</v>
      </c>
      <c r="E3514" s="4" t="n">
        <v>4</v>
      </c>
      <c r="F3514" s="4" t="s">
        <v>213</v>
      </c>
      <c r="G3514" s="4" t="s">
        <v>2373</v>
      </c>
      <c r="H3514" s="4" t="n">
        <v>1982</v>
      </c>
      <c r="I3514" s="4" t="s">
        <v>2374</v>
      </c>
      <c r="J3514" s="25" t="str">
        <f aca="false">IF(M3514=1,"✓","")</f>
        <v/>
      </c>
      <c r="K3514" s="4" t="str">
        <f aca="false">IF(AND(M3514=0,P3514=0),"▶ NEXT","")</f>
        <v/>
      </c>
      <c r="L3514" s="4" t="n">
        <f aca="false">INDEX('Master List'!$F$2:$F$2594,O3514)</f>
        <v>1</v>
      </c>
      <c r="M3514" s="4" t="n">
        <f aca="false">INDEX('Master List'!$G$2:$G$2594,O3514)</f>
        <v>0</v>
      </c>
      <c r="N3514" s="4" t="str">
        <f aca="false">IF(K3514="","",A3514)</f>
        <v/>
      </c>
      <c r="O3514" s="4" t="n">
        <v>632</v>
      </c>
      <c r="P3514" s="4" t="n">
        <f aca="false">IF(A3514=A3513,P3513+1-M3513,0)</f>
        <v>2</v>
      </c>
    </row>
    <row r="3515" customFormat="false" ht="15" hidden="false" customHeight="false" outlineLevel="0" collapsed="false">
      <c r="A3515" s="33" t="s">
        <v>4397</v>
      </c>
      <c r="B3515" s="33" t="s">
        <v>56</v>
      </c>
      <c r="C3515" s="33" t="s">
        <v>120</v>
      </c>
      <c r="D3515" s="33" t="s">
        <v>4398</v>
      </c>
      <c r="E3515" s="4" t="n">
        <v>5</v>
      </c>
      <c r="F3515" s="4" t="s">
        <v>213</v>
      </c>
      <c r="G3515" s="4" t="s">
        <v>147</v>
      </c>
      <c r="H3515" s="4" t="n">
        <v>1989</v>
      </c>
      <c r="I3515" s="4" t="s">
        <v>148</v>
      </c>
      <c r="J3515" s="25" t="str">
        <f aca="false">IF(M3515=1,"✓","")</f>
        <v>✓</v>
      </c>
      <c r="K3515" s="4" t="str">
        <f aca="false">IF(AND(M3515=0,P3515=0),"▶ NEXT","")</f>
        <v/>
      </c>
      <c r="L3515" s="4" t="n">
        <f aca="false">INDEX('Master List'!$F$2:$F$2594,O3515)</f>
        <v>11</v>
      </c>
      <c r="M3515" s="4" t="n">
        <f aca="false">INDEX('Master List'!$G$2:$G$2594,O3515)</f>
        <v>1</v>
      </c>
      <c r="N3515" s="4" t="str">
        <f aca="false">IF(K3515="","",A3515)</f>
        <v/>
      </c>
      <c r="O3515" s="4" t="n">
        <v>646</v>
      </c>
      <c r="P3515" s="4" t="n">
        <f aca="false">IF(A3515=A3514,P3514+1-M3514,0)</f>
        <v>3</v>
      </c>
    </row>
    <row r="3516" customFormat="false" ht="15" hidden="false" customHeight="false" outlineLevel="0" collapsed="false">
      <c r="A3516" s="33" t="s">
        <v>4397</v>
      </c>
      <c r="B3516" s="33" t="s">
        <v>56</v>
      </c>
      <c r="C3516" s="33" t="s">
        <v>120</v>
      </c>
      <c r="D3516" s="33" t="s">
        <v>4398</v>
      </c>
      <c r="E3516" s="4" t="n">
        <v>6</v>
      </c>
      <c r="F3516" s="4" t="s">
        <v>213</v>
      </c>
      <c r="G3516" s="4" t="s">
        <v>370</v>
      </c>
      <c r="H3516" s="4" t="n">
        <v>1990</v>
      </c>
      <c r="I3516" s="4" t="s">
        <v>320</v>
      </c>
      <c r="J3516" s="25" t="str">
        <f aca="false">IF(M3516=1,"✓","")</f>
        <v/>
      </c>
      <c r="K3516" s="4" t="str">
        <f aca="false">IF(AND(M3516=0,P3516=0),"▶ NEXT","")</f>
        <v/>
      </c>
      <c r="L3516" s="4" t="n">
        <f aca="false">INDEX('Master List'!$F$2:$F$2594,O3516)</f>
        <v>4</v>
      </c>
      <c r="M3516" s="4" t="n">
        <f aca="false">INDEX('Master List'!$G$2:$G$2594,O3516)</f>
        <v>0</v>
      </c>
      <c r="N3516" s="4" t="str">
        <f aca="false">IF(K3516="","",A3516)</f>
        <v/>
      </c>
      <c r="O3516" s="4" t="n">
        <v>2086</v>
      </c>
      <c r="P3516" s="4" t="n">
        <f aca="false">IF(A3516=A3515,P3515+1-M3515,0)</f>
        <v>3</v>
      </c>
    </row>
    <row r="3517" customFormat="false" ht="15" hidden="false" customHeight="false" outlineLevel="0" collapsed="false">
      <c r="A3517" s="33" t="s">
        <v>4397</v>
      </c>
      <c r="B3517" s="33" t="s">
        <v>56</v>
      </c>
      <c r="C3517" s="33" t="s">
        <v>120</v>
      </c>
      <c r="D3517" s="33" t="s">
        <v>4398</v>
      </c>
      <c r="E3517" s="4" t="n">
        <v>7</v>
      </c>
      <c r="F3517" s="4" t="s">
        <v>213</v>
      </c>
      <c r="G3517" s="4" t="s">
        <v>1104</v>
      </c>
      <c r="H3517" s="4" t="n">
        <v>1994</v>
      </c>
      <c r="I3517" s="4" t="s">
        <v>1105</v>
      </c>
      <c r="J3517" s="25" t="str">
        <f aca="false">IF(M3517=1,"✓","")</f>
        <v/>
      </c>
      <c r="K3517" s="4" t="str">
        <f aca="false">IF(AND(M3517=0,P3517=0),"▶ NEXT","")</f>
        <v/>
      </c>
      <c r="L3517" s="4" t="n">
        <f aca="false">INDEX('Master List'!$F$2:$F$2594,O3517)</f>
        <v>2</v>
      </c>
      <c r="M3517" s="4" t="n">
        <f aca="false">INDEX('Master List'!$G$2:$G$2594,O3517)</f>
        <v>0</v>
      </c>
      <c r="N3517" s="4" t="str">
        <f aca="false">IF(K3517="","",A3517)</f>
        <v/>
      </c>
      <c r="O3517" s="4" t="n">
        <v>476</v>
      </c>
      <c r="P3517" s="4" t="n">
        <f aca="false">IF(A3517=A3516,P3516+1-M3516,0)</f>
        <v>4</v>
      </c>
    </row>
    <row r="3518" customFormat="false" ht="15" hidden="false" customHeight="false" outlineLevel="0" collapsed="false">
      <c r="A3518" s="33" t="s">
        <v>4397</v>
      </c>
      <c r="B3518" s="33" t="s">
        <v>56</v>
      </c>
      <c r="C3518" s="33" t="s">
        <v>120</v>
      </c>
      <c r="D3518" s="33" t="s">
        <v>4398</v>
      </c>
      <c r="E3518" s="4" t="n">
        <v>8</v>
      </c>
      <c r="F3518" s="4" t="s">
        <v>213</v>
      </c>
      <c r="G3518" s="4" t="s">
        <v>1286</v>
      </c>
      <c r="H3518" s="4" t="n">
        <v>1995</v>
      </c>
      <c r="I3518" s="4" t="s">
        <v>1287</v>
      </c>
      <c r="J3518" s="25" t="str">
        <f aca="false">IF(M3518=1,"✓","")</f>
        <v>✓</v>
      </c>
      <c r="K3518" s="4" t="str">
        <f aca="false">IF(AND(M3518=0,P3518=0),"▶ NEXT","")</f>
        <v/>
      </c>
      <c r="L3518" s="4" t="n">
        <f aca="false">INDEX('Master List'!$F$2:$F$2594,O3518)</f>
        <v>2</v>
      </c>
      <c r="M3518" s="4" t="n">
        <f aca="false">INDEX('Master List'!$G$2:$G$2594,O3518)</f>
        <v>1</v>
      </c>
      <c r="N3518" s="4" t="str">
        <f aca="false">IF(K3518="","",A3518)</f>
        <v/>
      </c>
      <c r="O3518" s="4" t="n">
        <v>855</v>
      </c>
      <c r="P3518" s="4" t="n">
        <f aca="false">IF(A3518=A3517,P3517+1-M3517,0)</f>
        <v>5</v>
      </c>
    </row>
    <row r="3519" customFormat="false" ht="15" hidden="false" customHeight="false" outlineLevel="0" collapsed="false">
      <c r="A3519" s="33" t="s">
        <v>4397</v>
      </c>
      <c r="B3519" s="33" t="s">
        <v>56</v>
      </c>
      <c r="C3519" s="33" t="s">
        <v>120</v>
      </c>
      <c r="D3519" s="33" t="s">
        <v>4398</v>
      </c>
      <c r="E3519" s="4" t="n">
        <v>9</v>
      </c>
      <c r="F3519" s="4" t="s">
        <v>213</v>
      </c>
      <c r="G3519" s="4" t="s">
        <v>626</v>
      </c>
      <c r="H3519" s="4" t="n">
        <v>1998</v>
      </c>
      <c r="I3519" s="4" t="s">
        <v>397</v>
      </c>
      <c r="J3519" s="25" t="str">
        <f aca="false">IF(M3519=1,"✓","")</f>
        <v>✓</v>
      </c>
      <c r="K3519" s="4" t="str">
        <f aca="false">IF(AND(M3519=0,P3519=0),"▶ NEXT","")</f>
        <v/>
      </c>
      <c r="L3519" s="4" t="n">
        <f aca="false">INDEX('Master List'!$F$2:$F$2594,O3519)</f>
        <v>3</v>
      </c>
      <c r="M3519" s="4" t="n">
        <f aca="false">INDEX('Master List'!$G$2:$G$2594,O3519)</f>
        <v>1</v>
      </c>
      <c r="N3519" s="4" t="str">
        <f aca="false">IF(K3519="","",A3519)</f>
        <v/>
      </c>
      <c r="O3519" s="4" t="n">
        <v>244</v>
      </c>
      <c r="P3519" s="4" t="n">
        <f aca="false">IF(A3519=A3518,P3518+1-M3518,0)</f>
        <v>5</v>
      </c>
    </row>
    <row r="3520" customFormat="false" ht="15" hidden="false" customHeight="false" outlineLevel="0" collapsed="false">
      <c r="A3520" s="33" t="s">
        <v>4397</v>
      </c>
      <c r="B3520" s="33" t="s">
        <v>56</v>
      </c>
      <c r="C3520" s="33" t="s">
        <v>120</v>
      </c>
      <c r="D3520" s="33" t="s">
        <v>4398</v>
      </c>
      <c r="E3520" s="4" t="n">
        <v>10</v>
      </c>
      <c r="F3520" s="4" t="s">
        <v>213</v>
      </c>
      <c r="G3520" s="4" t="s">
        <v>1230</v>
      </c>
      <c r="H3520" s="4" t="n">
        <v>2016</v>
      </c>
      <c r="I3520" s="4" t="s">
        <v>320</v>
      </c>
      <c r="J3520" s="25" t="str">
        <f aca="false">IF(M3520=1,"✓","")</f>
        <v/>
      </c>
      <c r="K3520" s="4" t="str">
        <f aca="false">IF(AND(M3520=0,P3520=0),"▶ NEXT","")</f>
        <v/>
      </c>
      <c r="L3520" s="4" t="n">
        <f aca="false">INDEX('Master List'!$F$2:$F$2594,O3520)</f>
        <v>2</v>
      </c>
      <c r="M3520" s="4" t="n">
        <f aca="false">INDEX('Master List'!$G$2:$G$2594,O3520)</f>
        <v>0</v>
      </c>
      <c r="N3520" s="4" t="str">
        <f aca="false">IF(K3520="","",A3520)</f>
        <v/>
      </c>
      <c r="O3520" s="4" t="n">
        <v>752</v>
      </c>
      <c r="P3520" s="4" t="n">
        <f aca="false">IF(A3520=A3519,P3519+1-M3519,0)</f>
        <v>5</v>
      </c>
    </row>
    <row r="3521" customFormat="false" ht="15" hidden="false" customHeight="false" outlineLevel="0" collapsed="false">
      <c r="A3521" s="33" t="s">
        <v>4397</v>
      </c>
      <c r="B3521" s="33" t="s">
        <v>56</v>
      </c>
      <c r="C3521" s="33" t="s">
        <v>120</v>
      </c>
      <c r="D3521" s="33" t="s">
        <v>4398</v>
      </c>
      <c r="E3521" s="4" t="n">
        <v>11</v>
      </c>
      <c r="F3521" s="4" t="s">
        <v>213</v>
      </c>
      <c r="G3521" s="4" t="s">
        <v>2660</v>
      </c>
      <c r="H3521" s="4" t="n">
        <v>1996</v>
      </c>
      <c r="I3521" s="4" t="s">
        <v>2661</v>
      </c>
      <c r="J3521" s="25" t="str">
        <f aca="false">IF(M3521=1,"✓","")</f>
        <v>✓</v>
      </c>
      <c r="K3521" s="4" t="str">
        <f aca="false">IF(AND(M3521=0,P3521=0),"▶ NEXT","")</f>
        <v/>
      </c>
      <c r="L3521" s="4" t="n">
        <f aca="false">INDEX('Master List'!$F$2:$F$2594,O3521)</f>
        <v>1</v>
      </c>
      <c r="M3521" s="4" t="n">
        <f aca="false">INDEX('Master List'!$G$2:$G$2594,O3521)</f>
        <v>1</v>
      </c>
      <c r="N3521" s="4" t="str">
        <f aca="false">IF(K3521="","",A3521)</f>
        <v/>
      </c>
      <c r="O3521" s="4" t="n">
        <v>581</v>
      </c>
      <c r="P3521" s="4" t="n">
        <f aca="false">IF(A3521=A3520,P3520+1-M3520,0)</f>
        <v>6</v>
      </c>
    </row>
    <row r="3522" customFormat="false" ht="15" hidden="false" customHeight="false" outlineLevel="0" collapsed="false">
      <c r="A3522" s="33" t="s">
        <v>4397</v>
      </c>
      <c r="B3522" s="33" t="s">
        <v>56</v>
      </c>
      <c r="C3522" s="33" t="s">
        <v>120</v>
      </c>
      <c r="D3522" s="33" t="s">
        <v>4398</v>
      </c>
      <c r="E3522" s="4" t="n">
        <v>12</v>
      </c>
      <c r="F3522" s="4" t="s">
        <v>213</v>
      </c>
      <c r="G3522" s="4" t="s">
        <v>1262</v>
      </c>
      <c r="H3522" s="4" t="n">
        <v>2021</v>
      </c>
      <c r="I3522" s="4" t="s">
        <v>278</v>
      </c>
      <c r="J3522" s="25" t="str">
        <f aca="false">IF(M3522=1,"✓","")</f>
        <v>✓</v>
      </c>
      <c r="K3522" s="4" t="str">
        <f aca="false">IF(AND(M3522=0,P3522=0),"▶ NEXT","")</f>
        <v/>
      </c>
      <c r="L3522" s="4" t="n">
        <f aca="false">INDEX('Master List'!$F$2:$F$2594,O3522)</f>
        <v>2</v>
      </c>
      <c r="M3522" s="4" t="n">
        <f aca="false">INDEX('Master List'!$G$2:$G$2594,O3522)</f>
        <v>1</v>
      </c>
      <c r="N3522" s="4" t="str">
        <f aca="false">IF(K3522="","",A3522)</f>
        <v/>
      </c>
      <c r="O3522" s="4" t="n">
        <v>1329</v>
      </c>
      <c r="P3522" s="4" t="n">
        <f aca="false">IF(A3522=A3521,P3521+1-M3521,0)</f>
        <v>6</v>
      </c>
    </row>
    <row r="3523" customFormat="false" ht="15" hidden="false" customHeight="false" outlineLevel="0" collapsed="false">
      <c r="A3523" s="33" t="s">
        <v>4397</v>
      </c>
      <c r="B3523" s="33" t="s">
        <v>56</v>
      </c>
      <c r="C3523" s="33" t="s">
        <v>120</v>
      </c>
      <c r="D3523" s="33" t="s">
        <v>4398</v>
      </c>
      <c r="E3523" s="4" t="n">
        <v>13</v>
      </c>
      <c r="F3523" s="4" t="s">
        <v>1327</v>
      </c>
      <c r="G3523" s="4" t="s">
        <v>823</v>
      </c>
      <c r="H3523" s="4" t="n">
        <v>1989</v>
      </c>
      <c r="I3523" s="4" t="s">
        <v>615</v>
      </c>
      <c r="J3523" s="25" t="str">
        <f aca="false">IF(M3523=1,"✓","")</f>
        <v/>
      </c>
      <c r="K3523" s="4" t="str">
        <f aca="false">IF(AND(M3523=0,P3523=0),"▶ NEXT","")</f>
        <v/>
      </c>
      <c r="L3523" s="4" t="n">
        <f aca="false">INDEX('Master List'!$F$2:$F$2594,O3523)</f>
        <v>3</v>
      </c>
      <c r="M3523" s="4" t="n">
        <f aca="false">INDEX('Master List'!$G$2:$G$2594,O3523)</f>
        <v>0</v>
      </c>
      <c r="N3523" s="4" t="str">
        <f aca="false">IF(K3523="","",A3523)</f>
        <v/>
      </c>
      <c r="O3523" s="4" t="n">
        <v>1577</v>
      </c>
      <c r="P3523" s="4" t="n">
        <f aca="false">IF(A3523=A3522,P3522+1-M3522,0)</f>
        <v>6</v>
      </c>
    </row>
    <row r="3524" customFormat="false" ht="15" hidden="false" customHeight="false" outlineLevel="0" collapsed="false">
      <c r="A3524" s="33" t="s">
        <v>4397</v>
      </c>
      <c r="B3524" s="33" t="s">
        <v>56</v>
      </c>
      <c r="C3524" s="33" t="s">
        <v>120</v>
      </c>
      <c r="D3524" s="33" t="s">
        <v>4398</v>
      </c>
      <c r="E3524" s="4" t="n">
        <v>14</v>
      </c>
      <c r="F3524" s="4" t="s">
        <v>1327</v>
      </c>
      <c r="G3524" s="4" t="s">
        <v>3695</v>
      </c>
      <c r="H3524" s="4" t="n">
        <v>1996</v>
      </c>
      <c r="I3524" s="4" t="s">
        <v>3696</v>
      </c>
      <c r="J3524" s="25" t="str">
        <f aca="false">IF(M3524=1,"✓","")</f>
        <v/>
      </c>
      <c r="K3524" s="4" t="str">
        <f aca="false">IF(AND(M3524=0,P3524=0),"▶ NEXT","")</f>
        <v/>
      </c>
      <c r="L3524" s="4" t="n">
        <f aca="false">INDEX('Master List'!$F$2:$F$2594,O3524)</f>
        <v>1</v>
      </c>
      <c r="M3524" s="4" t="n">
        <f aca="false">INDEX('Master List'!$G$2:$G$2594,O3524)</f>
        <v>0</v>
      </c>
      <c r="N3524" s="4" t="str">
        <f aca="false">IF(K3524="","",A3524)</f>
        <v/>
      </c>
      <c r="O3524" s="4" t="n">
        <v>207</v>
      </c>
      <c r="P3524" s="4" t="n">
        <f aca="false">IF(A3524=A3523,P3523+1-M3523,0)</f>
        <v>7</v>
      </c>
    </row>
    <row r="3525" customFormat="false" ht="15" hidden="false" customHeight="false" outlineLevel="0" collapsed="false">
      <c r="A3525" s="33" t="s">
        <v>4399</v>
      </c>
      <c r="B3525" s="33" t="s">
        <v>56</v>
      </c>
      <c r="C3525" s="33" t="s">
        <v>120</v>
      </c>
      <c r="D3525" s="33" t="s">
        <v>4400</v>
      </c>
      <c r="E3525" s="4" t="n">
        <v>1</v>
      </c>
      <c r="F3525" s="4" t="s">
        <v>144</v>
      </c>
      <c r="G3525" s="7" t="s">
        <v>295</v>
      </c>
      <c r="H3525" s="4" t="n">
        <v>1995</v>
      </c>
      <c r="I3525" s="4" t="s">
        <v>296</v>
      </c>
      <c r="J3525" s="25" t="str">
        <f aca="false">IF(M3525=1,"✓","")</f>
        <v>✓</v>
      </c>
      <c r="K3525" s="4" t="str">
        <f aca="false">IF(AND(M3525=0,P3525=0),"▶ NEXT","")</f>
        <v/>
      </c>
      <c r="L3525" s="4" t="n">
        <f aca="false">INDEX('Master List'!$F$2:$F$2594,O3525)</f>
        <v>4</v>
      </c>
      <c r="M3525" s="4" t="n">
        <f aca="false">INDEX('Master List'!$G$2:$G$2594,O3525)</f>
        <v>1</v>
      </c>
      <c r="N3525" s="4" t="str">
        <f aca="false">IF(K3525="","",A3525)</f>
        <v/>
      </c>
      <c r="O3525" s="4" t="n">
        <v>1011</v>
      </c>
      <c r="P3525" s="4" t="n">
        <f aca="false">IF(A3525=A3524,P3524+1-M3524,0)</f>
        <v>0</v>
      </c>
    </row>
    <row r="3526" customFormat="false" ht="15" hidden="false" customHeight="false" outlineLevel="0" collapsed="false">
      <c r="A3526" s="33" t="s">
        <v>4399</v>
      </c>
      <c r="B3526" s="33" t="s">
        <v>56</v>
      </c>
      <c r="C3526" s="33" t="s">
        <v>120</v>
      </c>
      <c r="D3526" s="33" t="s">
        <v>4400</v>
      </c>
      <c r="E3526" s="4" t="n">
        <v>2</v>
      </c>
      <c r="F3526" s="4" t="s">
        <v>144</v>
      </c>
      <c r="G3526" s="7" t="s">
        <v>1555</v>
      </c>
      <c r="H3526" s="4" t="n">
        <v>1993</v>
      </c>
      <c r="I3526" s="4" t="s">
        <v>1556</v>
      </c>
      <c r="J3526" s="25" t="str">
        <f aca="false">IF(M3526=1,"✓","")</f>
        <v>✓</v>
      </c>
      <c r="K3526" s="4" t="str">
        <f aca="false">IF(AND(M3526=0,P3526=0),"▶ NEXT","")</f>
        <v/>
      </c>
      <c r="L3526" s="4" t="n">
        <f aca="false">INDEX('Master List'!$F$2:$F$2594,O3526)</f>
        <v>1</v>
      </c>
      <c r="M3526" s="4" t="n">
        <f aca="false">INDEX('Master List'!$G$2:$G$2594,O3526)</f>
        <v>1</v>
      </c>
      <c r="N3526" s="4" t="str">
        <f aca="false">IF(K3526="","",A3526)</f>
        <v/>
      </c>
      <c r="O3526" s="4" t="n">
        <v>866</v>
      </c>
      <c r="P3526" s="4" t="n">
        <f aca="false">IF(A3526=A3525,P3525+1-M3525,0)</f>
        <v>0</v>
      </c>
    </row>
    <row r="3527" customFormat="false" ht="15" hidden="false" customHeight="false" outlineLevel="0" collapsed="false">
      <c r="A3527" s="33" t="s">
        <v>4399</v>
      </c>
      <c r="B3527" s="33" t="s">
        <v>56</v>
      </c>
      <c r="C3527" s="33" t="s">
        <v>120</v>
      </c>
      <c r="D3527" s="33" t="s">
        <v>4400</v>
      </c>
      <c r="E3527" s="4" t="n">
        <v>3</v>
      </c>
      <c r="F3527" s="4" t="s">
        <v>213</v>
      </c>
      <c r="G3527" s="4" t="s">
        <v>970</v>
      </c>
      <c r="H3527" s="4" t="n">
        <v>1963</v>
      </c>
      <c r="I3527" s="4" t="s">
        <v>971</v>
      </c>
      <c r="J3527" s="25" t="str">
        <f aca="false">IF(M3527=1,"✓","")</f>
        <v/>
      </c>
      <c r="K3527" s="4" t="str">
        <f aca="false">IF(AND(M3527=0,P3527=0),"▶ NEXT","")</f>
        <v>▶ NEXT</v>
      </c>
      <c r="L3527" s="4" t="n">
        <f aca="false">INDEX('Master List'!$F$2:$F$2594,O3527)</f>
        <v>2</v>
      </c>
      <c r="M3527" s="4" t="n">
        <f aca="false">INDEX('Master List'!$G$2:$G$2594,O3527)</f>
        <v>0</v>
      </c>
      <c r="N3527" s="4" t="str">
        <f aca="false">IF(K3527="","",A3527)</f>
        <v>N288</v>
      </c>
      <c r="O3527" s="4" t="n">
        <v>952</v>
      </c>
      <c r="P3527" s="4" t="n">
        <f aca="false">IF(A3527=A3526,P3526+1-M3526,0)</f>
        <v>0</v>
      </c>
    </row>
    <row r="3528" customFormat="false" ht="15" hidden="false" customHeight="false" outlineLevel="0" collapsed="false">
      <c r="A3528" s="33" t="s">
        <v>4399</v>
      </c>
      <c r="B3528" s="33" t="s">
        <v>56</v>
      </c>
      <c r="C3528" s="33" t="s">
        <v>120</v>
      </c>
      <c r="D3528" s="33" t="s">
        <v>4400</v>
      </c>
      <c r="E3528" s="4" t="n">
        <v>4</v>
      </c>
      <c r="F3528" s="4" t="s">
        <v>213</v>
      </c>
      <c r="G3528" s="4" t="s">
        <v>890</v>
      </c>
      <c r="H3528" s="4" t="n">
        <v>1990</v>
      </c>
      <c r="I3528" s="4" t="s">
        <v>369</v>
      </c>
      <c r="J3528" s="25" t="str">
        <f aca="false">IF(M3528=1,"✓","")</f>
        <v/>
      </c>
      <c r="K3528" s="4" t="str">
        <f aca="false">IF(AND(M3528=0,P3528=0),"▶ NEXT","")</f>
        <v/>
      </c>
      <c r="L3528" s="4" t="n">
        <f aca="false">INDEX('Master List'!$F$2:$F$2594,O3528)</f>
        <v>2</v>
      </c>
      <c r="M3528" s="4" t="n">
        <f aca="false">INDEX('Master List'!$G$2:$G$2594,O3528)</f>
        <v>0</v>
      </c>
      <c r="N3528" s="4" t="str">
        <f aca="false">IF(K3528="","",A3528)</f>
        <v/>
      </c>
      <c r="O3528" s="4" t="n">
        <v>1089</v>
      </c>
      <c r="P3528" s="4" t="n">
        <f aca="false">IF(A3528=A3527,P3527+1-M3527,0)</f>
        <v>1</v>
      </c>
    </row>
    <row r="3529" customFormat="false" ht="15" hidden="false" customHeight="false" outlineLevel="0" collapsed="false">
      <c r="A3529" s="33" t="s">
        <v>4399</v>
      </c>
      <c r="B3529" s="33" t="s">
        <v>56</v>
      </c>
      <c r="C3529" s="33" t="s">
        <v>120</v>
      </c>
      <c r="D3529" s="33" t="s">
        <v>4400</v>
      </c>
      <c r="E3529" s="4" t="n">
        <v>5</v>
      </c>
      <c r="F3529" s="4" t="s">
        <v>213</v>
      </c>
      <c r="G3529" s="4" t="s">
        <v>1114</v>
      </c>
      <c r="H3529" s="4" t="n">
        <v>1995</v>
      </c>
      <c r="I3529" s="4" t="s">
        <v>1115</v>
      </c>
      <c r="J3529" s="25" t="str">
        <f aca="false">IF(M3529=1,"✓","")</f>
        <v/>
      </c>
      <c r="K3529" s="4" t="str">
        <f aca="false">IF(AND(M3529=0,P3529=0),"▶ NEXT","")</f>
        <v/>
      </c>
      <c r="L3529" s="4" t="n">
        <f aca="false">INDEX('Master List'!$F$2:$F$2594,O3529)</f>
        <v>2</v>
      </c>
      <c r="M3529" s="4" t="n">
        <f aca="false">INDEX('Master List'!$G$2:$G$2594,O3529)</f>
        <v>0</v>
      </c>
      <c r="N3529" s="4" t="str">
        <f aca="false">IF(K3529="","",A3529)</f>
        <v/>
      </c>
      <c r="O3529" s="4" t="n">
        <v>122</v>
      </c>
      <c r="P3529" s="4" t="n">
        <f aca="false">IF(A3529=A3528,P3528+1-M3528,0)</f>
        <v>2</v>
      </c>
    </row>
    <row r="3530" customFormat="false" ht="15" hidden="false" customHeight="false" outlineLevel="0" collapsed="false">
      <c r="A3530" s="33" t="s">
        <v>4399</v>
      </c>
      <c r="B3530" s="33" t="s">
        <v>56</v>
      </c>
      <c r="C3530" s="33" t="s">
        <v>120</v>
      </c>
      <c r="D3530" s="33" t="s">
        <v>4400</v>
      </c>
      <c r="E3530" s="4" t="n">
        <v>6</v>
      </c>
      <c r="F3530" s="4" t="s">
        <v>213</v>
      </c>
      <c r="G3530" s="4" t="s">
        <v>2810</v>
      </c>
      <c r="H3530" s="4" t="n">
        <v>2003</v>
      </c>
      <c r="I3530" s="4" t="s">
        <v>439</v>
      </c>
      <c r="J3530" s="25" t="str">
        <f aca="false">IF(M3530=1,"✓","")</f>
        <v/>
      </c>
      <c r="K3530" s="4" t="str">
        <f aca="false">IF(AND(M3530=0,P3530=0),"▶ NEXT","")</f>
        <v/>
      </c>
      <c r="L3530" s="4" t="n">
        <f aca="false">INDEX('Master List'!$F$2:$F$2594,O3530)</f>
        <v>1</v>
      </c>
      <c r="M3530" s="4" t="n">
        <f aca="false">INDEX('Master List'!$G$2:$G$2594,O3530)</f>
        <v>0</v>
      </c>
      <c r="N3530" s="4" t="str">
        <f aca="false">IF(K3530="","",A3530)</f>
        <v/>
      </c>
      <c r="O3530" s="4" t="n">
        <v>1459</v>
      </c>
      <c r="P3530" s="4" t="n">
        <f aca="false">IF(A3530=A3529,P3529+1-M3529,0)</f>
        <v>3</v>
      </c>
    </row>
    <row r="3531" customFormat="false" ht="15" hidden="false" customHeight="false" outlineLevel="0" collapsed="false">
      <c r="A3531" s="33" t="s">
        <v>4399</v>
      </c>
      <c r="B3531" s="33" t="s">
        <v>56</v>
      </c>
      <c r="C3531" s="33" t="s">
        <v>120</v>
      </c>
      <c r="D3531" s="33" t="s">
        <v>4400</v>
      </c>
      <c r="E3531" s="4" t="n">
        <v>7</v>
      </c>
      <c r="F3531" s="4" t="s">
        <v>213</v>
      </c>
      <c r="G3531" s="4" t="s">
        <v>2692</v>
      </c>
      <c r="H3531" s="4" t="n">
        <v>1998</v>
      </c>
      <c r="I3531" s="4" t="s">
        <v>965</v>
      </c>
      <c r="J3531" s="25" t="str">
        <f aca="false">IF(M3531=1,"✓","")</f>
        <v/>
      </c>
      <c r="K3531" s="4" t="str">
        <f aca="false">IF(AND(M3531=0,P3531=0),"▶ NEXT","")</f>
        <v/>
      </c>
      <c r="L3531" s="4" t="n">
        <f aca="false">INDEX('Master List'!$F$2:$F$2594,O3531)</f>
        <v>1</v>
      </c>
      <c r="M3531" s="4" t="n">
        <f aca="false">INDEX('Master List'!$G$2:$G$2594,O3531)</f>
        <v>0</v>
      </c>
      <c r="N3531" s="4" t="str">
        <f aca="false">IF(K3531="","",A3531)</f>
        <v/>
      </c>
      <c r="O3531" s="4" t="n">
        <v>1929</v>
      </c>
      <c r="P3531" s="4" t="n">
        <f aca="false">IF(A3531=A3530,P3530+1-M3530,0)</f>
        <v>4</v>
      </c>
    </row>
    <row r="3532" customFormat="false" ht="15" hidden="false" customHeight="false" outlineLevel="0" collapsed="false">
      <c r="A3532" s="33" t="s">
        <v>4399</v>
      </c>
      <c r="B3532" s="33" t="s">
        <v>56</v>
      </c>
      <c r="C3532" s="33" t="s">
        <v>120</v>
      </c>
      <c r="D3532" s="33" t="s">
        <v>4400</v>
      </c>
      <c r="E3532" s="4" t="n">
        <v>8</v>
      </c>
      <c r="F3532" s="4" t="s">
        <v>213</v>
      </c>
      <c r="G3532" s="4" t="s">
        <v>2576</v>
      </c>
      <c r="H3532" s="4" t="n">
        <v>1993</v>
      </c>
      <c r="I3532" s="4" t="s">
        <v>2577</v>
      </c>
      <c r="J3532" s="25" t="str">
        <f aca="false">IF(M3532=1,"✓","")</f>
        <v>✓</v>
      </c>
      <c r="K3532" s="4" t="str">
        <f aca="false">IF(AND(M3532=0,P3532=0),"▶ NEXT","")</f>
        <v/>
      </c>
      <c r="L3532" s="4" t="n">
        <f aca="false">INDEX('Master List'!$F$2:$F$2594,O3532)</f>
        <v>1</v>
      </c>
      <c r="M3532" s="4" t="n">
        <f aca="false">INDEX('Master List'!$G$2:$G$2594,O3532)</f>
        <v>1</v>
      </c>
      <c r="N3532" s="4" t="str">
        <f aca="false">IF(K3532="","",A3532)</f>
        <v/>
      </c>
      <c r="O3532" s="4" t="n">
        <v>2330</v>
      </c>
      <c r="P3532" s="4" t="n">
        <f aca="false">IF(A3532=A3531,P3531+1-M3531,0)</f>
        <v>5</v>
      </c>
    </row>
    <row r="3533" customFormat="false" ht="15" hidden="false" customHeight="false" outlineLevel="0" collapsed="false">
      <c r="A3533" s="33" t="s">
        <v>4399</v>
      </c>
      <c r="B3533" s="33" t="s">
        <v>56</v>
      </c>
      <c r="C3533" s="33" t="s">
        <v>120</v>
      </c>
      <c r="D3533" s="33" t="s">
        <v>4400</v>
      </c>
      <c r="E3533" s="4" t="n">
        <v>9</v>
      </c>
      <c r="F3533" s="4" t="s">
        <v>213</v>
      </c>
      <c r="G3533" s="4" t="s">
        <v>1225</v>
      </c>
      <c r="H3533" s="4" t="n">
        <v>2015</v>
      </c>
      <c r="I3533" s="4" t="s">
        <v>327</v>
      </c>
      <c r="J3533" s="25" t="str">
        <f aca="false">IF(M3533=1,"✓","")</f>
        <v/>
      </c>
      <c r="K3533" s="4" t="str">
        <f aca="false">IF(AND(M3533=0,P3533=0),"▶ NEXT","")</f>
        <v/>
      </c>
      <c r="L3533" s="4" t="n">
        <f aca="false">INDEX('Master List'!$F$2:$F$2594,O3533)</f>
        <v>2</v>
      </c>
      <c r="M3533" s="4" t="n">
        <f aca="false">INDEX('Master List'!$G$2:$G$2594,O3533)</f>
        <v>0</v>
      </c>
      <c r="N3533" s="4" t="str">
        <f aca="false">IF(K3533="","",A3533)</f>
        <v/>
      </c>
      <c r="O3533" s="4" t="n">
        <v>2064</v>
      </c>
      <c r="P3533" s="4" t="n">
        <f aca="false">IF(A3533=A3532,P3532+1-M3532,0)</f>
        <v>5</v>
      </c>
    </row>
    <row r="3534" customFormat="false" ht="15" hidden="false" customHeight="false" outlineLevel="0" collapsed="false">
      <c r="A3534" s="33" t="s">
        <v>4399</v>
      </c>
      <c r="B3534" s="33" t="s">
        <v>56</v>
      </c>
      <c r="C3534" s="33" t="s">
        <v>120</v>
      </c>
      <c r="D3534" s="33" t="s">
        <v>4400</v>
      </c>
      <c r="E3534" s="4" t="n">
        <v>10</v>
      </c>
      <c r="F3534" s="4" t="s">
        <v>213</v>
      </c>
      <c r="G3534" s="4" t="s">
        <v>3184</v>
      </c>
      <c r="H3534" s="4" t="n">
        <v>2019</v>
      </c>
      <c r="I3534" s="4" t="s">
        <v>2711</v>
      </c>
      <c r="J3534" s="25" t="str">
        <f aca="false">IF(M3534=1,"✓","")</f>
        <v/>
      </c>
      <c r="K3534" s="4" t="str">
        <f aca="false">IF(AND(M3534=0,P3534=0),"▶ NEXT","")</f>
        <v/>
      </c>
      <c r="L3534" s="4" t="n">
        <f aca="false">INDEX('Master List'!$F$2:$F$2594,O3534)</f>
        <v>1</v>
      </c>
      <c r="M3534" s="4" t="n">
        <f aca="false">INDEX('Master List'!$G$2:$G$2594,O3534)</f>
        <v>0</v>
      </c>
      <c r="N3534" s="4" t="str">
        <f aca="false">IF(K3534="","",A3534)</f>
        <v/>
      </c>
      <c r="O3534" s="4" t="n">
        <v>835</v>
      </c>
      <c r="P3534" s="4" t="n">
        <f aca="false">IF(A3534=A3533,P3533+1-M3533,0)</f>
        <v>6</v>
      </c>
    </row>
    <row r="3535" customFormat="false" ht="15" hidden="false" customHeight="false" outlineLevel="0" collapsed="false">
      <c r="A3535" s="33" t="s">
        <v>4399</v>
      </c>
      <c r="B3535" s="33" t="s">
        <v>56</v>
      </c>
      <c r="C3535" s="33" t="s">
        <v>120</v>
      </c>
      <c r="D3535" s="33" t="s">
        <v>4400</v>
      </c>
      <c r="E3535" s="4" t="n">
        <v>11</v>
      </c>
      <c r="F3535" s="4" t="s">
        <v>213</v>
      </c>
      <c r="G3535" s="4" t="s">
        <v>3234</v>
      </c>
      <c r="H3535" s="4" t="n">
        <v>2022</v>
      </c>
      <c r="I3535" s="4" t="s">
        <v>3235</v>
      </c>
      <c r="J3535" s="25" t="str">
        <f aca="false">IF(M3535=1,"✓","")</f>
        <v>✓</v>
      </c>
      <c r="K3535" s="4" t="str">
        <f aca="false">IF(AND(M3535=0,P3535=0),"▶ NEXT","")</f>
        <v/>
      </c>
      <c r="L3535" s="4" t="n">
        <f aca="false">INDEX('Master List'!$F$2:$F$2594,O3535)</f>
        <v>1</v>
      </c>
      <c r="M3535" s="4" t="n">
        <f aca="false">INDEX('Master List'!$G$2:$G$2594,O3535)</f>
        <v>1</v>
      </c>
      <c r="N3535" s="4" t="str">
        <f aca="false">IF(K3535="","",A3535)</f>
        <v/>
      </c>
      <c r="O3535" s="4" t="n">
        <v>2337</v>
      </c>
      <c r="P3535" s="4" t="n">
        <f aca="false">IF(A3535=A3534,P3534+1-M3534,0)</f>
        <v>7</v>
      </c>
    </row>
    <row r="3536" customFormat="false" ht="15" hidden="false" customHeight="false" outlineLevel="0" collapsed="false">
      <c r="A3536" s="33" t="s">
        <v>4399</v>
      </c>
      <c r="B3536" s="33" t="s">
        <v>56</v>
      </c>
      <c r="C3536" s="33" t="s">
        <v>120</v>
      </c>
      <c r="D3536" s="33" t="s">
        <v>4400</v>
      </c>
      <c r="E3536" s="4" t="n">
        <v>12</v>
      </c>
      <c r="F3536" s="4" t="s">
        <v>1327</v>
      </c>
      <c r="G3536" s="4" t="s">
        <v>1358</v>
      </c>
      <c r="H3536" s="4" t="n">
        <v>1977</v>
      </c>
      <c r="I3536" s="4" t="s">
        <v>479</v>
      </c>
      <c r="J3536" s="25" t="str">
        <f aca="false">IF(M3536=1,"✓","")</f>
        <v/>
      </c>
      <c r="K3536" s="4" t="str">
        <f aca="false">IF(AND(M3536=0,P3536=0),"▶ NEXT","")</f>
        <v/>
      </c>
      <c r="L3536" s="4" t="n">
        <f aca="false">INDEX('Master List'!$F$2:$F$2594,O3536)</f>
        <v>2</v>
      </c>
      <c r="M3536" s="4" t="n">
        <f aca="false">INDEX('Master List'!$G$2:$G$2594,O3536)</f>
        <v>0</v>
      </c>
      <c r="N3536" s="4" t="str">
        <f aca="false">IF(K3536="","",A3536)</f>
        <v/>
      </c>
      <c r="O3536" s="4" t="n">
        <v>2117</v>
      </c>
      <c r="P3536" s="4" t="n">
        <f aca="false">IF(A3536=A3535,P3535+1-M3535,0)</f>
        <v>7</v>
      </c>
    </row>
    <row r="3537" customFormat="false" ht="15" hidden="false" customHeight="false" outlineLevel="0" collapsed="false">
      <c r="A3537" s="33" t="s">
        <v>4401</v>
      </c>
      <c r="B3537" s="33" t="s">
        <v>56</v>
      </c>
      <c r="C3537" s="33" t="s">
        <v>120</v>
      </c>
      <c r="D3537" s="33" t="s">
        <v>4402</v>
      </c>
      <c r="E3537" s="4" t="n">
        <v>1</v>
      </c>
      <c r="F3537" s="4" t="s">
        <v>144</v>
      </c>
      <c r="G3537" s="7" t="s">
        <v>514</v>
      </c>
      <c r="H3537" s="4" t="n">
        <v>2004</v>
      </c>
      <c r="I3537" s="4" t="s">
        <v>296</v>
      </c>
      <c r="J3537" s="25" t="str">
        <f aca="false">IF(M3537=1,"✓","")</f>
        <v>✓</v>
      </c>
      <c r="K3537" s="4" t="str">
        <f aca="false">IF(AND(M3537=0,P3537=0),"▶ NEXT","")</f>
        <v/>
      </c>
      <c r="L3537" s="4" t="n">
        <f aca="false">INDEX('Master List'!$F$2:$F$2594,O3537)</f>
        <v>3</v>
      </c>
      <c r="M3537" s="4" t="n">
        <f aca="false">INDEX('Master List'!$G$2:$G$2594,O3537)</f>
        <v>1</v>
      </c>
      <c r="N3537" s="4" t="str">
        <f aca="false">IF(K3537="","",A3537)</f>
        <v/>
      </c>
      <c r="O3537" s="4" t="n">
        <v>495</v>
      </c>
      <c r="P3537" s="4" t="n">
        <f aca="false">IF(A3537=A3536,P3536+1-M3536,0)</f>
        <v>0</v>
      </c>
    </row>
    <row r="3538" customFormat="false" ht="15" hidden="false" customHeight="false" outlineLevel="0" collapsed="false">
      <c r="A3538" s="33" t="s">
        <v>4401</v>
      </c>
      <c r="B3538" s="33" t="s">
        <v>56</v>
      </c>
      <c r="C3538" s="33" t="s">
        <v>120</v>
      </c>
      <c r="D3538" s="33" t="s">
        <v>4402</v>
      </c>
      <c r="E3538" s="4" t="n">
        <v>2</v>
      </c>
      <c r="F3538" s="4" t="s">
        <v>144</v>
      </c>
      <c r="G3538" s="7" t="s">
        <v>520</v>
      </c>
      <c r="H3538" s="4" t="n">
        <v>2011</v>
      </c>
      <c r="I3538" s="4" t="s">
        <v>521</v>
      </c>
      <c r="J3538" s="25" t="str">
        <f aca="false">IF(M3538=1,"✓","")</f>
        <v/>
      </c>
      <c r="K3538" s="4" t="str">
        <f aca="false">IF(AND(M3538=0,P3538=0),"▶ NEXT","")</f>
        <v>▶ NEXT</v>
      </c>
      <c r="L3538" s="4" t="n">
        <f aca="false">INDEX('Master List'!$F$2:$F$2594,O3538)</f>
        <v>3</v>
      </c>
      <c r="M3538" s="4" t="n">
        <f aca="false">INDEX('Master List'!$G$2:$G$2594,O3538)</f>
        <v>0</v>
      </c>
      <c r="N3538" s="4" t="str">
        <f aca="false">IF(K3538="","",A3538)</f>
        <v>N289</v>
      </c>
      <c r="O3538" s="4" t="n">
        <v>680</v>
      </c>
      <c r="P3538" s="4" t="n">
        <f aca="false">IF(A3538=A3537,P3537+1-M3537,0)</f>
        <v>0</v>
      </c>
    </row>
    <row r="3539" customFormat="false" ht="15" hidden="false" customHeight="false" outlineLevel="0" collapsed="false">
      <c r="A3539" s="33" t="s">
        <v>4401</v>
      </c>
      <c r="B3539" s="33" t="s">
        <v>56</v>
      </c>
      <c r="C3539" s="33" t="s">
        <v>120</v>
      </c>
      <c r="D3539" s="33" t="s">
        <v>4402</v>
      </c>
      <c r="E3539" s="4" t="n">
        <v>3</v>
      </c>
      <c r="F3539" s="4" t="s">
        <v>213</v>
      </c>
      <c r="G3539" s="4" t="s">
        <v>163</v>
      </c>
      <c r="H3539" s="4" t="n">
        <v>1976</v>
      </c>
      <c r="I3539" s="4" t="s">
        <v>164</v>
      </c>
      <c r="J3539" s="25" t="str">
        <f aca="false">IF(M3539=1,"✓","")</f>
        <v>✓</v>
      </c>
      <c r="K3539" s="4" t="str">
        <f aca="false">IF(AND(M3539=0,P3539=0),"▶ NEXT","")</f>
        <v/>
      </c>
      <c r="L3539" s="4" t="n">
        <f aca="false">INDEX('Master List'!$F$2:$F$2594,O3539)</f>
        <v>8</v>
      </c>
      <c r="M3539" s="4" t="n">
        <f aca="false">INDEX('Master List'!$G$2:$G$2594,O3539)</f>
        <v>1</v>
      </c>
      <c r="N3539" s="4" t="str">
        <f aca="false">IF(K3539="","",A3539)</f>
        <v/>
      </c>
      <c r="O3539" s="4" t="n">
        <v>2248</v>
      </c>
      <c r="P3539" s="4" t="n">
        <f aca="false">IF(A3539=A3538,P3538+1-M3538,0)</f>
        <v>1</v>
      </c>
    </row>
    <row r="3540" customFormat="false" ht="15" hidden="false" customHeight="false" outlineLevel="0" collapsed="false">
      <c r="A3540" s="33" t="s">
        <v>4401</v>
      </c>
      <c r="B3540" s="33" t="s">
        <v>56</v>
      </c>
      <c r="C3540" s="33" t="s">
        <v>120</v>
      </c>
      <c r="D3540" s="33" t="s">
        <v>4402</v>
      </c>
      <c r="E3540" s="4" t="n">
        <v>4</v>
      </c>
      <c r="F3540" s="4" t="s">
        <v>213</v>
      </c>
      <c r="G3540" s="4" t="s">
        <v>398</v>
      </c>
      <c r="H3540" s="4" t="n">
        <v>1985</v>
      </c>
      <c r="I3540" s="4" t="s">
        <v>164</v>
      </c>
      <c r="J3540" s="25" t="str">
        <f aca="false">IF(M3540=1,"✓","")</f>
        <v>✓</v>
      </c>
      <c r="K3540" s="4" t="str">
        <f aca="false">IF(AND(M3540=0,P3540=0),"▶ NEXT","")</f>
        <v/>
      </c>
      <c r="L3540" s="4" t="n">
        <f aca="false">INDEX('Master List'!$F$2:$F$2594,O3540)</f>
        <v>4</v>
      </c>
      <c r="M3540" s="4" t="n">
        <f aca="false">INDEX('Master List'!$G$2:$G$2594,O3540)</f>
        <v>1</v>
      </c>
      <c r="N3540" s="4" t="str">
        <f aca="false">IF(K3540="","",A3540)</f>
        <v/>
      </c>
      <c r="O3540" s="4" t="n">
        <v>49</v>
      </c>
      <c r="P3540" s="4" t="n">
        <f aca="false">IF(A3540=A3539,P3539+1-M3539,0)</f>
        <v>1</v>
      </c>
    </row>
    <row r="3541" customFormat="false" ht="15" hidden="false" customHeight="false" outlineLevel="0" collapsed="false">
      <c r="A3541" s="33" t="s">
        <v>4401</v>
      </c>
      <c r="B3541" s="33" t="s">
        <v>56</v>
      </c>
      <c r="C3541" s="33" t="s">
        <v>120</v>
      </c>
      <c r="D3541" s="33" t="s">
        <v>4402</v>
      </c>
      <c r="E3541" s="4" t="n">
        <v>5</v>
      </c>
      <c r="F3541" s="4" t="s">
        <v>213</v>
      </c>
      <c r="G3541" s="4" t="s">
        <v>619</v>
      </c>
      <c r="H3541" s="4" t="n">
        <v>1995</v>
      </c>
      <c r="I3541" s="4" t="s">
        <v>193</v>
      </c>
      <c r="J3541" s="25" t="str">
        <f aca="false">IF(M3541=1,"✓","")</f>
        <v/>
      </c>
      <c r="K3541" s="4" t="str">
        <f aca="false">IF(AND(M3541=0,P3541=0),"▶ NEXT","")</f>
        <v/>
      </c>
      <c r="L3541" s="4" t="n">
        <f aca="false">INDEX('Master List'!$F$2:$F$2594,O3541)</f>
        <v>3</v>
      </c>
      <c r="M3541" s="4" t="n">
        <f aca="false">INDEX('Master List'!$G$2:$G$2594,O3541)</f>
        <v>0</v>
      </c>
      <c r="N3541" s="4" t="str">
        <f aca="false">IF(K3541="","",A3541)</f>
        <v/>
      </c>
      <c r="O3541" s="4" t="n">
        <v>778</v>
      </c>
      <c r="P3541" s="4" t="n">
        <f aca="false">IF(A3541=A3540,P3540+1-M3540,0)</f>
        <v>1</v>
      </c>
    </row>
    <row r="3542" customFormat="false" ht="15" hidden="false" customHeight="false" outlineLevel="0" collapsed="false">
      <c r="A3542" s="33" t="s">
        <v>4401</v>
      </c>
      <c r="B3542" s="33" t="s">
        <v>56</v>
      </c>
      <c r="C3542" s="33" t="s">
        <v>120</v>
      </c>
      <c r="D3542" s="33" t="s">
        <v>4402</v>
      </c>
      <c r="E3542" s="4" t="n">
        <v>6</v>
      </c>
      <c r="F3542" s="4" t="s">
        <v>213</v>
      </c>
      <c r="G3542" s="4" t="s">
        <v>2939</v>
      </c>
      <c r="H3542" s="4" t="n">
        <v>2009</v>
      </c>
      <c r="I3542" s="4" t="s">
        <v>1399</v>
      </c>
      <c r="J3542" s="25" t="str">
        <f aca="false">IF(M3542=1,"✓","")</f>
        <v/>
      </c>
      <c r="K3542" s="4" t="str">
        <f aca="false">IF(AND(M3542=0,P3542=0),"▶ NEXT","")</f>
        <v/>
      </c>
      <c r="L3542" s="4" t="n">
        <f aca="false">INDEX('Master List'!$F$2:$F$2594,O3542)</f>
        <v>1</v>
      </c>
      <c r="M3542" s="4" t="n">
        <f aca="false">INDEX('Master List'!$G$2:$G$2594,O3542)</f>
        <v>0</v>
      </c>
      <c r="N3542" s="4" t="str">
        <f aca="false">IF(K3542="","",A3542)</f>
        <v/>
      </c>
      <c r="O3542" s="4" t="n">
        <v>735</v>
      </c>
      <c r="P3542" s="4" t="n">
        <f aca="false">IF(A3542=A3541,P3541+1-M3541,0)</f>
        <v>2</v>
      </c>
    </row>
    <row r="3543" customFormat="false" ht="15" hidden="false" customHeight="false" outlineLevel="0" collapsed="false">
      <c r="A3543" s="33" t="s">
        <v>4401</v>
      </c>
      <c r="B3543" s="33" t="s">
        <v>56</v>
      </c>
      <c r="C3543" s="33" t="s">
        <v>120</v>
      </c>
      <c r="D3543" s="33" t="s">
        <v>4402</v>
      </c>
      <c r="E3543" s="4" t="n">
        <v>7</v>
      </c>
      <c r="F3543" s="4" t="s">
        <v>213</v>
      </c>
      <c r="G3543" s="4" t="s">
        <v>1241</v>
      </c>
      <c r="H3543" s="4" t="n">
        <v>2017</v>
      </c>
      <c r="I3543" s="4" t="s">
        <v>653</v>
      </c>
      <c r="J3543" s="25" t="str">
        <f aca="false">IF(M3543=1,"✓","")</f>
        <v>✓</v>
      </c>
      <c r="K3543" s="4" t="str">
        <f aca="false">IF(AND(M3543=0,P3543=0),"▶ NEXT","")</f>
        <v/>
      </c>
      <c r="L3543" s="4" t="n">
        <f aca="false">INDEX('Master List'!$F$2:$F$2594,O3543)</f>
        <v>2</v>
      </c>
      <c r="M3543" s="4" t="n">
        <f aca="false">INDEX('Master List'!$G$2:$G$2594,O3543)</f>
        <v>1</v>
      </c>
      <c r="N3543" s="4" t="str">
        <f aca="false">IF(K3543="","",A3543)</f>
        <v/>
      </c>
      <c r="O3543" s="4" t="n">
        <v>930</v>
      </c>
      <c r="P3543" s="4" t="n">
        <f aca="false">IF(A3543=A3542,P3542+1-M3542,0)</f>
        <v>3</v>
      </c>
    </row>
    <row r="3544" customFormat="false" ht="15" hidden="false" customHeight="false" outlineLevel="0" collapsed="false">
      <c r="A3544" s="33" t="s">
        <v>4401</v>
      </c>
      <c r="B3544" s="33" t="s">
        <v>56</v>
      </c>
      <c r="C3544" s="33" t="s">
        <v>120</v>
      </c>
      <c r="D3544" s="33" t="s">
        <v>4402</v>
      </c>
      <c r="E3544" s="4" t="n">
        <v>8</v>
      </c>
      <c r="F3544" s="4" t="s">
        <v>213</v>
      </c>
      <c r="G3544" s="4" t="s">
        <v>652</v>
      </c>
      <c r="H3544" s="4" t="n">
        <v>2019</v>
      </c>
      <c r="I3544" s="4" t="s">
        <v>653</v>
      </c>
      <c r="J3544" s="25" t="str">
        <f aca="false">IF(M3544=1,"✓","")</f>
        <v>✓</v>
      </c>
      <c r="K3544" s="4" t="str">
        <f aca="false">IF(AND(M3544=0,P3544=0),"▶ NEXT","")</f>
        <v/>
      </c>
      <c r="L3544" s="4" t="n">
        <f aca="false">INDEX('Master List'!$F$2:$F$2594,O3544)</f>
        <v>3</v>
      </c>
      <c r="M3544" s="4" t="n">
        <f aca="false">INDEX('Master List'!$G$2:$G$2594,O3544)</f>
        <v>1</v>
      </c>
      <c r="N3544" s="4" t="str">
        <f aca="false">IF(K3544="","",A3544)</f>
        <v/>
      </c>
      <c r="O3544" s="4" t="n">
        <v>2400</v>
      </c>
      <c r="P3544" s="4" t="n">
        <f aca="false">IF(A3544=A3543,P3543+1-M3543,0)</f>
        <v>3</v>
      </c>
    </row>
    <row r="3545" customFormat="false" ht="15" hidden="false" customHeight="false" outlineLevel="0" collapsed="false">
      <c r="A3545" s="33" t="s">
        <v>4401</v>
      </c>
      <c r="B3545" s="33" t="s">
        <v>56</v>
      </c>
      <c r="C3545" s="33" t="s">
        <v>120</v>
      </c>
      <c r="D3545" s="33" t="s">
        <v>4402</v>
      </c>
      <c r="E3545" s="4" t="n">
        <v>9</v>
      </c>
      <c r="F3545" s="4" t="s">
        <v>1327</v>
      </c>
      <c r="G3545" s="4" t="s">
        <v>559</v>
      </c>
      <c r="H3545" s="4" t="n">
        <v>1981</v>
      </c>
      <c r="I3545" s="4" t="s">
        <v>296</v>
      </c>
      <c r="J3545" s="25" t="str">
        <f aca="false">IF(M3545=1,"✓","")</f>
        <v/>
      </c>
      <c r="K3545" s="4" t="str">
        <f aca="false">IF(AND(M3545=0,P3545=0),"▶ NEXT","")</f>
        <v/>
      </c>
      <c r="L3545" s="4" t="n">
        <f aca="false">INDEX('Master List'!$F$2:$F$2594,O3545)</f>
        <v>4</v>
      </c>
      <c r="M3545" s="4" t="n">
        <f aca="false">INDEX('Master List'!$G$2:$G$2594,O3545)</f>
        <v>0</v>
      </c>
      <c r="N3545" s="4" t="str">
        <f aca="false">IF(K3545="","",A3545)</f>
        <v/>
      </c>
      <c r="O3545" s="4" t="n">
        <v>2274</v>
      </c>
      <c r="P3545" s="4" t="n">
        <f aca="false">IF(A3545=A3544,P3544+1-M3544,0)</f>
        <v>3</v>
      </c>
    </row>
    <row r="3546" customFormat="false" ht="15" hidden="false" customHeight="false" outlineLevel="0" collapsed="false">
      <c r="A3546" s="33" t="s">
        <v>4401</v>
      </c>
      <c r="B3546" s="33" t="s">
        <v>56</v>
      </c>
      <c r="C3546" s="33" t="s">
        <v>120</v>
      </c>
      <c r="D3546" s="33" t="s">
        <v>4402</v>
      </c>
      <c r="E3546" s="4" t="n">
        <v>10</v>
      </c>
      <c r="F3546" s="4" t="s">
        <v>1327</v>
      </c>
      <c r="G3546" s="4" t="s">
        <v>1661</v>
      </c>
      <c r="H3546" s="4" t="n">
        <v>2018</v>
      </c>
      <c r="I3546" s="4" t="s">
        <v>1662</v>
      </c>
      <c r="J3546" s="25" t="str">
        <f aca="false">IF(M3546=1,"✓","")</f>
        <v/>
      </c>
      <c r="K3546" s="4" t="str">
        <f aca="false">IF(AND(M3546=0,P3546=0),"▶ NEXT","")</f>
        <v/>
      </c>
      <c r="L3546" s="4" t="n">
        <f aca="false">INDEX('Master List'!$F$2:$F$2594,O3546)</f>
        <v>2</v>
      </c>
      <c r="M3546" s="4" t="n">
        <f aca="false">INDEX('Master List'!$G$2:$G$2594,O3546)</f>
        <v>0</v>
      </c>
      <c r="N3546" s="4" t="str">
        <f aca="false">IF(K3546="","",A3546)</f>
        <v/>
      </c>
      <c r="O3546" s="4" t="n">
        <v>1376</v>
      </c>
      <c r="P3546" s="4" t="n">
        <f aca="false">IF(A3546=A3545,P3545+1-M3545,0)</f>
        <v>4</v>
      </c>
    </row>
    <row r="3547" customFormat="false" ht="15" hidden="false" customHeight="false" outlineLevel="0" collapsed="false">
      <c r="A3547" s="33" t="s">
        <v>4403</v>
      </c>
      <c r="B3547" s="33" t="s">
        <v>56</v>
      </c>
      <c r="C3547" s="33" t="s">
        <v>121</v>
      </c>
      <c r="D3547" s="33" t="s">
        <v>4404</v>
      </c>
      <c r="E3547" s="4" t="n">
        <v>1</v>
      </c>
      <c r="F3547" s="4" t="s">
        <v>144</v>
      </c>
      <c r="G3547" s="7" t="s">
        <v>420</v>
      </c>
      <c r="H3547" s="4" t="n">
        <v>1970</v>
      </c>
      <c r="I3547" s="4" t="s">
        <v>421</v>
      </c>
      <c r="J3547" s="25" t="str">
        <f aca="false">IF(M3547=1,"✓","")</f>
        <v/>
      </c>
      <c r="K3547" s="4" t="str">
        <f aca="false">IF(AND(M3547=0,P3547=0),"▶ NEXT","")</f>
        <v>▶ NEXT</v>
      </c>
      <c r="L3547" s="4" t="n">
        <f aca="false">INDEX('Master List'!$F$2:$F$2594,O3547)</f>
        <v>3</v>
      </c>
      <c r="M3547" s="4" t="n">
        <f aca="false">INDEX('Master List'!$G$2:$G$2594,O3547)</f>
        <v>0</v>
      </c>
      <c r="N3547" s="4" t="str">
        <f aca="false">IF(K3547="","",A3547)</f>
        <v>N290</v>
      </c>
      <c r="O3547" s="4" t="n">
        <v>2341</v>
      </c>
      <c r="P3547" s="4" t="n">
        <f aca="false">IF(A3547=A3546,P3546+1-M3546,0)</f>
        <v>0</v>
      </c>
    </row>
    <row r="3548" customFormat="false" ht="15" hidden="false" customHeight="false" outlineLevel="0" collapsed="false">
      <c r="A3548" s="33" t="s">
        <v>4403</v>
      </c>
      <c r="B3548" s="33" t="s">
        <v>56</v>
      </c>
      <c r="C3548" s="33" t="s">
        <v>121</v>
      </c>
      <c r="D3548" s="33" t="s">
        <v>4404</v>
      </c>
      <c r="E3548" s="4" t="n">
        <v>2</v>
      </c>
      <c r="F3548" s="4" t="s">
        <v>144</v>
      </c>
      <c r="G3548" s="7" t="s">
        <v>483</v>
      </c>
      <c r="H3548" s="4" t="n">
        <v>1975</v>
      </c>
      <c r="I3548" s="4" t="s">
        <v>484</v>
      </c>
      <c r="J3548" s="25" t="str">
        <f aca="false">IF(M3548=1,"✓","")</f>
        <v/>
      </c>
      <c r="K3548" s="4" t="str">
        <f aca="false">IF(AND(M3548=0,P3548=0),"▶ NEXT","")</f>
        <v/>
      </c>
      <c r="L3548" s="4" t="n">
        <f aca="false">INDEX('Master List'!$F$2:$F$2594,O3548)</f>
        <v>3</v>
      </c>
      <c r="M3548" s="4" t="n">
        <f aca="false">INDEX('Master List'!$G$2:$G$2594,O3548)</f>
        <v>0</v>
      </c>
      <c r="N3548" s="4" t="str">
        <f aca="false">IF(K3548="","",A3548)</f>
        <v/>
      </c>
      <c r="O3548" s="4" t="n">
        <v>1922</v>
      </c>
      <c r="P3548" s="4" t="n">
        <f aca="false">IF(A3548=A3547,P3547+1-M3547,0)</f>
        <v>1</v>
      </c>
    </row>
    <row r="3549" customFormat="false" ht="15" hidden="false" customHeight="false" outlineLevel="0" collapsed="false">
      <c r="A3549" s="33" t="s">
        <v>4403</v>
      </c>
      <c r="B3549" s="33" t="s">
        <v>56</v>
      </c>
      <c r="C3549" s="33" t="s">
        <v>121</v>
      </c>
      <c r="D3549" s="33" t="s">
        <v>4404</v>
      </c>
      <c r="E3549" s="4" t="n">
        <v>3</v>
      </c>
      <c r="F3549" s="4" t="s">
        <v>213</v>
      </c>
      <c r="G3549" s="4" t="s">
        <v>474</v>
      </c>
      <c r="H3549" s="4" t="n">
        <v>1968</v>
      </c>
      <c r="I3549" s="4" t="s">
        <v>475</v>
      </c>
      <c r="J3549" s="25" t="str">
        <f aca="false">IF(M3549=1,"✓","")</f>
        <v/>
      </c>
      <c r="K3549" s="4" t="str">
        <f aca="false">IF(AND(M3549=0,P3549=0),"▶ NEXT","")</f>
        <v/>
      </c>
      <c r="L3549" s="4" t="n">
        <f aca="false">INDEX('Master List'!$F$2:$F$2594,O3549)</f>
        <v>3</v>
      </c>
      <c r="M3549" s="4" t="n">
        <f aca="false">INDEX('Master List'!$G$2:$G$2594,O3549)</f>
        <v>0</v>
      </c>
      <c r="N3549" s="4" t="str">
        <f aca="false">IF(K3549="","",A3549)</f>
        <v/>
      </c>
      <c r="O3549" s="4" t="n">
        <v>1607</v>
      </c>
      <c r="P3549" s="4" t="n">
        <f aca="false">IF(A3549=A3548,P3548+1-M3548,0)</f>
        <v>2</v>
      </c>
    </row>
    <row r="3550" customFormat="false" ht="15" hidden="false" customHeight="false" outlineLevel="0" collapsed="false">
      <c r="A3550" s="33" t="s">
        <v>4403</v>
      </c>
      <c r="B3550" s="33" t="s">
        <v>56</v>
      </c>
      <c r="C3550" s="33" t="s">
        <v>121</v>
      </c>
      <c r="D3550" s="33" t="s">
        <v>4404</v>
      </c>
      <c r="E3550" s="4" t="n">
        <v>4</v>
      </c>
      <c r="F3550" s="4" t="s">
        <v>213</v>
      </c>
      <c r="G3550" s="4" t="s">
        <v>670</v>
      </c>
      <c r="H3550" s="4" t="n">
        <v>1972</v>
      </c>
      <c r="I3550" s="4" t="s">
        <v>671</v>
      </c>
      <c r="J3550" s="25" t="str">
        <f aca="false">IF(M3550=1,"✓","")</f>
        <v/>
      </c>
      <c r="K3550" s="4" t="str">
        <f aca="false">IF(AND(M3550=0,P3550=0),"▶ NEXT","")</f>
        <v/>
      </c>
      <c r="L3550" s="4" t="n">
        <f aca="false">INDEX('Master List'!$F$2:$F$2594,O3550)</f>
        <v>3</v>
      </c>
      <c r="M3550" s="4" t="n">
        <f aca="false">INDEX('Master List'!$G$2:$G$2594,O3550)</f>
        <v>0</v>
      </c>
      <c r="N3550" s="4" t="str">
        <f aca="false">IF(K3550="","",A3550)</f>
        <v/>
      </c>
      <c r="O3550" s="4" t="n">
        <v>1769</v>
      </c>
      <c r="P3550" s="4" t="n">
        <f aca="false">IF(A3550=A3549,P3549+1-M3549,0)</f>
        <v>3</v>
      </c>
    </row>
    <row r="3551" customFormat="false" ht="15" hidden="false" customHeight="false" outlineLevel="0" collapsed="false">
      <c r="A3551" s="33" t="s">
        <v>4403</v>
      </c>
      <c r="B3551" s="33" t="s">
        <v>56</v>
      </c>
      <c r="C3551" s="33" t="s">
        <v>121</v>
      </c>
      <c r="D3551" s="33" t="s">
        <v>4404</v>
      </c>
      <c r="E3551" s="4" t="n">
        <v>5</v>
      </c>
      <c r="F3551" s="4" t="s">
        <v>213</v>
      </c>
      <c r="G3551" s="4" t="s">
        <v>1017</v>
      </c>
      <c r="H3551" s="4" t="n">
        <v>1972</v>
      </c>
      <c r="I3551" s="4" t="s">
        <v>1018</v>
      </c>
      <c r="J3551" s="25" t="str">
        <f aca="false">IF(M3551=1,"✓","")</f>
        <v/>
      </c>
      <c r="K3551" s="4" t="str">
        <f aca="false">IF(AND(M3551=0,P3551=0),"▶ NEXT","")</f>
        <v/>
      </c>
      <c r="L3551" s="4" t="n">
        <f aca="false">INDEX('Master List'!$F$2:$F$2594,O3551)</f>
        <v>2</v>
      </c>
      <c r="M3551" s="4" t="n">
        <f aca="false">INDEX('Master List'!$G$2:$G$2594,O3551)</f>
        <v>0</v>
      </c>
      <c r="N3551" s="4" t="str">
        <f aca="false">IF(K3551="","",A3551)</f>
        <v/>
      </c>
      <c r="O3551" s="4" t="n">
        <v>997</v>
      </c>
      <c r="P3551" s="4" t="n">
        <f aca="false">IF(A3551=A3550,P3550+1-M3550,0)</f>
        <v>4</v>
      </c>
    </row>
    <row r="3552" customFormat="false" ht="15" hidden="false" customHeight="false" outlineLevel="0" collapsed="false">
      <c r="A3552" s="33" t="s">
        <v>4403</v>
      </c>
      <c r="B3552" s="33" t="s">
        <v>56</v>
      </c>
      <c r="C3552" s="33" t="s">
        <v>121</v>
      </c>
      <c r="D3552" s="33" t="s">
        <v>4404</v>
      </c>
      <c r="E3552" s="4" t="n">
        <v>6</v>
      </c>
      <c r="F3552" s="4" t="s">
        <v>213</v>
      </c>
      <c r="G3552" s="4" t="s">
        <v>218</v>
      </c>
      <c r="H3552" s="4" t="n">
        <v>1977</v>
      </c>
      <c r="I3552" s="4" t="s">
        <v>154</v>
      </c>
      <c r="J3552" s="25" t="str">
        <f aca="false">IF(M3552=1,"✓","")</f>
        <v>✓</v>
      </c>
      <c r="K3552" s="4" t="str">
        <f aca="false">IF(AND(M3552=0,P3552=0),"▶ NEXT","")</f>
        <v/>
      </c>
      <c r="L3552" s="4" t="n">
        <f aca="false">INDEX('Master List'!$F$2:$F$2594,O3552)</f>
        <v>6</v>
      </c>
      <c r="M3552" s="4" t="n">
        <f aca="false">INDEX('Master List'!$G$2:$G$2594,O3552)</f>
        <v>1</v>
      </c>
      <c r="N3552" s="4" t="str">
        <f aca="false">IF(K3552="","",A3552)</f>
        <v/>
      </c>
      <c r="O3552" s="4" t="n">
        <v>740</v>
      </c>
      <c r="P3552" s="4" t="n">
        <f aca="false">IF(A3552=A3551,P3551+1-M3551,0)</f>
        <v>5</v>
      </c>
    </row>
    <row r="3553" customFormat="false" ht="15" hidden="false" customHeight="false" outlineLevel="0" collapsed="false">
      <c r="A3553" s="33" t="s">
        <v>4403</v>
      </c>
      <c r="B3553" s="33" t="s">
        <v>56</v>
      </c>
      <c r="C3553" s="33" t="s">
        <v>121</v>
      </c>
      <c r="D3553" s="33" t="s">
        <v>4404</v>
      </c>
      <c r="E3553" s="4" t="n">
        <v>7</v>
      </c>
      <c r="F3553" s="4" t="s">
        <v>213</v>
      </c>
      <c r="G3553" s="4" t="s">
        <v>798</v>
      </c>
      <c r="H3553" s="4" t="n">
        <v>1973</v>
      </c>
      <c r="I3553" s="4" t="s">
        <v>421</v>
      </c>
      <c r="J3553" s="25" t="str">
        <f aca="false">IF(M3553=1,"✓","")</f>
        <v/>
      </c>
      <c r="K3553" s="4" t="str">
        <f aca="false">IF(AND(M3553=0,P3553=0),"▶ NEXT","")</f>
        <v/>
      </c>
      <c r="L3553" s="4" t="n">
        <f aca="false">INDEX('Master List'!$F$2:$F$2594,O3553)</f>
        <v>2</v>
      </c>
      <c r="M3553" s="4" t="n">
        <f aca="false">INDEX('Master List'!$G$2:$G$2594,O3553)</f>
        <v>0</v>
      </c>
      <c r="N3553" s="4" t="str">
        <f aca="false">IF(K3553="","",A3553)</f>
        <v/>
      </c>
      <c r="O3553" s="4" t="n">
        <v>1056</v>
      </c>
      <c r="P3553" s="4" t="n">
        <f aca="false">IF(A3553=A3552,P3552+1-M3552,0)</f>
        <v>5</v>
      </c>
    </row>
    <row r="3554" customFormat="false" ht="15" hidden="false" customHeight="false" outlineLevel="0" collapsed="false">
      <c r="A3554" s="33" t="s">
        <v>4403</v>
      </c>
      <c r="B3554" s="33" t="s">
        <v>56</v>
      </c>
      <c r="C3554" s="33" t="s">
        <v>121</v>
      </c>
      <c r="D3554" s="33" t="s">
        <v>4404</v>
      </c>
      <c r="E3554" s="4" t="n">
        <v>8</v>
      </c>
      <c r="F3554" s="4" t="s">
        <v>213</v>
      </c>
      <c r="G3554" s="4" t="s">
        <v>2375</v>
      </c>
      <c r="H3554" s="4" t="n">
        <v>1982</v>
      </c>
      <c r="I3554" s="4" t="s">
        <v>2376</v>
      </c>
      <c r="J3554" s="25" t="str">
        <f aca="false">IF(M3554=1,"✓","")</f>
        <v/>
      </c>
      <c r="K3554" s="4" t="str">
        <f aca="false">IF(AND(M3554=0,P3554=0),"▶ NEXT","")</f>
        <v/>
      </c>
      <c r="L3554" s="4" t="n">
        <f aca="false">INDEX('Master List'!$F$2:$F$2594,O3554)</f>
        <v>1</v>
      </c>
      <c r="M3554" s="4" t="n">
        <f aca="false">INDEX('Master List'!$G$2:$G$2594,O3554)</f>
        <v>0</v>
      </c>
      <c r="N3554" s="4" t="str">
        <f aca="false">IF(K3554="","",A3554)</f>
        <v/>
      </c>
      <c r="O3554" s="4" t="n">
        <v>1345</v>
      </c>
      <c r="P3554" s="4" t="n">
        <f aca="false">IF(A3554=A3553,P3553+1-M3553,0)</f>
        <v>6</v>
      </c>
    </row>
    <row r="3555" customFormat="false" ht="15" hidden="false" customHeight="false" outlineLevel="0" collapsed="false">
      <c r="A3555" s="33" t="s">
        <v>4403</v>
      </c>
      <c r="B3555" s="33" t="s">
        <v>56</v>
      </c>
      <c r="C3555" s="33" t="s">
        <v>121</v>
      </c>
      <c r="D3555" s="33" t="s">
        <v>4404</v>
      </c>
      <c r="E3555" s="4" t="n">
        <v>9</v>
      </c>
      <c r="F3555" s="4" t="s">
        <v>213</v>
      </c>
      <c r="G3555" s="4" t="s">
        <v>1067</v>
      </c>
      <c r="H3555" s="4" t="n">
        <v>1984</v>
      </c>
      <c r="I3555" s="4" t="s">
        <v>1068</v>
      </c>
      <c r="J3555" s="25" t="str">
        <f aca="false">IF(M3555=1,"✓","")</f>
        <v/>
      </c>
      <c r="K3555" s="4" t="str">
        <f aca="false">IF(AND(M3555=0,P3555=0),"▶ NEXT","")</f>
        <v/>
      </c>
      <c r="L3555" s="4" t="n">
        <f aca="false">INDEX('Master List'!$F$2:$F$2594,O3555)</f>
        <v>2</v>
      </c>
      <c r="M3555" s="4" t="n">
        <f aca="false">INDEX('Master List'!$G$2:$G$2594,O3555)</f>
        <v>0</v>
      </c>
      <c r="N3555" s="4" t="str">
        <f aca="false">IF(K3555="","",A3555)</f>
        <v/>
      </c>
      <c r="O3555" s="4" t="n">
        <v>1887</v>
      </c>
      <c r="P3555" s="4" t="n">
        <f aca="false">IF(A3555=A3554,P3554+1-M3554,0)</f>
        <v>7</v>
      </c>
    </row>
    <row r="3556" customFormat="false" ht="15" hidden="false" customHeight="false" outlineLevel="0" collapsed="false">
      <c r="A3556" s="33" t="s">
        <v>4403</v>
      </c>
      <c r="B3556" s="33" t="s">
        <v>56</v>
      </c>
      <c r="C3556" s="33" t="s">
        <v>121</v>
      </c>
      <c r="D3556" s="33" t="s">
        <v>4404</v>
      </c>
      <c r="E3556" s="4" t="n">
        <v>10</v>
      </c>
      <c r="F3556" s="4" t="s">
        <v>1327</v>
      </c>
      <c r="G3556" s="4" t="s">
        <v>3540</v>
      </c>
      <c r="H3556" s="4" t="n">
        <v>1974</v>
      </c>
      <c r="I3556" s="4" t="s">
        <v>671</v>
      </c>
      <c r="J3556" s="25" t="str">
        <f aca="false">IF(M3556=1,"✓","")</f>
        <v/>
      </c>
      <c r="K3556" s="4" t="str">
        <f aca="false">IF(AND(M3556=0,P3556=0),"▶ NEXT","")</f>
        <v/>
      </c>
      <c r="L3556" s="4" t="n">
        <f aca="false">INDEX('Master List'!$F$2:$F$2594,O3556)</f>
        <v>1</v>
      </c>
      <c r="M3556" s="4" t="n">
        <f aca="false">INDEX('Master List'!$G$2:$G$2594,O3556)</f>
        <v>0</v>
      </c>
      <c r="N3556" s="4" t="str">
        <f aca="false">IF(K3556="","",A3556)</f>
        <v/>
      </c>
      <c r="O3556" s="4" t="n">
        <v>800</v>
      </c>
      <c r="P3556" s="4" t="n">
        <f aca="false">IF(A3556=A3555,P3555+1-M3555,0)</f>
        <v>8</v>
      </c>
    </row>
    <row r="3557" customFormat="false" ht="15" hidden="false" customHeight="false" outlineLevel="0" collapsed="false">
      <c r="A3557" s="33" t="s">
        <v>4405</v>
      </c>
      <c r="B3557" s="33" t="s">
        <v>56</v>
      </c>
      <c r="C3557" s="33" t="s">
        <v>121</v>
      </c>
      <c r="D3557" s="33" t="s">
        <v>4406</v>
      </c>
      <c r="E3557" s="4" t="n">
        <v>1</v>
      </c>
      <c r="F3557" s="4" t="s">
        <v>144</v>
      </c>
      <c r="G3557" s="7" t="s">
        <v>1526</v>
      </c>
      <c r="H3557" s="4" t="n">
        <v>1981</v>
      </c>
      <c r="I3557" s="4" t="s">
        <v>1527</v>
      </c>
      <c r="J3557" s="25" t="str">
        <f aca="false">IF(M3557=1,"✓","")</f>
        <v/>
      </c>
      <c r="K3557" s="4" t="str">
        <f aca="false">IF(AND(M3557=0,P3557=0),"▶ NEXT","")</f>
        <v>▶ NEXT</v>
      </c>
      <c r="L3557" s="4" t="n">
        <f aca="false">INDEX('Master List'!$F$2:$F$2594,O3557)</f>
        <v>1</v>
      </c>
      <c r="M3557" s="4" t="n">
        <f aca="false">INDEX('Master List'!$G$2:$G$2594,O3557)</f>
        <v>0</v>
      </c>
      <c r="N3557" s="4" t="str">
        <f aca="false">IF(K3557="","",A3557)</f>
        <v>N291</v>
      </c>
      <c r="O3557" s="4" t="n">
        <v>754</v>
      </c>
      <c r="P3557" s="4" t="n">
        <f aca="false">IF(A3557=A3556,P3556+1-M3556,0)</f>
        <v>0</v>
      </c>
    </row>
    <row r="3558" customFormat="false" ht="15" hidden="false" customHeight="false" outlineLevel="0" collapsed="false">
      <c r="A3558" s="33" t="s">
        <v>4405</v>
      </c>
      <c r="B3558" s="33" t="s">
        <v>56</v>
      </c>
      <c r="C3558" s="33" t="s">
        <v>121</v>
      </c>
      <c r="D3558" s="33" t="s">
        <v>4406</v>
      </c>
      <c r="E3558" s="4" t="n">
        <v>2</v>
      </c>
      <c r="F3558" s="4" t="s">
        <v>144</v>
      </c>
      <c r="G3558" s="7" t="s">
        <v>1495</v>
      </c>
      <c r="H3558" s="4" t="n">
        <v>1972</v>
      </c>
      <c r="I3558" s="4" t="s">
        <v>1496</v>
      </c>
      <c r="J3558" s="25" t="str">
        <f aca="false">IF(M3558=1,"✓","")</f>
        <v/>
      </c>
      <c r="K3558" s="4" t="str">
        <f aca="false">IF(AND(M3558=0,P3558=0),"▶ NEXT","")</f>
        <v/>
      </c>
      <c r="L3558" s="4" t="n">
        <f aca="false">INDEX('Master List'!$F$2:$F$2594,O3558)</f>
        <v>1</v>
      </c>
      <c r="M3558" s="4" t="n">
        <f aca="false">INDEX('Master List'!$G$2:$G$2594,O3558)</f>
        <v>0</v>
      </c>
      <c r="N3558" s="4" t="str">
        <f aca="false">IF(K3558="","",A3558)</f>
        <v/>
      </c>
      <c r="O3558" s="4" t="n">
        <v>1295</v>
      </c>
      <c r="P3558" s="4" t="n">
        <f aca="false">IF(A3558=A3557,P3557+1-M3557,0)</f>
        <v>1</v>
      </c>
    </row>
    <row r="3559" customFormat="false" ht="15" hidden="false" customHeight="false" outlineLevel="0" collapsed="false">
      <c r="A3559" s="33" t="s">
        <v>4405</v>
      </c>
      <c r="B3559" s="33" t="s">
        <v>56</v>
      </c>
      <c r="C3559" s="33" t="s">
        <v>121</v>
      </c>
      <c r="D3559" s="33" t="s">
        <v>4406</v>
      </c>
      <c r="E3559" s="4" t="n">
        <v>3</v>
      </c>
      <c r="F3559" s="4" t="s">
        <v>213</v>
      </c>
      <c r="G3559" s="4" t="s">
        <v>1051</v>
      </c>
      <c r="H3559" s="4" t="n">
        <v>1980</v>
      </c>
      <c r="I3559" s="4" t="s">
        <v>1052</v>
      </c>
      <c r="J3559" s="25" t="str">
        <f aca="false">IF(M3559=1,"✓","")</f>
        <v/>
      </c>
      <c r="K3559" s="4" t="str">
        <f aca="false">IF(AND(M3559=0,P3559=0),"▶ NEXT","")</f>
        <v/>
      </c>
      <c r="L3559" s="4" t="n">
        <f aca="false">INDEX('Master List'!$F$2:$F$2594,O3559)</f>
        <v>2</v>
      </c>
      <c r="M3559" s="4" t="n">
        <f aca="false">INDEX('Master List'!$G$2:$G$2594,O3559)</f>
        <v>0</v>
      </c>
      <c r="N3559" s="4" t="str">
        <f aca="false">IF(K3559="","",A3559)</f>
        <v/>
      </c>
      <c r="O3559" s="4" t="n">
        <v>387</v>
      </c>
      <c r="P3559" s="4" t="n">
        <f aca="false">IF(A3559=A3558,P3558+1-M3558,0)</f>
        <v>2</v>
      </c>
    </row>
    <row r="3560" customFormat="false" ht="15" hidden="false" customHeight="false" outlineLevel="0" collapsed="false">
      <c r="A3560" s="33" t="s">
        <v>4405</v>
      </c>
      <c r="B3560" s="33" t="s">
        <v>56</v>
      </c>
      <c r="C3560" s="33" t="s">
        <v>121</v>
      </c>
      <c r="D3560" s="33" t="s">
        <v>4406</v>
      </c>
      <c r="E3560" s="4" t="n">
        <v>4</v>
      </c>
      <c r="F3560" s="4" t="s">
        <v>213</v>
      </c>
      <c r="G3560" s="4" t="s">
        <v>1046</v>
      </c>
      <c r="H3560" s="4" t="n">
        <v>1979</v>
      </c>
      <c r="I3560" s="4" t="s">
        <v>709</v>
      </c>
      <c r="J3560" s="25" t="str">
        <f aca="false">IF(M3560=1,"✓","")</f>
        <v/>
      </c>
      <c r="K3560" s="4" t="str">
        <f aca="false">IF(AND(M3560=0,P3560=0),"▶ NEXT","")</f>
        <v/>
      </c>
      <c r="L3560" s="4" t="n">
        <f aca="false">INDEX('Master List'!$F$2:$F$2594,O3560)</f>
        <v>2</v>
      </c>
      <c r="M3560" s="4" t="n">
        <f aca="false">INDEX('Master List'!$G$2:$G$2594,O3560)</f>
        <v>0</v>
      </c>
      <c r="N3560" s="4" t="str">
        <f aca="false">IF(K3560="","",A3560)</f>
        <v/>
      </c>
      <c r="O3560" s="4" t="n">
        <v>2590</v>
      </c>
      <c r="P3560" s="4" t="n">
        <f aca="false">IF(A3560=A3559,P3559+1-M3559,0)</f>
        <v>3</v>
      </c>
    </row>
    <row r="3561" customFormat="false" ht="15" hidden="false" customHeight="false" outlineLevel="0" collapsed="false">
      <c r="A3561" s="33" t="s">
        <v>4405</v>
      </c>
      <c r="B3561" s="33" t="s">
        <v>56</v>
      </c>
      <c r="C3561" s="33" t="s">
        <v>121</v>
      </c>
      <c r="D3561" s="33" t="s">
        <v>4406</v>
      </c>
      <c r="E3561" s="4" t="n">
        <v>5</v>
      </c>
      <c r="F3561" s="4" t="s">
        <v>213</v>
      </c>
      <c r="G3561" s="4" t="s">
        <v>1059</v>
      </c>
      <c r="H3561" s="4" t="n">
        <v>1982</v>
      </c>
      <c r="I3561" s="4" t="s">
        <v>677</v>
      </c>
      <c r="J3561" s="25" t="str">
        <f aca="false">IF(M3561=1,"✓","")</f>
        <v/>
      </c>
      <c r="K3561" s="4" t="str">
        <f aca="false">IF(AND(M3561=0,P3561=0),"▶ NEXT","")</f>
        <v/>
      </c>
      <c r="L3561" s="4" t="n">
        <f aca="false">INDEX('Master List'!$F$2:$F$2594,O3561)</f>
        <v>2</v>
      </c>
      <c r="M3561" s="4" t="n">
        <f aca="false">INDEX('Master List'!$G$2:$G$2594,O3561)</f>
        <v>0</v>
      </c>
      <c r="N3561" s="4" t="str">
        <f aca="false">IF(K3561="","",A3561)</f>
        <v/>
      </c>
      <c r="O3561" s="4" t="n">
        <v>2251</v>
      </c>
      <c r="P3561" s="4" t="n">
        <f aca="false">IF(A3561=A3560,P3560+1-M3560,0)</f>
        <v>4</v>
      </c>
    </row>
    <row r="3562" customFormat="false" ht="15" hidden="false" customHeight="false" outlineLevel="0" collapsed="false">
      <c r="A3562" s="33" t="s">
        <v>4405</v>
      </c>
      <c r="B3562" s="33" t="s">
        <v>56</v>
      </c>
      <c r="C3562" s="33" t="s">
        <v>121</v>
      </c>
      <c r="D3562" s="33" t="s">
        <v>4406</v>
      </c>
      <c r="E3562" s="4" t="n">
        <v>6</v>
      </c>
      <c r="F3562" s="4" t="s">
        <v>213</v>
      </c>
      <c r="G3562" s="4" t="s">
        <v>1364</v>
      </c>
      <c r="H3562" s="4" t="n">
        <v>1981</v>
      </c>
      <c r="I3562" s="4" t="s">
        <v>1365</v>
      </c>
      <c r="J3562" s="25" t="str">
        <f aca="false">IF(M3562=1,"✓","")</f>
        <v/>
      </c>
      <c r="K3562" s="4" t="str">
        <f aca="false">IF(AND(M3562=0,P3562=0),"▶ NEXT","")</f>
        <v/>
      </c>
      <c r="L3562" s="4" t="n">
        <f aca="false">INDEX('Master List'!$F$2:$F$2594,O3562)</f>
        <v>2</v>
      </c>
      <c r="M3562" s="4" t="n">
        <f aca="false">INDEX('Master List'!$G$2:$G$2594,O3562)</f>
        <v>0</v>
      </c>
      <c r="N3562" s="4" t="str">
        <f aca="false">IF(K3562="","",A3562)</f>
        <v/>
      </c>
      <c r="O3562" s="4" t="n">
        <v>370</v>
      </c>
      <c r="P3562" s="4" t="n">
        <f aca="false">IF(A3562=A3561,P3561+1-M3561,0)</f>
        <v>5</v>
      </c>
    </row>
    <row r="3563" customFormat="false" ht="15" hidden="false" customHeight="false" outlineLevel="0" collapsed="false">
      <c r="A3563" s="33" t="s">
        <v>4405</v>
      </c>
      <c r="B3563" s="33" t="s">
        <v>56</v>
      </c>
      <c r="C3563" s="33" t="s">
        <v>121</v>
      </c>
      <c r="D3563" s="33" t="s">
        <v>4406</v>
      </c>
      <c r="E3563" s="4" t="n">
        <v>7</v>
      </c>
      <c r="F3563" s="4" t="s">
        <v>213</v>
      </c>
      <c r="G3563" s="4" t="s">
        <v>1048</v>
      </c>
      <c r="H3563" s="4" t="n">
        <v>1980</v>
      </c>
      <c r="I3563" s="4" t="s">
        <v>677</v>
      </c>
      <c r="J3563" s="25" t="str">
        <f aca="false">IF(M3563=1,"✓","")</f>
        <v/>
      </c>
      <c r="K3563" s="4" t="str">
        <f aca="false">IF(AND(M3563=0,P3563=0),"▶ NEXT","")</f>
        <v/>
      </c>
      <c r="L3563" s="4" t="n">
        <f aca="false">INDEX('Master List'!$F$2:$F$2594,O3563)</f>
        <v>2</v>
      </c>
      <c r="M3563" s="4" t="n">
        <f aca="false">INDEX('Master List'!$G$2:$G$2594,O3563)</f>
        <v>0</v>
      </c>
      <c r="N3563" s="4" t="str">
        <f aca="false">IF(K3563="","",A3563)</f>
        <v/>
      </c>
      <c r="O3563" s="4" t="n">
        <v>1137</v>
      </c>
      <c r="P3563" s="4" t="n">
        <f aca="false">IF(A3563=A3562,P3562+1-M3562,0)</f>
        <v>6</v>
      </c>
    </row>
    <row r="3564" customFormat="false" ht="15" hidden="false" customHeight="false" outlineLevel="0" collapsed="false">
      <c r="A3564" s="33" t="s">
        <v>4405</v>
      </c>
      <c r="B3564" s="33" t="s">
        <v>56</v>
      </c>
      <c r="C3564" s="33" t="s">
        <v>121</v>
      </c>
      <c r="D3564" s="33" t="s">
        <v>4406</v>
      </c>
      <c r="E3564" s="4" t="n">
        <v>8</v>
      </c>
      <c r="F3564" s="4" t="s">
        <v>213</v>
      </c>
      <c r="G3564" s="4" t="s">
        <v>560</v>
      </c>
      <c r="H3564" s="4" t="n">
        <v>1981</v>
      </c>
      <c r="I3564" s="4" t="s">
        <v>561</v>
      </c>
      <c r="J3564" s="25" t="str">
        <f aca="false">IF(M3564=1,"✓","")</f>
        <v/>
      </c>
      <c r="K3564" s="4" t="str">
        <f aca="false">IF(AND(M3564=0,P3564=0),"▶ NEXT","")</f>
        <v/>
      </c>
      <c r="L3564" s="4" t="n">
        <f aca="false">INDEX('Master List'!$F$2:$F$2594,O3564)</f>
        <v>4</v>
      </c>
      <c r="M3564" s="4" t="n">
        <f aca="false">INDEX('Master List'!$G$2:$G$2594,O3564)</f>
        <v>0</v>
      </c>
      <c r="N3564" s="4" t="str">
        <f aca="false">IF(K3564="","",A3564)</f>
        <v/>
      </c>
      <c r="O3564" s="4" t="n">
        <v>1801</v>
      </c>
      <c r="P3564" s="4" t="n">
        <f aca="false">IF(A3564=A3563,P3563+1-M3563,0)</f>
        <v>7</v>
      </c>
    </row>
    <row r="3565" customFormat="false" ht="15" hidden="false" customHeight="false" outlineLevel="0" collapsed="false">
      <c r="A3565" s="33" t="s">
        <v>4405</v>
      </c>
      <c r="B3565" s="33" t="s">
        <v>56</v>
      </c>
      <c r="C3565" s="33" t="s">
        <v>121</v>
      </c>
      <c r="D3565" s="33" t="s">
        <v>4406</v>
      </c>
      <c r="E3565" s="4" t="n">
        <v>9</v>
      </c>
      <c r="F3565" s="4" t="s">
        <v>1327</v>
      </c>
      <c r="G3565" s="4" t="s">
        <v>708</v>
      </c>
      <c r="H3565" s="4" t="n">
        <v>1981</v>
      </c>
      <c r="I3565" s="4" t="s">
        <v>709</v>
      </c>
      <c r="J3565" s="25" t="str">
        <f aca="false">IF(M3565=1,"✓","")</f>
        <v/>
      </c>
      <c r="K3565" s="4" t="str">
        <f aca="false">IF(AND(M3565=0,P3565=0),"▶ NEXT","")</f>
        <v/>
      </c>
      <c r="L3565" s="4" t="n">
        <f aca="false">INDEX('Master List'!$F$2:$F$2594,O3565)</f>
        <v>3</v>
      </c>
      <c r="M3565" s="4" t="n">
        <f aca="false">INDEX('Master List'!$G$2:$G$2594,O3565)</f>
        <v>0</v>
      </c>
      <c r="N3565" s="4" t="str">
        <f aca="false">IF(K3565="","",A3565)</f>
        <v/>
      </c>
      <c r="O3565" s="4" t="n">
        <v>235</v>
      </c>
      <c r="P3565" s="4" t="n">
        <f aca="false">IF(A3565=A3564,P3564+1-M3564,0)</f>
        <v>8</v>
      </c>
    </row>
    <row r="3566" customFormat="false" ht="15" hidden="false" customHeight="false" outlineLevel="0" collapsed="false">
      <c r="A3566" s="33" t="s">
        <v>4405</v>
      </c>
      <c r="B3566" s="33" t="s">
        <v>56</v>
      </c>
      <c r="C3566" s="33" t="s">
        <v>121</v>
      </c>
      <c r="D3566" s="33" t="s">
        <v>4406</v>
      </c>
      <c r="E3566" s="4" t="n">
        <v>10</v>
      </c>
      <c r="F3566" s="4" t="s">
        <v>1327</v>
      </c>
      <c r="G3566" s="4" t="s">
        <v>3556</v>
      </c>
      <c r="H3566" s="4" t="n">
        <v>1976</v>
      </c>
      <c r="I3566" s="4" t="s">
        <v>3557</v>
      </c>
      <c r="J3566" s="25" t="str">
        <f aca="false">IF(M3566=1,"✓","")</f>
        <v/>
      </c>
      <c r="K3566" s="4" t="str">
        <f aca="false">IF(AND(M3566=0,P3566=0),"▶ NEXT","")</f>
        <v/>
      </c>
      <c r="L3566" s="4" t="n">
        <f aca="false">INDEX('Master List'!$F$2:$F$2594,O3566)</f>
        <v>1</v>
      </c>
      <c r="M3566" s="4" t="n">
        <f aca="false">INDEX('Master List'!$G$2:$G$2594,O3566)</f>
        <v>0</v>
      </c>
      <c r="N3566" s="4" t="str">
        <f aca="false">IF(K3566="","",A3566)</f>
        <v/>
      </c>
      <c r="O3566" s="4" t="n">
        <v>1169</v>
      </c>
      <c r="P3566" s="4" t="n">
        <f aca="false">IF(A3566=A3565,P3565+1-M3565,0)</f>
        <v>9</v>
      </c>
    </row>
    <row r="3567" customFormat="false" ht="15" hidden="false" customHeight="false" outlineLevel="0" collapsed="false">
      <c r="A3567" s="33" t="s">
        <v>4407</v>
      </c>
      <c r="B3567" s="33" t="s">
        <v>56</v>
      </c>
      <c r="C3567" s="33" t="s">
        <v>121</v>
      </c>
      <c r="D3567" s="33" t="s">
        <v>4408</v>
      </c>
      <c r="E3567" s="4" t="n">
        <v>1</v>
      </c>
      <c r="F3567" s="4" t="s">
        <v>144</v>
      </c>
      <c r="G3567" s="7" t="s">
        <v>545</v>
      </c>
      <c r="H3567" s="4" t="n">
        <v>1974</v>
      </c>
      <c r="I3567" s="4" t="s">
        <v>546</v>
      </c>
      <c r="J3567" s="25" t="str">
        <f aca="false">IF(M3567=1,"✓","")</f>
        <v/>
      </c>
      <c r="K3567" s="4" t="str">
        <f aca="false">IF(AND(M3567=0,P3567=0),"▶ NEXT","")</f>
        <v>▶ NEXT</v>
      </c>
      <c r="L3567" s="4" t="n">
        <f aca="false">INDEX('Master List'!$F$2:$F$2594,O3567)</f>
        <v>3</v>
      </c>
      <c r="M3567" s="4" t="n">
        <f aca="false">INDEX('Master List'!$G$2:$G$2594,O3567)</f>
        <v>0</v>
      </c>
      <c r="N3567" s="4" t="str">
        <f aca="false">IF(K3567="","",A3567)</f>
        <v>N292</v>
      </c>
      <c r="O3567" s="4" t="n">
        <v>265</v>
      </c>
      <c r="P3567" s="4" t="n">
        <f aca="false">IF(A3567=A3566,P3566+1-M3566,0)</f>
        <v>0</v>
      </c>
    </row>
    <row r="3568" customFormat="false" ht="15" hidden="false" customHeight="false" outlineLevel="0" collapsed="false">
      <c r="A3568" s="33" t="s">
        <v>4407</v>
      </c>
      <c r="B3568" s="33" t="s">
        <v>56</v>
      </c>
      <c r="C3568" s="33" t="s">
        <v>121</v>
      </c>
      <c r="D3568" s="33" t="s">
        <v>4408</v>
      </c>
      <c r="E3568" s="4" t="n">
        <v>2</v>
      </c>
      <c r="F3568" s="4" t="s">
        <v>144</v>
      </c>
      <c r="G3568" s="7" t="s">
        <v>811</v>
      </c>
      <c r="H3568" s="4" t="n">
        <v>1981</v>
      </c>
      <c r="I3568" s="4" t="s">
        <v>316</v>
      </c>
      <c r="J3568" s="25" t="str">
        <f aca="false">IF(M3568=1,"✓","")</f>
        <v>✓</v>
      </c>
      <c r="K3568" s="4" t="str">
        <f aca="false">IF(AND(M3568=0,P3568=0),"▶ NEXT","")</f>
        <v/>
      </c>
      <c r="L3568" s="4" t="n">
        <f aca="false">INDEX('Master List'!$F$2:$F$2594,O3568)</f>
        <v>2</v>
      </c>
      <c r="M3568" s="4" t="n">
        <f aca="false">INDEX('Master List'!$G$2:$G$2594,O3568)</f>
        <v>1</v>
      </c>
      <c r="N3568" s="4" t="str">
        <f aca="false">IF(K3568="","",A3568)</f>
        <v/>
      </c>
      <c r="O3568" s="4" t="n">
        <v>1980</v>
      </c>
      <c r="P3568" s="4" t="n">
        <f aca="false">IF(A3568=A3567,P3567+1-M3567,0)</f>
        <v>1</v>
      </c>
    </row>
    <row r="3569" customFormat="false" ht="15" hidden="false" customHeight="false" outlineLevel="0" collapsed="false">
      <c r="A3569" s="33" t="s">
        <v>4407</v>
      </c>
      <c r="B3569" s="33" t="s">
        <v>56</v>
      </c>
      <c r="C3569" s="33" t="s">
        <v>121</v>
      </c>
      <c r="D3569" s="33" t="s">
        <v>4408</v>
      </c>
      <c r="E3569" s="4" t="n">
        <v>3</v>
      </c>
      <c r="F3569" s="4" t="s">
        <v>213</v>
      </c>
      <c r="G3569" s="4" t="s">
        <v>602</v>
      </c>
      <c r="H3569" s="4" t="n">
        <v>1975</v>
      </c>
      <c r="I3569" s="4" t="s">
        <v>316</v>
      </c>
      <c r="J3569" s="25" t="str">
        <f aca="false">IF(M3569=1,"✓","")</f>
        <v/>
      </c>
      <c r="K3569" s="4" t="str">
        <f aca="false">IF(AND(M3569=0,P3569=0),"▶ NEXT","")</f>
        <v/>
      </c>
      <c r="L3569" s="4" t="n">
        <f aca="false">INDEX('Master List'!$F$2:$F$2594,O3569)</f>
        <v>3</v>
      </c>
      <c r="M3569" s="4" t="n">
        <f aca="false">INDEX('Master List'!$G$2:$G$2594,O3569)</f>
        <v>0</v>
      </c>
      <c r="N3569" s="4" t="str">
        <f aca="false">IF(K3569="","",A3569)</f>
        <v/>
      </c>
      <c r="O3569" s="4" t="n">
        <v>2047</v>
      </c>
      <c r="P3569" s="4" t="n">
        <f aca="false">IF(A3569=A3568,P3568+1-M3568,0)</f>
        <v>1</v>
      </c>
    </row>
    <row r="3570" customFormat="false" ht="15" hidden="false" customHeight="false" outlineLevel="0" collapsed="false">
      <c r="A3570" s="33" t="s">
        <v>4407</v>
      </c>
      <c r="B3570" s="33" t="s">
        <v>56</v>
      </c>
      <c r="C3570" s="33" t="s">
        <v>121</v>
      </c>
      <c r="D3570" s="33" t="s">
        <v>4408</v>
      </c>
      <c r="E3570" s="4" t="n">
        <v>4</v>
      </c>
      <c r="F3570" s="4" t="s">
        <v>213</v>
      </c>
      <c r="G3570" s="4" t="s">
        <v>1036</v>
      </c>
      <c r="H3570" s="4" t="n">
        <v>1977</v>
      </c>
      <c r="I3570" s="4" t="s">
        <v>316</v>
      </c>
      <c r="J3570" s="25" t="str">
        <f aca="false">IF(M3570=1,"✓","")</f>
        <v/>
      </c>
      <c r="K3570" s="4" t="str">
        <f aca="false">IF(AND(M3570=0,P3570=0),"▶ NEXT","")</f>
        <v/>
      </c>
      <c r="L3570" s="4" t="n">
        <f aca="false">INDEX('Master List'!$F$2:$F$2594,O3570)</f>
        <v>2</v>
      </c>
      <c r="M3570" s="4" t="n">
        <f aca="false">INDEX('Master List'!$G$2:$G$2594,O3570)</f>
        <v>0</v>
      </c>
      <c r="N3570" s="4" t="str">
        <f aca="false">IF(K3570="","",A3570)</f>
        <v/>
      </c>
      <c r="O3570" s="4" t="n">
        <v>1848</v>
      </c>
      <c r="P3570" s="4" t="n">
        <f aca="false">IF(A3570=A3569,P3569+1-M3569,0)</f>
        <v>2</v>
      </c>
    </row>
    <row r="3571" customFormat="false" ht="15" hidden="false" customHeight="false" outlineLevel="0" collapsed="false">
      <c r="A3571" s="33" t="s">
        <v>4407</v>
      </c>
      <c r="B3571" s="33" t="s">
        <v>56</v>
      </c>
      <c r="C3571" s="33" t="s">
        <v>121</v>
      </c>
      <c r="D3571" s="33" t="s">
        <v>4408</v>
      </c>
      <c r="E3571" s="4" t="n">
        <v>5</v>
      </c>
      <c r="F3571" s="4" t="s">
        <v>213</v>
      </c>
      <c r="G3571" s="4" t="s">
        <v>1053</v>
      </c>
      <c r="H3571" s="4" t="n">
        <v>1980</v>
      </c>
      <c r="I3571" s="4" t="s">
        <v>1054</v>
      </c>
      <c r="J3571" s="25" t="str">
        <f aca="false">IF(M3571=1,"✓","")</f>
        <v/>
      </c>
      <c r="K3571" s="4" t="str">
        <f aca="false">IF(AND(M3571=0,P3571=0),"▶ NEXT","")</f>
        <v/>
      </c>
      <c r="L3571" s="4" t="n">
        <f aca="false">INDEX('Master List'!$F$2:$F$2594,O3571)</f>
        <v>2</v>
      </c>
      <c r="M3571" s="4" t="n">
        <f aca="false">INDEX('Master List'!$G$2:$G$2594,O3571)</f>
        <v>0</v>
      </c>
      <c r="N3571" s="4" t="str">
        <f aca="false">IF(K3571="","",A3571)</f>
        <v/>
      </c>
      <c r="O3571" s="4" t="n">
        <v>428</v>
      </c>
      <c r="P3571" s="4" t="n">
        <f aca="false">IF(A3571=A3570,P3570+1-M3570,0)</f>
        <v>3</v>
      </c>
    </row>
    <row r="3572" customFormat="false" ht="15" hidden="false" customHeight="false" outlineLevel="0" collapsed="false">
      <c r="A3572" s="33" t="s">
        <v>4407</v>
      </c>
      <c r="B3572" s="33" t="s">
        <v>56</v>
      </c>
      <c r="C3572" s="33" t="s">
        <v>121</v>
      </c>
      <c r="D3572" s="33" t="s">
        <v>4408</v>
      </c>
      <c r="E3572" s="4" t="n">
        <v>6</v>
      </c>
      <c r="F3572" s="4" t="s">
        <v>213</v>
      </c>
      <c r="G3572" s="4" t="s">
        <v>2347</v>
      </c>
      <c r="H3572" s="4" t="n">
        <v>1980</v>
      </c>
      <c r="I3572" s="4" t="s">
        <v>2348</v>
      </c>
      <c r="J3572" s="25" t="str">
        <f aca="false">IF(M3572=1,"✓","")</f>
        <v/>
      </c>
      <c r="K3572" s="4" t="str">
        <f aca="false">IF(AND(M3572=0,P3572=0),"▶ NEXT","")</f>
        <v/>
      </c>
      <c r="L3572" s="4" t="n">
        <f aca="false">INDEX('Master List'!$F$2:$F$2594,O3572)</f>
        <v>1</v>
      </c>
      <c r="M3572" s="4" t="n">
        <f aca="false">INDEX('Master List'!$G$2:$G$2594,O3572)</f>
        <v>0</v>
      </c>
      <c r="N3572" s="4" t="str">
        <f aca="false">IF(K3572="","",A3572)</f>
        <v/>
      </c>
      <c r="O3572" s="4" t="n">
        <v>1822</v>
      </c>
      <c r="P3572" s="4" t="n">
        <f aca="false">IF(A3572=A3571,P3571+1-M3571,0)</f>
        <v>4</v>
      </c>
    </row>
    <row r="3573" customFormat="false" ht="15" hidden="false" customHeight="false" outlineLevel="0" collapsed="false">
      <c r="A3573" s="33" t="s">
        <v>4407</v>
      </c>
      <c r="B3573" s="33" t="s">
        <v>56</v>
      </c>
      <c r="C3573" s="33" t="s">
        <v>121</v>
      </c>
      <c r="D3573" s="33" t="s">
        <v>4408</v>
      </c>
      <c r="E3573" s="4" t="n">
        <v>7</v>
      </c>
      <c r="F3573" s="4" t="s">
        <v>213</v>
      </c>
      <c r="G3573" s="4" t="s">
        <v>1366</v>
      </c>
      <c r="H3573" s="4" t="n">
        <v>1981</v>
      </c>
      <c r="I3573" s="4" t="s">
        <v>1367</v>
      </c>
      <c r="J3573" s="25" t="str">
        <f aca="false">IF(M3573=1,"✓","")</f>
        <v/>
      </c>
      <c r="K3573" s="4" t="str">
        <f aca="false">IF(AND(M3573=0,P3573=0),"▶ NEXT","")</f>
        <v/>
      </c>
      <c r="L3573" s="4" t="n">
        <f aca="false">INDEX('Master List'!$F$2:$F$2594,O3573)</f>
        <v>2</v>
      </c>
      <c r="M3573" s="4" t="n">
        <f aca="false">INDEX('Master List'!$G$2:$G$2594,O3573)</f>
        <v>0</v>
      </c>
      <c r="N3573" s="4" t="str">
        <f aca="false">IF(K3573="","",A3573)</f>
        <v/>
      </c>
      <c r="O3573" s="4" t="n">
        <v>1565</v>
      </c>
      <c r="P3573" s="4" t="n">
        <f aca="false">IF(A3573=A3572,P3572+1-M3572,0)</f>
        <v>5</v>
      </c>
    </row>
    <row r="3574" customFormat="false" ht="15" hidden="false" customHeight="false" outlineLevel="0" collapsed="false">
      <c r="A3574" s="33" t="s">
        <v>4407</v>
      </c>
      <c r="B3574" s="33" t="s">
        <v>56</v>
      </c>
      <c r="C3574" s="33" t="s">
        <v>121</v>
      </c>
      <c r="D3574" s="33" t="s">
        <v>4408</v>
      </c>
      <c r="E3574" s="4" t="n">
        <v>8</v>
      </c>
      <c r="F3574" s="4" t="s">
        <v>213</v>
      </c>
      <c r="G3574" s="4" t="s">
        <v>1288</v>
      </c>
      <c r="H3574" s="4" t="n">
        <v>1997</v>
      </c>
      <c r="I3574" s="4" t="s">
        <v>1289</v>
      </c>
      <c r="J3574" s="25" t="str">
        <f aca="false">IF(M3574=1,"✓","")</f>
        <v>✓</v>
      </c>
      <c r="K3574" s="4" t="str">
        <f aca="false">IF(AND(M3574=0,P3574=0),"▶ NEXT","")</f>
        <v/>
      </c>
      <c r="L3574" s="4" t="n">
        <f aca="false">INDEX('Master List'!$F$2:$F$2594,O3574)</f>
        <v>2</v>
      </c>
      <c r="M3574" s="4" t="n">
        <f aca="false">INDEX('Master List'!$G$2:$G$2594,O3574)</f>
        <v>1</v>
      </c>
      <c r="N3574" s="4" t="str">
        <f aca="false">IF(K3574="","",A3574)</f>
        <v/>
      </c>
      <c r="O3574" s="4" t="n">
        <v>547</v>
      </c>
      <c r="P3574" s="4" t="n">
        <f aca="false">IF(A3574=A3573,P3573+1-M3573,0)</f>
        <v>6</v>
      </c>
    </row>
    <row r="3575" customFormat="false" ht="15" hidden="false" customHeight="false" outlineLevel="0" collapsed="false">
      <c r="A3575" s="33" t="s">
        <v>4407</v>
      </c>
      <c r="B3575" s="33" t="s">
        <v>56</v>
      </c>
      <c r="C3575" s="33" t="s">
        <v>121</v>
      </c>
      <c r="D3575" s="33" t="s">
        <v>4408</v>
      </c>
      <c r="E3575" s="4" t="n">
        <v>9</v>
      </c>
      <c r="F3575" s="4" t="s">
        <v>213</v>
      </c>
      <c r="G3575" s="4" t="s">
        <v>2731</v>
      </c>
      <c r="H3575" s="4" t="n">
        <v>2000</v>
      </c>
      <c r="I3575" s="4" t="s">
        <v>2732</v>
      </c>
      <c r="J3575" s="25" t="str">
        <f aca="false">IF(M3575=1,"✓","")</f>
        <v/>
      </c>
      <c r="K3575" s="4" t="str">
        <f aca="false">IF(AND(M3575=0,P3575=0),"▶ NEXT","")</f>
        <v/>
      </c>
      <c r="L3575" s="4" t="n">
        <f aca="false">INDEX('Master List'!$F$2:$F$2594,O3575)</f>
        <v>1</v>
      </c>
      <c r="M3575" s="4" t="n">
        <f aca="false">INDEX('Master List'!$G$2:$G$2594,O3575)</f>
        <v>0</v>
      </c>
      <c r="N3575" s="4" t="str">
        <f aca="false">IF(K3575="","",A3575)</f>
        <v/>
      </c>
      <c r="O3575" s="4" t="n">
        <v>898</v>
      </c>
      <c r="P3575" s="4" t="n">
        <f aca="false">IF(A3575=A3574,P3574+1-M3574,0)</f>
        <v>6</v>
      </c>
    </row>
    <row r="3576" customFormat="false" ht="15" hidden="false" customHeight="false" outlineLevel="0" collapsed="false">
      <c r="A3576" s="33" t="s">
        <v>4407</v>
      </c>
      <c r="B3576" s="33" t="s">
        <v>56</v>
      </c>
      <c r="C3576" s="33" t="s">
        <v>121</v>
      </c>
      <c r="D3576" s="33" t="s">
        <v>4408</v>
      </c>
      <c r="E3576" s="4" t="n">
        <v>10</v>
      </c>
      <c r="F3576" s="4" t="s">
        <v>1327</v>
      </c>
      <c r="G3576" s="4" t="s">
        <v>3541</v>
      </c>
      <c r="H3576" s="4" t="n">
        <v>1974</v>
      </c>
      <c r="I3576" s="4" t="s">
        <v>546</v>
      </c>
      <c r="J3576" s="25" t="str">
        <f aca="false">IF(M3576=1,"✓","")</f>
        <v/>
      </c>
      <c r="K3576" s="4" t="str">
        <f aca="false">IF(AND(M3576=0,P3576=0),"▶ NEXT","")</f>
        <v/>
      </c>
      <c r="L3576" s="4" t="n">
        <f aca="false">INDEX('Master List'!$F$2:$F$2594,O3576)</f>
        <v>1</v>
      </c>
      <c r="M3576" s="4" t="n">
        <f aca="false">INDEX('Master List'!$G$2:$G$2594,O3576)</f>
        <v>0</v>
      </c>
      <c r="N3576" s="4" t="str">
        <f aca="false">IF(K3576="","",A3576)</f>
        <v/>
      </c>
      <c r="O3576" s="4" t="n">
        <v>598</v>
      </c>
      <c r="P3576" s="4" t="n">
        <f aca="false">IF(A3576=A3575,P3575+1-M3575,0)</f>
        <v>7</v>
      </c>
    </row>
    <row r="3577" customFormat="false" ht="15" hidden="false" customHeight="false" outlineLevel="0" collapsed="false">
      <c r="A3577" s="33" t="s">
        <v>4409</v>
      </c>
      <c r="B3577" s="33" t="s">
        <v>56</v>
      </c>
      <c r="C3577" s="33" t="s">
        <v>121</v>
      </c>
      <c r="D3577" s="33" t="s">
        <v>4410</v>
      </c>
      <c r="E3577" s="4" t="n">
        <v>1</v>
      </c>
      <c r="F3577" s="4" t="s">
        <v>144</v>
      </c>
      <c r="G3577" s="7" t="s">
        <v>485</v>
      </c>
      <c r="H3577" s="4" t="n">
        <v>1977</v>
      </c>
      <c r="I3577" s="4" t="s">
        <v>486</v>
      </c>
      <c r="J3577" s="25" t="str">
        <f aca="false">IF(M3577=1,"✓","")</f>
        <v/>
      </c>
      <c r="K3577" s="4" t="str">
        <f aca="false">IF(AND(M3577=0,P3577=0),"▶ NEXT","")</f>
        <v>▶ NEXT</v>
      </c>
      <c r="L3577" s="4" t="n">
        <f aca="false">INDEX('Master List'!$F$2:$F$2594,O3577)</f>
        <v>3</v>
      </c>
      <c r="M3577" s="4" t="n">
        <f aca="false">INDEX('Master List'!$G$2:$G$2594,O3577)</f>
        <v>0</v>
      </c>
      <c r="N3577" s="4" t="str">
        <f aca="false">IF(K3577="","",A3577)</f>
        <v>N293</v>
      </c>
      <c r="O3577" s="4" t="n">
        <v>1072</v>
      </c>
      <c r="P3577" s="4" t="n">
        <f aca="false">IF(A3577=A3576,P3576+1-M3576,0)</f>
        <v>0</v>
      </c>
    </row>
    <row r="3578" customFormat="false" ht="15" hidden="false" customHeight="false" outlineLevel="0" collapsed="false">
      <c r="A3578" s="33" t="s">
        <v>4409</v>
      </c>
      <c r="B3578" s="33" t="s">
        <v>56</v>
      </c>
      <c r="C3578" s="33" t="s">
        <v>121</v>
      </c>
      <c r="D3578" s="33" t="s">
        <v>4410</v>
      </c>
      <c r="E3578" s="4" t="n">
        <v>2</v>
      </c>
      <c r="F3578" s="4" t="s">
        <v>144</v>
      </c>
      <c r="G3578" s="7" t="s">
        <v>471</v>
      </c>
      <c r="H3578" s="4" t="n">
        <v>1967</v>
      </c>
      <c r="I3578" s="4" t="s">
        <v>472</v>
      </c>
      <c r="J3578" s="25" t="str">
        <f aca="false">IF(M3578=1,"✓","")</f>
        <v/>
      </c>
      <c r="K3578" s="4" t="str">
        <f aca="false">IF(AND(M3578=0,P3578=0),"▶ NEXT","")</f>
        <v/>
      </c>
      <c r="L3578" s="4" t="n">
        <f aca="false">INDEX('Master List'!$F$2:$F$2594,O3578)</f>
        <v>3</v>
      </c>
      <c r="M3578" s="4" t="n">
        <f aca="false">INDEX('Master List'!$G$2:$G$2594,O3578)</f>
        <v>0</v>
      </c>
      <c r="N3578" s="4" t="str">
        <f aca="false">IF(K3578="","",A3578)</f>
        <v/>
      </c>
      <c r="O3578" s="4" t="n">
        <v>336</v>
      </c>
      <c r="P3578" s="4" t="n">
        <f aca="false">IF(A3578=A3577,P3577+1-M3577,0)</f>
        <v>1</v>
      </c>
    </row>
    <row r="3579" customFormat="false" ht="15" hidden="false" customHeight="false" outlineLevel="0" collapsed="false">
      <c r="A3579" s="33" t="s">
        <v>4409</v>
      </c>
      <c r="B3579" s="33" t="s">
        <v>56</v>
      </c>
      <c r="C3579" s="33" t="s">
        <v>121</v>
      </c>
      <c r="D3579" s="33" t="s">
        <v>4410</v>
      </c>
      <c r="E3579" s="4" t="n">
        <v>3</v>
      </c>
      <c r="F3579" s="4" t="s">
        <v>213</v>
      </c>
      <c r="G3579" s="4" t="s">
        <v>2147</v>
      </c>
      <c r="H3579" s="4" t="n">
        <v>1969</v>
      </c>
      <c r="I3579" s="4" t="s">
        <v>2148</v>
      </c>
      <c r="J3579" s="25" t="str">
        <f aca="false">IF(M3579=1,"✓","")</f>
        <v/>
      </c>
      <c r="K3579" s="4" t="str">
        <f aca="false">IF(AND(M3579=0,P3579=0),"▶ NEXT","")</f>
        <v/>
      </c>
      <c r="L3579" s="4" t="n">
        <f aca="false">INDEX('Master List'!$F$2:$F$2594,O3579)</f>
        <v>1</v>
      </c>
      <c r="M3579" s="4" t="n">
        <f aca="false">INDEX('Master List'!$G$2:$G$2594,O3579)</f>
        <v>0</v>
      </c>
      <c r="N3579" s="4" t="str">
        <f aca="false">IF(K3579="","",A3579)</f>
        <v/>
      </c>
      <c r="O3579" s="4" t="n">
        <v>284</v>
      </c>
      <c r="P3579" s="4" t="n">
        <f aca="false">IF(A3579=A3578,P3578+1-M3578,0)</f>
        <v>2</v>
      </c>
    </row>
    <row r="3580" customFormat="false" ht="15" hidden="false" customHeight="false" outlineLevel="0" collapsed="false">
      <c r="A3580" s="33" t="s">
        <v>4409</v>
      </c>
      <c r="B3580" s="33" t="s">
        <v>56</v>
      </c>
      <c r="C3580" s="33" t="s">
        <v>121</v>
      </c>
      <c r="D3580" s="33" t="s">
        <v>4410</v>
      </c>
      <c r="E3580" s="4" t="n">
        <v>4</v>
      </c>
      <c r="F3580" s="4" t="s">
        <v>213</v>
      </c>
      <c r="G3580" s="4" t="s">
        <v>2215</v>
      </c>
      <c r="H3580" s="4" t="n">
        <v>1972</v>
      </c>
      <c r="I3580" s="4" t="s">
        <v>2216</v>
      </c>
      <c r="J3580" s="25" t="str">
        <f aca="false">IF(M3580=1,"✓","")</f>
        <v/>
      </c>
      <c r="K3580" s="4" t="str">
        <f aca="false">IF(AND(M3580=0,P3580=0),"▶ NEXT","")</f>
        <v/>
      </c>
      <c r="L3580" s="4" t="n">
        <f aca="false">INDEX('Master List'!$F$2:$F$2594,O3580)</f>
        <v>1</v>
      </c>
      <c r="M3580" s="4" t="n">
        <f aca="false">INDEX('Master List'!$G$2:$G$2594,O3580)</f>
        <v>0</v>
      </c>
      <c r="N3580" s="4" t="str">
        <f aca="false">IF(K3580="","",A3580)</f>
        <v/>
      </c>
      <c r="O3580" s="4" t="n">
        <v>799</v>
      </c>
      <c r="P3580" s="4" t="n">
        <f aca="false">IF(A3580=A3579,P3579+1-M3579,0)</f>
        <v>3</v>
      </c>
    </row>
    <row r="3581" customFormat="false" ht="15" hidden="false" customHeight="false" outlineLevel="0" collapsed="false">
      <c r="A3581" s="33" t="s">
        <v>4409</v>
      </c>
      <c r="B3581" s="33" t="s">
        <v>56</v>
      </c>
      <c r="C3581" s="33" t="s">
        <v>121</v>
      </c>
      <c r="D3581" s="33" t="s">
        <v>4410</v>
      </c>
      <c r="E3581" s="4" t="n">
        <v>5</v>
      </c>
      <c r="F3581" s="4" t="s">
        <v>213</v>
      </c>
      <c r="G3581" s="4" t="s">
        <v>543</v>
      </c>
      <c r="H3581" s="4" t="n">
        <v>1973</v>
      </c>
      <c r="I3581" s="4" t="s">
        <v>544</v>
      </c>
      <c r="J3581" s="25" t="str">
        <f aca="false">IF(M3581=1,"✓","")</f>
        <v/>
      </c>
      <c r="K3581" s="4" t="str">
        <f aca="false">IF(AND(M3581=0,P3581=0),"▶ NEXT","")</f>
        <v/>
      </c>
      <c r="L3581" s="4" t="n">
        <f aca="false">INDEX('Master List'!$F$2:$F$2594,O3581)</f>
        <v>3</v>
      </c>
      <c r="M3581" s="4" t="n">
        <f aca="false">INDEX('Master List'!$G$2:$G$2594,O3581)</f>
        <v>0</v>
      </c>
      <c r="N3581" s="4" t="str">
        <f aca="false">IF(K3581="","",A3581)</f>
        <v/>
      </c>
      <c r="O3581" s="4" t="n">
        <v>1281</v>
      </c>
      <c r="P3581" s="4" t="n">
        <f aca="false">IF(A3581=A3580,P3580+1-M3580,0)</f>
        <v>4</v>
      </c>
    </row>
    <row r="3582" customFormat="false" ht="15" hidden="false" customHeight="false" outlineLevel="0" collapsed="false">
      <c r="A3582" s="33" t="s">
        <v>4409</v>
      </c>
      <c r="B3582" s="33" t="s">
        <v>56</v>
      </c>
      <c r="C3582" s="33" t="s">
        <v>121</v>
      </c>
      <c r="D3582" s="33" t="s">
        <v>4410</v>
      </c>
      <c r="E3582" s="4" t="n">
        <v>6</v>
      </c>
      <c r="F3582" s="4" t="s">
        <v>213</v>
      </c>
      <c r="G3582" s="4" t="s">
        <v>2149</v>
      </c>
      <c r="H3582" s="4" t="n">
        <v>1969</v>
      </c>
      <c r="I3582" s="4" t="s">
        <v>2150</v>
      </c>
      <c r="J3582" s="25" t="str">
        <f aca="false">IF(M3582=1,"✓","")</f>
        <v/>
      </c>
      <c r="K3582" s="4" t="str">
        <f aca="false">IF(AND(M3582=0,P3582=0),"▶ NEXT","")</f>
        <v/>
      </c>
      <c r="L3582" s="4" t="n">
        <f aca="false">INDEX('Master List'!$F$2:$F$2594,O3582)</f>
        <v>1</v>
      </c>
      <c r="M3582" s="4" t="n">
        <f aca="false">INDEX('Master List'!$G$2:$G$2594,O3582)</f>
        <v>0</v>
      </c>
      <c r="N3582" s="4" t="str">
        <f aca="false">IF(K3582="","",A3582)</f>
        <v/>
      </c>
      <c r="O3582" s="4" t="n">
        <v>1060</v>
      </c>
      <c r="P3582" s="4" t="n">
        <f aca="false">IF(A3582=A3581,P3581+1-M3581,0)</f>
        <v>5</v>
      </c>
    </row>
    <row r="3583" customFormat="false" ht="15" hidden="false" customHeight="false" outlineLevel="0" collapsed="false">
      <c r="A3583" s="33" t="s">
        <v>4409</v>
      </c>
      <c r="B3583" s="33" t="s">
        <v>56</v>
      </c>
      <c r="C3583" s="33" t="s">
        <v>121</v>
      </c>
      <c r="D3583" s="33" t="s">
        <v>4410</v>
      </c>
      <c r="E3583" s="4" t="n">
        <v>7</v>
      </c>
      <c r="F3583" s="4" t="s">
        <v>213</v>
      </c>
      <c r="G3583" s="4" t="s">
        <v>493</v>
      </c>
      <c r="H3583" s="4" t="n">
        <v>1989</v>
      </c>
      <c r="I3583" s="4" t="s">
        <v>494</v>
      </c>
      <c r="J3583" s="25" t="str">
        <f aca="false">IF(M3583=1,"✓","")</f>
        <v/>
      </c>
      <c r="K3583" s="4" t="str">
        <f aca="false">IF(AND(M3583=0,P3583=0),"▶ NEXT","")</f>
        <v/>
      </c>
      <c r="L3583" s="4" t="n">
        <f aca="false">INDEX('Master List'!$F$2:$F$2594,O3583)</f>
        <v>4</v>
      </c>
      <c r="M3583" s="4" t="n">
        <f aca="false">INDEX('Master List'!$G$2:$G$2594,O3583)</f>
        <v>0</v>
      </c>
      <c r="N3583" s="4" t="str">
        <f aca="false">IF(K3583="","",A3583)</f>
        <v/>
      </c>
      <c r="O3583" s="4" t="n">
        <v>2259</v>
      </c>
      <c r="P3583" s="4" t="n">
        <f aca="false">IF(A3583=A3582,P3582+1-M3582,0)</f>
        <v>6</v>
      </c>
    </row>
    <row r="3584" customFormat="false" ht="15" hidden="false" customHeight="false" outlineLevel="0" collapsed="false">
      <c r="A3584" s="33" t="s">
        <v>4409</v>
      </c>
      <c r="B3584" s="33" t="s">
        <v>56</v>
      </c>
      <c r="C3584" s="33" t="s">
        <v>121</v>
      </c>
      <c r="D3584" s="33" t="s">
        <v>4410</v>
      </c>
      <c r="E3584" s="4" t="n">
        <v>8</v>
      </c>
      <c r="F3584" s="4" t="s">
        <v>213</v>
      </c>
      <c r="G3584" s="4" t="s">
        <v>2733</v>
      </c>
      <c r="H3584" s="4" t="n">
        <v>2000</v>
      </c>
      <c r="I3584" s="4" t="s">
        <v>673</v>
      </c>
      <c r="J3584" s="25" t="str">
        <f aca="false">IF(M3584=1,"✓","")</f>
        <v/>
      </c>
      <c r="K3584" s="4" t="str">
        <f aca="false">IF(AND(M3584=0,P3584=0),"▶ NEXT","")</f>
        <v/>
      </c>
      <c r="L3584" s="4" t="n">
        <f aca="false">INDEX('Master List'!$F$2:$F$2594,O3584)</f>
        <v>1</v>
      </c>
      <c r="M3584" s="4" t="n">
        <f aca="false">INDEX('Master List'!$G$2:$G$2594,O3584)</f>
        <v>0</v>
      </c>
      <c r="N3584" s="4" t="str">
        <f aca="false">IF(K3584="","",A3584)</f>
        <v/>
      </c>
      <c r="O3584" s="4" t="n">
        <v>197</v>
      </c>
      <c r="P3584" s="4" t="n">
        <f aca="false">IF(A3584=A3583,P3583+1-M3583,0)</f>
        <v>7</v>
      </c>
    </row>
    <row r="3585" customFormat="false" ht="15" hidden="false" customHeight="false" outlineLevel="0" collapsed="false">
      <c r="A3585" s="33" t="s">
        <v>4409</v>
      </c>
      <c r="B3585" s="33" t="s">
        <v>56</v>
      </c>
      <c r="C3585" s="33" t="s">
        <v>121</v>
      </c>
      <c r="D3585" s="33" t="s">
        <v>4410</v>
      </c>
      <c r="E3585" s="4" t="n">
        <v>9</v>
      </c>
      <c r="F3585" s="4" t="s">
        <v>213</v>
      </c>
      <c r="G3585" s="4" t="s">
        <v>2761</v>
      </c>
      <c r="H3585" s="4" t="n">
        <v>2001</v>
      </c>
      <c r="I3585" s="4" t="s">
        <v>1127</v>
      </c>
      <c r="J3585" s="25" t="str">
        <f aca="false">IF(M3585=1,"✓","")</f>
        <v/>
      </c>
      <c r="K3585" s="4" t="str">
        <f aca="false">IF(AND(M3585=0,P3585=0),"▶ NEXT","")</f>
        <v/>
      </c>
      <c r="L3585" s="4" t="n">
        <f aca="false">INDEX('Master List'!$F$2:$F$2594,O3585)</f>
        <v>1</v>
      </c>
      <c r="M3585" s="4" t="n">
        <f aca="false">INDEX('Master List'!$G$2:$G$2594,O3585)</f>
        <v>0</v>
      </c>
      <c r="N3585" s="4" t="str">
        <f aca="false">IF(K3585="","",A3585)</f>
        <v/>
      </c>
      <c r="O3585" s="4" t="n">
        <v>2438</v>
      </c>
      <c r="P3585" s="4" t="n">
        <f aca="false">IF(A3585=A3584,P3584+1-M3584,0)</f>
        <v>8</v>
      </c>
    </row>
    <row r="3586" customFormat="false" ht="15" hidden="false" customHeight="false" outlineLevel="0" collapsed="false">
      <c r="A3586" s="33" t="s">
        <v>4409</v>
      </c>
      <c r="B3586" s="33" t="s">
        <v>56</v>
      </c>
      <c r="C3586" s="33" t="s">
        <v>121</v>
      </c>
      <c r="D3586" s="33" t="s">
        <v>4410</v>
      </c>
      <c r="E3586" s="4" t="n">
        <v>10</v>
      </c>
      <c r="F3586" s="4" t="s">
        <v>1327</v>
      </c>
      <c r="G3586" s="4" t="s">
        <v>3459</v>
      </c>
      <c r="H3586" s="4" t="n">
        <v>1968</v>
      </c>
      <c r="I3586" s="4" t="s">
        <v>3460</v>
      </c>
      <c r="J3586" s="25" t="str">
        <f aca="false">IF(M3586=1,"✓","")</f>
        <v/>
      </c>
      <c r="K3586" s="4" t="str">
        <f aca="false">IF(AND(M3586=0,P3586=0),"▶ NEXT","")</f>
        <v/>
      </c>
      <c r="L3586" s="4" t="n">
        <f aca="false">INDEX('Master List'!$F$2:$F$2594,O3586)</f>
        <v>1</v>
      </c>
      <c r="M3586" s="4" t="n">
        <f aca="false">INDEX('Master List'!$G$2:$G$2594,O3586)</f>
        <v>0</v>
      </c>
      <c r="N3586" s="4" t="str">
        <f aca="false">IF(K3586="","",A3586)</f>
        <v/>
      </c>
      <c r="O3586" s="4" t="n">
        <v>914</v>
      </c>
      <c r="P3586" s="4" t="n">
        <f aca="false">IF(A3586=A3585,P3585+1-M3585,0)</f>
        <v>9</v>
      </c>
    </row>
    <row r="3587" customFormat="false" ht="15" hidden="false" customHeight="false" outlineLevel="0" collapsed="false">
      <c r="A3587" s="33" t="s">
        <v>4409</v>
      </c>
      <c r="B3587" s="33" t="s">
        <v>56</v>
      </c>
      <c r="C3587" s="33" t="s">
        <v>121</v>
      </c>
      <c r="D3587" s="33" t="s">
        <v>4410</v>
      </c>
      <c r="E3587" s="4" t="n">
        <v>11</v>
      </c>
      <c r="F3587" s="4" t="s">
        <v>1327</v>
      </c>
      <c r="G3587" s="4" t="s">
        <v>3422</v>
      </c>
      <c r="H3587" s="4" t="n">
        <v>1963</v>
      </c>
      <c r="I3587" s="4" t="s">
        <v>407</v>
      </c>
      <c r="J3587" s="25" t="str">
        <f aca="false">IF(M3587=1,"✓","")</f>
        <v/>
      </c>
      <c r="K3587" s="4" t="str">
        <f aca="false">IF(AND(M3587=0,P3587=0),"▶ NEXT","")</f>
        <v/>
      </c>
      <c r="L3587" s="4" t="n">
        <f aca="false">INDEX('Master List'!$F$2:$F$2594,O3587)</f>
        <v>1</v>
      </c>
      <c r="M3587" s="4" t="n">
        <f aca="false">INDEX('Master List'!$G$2:$G$2594,O3587)</f>
        <v>0</v>
      </c>
      <c r="N3587" s="4" t="str">
        <f aca="false">IF(K3587="","",A3587)</f>
        <v/>
      </c>
      <c r="O3587" s="4" t="n">
        <v>1460</v>
      </c>
      <c r="P3587" s="4" t="n">
        <f aca="false">IF(A3587=A3586,P3586+1-M3586,0)</f>
        <v>10</v>
      </c>
    </row>
    <row r="3588" customFormat="false" ht="15" hidden="false" customHeight="false" outlineLevel="0" collapsed="false">
      <c r="A3588" s="33" t="s">
        <v>4411</v>
      </c>
      <c r="B3588" s="33" t="s">
        <v>56</v>
      </c>
      <c r="C3588" s="33" t="s">
        <v>122</v>
      </c>
      <c r="D3588" s="33" t="s">
        <v>4412</v>
      </c>
      <c r="E3588" s="4" t="n">
        <v>1</v>
      </c>
      <c r="F3588" s="4" t="s">
        <v>144</v>
      </c>
      <c r="G3588" s="7" t="s">
        <v>155</v>
      </c>
      <c r="H3588" s="4" t="n">
        <v>1954</v>
      </c>
      <c r="I3588" s="4" t="s">
        <v>156</v>
      </c>
      <c r="J3588" s="25" t="str">
        <f aca="false">IF(M3588=1,"✓","")</f>
        <v/>
      </c>
      <c r="K3588" s="4" t="str">
        <f aca="false">IF(AND(M3588=0,P3588=0),"▶ NEXT","")</f>
        <v>▶ NEXT</v>
      </c>
      <c r="L3588" s="4" t="n">
        <f aca="false">INDEX('Master List'!$F$2:$F$2594,O3588)</f>
        <v>8</v>
      </c>
      <c r="M3588" s="4" t="n">
        <f aca="false">INDEX('Master List'!$G$2:$G$2594,O3588)</f>
        <v>0</v>
      </c>
      <c r="N3588" s="4" t="str">
        <f aca="false">IF(K3588="","",A3588)</f>
        <v>N294</v>
      </c>
      <c r="O3588" s="4" t="n">
        <v>2021</v>
      </c>
      <c r="P3588" s="4" t="n">
        <f aca="false">IF(A3588=A3587,P3587+1-M3587,0)</f>
        <v>0</v>
      </c>
    </row>
    <row r="3589" customFormat="false" ht="15" hidden="false" customHeight="false" outlineLevel="0" collapsed="false">
      <c r="A3589" s="33" t="s">
        <v>4411</v>
      </c>
      <c r="B3589" s="33" t="s">
        <v>56</v>
      </c>
      <c r="C3589" s="33" t="s">
        <v>122</v>
      </c>
      <c r="D3589" s="33" t="s">
        <v>4412</v>
      </c>
      <c r="E3589" s="4" t="n">
        <v>2</v>
      </c>
      <c r="F3589" s="4" t="s">
        <v>144</v>
      </c>
      <c r="G3589" s="7" t="s">
        <v>1457</v>
      </c>
      <c r="H3589" s="4" t="n">
        <v>1960</v>
      </c>
      <c r="I3589" s="4" t="s">
        <v>971</v>
      </c>
      <c r="J3589" s="25" t="str">
        <f aca="false">IF(M3589=1,"✓","")</f>
        <v/>
      </c>
      <c r="K3589" s="4" t="str">
        <f aca="false">IF(AND(M3589=0,P3589=0),"▶ NEXT","")</f>
        <v/>
      </c>
      <c r="L3589" s="4" t="n">
        <f aca="false">INDEX('Master List'!$F$2:$F$2594,O3589)</f>
        <v>1</v>
      </c>
      <c r="M3589" s="4" t="n">
        <f aca="false">INDEX('Master List'!$G$2:$G$2594,O3589)</f>
        <v>0</v>
      </c>
      <c r="N3589" s="4" t="str">
        <f aca="false">IF(K3589="","",A3589)</f>
        <v/>
      </c>
      <c r="O3589" s="4" t="n">
        <v>1414</v>
      </c>
      <c r="P3589" s="4" t="n">
        <f aca="false">IF(A3589=A3588,P3588+1-M3588,0)</f>
        <v>1</v>
      </c>
    </row>
    <row r="3590" customFormat="false" ht="15" hidden="false" customHeight="false" outlineLevel="0" collapsed="false">
      <c r="A3590" s="33" t="s">
        <v>4411</v>
      </c>
      <c r="B3590" s="33" t="s">
        <v>56</v>
      </c>
      <c r="C3590" s="33" t="s">
        <v>122</v>
      </c>
      <c r="D3590" s="33" t="s">
        <v>4412</v>
      </c>
      <c r="E3590" s="4" t="n">
        <v>3</v>
      </c>
      <c r="F3590" s="4" t="s">
        <v>213</v>
      </c>
      <c r="G3590" s="4" t="s">
        <v>459</v>
      </c>
      <c r="H3590" s="4" t="n">
        <v>1961</v>
      </c>
      <c r="I3590" s="4" t="s">
        <v>156</v>
      </c>
      <c r="J3590" s="25" t="str">
        <f aca="false">IF(M3590=1,"✓","")</f>
        <v/>
      </c>
      <c r="K3590" s="4" t="str">
        <f aca="false">IF(AND(M3590=0,P3590=0),"▶ NEXT","")</f>
        <v/>
      </c>
      <c r="L3590" s="4" t="n">
        <f aca="false">INDEX('Master List'!$F$2:$F$2594,O3590)</f>
        <v>3</v>
      </c>
      <c r="M3590" s="4" t="n">
        <f aca="false">INDEX('Master List'!$G$2:$G$2594,O3590)</f>
        <v>0</v>
      </c>
      <c r="N3590" s="4" t="str">
        <f aca="false">IF(K3590="","",A3590)</f>
        <v/>
      </c>
      <c r="O3590" s="4" t="n">
        <v>2570</v>
      </c>
      <c r="P3590" s="4" t="n">
        <f aca="false">IF(A3590=A3589,P3589+1-M3589,0)</f>
        <v>2</v>
      </c>
    </row>
    <row r="3591" customFormat="false" ht="15" hidden="false" customHeight="false" outlineLevel="0" collapsed="false">
      <c r="A3591" s="33" t="s">
        <v>4411</v>
      </c>
      <c r="B3591" s="33" t="s">
        <v>56</v>
      </c>
      <c r="C3591" s="33" t="s">
        <v>122</v>
      </c>
      <c r="D3591" s="33" t="s">
        <v>4412</v>
      </c>
      <c r="E3591" s="4" t="n">
        <v>4</v>
      </c>
      <c r="F3591" s="4" t="s">
        <v>213</v>
      </c>
      <c r="G3591" s="4" t="s">
        <v>467</v>
      </c>
      <c r="H3591" s="4" t="n">
        <v>1964</v>
      </c>
      <c r="I3591" s="4" t="s">
        <v>395</v>
      </c>
      <c r="J3591" s="25" t="str">
        <f aca="false">IF(M3591=1,"✓","")</f>
        <v>✓</v>
      </c>
      <c r="K3591" s="4" t="str">
        <f aca="false">IF(AND(M3591=0,P3591=0),"▶ NEXT","")</f>
        <v/>
      </c>
      <c r="L3591" s="4" t="n">
        <f aca="false">INDEX('Master List'!$F$2:$F$2594,O3591)</f>
        <v>3</v>
      </c>
      <c r="M3591" s="4" t="n">
        <f aca="false">INDEX('Master List'!$G$2:$G$2594,O3591)</f>
        <v>1</v>
      </c>
      <c r="N3591" s="4" t="str">
        <f aca="false">IF(K3591="","",A3591)</f>
        <v/>
      </c>
      <c r="O3591" s="4" t="n">
        <v>812</v>
      </c>
      <c r="P3591" s="4" t="n">
        <f aca="false">IF(A3591=A3590,P3590+1-M3590,0)</f>
        <v>3</v>
      </c>
    </row>
    <row r="3592" customFormat="false" ht="15" hidden="false" customHeight="false" outlineLevel="0" collapsed="false">
      <c r="A3592" s="33" t="s">
        <v>4411</v>
      </c>
      <c r="B3592" s="33" t="s">
        <v>56</v>
      </c>
      <c r="C3592" s="33" t="s">
        <v>122</v>
      </c>
      <c r="D3592" s="33" t="s">
        <v>4412</v>
      </c>
      <c r="E3592" s="4" t="n">
        <v>5</v>
      </c>
      <c r="F3592" s="4" t="s">
        <v>213</v>
      </c>
      <c r="G3592" s="4" t="s">
        <v>949</v>
      </c>
      <c r="H3592" s="4" t="n">
        <v>1958</v>
      </c>
      <c r="I3592" s="4" t="s">
        <v>156</v>
      </c>
      <c r="J3592" s="25" t="str">
        <f aca="false">IF(M3592=1,"✓","")</f>
        <v/>
      </c>
      <c r="K3592" s="4" t="str">
        <f aca="false">IF(AND(M3592=0,P3592=0),"▶ NEXT","")</f>
        <v/>
      </c>
      <c r="L3592" s="4" t="n">
        <f aca="false">INDEX('Master List'!$F$2:$F$2594,O3592)</f>
        <v>2</v>
      </c>
      <c r="M3592" s="4" t="n">
        <f aca="false">INDEX('Master List'!$G$2:$G$2594,O3592)</f>
        <v>0</v>
      </c>
      <c r="N3592" s="4" t="str">
        <f aca="false">IF(K3592="","",A3592)</f>
        <v/>
      </c>
      <c r="O3592" s="4" t="n">
        <v>1030</v>
      </c>
      <c r="P3592" s="4" t="n">
        <f aca="false">IF(A3592=A3591,P3591+1-M3591,0)</f>
        <v>3</v>
      </c>
    </row>
    <row r="3593" customFormat="false" ht="15" hidden="false" customHeight="false" outlineLevel="0" collapsed="false">
      <c r="A3593" s="33" t="s">
        <v>4411</v>
      </c>
      <c r="B3593" s="33" t="s">
        <v>56</v>
      </c>
      <c r="C3593" s="33" t="s">
        <v>122</v>
      </c>
      <c r="D3593" s="33" t="s">
        <v>4412</v>
      </c>
      <c r="E3593" s="4" t="n">
        <v>6</v>
      </c>
      <c r="F3593" s="4" t="s">
        <v>213</v>
      </c>
      <c r="G3593" s="4" t="s">
        <v>256</v>
      </c>
      <c r="H3593" s="4" t="n">
        <v>1977</v>
      </c>
      <c r="I3593" s="4" t="s">
        <v>257</v>
      </c>
      <c r="J3593" s="25" t="str">
        <f aca="false">IF(M3593=1,"✓","")</f>
        <v>✓</v>
      </c>
      <c r="K3593" s="4" t="str">
        <f aca="false">IF(AND(M3593=0,P3593=0),"▶ NEXT","")</f>
        <v/>
      </c>
      <c r="L3593" s="4" t="n">
        <f aca="false">INDEX('Master List'!$F$2:$F$2594,O3593)</f>
        <v>5</v>
      </c>
      <c r="M3593" s="4" t="n">
        <f aca="false">INDEX('Master List'!$G$2:$G$2594,O3593)</f>
        <v>1</v>
      </c>
      <c r="N3593" s="4" t="str">
        <f aca="false">IF(K3593="","",A3593)</f>
        <v/>
      </c>
      <c r="O3593" s="4" t="n">
        <v>2149</v>
      </c>
      <c r="P3593" s="4" t="n">
        <f aca="false">IF(A3593=A3592,P3592+1-M3592,0)</f>
        <v>4</v>
      </c>
    </row>
    <row r="3594" customFormat="false" ht="15" hidden="false" customHeight="false" outlineLevel="0" collapsed="false">
      <c r="A3594" s="33" t="s">
        <v>4411</v>
      </c>
      <c r="B3594" s="33" t="s">
        <v>56</v>
      </c>
      <c r="C3594" s="33" t="s">
        <v>122</v>
      </c>
      <c r="D3594" s="33" t="s">
        <v>4412</v>
      </c>
      <c r="E3594" s="4" t="n">
        <v>7</v>
      </c>
      <c r="F3594" s="4" t="s">
        <v>213</v>
      </c>
      <c r="G3594" s="4" t="s">
        <v>1156</v>
      </c>
      <c r="H3594" s="4" t="n">
        <v>2002</v>
      </c>
      <c r="I3594" s="4" t="s">
        <v>1157</v>
      </c>
      <c r="J3594" s="25" t="str">
        <f aca="false">IF(M3594=1,"✓","")</f>
        <v/>
      </c>
      <c r="K3594" s="4" t="str">
        <f aca="false">IF(AND(M3594=0,P3594=0),"▶ NEXT","")</f>
        <v/>
      </c>
      <c r="L3594" s="4" t="n">
        <f aca="false">INDEX('Master List'!$F$2:$F$2594,O3594)</f>
        <v>2</v>
      </c>
      <c r="M3594" s="4" t="n">
        <f aca="false">INDEX('Master List'!$G$2:$G$2594,O3594)</f>
        <v>0</v>
      </c>
      <c r="N3594" s="4" t="str">
        <f aca="false">IF(K3594="","",A3594)</f>
        <v/>
      </c>
      <c r="O3594" s="4" t="n">
        <v>1136</v>
      </c>
      <c r="P3594" s="4" t="n">
        <f aca="false">IF(A3594=A3593,P3593+1-M3593,0)</f>
        <v>4</v>
      </c>
    </row>
    <row r="3595" customFormat="false" ht="15" hidden="false" customHeight="false" outlineLevel="0" collapsed="false">
      <c r="A3595" s="33" t="s">
        <v>4411</v>
      </c>
      <c r="B3595" s="33" t="s">
        <v>56</v>
      </c>
      <c r="C3595" s="33" t="s">
        <v>122</v>
      </c>
      <c r="D3595" s="33" t="s">
        <v>4412</v>
      </c>
      <c r="E3595" s="4" t="n">
        <v>8</v>
      </c>
      <c r="F3595" s="4" t="s">
        <v>213</v>
      </c>
      <c r="G3595" s="4" t="s">
        <v>1175</v>
      </c>
      <c r="H3595" s="4" t="n">
        <v>2006</v>
      </c>
      <c r="I3595" s="4" t="s">
        <v>164</v>
      </c>
      <c r="J3595" s="25" t="str">
        <f aca="false">IF(M3595=1,"✓","")</f>
        <v>✓</v>
      </c>
      <c r="K3595" s="4" t="str">
        <f aca="false">IF(AND(M3595=0,P3595=0),"▶ NEXT","")</f>
        <v/>
      </c>
      <c r="L3595" s="4" t="n">
        <f aca="false">INDEX('Master List'!$F$2:$F$2594,O3595)</f>
        <v>2</v>
      </c>
      <c r="M3595" s="4" t="n">
        <f aca="false">INDEX('Master List'!$G$2:$G$2594,O3595)</f>
        <v>1</v>
      </c>
      <c r="N3595" s="4" t="str">
        <f aca="false">IF(K3595="","",A3595)</f>
        <v/>
      </c>
      <c r="O3595" s="4" t="n">
        <v>611</v>
      </c>
      <c r="P3595" s="4" t="n">
        <f aca="false">IF(A3595=A3594,P3594+1-M3594,0)</f>
        <v>5</v>
      </c>
    </row>
    <row r="3596" customFormat="false" ht="15" hidden="false" customHeight="false" outlineLevel="0" collapsed="false">
      <c r="A3596" s="33" t="s">
        <v>4411</v>
      </c>
      <c r="B3596" s="33" t="s">
        <v>56</v>
      </c>
      <c r="C3596" s="33" t="s">
        <v>122</v>
      </c>
      <c r="D3596" s="33" t="s">
        <v>4412</v>
      </c>
      <c r="E3596" s="4" t="n">
        <v>9</v>
      </c>
      <c r="F3596" s="4" t="s">
        <v>213</v>
      </c>
      <c r="G3596" s="4" t="s">
        <v>844</v>
      </c>
      <c r="H3596" s="4" t="n">
        <v>1998</v>
      </c>
      <c r="I3596" s="4" t="s">
        <v>845</v>
      </c>
      <c r="J3596" s="25" t="str">
        <f aca="false">IF(M3596=1,"✓","")</f>
        <v/>
      </c>
      <c r="K3596" s="4" t="str">
        <f aca="false">IF(AND(M3596=0,P3596=0),"▶ NEXT","")</f>
        <v/>
      </c>
      <c r="L3596" s="4" t="n">
        <f aca="false">INDEX('Master List'!$F$2:$F$2594,O3596)</f>
        <v>2</v>
      </c>
      <c r="M3596" s="4" t="n">
        <f aca="false">INDEX('Master List'!$G$2:$G$2594,O3596)</f>
        <v>0</v>
      </c>
      <c r="N3596" s="4" t="str">
        <f aca="false">IF(K3596="","",A3596)</f>
        <v/>
      </c>
      <c r="O3596" s="4" t="n">
        <v>1907</v>
      </c>
      <c r="P3596" s="4" t="n">
        <f aca="false">IF(A3596=A3595,P3595+1-M3595,0)</f>
        <v>5</v>
      </c>
    </row>
    <row r="3597" customFormat="false" ht="15" hidden="false" customHeight="false" outlineLevel="0" collapsed="false">
      <c r="A3597" s="33" t="s">
        <v>4411</v>
      </c>
      <c r="B3597" s="33" t="s">
        <v>56</v>
      </c>
      <c r="C3597" s="33" t="s">
        <v>122</v>
      </c>
      <c r="D3597" s="33" t="s">
        <v>4412</v>
      </c>
      <c r="E3597" s="4" t="n">
        <v>10</v>
      </c>
      <c r="F3597" s="4" t="s">
        <v>213</v>
      </c>
      <c r="G3597" s="4" t="s">
        <v>2797</v>
      </c>
      <c r="H3597" s="4" t="n">
        <v>2002</v>
      </c>
      <c r="I3597" s="4" t="s">
        <v>2798</v>
      </c>
      <c r="J3597" s="25" t="str">
        <f aca="false">IF(M3597=1,"✓","")</f>
        <v/>
      </c>
      <c r="K3597" s="4" t="str">
        <f aca="false">IF(AND(M3597=0,P3597=0),"▶ NEXT","")</f>
        <v/>
      </c>
      <c r="L3597" s="4" t="n">
        <f aca="false">INDEX('Master List'!$F$2:$F$2594,O3597)</f>
        <v>1</v>
      </c>
      <c r="M3597" s="4" t="n">
        <f aca="false">INDEX('Master List'!$G$2:$G$2594,O3597)</f>
        <v>0</v>
      </c>
      <c r="N3597" s="4" t="str">
        <f aca="false">IF(K3597="","",A3597)</f>
        <v/>
      </c>
      <c r="O3597" s="4" t="n">
        <v>1908</v>
      </c>
      <c r="P3597" s="4" t="n">
        <f aca="false">IF(A3597=A3596,P3596+1-M3596,0)</f>
        <v>6</v>
      </c>
    </row>
    <row r="3598" customFormat="false" ht="15" hidden="false" customHeight="false" outlineLevel="0" collapsed="false">
      <c r="A3598" s="33" t="s">
        <v>4411</v>
      </c>
      <c r="B3598" s="33" t="s">
        <v>56</v>
      </c>
      <c r="C3598" s="33" t="s">
        <v>122</v>
      </c>
      <c r="D3598" s="33" t="s">
        <v>4412</v>
      </c>
      <c r="E3598" s="4" t="n">
        <v>11</v>
      </c>
      <c r="F3598" s="4" t="s">
        <v>213</v>
      </c>
      <c r="G3598" s="4" t="s">
        <v>578</v>
      </c>
      <c r="H3598" s="4" t="n">
        <v>1957</v>
      </c>
      <c r="I3598" s="4" t="s">
        <v>156</v>
      </c>
      <c r="J3598" s="25" t="str">
        <f aca="false">IF(M3598=1,"✓","")</f>
        <v>✓</v>
      </c>
      <c r="K3598" s="4" t="str">
        <f aca="false">IF(AND(M3598=0,P3598=0),"▶ NEXT","")</f>
        <v/>
      </c>
      <c r="L3598" s="4" t="n">
        <f aca="false">INDEX('Master List'!$F$2:$F$2594,O3598)</f>
        <v>3</v>
      </c>
      <c r="M3598" s="4" t="n">
        <f aca="false">INDEX('Master List'!$G$2:$G$2594,O3598)</f>
        <v>1</v>
      </c>
      <c r="N3598" s="4" t="str">
        <f aca="false">IF(K3598="","",A3598)</f>
        <v/>
      </c>
      <c r="O3598" s="4" t="n">
        <v>2298</v>
      </c>
      <c r="P3598" s="4" t="n">
        <f aca="false">IF(A3598=A3597,P3597+1-M3597,0)</f>
        <v>7</v>
      </c>
    </row>
    <row r="3599" customFormat="false" ht="15" hidden="false" customHeight="false" outlineLevel="0" collapsed="false">
      <c r="A3599" s="33" t="s">
        <v>4411</v>
      </c>
      <c r="B3599" s="33" t="s">
        <v>56</v>
      </c>
      <c r="C3599" s="33" t="s">
        <v>122</v>
      </c>
      <c r="D3599" s="33" t="s">
        <v>4412</v>
      </c>
      <c r="E3599" s="4" t="n">
        <v>12</v>
      </c>
      <c r="F3599" s="4" t="s">
        <v>213</v>
      </c>
      <c r="G3599" s="4" t="s">
        <v>289</v>
      </c>
      <c r="H3599" s="4" t="n">
        <v>1967</v>
      </c>
      <c r="I3599" s="4" t="s">
        <v>290</v>
      </c>
      <c r="J3599" s="25" t="str">
        <f aca="false">IF(M3599=1,"✓","")</f>
        <v/>
      </c>
      <c r="K3599" s="4" t="str">
        <f aca="false">IF(AND(M3599=0,P3599=0),"▶ NEXT","")</f>
        <v/>
      </c>
      <c r="L3599" s="4" t="n">
        <f aca="false">INDEX('Master List'!$F$2:$F$2594,O3599)</f>
        <v>4</v>
      </c>
      <c r="M3599" s="4" t="n">
        <f aca="false">INDEX('Master List'!$G$2:$G$2594,O3599)</f>
        <v>0</v>
      </c>
      <c r="N3599" s="4" t="str">
        <f aca="false">IF(K3599="","",A3599)</f>
        <v/>
      </c>
      <c r="O3599" s="4" t="n">
        <v>1964</v>
      </c>
      <c r="P3599" s="4" t="n">
        <f aca="false">IF(A3599=A3598,P3598+1-M3598,0)</f>
        <v>7</v>
      </c>
    </row>
    <row r="3600" customFormat="false" ht="15" hidden="false" customHeight="false" outlineLevel="0" collapsed="false">
      <c r="A3600" s="33" t="s">
        <v>4411</v>
      </c>
      <c r="B3600" s="33" t="s">
        <v>56</v>
      </c>
      <c r="C3600" s="33" t="s">
        <v>122</v>
      </c>
      <c r="D3600" s="33" t="s">
        <v>4412</v>
      </c>
      <c r="E3600" s="4" t="n">
        <v>13</v>
      </c>
      <c r="F3600" s="4" t="s">
        <v>213</v>
      </c>
      <c r="G3600" s="4" t="s">
        <v>1129</v>
      </c>
      <c r="H3600" s="4" t="n">
        <v>1999</v>
      </c>
      <c r="I3600" s="4" t="s">
        <v>615</v>
      </c>
      <c r="J3600" s="25" t="str">
        <f aca="false">IF(M3600=1,"✓","")</f>
        <v>✓</v>
      </c>
      <c r="K3600" s="4" t="str">
        <f aca="false">IF(AND(M3600=0,P3600=0),"▶ NEXT","")</f>
        <v/>
      </c>
      <c r="L3600" s="4" t="n">
        <f aca="false">INDEX('Master List'!$F$2:$F$2594,O3600)</f>
        <v>2</v>
      </c>
      <c r="M3600" s="4" t="n">
        <f aca="false">INDEX('Master List'!$G$2:$G$2594,O3600)</f>
        <v>1</v>
      </c>
      <c r="N3600" s="4" t="str">
        <f aca="false">IF(K3600="","",A3600)</f>
        <v/>
      </c>
      <c r="O3600" s="4" t="n">
        <v>890</v>
      </c>
      <c r="P3600" s="4" t="n">
        <f aca="false">IF(A3600=A3599,P3599+1-M3599,0)</f>
        <v>8</v>
      </c>
    </row>
    <row r="3601" customFormat="false" ht="15" hidden="false" customHeight="false" outlineLevel="0" collapsed="false">
      <c r="A3601" s="33" t="s">
        <v>4411</v>
      </c>
      <c r="B3601" s="33" t="s">
        <v>56</v>
      </c>
      <c r="C3601" s="33" t="s">
        <v>122</v>
      </c>
      <c r="D3601" s="33" t="s">
        <v>4412</v>
      </c>
      <c r="E3601" s="4" t="n">
        <v>14</v>
      </c>
      <c r="F3601" s="4" t="s">
        <v>1327</v>
      </c>
      <c r="G3601" s="4" t="s">
        <v>1655</v>
      </c>
      <c r="H3601" s="4" t="n">
        <v>1997</v>
      </c>
      <c r="I3601" s="4" t="s">
        <v>1145</v>
      </c>
      <c r="J3601" s="25" t="str">
        <f aca="false">IF(M3601=1,"✓","")</f>
        <v/>
      </c>
      <c r="K3601" s="4" t="str">
        <f aca="false">IF(AND(M3601=0,P3601=0),"▶ NEXT","")</f>
        <v/>
      </c>
      <c r="L3601" s="4" t="n">
        <f aca="false">INDEX('Master List'!$F$2:$F$2594,O3601)</f>
        <v>2</v>
      </c>
      <c r="M3601" s="4" t="n">
        <f aca="false">INDEX('Master List'!$G$2:$G$2594,O3601)</f>
        <v>0</v>
      </c>
      <c r="N3601" s="4" t="str">
        <f aca="false">IF(K3601="","",A3601)</f>
        <v/>
      </c>
      <c r="O3601" s="4" t="n">
        <v>35</v>
      </c>
      <c r="P3601" s="4" t="n">
        <f aca="false">IF(A3601=A3600,P3600+1-M3600,0)</f>
        <v>8</v>
      </c>
    </row>
    <row r="3602" customFormat="false" ht="15" hidden="false" customHeight="false" outlineLevel="0" collapsed="false">
      <c r="A3602" s="33" t="s">
        <v>4411</v>
      </c>
      <c r="B3602" s="33" t="s">
        <v>56</v>
      </c>
      <c r="C3602" s="33" t="s">
        <v>122</v>
      </c>
      <c r="D3602" s="33" t="s">
        <v>4412</v>
      </c>
      <c r="E3602" s="4" t="n">
        <v>15</v>
      </c>
      <c r="F3602" s="4" t="s">
        <v>1327</v>
      </c>
      <c r="G3602" s="4" t="s">
        <v>1395</v>
      </c>
      <c r="H3602" s="4" t="n">
        <v>2001</v>
      </c>
      <c r="I3602" s="4" t="s">
        <v>1376</v>
      </c>
      <c r="J3602" s="25" t="str">
        <f aca="false">IF(M3602=1,"✓","")</f>
        <v/>
      </c>
      <c r="K3602" s="4" t="str">
        <f aca="false">IF(AND(M3602=0,P3602=0),"▶ NEXT","")</f>
        <v/>
      </c>
      <c r="L3602" s="4" t="n">
        <f aca="false">INDEX('Master List'!$F$2:$F$2594,O3602)</f>
        <v>2</v>
      </c>
      <c r="M3602" s="4" t="n">
        <f aca="false">INDEX('Master List'!$G$2:$G$2594,O3602)</f>
        <v>0</v>
      </c>
      <c r="N3602" s="4" t="str">
        <f aca="false">IF(K3602="","",A3602)</f>
        <v/>
      </c>
      <c r="O3602" s="4" t="n">
        <v>2421</v>
      </c>
      <c r="P3602" s="4" t="n">
        <f aca="false">IF(A3602=A3601,P3601+1-M3601,0)</f>
        <v>9</v>
      </c>
    </row>
    <row r="3603" customFormat="false" ht="15" hidden="false" customHeight="false" outlineLevel="0" collapsed="false">
      <c r="A3603" s="33" t="s">
        <v>4413</v>
      </c>
      <c r="B3603" s="33" t="s">
        <v>56</v>
      </c>
      <c r="C3603" s="33" t="s">
        <v>122</v>
      </c>
      <c r="D3603" s="33" t="s">
        <v>4414</v>
      </c>
      <c r="E3603" s="4" t="n">
        <v>1</v>
      </c>
      <c r="F3603" s="4" t="s">
        <v>144</v>
      </c>
      <c r="G3603" s="7" t="s">
        <v>1538</v>
      </c>
      <c r="H3603" s="4" t="n">
        <v>1987</v>
      </c>
      <c r="I3603" s="4" t="s">
        <v>1539</v>
      </c>
      <c r="J3603" s="25" t="str">
        <f aca="false">IF(M3603=1,"✓","")</f>
        <v/>
      </c>
      <c r="K3603" s="4" t="str">
        <f aca="false">IF(AND(M3603=0,P3603=0),"▶ NEXT","")</f>
        <v>▶ NEXT</v>
      </c>
      <c r="L3603" s="4" t="n">
        <f aca="false">INDEX('Master List'!$F$2:$F$2594,O3603)</f>
        <v>1</v>
      </c>
      <c r="M3603" s="4" t="n">
        <f aca="false">INDEX('Master List'!$G$2:$G$2594,O3603)</f>
        <v>0</v>
      </c>
      <c r="N3603" s="4" t="str">
        <f aca="false">IF(K3603="","",A3603)</f>
        <v>N295</v>
      </c>
      <c r="O3603" s="4" t="n">
        <v>468</v>
      </c>
      <c r="P3603" s="4" t="n">
        <f aca="false">IF(A3603=A3602,P3602+1-M3602,0)</f>
        <v>0</v>
      </c>
    </row>
    <row r="3604" customFormat="false" ht="15" hidden="false" customHeight="false" outlineLevel="0" collapsed="false">
      <c r="A3604" s="33" t="s">
        <v>4413</v>
      </c>
      <c r="B3604" s="33" t="s">
        <v>56</v>
      </c>
      <c r="C3604" s="33" t="s">
        <v>122</v>
      </c>
      <c r="D3604" s="33" t="s">
        <v>4414</v>
      </c>
      <c r="E3604" s="4" t="n">
        <v>2</v>
      </c>
      <c r="F3604" s="4" t="s">
        <v>144</v>
      </c>
      <c r="G3604" s="7" t="s">
        <v>543</v>
      </c>
      <c r="H3604" s="4" t="n">
        <v>1973</v>
      </c>
      <c r="I3604" s="4" t="s">
        <v>544</v>
      </c>
      <c r="J3604" s="25" t="str">
        <f aca="false">IF(M3604=1,"✓","")</f>
        <v/>
      </c>
      <c r="K3604" s="4" t="str">
        <f aca="false">IF(AND(M3604=0,P3604=0),"▶ NEXT","")</f>
        <v/>
      </c>
      <c r="L3604" s="4" t="n">
        <f aca="false">INDEX('Master List'!$F$2:$F$2594,O3604)</f>
        <v>3</v>
      </c>
      <c r="M3604" s="4" t="n">
        <f aca="false">INDEX('Master List'!$G$2:$G$2594,O3604)</f>
        <v>0</v>
      </c>
      <c r="N3604" s="4" t="str">
        <f aca="false">IF(K3604="","",A3604)</f>
        <v/>
      </c>
      <c r="O3604" s="4" t="n">
        <v>1281</v>
      </c>
      <c r="P3604" s="4" t="n">
        <f aca="false">IF(A3604=A3603,P3603+1-M3603,0)</f>
        <v>1</v>
      </c>
    </row>
    <row r="3605" customFormat="false" ht="15" hidden="false" customHeight="false" outlineLevel="0" collapsed="false">
      <c r="A3605" s="33" t="s">
        <v>4413</v>
      </c>
      <c r="B3605" s="33" t="s">
        <v>56</v>
      </c>
      <c r="C3605" s="33" t="s">
        <v>122</v>
      </c>
      <c r="D3605" s="33" t="s">
        <v>4414</v>
      </c>
      <c r="E3605" s="4" t="n">
        <v>3</v>
      </c>
      <c r="F3605" s="4" t="s">
        <v>213</v>
      </c>
      <c r="G3605" s="4" t="s">
        <v>1359</v>
      </c>
      <c r="H3605" s="4" t="n">
        <v>1977</v>
      </c>
      <c r="I3605" s="4" t="s">
        <v>1360</v>
      </c>
      <c r="J3605" s="25" t="str">
        <f aca="false">IF(M3605=1,"✓","")</f>
        <v/>
      </c>
      <c r="K3605" s="4" t="str">
        <f aca="false">IF(AND(M3605=0,P3605=0),"▶ NEXT","")</f>
        <v/>
      </c>
      <c r="L3605" s="4" t="n">
        <f aca="false">INDEX('Master List'!$F$2:$F$2594,O3605)</f>
        <v>2</v>
      </c>
      <c r="M3605" s="4" t="n">
        <f aca="false">INDEX('Master List'!$G$2:$G$2594,O3605)</f>
        <v>0</v>
      </c>
      <c r="N3605" s="4" t="str">
        <f aca="false">IF(K3605="","",A3605)</f>
        <v/>
      </c>
      <c r="O3605" s="4" t="n">
        <v>1925</v>
      </c>
      <c r="P3605" s="4" t="n">
        <f aca="false">IF(A3605=A3604,P3604+1-M3604,0)</f>
        <v>2</v>
      </c>
    </row>
    <row r="3606" customFormat="false" ht="15" hidden="false" customHeight="false" outlineLevel="0" collapsed="false">
      <c r="A3606" s="33" t="s">
        <v>4413</v>
      </c>
      <c r="B3606" s="33" t="s">
        <v>56</v>
      </c>
      <c r="C3606" s="33" t="s">
        <v>122</v>
      </c>
      <c r="D3606" s="33" t="s">
        <v>4414</v>
      </c>
      <c r="E3606" s="4" t="n">
        <v>4</v>
      </c>
      <c r="F3606" s="4" t="s">
        <v>213</v>
      </c>
      <c r="G3606" s="4" t="s">
        <v>1025</v>
      </c>
      <c r="H3606" s="4" t="n">
        <v>1974</v>
      </c>
      <c r="I3606" s="4" t="s">
        <v>1026</v>
      </c>
      <c r="J3606" s="25" t="str">
        <f aca="false">IF(M3606=1,"✓","")</f>
        <v/>
      </c>
      <c r="K3606" s="4" t="str">
        <f aca="false">IF(AND(M3606=0,P3606=0),"▶ NEXT","")</f>
        <v/>
      </c>
      <c r="L3606" s="4" t="n">
        <f aca="false">INDEX('Master List'!$F$2:$F$2594,O3606)</f>
        <v>2</v>
      </c>
      <c r="M3606" s="4" t="n">
        <f aca="false">INDEX('Master List'!$G$2:$G$2594,O3606)</f>
        <v>0</v>
      </c>
      <c r="N3606" s="4" t="str">
        <f aca="false">IF(K3606="","",A3606)</f>
        <v/>
      </c>
      <c r="O3606" s="4" t="n">
        <v>2232</v>
      </c>
      <c r="P3606" s="4" t="n">
        <f aca="false">IF(A3606=A3605,P3605+1-M3605,0)</f>
        <v>3</v>
      </c>
    </row>
    <row r="3607" customFormat="false" ht="15" hidden="false" customHeight="false" outlineLevel="0" collapsed="false">
      <c r="A3607" s="33" t="s">
        <v>4413</v>
      </c>
      <c r="B3607" s="33" t="s">
        <v>56</v>
      </c>
      <c r="C3607" s="33" t="s">
        <v>122</v>
      </c>
      <c r="D3607" s="33" t="s">
        <v>4414</v>
      </c>
      <c r="E3607" s="4" t="n">
        <v>5</v>
      </c>
      <c r="F3607" s="4" t="s">
        <v>213</v>
      </c>
      <c r="G3607" s="4" t="s">
        <v>585</v>
      </c>
      <c r="H3607" s="4" t="n">
        <v>1964</v>
      </c>
      <c r="I3607" s="4" t="s">
        <v>152</v>
      </c>
      <c r="J3607" s="25" t="str">
        <f aca="false">IF(M3607=1,"✓","")</f>
        <v/>
      </c>
      <c r="K3607" s="4" t="str">
        <f aca="false">IF(AND(M3607=0,P3607=0),"▶ NEXT","")</f>
        <v/>
      </c>
      <c r="L3607" s="4" t="n">
        <f aca="false">INDEX('Master List'!$F$2:$F$2594,O3607)</f>
        <v>3</v>
      </c>
      <c r="M3607" s="4" t="n">
        <f aca="false">INDEX('Master List'!$G$2:$G$2594,O3607)</f>
        <v>0</v>
      </c>
      <c r="N3607" s="4" t="str">
        <f aca="false">IF(K3607="","",A3607)</f>
        <v/>
      </c>
      <c r="O3607" s="4" t="n">
        <v>182</v>
      </c>
      <c r="P3607" s="4" t="n">
        <f aca="false">IF(A3607=A3606,P3606+1-M3606,0)</f>
        <v>4</v>
      </c>
    </row>
    <row r="3608" customFormat="false" ht="15" hidden="false" customHeight="false" outlineLevel="0" collapsed="false">
      <c r="A3608" s="33" t="s">
        <v>4413</v>
      </c>
      <c r="B3608" s="33" t="s">
        <v>56</v>
      </c>
      <c r="C3608" s="33" t="s">
        <v>122</v>
      </c>
      <c r="D3608" s="33" t="s">
        <v>4414</v>
      </c>
      <c r="E3608" s="4" t="n">
        <v>6</v>
      </c>
      <c r="F3608" s="4" t="s">
        <v>213</v>
      </c>
      <c r="G3608" s="4" t="s">
        <v>988</v>
      </c>
      <c r="H3608" s="4" t="n">
        <v>1966</v>
      </c>
      <c r="I3608" s="4" t="s">
        <v>668</v>
      </c>
      <c r="J3608" s="25" t="str">
        <f aca="false">IF(M3608=1,"✓","")</f>
        <v/>
      </c>
      <c r="K3608" s="4" t="str">
        <f aca="false">IF(AND(M3608=0,P3608=0),"▶ NEXT","")</f>
        <v/>
      </c>
      <c r="L3608" s="4" t="n">
        <f aca="false">INDEX('Master List'!$F$2:$F$2594,O3608)</f>
        <v>2</v>
      </c>
      <c r="M3608" s="4" t="n">
        <f aca="false">INDEX('Master List'!$G$2:$G$2594,O3608)</f>
        <v>0</v>
      </c>
      <c r="N3608" s="4" t="str">
        <f aca="false">IF(K3608="","",A3608)</f>
        <v/>
      </c>
      <c r="O3608" s="4" t="n">
        <v>643</v>
      </c>
      <c r="P3608" s="4" t="n">
        <f aca="false">IF(A3608=A3607,P3607+1-M3607,0)</f>
        <v>5</v>
      </c>
    </row>
    <row r="3609" customFormat="false" ht="15" hidden="false" customHeight="false" outlineLevel="0" collapsed="false">
      <c r="A3609" s="33" t="s">
        <v>4413</v>
      </c>
      <c r="B3609" s="33" t="s">
        <v>56</v>
      </c>
      <c r="C3609" s="33" t="s">
        <v>122</v>
      </c>
      <c r="D3609" s="33" t="s">
        <v>4414</v>
      </c>
      <c r="E3609" s="4" t="n">
        <v>7</v>
      </c>
      <c r="F3609" s="4" t="s">
        <v>213</v>
      </c>
      <c r="G3609" s="4" t="s">
        <v>667</v>
      </c>
      <c r="H3609" s="4" t="n">
        <v>1968</v>
      </c>
      <c r="I3609" s="4" t="s">
        <v>668</v>
      </c>
      <c r="J3609" s="25" t="str">
        <f aca="false">IF(M3609=1,"✓","")</f>
        <v/>
      </c>
      <c r="K3609" s="4" t="str">
        <f aca="false">IF(AND(M3609=0,P3609=0),"▶ NEXT","")</f>
        <v/>
      </c>
      <c r="L3609" s="4" t="n">
        <f aca="false">INDEX('Master List'!$F$2:$F$2594,O3609)</f>
        <v>3</v>
      </c>
      <c r="M3609" s="4" t="n">
        <f aca="false">INDEX('Master List'!$G$2:$G$2594,O3609)</f>
        <v>0</v>
      </c>
      <c r="N3609" s="4" t="str">
        <f aca="false">IF(K3609="","",A3609)</f>
        <v/>
      </c>
      <c r="O3609" s="4" t="n">
        <v>956</v>
      </c>
      <c r="P3609" s="4" t="n">
        <f aca="false">IF(A3609=A3608,P3608+1-M3608,0)</f>
        <v>6</v>
      </c>
    </row>
    <row r="3610" customFormat="false" ht="15" hidden="false" customHeight="false" outlineLevel="0" collapsed="false">
      <c r="A3610" s="33" t="s">
        <v>4413</v>
      </c>
      <c r="B3610" s="33" t="s">
        <v>56</v>
      </c>
      <c r="C3610" s="33" t="s">
        <v>122</v>
      </c>
      <c r="D3610" s="33" t="s">
        <v>4414</v>
      </c>
      <c r="E3610" s="4" t="n">
        <v>8</v>
      </c>
      <c r="F3610" s="4" t="s">
        <v>213</v>
      </c>
      <c r="G3610" s="4" t="s">
        <v>1021</v>
      </c>
      <c r="H3610" s="4" t="n">
        <v>1973</v>
      </c>
      <c r="I3610" s="4" t="s">
        <v>1022</v>
      </c>
      <c r="J3610" s="25" t="str">
        <f aca="false">IF(M3610=1,"✓","")</f>
        <v/>
      </c>
      <c r="K3610" s="4" t="str">
        <f aca="false">IF(AND(M3610=0,P3610=0),"▶ NEXT","")</f>
        <v/>
      </c>
      <c r="L3610" s="4" t="n">
        <f aca="false">INDEX('Master List'!$F$2:$F$2594,O3610)</f>
        <v>2</v>
      </c>
      <c r="M3610" s="4" t="n">
        <f aca="false">INDEX('Master List'!$G$2:$G$2594,O3610)</f>
        <v>0</v>
      </c>
      <c r="N3610" s="4" t="str">
        <f aca="false">IF(K3610="","",A3610)</f>
        <v/>
      </c>
      <c r="O3610" s="4" t="n">
        <v>492</v>
      </c>
      <c r="P3610" s="4" t="n">
        <f aca="false">IF(A3610=A3609,P3609+1-M3609,0)</f>
        <v>7</v>
      </c>
    </row>
    <row r="3611" customFormat="false" ht="15" hidden="false" customHeight="false" outlineLevel="0" collapsed="false">
      <c r="A3611" s="33" t="s">
        <v>4413</v>
      </c>
      <c r="B3611" s="33" t="s">
        <v>56</v>
      </c>
      <c r="C3611" s="33" t="s">
        <v>122</v>
      </c>
      <c r="D3611" s="33" t="s">
        <v>4414</v>
      </c>
      <c r="E3611" s="4" t="n">
        <v>9</v>
      </c>
      <c r="F3611" s="4" t="s">
        <v>213</v>
      </c>
      <c r="G3611" s="4" t="s">
        <v>598</v>
      </c>
      <c r="H3611" s="4" t="n">
        <v>1971</v>
      </c>
      <c r="I3611" s="4" t="s">
        <v>599</v>
      </c>
      <c r="J3611" s="25" t="str">
        <f aca="false">IF(M3611=1,"✓","")</f>
        <v/>
      </c>
      <c r="K3611" s="4" t="str">
        <f aca="false">IF(AND(M3611=0,P3611=0),"▶ NEXT","")</f>
        <v/>
      </c>
      <c r="L3611" s="4" t="n">
        <f aca="false">INDEX('Master List'!$F$2:$F$2594,O3611)</f>
        <v>3</v>
      </c>
      <c r="M3611" s="4" t="n">
        <f aca="false">INDEX('Master List'!$G$2:$G$2594,O3611)</f>
        <v>0</v>
      </c>
      <c r="N3611" s="4" t="str">
        <f aca="false">IF(K3611="","",A3611)</f>
        <v/>
      </c>
      <c r="O3611" s="4" t="n">
        <v>2422</v>
      </c>
      <c r="P3611" s="4" t="n">
        <f aca="false">IF(A3611=A3610,P3610+1-M3610,0)</f>
        <v>8</v>
      </c>
    </row>
    <row r="3612" customFormat="false" ht="15" hidden="false" customHeight="false" outlineLevel="0" collapsed="false">
      <c r="A3612" s="33" t="s">
        <v>4413</v>
      </c>
      <c r="B3612" s="33" t="s">
        <v>56</v>
      </c>
      <c r="C3612" s="33" t="s">
        <v>122</v>
      </c>
      <c r="D3612" s="33" t="s">
        <v>4414</v>
      </c>
      <c r="E3612" s="4" t="n">
        <v>10</v>
      </c>
      <c r="F3612" s="4" t="s">
        <v>213</v>
      </c>
      <c r="G3612" s="4" t="s">
        <v>2320</v>
      </c>
      <c r="H3612" s="4" t="n">
        <v>1978</v>
      </c>
      <c r="I3612" s="4" t="s">
        <v>2239</v>
      </c>
      <c r="J3612" s="25" t="str">
        <f aca="false">IF(M3612=1,"✓","")</f>
        <v/>
      </c>
      <c r="K3612" s="4" t="str">
        <f aca="false">IF(AND(M3612=0,P3612=0),"▶ NEXT","")</f>
        <v/>
      </c>
      <c r="L3612" s="4" t="n">
        <f aca="false">INDEX('Master List'!$F$2:$F$2594,O3612)</f>
        <v>1</v>
      </c>
      <c r="M3612" s="4" t="n">
        <f aca="false">INDEX('Master List'!$G$2:$G$2594,O3612)</f>
        <v>0</v>
      </c>
      <c r="N3612" s="4" t="str">
        <f aca="false">IF(K3612="","",A3612)</f>
        <v/>
      </c>
      <c r="O3612" s="4" t="n">
        <v>1138</v>
      </c>
      <c r="P3612" s="4" t="n">
        <f aca="false">IF(A3612=A3611,P3611+1-M3611,0)</f>
        <v>9</v>
      </c>
    </row>
    <row r="3613" customFormat="false" ht="15" hidden="false" customHeight="false" outlineLevel="0" collapsed="false">
      <c r="A3613" s="33" t="s">
        <v>4413</v>
      </c>
      <c r="B3613" s="33" t="s">
        <v>56</v>
      </c>
      <c r="C3613" s="33" t="s">
        <v>122</v>
      </c>
      <c r="D3613" s="33" t="s">
        <v>4414</v>
      </c>
      <c r="E3613" s="4" t="n">
        <v>11</v>
      </c>
      <c r="F3613" s="4" t="s">
        <v>213</v>
      </c>
      <c r="G3613" s="4" t="s">
        <v>1038</v>
      </c>
      <c r="H3613" s="4" t="n">
        <v>1978</v>
      </c>
      <c r="I3613" s="4" t="s">
        <v>1039</v>
      </c>
      <c r="J3613" s="25" t="str">
        <f aca="false">IF(M3613=1,"✓","")</f>
        <v/>
      </c>
      <c r="K3613" s="4" t="str">
        <f aca="false">IF(AND(M3613=0,P3613=0),"▶ NEXT","")</f>
        <v/>
      </c>
      <c r="L3613" s="4" t="n">
        <f aca="false">INDEX('Master List'!$F$2:$F$2594,O3613)</f>
        <v>2</v>
      </c>
      <c r="M3613" s="4" t="n">
        <f aca="false">INDEX('Master List'!$G$2:$G$2594,O3613)</f>
        <v>0</v>
      </c>
      <c r="N3613" s="4" t="str">
        <f aca="false">IF(K3613="","",A3613)</f>
        <v/>
      </c>
      <c r="O3613" s="4" t="n">
        <v>815</v>
      </c>
      <c r="P3613" s="4" t="n">
        <f aca="false">IF(A3613=A3612,P3612+1-M3612,0)</f>
        <v>10</v>
      </c>
    </row>
    <row r="3614" customFormat="false" ht="15" hidden="false" customHeight="false" outlineLevel="0" collapsed="false">
      <c r="A3614" s="33" t="s">
        <v>4413</v>
      </c>
      <c r="B3614" s="33" t="s">
        <v>56</v>
      </c>
      <c r="C3614" s="33" t="s">
        <v>122</v>
      </c>
      <c r="D3614" s="33" t="s">
        <v>4414</v>
      </c>
      <c r="E3614" s="4" t="n">
        <v>12</v>
      </c>
      <c r="F3614" s="4" t="s">
        <v>213</v>
      </c>
      <c r="G3614" s="4" t="s">
        <v>1029</v>
      </c>
      <c r="H3614" s="4" t="n">
        <v>1975</v>
      </c>
      <c r="I3614" s="4" t="s">
        <v>1022</v>
      </c>
      <c r="J3614" s="25" t="str">
        <f aca="false">IF(M3614=1,"✓","")</f>
        <v/>
      </c>
      <c r="K3614" s="4" t="str">
        <f aca="false">IF(AND(M3614=0,P3614=0),"▶ NEXT","")</f>
        <v/>
      </c>
      <c r="L3614" s="4" t="n">
        <f aca="false">INDEX('Master List'!$F$2:$F$2594,O3614)</f>
        <v>2</v>
      </c>
      <c r="M3614" s="4" t="n">
        <f aca="false">INDEX('Master List'!$G$2:$G$2594,O3614)</f>
        <v>0</v>
      </c>
      <c r="N3614" s="4" t="str">
        <f aca="false">IF(K3614="","",A3614)</f>
        <v/>
      </c>
      <c r="O3614" s="4" t="n">
        <v>2219</v>
      </c>
      <c r="P3614" s="4" t="n">
        <f aca="false">IF(A3614=A3613,P3613+1-M3613,0)</f>
        <v>11</v>
      </c>
    </row>
    <row r="3615" customFormat="false" ht="15" hidden="false" customHeight="false" outlineLevel="0" collapsed="false">
      <c r="A3615" s="33" t="s">
        <v>4413</v>
      </c>
      <c r="B3615" s="33" t="s">
        <v>56</v>
      </c>
      <c r="C3615" s="33" t="s">
        <v>122</v>
      </c>
      <c r="D3615" s="33" t="s">
        <v>4414</v>
      </c>
      <c r="E3615" s="4" t="n">
        <v>13</v>
      </c>
      <c r="F3615" s="4" t="s">
        <v>1327</v>
      </c>
      <c r="G3615" s="4" t="s">
        <v>3558</v>
      </c>
      <c r="H3615" s="4" t="n">
        <v>1976</v>
      </c>
      <c r="I3615" s="4" t="s">
        <v>3559</v>
      </c>
      <c r="J3615" s="25" t="str">
        <f aca="false">IF(M3615=1,"✓","")</f>
        <v/>
      </c>
      <c r="K3615" s="4" t="str">
        <f aca="false">IF(AND(M3615=0,P3615=0),"▶ NEXT","")</f>
        <v/>
      </c>
      <c r="L3615" s="4" t="n">
        <f aca="false">INDEX('Master List'!$F$2:$F$2594,O3615)</f>
        <v>1</v>
      </c>
      <c r="M3615" s="4" t="n">
        <f aca="false">INDEX('Master List'!$G$2:$G$2594,O3615)</f>
        <v>0</v>
      </c>
      <c r="N3615" s="4" t="str">
        <f aca="false">IF(K3615="","",A3615)</f>
        <v/>
      </c>
      <c r="O3615" s="4" t="n">
        <v>1051</v>
      </c>
      <c r="P3615" s="4" t="n">
        <f aca="false">IF(A3615=A3614,P3614+1-M3614,0)</f>
        <v>12</v>
      </c>
    </row>
    <row r="3616" customFormat="false" ht="15" hidden="false" customHeight="false" outlineLevel="0" collapsed="false">
      <c r="A3616" s="33" t="s">
        <v>4413</v>
      </c>
      <c r="B3616" s="33" t="s">
        <v>56</v>
      </c>
      <c r="C3616" s="33" t="s">
        <v>122</v>
      </c>
      <c r="D3616" s="33" t="s">
        <v>4414</v>
      </c>
      <c r="E3616" s="4" t="n">
        <v>14</v>
      </c>
      <c r="F3616" s="4" t="s">
        <v>1327</v>
      </c>
      <c r="G3616" s="4" t="s">
        <v>3542</v>
      </c>
      <c r="H3616" s="4" t="n">
        <v>1974</v>
      </c>
      <c r="I3616" s="4" t="s">
        <v>389</v>
      </c>
      <c r="J3616" s="25" t="str">
        <f aca="false">IF(M3616=1,"✓","")</f>
        <v/>
      </c>
      <c r="K3616" s="4" t="str">
        <f aca="false">IF(AND(M3616=0,P3616=0),"▶ NEXT","")</f>
        <v/>
      </c>
      <c r="L3616" s="4" t="n">
        <f aca="false">INDEX('Master List'!$F$2:$F$2594,O3616)</f>
        <v>1</v>
      </c>
      <c r="M3616" s="4" t="n">
        <f aca="false">INDEX('Master List'!$G$2:$G$2594,O3616)</f>
        <v>0</v>
      </c>
      <c r="N3616" s="4" t="str">
        <f aca="false">IF(K3616="","",A3616)</f>
        <v/>
      </c>
      <c r="O3616" s="4" t="n">
        <v>555</v>
      </c>
      <c r="P3616" s="4" t="n">
        <f aca="false">IF(A3616=A3615,P3615+1-M3615,0)</f>
        <v>13</v>
      </c>
    </row>
    <row r="3617" customFormat="false" ht="15" hidden="false" customHeight="false" outlineLevel="0" collapsed="false">
      <c r="A3617" s="33" t="s">
        <v>4415</v>
      </c>
      <c r="B3617" s="33" t="s">
        <v>56</v>
      </c>
      <c r="C3617" s="33" t="s">
        <v>122</v>
      </c>
      <c r="D3617" s="33" t="s">
        <v>4416</v>
      </c>
      <c r="E3617" s="4" t="n">
        <v>1</v>
      </c>
      <c r="F3617" s="4" t="s">
        <v>144</v>
      </c>
      <c r="G3617" s="7" t="s">
        <v>142</v>
      </c>
      <c r="H3617" s="4" t="n">
        <v>1941</v>
      </c>
      <c r="I3617" s="4" t="s">
        <v>143</v>
      </c>
      <c r="J3617" s="25" t="str">
        <f aca="false">IF(M3617=1,"✓","")</f>
        <v/>
      </c>
      <c r="K3617" s="4" t="str">
        <f aca="false">IF(AND(M3617=0,P3617=0),"▶ NEXT","")</f>
        <v>▶ NEXT</v>
      </c>
      <c r="L3617" s="4" t="n">
        <f aca="false">INDEX('Master List'!$F$2:$F$2594,O3617)</f>
        <v>13</v>
      </c>
      <c r="M3617" s="4" t="n">
        <f aca="false">INDEX('Master List'!$G$2:$G$2594,O3617)</f>
        <v>0</v>
      </c>
      <c r="N3617" s="4" t="str">
        <f aca="false">IF(K3617="","",A3617)</f>
        <v>N296</v>
      </c>
      <c r="O3617" s="4" t="n">
        <v>462</v>
      </c>
      <c r="P3617" s="4" t="n">
        <f aca="false">IF(A3617=A3616,P3616+1-M3616,0)</f>
        <v>0</v>
      </c>
    </row>
    <row r="3618" customFormat="false" ht="15" hidden="false" customHeight="false" outlineLevel="0" collapsed="false">
      <c r="A3618" s="33" t="s">
        <v>4415</v>
      </c>
      <c r="B3618" s="33" t="s">
        <v>56</v>
      </c>
      <c r="C3618" s="33" t="s">
        <v>122</v>
      </c>
      <c r="D3618" s="33" t="s">
        <v>4416</v>
      </c>
      <c r="E3618" s="4" t="n">
        <v>2</v>
      </c>
      <c r="F3618" s="4" t="s">
        <v>144</v>
      </c>
      <c r="G3618" s="7" t="s">
        <v>149</v>
      </c>
      <c r="H3618" s="4" t="n">
        <v>1959</v>
      </c>
      <c r="I3618" s="4" t="s">
        <v>150</v>
      </c>
      <c r="J3618" s="25" t="str">
        <f aca="false">IF(M3618=1,"✓","")</f>
        <v/>
      </c>
      <c r="K3618" s="4" t="str">
        <f aca="false">IF(AND(M3618=0,P3618=0),"▶ NEXT","")</f>
        <v/>
      </c>
      <c r="L3618" s="4" t="n">
        <f aca="false">INDEX('Master List'!$F$2:$F$2594,O3618)</f>
        <v>8</v>
      </c>
      <c r="M3618" s="4" t="n">
        <f aca="false">INDEX('Master List'!$G$2:$G$2594,O3618)</f>
        <v>0</v>
      </c>
      <c r="N3618" s="4" t="str">
        <f aca="false">IF(K3618="","",A3618)</f>
        <v/>
      </c>
      <c r="O3618" s="4" t="n">
        <v>25</v>
      </c>
      <c r="P3618" s="4" t="n">
        <f aca="false">IF(A3618=A3617,P3617+1-M3617,0)</f>
        <v>1</v>
      </c>
    </row>
    <row r="3619" customFormat="false" ht="15" hidden="false" customHeight="false" outlineLevel="0" collapsed="false">
      <c r="A3619" s="33" t="s">
        <v>4415</v>
      </c>
      <c r="B3619" s="33" t="s">
        <v>56</v>
      </c>
      <c r="C3619" s="33" t="s">
        <v>122</v>
      </c>
      <c r="D3619" s="33" t="s">
        <v>4416</v>
      </c>
      <c r="E3619" s="4" t="n">
        <v>3</v>
      </c>
      <c r="F3619" s="4" t="s">
        <v>213</v>
      </c>
      <c r="G3619" s="4" t="s">
        <v>151</v>
      </c>
      <c r="H3619" s="4" t="n">
        <v>1960</v>
      </c>
      <c r="I3619" s="4" t="s">
        <v>152</v>
      </c>
      <c r="J3619" s="25" t="str">
        <f aca="false">IF(M3619=1,"✓","")</f>
        <v/>
      </c>
      <c r="K3619" s="4" t="str">
        <f aca="false">IF(AND(M3619=0,P3619=0),"▶ NEXT","")</f>
        <v/>
      </c>
      <c r="L3619" s="4" t="n">
        <f aca="false">INDEX('Master List'!$F$2:$F$2594,O3619)</f>
        <v>9</v>
      </c>
      <c r="M3619" s="4" t="n">
        <f aca="false">INDEX('Master List'!$G$2:$G$2594,O3619)</f>
        <v>0</v>
      </c>
      <c r="N3619" s="4" t="str">
        <f aca="false">IF(K3619="","",A3619)</f>
        <v/>
      </c>
      <c r="O3619" s="4" t="n">
        <v>342</v>
      </c>
      <c r="P3619" s="4" t="n">
        <f aca="false">IF(A3619=A3618,P3618+1-M3618,0)</f>
        <v>2</v>
      </c>
    </row>
    <row r="3620" customFormat="false" ht="15" hidden="false" customHeight="false" outlineLevel="0" collapsed="false">
      <c r="A3620" s="33" t="s">
        <v>4415</v>
      </c>
      <c r="B3620" s="33" t="s">
        <v>56</v>
      </c>
      <c r="C3620" s="33" t="s">
        <v>122</v>
      </c>
      <c r="D3620" s="33" t="s">
        <v>4416</v>
      </c>
      <c r="E3620" s="4" t="n">
        <v>4</v>
      </c>
      <c r="F3620" s="4" t="s">
        <v>213</v>
      </c>
      <c r="G3620" s="4" t="s">
        <v>583</v>
      </c>
      <c r="H3620" s="4" t="n">
        <v>1962</v>
      </c>
      <c r="I3620" s="4" t="s">
        <v>195</v>
      </c>
      <c r="J3620" s="25" t="str">
        <f aca="false">IF(M3620=1,"✓","")</f>
        <v/>
      </c>
      <c r="K3620" s="4" t="str">
        <f aca="false">IF(AND(M3620=0,P3620=0),"▶ NEXT","")</f>
        <v/>
      </c>
      <c r="L3620" s="4" t="n">
        <f aca="false">INDEX('Master List'!$F$2:$F$2594,O3620)</f>
        <v>3</v>
      </c>
      <c r="M3620" s="4" t="n">
        <f aca="false">INDEX('Master List'!$G$2:$G$2594,O3620)</f>
        <v>0</v>
      </c>
      <c r="N3620" s="4" t="str">
        <f aca="false">IF(K3620="","",A3620)</f>
        <v/>
      </c>
      <c r="O3620" s="4" t="n">
        <v>1268</v>
      </c>
      <c r="P3620" s="4" t="n">
        <f aca="false">IF(A3620=A3619,P3619+1-M3619,0)</f>
        <v>3</v>
      </c>
    </row>
    <row r="3621" customFormat="false" ht="15" hidden="false" customHeight="false" outlineLevel="0" collapsed="false">
      <c r="A3621" s="33" t="s">
        <v>4415</v>
      </c>
      <c r="B3621" s="33" t="s">
        <v>56</v>
      </c>
      <c r="C3621" s="33" t="s">
        <v>122</v>
      </c>
      <c r="D3621" s="33" t="s">
        <v>4416</v>
      </c>
      <c r="E3621" s="4" t="n">
        <v>5</v>
      </c>
      <c r="F3621" s="4" t="s">
        <v>213</v>
      </c>
      <c r="G3621" s="4" t="s">
        <v>1014</v>
      </c>
      <c r="H3621" s="4" t="n">
        <v>1971</v>
      </c>
      <c r="I3621" s="4" t="s">
        <v>183</v>
      </c>
      <c r="J3621" s="25" t="str">
        <f aca="false">IF(M3621=1,"✓","")</f>
        <v/>
      </c>
      <c r="K3621" s="4" t="str">
        <f aca="false">IF(AND(M3621=0,P3621=0),"▶ NEXT","")</f>
        <v/>
      </c>
      <c r="L3621" s="4" t="n">
        <f aca="false">INDEX('Master List'!$F$2:$F$2594,O3621)</f>
        <v>2</v>
      </c>
      <c r="M3621" s="4" t="n">
        <f aca="false">INDEX('Master List'!$G$2:$G$2594,O3621)</f>
        <v>0</v>
      </c>
      <c r="N3621" s="4" t="str">
        <f aca="false">IF(K3621="","",A3621)</f>
        <v/>
      </c>
      <c r="O3621" s="4" t="n">
        <v>688</v>
      </c>
      <c r="P3621" s="4" t="n">
        <f aca="false">IF(A3621=A3620,P3620+1-M3620,0)</f>
        <v>4</v>
      </c>
    </row>
    <row r="3622" customFormat="false" ht="15" hidden="false" customHeight="false" outlineLevel="0" collapsed="false">
      <c r="A3622" s="33" t="s">
        <v>4415</v>
      </c>
      <c r="B3622" s="33" t="s">
        <v>56</v>
      </c>
      <c r="C3622" s="33" t="s">
        <v>122</v>
      </c>
      <c r="D3622" s="33" t="s">
        <v>4416</v>
      </c>
      <c r="E3622" s="4" t="n">
        <v>6</v>
      </c>
      <c r="F3622" s="4" t="s">
        <v>213</v>
      </c>
      <c r="G3622" s="4" t="s">
        <v>481</v>
      </c>
      <c r="H3622" s="4" t="n">
        <v>1973</v>
      </c>
      <c r="I3622" s="4" t="s">
        <v>361</v>
      </c>
      <c r="J3622" s="25" t="str">
        <f aca="false">IF(M3622=1,"✓","")</f>
        <v>✓</v>
      </c>
      <c r="K3622" s="4" t="str">
        <f aca="false">IF(AND(M3622=0,P3622=0),"▶ NEXT","")</f>
        <v/>
      </c>
      <c r="L3622" s="4" t="n">
        <f aca="false">INDEX('Master List'!$F$2:$F$2594,O3622)</f>
        <v>3</v>
      </c>
      <c r="M3622" s="4" t="n">
        <f aca="false">INDEX('Master List'!$G$2:$G$2594,O3622)</f>
        <v>1</v>
      </c>
      <c r="N3622" s="4" t="str">
        <f aca="false">IF(K3622="","",A3622)</f>
        <v/>
      </c>
      <c r="O3622" s="4" t="n">
        <v>172</v>
      </c>
      <c r="P3622" s="4" t="n">
        <f aca="false">IF(A3622=A3621,P3621+1-M3621,0)</f>
        <v>5</v>
      </c>
    </row>
    <row r="3623" customFormat="false" ht="15" hidden="false" customHeight="false" outlineLevel="0" collapsed="false">
      <c r="A3623" s="33" t="s">
        <v>4415</v>
      </c>
      <c r="B3623" s="33" t="s">
        <v>56</v>
      </c>
      <c r="C3623" s="33" t="s">
        <v>122</v>
      </c>
      <c r="D3623" s="33" t="s">
        <v>4416</v>
      </c>
      <c r="E3623" s="4" t="n">
        <v>7</v>
      </c>
      <c r="F3623" s="4" t="s">
        <v>213</v>
      </c>
      <c r="G3623" s="4" t="s">
        <v>218</v>
      </c>
      <c r="H3623" s="4" t="n">
        <v>1977</v>
      </c>
      <c r="I3623" s="4" t="s">
        <v>154</v>
      </c>
      <c r="J3623" s="25" t="str">
        <f aca="false">IF(M3623=1,"✓","")</f>
        <v>✓</v>
      </c>
      <c r="K3623" s="4" t="str">
        <f aca="false">IF(AND(M3623=0,P3623=0),"▶ NEXT","")</f>
        <v/>
      </c>
      <c r="L3623" s="4" t="n">
        <f aca="false">INDEX('Master List'!$F$2:$F$2594,O3623)</f>
        <v>6</v>
      </c>
      <c r="M3623" s="4" t="n">
        <f aca="false">INDEX('Master List'!$G$2:$G$2594,O3623)</f>
        <v>1</v>
      </c>
      <c r="N3623" s="4" t="str">
        <f aca="false">IF(K3623="","",A3623)</f>
        <v/>
      </c>
      <c r="O3623" s="4" t="n">
        <v>740</v>
      </c>
      <c r="P3623" s="4" t="n">
        <f aca="false">IF(A3623=A3622,P3622+1-M3622,0)</f>
        <v>5</v>
      </c>
    </row>
    <row r="3624" customFormat="false" ht="15" hidden="false" customHeight="false" outlineLevel="0" collapsed="false">
      <c r="A3624" s="33" t="s">
        <v>4415</v>
      </c>
      <c r="B3624" s="33" t="s">
        <v>56</v>
      </c>
      <c r="C3624" s="33" t="s">
        <v>122</v>
      </c>
      <c r="D3624" s="33" t="s">
        <v>4416</v>
      </c>
      <c r="E3624" s="4" t="n">
        <v>8</v>
      </c>
      <c r="F3624" s="4" t="s">
        <v>213</v>
      </c>
      <c r="G3624" s="4" t="s">
        <v>396</v>
      </c>
      <c r="H3624" s="4" t="n">
        <v>1984</v>
      </c>
      <c r="I3624" s="4" t="s">
        <v>397</v>
      </c>
      <c r="J3624" s="25" t="str">
        <f aca="false">IF(M3624=1,"✓","")</f>
        <v>✓</v>
      </c>
      <c r="K3624" s="4" t="str">
        <f aca="false">IF(AND(M3624=0,P3624=0),"▶ NEXT","")</f>
        <v/>
      </c>
      <c r="L3624" s="4" t="n">
        <f aca="false">INDEX('Master List'!$F$2:$F$2594,O3624)</f>
        <v>4</v>
      </c>
      <c r="M3624" s="4" t="n">
        <f aca="false">INDEX('Master List'!$G$2:$G$2594,O3624)</f>
        <v>1</v>
      </c>
      <c r="N3624" s="4" t="str">
        <f aca="false">IF(K3624="","",A3624)</f>
        <v/>
      </c>
      <c r="O3624" s="4" t="n">
        <v>294</v>
      </c>
      <c r="P3624" s="4" t="n">
        <f aca="false">IF(A3624=A3623,P3623+1-M3623,0)</f>
        <v>5</v>
      </c>
    </row>
    <row r="3625" customFormat="false" ht="15" hidden="false" customHeight="false" outlineLevel="0" collapsed="false">
      <c r="A3625" s="33" t="s">
        <v>4415</v>
      </c>
      <c r="B3625" s="33" t="s">
        <v>56</v>
      </c>
      <c r="C3625" s="33" t="s">
        <v>122</v>
      </c>
      <c r="D3625" s="33" t="s">
        <v>4416</v>
      </c>
      <c r="E3625" s="4" t="n">
        <v>9</v>
      </c>
      <c r="F3625" s="4" t="s">
        <v>213</v>
      </c>
      <c r="G3625" s="4" t="s">
        <v>489</v>
      </c>
      <c r="H3625" s="4" t="n">
        <v>1989</v>
      </c>
      <c r="I3625" s="4" t="s">
        <v>490</v>
      </c>
      <c r="J3625" s="25" t="str">
        <f aca="false">IF(M3625=1,"✓","")</f>
        <v/>
      </c>
      <c r="K3625" s="4" t="str">
        <f aca="false">IF(AND(M3625=0,P3625=0),"▶ NEXT","")</f>
        <v/>
      </c>
      <c r="L3625" s="4" t="n">
        <f aca="false">INDEX('Master List'!$F$2:$F$2594,O3625)</f>
        <v>3</v>
      </c>
      <c r="M3625" s="4" t="n">
        <f aca="false">INDEX('Master List'!$G$2:$G$2594,O3625)</f>
        <v>0</v>
      </c>
      <c r="N3625" s="4" t="str">
        <f aca="false">IF(K3625="","",A3625)</f>
        <v/>
      </c>
      <c r="O3625" s="4" t="n">
        <v>2027</v>
      </c>
      <c r="P3625" s="4" t="n">
        <f aca="false">IF(A3625=A3624,P3624+1-M3624,0)</f>
        <v>5</v>
      </c>
    </row>
    <row r="3626" customFormat="false" ht="15" hidden="false" customHeight="false" outlineLevel="0" collapsed="false">
      <c r="A3626" s="33" t="s">
        <v>4415</v>
      </c>
      <c r="B3626" s="33" t="s">
        <v>56</v>
      </c>
      <c r="C3626" s="33" t="s">
        <v>122</v>
      </c>
      <c r="D3626" s="33" t="s">
        <v>4416</v>
      </c>
      <c r="E3626" s="4" t="n">
        <v>10</v>
      </c>
      <c r="F3626" s="4" t="s">
        <v>213</v>
      </c>
      <c r="G3626" s="4" t="s">
        <v>258</v>
      </c>
      <c r="H3626" s="4" t="n">
        <v>1992</v>
      </c>
      <c r="I3626" s="4" t="s">
        <v>208</v>
      </c>
      <c r="J3626" s="25" t="str">
        <f aca="false">IF(M3626=1,"✓","")</f>
        <v>✓</v>
      </c>
      <c r="K3626" s="4" t="str">
        <f aca="false">IF(AND(M3626=0,P3626=0),"▶ NEXT","")</f>
        <v/>
      </c>
      <c r="L3626" s="4" t="n">
        <f aca="false">INDEX('Master List'!$F$2:$F$2594,O3626)</f>
        <v>5</v>
      </c>
      <c r="M3626" s="4" t="n">
        <f aca="false">INDEX('Master List'!$G$2:$G$2594,O3626)</f>
        <v>1</v>
      </c>
      <c r="N3626" s="4" t="str">
        <f aca="false">IF(K3626="","",A3626)</f>
        <v/>
      </c>
      <c r="O3626" s="4" t="n">
        <v>1892</v>
      </c>
      <c r="P3626" s="4" t="n">
        <f aca="false">IF(A3626=A3625,P3625+1-M3625,0)</f>
        <v>6</v>
      </c>
    </row>
    <row r="3627" customFormat="false" ht="15" hidden="false" customHeight="false" outlineLevel="0" collapsed="false">
      <c r="A3627" s="33" t="s">
        <v>4415</v>
      </c>
      <c r="B3627" s="33" t="s">
        <v>56</v>
      </c>
      <c r="C3627" s="33" t="s">
        <v>122</v>
      </c>
      <c r="D3627" s="33" t="s">
        <v>4416</v>
      </c>
      <c r="E3627" s="4" t="n">
        <v>11</v>
      </c>
      <c r="F3627" s="4" t="s">
        <v>213</v>
      </c>
      <c r="G3627" s="4" t="s">
        <v>620</v>
      </c>
      <c r="H3627" s="4" t="n">
        <v>1996</v>
      </c>
      <c r="I3627" s="4" t="s">
        <v>278</v>
      </c>
      <c r="J3627" s="25" t="str">
        <f aca="false">IF(M3627=1,"✓","")</f>
        <v>✓</v>
      </c>
      <c r="K3627" s="4" t="str">
        <f aca="false">IF(AND(M3627=0,P3627=0),"▶ NEXT","")</f>
        <v/>
      </c>
      <c r="L3627" s="4" t="n">
        <f aca="false">INDEX('Master List'!$F$2:$F$2594,O3627)</f>
        <v>3</v>
      </c>
      <c r="M3627" s="4" t="n">
        <f aca="false">INDEX('Master List'!$G$2:$G$2594,O3627)</f>
        <v>1</v>
      </c>
      <c r="N3627" s="4" t="str">
        <f aca="false">IF(K3627="","",A3627)</f>
        <v/>
      </c>
      <c r="O3627" s="4" t="n">
        <v>995</v>
      </c>
      <c r="P3627" s="4" t="n">
        <f aca="false">IF(A3627=A3626,P3626+1-M3626,0)</f>
        <v>6</v>
      </c>
    </row>
    <row r="3628" customFormat="false" ht="15" hidden="false" customHeight="false" outlineLevel="0" collapsed="false">
      <c r="A3628" s="33" t="s">
        <v>4415</v>
      </c>
      <c r="B3628" s="33" t="s">
        <v>56</v>
      </c>
      <c r="C3628" s="33" t="s">
        <v>122</v>
      </c>
      <c r="D3628" s="33" t="s">
        <v>4416</v>
      </c>
      <c r="E3628" s="4" t="n">
        <v>12</v>
      </c>
      <c r="F3628" s="4" t="s">
        <v>213</v>
      </c>
      <c r="G3628" s="4" t="s">
        <v>1124</v>
      </c>
      <c r="H3628" s="4" t="n">
        <v>1998</v>
      </c>
      <c r="I3628" s="4" t="s">
        <v>342</v>
      </c>
      <c r="J3628" s="25" t="str">
        <f aca="false">IF(M3628=1,"✓","")</f>
        <v>✓</v>
      </c>
      <c r="K3628" s="4" t="str">
        <f aca="false">IF(AND(M3628=0,P3628=0),"▶ NEXT","")</f>
        <v/>
      </c>
      <c r="L3628" s="4" t="n">
        <f aca="false">INDEX('Master List'!$F$2:$F$2594,O3628)</f>
        <v>2</v>
      </c>
      <c r="M3628" s="4" t="n">
        <f aca="false">INDEX('Master List'!$G$2:$G$2594,O3628)</f>
        <v>1</v>
      </c>
      <c r="N3628" s="4" t="str">
        <f aca="false">IF(K3628="","",A3628)</f>
        <v/>
      </c>
      <c r="O3628" s="4" t="n">
        <v>829</v>
      </c>
      <c r="P3628" s="4" t="n">
        <f aca="false">IF(A3628=A3627,P3627+1-M3627,0)</f>
        <v>6</v>
      </c>
    </row>
    <row r="3629" customFormat="false" ht="15" hidden="false" customHeight="false" outlineLevel="0" collapsed="false">
      <c r="A3629" s="33" t="s">
        <v>4415</v>
      </c>
      <c r="B3629" s="33" t="s">
        <v>56</v>
      </c>
      <c r="C3629" s="33" t="s">
        <v>122</v>
      </c>
      <c r="D3629" s="33" t="s">
        <v>4416</v>
      </c>
      <c r="E3629" s="4" t="n">
        <v>13</v>
      </c>
      <c r="F3629" s="4" t="s">
        <v>213</v>
      </c>
      <c r="G3629" s="4" t="s">
        <v>279</v>
      </c>
      <c r="H3629" s="4" t="n">
        <v>2017</v>
      </c>
      <c r="I3629" s="4" t="s">
        <v>280</v>
      </c>
      <c r="J3629" s="25" t="str">
        <f aca="false">IF(M3629=1,"✓","")</f>
        <v>✓</v>
      </c>
      <c r="K3629" s="4" t="str">
        <f aca="false">IF(AND(M3629=0,P3629=0),"▶ NEXT","")</f>
        <v/>
      </c>
      <c r="L3629" s="4" t="n">
        <f aca="false">INDEX('Master List'!$F$2:$F$2594,O3629)</f>
        <v>5</v>
      </c>
      <c r="M3629" s="4" t="n">
        <f aca="false">INDEX('Master List'!$G$2:$G$2594,O3629)</f>
        <v>1</v>
      </c>
      <c r="N3629" s="4" t="str">
        <f aca="false">IF(K3629="","",A3629)</f>
        <v/>
      </c>
      <c r="O3629" s="4" t="n">
        <v>889</v>
      </c>
      <c r="P3629" s="4" t="n">
        <f aca="false">IF(A3629=A3628,P3628+1-M3628,0)</f>
        <v>6</v>
      </c>
    </row>
    <row r="3630" customFormat="false" ht="15" hidden="false" customHeight="false" outlineLevel="0" collapsed="false">
      <c r="A3630" s="33" t="s">
        <v>4415</v>
      </c>
      <c r="B3630" s="33" t="s">
        <v>56</v>
      </c>
      <c r="C3630" s="33" t="s">
        <v>122</v>
      </c>
      <c r="D3630" s="33" t="s">
        <v>4416</v>
      </c>
      <c r="E3630" s="4" t="n">
        <v>14</v>
      </c>
      <c r="F3630" s="4" t="s">
        <v>213</v>
      </c>
      <c r="G3630" s="4" t="s">
        <v>211</v>
      </c>
      <c r="H3630" s="4" t="n">
        <v>2022</v>
      </c>
      <c r="I3630" s="4" t="s">
        <v>212</v>
      </c>
      <c r="J3630" s="25" t="str">
        <f aca="false">IF(M3630=1,"✓","")</f>
        <v/>
      </c>
      <c r="K3630" s="4" t="str">
        <f aca="false">IF(AND(M3630=0,P3630=0),"▶ NEXT","")</f>
        <v/>
      </c>
      <c r="L3630" s="4" t="n">
        <f aca="false">INDEX('Master List'!$F$2:$F$2594,O3630)</f>
        <v>7</v>
      </c>
      <c r="M3630" s="4" t="n">
        <f aca="false">INDEX('Master List'!$G$2:$G$2594,O3630)</f>
        <v>0</v>
      </c>
      <c r="N3630" s="4" t="str">
        <f aca="false">IF(K3630="","",A3630)</f>
        <v/>
      </c>
      <c r="O3630" s="4" t="n">
        <v>53</v>
      </c>
      <c r="P3630" s="4" t="n">
        <f aca="false">IF(A3630=A3629,P3629+1-M3629,0)</f>
        <v>6</v>
      </c>
    </row>
    <row r="3631" customFormat="false" ht="15" hidden="false" customHeight="false" outlineLevel="0" collapsed="false">
      <c r="A3631" s="33" t="s">
        <v>4415</v>
      </c>
      <c r="B3631" s="33" t="s">
        <v>56</v>
      </c>
      <c r="C3631" s="33" t="s">
        <v>122</v>
      </c>
      <c r="D3631" s="33" t="s">
        <v>4416</v>
      </c>
      <c r="E3631" s="4" t="n">
        <v>15</v>
      </c>
      <c r="F3631" s="4" t="s">
        <v>1327</v>
      </c>
      <c r="G3631" s="4" t="s">
        <v>895</v>
      </c>
      <c r="H3631" s="4" t="n">
        <v>1958</v>
      </c>
      <c r="I3631" s="4" t="s">
        <v>801</v>
      </c>
      <c r="J3631" s="25" t="str">
        <f aca="false">IF(M3631=1,"✓","")</f>
        <v/>
      </c>
      <c r="K3631" s="4" t="str">
        <f aca="false">IF(AND(M3631=0,P3631=0),"▶ NEXT","")</f>
        <v/>
      </c>
      <c r="L3631" s="4" t="n">
        <f aca="false">INDEX('Master List'!$F$2:$F$2594,O3631)</f>
        <v>3</v>
      </c>
      <c r="M3631" s="4" t="n">
        <f aca="false">INDEX('Master List'!$G$2:$G$2594,O3631)</f>
        <v>0</v>
      </c>
      <c r="N3631" s="4" t="str">
        <f aca="false">IF(K3631="","",A3631)</f>
        <v/>
      </c>
      <c r="O3631" s="4" t="n">
        <v>2029</v>
      </c>
      <c r="P3631" s="4" t="n">
        <f aca="false">IF(A3631=A3630,P3630+1-M3630,0)</f>
        <v>7</v>
      </c>
    </row>
    <row r="3632" customFormat="false" ht="15" hidden="false" customHeight="false" outlineLevel="0" collapsed="false">
      <c r="A3632" s="33" t="s">
        <v>4415</v>
      </c>
      <c r="B3632" s="33" t="s">
        <v>56</v>
      </c>
      <c r="C3632" s="33" t="s">
        <v>122</v>
      </c>
      <c r="D3632" s="33" t="s">
        <v>4416</v>
      </c>
      <c r="E3632" s="4" t="n">
        <v>16</v>
      </c>
      <c r="F3632" s="4" t="s">
        <v>1327</v>
      </c>
      <c r="G3632" s="4" t="s">
        <v>712</v>
      </c>
      <c r="H3632" s="4" t="n">
        <v>1999</v>
      </c>
      <c r="I3632" s="4" t="s">
        <v>713</v>
      </c>
      <c r="J3632" s="25" t="str">
        <f aca="false">IF(M3632=1,"✓","")</f>
        <v/>
      </c>
      <c r="K3632" s="4" t="str">
        <f aca="false">IF(AND(M3632=0,P3632=0),"▶ NEXT","")</f>
        <v/>
      </c>
      <c r="L3632" s="4" t="n">
        <f aca="false">INDEX('Master List'!$F$2:$F$2594,O3632)</f>
        <v>3</v>
      </c>
      <c r="M3632" s="4" t="n">
        <f aca="false">INDEX('Master List'!$G$2:$G$2594,O3632)</f>
        <v>0</v>
      </c>
      <c r="N3632" s="4" t="str">
        <f aca="false">IF(K3632="","",A3632)</f>
        <v/>
      </c>
      <c r="O3632" s="4" t="n">
        <v>1862</v>
      </c>
      <c r="P3632" s="4" t="n">
        <f aca="false">IF(A3632=A3631,P3631+1-M3631,0)</f>
        <v>8</v>
      </c>
    </row>
    <row r="3633" customFormat="false" ht="15" hidden="false" customHeight="false" outlineLevel="0" collapsed="false">
      <c r="A3633" s="33" t="s">
        <v>4417</v>
      </c>
      <c r="B3633" s="33" t="s">
        <v>56</v>
      </c>
      <c r="C3633" s="33" t="s">
        <v>123</v>
      </c>
      <c r="D3633" s="33" t="s">
        <v>4418</v>
      </c>
      <c r="E3633" s="4" t="n">
        <v>1</v>
      </c>
      <c r="F3633" s="4" t="s">
        <v>144</v>
      </c>
      <c r="G3633" s="7" t="s">
        <v>430</v>
      </c>
      <c r="H3633" s="4" t="n">
        <v>2009</v>
      </c>
      <c r="I3633" s="4" t="s">
        <v>274</v>
      </c>
      <c r="J3633" s="25" t="str">
        <f aca="false">IF(M3633=1,"✓","")</f>
        <v>✓</v>
      </c>
      <c r="K3633" s="4" t="str">
        <f aca="false">IF(AND(M3633=0,P3633=0),"▶ NEXT","")</f>
        <v/>
      </c>
      <c r="L3633" s="4" t="n">
        <f aca="false">INDEX('Master List'!$F$2:$F$2594,O3633)</f>
        <v>3</v>
      </c>
      <c r="M3633" s="4" t="n">
        <f aca="false">INDEX('Master List'!$G$2:$G$2594,O3633)</f>
        <v>1</v>
      </c>
      <c r="N3633" s="4" t="str">
        <f aca="false">IF(K3633="","",A3633)</f>
        <v/>
      </c>
      <c r="O3633" s="4" t="n">
        <v>783</v>
      </c>
      <c r="P3633" s="4" t="n">
        <f aca="false">IF(A3633=A3632,P3632+1-M3632,0)</f>
        <v>0</v>
      </c>
    </row>
    <row r="3634" customFormat="false" ht="15" hidden="false" customHeight="false" outlineLevel="0" collapsed="false">
      <c r="A3634" s="33" t="s">
        <v>4417</v>
      </c>
      <c r="B3634" s="33" t="s">
        <v>56</v>
      </c>
      <c r="C3634" s="33" t="s">
        <v>123</v>
      </c>
      <c r="D3634" s="33" t="s">
        <v>4418</v>
      </c>
      <c r="E3634" s="4" t="n">
        <v>2</v>
      </c>
      <c r="F3634" s="4" t="s">
        <v>144</v>
      </c>
      <c r="G3634" s="7" t="s">
        <v>682</v>
      </c>
      <c r="H3634" s="4" t="n">
        <v>1989</v>
      </c>
      <c r="I3634" s="4" t="s">
        <v>439</v>
      </c>
      <c r="J3634" s="25" t="str">
        <f aca="false">IF(M3634=1,"✓","")</f>
        <v>✓</v>
      </c>
      <c r="K3634" s="4" t="str">
        <f aca="false">IF(AND(M3634=0,P3634=0),"▶ NEXT","")</f>
        <v/>
      </c>
      <c r="L3634" s="4" t="n">
        <f aca="false">INDEX('Master List'!$F$2:$F$2594,O3634)</f>
        <v>2</v>
      </c>
      <c r="M3634" s="4" t="n">
        <f aca="false">INDEX('Master List'!$G$2:$G$2594,O3634)</f>
        <v>1</v>
      </c>
      <c r="N3634" s="4" t="str">
        <f aca="false">IF(K3634="","",A3634)</f>
        <v/>
      </c>
      <c r="O3634" s="4" t="n">
        <v>586</v>
      </c>
      <c r="P3634" s="4" t="n">
        <f aca="false">IF(A3634=A3633,P3633+1-M3633,0)</f>
        <v>0</v>
      </c>
    </row>
    <row r="3635" customFormat="false" ht="15" hidden="false" customHeight="false" outlineLevel="0" collapsed="false">
      <c r="A3635" s="33" t="s">
        <v>4417</v>
      </c>
      <c r="B3635" s="33" t="s">
        <v>56</v>
      </c>
      <c r="C3635" s="33" t="s">
        <v>123</v>
      </c>
      <c r="D3635" s="33" t="s">
        <v>4418</v>
      </c>
      <c r="E3635" s="4" t="n">
        <v>3</v>
      </c>
      <c r="F3635" s="4" t="s">
        <v>213</v>
      </c>
      <c r="G3635" s="4" t="s">
        <v>1930</v>
      </c>
      <c r="H3635" s="4" t="n">
        <v>1955</v>
      </c>
      <c r="I3635" s="4" t="s">
        <v>162</v>
      </c>
      <c r="J3635" s="25" t="str">
        <f aca="false">IF(M3635=1,"✓","")</f>
        <v/>
      </c>
      <c r="K3635" s="4" t="str">
        <f aca="false">IF(AND(M3635=0,P3635=0),"▶ NEXT","")</f>
        <v>▶ NEXT</v>
      </c>
      <c r="L3635" s="4" t="n">
        <f aca="false">INDEX('Master List'!$F$2:$F$2594,O3635)</f>
        <v>1</v>
      </c>
      <c r="M3635" s="4" t="n">
        <f aca="false">INDEX('Master List'!$G$2:$G$2594,O3635)</f>
        <v>0</v>
      </c>
      <c r="N3635" s="4" t="str">
        <f aca="false">IF(K3635="","",A3635)</f>
        <v>N297</v>
      </c>
      <c r="O3635" s="4" t="n">
        <v>2378</v>
      </c>
      <c r="P3635" s="4" t="n">
        <f aca="false">IF(A3635=A3634,P3634+1-M3634,0)</f>
        <v>0</v>
      </c>
    </row>
    <row r="3636" customFormat="false" ht="15" hidden="false" customHeight="false" outlineLevel="0" collapsed="false">
      <c r="A3636" s="33" t="s">
        <v>4417</v>
      </c>
      <c r="B3636" s="33" t="s">
        <v>56</v>
      </c>
      <c r="C3636" s="33" t="s">
        <v>123</v>
      </c>
      <c r="D3636" s="33" t="s">
        <v>4418</v>
      </c>
      <c r="E3636" s="4" t="n">
        <v>4</v>
      </c>
      <c r="F3636" s="4" t="s">
        <v>213</v>
      </c>
      <c r="G3636" s="4" t="s">
        <v>293</v>
      </c>
      <c r="H3636" s="4" t="n">
        <v>1978</v>
      </c>
      <c r="I3636" s="4" t="s">
        <v>266</v>
      </c>
      <c r="J3636" s="25" t="str">
        <f aca="false">IF(M3636=1,"✓","")</f>
        <v>✓</v>
      </c>
      <c r="K3636" s="4" t="str">
        <f aca="false">IF(AND(M3636=0,P3636=0),"▶ NEXT","")</f>
        <v/>
      </c>
      <c r="L3636" s="4" t="n">
        <f aca="false">INDEX('Master List'!$F$2:$F$2594,O3636)</f>
        <v>4</v>
      </c>
      <c r="M3636" s="4" t="n">
        <f aca="false">INDEX('Master List'!$G$2:$G$2594,O3636)</f>
        <v>1</v>
      </c>
      <c r="N3636" s="4" t="str">
        <f aca="false">IF(K3636="","",A3636)</f>
        <v/>
      </c>
      <c r="O3636" s="4" t="n">
        <v>981</v>
      </c>
      <c r="P3636" s="4" t="n">
        <f aca="false">IF(A3636=A3635,P3635+1-M3635,0)</f>
        <v>1</v>
      </c>
    </row>
    <row r="3637" customFormat="false" ht="15" hidden="false" customHeight="false" outlineLevel="0" collapsed="false">
      <c r="A3637" s="33" t="s">
        <v>4417</v>
      </c>
      <c r="B3637" s="33" t="s">
        <v>56</v>
      </c>
      <c r="C3637" s="33" t="s">
        <v>123</v>
      </c>
      <c r="D3637" s="33" t="s">
        <v>4418</v>
      </c>
      <c r="E3637" s="4" t="n">
        <v>5</v>
      </c>
      <c r="F3637" s="4" t="s">
        <v>213</v>
      </c>
      <c r="G3637" s="4" t="s">
        <v>821</v>
      </c>
      <c r="H3637" s="4" t="n">
        <v>1989</v>
      </c>
      <c r="I3637" s="4" t="s">
        <v>822</v>
      </c>
      <c r="J3637" s="25" t="str">
        <f aca="false">IF(M3637=1,"✓","")</f>
        <v/>
      </c>
      <c r="K3637" s="4" t="str">
        <f aca="false">IF(AND(M3637=0,P3637=0),"▶ NEXT","")</f>
        <v/>
      </c>
      <c r="L3637" s="4" t="n">
        <f aca="false">INDEX('Master List'!$F$2:$F$2594,O3637)</f>
        <v>2</v>
      </c>
      <c r="M3637" s="4" t="n">
        <f aca="false">INDEX('Master List'!$G$2:$G$2594,O3637)</f>
        <v>0</v>
      </c>
      <c r="N3637" s="4" t="str">
        <f aca="false">IF(K3637="","",A3637)</f>
        <v/>
      </c>
      <c r="O3637" s="4" t="n">
        <v>2493</v>
      </c>
      <c r="P3637" s="4" t="n">
        <f aca="false">IF(A3637=A3636,P3636+1-M3636,0)</f>
        <v>1</v>
      </c>
    </row>
    <row r="3638" customFormat="false" ht="15" hidden="false" customHeight="false" outlineLevel="0" collapsed="false">
      <c r="A3638" s="33" t="s">
        <v>4417</v>
      </c>
      <c r="B3638" s="33" t="s">
        <v>56</v>
      </c>
      <c r="C3638" s="33" t="s">
        <v>123</v>
      </c>
      <c r="D3638" s="33" t="s">
        <v>4418</v>
      </c>
      <c r="E3638" s="4" t="n">
        <v>6</v>
      </c>
      <c r="F3638" s="4" t="s">
        <v>213</v>
      </c>
      <c r="G3638" s="4" t="s">
        <v>1122</v>
      </c>
      <c r="H3638" s="4" t="n">
        <v>1997</v>
      </c>
      <c r="I3638" s="4" t="s">
        <v>827</v>
      </c>
      <c r="J3638" s="25" t="str">
        <f aca="false">IF(M3638=1,"✓","")</f>
        <v>✓</v>
      </c>
      <c r="K3638" s="4" t="str">
        <f aca="false">IF(AND(M3638=0,P3638=0),"▶ NEXT","")</f>
        <v/>
      </c>
      <c r="L3638" s="4" t="n">
        <f aca="false">INDEX('Master List'!$F$2:$F$2594,O3638)</f>
        <v>2</v>
      </c>
      <c r="M3638" s="4" t="n">
        <f aca="false">INDEX('Master List'!$G$2:$G$2594,O3638)</f>
        <v>1</v>
      </c>
      <c r="N3638" s="4" t="str">
        <f aca="false">IF(K3638="","",A3638)</f>
        <v/>
      </c>
      <c r="O3638" s="4" t="n">
        <v>931</v>
      </c>
      <c r="P3638" s="4" t="n">
        <f aca="false">IF(A3638=A3637,P3637+1-M3637,0)</f>
        <v>2</v>
      </c>
    </row>
    <row r="3639" customFormat="false" ht="15" hidden="false" customHeight="false" outlineLevel="0" collapsed="false">
      <c r="A3639" s="33" t="s">
        <v>4417</v>
      </c>
      <c r="B3639" s="33" t="s">
        <v>56</v>
      </c>
      <c r="C3639" s="33" t="s">
        <v>123</v>
      </c>
      <c r="D3639" s="33" t="s">
        <v>4418</v>
      </c>
      <c r="E3639" s="4" t="n">
        <v>7</v>
      </c>
      <c r="F3639" s="4" t="s">
        <v>213</v>
      </c>
      <c r="G3639" s="4" t="s">
        <v>273</v>
      </c>
      <c r="H3639" s="4" t="n">
        <v>1998</v>
      </c>
      <c r="I3639" s="4" t="s">
        <v>274</v>
      </c>
      <c r="J3639" s="25" t="str">
        <f aca="false">IF(M3639=1,"✓","")</f>
        <v>✓</v>
      </c>
      <c r="K3639" s="4" t="str">
        <f aca="false">IF(AND(M3639=0,P3639=0),"▶ NEXT","")</f>
        <v/>
      </c>
      <c r="L3639" s="4" t="n">
        <f aca="false">INDEX('Master List'!$F$2:$F$2594,O3639)</f>
        <v>5</v>
      </c>
      <c r="M3639" s="4" t="n">
        <f aca="false">INDEX('Master List'!$G$2:$G$2594,O3639)</f>
        <v>1</v>
      </c>
      <c r="N3639" s="4" t="str">
        <f aca="false">IF(K3639="","",A3639)</f>
        <v/>
      </c>
      <c r="O3639" s="4" t="n">
        <v>1948</v>
      </c>
      <c r="P3639" s="4" t="n">
        <f aca="false">IF(A3639=A3638,P3638+1-M3638,0)</f>
        <v>2</v>
      </c>
    </row>
    <row r="3640" customFormat="false" ht="15" hidden="false" customHeight="false" outlineLevel="0" collapsed="false">
      <c r="A3640" s="33" t="s">
        <v>4417</v>
      </c>
      <c r="B3640" s="33" t="s">
        <v>56</v>
      </c>
      <c r="C3640" s="33" t="s">
        <v>123</v>
      </c>
      <c r="D3640" s="33" t="s">
        <v>4418</v>
      </c>
      <c r="E3640" s="4" t="n">
        <v>8</v>
      </c>
      <c r="F3640" s="4" t="s">
        <v>213</v>
      </c>
      <c r="G3640" s="4" t="s">
        <v>2714</v>
      </c>
      <c r="H3640" s="4" t="n">
        <v>1999</v>
      </c>
      <c r="I3640" s="4" t="s">
        <v>1111</v>
      </c>
      <c r="J3640" s="25" t="str">
        <f aca="false">IF(M3640=1,"✓","")</f>
        <v/>
      </c>
      <c r="K3640" s="4" t="str">
        <f aca="false">IF(AND(M3640=0,P3640=0),"▶ NEXT","")</f>
        <v/>
      </c>
      <c r="L3640" s="4" t="n">
        <f aca="false">INDEX('Master List'!$F$2:$F$2594,O3640)</f>
        <v>1</v>
      </c>
      <c r="M3640" s="4" t="n">
        <f aca="false">INDEX('Master List'!$G$2:$G$2594,O3640)</f>
        <v>0</v>
      </c>
      <c r="N3640" s="4" t="str">
        <f aca="false">IF(K3640="","",A3640)</f>
        <v/>
      </c>
      <c r="O3640" s="4" t="n">
        <v>2092</v>
      </c>
      <c r="P3640" s="4" t="n">
        <f aca="false">IF(A3640=A3639,P3639+1-M3639,0)</f>
        <v>2</v>
      </c>
    </row>
    <row r="3641" customFormat="false" ht="15" hidden="false" customHeight="false" outlineLevel="0" collapsed="false">
      <c r="A3641" s="33" t="s">
        <v>4417</v>
      </c>
      <c r="B3641" s="33" t="s">
        <v>56</v>
      </c>
      <c r="C3641" s="33" t="s">
        <v>123</v>
      </c>
      <c r="D3641" s="33" t="s">
        <v>4418</v>
      </c>
      <c r="E3641" s="4" t="n">
        <v>9</v>
      </c>
      <c r="F3641" s="4" t="s">
        <v>213</v>
      </c>
      <c r="G3641" s="4" t="s">
        <v>882</v>
      </c>
      <c r="H3641" s="4" t="n">
        <v>2023</v>
      </c>
      <c r="I3641" s="4" t="s">
        <v>429</v>
      </c>
      <c r="J3641" s="25" t="str">
        <f aca="false">IF(M3641=1,"✓","")</f>
        <v>✓</v>
      </c>
      <c r="K3641" s="4" t="str">
        <f aca="false">IF(AND(M3641=0,P3641=0),"▶ NEXT","")</f>
        <v/>
      </c>
      <c r="L3641" s="4" t="n">
        <f aca="false">INDEX('Master List'!$F$2:$F$2594,O3641)</f>
        <v>2</v>
      </c>
      <c r="M3641" s="4" t="n">
        <f aca="false">INDEX('Master List'!$G$2:$G$2594,O3641)</f>
        <v>1</v>
      </c>
      <c r="N3641" s="4" t="str">
        <f aca="false">IF(K3641="","",A3641)</f>
        <v/>
      </c>
      <c r="O3641" s="4" t="n">
        <v>1048</v>
      </c>
      <c r="P3641" s="4" t="n">
        <f aca="false">IF(A3641=A3640,P3640+1-M3640,0)</f>
        <v>3</v>
      </c>
    </row>
    <row r="3642" customFormat="false" ht="15" hidden="false" customHeight="false" outlineLevel="0" collapsed="false">
      <c r="A3642" s="33" t="s">
        <v>4417</v>
      </c>
      <c r="B3642" s="33" t="s">
        <v>56</v>
      </c>
      <c r="C3642" s="33" t="s">
        <v>123</v>
      </c>
      <c r="D3642" s="33" t="s">
        <v>4418</v>
      </c>
      <c r="E3642" s="4" t="n">
        <v>10</v>
      </c>
      <c r="F3642" s="4" t="s">
        <v>213</v>
      </c>
      <c r="G3642" s="4" t="s">
        <v>3185</v>
      </c>
      <c r="H3642" s="4" t="n">
        <v>2019</v>
      </c>
      <c r="I3642" s="4" t="s">
        <v>1240</v>
      </c>
      <c r="J3642" s="25" t="str">
        <f aca="false">IF(M3642=1,"✓","")</f>
        <v>✓</v>
      </c>
      <c r="K3642" s="4" t="str">
        <f aca="false">IF(AND(M3642=0,P3642=0),"▶ NEXT","")</f>
        <v/>
      </c>
      <c r="L3642" s="4" t="n">
        <f aca="false">INDEX('Master List'!$F$2:$F$2594,O3642)</f>
        <v>1</v>
      </c>
      <c r="M3642" s="4" t="n">
        <f aca="false">INDEX('Master List'!$G$2:$G$2594,O3642)</f>
        <v>1</v>
      </c>
      <c r="N3642" s="4" t="str">
        <f aca="false">IF(K3642="","",A3642)</f>
        <v/>
      </c>
      <c r="O3642" s="4" t="n">
        <v>1356</v>
      </c>
      <c r="P3642" s="4" t="n">
        <f aca="false">IF(A3642=A3641,P3641+1-M3641,0)</f>
        <v>3</v>
      </c>
    </row>
    <row r="3643" customFormat="false" ht="15" hidden="false" customHeight="false" outlineLevel="0" collapsed="false">
      <c r="A3643" s="33" t="s">
        <v>4417</v>
      </c>
      <c r="B3643" s="33" t="s">
        <v>56</v>
      </c>
      <c r="C3643" s="33" t="s">
        <v>123</v>
      </c>
      <c r="D3643" s="33" t="s">
        <v>4418</v>
      </c>
      <c r="E3643" s="4" t="n">
        <v>11</v>
      </c>
      <c r="F3643" s="4" t="s">
        <v>1327</v>
      </c>
      <c r="G3643" s="4" t="s">
        <v>1361</v>
      </c>
      <c r="H3643" s="4" t="n">
        <v>1978</v>
      </c>
      <c r="I3643" s="4" t="s">
        <v>170</v>
      </c>
      <c r="J3643" s="25" t="str">
        <f aca="false">IF(M3643=1,"✓","")</f>
        <v/>
      </c>
      <c r="K3643" s="4" t="str">
        <f aca="false">IF(AND(M3643=0,P3643=0),"▶ NEXT","")</f>
        <v/>
      </c>
      <c r="L3643" s="4" t="n">
        <f aca="false">INDEX('Master List'!$F$2:$F$2594,O3643)</f>
        <v>2</v>
      </c>
      <c r="M3643" s="4" t="n">
        <f aca="false">INDEX('Master List'!$G$2:$G$2594,O3643)</f>
        <v>0</v>
      </c>
      <c r="N3643" s="4" t="str">
        <f aca="false">IF(K3643="","",A3643)</f>
        <v/>
      </c>
      <c r="O3643" s="4" t="n">
        <v>153</v>
      </c>
      <c r="P3643" s="4" t="n">
        <f aca="false">IF(A3643=A3642,P3642+1-M3642,0)</f>
        <v>3</v>
      </c>
    </row>
    <row r="3644" customFormat="false" ht="15" hidden="false" customHeight="false" outlineLevel="0" collapsed="false">
      <c r="A3644" s="33" t="s">
        <v>4417</v>
      </c>
      <c r="B3644" s="33" t="s">
        <v>56</v>
      </c>
      <c r="C3644" s="33" t="s">
        <v>123</v>
      </c>
      <c r="D3644" s="33" t="s">
        <v>4418</v>
      </c>
      <c r="E3644" s="4" t="n">
        <v>12</v>
      </c>
      <c r="F3644" s="4" t="s">
        <v>1327</v>
      </c>
      <c r="G3644" s="4" t="s">
        <v>702</v>
      </c>
      <c r="H3644" s="4" t="n">
        <v>1962</v>
      </c>
      <c r="I3644" s="4" t="s">
        <v>146</v>
      </c>
      <c r="J3644" s="25" t="str">
        <f aca="false">IF(M3644=1,"✓","")</f>
        <v/>
      </c>
      <c r="K3644" s="4" t="str">
        <f aca="false">IF(AND(M3644=0,P3644=0),"▶ NEXT","")</f>
        <v/>
      </c>
      <c r="L3644" s="4" t="n">
        <f aca="false">INDEX('Master List'!$F$2:$F$2594,O3644)</f>
        <v>3</v>
      </c>
      <c r="M3644" s="4" t="n">
        <f aca="false">INDEX('Master List'!$G$2:$G$2594,O3644)</f>
        <v>0</v>
      </c>
      <c r="N3644" s="4" t="str">
        <f aca="false">IF(K3644="","",A3644)</f>
        <v/>
      </c>
      <c r="O3644" s="4" t="n">
        <v>152</v>
      </c>
      <c r="P3644" s="4" t="n">
        <f aca="false">IF(A3644=A3643,P3643+1-M3643,0)</f>
        <v>4</v>
      </c>
    </row>
    <row r="3645" customFormat="false" ht="15" hidden="false" customHeight="false" outlineLevel="0" collapsed="false">
      <c r="A3645" s="33" t="s">
        <v>4419</v>
      </c>
      <c r="B3645" s="33" t="s">
        <v>56</v>
      </c>
      <c r="C3645" s="33" t="s">
        <v>123</v>
      </c>
      <c r="D3645" s="33" t="s">
        <v>4420</v>
      </c>
      <c r="E3645" s="4" t="n">
        <v>1</v>
      </c>
      <c r="F3645" s="4" t="s">
        <v>144</v>
      </c>
      <c r="G3645" s="7" t="s">
        <v>306</v>
      </c>
      <c r="H3645" s="4" t="n">
        <v>1946</v>
      </c>
      <c r="I3645" s="4" t="s">
        <v>176</v>
      </c>
      <c r="J3645" s="25" t="str">
        <f aca="false">IF(M3645=1,"✓","")</f>
        <v>✓</v>
      </c>
      <c r="K3645" s="4" t="str">
        <f aca="false">IF(AND(M3645=0,P3645=0),"▶ NEXT","")</f>
        <v/>
      </c>
      <c r="L3645" s="4" t="n">
        <f aca="false">INDEX('Master List'!$F$2:$F$2594,O3645)</f>
        <v>4</v>
      </c>
      <c r="M3645" s="4" t="n">
        <f aca="false">INDEX('Master List'!$G$2:$G$2594,O3645)</f>
        <v>1</v>
      </c>
      <c r="N3645" s="4" t="str">
        <f aca="false">IF(K3645="","",A3645)</f>
        <v/>
      </c>
      <c r="O3645" s="4" t="n">
        <v>1178</v>
      </c>
      <c r="P3645" s="4" t="n">
        <f aca="false">IF(A3645=A3644,P3644+1-M3644,0)</f>
        <v>0</v>
      </c>
    </row>
    <row r="3646" customFormat="false" ht="15" hidden="false" customHeight="false" outlineLevel="0" collapsed="false">
      <c r="A3646" s="33" t="s">
        <v>4419</v>
      </c>
      <c r="B3646" s="33" t="s">
        <v>56</v>
      </c>
      <c r="C3646" s="33" t="s">
        <v>123</v>
      </c>
      <c r="D3646" s="33" t="s">
        <v>4420</v>
      </c>
      <c r="E3646" s="4" t="n">
        <v>2</v>
      </c>
      <c r="F3646" s="4" t="s">
        <v>144</v>
      </c>
      <c r="G3646" s="7" t="s">
        <v>347</v>
      </c>
      <c r="H3646" s="4" t="n">
        <v>1940</v>
      </c>
      <c r="I3646" s="4" t="s">
        <v>348</v>
      </c>
      <c r="J3646" s="25" t="str">
        <f aca="false">IF(M3646=1,"✓","")</f>
        <v/>
      </c>
      <c r="K3646" s="4" t="str">
        <f aca="false">IF(AND(M3646=0,P3646=0),"▶ NEXT","")</f>
        <v>▶ NEXT</v>
      </c>
      <c r="L3646" s="4" t="n">
        <f aca="false">INDEX('Master List'!$F$2:$F$2594,O3646)</f>
        <v>4</v>
      </c>
      <c r="M3646" s="4" t="n">
        <f aca="false">INDEX('Master List'!$G$2:$G$2594,O3646)</f>
        <v>0</v>
      </c>
      <c r="N3646" s="4" t="str">
        <f aca="false">IF(K3646="","",A3646)</f>
        <v>N298</v>
      </c>
      <c r="O3646" s="4" t="n">
        <v>2055</v>
      </c>
      <c r="P3646" s="4" t="n">
        <f aca="false">IF(A3646=A3645,P3645+1-M3645,0)</f>
        <v>0</v>
      </c>
    </row>
    <row r="3647" customFormat="false" ht="15" hidden="false" customHeight="false" outlineLevel="0" collapsed="false">
      <c r="A3647" s="33" t="s">
        <v>4419</v>
      </c>
      <c r="B3647" s="33" t="s">
        <v>56</v>
      </c>
      <c r="C3647" s="33" t="s">
        <v>123</v>
      </c>
      <c r="D3647" s="33" t="s">
        <v>4420</v>
      </c>
      <c r="E3647" s="4" t="n">
        <v>3</v>
      </c>
      <c r="F3647" s="4" t="s">
        <v>213</v>
      </c>
      <c r="G3647" s="4" t="s">
        <v>569</v>
      </c>
      <c r="H3647" s="4" t="n">
        <v>1944</v>
      </c>
      <c r="I3647" s="4" t="s">
        <v>570</v>
      </c>
      <c r="J3647" s="25" t="str">
        <f aca="false">IF(M3647=1,"✓","")</f>
        <v/>
      </c>
      <c r="K3647" s="4" t="str">
        <f aca="false">IF(AND(M3647=0,P3647=0),"▶ NEXT","")</f>
        <v/>
      </c>
      <c r="L3647" s="4" t="n">
        <f aca="false">INDEX('Master List'!$F$2:$F$2594,O3647)</f>
        <v>3</v>
      </c>
      <c r="M3647" s="4" t="n">
        <f aca="false">INDEX('Master List'!$G$2:$G$2594,O3647)</f>
        <v>0</v>
      </c>
      <c r="N3647" s="4" t="str">
        <f aca="false">IF(K3647="","",A3647)</f>
        <v/>
      </c>
      <c r="O3647" s="4" t="n">
        <v>1473</v>
      </c>
      <c r="P3647" s="4" t="n">
        <f aca="false">IF(A3647=A3646,P3646+1-M3646,0)</f>
        <v>1</v>
      </c>
    </row>
    <row r="3648" customFormat="false" ht="15" hidden="false" customHeight="false" outlineLevel="0" collapsed="false">
      <c r="A3648" s="33" t="s">
        <v>4419</v>
      </c>
      <c r="B3648" s="33" t="s">
        <v>56</v>
      </c>
      <c r="C3648" s="33" t="s">
        <v>123</v>
      </c>
      <c r="D3648" s="33" t="s">
        <v>4420</v>
      </c>
      <c r="E3648" s="4" t="n">
        <v>4</v>
      </c>
      <c r="F3648" s="4" t="s">
        <v>213</v>
      </c>
      <c r="G3648" s="4" t="s">
        <v>1848</v>
      </c>
      <c r="H3648" s="4" t="n">
        <v>1947</v>
      </c>
      <c r="I3648" s="4" t="s">
        <v>1849</v>
      </c>
      <c r="J3648" s="25" t="str">
        <f aca="false">IF(M3648=1,"✓","")</f>
        <v/>
      </c>
      <c r="K3648" s="4" t="str">
        <f aca="false">IF(AND(M3648=0,P3648=0),"▶ NEXT","")</f>
        <v/>
      </c>
      <c r="L3648" s="4" t="n">
        <f aca="false">INDEX('Master List'!$F$2:$F$2594,O3648)</f>
        <v>1</v>
      </c>
      <c r="M3648" s="4" t="n">
        <f aca="false">INDEX('Master List'!$G$2:$G$2594,O3648)</f>
        <v>0</v>
      </c>
      <c r="N3648" s="4" t="str">
        <f aca="false">IF(K3648="","",A3648)</f>
        <v/>
      </c>
      <c r="O3648" s="4" t="n">
        <v>1511</v>
      </c>
      <c r="P3648" s="4" t="n">
        <f aca="false">IF(A3648=A3647,P3647+1-M3647,0)</f>
        <v>2</v>
      </c>
    </row>
    <row r="3649" customFormat="false" ht="15" hidden="false" customHeight="false" outlineLevel="0" collapsed="false">
      <c r="A3649" s="33" t="s">
        <v>4419</v>
      </c>
      <c r="B3649" s="33" t="s">
        <v>56</v>
      </c>
      <c r="C3649" s="33" t="s">
        <v>123</v>
      </c>
      <c r="D3649" s="33" t="s">
        <v>4420</v>
      </c>
      <c r="E3649" s="4" t="n">
        <v>5</v>
      </c>
      <c r="F3649" s="4" t="s">
        <v>213</v>
      </c>
      <c r="G3649" s="4" t="s">
        <v>199</v>
      </c>
      <c r="H3649" s="4" t="n">
        <v>1960</v>
      </c>
      <c r="I3649" s="4" t="s">
        <v>200</v>
      </c>
      <c r="J3649" s="25" t="str">
        <f aca="false">IF(M3649=1,"✓","")</f>
        <v/>
      </c>
      <c r="K3649" s="4" t="str">
        <f aca="false">IF(AND(M3649=0,P3649=0),"▶ NEXT","")</f>
        <v/>
      </c>
      <c r="L3649" s="4" t="n">
        <f aca="false">INDEX('Master List'!$F$2:$F$2594,O3649)</f>
        <v>7</v>
      </c>
      <c r="M3649" s="4" t="n">
        <f aca="false">INDEX('Master List'!$G$2:$G$2594,O3649)</f>
        <v>0</v>
      </c>
      <c r="N3649" s="4" t="str">
        <f aca="false">IF(K3649="","",A3649)</f>
        <v/>
      </c>
      <c r="O3649" s="4" t="n">
        <v>120</v>
      </c>
      <c r="P3649" s="4" t="n">
        <f aca="false">IF(A3649=A3648,P3648+1-M3648,0)</f>
        <v>3</v>
      </c>
    </row>
    <row r="3650" customFormat="false" ht="15" hidden="false" customHeight="false" outlineLevel="0" collapsed="false">
      <c r="A3650" s="33" t="s">
        <v>4419</v>
      </c>
      <c r="B3650" s="33" t="s">
        <v>56</v>
      </c>
      <c r="C3650" s="33" t="s">
        <v>123</v>
      </c>
      <c r="D3650" s="33" t="s">
        <v>4420</v>
      </c>
      <c r="E3650" s="4" t="n">
        <v>6</v>
      </c>
      <c r="F3650" s="4" t="s">
        <v>213</v>
      </c>
      <c r="G3650" s="4" t="s">
        <v>545</v>
      </c>
      <c r="H3650" s="4" t="n">
        <v>1974</v>
      </c>
      <c r="I3650" s="4" t="s">
        <v>546</v>
      </c>
      <c r="J3650" s="25" t="str">
        <f aca="false">IF(M3650=1,"✓","")</f>
        <v/>
      </c>
      <c r="K3650" s="4" t="str">
        <f aca="false">IF(AND(M3650=0,P3650=0),"▶ NEXT","")</f>
        <v/>
      </c>
      <c r="L3650" s="4" t="n">
        <f aca="false">INDEX('Master List'!$F$2:$F$2594,O3650)</f>
        <v>3</v>
      </c>
      <c r="M3650" s="4" t="n">
        <f aca="false">INDEX('Master List'!$G$2:$G$2594,O3650)</f>
        <v>0</v>
      </c>
      <c r="N3650" s="4" t="str">
        <f aca="false">IF(K3650="","",A3650)</f>
        <v/>
      </c>
      <c r="O3650" s="4" t="n">
        <v>265</v>
      </c>
      <c r="P3650" s="4" t="n">
        <f aca="false">IF(A3650=A3649,P3649+1-M3649,0)</f>
        <v>4</v>
      </c>
    </row>
    <row r="3651" customFormat="false" ht="15" hidden="false" customHeight="false" outlineLevel="0" collapsed="false">
      <c r="A3651" s="33" t="s">
        <v>4419</v>
      </c>
      <c r="B3651" s="33" t="s">
        <v>56</v>
      </c>
      <c r="C3651" s="33" t="s">
        <v>123</v>
      </c>
      <c r="D3651" s="33" t="s">
        <v>4420</v>
      </c>
      <c r="E3651" s="4" t="n">
        <v>7</v>
      </c>
      <c r="F3651" s="4" t="s">
        <v>213</v>
      </c>
      <c r="G3651" s="4" t="s">
        <v>2397</v>
      </c>
      <c r="H3651" s="4" t="n">
        <v>1983</v>
      </c>
      <c r="I3651" s="4" t="s">
        <v>546</v>
      </c>
      <c r="J3651" s="25" t="str">
        <f aca="false">IF(M3651=1,"✓","")</f>
        <v>✓</v>
      </c>
      <c r="K3651" s="4" t="str">
        <f aca="false">IF(AND(M3651=0,P3651=0),"▶ NEXT","")</f>
        <v/>
      </c>
      <c r="L3651" s="4" t="n">
        <f aca="false">INDEX('Master List'!$F$2:$F$2594,O3651)</f>
        <v>1</v>
      </c>
      <c r="M3651" s="4" t="n">
        <f aca="false">INDEX('Master List'!$G$2:$G$2594,O3651)</f>
        <v>1</v>
      </c>
      <c r="N3651" s="4" t="str">
        <f aca="false">IF(K3651="","",A3651)</f>
        <v/>
      </c>
      <c r="O3651" s="4" t="n">
        <v>455</v>
      </c>
      <c r="P3651" s="4" t="n">
        <f aca="false">IF(A3651=A3650,P3650+1-M3650,0)</f>
        <v>5</v>
      </c>
    </row>
    <row r="3652" customFormat="false" ht="15" hidden="false" customHeight="false" outlineLevel="0" collapsed="false">
      <c r="A3652" s="33" t="s">
        <v>4419</v>
      </c>
      <c r="B3652" s="33" t="s">
        <v>56</v>
      </c>
      <c r="C3652" s="33" t="s">
        <v>123</v>
      </c>
      <c r="D3652" s="33" t="s">
        <v>4420</v>
      </c>
      <c r="E3652" s="4" t="n">
        <v>8</v>
      </c>
      <c r="F3652" s="4" t="s">
        <v>213</v>
      </c>
      <c r="G3652" s="4" t="s">
        <v>711</v>
      </c>
      <c r="H3652" s="4" t="n">
        <v>1982</v>
      </c>
      <c r="I3652" s="4" t="s">
        <v>170</v>
      </c>
      <c r="J3652" s="25" t="str">
        <f aca="false">IF(M3652=1,"✓","")</f>
        <v/>
      </c>
      <c r="K3652" s="4" t="str">
        <f aca="false">IF(AND(M3652=0,P3652=0),"▶ NEXT","")</f>
        <v/>
      </c>
      <c r="L3652" s="4" t="n">
        <f aca="false">INDEX('Master List'!$F$2:$F$2594,O3652)</f>
        <v>3</v>
      </c>
      <c r="M3652" s="4" t="n">
        <f aca="false">INDEX('Master List'!$G$2:$G$2594,O3652)</f>
        <v>0</v>
      </c>
      <c r="N3652" s="4" t="str">
        <f aca="false">IF(K3652="","",A3652)</f>
        <v/>
      </c>
      <c r="O3652" s="4" t="n">
        <v>780</v>
      </c>
      <c r="P3652" s="4" t="n">
        <f aca="false">IF(A3652=A3651,P3651+1-M3651,0)</f>
        <v>5</v>
      </c>
    </row>
    <row r="3653" customFormat="false" ht="15" hidden="false" customHeight="false" outlineLevel="0" collapsed="false">
      <c r="A3653" s="33" t="s">
        <v>4419</v>
      </c>
      <c r="B3653" s="33" t="s">
        <v>56</v>
      </c>
      <c r="C3653" s="33" t="s">
        <v>123</v>
      </c>
      <c r="D3653" s="33" t="s">
        <v>4420</v>
      </c>
      <c r="E3653" s="4" t="n">
        <v>9</v>
      </c>
      <c r="F3653" s="4" t="s">
        <v>213</v>
      </c>
      <c r="G3653" s="4" t="s">
        <v>2408</v>
      </c>
      <c r="H3653" s="4" t="n">
        <v>1984</v>
      </c>
      <c r="I3653" s="4" t="s">
        <v>2409</v>
      </c>
      <c r="J3653" s="25" t="str">
        <f aca="false">IF(M3653=1,"✓","")</f>
        <v>✓</v>
      </c>
      <c r="K3653" s="4" t="str">
        <f aca="false">IF(AND(M3653=0,P3653=0),"▶ NEXT","")</f>
        <v/>
      </c>
      <c r="L3653" s="4" t="n">
        <f aca="false">INDEX('Master List'!$F$2:$F$2594,O3653)</f>
        <v>1</v>
      </c>
      <c r="M3653" s="4" t="n">
        <f aca="false">INDEX('Master List'!$G$2:$G$2594,O3653)</f>
        <v>1</v>
      </c>
      <c r="N3653" s="4" t="str">
        <f aca="false">IF(K3653="","",A3653)</f>
        <v/>
      </c>
      <c r="O3653" s="4" t="n">
        <v>963</v>
      </c>
      <c r="P3653" s="4" t="n">
        <f aca="false">IF(A3653=A3652,P3652+1-M3652,0)</f>
        <v>6</v>
      </c>
    </row>
    <row r="3654" customFormat="false" ht="15" hidden="false" customHeight="false" outlineLevel="0" collapsed="false">
      <c r="A3654" s="33" t="s">
        <v>4419</v>
      </c>
      <c r="B3654" s="33" t="s">
        <v>56</v>
      </c>
      <c r="C3654" s="33" t="s">
        <v>123</v>
      </c>
      <c r="D3654" s="33" t="s">
        <v>4420</v>
      </c>
      <c r="E3654" s="4" t="n">
        <v>10</v>
      </c>
      <c r="F3654" s="4" t="s">
        <v>213</v>
      </c>
      <c r="G3654" s="4" t="s">
        <v>368</v>
      </c>
      <c r="H3654" s="4" t="n">
        <v>1988</v>
      </c>
      <c r="I3654" s="4" t="s">
        <v>369</v>
      </c>
      <c r="J3654" s="25" t="str">
        <f aca="false">IF(M3654=1,"✓","")</f>
        <v/>
      </c>
      <c r="K3654" s="4" t="str">
        <f aca="false">IF(AND(M3654=0,P3654=0),"▶ NEXT","")</f>
        <v/>
      </c>
      <c r="L3654" s="4" t="n">
        <f aca="false">INDEX('Master List'!$F$2:$F$2594,O3654)</f>
        <v>4</v>
      </c>
      <c r="M3654" s="4" t="n">
        <f aca="false">INDEX('Master List'!$G$2:$G$2594,O3654)</f>
        <v>0</v>
      </c>
      <c r="N3654" s="4" t="str">
        <f aca="false">IF(K3654="","",A3654)</f>
        <v/>
      </c>
      <c r="O3654" s="4" t="n">
        <v>992</v>
      </c>
      <c r="P3654" s="4" t="n">
        <f aca="false">IF(A3654=A3653,P3653+1-M3653,0)</f>
        <v>6</v>
      </c>
    </row>
    <row r="3655" customFormat="false" ht="15" hidden="false" customHeight="false" outlineLevel="0" collapsed="false">
      <c r="A3655" s="33" t="s">
        <v>4419</v>
      </c>
      <c r="B3655" s="33" t="s">
        <v>56</v>
      </c>
      <c r="C3655" s="33" t="s">
        <v>123</v>
      </c>
      <c r="D3655" s="33" t="s">
        <v>4420</v>
      </c>
      <c r="E3655" s="4" t="n">
        <v>11</v>
      </c>
      <c r="F3655" s="4" t="s">
        <v>213</v>
      </c>
      <c r="G3655" s="4" t="s">
        <v>2516</v>
      </c>
      <c r="H3655" s="4" t="n">
        <v>1990</v>
      </c>
      <c r="I3655" s="4" t="s">
        <v>2517</v>
      </c>
      <c r="J3655" s="25" t="str">
        <f aca="false">IF(M3655=1,"✓","")</f>
        <v>✓</v>
      </c>
      <c r="K3655" s="4" t="str">
        <f aca="false">IF(AND(M3655=0,P3655=0),"▶ NEXT","")</f>
        <v/>
      </c>
      <c r="L3655" s="4" t="n">
        <f aca="false">INDEX('Master List'!$F$2:$F$2594,O3655)</f>
        <v>1</v>
      </c>
      <c r="M3655" s="4" t="n">
        <f aca="false">INDEX('Master List'!$G$2:$G$2594,O3655)</f>
        <v>1</v>
      </c>
      <c r="N3655" s="4" t="str">
        <f aca="false">IF(K3655="","",A3655)</f>
        <v/>
      </c>
      <c r="O3655" s="4" t="n">
        <v>1057</v>
      </c>
      <c r="P3655" s="4" t="n">
        <f aca="false">IF(A3655=A3654,P3654+1-M3654,0)</f>
        <v>7</v>
      </c>
    </row>
    <row r="3656" customFormat="false" ht="15" hidden="false" customHeight="false" outlineLevel="0" collapsed="false">
      <c r="A3656" s="33" t="s">
        <v>4419</v>
      </c>
      <c r="B3656" s="33" t="s">
        <v>56</v>
      </c>
      <c r="C3656" s="33" t="s">
        <v>123</v>
      </c>
      <c r="D3656" s="33" t="s">
        <v>4420</v>
      </c>
      <c r="E3656" s="4" t="n">
        <v>12</v>
      </c>
      <c r="F3656" s="4" t="s">
        <v>213</v>
      </c>
      <c r="G3656" s="4" t="s">
        <v>629</v>
      </c>
      <c r="H3656" s="4" t="n">
        <v>1999</v>
      </c>
      <c r="I3656" s="4" t="s">
        <v>187</v>
      </c>
      <c r="J3656" s="25" t="str">
        <f aca="false">IF(M3656=1,"✓","")</f>
        <v>✓</v>
      </c>
      <c r="K3656" s="4" t="str">
        <f aca="false">IF(AND(M3656=0,P3656=0),"▶ NEXT","")</f>
        <v/>
      </c>
      <c r="L3656" s="4" t="n">
        <f aca="false">INDEX('Master List'!$F$2:$F$2594,O3656)</f>
        <v>3</v>
      </c>
      <c r="M3656" s="4" t="n">
        <f aca="false">INDEX('Master List'!$G$2:$G$2594,O3656)</f>
        <v>1</v>
      </c>
      <c r="N3656" s="4" t="str">
        <f aca="false">IF(K3656="","",A3656)</f>
        <v/>
      </c>
      <c r="O3656" s="4" t="n">
        <v>767</v>
      </c>
      <c r="P3656" s="4" t="n">
        <f aca="false">IF(A3656=A3655,P3655+1-M3655,0)</f>
        <v>7</v>
      </c>
    </row>
    <row r="3657" customFormat="false" ht="15" hidden="false" customHeight="false" outlineLevel="0" collapsed="false">
      <c r="A3657" s="33" t="s">
        <v>4419</v>
      </c>
      <c r="B3657" s="33" t="s">
        <v>56</v>
      </c>
      <c r="C3657" s="33" t="s">
        <v>123</v>
      </c>
      <c r="D3657" s="33" t="s">
        <v>4420</v>
      </c>
      <c r="E3657" s="4" t="n">
        <v>13</v>
      </c>
      <c r="F3657" s="4" t="s">
        <v>213</v>
      </c>
      <c r="G3657" s="4" t="s">
        <v>634</v>
      </c>
      <c r="H3657" s="4" t="n">
        <v>2003</v>
      </c>
      <c r="I3657" s="4" t="s">
        <v>635</v>
      </c>
      <c r="J3657" s="25" t="str">
        <f aca="false">IF(M3657=1,"✓","")</f>
        <v/>
      </c>
      <c r="K3657" s="4" t="str">
        <f aca="false">IF(AND(M3657=0,P3657=0),"▶ NEXT","")</f>
        <v/>
      </c>
      <c r="L3657" s="4" t="n">
        <f aca="false">INDEX('Master List'!$F$2:$F$2594,O3657)</f>
        <v>3</v>
      </c>
      <c r="M3657" s="4" t="n">
        <f aca="false">INDEX('Master List'!$G$2:$G$2594,O3657)</f>
        <v>0</v>
      </c>
      <c r="N3657" s="4" t="str">
        <f aca="false">IF(K3657="","",A3657)</f>
        <v/>
      </c>
      <c r="O3657" s="4" t="n">
        <v>2326</v>
      </c>
      <c r="P3657" s="4" t="n">
        <f aca="false">IF(A3657=A3656,P3656+1-M3656,0)</f>
        <v>7</v>
      </c>
    </row>
    <row r="3658" customFormat="false" ht="15" hidden="false" customHeight="false" outlineLevel="0" collapsed="false">
      <c r="A3658" s="33" t="s">
        <v>4419</v>
      </c>
      <c r="B3658" s="33" t="s">
        <v>56</v>
      </c>
      <c r="C3658" s="33" t="s">
        <v>123</v>
      </c>
      <c r="D3658" s="33" t="s">
        <v>4420</v>
      </c>
      <c r="E3658" s="4" t="n">
        <v>14</v>
      </c>
      <c r="F3658" s="4" t="s">
        <v>213</v>
      </c>
      <c r="G3658" s="4" t="s">
        <v>3186</v>
      </c>
      <c r="H3658" s="4" t="n">
        <v>2019</v>
      </c>
      <c r="I3658" s="4" t="s">
        <v>3187</v>
      </c>
      <c r="J3658" s="25" t="str">
        <f aca="false">IF(M3658=1,"✓","")</f>
        <v>✓</v>
      </c>
      <c r="K3658" s="4" t="str">
        <f aca="false">IF(AND(M3658=0,P3658=0),"▶ NEXT","")</f>
        <v/>
      </c>
      <c r="L3658" s="4" t="n">
        <f aca="false">INDEX('Master List'!$F$2:$F$2594,O3658)</f>
        <v>1</v>
      </c>
      <c r="M3658" s="4" t="n">
        <f aca="false">INDEX('Master List'!$G$2:$G$2594,O3658)</f>
        <v>1</v>
      </c>
      <c r="N3658" s="4" t="str">
        <f aca="false">IF(K3658="","",A3658)</f>
        <v/>
      </c>
      <c r="O3658" s="4" t="n">
        <v>1265</v>
      </c>
      <c r="P3658" s="4" t="n">
        <f aca="false">IF(A3658=A3657,P3657+1-M3657,0)</f>
        <v>8</v>
      </c>
    </row>
    <row r="3659" customFormat="false" ht="15" hidden="false" customHeight="false" outlineLevel="0" collapsed="false">
      <c r="A3659" s="33" t="s">
        <v>4419</v>
      </c>
      <c r="B3659" s="33" t="s">
        <v>56</v>
      </c>
      <c r="C3659" s="33" t="s">
        <v>123</v>
      </c>
      <c r="D3659" s="33" t="s">
        <v>4420</v>
      </c>
      <c r="E3659" s="4" t="n">
        <v>15</v>
      </c>
      <c r="F3659" s="4" t="s">
        <v>1327</v>
      </c>
      <c r="G3659" s="4" t="s">
        <v>3335</v>
      </c>
      <c r="H3659" s="4" t="n">
        <v>1940</v>
      </c>
      <c r="I3659" s="4" t="s">
        <v>3325</v>
      </c>
      <c r="J3659" s="25" t="str">
        <f aca="false">IF(M3659=1,"✓","")</f>
        <v/>
      </c>
      <c r="K3659" s="4" t="str">
        <f aca="false">IF(AND(M3659=0,P3659=0),"▶ NEXT","")</f>
        <v/>
      </c>
      <c r="L3659" s="4" t="n">
        <f aca="false">INDEX('Master List'!$F$2:$F$2594,O3659)</f>
        <v>1</v>
      </c>
      <c r="M3659" s="4" t="n">
        <f aca="false">INDEX('Master List'!$G$2:$G$2594,O3659)</f>
        <v>0</v>
      </c>
      <c r="N3659" s="4" t="str">
        <f aca="false">IF(K3659="","",A3659)</f>
        <v/>
      </c>
      <c r="O3659" s="4" t="n">
        <v>1883</v>
      </c>
      <c r="P3659" s="4" t="n">
        <f aca="false">IF(A3659=A3658,P3658+1-M3658,0)</f>
        <v>8</v>
      </c>
    </row>
    <row r="3660" customFormat="false" ht="15" hidden="false" customHeight="false" outlineLevel="0" collapsed="false">
      <c r="A3660" s="33" t="s">
        <v>4419</v>
      </c>
      <c r="B3660" s="33" t="s">
        <v>56</v>
      </c>
      <c r="C3660" s="33" t="s">
        <v>123</v>
      </c>
      <c r="D3660" s="33" t="s">
        <v>4420</v>
      </c>
      <c r="E3660" s="4" t="n">
        <v>16</v>
      </c>
      <c r="F3660" s="4" t="s">
        <v>1327</v>
      </c>
      <c r="G3660" s="4" t="s">
        <v>717</v>
      </c>
      <c r="H3660" s="4" t="n">
        <v>2015</v>
      </c>
      <c r="I3660" s="4" t="s">
        <v>718</v>
      </c>
      <c r="J3660" s="25" t="str">
        <f aca="false">IF(M3660=1,"✓","")</f>
        <v/>
      </c>
      <c r="K3660" s="4" t="str">
        <f aca="false">IF(AND(M3660=0,P3660=0),"▶ NEXT","")</f>
        <v/>
      </c>
      <c r="L3660" s="4" t="n">
        <f aca="false">INDEX('Master List'!$F$2:$F$2594,O3660)</f>
        <v>3</v>
      </c>
      <c r="M3660" s="4" t="n">
        <f aca="false">INDEX('Master List'!$G$2:$G$2594,O3660)</f>
        <v>0</v>
      </c>
      <c r="N3660" s="4" t="str">
        <f aca="false">IF(K3660="","",A3660)</f>
        <v/>
      </c>
      <c r="O3660" s="4" t="n">
        <v>401</v>
      </c>
      <c r="P3660" s="4" t="n">
        <f aca="false">IF(A3660=A3659,P3659+1-M3659,0)</f>
        <v>9</v>
      </c>
    </row>
    <row r="3661" customFormat="false" ht="15" hidden="false" customHeight="false" outlineLevel="0" collapsed="false">
      <c r="A3661" s="33" t="s">
        <v>4421</v>
      </c>
      <c r="B3661" s="33" t="s">
        <v>56</v>
      </c>
      <c r="C3661" s="33" t="s">
        <v>123</v>
      </c>
      <c r="D3661" s="33" t="s">
        <v>4422</v>
      </c>
      <c r="E3661" s="4" t="n">
        <v>1</v>
      </c>
      <c r="F3661" s="4" t="s">
        <v>144</v>
      </c>
      <c r="G3661" s="7" t="s">
        <v>427</v>
      </c>
      <c r="H3661" s="4" t="n">
        <v>1996</v>
      </c>
      <c r="I3661" s="4" t="s">
        <v>397</v>
      </c>
      <c r="J3661" s="25" t="str">
        <f aca="false">IF(M3661=1,"✓","")</f>
        <v>✓</v>
      </c>
      <c r="K3661" s="4" t="str">
        <f aca="false">IF(AND(M3661=0,P3661=0),"▶ NEXT","")</f>
        <v/>
      </c>
      <c r="L3661" s="4" t="n">
        <f aca="false">INDEX('Master List'!$F$2:$F$2594,O3661)</f>
        <v>3</v>
      </c>
      <c r="M3661" s="4" t="n">
        <f aca="false">INDEX('Master List'!$G$2:$G$2594,O3661)</f>
        <v>1</v>
      </c>
      <c r="N3661" s="4" t="str">
        <f aca="false">IF(K3661="","",A3661)</f>
        <v/>
      </c>
      <c r="O3661" s="4" t="n">
        <v>787</v>
      </c>
      <c r="P3661" s="4" t="n">
        <f aca="false">IF(A3661=A3660,P3660+1-M3660,0)</f>
        <v>0</v>
      </c>
    </row>
    <row r="3662" customFormat="false" ht="15" hidden="false" customHeight="false" outlineLevel="0" collapsed="false">
      <c r="A3662" s="33" t="s">
        <v>4421</v>
      </c>
      <c r="B3662" s="33" t="s">
        <v>56</v>
      </c>
      <c r="C3662" s="33" t="s">
        <v>123</v>
      </c>
      <c r="D3662" s="33" t="s">
        <v>4422</v>
      </c>
      <c r="E3662" s="4" t="n">
        <v>2</v>
      </c>
      <c r="F3662" s="4" t="s">
        <v>144</v>
      </c>
      <c r="G3662" s="7" t="s">
        <v>265</v>
      </c>
      <c r="H3662" s="4" t="n">
        <v>1982</v>
      </c>
      <c r="I3662" s="4" t="s">
        <v>266</v>
      </c>
      <c r="J3662" s="25" t="str">
        <f aca="false">IF(M3662=1,"✓","")</f>
        <v>✓</v>
      </c>
      <c r="K3662" s="4" t="str">
        <f aca="false">IF(AND(M3662=0,P3662=0),"▶ NEXT","")</f>
        <v/>
      </c>
      <c r="L3662" s="4" t="n">
        <f aca="false">INDEX('Master List'!$F$2:$F$2594,O3662)</f>
        <v>4</v>
      </c>
      <c r="M3662" s="4" t="n">
        <f aca="false">INDEX('Master List'!$G$2:$G$2594,O3662)</f>
        <v>1</v>
      </c>
      <c r="N3662" s="4" t="str">
        <f aca="false">IF(K3662="","",A3662)</f>
        <v/>
      </c>
      <c r="O3662" s="4" t="n">
        <v>2278</v>
      </c>
      <c r="P3662" s="4" t="n">
        <f aca="false">IF(A3662=A3661,P3661+1-M3661,0)</f>
        <v>0</v>
      </c>
    </row>
    <row r="3663" customFormat="false" ht="15" hidden="false" customHeight="false" outlineLevel="0" collapsed="false">
      <c r="A3663" s="33" t="s">
        <v>4421</v>
      </c>
      <c r="B3663" s="33" t="s">
        <v>56</v>
      </c>
      <c r="C3663" s="33" t="s">
        <v>123</v>
      </c>
      <c r="D3663" s="33" t="s">
        <v>4422</v>
      </c>
      <c r="E3663" s="4" t="n">
        <v>3</v>
      </c>
      <c r="F3663" s="4" t="s">
        <v>213</v>
      </c>
      <c r="G3663" s="4" t="s">
        <v>387</v>
      </c>
      <c r="H3663" s="4" t="n">
        <v>1971</v>
      </c>
      <c r="I3663" s="4" t="s">
        <v>197</v>
      </c>
      <c r="J3663" s="25" t="str">
        <f aca="false">IF(M3663=1,"✓","")</f>
        <v/>
      </c>
      <c r="K3663" s="4" t="str">
        <f aca="false">IF(AND(M3663=0,P3663=0),"▶ NEXT","")</f>
        <v>▶ NEXT</v>
      </c>
      <c r="L3663" s="4" t="n">
        <f aca="false">INDEX('Master List'!$F$2:$F$2594,O3663)</f>
        <v>4</v>
      </c>
      <c r="M3663" s="4" t="n">
        <f aca="false">INDEX('Master List'!$G$2:$G$2594,O3663)</f>
        <v>0</v>
      </c>
      <c r="N3663" s="4" t="str">
        <f aca="false">IF(K3663="","",A3663)</f>
        <v>N299</v>
      </c>
      <c r="O3663" s="4" t="n">
        <v>1467</v>
      </c>
      <c r="P3663" s="4" t="n">
        <f aca="false">IF(A3663=A3662,P3662+1-M3662,0)</f>
        <v>0</v>
      </c>
    </row>
    <row r="3664" customFormat="false" ht="15" hidden="false" customHeight="false" outlineLevel="0" collapsed="false">
      <c r="A3664" s="33" t="s">
        <v>4421</v>
      </c>
      <c r="B3664" s="33" t="s">
        <v>56</v>
      </c>
      <c r="C3664" s="33" t="s">
        <v>123</v>
      </c>
      <c r="D3664" s="33" t="s">
        <v>4422</v>
      </c>
      <c r="E3664" s="4" t="n">
        <v>4</v>
      </c>
      <c r="F3664" s="4" t="s">
        <v>213</v>
      </c>
      <c r="G3664" s="4" t="s">
        <v>667</v>
      </c>
      <c r="H3664" s="4" t="n">
        <v>1968</v>
      </c>
      <c r="I3664" s="4" t="s">
        <v>668</v>
      </c>
      <c r="J3664" s="25" t="str">
        <f aca="false">IF(M3664=1,"✓","")</f>
        <v/>
      </c>
      <c r="K3664" s="4" t="str">
        <f aca="false">IF(AND(M3664=0,P3664=0),"▶ NEXT","")</f>
        <v/>
      </c>
      <c r="L3664" s="4" t="n">
        <f aca="false">INDEX('Master List'!$F$2:$F$2594,O3664)</f>
        <v>3</v>
      </c>
      <c r="M3664" s="4" t="n">
        <f aca="false">INDEX('Master List'!$G$2:$G$2594,O3664)</f>
        <v>0</v>
      </c>
      <c r="N3664" s="4" t="str">
        <f aca="false">IF(K3664="","",A3664)</f>
        <v/>
      </c>
      <c r="O3664" s="4" t="n">
        <v>956</v>
      </c>
      <c r="P3664" s="4" t="n">
        <f aca="false">IF(A3664=A3663,P3663+1-M3663,0)</f>
        <v>1</v>
      </c>
    </row>
    <row r="3665" customFormat="false" ht="15" hidden="false" customHeight="false" outlineLevel="0" collapsed="false">
      <c r="A3665" s="33" t="s">
        <v>4421</v>
      </c>
      <c r="B3665" s="33" t="s">
        <v>56</v>
      </c>
      <c r="C3665" s="33" t="s">
        <v>123</v>
      </c>
      <c r="D3665" s="33" t="s">
        <v>4422</v>
      </c>
      <c r="E3665" s="4" t="n">
        <v>5</v>
      </c>
      <c r="F3665" s="4" t="s">
        <v>213</v>
      </c>
      <c r="G3665" s="4" t="s">
        <v>313</v>
      </c>
      <c r="H3665" s="4" t="n">
        <v>1980</v>
      </c>
      <c r="I3665" s="4" t="s">
        <v>187</v>
      </c>
      <c r="J3665" s="25" t="str">
        <f aca="false">IF(M3665=1,"✓","")</f>
        <v>✓</v>
      </c>
      <c r="K3665" s="4" t="str">
        <f aca="false">IF(AND(M3665=0,P3665=0),"▶ NEXT","")</f>
        <v/>
      </c>
      <c r="L3665" s="4" t="n">
        <f aca="false">INDEX('Master List'!$F$2:$F$2594,O3665)</f>
        <v>4</v>
      </c>
      <c r="M3665" s="4" t="n">
        <f aca="false">INDEX('Master List'!$G$2:$G$2594,O3665)</f>
        <v>1</v>
      </c>
      <c r="N3665" s="4" t="str">
        <f aca="false">IF(K3665="","",A3665)</f>
        <v/>
      </c>
      <c r="O3665" s="4" t="n">
        <v>2046</v>
      </c>
      <c r="P3665" s="4" t="n">
        <f aca="false">IF(A3665=A3664,P3664+1-M3664,0)</f>
        <v>2</v>
      </c>
    </row>
    <row r="3666" customFormat="false" ht="15" hidden="false" customHeight="false" outlineLevel="0" collapsed="false">
      <c r="A3666" s="33" t="s">
        <v>4421</v>
      </c>
      <c r="B3666" s="33" t="s">
        <v>56</v>
      </c>
      <c r="C3666" s="33" t="s">
        <v>123</v>
      </c>
      <c r="D3666" s="33" t="s">
        <v>4422</v>
      </c>
      <c r="E3666" s="4" t="n">
        <v>6</v>
      </c>
      <c r="F3666" s="4" t="s">
        <v>213</v>
      </c>
      <c r="G3666" s="4" t="s">
        <v>2693</v>
      </c>
      <c r="H3666" s="4" t="n">
        <v>1998</v>
      </c>
      <c r="I3666" s="4" t="s">
        <v>1527</v>
      </c>
      <c r="J3666" s="25" t="str">
        <f aca="false">IF(M3666=1,"✓","")</f>
        <v/>
      </c>
      <c r="K3666" s="4" t="str">
        <f aca="false">IF(AND(M3666=0,P3666=0),"▶ NEXT","")</f>
        <v/>
      </c>
      <c r="L3666" s="4" t="n">
        <f aca="false">INDEX('Master List'!$F$2:$F$2594,O3666)</f>
        <v>1</v>
      </c>
      <c r="M3666" s="4" t="n">
        <f aca="false">INDEX('Master List'!$G$2:$G$2594,O3666)</f>
        <v>0</v>
      </c>
      <c r="N3666" s="4" t="str">
        <f aca="false">IF(K3666="","",A3666)</f>
        <v/>
      </c>
      <c r="O3666" s="4" t="n">
        <v>2077</v>
      </c>
      <c r="P3666" s="4" t="n">
        <f aca="false">IF(A3666=A3665,P3665+1-M3665,0)</f>
        <v>2</v>
      </c>
    </row>
    <row r="3667" customFormat="false" ht="15" hidden="false" customHeight="false" outlineLevel="0" collapsed="false">
      <c r="A3667" s="33" t="s">
        <v>4421</v>
      </c>
      <c r="B3667" s="33" t="s">
        <v>56</v>
      </c>
      <c r="C3667" s="33" t="s">
        <v>123</v>
      </c>
      <c r="D3667" s="33" t="s">
        <v>4422</v>
      </c>
      <c r="E3667" s="4" t="n">
        <v>7</v>
      </c>
      <c r="F3667" s="4" t="s">
        <v>213</v>
      </c>
      <c r="G3667" s="4" t="s">
        <v>2920</v>
      </c>
      <c r="H3667" s="4" t="n">
        <v>2008</v>
      </c>
      <c r="I3667" s="4" t="s">
        <v>1611</v>
      </c>
      <c r="J3667" s="25" t="str">
        <f aca="false">IF(M3667=1,"✓","")</f>
        <v/>
      </c>
      <c r="K3667" s="4" t="str">
        <f aca="false">IF(AND(M3667=0,P3667=0),"▶ NEXT","")</f>
        <v/>
      </c>
      <c r="L3667" s="4" t="n">
        <f aca="false">INDEX('Master List'!$F$2:$F$2594,O3667)</f>
        <v>1</v>
      </c>
      <c r="M3667" s="4" t="n">
        <f aca="false">INDEX('Master List'!$G$2:$G$2594,O3667)</f>
        <v>0</v>
      </c>
      <c r="N3667" s="4" t="str">
        <f aca="false">IF(K3667="","",A3667)</f>
        <v/>
      </c>
      <c r="O3667" s="4" t="n">
        <v>1324</v>
      </c>
      <c r="P3667" s="4" t="n">
        <f aca="false">IF(A3667=A3666,P3666+1-M3666,0)</f>
        <v>3</v>
      </c>
    </row>
    <row r="3668" customFormat="false" ht="15" hidden="false" customHeight="false" outlineLevel="0" collapsed="false">
      <c r="A3668" s="33" t="s">
        <v>4421</v>
      </c>
      <c r="B3668" s="33" t="s">
        <v>56</v>
      </c>
      <c r="C3668" s="33" t="s">
        <v>123</v>
      </c>
      <c r="D3668" s="33" t="s">
        <v>4422</v>
      </c>
      <c r="E3668" s="4" t="n">
        <v>8</v>
      </c>
      <c r="F3668" s="4" t="s">
        <v>213</v>
      </c>
      <c r="G3668" s="4" t="s">
        <v>1232</v>
      </c>
      <c r="H3668" s="4" t="n">
        <v>2017</v>
      </c>
      <c r="I3668" s="4" t="s">
        <v>1233</v>
      </c>
      <c r="J3668" s="25" t="str">
        <f aca="false">IF(M3668=1,"✓","")</f>
        <v/>
      </c>
      <c r="K3668" s="4" t="str">
        <f aca="false">IF(AND(M3668=0,P3668=0),"▶ NEXT","")</f>
        <v/>
      </c>
      <c r="L3668" s="4" t="n">
        <f aca="false">INDEX('Master List'!$F$2:$F$2594,O3668)</f>
        <v>2</v>
      </c>
      <c r="M3668" s="4" t="n">
        <f aca="false">INDEX('Master List'!$G$2:$G$2594,O3668)</f>
        <v>0</v>
      </c>
      <c r="N3668" s="4" t="str">
        <f aca="false">IF(K3668="","",A3668)</f>
        <v/>
      </c>
      <c r="O3668" s="4" t="n">
        <v>2522</v>
      </c>
      <c r="P3668" s="4" t="n">
        <f aca="false">IF(A3668=A3667,P3667+1-M3667,0)</f>
        <v>4</v>
      </c>
    </row>
    <row r="3669" customFormat="false" ht="15" hidden="false" customHeight="false" outlineLevel="0" collapsed="false">
      <c r="A3669" s="33" t="s">
        <v>4421</v>
      </c>
      <c r="B3669" s="33" t="s">
        <v>56</v>
      </c>
      <c r="C3669" s="33" t="s">
        <v>123</v>
      </c>
      <c r="D3669" s="33" t="s">
        <v>4422</v>
      </c>
      <c r="E3669" s="4" t="n">
        <v>9</v>
      </c>
      <c r="F3669" s="4" t="s">
        <v>213</v>
      </c>
      <c r="G3669" s="4" t="s">
        <v>1226</v>
      </c>
      <c r="H3669" s="4" t="n">
        <v>2015</v>
      </c>
      <c r="I3669" s="4" t="s">
        <v>208</v>
      </c>
      <c r="J3669" s="25" t="str">
        <f aca="false">IF(M3669=1,"✓","")</f>
        <v>✓</v>
      </c>
      <c r="K3669" s="4" t="str">
        <f aca="false">IF(AND(M3669=0,P3669=0),"▶ NEXT","")</f>
        <v/>
      </c>
      <c r="L3669" s="4" t="n">
        <f aca="false">INDEX('Master List'!$F$2:$F$2594,O3669)</f>
        <v>2</v>
      </c>
      <c r="M3669" s="4" t="n">
        <f aca="false">INDEX('Master List'!$G$2:$G$2594,O3669)</f>
        <v>1</v>
      </c>
      <c r="N3669" s="4" t="str">
        <f aca="false">IF(K3669="","",A3669)</f>
        <v/>
      </c>
      <c r="O3669" s="4" t="n">
        <v>1001</v>
      </c>
      <c r="P3669" s="4" t="n">
        <f aca="false">IF(A3669=A3668,P3668+1-M3668,0)</f>
        <v>5</v>
      </c>
    </row>
    <row r="3670" customFormat="false" ht="15" hidden="false" customHeight="false" outlineLevel="0" collapsed="false">
      <c r="A3670" s="33" t="s">
        <v>4421</v>
      </c>
      <c r="B3670" s="33" t="s">
        <v>56</v>
      </c>
      <c r="C3670" s="33" t="s">
        <v>123</v>
      </c>
      <c r="D3670" s="33" t="s">
        <v>4422</v>
      </c>
      <c r="E3670" s="4" t="n">
        <v>10</v>
      </c>
      <c r="F3670" s="4" t="s">
        <v>213</v>
      </c>
      <c r="G3670" s="4" t="s">
        <v>1212</v>
      </c>
      <c r="H3670" s="4" t="n">
        <v>2014</v>
      </c>
      <c r="I3670" s="4" t="s">
        <v>1213</v>
      </c>
      <c r="J3670" s="25" t="str">
        <f aca="false">IF(M3670=1,"✓","")</f>
        <v/>
      </c>
      <c r="K3670" s="4" t="str">
        <f aca="false">IF(AND(M3670=0,P3670=0),"▶ NEXT","")</f>
        <v/>
      </c>
      <c r="L3670" s="4" t="n">
        <f aca="false">INDEX('Master List'!$F$2:$F$2594,O3670)</f>
        <v>2</v>
      </c>
      <c r="M3670" s="4" t="n">
        <f aca="false">INDEX('Master List'!$G$2:$G$2594,O3670)</f>
        <v>0</v>
      </c>
      <c r="N3670" s="4" t="str">
        <f aca="false">IF(K3670="","",A3670)</f>
        <v/>
      </c>
      <c r="O3670" s="4" t="n">
        <v>2531</v>
      </c>
      <c r="P3670" s="4" t="n">
        <f aca="false">IF(A3670=A3669,P3669+1-M3669,0)</f>
        <v>5</v>
      </c>
    </row>
    <row r="3671" customFormat="false" ht="15" hidden="false" customHeight="false" outlineLevel="0" collapsed="false">
      <c r="A3671" s="33" t="s">
        <v>4421</v>
      </c>
      <c r="B3671" s="33" t="s">
        <v>56</v>
      </c>
      <c r="C3671" s="33" t="s">
        <v>123</v>
      </c>
      <c r="D3671" s="33" t="s">
        <v>4422</v>
      </c>
      <c r="E3671" s="4" t="n">
        <v>11</v>
      </c>
      <c r="F3671" s="4" t="s">
        <v>1327</v>
      </c>
      <c r="G3671" s="4" t="s">
        <v>3700</v>
      </c>
      <c r="H3671" s="4" t="n">
        <v>1997</v>
      </c>
      <c r="I3671" s="4" t="s">
        <v>3701</v>
      </c>
      <c r="J3671" s="25" t="str">
        <f aca="false">IF(M3671=1,"✓","")</f>
        <v/>
      </c>
      <c r="K3671" s="4" t="str">
        <f aca="false">IF(AND(M3671=0,P3671=0),"▶ NEXT","")</f>
        <v/>
      </c>
      <c r="L3671" s="4" t="n">
        <f aca="false">INDEX('Master List'!$F$2:$F$2594,O3671)</f>
        <v>1</v>
      </c>
      <c r="M3671" s="4" t="n">
        <f aca="false">INDEX('Master List'!$G$2:$G$2594,O3671)</f>
        <v>0</v>
      </c>
      <c r="N3671" s="4" t="str">
        <f aca="false">IF(K3671="","",A3671)</f>
        <v/>
      </c>
      <c r="O3671" s="4" t="n">
        <v>1153</v>
      </c>
      <c r="P3671" s="4" t="n">
        <f aca="false">IF(A3671=A3670,P3670+1-M3670,0)</f>
        <v>6</v>
      </c>
    </row>
    <row r="3672" customFormat="false" ht="15" hidden="false" customHeight="false" outlineLevel="0" collapsed="false">
      <c r="A3672" s="33" t="s">
        <v>4423</v>
      </c>
      <c r="B3672" s="33" t="s">
        <v>56</v>
      </c>
      <c r="C3672" s="33" t="s">
        <v>123</v>
      </c>
      <c r="D3672" s="33" t="s">
        <v>4424</v>
      </c>
      <c r="E3672" s="4" t="n">
        <v>1</v>
      </c>
      <c r="F3672" s="4" t="s">
        <v>144</v>
      </c>
      <c r="G3672" s="7" t="s">
        <v>1637</v>
      </c>
      <c r="H3672" s="4" t="n">
        <v>2017</v>
      </c>
      <c r="I3672" s="4" t="s">
        <v>1638</v>
      </c>
      <c r="J3672" s="25" t="str">
        <f aca="false">IF(M3672=1,"✓","")</f>
        <v/>
      </c>
      <c r="K3672" s="4" t="str">
        <f aca="false">IF(AND(M3672=0,P3672=0),"▶ NEXT","")</f>
        <v>▶ NEXT</v>
      </c>
      <c r="L3672" s="4" t="n">
        <f aca="false">INDEX('Master List'!$F$2:$F$2594,O3672)</f>
        <v>1</v>
      </c>
      <c r="M3672" s="4" t="n">
        <f aca="false">INDEX('Master List'!$G$2:$G$2594,O3672)</f>
        <v>0</v>
      </c>
      <c r="N3672" s="4" t="str">
        <f aca="false">IF(K3672="","",A3672)</f>
        <v>N300</v>
      </c>
      <c r="O3672" s="4" t="n">
        <v>1703</v>
      </c>
      <c r="P3672" s="4" t="n">
        <f aca="false">IF(A3672=A3671,P3671+1-M3671,0)</f>
        <v>0</v>
      </c>
    </row>
    <row r="3673" customFormat="false" ht="15" hidden="false" customHeight="false" outlineLevel="0" collapsed="false">
      <c r="A3673" s="33" t="s">
        <v>4423</v>
      </c>
      <c r="B3673" s="33" t="s">
        <v>56</v>
      </c>
      <c r="C3673" s="33" t="s">
        <v>123</v>
      </c>
      <c r="D3673" s="33" t="s">
        <v>4424</v>
      </c>
      <c r="E3673" s="4" t="n">
        <v>2</v>
      </c>
      <c r="F3673" s="4" t="s">
        <v>144</v>
      </c>
      <c r="G3673" s="7" t="s">
        <v>424</v>
      </c>
      <c r="H3673" s="4" t="n">
        <v>1988</v>
      </c>
      <c r="I3673" s="4" t="s">
        <v>382</v>
      </c>
      <c r="J3673" s="25" t="str">
        <f aca="false">IF(M3673=1,"✓","")</f>
        <v/>
      </c>
      <c r="K3673" s="4" t="str">
        <f aca="false">IF(AND(M3673=0,P3673=0),"▶ NEXT","")</f>
        <v/>
      </c>
      <c r="L3673" s="4" t="n">
        <f aca="false">INDEX('Master List'!$F$2:$F$2594,O3673)</f>
        <v>3</v>
      </c>
      <c r="M3673" s="4" t="n">
        <f aca="false">INDEX('Master List'!$G$2:$G$2594,O3673)</f>
        <v>0</v>
      </c>
      <c r="N3673" s="4" t="str">
        <f aca="false">IF(K3673="","",A3673)</f>
        <v/>
      </c>
      <c r="O3673" s="4" t="n">
        <v>1574</v>
      </c>
      <c r="P3673" s="4" t="n">
        <f aca="false">IF(A3673=A3672,P3672+1-M3672,0)</f>
        <v>1</v>
      </c>
    </row>
    <row r="3674" customFormat="false" ht="15" hidden="false" customHeight="false" outlineLevel="0" collapsed="false">
      <c r="A3674" s="33" t="s">
        <v>4423</v>
      </c>
      <c r="B3674" s="33" t="s">
        <v>56</v>
      </c>
      <c r="C3674" s="33" t="s">
        <v>123</v>
      </c>
      <c r="D3674" s="33" t="s">
        <v>4424</v>
      </c>
      <c r="E3674" s="4" t="n">
        <v>3</v>
      </c>
      <c r="F3674" s="4" t="s">
        <v>213</v>
      </c>
      <c r="G3674" s="4" t="s">
        <v>224</v>
      </c>
      <c r="H3674" s="4" t="n">
        <v>1952</v>
      </c>
      <c r="I3674" s="4" t="s">
        <v>225</v>
      </c>
      <c r="J3674" s="25" t="str">
        <f aca="false">IF(M3674=1,"✓","")</f>
        <v/>
      </c>
      <c r="K3674" s="4" t="str">
        <f aca="false">IF(AND(M3674=0,P3674=0),"▶ NEXT","")</f>
        <v/>
      </c>
      <c r="L3674" s="4" t="n">
        <f aca="false">INDEX('Master List'!$F$2:$F$2594,O3674)</f>
        <v>6</v>
      </c>
      <c r="M3674" s="4" t="n">
        <f aca="false">INDEX('Master List'!$G$2:$G$2594,O3674)</f>
        <v>0</v>
      </c>
      <c r="N3674" s="4" t="str">
        <f aca="false">IF(K3674="","",A3674)</f>
        <v/>
      </c>
      <c r="O3674" s="4" t="n">
        <v>2080</v>
      </c>
      <c r="P3674" s="4" t="n">
        <f aca="false">IF(A3674=A3673,P3673+1-M3673,0)</f>
        <v>2</v>
      </c>
    </row>
    <row r="3675" customFormat="false" ht="15" hidden="false" customHeight="false" outlineLevel="0" collapsed="false">
      <c r="A3675" s="33" t="s">
        <v>4423</v>
      </c>
      <c r="B3675" s="33" t="s">
        <v>56</v>
      </c>
      <c r="C3675" s="33" t="s">
        <v>123</v>
      </c>
      <c r="D3675" s="33" t="s">
        <v>4424</v>
      </c>
      <c r="E3675" s="4" t="n">
        <v>4</v>
      </c>
      <c r="F3675" s="4" t="s">
        <v>213</v>
      </c>
      <c r="G3675" s="4" t="s">
        <v>942</v>
      </c>
      <c r="H3675" s="4" t="n">
        <v>1953</v>
      </c>
      <c r="I3675" s="4" t="s">
        <v>305</v>
      </c>
      <c r="J3675" s="25" t="str">
        <f aca="false">IF(M3675=1,"✓","")</f>
        <v/>
      </c>
      <c r="K3675" s="4" t="str">
        <f aca="false">IF(AND(M3675=0,P3675=0),"▶ NEXT","")</f>
        <v/>
      </c>
      <c r="L3675" s="4" t="n">
        <f aca="false">INDEX('Master List'!$F$2:$F$2594,O3675)</f>
        <v>2</v>
      </c>
      <c r="M3675" s="4" t="n">
        <f aca="false">INDEX('Master List'!$G$2:$G$2594,O3675)</f>
        <v>0</v>
      </c>
      <c r="N3675" s="4" t="str">
        <f aca="false">IF(K3675="","",A3675)</f>
        <v/>
      </c>
      <c r="O3675" s="4" t="n">
        <v>1927</v>
      </c>
      <c r="P3675" s="4" t="n">
        <f aca="false">IF(A3675=A3674,P3674+1-M3674,0)</f>
        <v>3</v>
      </c>
    </row>
    <row r="3676" customFormat="false" ht="15" hidden="false" customHeight="false" outlineLevel="0" collapsed="false">
      <c r="A3676" s="33" t="s">
        <v>4423</v>
      </c>
      <c r="B3676" s="33" t="s">
        <v>56</v>
      </c>
      <c r="C3676" s="33" t="s">
        <v>123</v>
      </c>
      <c r="D3676" s="33" t="s">
        <v>4424</v>
      </c>
      <c r="E3676" s="4" t="n">
        <v>5</v>
      </c>
      <c r="F3676" s="4" t="s">
        <v>213</v>
      </c>
      <c r="G3676" s="4" t="s">
        <v>1063</v>
      </c>
      <c r="H3676" s="4" t="n">
        <v>1983</v>
      </c>
      <c r="I3676" s="4" t="s">
        <v>1064</v>
      </c>
      <c r="J3676" s="25" t="str">
        <f aca="false">IF(M3676=1,"✓","")</f>
        <v/>
      </c>
      <c r="K3676" s="4" t="str">
        <f aca="false">IF(AND(M3676=0,P3676=0),"▶ NEXT","")</f>
        <v/>
      </c>
      <c r="L3676" s="4" t="n">
        <f aca="false">INDEX('Master List'!$F$2:$F$2594,O3676)</f>
        <v>2</v>
      </c>
      <c r="M3676" s="4" t="n">
        <f aca="false">INDEX('Master List'!$G$2:$G$2594,O3676)</f>
        <v>0</v>
      </c>
      <c r="N3676" s="4" t="str">
        <f aca="false">IF(K3676="","",A3676)</f>
        <v/>
      </c>
      <c r="O3676" s="4" t="n">
        <v>1363</v>
      </c>
      <c r="P3676" s="4" t="n">
        <f aca="false">IF(A3676=A3675,P3675+1-M3675,0)</f>
        <v>4</v>
      </c>
    </row>
    <row r="3677" customFormat="false" ht="15" hidden="false" customHeight="false" outlineLevel="0" collapsed="false">
      <c r="A3677" s="33" t="s">
        <v>4423</v>
      </c>
      <c r="B3677" s="33" t="s">
        <v>56</v>
      </c>
      <c r="C3677" s="33" t="s">
        <v>123</v>
      </c>
      <c r="D3677" s="33" t="s">
        <v>4424</v>
      </c>
      <c r="E3677" s="4" t="n">
        <v>6</v>
      </c>
      <c r="F3677" s="4" t="s">
        <v>213</v>
      </c>
      <c r="G3677" s="4" t="s">
        <v>1085</v>
      </c>
      <c r="H3677" s="4" t="n">
        <v>1987</v>
      </c>
      <c r="I3677" s="4" t="s">
        <v>822</v>
      </c>
      <c r="J3677" s="25" t="str">
        <f aca="false">IF(M3677=1,"✓","")</f>
        <v/>
      </c>
      <c r="K3677" s="4" t="str">
        <f aca="false">IF(AND(M3677=0,P3677=0),"▶ NEXT","")</f>
        <v/>
      </c>
      <c r="L3677" s="4" t="n">
        <f aca="false">INDEX('Master List'!$F$2:$F$2594,O3677)</f>
        <v>2</v>
      </c>
      <c r="M3677" s="4" t="n">
        <f aca="false">INDEX('Master List'!$G$2:$G$2594,O3677)</f>
        <v>0</v>
      </c>
      <c r="N3677" s="4" t="str">
        <f aca="false">IF(K3677="","",A3677)</f>
        <v/>
      </c>
      <c r="O3677" s="4" t="n">
        <v>1817</v>
      </c>
      <c r="P3677" s="4" t="n">
        <f aca="false">IF(A3677=A3676,P3676+1-M3676,0)</f>
        <v>5</v>
      </c>
    </row>
    <row r="3678" customFormat="false" ht="15" hidden="false" customHeight="false" outlineLevel="0" collapsed="false">
      <c r="A3678" s="33" t="s">
        <v>4423</v>
      </c>
      <c r="B3678" s="33" t="s">
        <v>56</v>
      </c>
      <c r="C3678" s="33" t="s">
        <v>123</v>
      </c>
      <c r="D3678" s="33" t="s">
        <v>4424</v>
      </c>
      <c r="E3678" s="4" t="n">
        <v>7</v>
      </c>
      <c r="F3678" s="4" t="s">
        <v>213</v>
      </c>
      <c r="G3678" s="4" t="s">
        <v>1152</v>
      </c>
      <c r="H3678" s="4" t="n">
        <v>2001</v>
      </c>
      <c r="I3678" s="4" t="s">
        <v>1153</v>
      </c>
      <c r="J3678" s="25" t="str">
        <f aca="false">IF(M3678=1,"✓","")</f>
        <v/>
      </c>
      <c r="K3678" s="4" t="str">
        <f aca="false">IF(AND(M3678=0,P3678=0),"▶ NEXT","")</f>
        <v/>
      </c>
      <c r="L3678" s="4" t="n">
        <f aca="false">INDEX('Master List'!$F$2:$F$2594,O3678)</f>
        <v>2</v>
      </c>
      <c r="M3678" s="4" t="n">
        <f aca="false">INDEX('Master List'!$G$2:$G$2594,O3678)</f>
        <v>0</v>
      </c>
      <c r="N3678" s="4" t="str">
        <f aca="false">IF(K3678="","",A3678)</f>
        <v/>
      </c>
      <c r="O3678" s="4" t="n">
        <v>86</v>
      </c>
      <c r="P3678" s="4" t="n">
        <f aca="false">IF(A3678=A3677,P3677+1-M3677,0)</f>
        <v>6</v>
      </c>
    </row>
    <row r="3679" customFormat="false" ht="15" hidden="false" customHeight="false" outlineLevel="0" collapsed="false">
      <c r="A3679" s="33" t="s">
        <v>4423</v>
      </c>
      <c r="B3679" s="33" t="s">
        <v>56</v>
      </c>
      <c r="C3679" s="33" t="s">
        <v>123</v>
      </c>
      <c r="D3679" s="33" t="s">
        <v>4424</v>
      </c>
      <c r="E3679" s="4" t="n">
        <v>8</v>
      </c>
      <c r="F3679" s="4" t="s">
        <v>213</v>
      </c>
      <c r="G3679" s="4" t="s">
        <v>1166</v>
      </c>
      <c r="H3679" s="4" t="n">
        <v>2003</v>
      </c>
      <c r="I3679" s="4" t="s">
        <v>320</v>
      </c>
      <c r="J3679" s="25" t="str">
        <f aca="false">IF(M3679=1,"✓","")</f>
        <v>✓</v>
      </c>
      <c r="K3679" s="4" t="str">
        <f aca="false">IF(AND(M3679=0,P3679=0),"▶ NEXT","")</f>
        <v/>
      </c>
      <c r="L3679" s="4" t="n">
        <f aca="false">INDEX('Master List'!$F$2:$F$2594,O3679)</f>
        <v>2</v>
      </c>
      <c r="M3679" s="4" t="n">
        <f aca="false">INDEX('Master List'!$G$2:$G$2594,O3679)</f>
        <v>1</v>
      </c>
      <c r="N3679" s="4" t="str">
        <f aca="false">IF(K3679="","",A3679)</f>
        <v/>
      </c>
      <c r="O3679" s="4" t="n">
        <v>1991</v>
      </c>
      <c r="P3679" s="4" t="n">
        <f aca="false">IF(A3679=A3678,P3678+1-M3678,0)</f>
        <v>7</v>
      </c>
    </row>
    <row r="3680" customFormat="false" ht="15" hidden="false" customHeight="false" outlineLevel="0" collapsed="false">
      <c r="A3680" s="33" t="s">
        <v>4423</v>
      </c>
      <c r="B3680" s="33" t="s">
        <v>56</v>
      </c>
      <c r="C3680" s="33" t="s">
        <v>123</v>
      </c>
      <c r="D3680" s="33" t="s">
        <v>4424</v>
      </c>
      <c r="E3680" s="4" t="n">
        <v>9</v>
      </c>
      <c r="F3680" s="4" t="s">
        <v>213</v>
      </c>
      <c r="G3680" s="4" t="s">
        <v>1098</v>
      </c>
      <c r="H3680" s="4" t="n">
        <v>1989</v>
      </c>
      <c r="I3680" s="4" t="s">
        <v>382</v>
      </c>
      <c r="J3680" s="25" t="str">
        <f aca="false">IF(M3680=1,"✓","")</f>
        <v/>
      </c>
      <c r="K3680" s="4" t="str">
        <f aca="false">IF(AND(M3680=0,P3680=0),"▶ NEXT","")</f>
        <v/>
      </c>
      <c r="L3680" s="4" t="n">
        <f aca="false">INDEX('Master List'!$F$2:$F$2594,O3680)</f>
        <v>2</v>
      </c>
      <c r="M3680" s="4" t="n">
        <f aca="false">INDEX('Master List'!$G$2:$G$2594,O3680)</f>
        <v>0</v>
      </c>
      <c r="N3680" s="4" t="str">
        <f aca="false">IF(K3680="","",A3680)</f>
        <v/>
      </c>
      <c r="O3680" s="4" t="n">
        <v>1239</v>
      </c>
      <c r="P3680" s="4" t="n">
        <f aca="false">IF(A3680=A3679,P3679+1-M3679,0)</f>
        <v>7</v>
      </c>
    </row>
    <row r="3681" customFormat="false" ht="15" hidden="false" customHeight="false" outlineLevel="0" collapsed="false">
      <c r="A3681" s="33" t="s">
        <v>4423</v>
      </c>
      <c r="B3681" s="33" t="s">
        <v>56</v>
      </c>
      <c r="C3681" s="33" t="s">
        <v>123</v>
      </c>
      <c r="D3681" s="33" t="s">
        <v>4424</v>
      </c>
      <c r="E3681" s="4" t="n">
        <v>10</v>
      </c>
      <c r="F3681" s="4" t="s">
        <v>213</v>
      </c>
      <c r="G3681" s="4" t="s">
        <v>1221</v>
      </c>
      <c r="H3681" s="4" t="n">
        <v>2014</v>
      </c>
      <c r="I3681" s="4" t="s">
        <v>1222</v>
      </c>
      <c r="J3681" s="25" t="str">
        <f aca="false">IF(M3681=1,"✓","")</f>
        <v>✓</v>
      </c>
      <c r="K3681" s="4" t="str">
        <f aca="false">IF(AND(M3681=0,P3681=0),"▶ NEXT","")</f>
        <v/>
      </c>
      <c r="L3681" s="4" t="n">
        <f aca="false">INDEX('Master List'!$F$2:$F$2594,O3681)</f>
        <v>2</v>
      </c>
      <c r="M3681" s="4" t="n">
        <f aca="false">INDEX('Master List'!$G$2:$G$2594,O3681)</f>
        <v>1</v>
      </c>
      <c r="N3681" s="4" t="str">
        <f aca="false">IF(K3681="","",A3681)</f>
        <v/>
      </c>
      <c r="O3681" s="4" t="n">
        <v>435</v>
      </c>
      <c r="P3681" s="4" t="n">
        <f aca="false">IF(A3681=A3680,P3680+1-M3680,0)</f>
        <v>8</v>
      </c>
    </row>
    <row r="3682" customFormat="false" ht="15" hidden="false" customHeight="false" outlineLevel="0" collapsed="false">
      <c r="A3682" s="33" t="s">
        <v>4423</v>
      </c>
      <c r="B3682" s="33" t="s">
        <v>56</v>
      </c>
      <c r="C3682" s="33" t="s">
        <v>123</v>
      </c>
      <c r="D3682" s="33" t="s">
        <v>4424</v>
      </c>
      <c r="E3682" s="4" t="n">
        <v>11</v>
      </c>
      <c r="F3682" s="4" t="s">
        <v>1327</v>
      </c>
      <c r="G3682" s="4" t="s">
        <v>3585</v>
      </c>
      <c r="H3682" s="4" t="n">
        <v>1980</v>
      </c>
      <c r="I3682" s="4" t="s">
        <v>1064</v>
      </c>
      <c r="J3682" s="25" t="str">
        <f aca="false">IF(M3682=1,"✓","")</f>
        <v/>
      </c>
      <c r="K3682" s="4" t="str">
        <f aca="false">IF(AND(M3682=0,P3682=0),"▶ NEXT","")</f>
        <v/>
      </c>
      <c r="L3682" s="4" t="n">
        <f aca="false">INDEX('Master List'!$F$2:$F$2594,O3682)</f>
        <v>1</v>
      </c>
      <c r="M3682" s="4" t="n">
        <f aca="false">INDEX('Master List'!$G$2:$G$2594,O3682)</f>
        <v>0</v>
      </c>
      <c r="N3682" s="4" t="str">
        <f aca="false">IF(K3682="","",A3682)</f>
        <v/>
      </c>
      <c r="O3682" s="4" t="n">
        <v>962</v>
      </c>
      <c r="P3682" s="4" t="n">
        <f aca="false">IF(A3682=A3681,P3681+1-M3681,0)</f>
        <v>8</v>
      </c>
    </row>
    <row r="3683" customFormat="false" ht="15" hidden="false" customHeight="false" outlineLevel="0" collapsed="false">
      <c r="A3683" s="33" t="s">
        <v>4423</v>
      </c>
      <c r="B3683" s="33" t="s">
        <v>56</v>
      </c>
      <c r="C3683" s="33" t="s">
        <v>123</v>
      </c>
      <c r="D3683" s="33" t="s">
        <v>4424</v>
      </c>
      <c r="E3683" s="4" t="n">
        <v>12</v>
      </c>
      <c r="F3683" s="4" t="s">
        <v>1327</v>
      </c>
      <c r="G3683" s="4" t="s">
        <v>3375</v>
      </c>
      <c r="H3683" s="4" t="n">
        <v>1953</v>
      </c>
      <c r="I3683" s="4" t="s">
        <v>338</v>
      </c>
      <c r="J3683" s="25" t="str">
        <f aca="false">IF(M3683=1,"✓","")</f>
        <v/>
      </c>
      <c r="K3683" s="4" t="str">
        <f aca="false">IF(AND(M3683=0,P3683=0),"▶ NEXT","")</f>
        <v/>
      </c>
      <c r="L3683" s="4" t="n">
        <f aca="false">INDEX('Master List'!$F$2:$F$2594,O3683)</f>
        <v>1</v>
      </c>
      <c r="M3683" s="4" t="n">
        <f aca="false">INDEX('Master List'!$G$2:$G$2594,O3683)</f>
        <v>0</v>
      </c>
      <c r="N3683" s="4" t="str">
        <f aca="false">IF(K3683="","",A3683)</f>
        <v/>
      </c>
      <c r="O3683" s="4" t="n">
        <v>1549</v>
      </c>
      <c r="P3683" s="4" t="n">
        <f aca="false">IF(A3683=A3682,P3682+1-M3682,0)</f>
        <v>9</v>
      </c>
    </row>
    <row r="3684" customFormat="false" ht="15" hidden="false" customHeight="false" outlineLevel="0" collapsed="false">
      <c r="A3684" s="34" t="s">
        <v>4425</v>
      </c>
      <c r="B3684" s="34" t="s">
        <v>57</v>
      </c>
      <c r="C3684" s="34" t="s">
        <v>124</v>
      </c>
      <c r="D3684" s="34" t="s">
        <v>4426</v>
      </c>
      <c r="E3684" s="4" t="n">
        <v>1</v>
      </c>
      <c r="F3684" s="4" t="s">
        <v>144</v>
      </c>
      <c r="G3684" s="7" t="s">
        <v>161</v>
      </c>
      <c r="H3684" s="4" t="n">
        <v>1958</v>
      </c>
      <c r="I3684" s="4" t="s">
        <v>162</v>
      </c>
      <c r="J3684" s="25" t="str">
        <f aca="false">IF(M3684=1,"✓","")</f>
        <v/>
      </c>
      <c r="K3684" s="4" t="str">
        <f aca="false">IF(AND(M3684=0,P3684=0),"▶ NEXT","")</f>
        <v>▶ NEXT</v>
      </c>
      <c r="L3684" s="4" t="n">
        <f aca="false">INDEX('Master List'!$F$2:$F$2594,O3684)</f>
        <v>7</v>
      </c>
      <c r="M3684" s="4" t="n">
        <f aca="false">INDEX('Master List'!$G$2:$G$2594,O3684)</f>
        <v>0</v>
      </c>
      <c r="N3684" s="4" t="str">
        <f aca="false">IF(K3684="","",A3684)</f>
        <v>N301</v>
      </c>
      <c r="O3684" s="4" t="n">
        <v>2429</v>
      </c>
      <c r="P3684" s="4" t="n">
        <f aca="false">IF(A3684=A3683,P3683+1-M3683,0)</f>
        <v>0</v>
      </c>
    </row>
    <row r="3685" customFormat="false" ht="15" hidden="false" customHeight="false" outlineLevel="0" collapsed="false">
      <c r="A3685" s="34" t="s">
        <v>4425</v>
      </c>
      <c r="B3685" s="34" t="s">
        <v>57</v>
      </c>
      <c r="C3685" s="34" t="s">
        <v>124</v>
      </c>
      <c r="D3685" s="34" t="s">
        <v>4426</v>
      </c>
      <c r="E3685" s="4" t="n">
        <v>2</v>
      </c>
      <c r="F3685" s="4" t="s">
        <v>144</v>
      </c>
      <c r="G3685" s="7" t="s">
        <v>142</v>
      </c>
      <c r="H3685" s="4" t="n">
        <v>1941</v>
      </c>
      <c r="I3685" s="4" t="s">
        <v>143</v>
      </c>
      <c r="J3685" s="25" t="str">
        <f aca="false">IF(M3685=1,"✓","")</f>
        <v/>
      </c>
      <c r="K3685" s="4" t="str">
        <f aca="false">IF(AND(M3685=0,P3685=0),"▶ NEXT","")</f>
        <v/>
      </c>
      <c r="L3685" s="4" t="n">
        <f aca="false">INDEX('Master List'!$F$2:$F$2594,O3685)</f>
        <v>13</v>
      </c>
      <c r="M3685" s="4" t="n">
        <f aca="false">INDEX('Master List'!$G$2:$G$2594,O3685)</f>
        <v>0</v>
      </c>
      <c r="N3685" s="4" t="str">
        <f aca="false">IF(K3685="","",A3685)</f>
        <v/>
      </c>
      <c r="O3685" s="4" t="n">
        <v>462</v>
      </c>
      <c r="P3685" s="4" t="n">
        <f aca="false">IF(A3685=A3684,P3684+1-M3684,0)</f>
        <v>1</v>
      </c>
    </row>
    <row r="3686" customFormat="false" ht="15" hidden="false" customHeight="false" outlineLevel="0" collapsed="false">
      <c r="A3686" s="34" t="s">
        <v>4425</v>
      </c>
      <c r="B3686" s="34" t="s">
        <v>57</v>
      </c>
      <c r="C3686" s="34" t="s">
        <v>124</v>
      </c>
      <c r="D3686" s="34" t="s">
        <v>4426</v>
      </c>
      <c r="E3686" s="4" t="n">
        <v>3</v>
      </c>
      <c r="F3686" s="4" t="s">
        <v>144</v>
      </c>
      <c r="G3686" s="7" t="s">
        <v>145</v>
      </c>
      <c r="H3686" s="4" t="n">
        <v>1953</v>
      </c>
      <c r="I3686" s="4" t="s">
        <v>146</v>
      </c>
      <c r="J3686" s="25" t="str">
        <f aca="false">IF(M3686=1,"✓","")</f>
        <v/>
      </c>
      <c r="K3686" s="4" t="str">
        <f aca="false">IF(AND(M3686=0,P3686=0),"▶ NEXT","")</f>
        <v/>
      </c>
      <c r="L3686" s="4" t="n">
        <f aca="false">INDEX('Master List'!$F$2:$F$2594,O3686)</f>
        <v>10</v>
      </c>
      <c r="M3686" s="4" t="n">
        <f aca="false">INDEX('Master List'!$G$2:$G$2594,O3686)</f>
        <v>0</v>
      </c>
      <c r="N3686" s="4" t="str">
        <f aca="false">IF(K3686="","",A3686)</f>
        <v/>
      </c>
      <c r="O3686" s="4" t="n">
        <v>2328</v>
      </c>
      <c r="P3686" s="4" t="n">
        <f aca="false">IF(A3686=A3685,P3685+1-M3685,0)</f>
        <v>2</v>
      </c>
    </row>
    <row r="3687" customFormat="false" ht="15" hidden="false" customHeight="false" outlineLevel="0" collapsed="false">
      <c r="A3687" s="34" t="s">
        <v>4425</v>
      </c>
      <c r="B3687" s="34" t="s">
        <v>57</v>
      </c>
      <c r="C3687" s="34" t="s">
        <v>124</v>
      </c>
      <c r="D3687" s="34" t="s">
        <v>4426</v>
      </c>
      <c r="E3687" s="4" t="n">
        <v>4</v>
      </c>
      <c r="F3687" s="4" t="s">
        <v>213</v>
      </c>
      <c r="G3687" s="4" t="s">
        <v>230</v>
      </c>
      <c r="H3687" s="4" t="n">
        <v>2000</v>
      </c>
      <c r="I3687" s="4" t="s">
        <v>193</v>
      </c>
      <c r="J3687" s="25" t="str">
        <f aca="false">IF(M3687=1,"✓","")</f>
        <v>✓</v>
      </c>
      <c r="K3687" s="4" t="str">
        <f aca="false">IF(AND(M3687=0,P3687=0),"▶ NEXT","")</f>
        <v/>
      </c>
      <c r="L3687" s="4" t="n">
        <f aca="false">INDEX('Master List'!$F$2:$F$2594,O3687)</f>
        <v>5</v>
      </c>
      <c r="M3687" s="4" t="n">
        <f aca="false">INDEX('Master List'!$G$2:$G$2594,O3687)</f>
        <v>1</v>
      </c>
      <c r="N3687" s="4" t="str">
        <f aca="false">IF(K3687="","",A3687)</f>
        <v/>
      </c>
      <c r="O3687" s="4" t="n">
        <v>1129</v>
      </c>
      <c r="P3687" s="4" t="n">
        <f aca="false">IF(A3687=A3686,P3686+1-M3686,0)</f>
        <v>3</v>
      </c>
    </row>
    <row r="3688" customFormat="false" ht="15" hidden="false" customHeight="false" outlineLevel="0" collapsed="false">
      <c r="A3688" s="34" t="s">
        <v>4425</v>
      </c>
      <c r="B3688" s="34" t="s">
        <v>57</v>
      </c>
      <c r="C3688" s="34" t="s">
        <v>124</v>
      </c>
      <c r="D3688" s="34" t="s">
        <v>4426</v>
      </c>
      <c r="E3688" s="4" t="n">
        <v>5</v>
      </c>
      <c r="F3688" s="4" t="s">
        <v>213</v>
      </c>
      <c r="G3688" s="4" t="s">
        <v>186</v>
      </c>
      <c r="H3688" s="4" t="n">
        <v>1968</v>
      </c>
      <c r="I3688" s="4" t="s">
        <v>187</v>
      </c>
      <c r="J3688" s="25" t="str">
        <f aca="false">IF(M3688=1,"✓","")</f>
        <v>✓</v>
      </c>
      <c r="K3688" s="4" t="str">
        <f aca="false">IF(AND(M3688=0,P3688=0),"▶ NEXT","")</f>
        <v/>
      </c>
      <c r="L3688" s="4" t="n">
        <f aca="false">INDEX('Master List'!$F$2:$F$2594,O3688)</f>
        <v>7</v>
      </c>
      <c r="M3688" s="4" t="n">
        <f aca="false">INDEX('Master List'!$G$2:$G$2594,O3688)</f>
        <v>1</v>
      </c>
      <c r="N3688" s="4" t="str">
        <f aca="false">IF(K3688="","",A3688)</f>
        <v/>
      </c>
      <c r="O3688" s="4" t="n">
        <v>12</v>
      </c>
      <c r="P3688" s="4" t="n">
        <f aca="false">IF(A3688=A3687,P3687+1-M3687,0)</f>
        <v>3</v>
      </c>
    </row>
    <row r="3689" customFormat="false" ht="15" hidden="false" customHeight="false" outlineLevel="0" collapsed="false">
      <c r="A3689" s="34" t="s">
        <v>4425</v>
      </c>
      <c r="B3689" s="34" t="s">
        <v>57</v>
      </c>
      <c r="C3689" s="34" t="s">
        <v>124</v>
      </c>
      <c r="D3689" s="34" t="s">
        <v>4426</v>
      </c>
      <c r="E3689" s="4" t="n">
        <v>6</v>
      </c>
      <c r="F3689" s="4" t="s">
        <v>213</v>
      </c>
      <c r="G3689" s="4" t="s">
        <v>261</v>
      </c>
      <c r="H3689" s="4" t="n">
        <v>1999</v>
      </c>
      <c r="I3689" s="4" t="s">
        <v>262</v>
      </c>
      <c r="J3689" s="25" t="str">
        <f aca="false">IF(M3689=1,"✓","")</f>
        <v/>
      </c>
      <c r="K3689" s="4" t="str">
        <f aca="false">IF(AND(M3689=0,P3689=0),"▶ NEXT","")</f>
        <v/>
      </c>
      <c r="L3689" s="4" t="n">
        <f aca="false">INDEX('Master List'!$F$2:$F$2594,O3689)</f>
        <v>5</v>
      </c>
      <c r="M3689" s="4" t="n">
        <f aca="false">INDEX('Master List'!$G$2:$G$2594,O3689)</f>
        <v>0</v>
      </c>
      <c r="N3689" s="4" t="str">
        <f aca="false">IF(K3689="","",A3689)</f>
        <v/>
      </c>
      <c r="O3689" s="4" t="n">
        <v>206</v>
      </c>
      <c r="P3689" s="4" t="n">
        <f aca="false">IF(A3689=A3688,P3688+1-M3688,0)</f>
        <v>3</v>
      </c>
    </row>
    <row r="3690" customFormat="false" ht="15" hidden="false" customHeight="false" outlineLevel="0" collapsed="false">
      <c r="A3690" s="34" t="s">
        <v>4425</v>
      </c>
      <c r="B3690" s="34" t="s">
        <v>57</v>
      </c>
      <c r="C3690" s="34" t="s">
        <v>124</v>
      </c>
      <c r="D3690" s="34" t="s">
        <v>4426</v>
      </c>
      <c r="E3690" s="4" t="n">
        <v>7</v>
      </c>
      <c r="F3690" s="4" t="s">
        <v>213</v>
      </c>
      <c r="G3690" s="4" t="s">
        <v>153</v>
      </c>
      <c r="H3690" s="4" t="n">
        <v>2001</v>
      </c>
      <c r="I3690" s="4" t="s">
        <v>154</v>
      </c>
      <c r="J3690" s="25" t="str">
        <f aca="false">IF(M3690=1,"✓","")</f>
        <v>✓</v>
      </c>
      <c r="K3690" s="4" t="str">
        <f aca="false">IF(AND(M3690=0,P3690=0),"▶ NEXT","")</f>
        <v/>
      </c>
      <c r="L3690" s="4" t="n">
        <f aca="false">INDEX('Master List'!$F$2:$F$2594,O3690)</f>
        <v>9</v>
      </c>
      <c r="M3690" s="4" t="n">
        <f aca="false">INDEX('Master List'!$G$2:$G$2594,O3690)</f>
        <v>1</v>
      </c>
      <c r="N3690" s="4" t="str">
        <f aca="false">IF(K3690="","",A3690)</f>
        <v/>
      </c>
      <c r="O3690" s="4" t="n">
        <v>1555</v>
      </c>
      <c r="P3690" s="4" t="n">
        <f aca="false">IF(A3690=A3689,P3689+1-M3689,0)</f>
        <v>4</v>
      </c>
    </row>
    <row r="3691" customFormat="false" ht="15" hidden="false" customHeight="false" outlineLevel="0" collapsed="false">
      <c r="A3691" s="34" t="s">
        <v>4425</v>
      </c>
      <c r="B3691" s="34" t="s">
        <v>57</v>
      </c>
      <c r="C3691" s="34" t="s">
        <v>124</v>
      </c>
      <c r="D3691" s="34" t="s">
        <v>4426</v>
      </c>
      <c r="E3691" s="4" t="n">
        <v>8</v>
      </c>
      <c r="F3691" s="4" t="s">
        <v>213</v>
      </c>
      <c r="G3691" s="4" t="s">
        <v>180</v>
      </c>
      <c r="H3691" s="4" t="n">
        <v>1929</v>
      </c>
      <c r="I3691" s="4" t="s">
        <v>181</v>
      </c>
      <c r="J3691" s="25" t="str">
        <f aca="false">IF(M3691=1,"✓","")</f>
        <v/>
      </c>
      <c r="K3691" s="4" t="str">
        <f aca="false">IF(AND(M3691=0,P3691=0),"▶ NEXT","")</f>
        <v/>
      </c>
      <c r="L3691" s="4" t="n">
        <f aca="false">INDEX('Master List'!$F$2:$F$2594,O3691)</f>
        <v>7</v>
      </c>
      <c r="M3691" s="4" t="n">
        <f aca="false">INDEX('Master List'!$G$2:$G$2594,O3691)</f>
        <v>0</v>
      </c>
      <c r="N3691" s="4" t="str">
        <f aca="false">IF(K3691="","",A3691)</f>
        <v/>
      </c>
      <c r="O3691" s="4" t="n">
        <v>1434</v>
      </c>
      <c r="P3691" s="4" t="n">
        <f aca="false">IF(A3691=A3690,P3690+1-M3690,0)</f>
        <v>4</v>
      </c>
    </row>
    <row r="3692" customFormat="false" ht="15" hidden="false" customHeight="false" outlineLevel="0" collapsed="false">
      <c r="A3692" s="34" t="s">
        <v>4425</v>
      </c>
      <c r="B3692" s="34" t="s">
        <v>57</v>
      </c>
      <c r="C3692" s="34" t="s">
        <v>124</v>
      </c>
      <c r="D3692" s="34" t="s">
        <v>4426</v>
      </c>
      <c r="E3692" s="4" t="n">
        <v>9</v>
      </c>
      <c r="F3692" s="4" t="s">
        <v>213</v>
      </c>
      <c r="G3692" s="4" t="s">
        <v>224</v>
      </c>
      <c r="H3692" s="4" t="n">
        <v>1952</v>
      </c>
      <c r="I3692" s="4" t="s">
        <v>225</v>
      </c>
      <c r="J3692" s="25" t="str">
        <f aca="false">IF(M3692=1,"✓","")</f>
        <v/>
      </c>
      <c r="K3692" s="4" t="str">
        <f aca="false">IF(AND(M3692=0,P3692=0),"▶ NEXT","")</f>
        <v/>
      </c>
      <c r="L3692" s="4" t="n">
        <f aca="false">INDEX('Master List'!$F$2:$F$2594,O3692)</f>
        <v>6</v>
      </c>
      <c r="M3692" s="4" t="n">
        <f aca="false">INDEX('Master List'!$G$2:$G$2594,O3692)</f>
        <v>0</v>
      </c>
      <c r="N3692" s="4" t="str">
        <f aca="false">IF(K3692="","",A3692)</f>
        <v/>
      </c>
      <c r="O3692" s="4" t="n">
        <v>2080</v>
      </c>
      <c r="P3692" s="4" t="n">
        <f aca="false">IF(A3692=A3691,P3691+1-M3691,0)</f>
        <v>5</v>
      </c>
    </row>
    <row r="3693" customFormat="false" ht="15" hidden="false" customHeight="false" outlineLevel="0" collapsed="false">
      <c r="A3693" s="34" t="s">
        <v>4425</v>
      </c>
      <c r="B3693" s="34" t="s">
        <v>57</v>
      </c>
      <c r="C3693" s="34" t="s">
        <v>124</v>
      </c>
      <c r="D3693" s="34" t="s">
        <v>4426</v>
      </c>
      <c r="E3693" s="4" t="n">
        <v>10</v>
      </c>
      <c r="F3693" s="4" t="s">
        <v>213</v>
      </c>
      <c r="G3693" s="4" t="s">
        <v>184</v>
      </c>
      <c r="H3693" s="4" t="n">
        <v>1975</v>
      </c>
      <c r="I3693" s="4" t="s">
        <v>185</v>
      </c>
      <c r="J3693" s="25" t="str">
        <f aca="false">IF(M3693=1,"✓","")</f>
        <v/>
      </c>
      <c r="K3693" s="4" t="str">
        <f aca="false">IF(AND(M3693=0,P3693=0),"▶ NEXT","")</f>
        <v/>
      </c>
      <c r="L3693" s="4" t="n">
        <f aca="false">INDEX('Master List'!$F$2:$F$2594,O3693)</f>
        <v>8</v>
      </c>
      <c r="M3693" s="4" t="n">
        <f aca="false">INDEX('Master List'!$G$2:$G$2594,O3693)</f>
        <v>0</v>
      </c>
      <c r="N3693" s="4" t="str">
        <f aca="false">IF(K3693="","",A3693)</f>
        <v/>
      </c>
      <c r="O3693" s="4" t="n">
        <v>1201</v>
      </c>
      <c r="P3693" s="4" t="n">
        <f aca="false">IF(A3693=A3692,P3692+1-M3692,0)</f>
        <v>6</v>
      </c>
    </row>
    <row r="3694" customFormat="false" ht="15" hidden="false" customHeight="false" outlineLevel="0" collapsed="false">
      <c r="A3694" s="34" t="s">
        <v>4425</v>
      </c>
      <c r="B3694" s="34" t="s">
        <v>57</v>
      </c>
      <c r="C3694" s="34" t="s">
        <v>124</v>
      </c>
      <c r="D3694" s="34" t="s">
        <v>4426</v>
      </c>
      <c r="E3694" s="4" t="n">
        <v>11</v>
      </c>
      <c r="F3694" s="4" t="s">
        <v>213</v>
      </c>
      <c r="G3694" s="4" t="s">
        <v>298</v>
      </c>
      <c r="H3694" s="4" t="n">
        <v>1927</v>
      </c>
      <c r="I3694" s="4" t="s">
        <v>299</v>
      </c>
      <c r="J3694" s="25" t="str">
        <f aca="false">IF(M3694=1,"✓","")</f>
        <v/>
      </c>
      <c r="K3694" s="4" t="str">
        <f aca="false">IF(AND(M3694=0,P3694=0),"▶ NEXT","")</f>
        <v/>
      </c>
      <c r="L3694" s="4" t="n">
        <f aca="false">INDEX('Master List'!$F$2:$F$2594,O3694)</f>
        <v>5</v>
      </c>
      <c r="M3694" s="4" t="n">
        <f aca="false">INDEX('Master List'!$G$2:$G$2594,O3694)</f>
        <v>0</v>
      </c>
      <c r="N3694" s="4" t="str">
        <f aca="false">IF(K3694="","",A3694)</f>
        <v/>
      </c>
      <c r="O3694" s="4" t="n">
        <v>2202</v>
      </c>
      <c r="P3694" s="4" t="n">
        <f aca="false">IF(A3694=A3693,P3693+1-M3693,0)</f>
        <v>7</v>
      </c>
    </row>
    <row r="3695" customFormat="false" ht="15" hidden="false" customHeight="false" outlineLevel="0" collapsed="false">
      <c r="A3695" s="34" t="s">
        <v>4425</v>
      </c>
      <c r="B3695" s="34" t="s">
        <v>57</v>
      </c>
      <c r="C3695" s="34" t="s">
        <v>124</v>
      </c>
      <c r="D3695" s="34" t="s">
        <v>4426</v>
      </c>
      <c r="E3695" s="4" t="n">
        <v>12</v>
      </c>
      <c r="F3695" s="4" t="s">
        <v>213</v>
      </c>
      <c r="G3695" s="4" t="s">
        <v>206</v>
      </c>
      <c r="H3695" s="4" t="n">
        <v>1972</v>
      </c>
      <c r="I3695" s="4" t="s">
        <v>172</v>
      </c>
      <c r="J3695" s="25" t="str">
        <f aca="false">IF(M3695=1,"✓","")</f>
        <v>✓</v>
      </c>
      <c r="K3695" s="4" t="str">
        <f aca="false">IF(AND(M3695=0,P3695=0),"▶ NEXT","")</f>
        <v/>
      </c>
      <c r="L3695" s="4" t="n">
        <f aca="false">INDEX('Master List'!$F$2:$F$2594,O3695)</f>
        <v>6</v>
      </c>
      <c r="M3695" s="4" t="n">
        <f aca="false">INDEX('Master List'!$G$2:$G$2594,O3695)</f>
        <v>1</v>
      </c>
      <c r="N3695" s="4" t="str">
        <f aca="false">IF(K3695="","",A3695)</f>
        <v/>
      </c>
      <c r="O3695" s="4" t="n">
        <v>909</v>
      </c>
      <c r="P3695" s="4" t="n">
        <f aca="false">IF(A3695=A3694,P3694+1-M3694,0)</f>
        <v>8</v>
      </c>
    </row>
    <row r="3696" customFormat="false" ht="15" hidden="false" customHeight="false" outlineLevel="0" collapsed="false">
      <c r="A3696" s="34" t="s">
        <v>4425</v>
      </c>
      <c r="B3696" s="34" t="s">
        <v>57</v>
      </c>
      <c r="C3696" s="34" t="s">
        <v>124</v>
      </c>
      <c r="D3696" s="34" t="s">
        <v>4426</v>
      </c>
      <c r="E3696" s="4" t="n">
        <v>13</v>
      </c>
      <c r="F3696" s="4" t="s">
        <v>213</v>
      </c>
      <c r="G3696" s="4" t="s">
        <v>233</v>
      </c>
      <c r="H3696" s="4" t="n">
        <v>1939</v>
      </c>
      <c r="I3696" s="4" t="s">
        <v>234</v>
      </c>
      <c r="J3696" s="25" t="str">
        <f aca="false">IF(M3696=1,"✓","")</f>
        <v/>
      </c>
      <c r="K3696" s="4" t="str">
        <f aca="false">IF(AND(M3696=0,P3696=0),"▶ NEXT","")</f>
        <v/>
      </c>
      <c r="L3696" s="4" t="n">
        <f aca="false">INDEX('Master List'!$F$2:$F$2594,O3696)</f>
        <v>5</v>
      </c>
      <c r="M3696" s="4" t="n">
        <f aca="false">INDEX('Master List'!$G$2:$G$2594,O3696)</f>
        <v>0</v>
      </c>
      <c r="N3696" s="4" t="str">
        <f aca="false">IF(K3696="","",A3696)</f>
        <v/>
      </c>
      <c r="O3696" s="4" t="n">
        <v>1943</v>
      </c>
      <c r="P3696" s="4" t="n">
        <f aca="false">IF(A3696=A3695,P3695+1-M3695,0)</f>
        <v>8</v>
      </c>
    </row>
    <row r="3697" customFormat="false" ht="15" hidden="false" customHeight="false" outlineLevel="0" collapsed="false">
      <c r="A3697" s="34" t="s">
        <v>4425</v>
      </c>
      <c r="B3697" s="34" t="s">
        <v>57</v>
      </c>
      <c r="C3697" s="34" t="s">
        <v>124</v>
      </c>
      <c r="D3697" s="34" t="s">
        <v>4426</v>
      </c>
      <c r="E3697" s="4" t="n">
        <v>14</v>
      </c>
      <c r="F3697" s="4" t="s">
        <v>213</v>
      </c>
      <c r="G3697" s="4" t="s">
        <v>157</v>
      </c>
      <c r="H3697" s="4" t="n">
        <v>1962</v>
      </c>
      <c r="I3697" s="4" t="s">
        <v>158</v>
      </c>
      <c r="J3697" s="25" t="str">
        <f aca="false">IF(M3697=1,"✓","")</f>
        <v/>
      </c>
      <c r="K3697" s="4" t="str">
        <f aca="false">IF(AND(M3697=0,P3697=0),"▶ NEXT","")</f>
        <v/>
      </c>
      <c r="L3697" s="4" t="n">
        <f aca="false">INDEX('Master List'!$F$2:$F$2594,O3697)</f>
        <v>7</v>
      </c>
      <c r="M3697" s="4" t="n">
        <f aca="false">INDEX('Master List'!$G$2:$G$2594,O3697)</f>
        <v>0</v>
      </c>
      <c r="N3697" s="4" t="str">
        <f aca="false">IF(K3697="","",A3697)</f>
        <v/>
      </c>
      <c r="O3697" s="4" t="n">
        <v>475</v>
      </c>
      <c r="P3697" s="4" t="n">
        <f aca="false">IF(A3697=A3696,P3696+1-M3696,0)</f>
        <v>9</v>
      </c>
    </row>
    <row r="3698" customFormat="false" ht="15" hidden="false" customHeight="false" outlineLevel="0" collapsed="false">
      <c r="A3698" s="34" t="s">
        <v>4425</v>
      </c>
      <c r="B3698" s="34" t="s">
        <v>57</v>
      </c>
      <c r="C3698" s="34" t="s">
        <v>124</v>
      </c>
      <c r="D3698" s="34" t="s">
        <v>4426</v>
      </c>
      <c r="E3698" s="4" t="n">
        <v>15</v>
      </c>
      <c r="F3698" s="4" t="s">
        <v>213</v>
      </c>
      <c r="G3698" s="4" t="s">
        <v>221</v>
      </c>
      <c r="H3698" s="4" t="n">
        <v>1956</v>
      </c>
      <c r="I3698" s="4" t="s">
        <v>205</v>
      </c>
      <c r="J3698" s="25" t="str">
        <f aca="false">IF(M3698=1,"✓","")</f>
        <v>✓</v>
      </c>
      <c r="K3698" s="4" t="str">
        <f aca="false">IF(AND(M3698=0,P3698=0),"▶ NEXT","")</f>
        <v/>
      </c>
      <c r="L3698" s="4" t="n">
        <f aca="false">INDEX('Master List'!$F$2:$F$2594,O3698)</f>
        <v>6</v>
      </c>
      <c r="M3698" s="4" t="n">
        <f aca="false">INDEX('Master List'!$G$2:$G$2594,O3698)</f>
        <v>1</v>
      </c>
      <c r="N3698" s="4" t="str">
        <f aca="false">IF(K3698="","",A3698)</f>
        <v/>
      </c>
      <c r="O3698" s="4" t="n">
        <v>1998</v>
      </c>
      <c r="P3698" s="4" t="n">
        <f aca="false">IF(A3698=A3697,P3697+1-M3697,0)</f>
        <v>10</v>
      </c>
    </row>
    <row r="3699" customFormat="false" ht="15" hidden="false" customHeight="false" outlineLevel="0" collapsed="false">
      <c r="A3699" s="34" t="s">
        <v>4425</v>
      </c>
      <c r="B3699" s="34" t="s">
        <v>57</v>
      </c>
      <c r="C3699" s="34" t="s">
        <v>124</v>
      </c>
      <c r="D3699" s="34" t="s">
        <v>4426</v>
      </c>
      <c r="E3699" s="4" t="n">
        <v>16</v>
      </c>
      <c r="F3699" s="4" t="s">
        <v>213</v>
      </c>
      <c r="G3699" s="4" t="s">
        <v>263</v>
      </c>
      <c r="H3699" s="4" t="n">
        <v>1943</v>
      </c>
      <c r="I3699" s="4" t="s">
        <v>264</v>
      </c>
      <c r="J3699" s="25" t="str">
        <f aca="false">IF(M3699=1,"✓","")</f>
        <v/>
      </c>
      <c r="K3699" s="4" t="str">
        <f aca="false">IF(AND(M3699=0,P3699=0),"▶ NEXT","")</f>
        <v/>
      </c>
      <c r="L3699" s="4" t="n">
        <f aca="false">INDEX('Master List'!$F$2:$F$2594,O3699)</f>
        <v>5</v>
      </c>
      <c r="M3699" s="4" t="n">
        <f aca="false">INDEX('Master List'!$G$2:$G$2594,O3699)</f>
        <v>0</v>
      </c>
      <c r="N3699" s="4" t="str">
        <f aca="false">IF(K3699="","",A3699)</f>
        <v/>
      </c>
      <c r="O3699" s="4" t="n">
        <v>1486</v>
      </c>
      <c r="P3699" s="4" t="n">
        <f aca="false">IF(A3699=A3698,P3698+1-M3698,0)</f>
        <v>10</v>
      </c>
    </row>
    <row r="3700" customFormat="false" ht="15" hidden="false" customHeight="false" outlineLevel="0" collapsed="false">
      <c r="A3700" s="34" t="s">
        <v>4425</v>
      </c>
      <c r="B3700" s="34" t="s">
        <v>57</v>
      </c>
      <c r="C3700" s="34" t="s">
        <v>124</v>
      </c>
      <c r="D3700" s="34" t="s">
        <v>4426</v>
      </c>
      <c r="E3700" s="4" t="n">
        <v>17</v>
      </c>
      <c r="F3700" s="4" t="s">
        <v>213</v>
      </c>
      <c r="G3700" s="4" t="s">
        <v>202</v>
      </c>
      <c r="H3700" s="4" t="n">
        <v>1990</v>
      </c>
      <c r="I3700" s="4" t="s">
        <v>203</v>
      </c>
      <c r="J3700" s="25" t="str">
        <f aca="false">IF(M3700=1,"✓","")</f>
        <v/>
      </c>
      <c r="K3700" s="4" t="str">
        <f aca="false">IF(AND(M3700=0,P3700=0),"▶ NEXT","")</f>
        <v/>
      </c>
      <c r="L3700" s="4" t="n">
        <f aca="false">INDEX('Master List'!$F$2:$F$2594,O3700)</f>
        <v>7</v>
      </c>
      <c r="M3700" s="4" t="n">
        <f aca="false">INDEX('Master List'!$G$2:$G$2594,O3700)</f>
        <v>0</v>
      </c>
      <c r="N3700" s="4" t="str">
        <f aca="false">IF(K3700="","",A3700)</f>
        <v/>
      </c>
      <c r="O3700" s="4" t="n">
        <v>480</v>
      </c>
      <c r="P3700" s="4" t="n">
        <f aca="false">IF(A3700=A3699,P3699+1-M3699,0)</f>
        <v>11</v>
      </c>
    </row>
    <row r="3701" customFormat="false" ht="15" hidden="false" customHeight="false" outlineLevel="0" collapsed="false">
      <c r="A3701" s="34" t="s">
        <v>4425</v>
      </c>
      <c r="B3701" s="34" t="s">
        <v>57</v>
      </c>
      <c r="C3701" s="34" t="s">
        <v>124</v>
      </c>
      <c r="D3701" s="34" t="s">
        <v>4426</v>
      </c>
      <c r="E3701" s="4" t="n">
        <v>18</v>
      </c>
      <c r="F3701" s="4" t="s">
        <v>213</v>
      </c>
      <c r="G3701" s="4" t="s">
        <v>191</v>
      </c>
      <c r="H3701" s="4" t="n">
        <v>1966</v>
      </c>
      <c r="I3701" s="4" t="s">
        <v>170</v>
      </c>
      <c r="J3701" s="25" t="str">
        <f aca="false">IF(M3701=1,"✓","")</f>
        <v/>
      </c>
      <c r="K3701" s="4" t="str">
        <f aca="false">IF(AND(M3701=0,P3701=0),"▶ NEXT","")</f>
        <v/>
      </c>
      <c r="L3701" s="4" t="n">
        <f aca="false">INDEX('Master List'!$F$2:$F$2594,O3701)</f>
        <v>7</v>
      </c>
      <c r="M3701" s="4" t="n">
        <f aca="false">INDEX('Master List'!$G$2:$G$2594,O3701)</f>
        <v>0</v>
      </c>
      <c r="N3701" s="4" t="str">
        <f aca="false">IF(K3701="","",A3701)</f>
        <v/>
      </c>
      <c r="O3701" s="4" t="n">
        <v>1749</v>
      </c>
      <c r="P3701" s="4" t="n">
        <f aca="false">IF(A3701=A3700,P3700+1-M3700,0)</f>
        <v>12</v>
      </c>
    </row>
    <row r="3702" customFormat="false" ht="15" hidden="false" customHeight="false" outlineLevel="0" collapsed="false">
      <c r="A3702" s="34" t="s">
        <v>4425</v>
      </c>
      <c r="B3702" s="34" t="s">
        <v>57</v>
      </c>
      <c r="C3702" s="34" t="s">
        <v>124</v>
      </c>
      <c r="D3702" s="34" t="s">
        <v>4426</v>
      </c>
      <c r="E3702" s="4" t="n">
        <v>19</v>
      </c>
      <c r="F3702" s="4" t="s">
        <v>213</v>
      </c>
      <c r="G3702" s="4" t="s">
        <v>201</v>
      </c>
      <c r="H3702" s="4" t="n">
        <v>1979</v>
      </c>
      <c r="I3702" s="4" t="s">
        <v>172</v>
      </c>
      <c r="J3702" s="25" t="str">
        <f aca="false">IF(M3702=1,"✓","")</f>
        <v>✓</v>
      </c>
      <c r="K3702" s="4" t="str">
        <f aca="false">IF(AND(M3702=0,P3702=0),"▶ NEXT","")</f>
        <v/>
      </c>
      <c r="L3702" s="4" t="n">
        <f aca="false">INDEX('Master List'!$F$2:$F$2594,O3702)</f>
        <v>7</v>
      </c>
      <c r="M3702" s="4" t="n">
        <f aca="false">INDEX('Master List'!$G$2:$G$2594,O3702)</f>
        <v>1</v>
      </c>
      <c r="N3702" s="4" t="str">
        <f aca="false">IF(K3702="","",A3702)</f>
        <v/>
      </c>
      <c r="O3702" s="4" t="n">
        <v>121</v>
      </c>
      <c r="P3702" s="4" t="n">
        <f aca="false">IF(A3702=A3701,P3701+1-M3701,0)</f>
        <v>13</v>
      </c>
    </row>
    <row r="3703" customFormat="false" ht="15" hidden="false" customHeight="false" outlineLevel="0" collapsed="false">
      <c r="A3703" s="34" t="s">
        <v>4425</v>
      </c>
      <c r="B3703" s="34" t="s">
        <v>57</v>
      </c>
      <c r="C3703" s="34" t="s">
        <v>124</v>
      </c>
      <c r="D3703" s="34" t="s">
        <v>4426</v>
      </c>
      <c r="E3703" s="4" t="n">
        <v>20</v>
      </c>
      <c r="F3703" s="4" t="s">
        <v>213</v>
      </c>
      <c r="G3703" s="4" t="s">
        <v>155</v>
      </c>
      <c r="H3703" s="4" t="n">
        <v>1954</v>
      </c>
      <c r="I3703" s="4" t="s">
        <v>156</v>
      </c>
      <c r="J3703" s="25" t="str">
        <f aca="false">IF(M3703=1,"✓","")</f>
        <v/>
      </c>
      <c r="K3703" s="4" t="str">
        <f aca="false">IF(AND(M3703=0,P3703=0),"▶ NEXT","")</f>
        <v/>
      </c>
      <c r="L3703" s="4" t="n">
        <f aca="false">INDEX('Master List'!$F$2:$F$2594,O3703)</f>
        <v>8</v>
      </c>
      <c r="M3703" s="4" t="n">
        <f aca="false">INDEX('Master List'!$G$2:$G$2594,O3703)</f>
        <v>0</v>
      </c>
      <c r="N3703" s="4" t="str">
        <f aca="false">IF(K3703="","",A3703)</f>
        <v/>
      </c>
      <c r="O3703" s="4" t="n">
        <v>2021</v>
      </c>
      <c r="P3703" s="4" t="n">
        <f aca="false">IF(A3703=A3702,P3702+1-M3702,0)</f>
        <v>13</v>
      </c>
    </row>
    <row r="3704" customFormat="false" ht="15" hidden="false" customHeight="false" outlineLevel="0" collapsed="false">
      <c r="A3704" s="34" t="s">
        <v>4425</v>
      </c>
      <c r="B3704" s="34" t="s">
        <v>57</v>
      </c>
      <c r="C3704" s="34" t="s">
        <v>124</v>
      </c>
      <c r="D3704" s="34" t="s">
        <v>4426</v>
      </c>
      <c r="E3704" s="4" t="n">
        <v>21</v>
      </c>
      <c r="F3704" s="4" t="s">
        <v>213</v>
      </c>
      <c r="G3704" s="4" t="s">
        <v>245</v>
      </c>
      <c r="H3704" s="4" t="n">
        <v>1928</v>
      </c>
      <c r="I3704" s="4" t="s">
        <v>246</v>
      </c>
      <c r="J3704" s="25" t="str">
        <f aca="false">IF(M3704=1,"✓","")</f>
        <v/>
      </c>
      <c r="K3704" s="4" t="str">
        <f aca="false">IF(AND(M3704=0,P3704=0),"▶ NEXT","")</f>
        <v/>
      </c>
      <c r="L3704" s="4" t="n">
        <f aca="false">INDEX('Master List'!$F$2:$F$2594,O3704)</f>
        <v>5</v>
      </c>
      <c r="M3704" s="4" t="n">
        <f aca="false">INDEX('Master List'!$G$2:$G$2594,O3704)</f>
        <v>0</v>
      </c>
      <c r="N3704" s="4" t="str">
        <f aca="false">IF(K3704="","",A3704)</f>
        <v/>
      </c>
      <c r="O3704" s="4" t="n">
        <v>1729</v>
      </c>
      <c r="P3704" s="4" t="n">
        <f aca="false">IF(A3704=A3703,P3703+1-M3703,0)</f>
        <v>14</v>
      </c>
    </row>
    <row r="3705" customFormat="false" ht="15" hidden="false" customHeight="false" outlineLevel="0" collapsed="false">
      <c r="A3705" s="34" t="s">
        <v>4425</v>
      </c>
      <c r="B3705" s="34" t="s">
        <v>57</v>
      </c>
      <c r="C3705" s="34" t="s">
        <v>124</v>
      </c>
      <c r="D3705" s="34" t="s">
        <v>4426</v>
      </c>
      <c r="E3705" s="4" t="n">
        <v>22</v>
      </c>
      <c r="F3705" s="4" t="s">
        <v>213</v>
      </c>
      <c r="G3705" s="4" t="s">
        <v>350</v>
      </c>
      <c r="H3705" s="4" t="n">
        <v>1949</v>
      </c>
      <c r="I3705" s="4" t="s">
        <v>146</v>
      </c>
      <c r="J3705" s="25" t="str">
        <f aca="false">IF(M3705=1,"✓","")</f>
        <v/>
      </c>
      <c r="K3705" s="4" t="str">
        <f aca="false">IF(AND(M3705=0,P3705=0),"▶ NEXT","")</f>
        <v/>
      </c>
      <c r="L3705" s="4" t="n">
        <f aca="false">INDEX('Master List'!$F$2:$F$2594,O3705)</f>
        <v>4</v>
      </c>
      <c r="M3705" s="4" t="n">
        <f aca="false">INDEX('Master List'!$G$2:$G$2594,O3705)</f>
        <v>0</v>
      </c>
      <c r="N3705" s="4" t="str">
        <f aca="false">IF(K3705="","",A3705)</f>
        <v/>
      </c>
      <c r="O3705" s="4" t="n">
        <v>1308</v>
      </c>
      <c r="P3705" s="4" t="n">
        <f aca="false">IF(A3705=A3704,P3704+1-M3704,0)</f>
        <v>15</v>
      </c>
    </row>
    <row r="3706" customFormat="false" ht="15" hidden="false" customHeight="false" outlineLevel="0" collapsed="false">
      <c r="A3706" s="34" t="s">
        <v>4425</v>
      </c>
      <c r="B3706" s="34" t="s">
        <v>57</v>
      </c>
      <c r="C3706" s="34" t="s">
        <v>124</v>
      </c>
      <c r="D3706" s="34" t="s">
        <v>4426</v>
      </c>
      <c r="E3706" s="4" t="n">
        <v>23</v>
      </c>
      <c r="F3706" s="4" t="s">
        <v>213</v>
      </c>
      <c r="G3706" s="4" t="s">
        <v>337</v>
      </c>
      <c r="H3706" s="4" t="n">
        <v>1967</v>
      </c>
      <c r="I3706" s="4" t="s">
        <v>338</v>
      </c>
      <c r="J3706" s="25" t="str">
        <f aca="false">IF(M3706=1,"✓","")</f>
        <v/>
      </c>
      <c r="K3706" s="4" t="str">
        <f aca="false">IF(AND(M3706=0,P3706=0),"▶ NEXT","")</f>
        <v/>
      </c>
      <c r="L3706" s="4" t="n">
        <f aca="false">INDEX('Master List'!$F$2:$F$2594,O3706)</f>
        <v>4</v>
      </c>
      <c r="M3706" s="4" t="n">
        <f aca="false">INDEX('Master List'!$G$2:$G$2594,O3706)</f>
        <v>0</v>
      </c>
      <c r="N3706" s="4" t="str">
        <f aca="false">IF(K3706="","",A3706)</f>
        <v/>
      </c>
      <c r="O3706" s="4" t="n">
        <v>1780</v>
      </c>
      <c r="P3706" s="4" t="n">
        <f aca="false">IF(A3706=A3705,P3705+1-M3705,0)</f>
        <v>16</v>
      </c>
    </row>
    <row r="3707" customFormat="false" ht="15" hidden="false" customHeight="false" outlineLevel="0" collapsed="false">
      <c r="A3707" s="34" t="s">
        <v>4425</v>
      </c>
      <c r="B3707" s="34" t="s">
        <v>57</v>
      </c>
      <c r="C3707" s="34" t="s">
        <v>124</v>
      </c>
      <c r="D3707" s="34" t="s">
        <v>4426</v>
      </c>
      <c r="E3707" s="4" t="n">
        <v>24</v>
      </c>
      <c r="F3707" s="4" t="s">
        <v>213</v>
      </c>
      <c r="G3707" s="4" t="s">
        <v>147</v>
      </c>
      <c r="H3707" s="4" t="n">
        <v>1989</v>
      </c>
      <c r="I3707" s="4" t="s">
        <v>148</v>
      </c>
      <c r="J3707" s="25" t="str">
        <f aca="false">IF(M3707=1,"✓","")</f>
        <v>✓</v>
      </c>
      <c r="K3707" s="4" t="str">
        <f aca="false">IF(AND(M3707=0,P3707=0),"▶ NEXT","")</f>
        <v/>
      </c>
      <c r="L3707" s="4" t="n">
        <f aca="false">INDEX('Master List'!$F$2:$F$2594,O3707)</f>
        <v>11</v>
      </c>
      <c r="M3707" s="4" t="n">
        <f aca="false">INDEX('Master List'!$G$2:$G$2594,O3707)</f>
        <v>1</v>
      </c>
      <c r="N3707" s="4" t="str">
        <f aca="false">IF(K3707="","",A3707)</f>
        <v/>
      </c>
      <c r="O3707" s="4" t="n">
        <v>646</v>
      </c>
      <c r="P3707" s="4" t="n">
        <f aca="false">IF(A3707=A3706,P3706+1-M3706,0)</f>
        <v>17</v>
      </c>
    </row>
    <row r="3708" customFormat="false" ht="15" hidden="false" customHeight="false" outlineLevel="0" collapsed="false">
      <c r="A3708" s="34" t="s">
        <v>4425</v>
      </c>
      <c r="B3708" s="34" t="s">
        <v>57</v>
      </c>
      <c r="C3708" s="34" t="s">
        <v>124</v>
      </c>
      <c r="D3708" s="34" t="s">
        <v>4426</v>
      </c>
      <c r="E3708" s="4" t="n">
        <v>25</v>
      </c>
      <c r="F3708" s="4" t="s">
        <v>213</v>
      </c>
      <c r="G3708" s="4" t="s">
        <v>336</v>
      </c>
      <c r="H3708" s="4" t="n">
        <v>1966</v>
      </c>
      <c r="I3708" s="4" t="s">
        <v>215</v>
      </c>
      <c r="J3708" s="25" t="str">
        <f aca="false">IF(M3708=1,"✓","")</f>
        <v/>
      </c>
      <c r="K3708" s="4" t="str">
        <f aca="false">IF(AND(M3708=0,P3708=0),"▶ NEXT","")</f>
        <v/>
      </c>
      <c r="L3708" s="4" t="n">
        <f aca="false">INDEX('Master List'!$F$2:$F$2594,O3708)</f>
        <v>5</v>
      </c>
      <c r="M3708" s="4" t="n">
        <f aca="false">INDEX('Master List'!$G$2:$G$2594,O3708)</f>
        <v>0</v>
      </c>
      <c r="N3708" s="4" t="str">
        <f aca="false">IF(K3708="","",A3708)</f>
        <v/>
      </c>
      <c r="O3708" s="4" t="n">
        <v>149</v>
      </c>
      <c r="P3708" s="4" t="n">
        <f aca="false">IF(A3708=A3707,P3707+1-M3707,0)</f>
        <v>17</v>
      </c>
    </row>
    <row r="3709" customFormat="false" ht="15" hidden="false" customHeight="false" outlineLevel="0" collapsed="false">
      <c r="A3709" s="34" t="s">
        <v>4425</v>
      </c>
      <c r="B3709" s="34" t="s">
        <v>57</v>
      </c>
      <c r="C3709" s="34" t="s">
        <v>124</v>
      </c>
      <c r="D3709" s="34" t="s">
        <v>4426</v>
      </c>
      <c r="E3709" s="4" t="n">
        <v>26</v>
      </c>
      <c r="F3709" s="4" t="s">
        <v>213</v>
      </c>
      <c r="G3709" s="4" t="s">
        <v>354</v>
      </c>
      <c r="H3709" s="4" t="n">
        <v>1955</v>
      </c>
      <c r="I3709" s="4" t="s">
        <v>355</v>
      </c>
      <c r="J3709" s="25" t="str">
        <f aca="false">IF(M3709=1,"✓","")</f>
        <v>✓</v>
      </c>
      <c r="K3709" s="4" t="str">
        <f aca="false">IF(AND(M3709=0,P3709=0),"▶ NEXT","")</f>
        <v/>
      </c>
      <c r="L3709" s="4" t="n">
        <f aca="false">INDEX('Master List'!$F$2:$F$2594,O3709)</f>
        <v>4</v>
      </c>
      <c r="M3709" s="4" t="n">
        <f aca="false">INDEX('Master List'!$G$2:$G$2594,O3709)</f>
        <v>1</v>
      </c>
      <c r="N3709" s="4" t="str">
        <f aca="false">IF(K3709="","",A3709)</f>
        <v/>
      </c>
      <c r="O3709" s="4" t="n">
        <v>1606</v>
      </c>
      <c r="P3709" s="4" t="n">
        <f aca="false">IF(A3709=A3708,P3708+1-M3708,0)</f>
        <v>18</v>
      </c>
    </row>
    <row r="3710" customFormat="false" ht="15" hidden="false" customHeight="false" outlineLevel="0" collapsed="false">
      <c r="A3710" s="34" t="s">
        <v>4425</v>
      </c>
      <c r="B3710" s="34" t="s">
        <v>57</v>
      </c>
      <c r="C3710" s="34" t="s">
        <v>124</v>
      </c>
      <c r="D3710" s="34" t="s">
        <v>4426</v>
      </c>
      <c r="E3710" s="4" t="n">
        <v>27</v>
      </c>
      <c r="F3710" s="4" t="s">
        <v>213</v>
      </c>
      <c r="G3710" s="4" t="s">
        <v>1369</v>
      </c>
      <c r="H3710" s="4" t="n">
        <v>1985</v>
      </c>
      <c r="I3710" s="4" t="s">
        <v>1370</v>
      </c>
      <c r="J3710" s="25" t="str">
        <f aca="false">IF(M3710=1,"✓","")</f>
        <v/>
      </c>
      <c r="K3710" s="4" t="str">
        <f aca="false">IF(AND(M3710=0,P3710=0),"▶ NEXT","")</f>
        <v/>
      </c>
      <c r="L3710" s="4" t="n">
        <f aca="false">INDEX('Master List'!$F$2:$F$2594,O3710)</f>
        <v>2</v>
      </c>
      <c r="M3710" s="4" t="n">
        <f aca="false">INDEX('Master List'!$G$2:$G$2594,O3710)</f>
        <v>0</v>
      </c>
      <c r="N3710" s="4" t="str">
        <f aca="false">IF(K3710="","",A3710)</f>
        <v/>
      </c>
      <c r="O3710" s="4" t="n">
        <v>2048</v>
      </c>
      <c r="P3710" s="4" t="n">
        <f aca="false">IF(A3710=A3709,P3709+1-M3709,0)</f>
        <v>18</v>
      </c>
    </row>
    <row r="3711" customFormat="false" ht="15" hidden="false" customHeight="false" outlineLevel="0" collapsed="false">
      <c r="A3711" s="34" t="s">
        <v>4425</v>
      </c>
      <c r="B3711" s="34" t="s">
        <v>57</v>
      </c>
      <c r="C3711" s="34" t="s">
        <v>124</v>
      </c>
      <c r="D3711" s="34" t="s">
        <v>4426</v>
      </c>
      <c r="E3711" s="4" t="n">
        <v>28</v>
      </c>
      <c r="F3711" s="4" t="s">
        <v>213</v>
      </c>
      <c r="G3711" s="4" t="s">
        <v>552</v>
      </c>
      <c r="H3711" s="4" t="n">
        <v>1991</v>
      </c>
      <c r="I3711" s="4" t="s">
        <v>553</v>
      </c>
      <c r="J3711" s="25" t="str">
        <f aca="false">IF(M3711=1,"✓","")</f>
        <v/>
      </c>
      <c r="K3711" s="4" t="str">
        <f aca="false">IF(AND(M3711=0,P3711=0),"▶ NEXT","")</f>
        <v/>
      </c>
      <c r="L3711" s="4" t="n">
        <f aca="false">INDEX('Master List'!$F$2:$F$2594,O3711)</f>
        <v>3</v>
      </c>
      <c r="M3711" s="4" t="n">
        <f aca="false">INDEX('Master List'!$G$2:$G$2594,O3711)</f>
        <v>0</v>
      </c>
      <c r="N3711" s="4" t="str">
        <f aca="false">IF(K3711="","",A3711)</f>
        <v/>
      </c>
      <c r="O3711" s="4" t="n">
        <v>568</v>
      </c>
      <c r="P3711" s="4" t="n">
        <f aca="false">IF(A3711=A3710,P3710+1-M3710,0)</f>
        <v>19</v>
      </c>
    </row>
    <row r="3712" customFormat="false" ht="15" hidden="false" customHeight="false" outlineLevel="0" collapsed="false">
      <c r="A3712" s="34" t="s">
        <v>4425</v>
      </c>
      <c r="B3712" s="34" t="s">
        <v>57</v>
      </c>
      <c r="C3712" s="34" t="s">
        <v>124</v>
      </c>
      <c r="D3712" s="34" t="s">
        <v>4426</v>
      </c>
      <c r="E3712" s="4" t="n">
        <v>29</v>
      </c>
      <c r="F3712" s="4" t="s">
        <v>213</v>
      </c>
      <c r="G3712" s="4" t="s">
        <v>287</v>
      </c>
      <c r="H3712" s="4" t="n">
        <v>1960</v>
      </c>
      <c r="I3712" s="4" t="s">
        <v>179</v>
      </c>
      <c r="J3712" s="25" t="str">
        <f aca="false">IF(M3712=1,"✓","")</f>
        <v>✓</v>
      </c>
      <c r="K3712" s="4" t="str">
        <f aca="false">IF(AND(M3712=0,P3712=0),"▶ NEXT","")</f>
        <v/>
      </c>
      <c r="L3712" s="4" t="n">
        <f aca="false">INDEX('Master List'!$F$2:$F$2594,O3712)</f>
        <v>5</v>
      </c>
      <c r="M3712" s="4" t="n">
        <f aca="false">INDEX('Master List'!$G$2:$G$2594,O3712)</f>
        <v>1</v>
      </c>
      <c r="N3712" s="4" t="str">
        <f aca="false">IF(K3712="","",A3712)</f>
        <v/>
      </c>
      <c r="O3712" s="4" t="n">
        <v>655</v>
      </c>
      <c r="P3712" s="4" t="n">
        <f aca="false">IF(A3712=A3711,P3711+1-M3711,0)</f>
        <v>20</v>
      </c>
    </row>
    <row r="3713" customFormat="false" ht="15" hidden="false" customHeight="false" outlineLevel="0" collapsed="false">
      <c r="A3713" s="34" t="s">
        <v>4425</v>
      </c>
      <c r="B3713" s="34" t="s">
        <v>57</v>
      </c>
      <c r="C3713" s="34" t="s">
        <v>124</v>
      </c>
      <c r="D3713" s="34" t="s">
        <v>4426</v>
      </c>
      <c r="E3713" s="4" t="n">
        <v>30</v>
      </c>
      <c r="F3713" s="4" t="s">
        <v>213</v>
      </c>
      <c r="G3713" s="4" t="s">
        <v>163</v>
      </c>
      <c r="H3713" s="4" t="n">
        <v>1976</v>
      </c>
      <c r="I3713" s="4" t="s">
        <v>164</v>
      </c>
      <c r="J3713" s="25" t="str">
        <f aca="false">IF(M3713=1,"✓","")</f>
        <v>✓</v>
      </c>
      <c r="K3713" s="4" t="str">
        <f aca="false">IF(AND(M3713=0,P3713=0),"▶ NEXT","")</f>
        <v/>
      </c>
      <c r="L3713" s="4" t="n">
        <f aca="false">INDEX('Master List'!$F$2:$F$2594,O3713)</f>
        <v>8</v>
      </c>
      <c r="M3713" s="4" t="n">
        <f aca="false">INDEX('Master List'!$G$2:$G$2594,O3713)</f>
        <v>1</v>
      </c>
      <c r="N3713" s="4" t="str">
        <f aca="false">IF(K3713="","",A3713)</f>
        <v/>
      </c>
      <c r="O3713" s="4" t="n">
        <v>2248</v>
      </c>
      <c r="P3713" s="4" t="n">
        <f aca="false">IF(A3713=A3712,P3712+1-M3712,0)</f>
        <v>20</v>
      </c>
    </row>
    <row r="3714" customFormat="false" ht="15" hidden="false" customHeight="false" outlineLevel="0" collapsed="false">
      <c r="A3714" s="34" t="s">
        <v>4425</v>
      </c>
      <c r="B3714" s="34" t="s">
        <v>57</v>
      </c>
      <c r="C3714" s="34" t="s">
        <v>124</v>
      </c>
      <c r="D3714" s="34" t="s">
        <v>4426</v>
      </c>
      <c r="E3714" s="4" t="n">
        <v>31</v>
      </c>
      <c r="F3714" s="4" t="s">
        <v>213</v>
      </c>
      <c r="G3714" s="4" t="s">
        <v>240</v>
      </c>
      <c r="H3714" s="4" t="n">
        <v>2019</v>
      </c>
      <c r="I3714" s="4" t="s">
        <v>241</v>
      </c>
      <c r="J3714" s="25" t="str">
        <f aca="false">IF(M3714=1,"✓","")</f>
        <v/>
      </c>
      <c r="K3714" s="4" t="str">
        <f aca="false">IF(AND(M3714=0,P3714=0),"▶ NEXT","")</f>
        <v/>
      </c>
      <c r="L3714" s="4" t="n">
        <f aca="false">INDEX('Master List'!$F$2:$F$2594,O3714)</f>
        <v>6</v>
      </c>
      <c r="M3714" s="4" t="n">
        <f aca="false">INDEX('Master List'!$G$2:$G$2594,O3714)</f>
        <v>0</v>
      </c>
      <c r="N3714" s="4" t="str">
        <f aca="false">IF(K3714="","",A3714)</f>
        <v/>
      </c>
      <c r="O3714" s="4" t="n">
        <v>1799</v>
      </c>
      <c r="P3714" s="4" t="n">
        <f aca="false">IF(A3714=A3713,P3713+1-M3713,0)</f>
        <v>20</v>
      </c>
    </row>
    <row r="3715" customFormat="false" ht="15" hidden="false" customHeight="false" outlineLevel="0" collapsed="false">
      <c r="A3715" s="34" t="s">
        <v>4425</v>
      </c>
      <c r="B3715" s="34" t="s">
        <v>57</v>
      </c>
      <c r="C3715" s="34" t="s">
        <v>124</v>
      </c>
      <c r="D3715" s="34" t="s">
        <v>4426</v>
      </c>
      <c r="E3715" s="4" t="n">
        <v>32</v>
      </c>
      <c r="F3715" s="4" t="s">
        <v>213</v>
      </c>
      <c r="G3715" s="4" t="s">
        <v>229</v>
      </c>
      <c r="H3715" s="4" t="n">
        <v>1975</v>
      </c>
      <c r="I3715" s="4" t="s">
        <v>210</v>
      </c>
      <c r="J3715" s="25" t="str">
        <f aca="false">IF(M3715=1,"✓","")</f>
        <v/>
      </c>
      <c r="K3715" s="4" t="str">
        <f aca="false">IF(AND(M3715=0,P3715=0),"▶ NEXT","")</f>
        <v/>
      </c>
      <c r="L3715" s="4" t="n">
        <f aca="false">INDEX('Master List'!$F$2:$F$2594,O3715)</f>
        <v>6</v>
      </c>
      <c r="M3715" s="4" t="n">
        <f aca="false">INDEX('Master List'!$G$2:$G$2594,O3715)</f>
        <v>0</v>
      </c>
      <c r="N3715" s="4" t="str">
        <f aca="false">IF(K3715="","",A3715)</f>
        <v/>
      </c>
      <c r="O3715" s="4" t="n">
        <v>1512</v>
      </c>
      <c r="P3715" s="4" t="n">
        <f aca="false">IF(A3715=A3714,P3714+1-M3714,0)</f>
        <v>21</v>
      </c>
    </row>
    <row r="3716" customFormat="false" ht="15" hidden="false" customHeight="false" outlineLevel="0" collapsed="false">
      <c r="A3716" s="34" t="s">
        <v>4425</v>
      </c>
      <c r="B3716" s="34" t="s">
        <v>57</v>
      </c>
      <c r="C3716" s="34" t="s">
        <v>124</v>
      </c>
      <c r="D3716" s="34" t="s">
        <v>4426</v>
      </c>
      <c r="E3716" s="4" t="n">
        <v>33</v>
      </c>
      <c r="F3716" s="4" t="s">
        <v>213</v>
      </c>
      <c r="G3716" s="4" t="s">
        <v>178</v>
      </c>
      <c r="H3716" s="4" t="n">
        <v>1963</v>
      </c>
      <c r="I3716" s="4" t="s">
        <v>179</v>
      </c>
      <c r="J3716" s="25" t="str">
        <f aca="false">IF(M3716=1,"✓","")</f>
        <v/>
      </c>
      <c r="K3716" s="4" t="str">
        <f aca="false">IF(AND(M3716=0,P3716=0),"▶ NEXT","")</f>
        <v/>
      </c>
      <c r="L3716" s="4" t="n">
        <f aca="false">INDEX('Master List'!$F$2:$F$2594,O3716)</f>
        <v>7</v>
      </c>
      <c r="M3716" s="4" t="n">
        <f aca="false">INDEX('Master List'!$G$2:$G$2594,O3716)</f>
        <v>0</v>
      </c>
      <c r="N3716" s="4" t="str">
        <f aca="false">IF(K3716="","",A3716)</f>
        <v/>
      </c>
      <c r="O3716" s="4" t="n">
        <v>32</v>
      </c>
      <c r="P3716" s="4" t="n">
        <f aca="false">IF(A3716=A3715,P3715+1-M3715,0)</f>
        <v>22</v>
      </c>
    </row>
    <row r="3717" customFormat="false" ht="15" hidden="false" customHeight="false" outlineLevel="0" collapsed="false">
      <c r="A3717" s="34" t="s">
        <v>4425</v>
      </c>
      <c r="B3717" s="34" t="s">
        <v>57</v>
      </c>
      <c r="C3717" s="34" t="s">
        <v>124</v>
      </c>
      <c r="D3717" s="34" t="s">
        <v>4426</v>
      </c>
      <c r="E3717" s="4" t="n">
        <v>34</v>
      </c>
      <c r="F3717" s="4" t="s">
        <v>213</v>
      </c>
      <c r="G3717" s="4" t="s">
        <v>177</v>
      </c>
      <c r="H3717" s="4" t="n">
        <v>1960</v>
      </c>
      <c r="I3717" s="4" t="s">
        <v>162</v>
      </c>
      <c r="J3717" s="25" t="str">
        <f aca="false">IF(M3717=1,"✓","")</f>
        <v>✓</v>
      </c>
      <c r="K3717" s="4" t="str">
        <f aca="false">IF(AND(M3717=0,P3717=0),"▶ NEXT","")</f>
        <v/>
      </c>
      <c r="L3717" s="4" t="n">
        <f aca="false">INDEX('Master List'!$F$2:$F$2594,O3717)</f>
        <v>8</v>
      </c>
      <c r="M3717" s="4" t="n">
        <f aca="false">INDEX('Master List'!$G$2:$G$2594,O3717)</f>
        <v>1</v>
      </c>
      <c r="N3717" s="4" t="str">
        <f aca="false">IF(K3717="","",A3717)</f>
        <v/>
      </c>
      <c r="O3717" s="4" t="n">
        <v>1826</v>
      </c>
      <c r="P3717" s="4" t="n">
        <f aca="false">IF(A3717=A3716,P3716+1-M3716,0)</f>
        <v>23</v>
      </c>
    </row>
    <row r="3718" customFormat="false" ht="15" hidden="false" customHeight="false" outlineLevel="0" collapsed="false">
      <c r="A3718" s="34" t="s">
        <v>4425</v>
      </c>
      <c r="B3718" s="34" t="s">
        <v>57</v>
      </c>
      <c r="C3718" s="34" t="s">
        <v>124</v>
      </c>
      <c r="D3718" s="34" t="s">
        <v>4426</v>
      </c>
      <c r="E3718" s="4" t="n">
        <v>35</v>
      </c>
      <c r="F3718" s="4" t="s">
        <v>213</v>
      </c>
      <c r="G3718" s="4" t="s">
        <v>731</v>
      </c>
      <c r="H3718" s="4" t="n">
        <v>1934</v>
      </c>
      <c r="I3718" s="4" t="s">
        <v>732</v>
      </c>
      <c r="J3718" s="25" t="str">
        <f aca="false">IF(M3718=1,"✓","")</f>
        <v/>
      </c>
      <c r="K3718" s="4" t="str">
        <f aca="false">IF(AND(M3718=0,P3718=0),"▶ NEXT","")</f>
        <v/>
      </c>
      <c r="L3718" s="4" t="n">
        <f aca="false">INDEX('Master List'!$F$2:$F$2594,O3718)</f>
        <v>2</v>
      </c>
      <c r="M3718" s="4" t="n">
        <f aca="false">INDEX('Master List'!$G$2:$G$2594,O3718)</f>
        <v>0</v>
      </c>
      <c r="N3718" s="4" t="str">
        <f aca="false">IF(K3718="","",A3718)</f>
        <v/>
      </c>
      <c r="O3718" s="4" t="n">
        <v>144</v>
      </c>
      <c r="P3718" s="4" t="n">
        <f aca="false">IF(A3718=A3717,P3717+1-M3717,0)</f>
        <v>23</v>
      </c>
    </row>
    <row r="3719" customFormat="false" ht="15" hidden="false" customHeight="false" outlineLevel="0" collapsed="false">
      <c r="A3719" s="34" t="s">
        <v>4425</v>
      </c>
      <c r="B3719" s="34" t="s">
        <v>57</v>
      </c>
      <c r="C3719" s="34" t="s">
        <v>124</v>
      </c>
      <c r="D3719" s="34" t="s">
        <v>4426</v>
      </c>
      <c r="E3719" s="4" t="n">
        <v>36</v>
      </c>
      <c r="F3719" s="4" t="s">
        <v>213</v>
      </c>
      <c r="G3719" s="4" t="s">
        <v>252</v>
      </c>
      <c r="H3719" s="4" t="n">
        <v>1955</v>
      </c>
      <c r="I3719" s="4" t="s">
        <v>253</v>
      </c>
      <c r="J3719" s="25" t="str">
        <f aca="false">IF(M3719=1,"✓","")</f>
        <v/>
      </c>
      <c r="K3719" s="4" t="str">
        <f aca="false">IF(AND(M3719=0,P3719=0),"▶ NEXT","")</f>
        <v/>
      </c>
      <c r="L3719" s="4" t="n">
        <f aca="false">INDEX('Master List'!$F$2:$F$2594,O3719)</f>
        <v>5</v>
      </c>
      <c r="M3719" s="4" t="n">
        <f aca="false">INDEX('Master List'!$G$2:$G$2594,O3719)</f>
        <v>0</v>
      </c>
      <c r="N3719" s="4" t="str">
        <f aca="false">IF(K3719="","",A3719)</f>
        <v/>
      </c>
      <c r="O3719" s="4" t="n">
        <v>1734</v>
      </c>
      <c r="P3719" s="4" t="n">
        <f aca="false">IF(A3719=A3718,P3718+1-M3718,0)</f>
        <v>24</v>
      </c>
    </row>
    <row r="3720" customFormat="false" ht="15" hidden="false" customHeight="false" outlineLevel="0" collapsed="false">
      <c r="A3720" s="34" t="s">
        <v>4425</v>
      </c>
      <c r="B3720" s="34" t="s">
        <v>57</v>
      </c>
      <c r="C3720" s="34" t="s">
        <v>124</v>
      </c>
      <c r="D3720" s="34" t="s">
        <v>4426</v>
      </c>
      <c r="E3720" s="4" t="n">
        <v>37</v>
      </c>
      <c r="F3720" s="4" t="s">
        <v>213</v>
      </c>
      <c r="G3720" s="4" t="s">
        <v>343</v>
      </c>
      <c r="H3720" s="4" t="n">
        <v>1931</v>
      </c>
      <c r="I3720" s="4" t="s">
        <v>344</v>
      </c>
      <c r="J3720" s="25" t="str">
        <f aca="false">IF(M3720=1,"✓","")</f>
        <v/>
      </c>
      <c r="K3720" s="4" t="str">
        <f aca="false">IF(AND(M3720=0,P3720=0),"▶ NEXT","")</f>
        <v/>
      </c>
      <c r="L3720" s="4" t="n">
        <f aca="false">INDEX('Master List'!$F$2:$F$2594,O3720)</f>
        <v>5</v>
      </c>
      <c r="M3720" s="4" t="n">
        <f aca="false">INDEX('Master List'!$G$2:$G$2594,O3720)</f>
        <v>0</v>
      </c>
      <c r="N3720" s="4" t="str">
        <f aca="false">IF(K3720="","",A3720)</f>
        <v/>
      </c>
      <c r="O3720" s="4" t="n">
        <v>464</v>
      </c>
      <c r="P3720" s="4" t="n">
        <f aca="false">IF(A3720=A3719,P3719+1-M3719,0)</f>
        <v>25</v>
      </c>
    </row>
    <row r="3721" customFormat="false" ht="15" hidden="false" customHeight="false" outlineLevel="0" collapsed="false">
      <c r="A3721" s="34" t="s">
        <v>4425</v>
      </c>
      <c r="B3721" s="34" t="s">
        <v>57</v>
      </c>
      <c r="C3721" s="34" t="s">
        <v>124</v>
      </c>
      <c r="D3721" s="34" t="s">
        <v>4426</v>
      </c>
      <c r="E3721" s="4" t="n">
        <v>38</v>
      </c>
      <c r="F3721" s="4" t="s">
        <v>213</v>
      </c>
      <c r="G3721" s="4" t="s">
        <v>247</v>
      </c>
      <c r="H3721" s="4" t="n">
        <v>1931</v>
      </c>
      <c r="I3721" s="4" t="s">
        <v>248</v>
      </c>
      <c r="J3721" s="25" t="str">
        <f aca="false">IF(M3721=1,"✓","")</f>
        <v>✓</v>
      </c>
      <c r="K3721" s="4" t="str">
        <f aca="false">IF(AND(M3721=0,P3721=0),"▶ NEXT","")</f>
        <v/>
      </c>
      <c r="L3721" s="4" t="n">
        <f aca="false">INDEX('Master List'!$F$2:$F$2594,O3721)</f>
        <v>5</v>
      </c>
      <c r="M3721" s="4" t="n">
        <f aca="false">INDEX('Master List'!$G$2:$G$2594,O3721)</f>
        <v>1</v>
      </c>
      <c r="N3721" s="4" t="str">
        <f aca="false">IF(K3721="","",A3721)</f>
        <v/>
      </c>
      <c r="O3721" s="4" t="n">
        <v>1398</v>
      </c>
      <c r="P3721" s="4" t="n">
        <f aca="false">IF(A3721=A3720,P3720+1-M3720,0)</f>
        <v>26</v>
      </c>
    </row>
    <row r="3722" customFormat="false" ht="15" hidden="false" customHeight="false" outlineLevel="0" collapsed="false">
      <c r="A3722" s="34" t="s">
        <v>4425</v>
      </c>
      <c r="B3722" s="34" t="s">
        <v>57</v>
      </c>
      <c r="C3722" s="34" t="s">
        <v>124</v>
      </c>
      <c r="D3722" s="34" t="s">
        <v>4426</v>
      </c>
      <c r="E3722" s="4" t="n">
        <v>39</v>
      </c>
      <c r="F3722" s="4" t="s">
        <v>213</v>
      </c>
      <c r="G3722" s="4" t="s">
        <v>413</v>
      </c>
      <c r="H3722" s="4" t="n">
        <v>1959</v>
      </c>
      <c r="I3722" s="4" t="s">
        <v>200</v>
      </c>
      <c r="J3722" s="25" t="str">
        <f aca="false">IF(M3722=1,"✓","")</f>
        <v/>
      </c>
      <c r="K3722" s="4" t="str">
        <f aca="false">IF(AND(M3722=0,P3722=0),"▶ NEXT","")</f>
        <v/>
      </c>
      <c r="L3722" s="4" t="n">
        <f aca="false">INDEX('Master List'!$F$2:$F$2594,O3722)</f>
        <v>4</v>
      </c>
      <c r="M3722" s="4" t="n">
        <f aca="false">INDEX('Master List'!$G$2:$G$2594,O3722)</f>
        <v>0</v>
      </c>
      <c r="N3722" s="4" t="str">
        <f aca="false">IF(K3722="","",A3722)</f>
        <v/>
      </c>
      <c r="O3722" s="4" t="n">
        <v>2107</v>
      </c>
      <c r="P3722" s="4" t="n">
        <f aca="false">IF(A3722=A3721,P3721+1-M3721,0)</f>
        <v>26</v>
      </c>
    </row>
    <row r="3723" customFormat="false" ht="15" hidden="false" customHeight="false" outlineLevel="0" collapsed="false">
      <c r="A3723" s="34" t="s">
        <v>4425</v>
      </c>
      <c r="B3723" s="34" t="s">
        <v>57</v>
      </c>
      <c r="C3723" s="34" t="s">
        <v>124</v>
      </c>
      <c r="D3723" s="34" t="s">
        <v>4426</v>
      </c>
      <c r="E3723" s="4" t="n">
        <v>40</v>
      </c>
      <c r="F3723" s="4" t="s">
        <v>213</v>
      </c>
      <c r="G3723" s="4" t="s">
        <v>209</v>
      </c>
      <c r="H3723" s="4" t="n">
        <v>1979</v>
      </c>
      <c r="I3723" s="4" t="s">
        <v>210</v>
      </c>
      <c r="J3723" s="25" t="str">
        <f aca="false">IF(M3723=1,"✓","")</f>
        <v>✓</v>
      </c>
      <c r="K3723" s="4" t="str">
        <f aca="false">IF(AND(M3723=0,P3723=0),"▶ NEXT","")</f>
        <v/>
      </c>
      <c r="L3723" s="4" t="n">
        <f aca="false">INDEX('Master List'!$F$2:$F$2594,O3723)</f>
        <v>7</v>
      </c>
      <c r="M3723" s="4" t="n">
        <f aca="false">INDEX('Master List'!$G$2:$G$2594,O3723)</f>
        <v>1</v>
      </c>
      <c r="N3723" s="4" t="str">
        <f aca="false">IF(K3723="","",A3723)</f>
        <v/>
      </c>
      <c r="O3723" s="4" t="n">
        <v>2145</v>
      </c>
      <c r="P3723" s="4" t="n">
        <f aca="false">IF(A3723=A3722,P3722+1-M3722,0)</f>
        <v>27</v>
      </c>
    </row>
    <row r="3724" customFormat="false" ht="15" hidden="false" customHeight="false" outlineLevel="0" collapsed="false">
      <c r="A3724" s="34" t="s">
        <v>4425</v>
      </c>
      <c r="B3724" s="34" t="s">
        <v>57</v>
      </c>
      <c r="C3724" s="34" t="s">
        <v>124</v>
      </c>
      <c r="D3724" s="34" t="s">
        <v>4426</v>
      </c>
      <c r="E3724" s="4" t="n">
        <v>41</v>
      </c>
      <c r="F3724" s="4" t="s">
        <v>213</v>
      </c>
      <c r="G3724" s="4" t="s">
        <v>238</v>
      </c>
      <c r="H3724" s="4" t="n">
        <v>1978</v>
      </c>
      <c r="I3724" s="4" t="s">
        <v>239</v>
      </c>
      <c r="J3724" s="25" t="str">
        <f aca="false">IF(M3724=1,"✓","")</f>
        <v/>
      </c>
      <c r="K3724" s="4" t="str">
        <f aca="false">IF(AND(M3724=0,P3724=0),"▶ NEXT","")</f>
        <v/>
      </c>
      <c r="L3724" s="4" t="n">
        <f aca="false">INDEX('Master List'!$F$2:$F$2594,O3724)</f>
        <v>6</v>
      </c>
      <c r="M3724" s="4" t="n">
        <f aca="false">INDEX('Master List'!$G$2:$G$2594,O3724)</f>
        <v>0</v>
      </c>
      <c r="N3724" s="4" t="str">
        <f aca="false">IF(K3724="","",A3724)</f>
        <v/>
      </c>
      <c r="O3724" s="4" t="n">
        <v>1248</v>
      </c>
      <c r="P3724" s="4" t="n">
        <f aca="false">IF(A3724=A3723,P3723+1-M3723,0)</f>
        <v>27</v>
      </c>
    </row>
    <row r="3725" customFormat="false" ht="15" hidden="false" customHeight="false" outlineLevel="0" collapsed="false">
      <c r="A3725" s="34" t="s">
        <v>4425</v>
      </c>
      <c r="B3725" s="34" t="s">
        <v>57</v>
      </c>
      <c r="C3725" s="34" t="s">
        <v>124</v>
      </c>
      <c r="D3725" s="34" t="s">
        <v>4426</v>
      </c>
      <c r="E3725" s="4" t="n">
        <v>42</v>
      </c>
      <c r="F3725" s="4" t="s">
        <v>213</v>
      </c>
      <c r="G3725" s="4" t="s">
        <v>220</v>
      </c>
      <c r="H3725" s="4" t="n">
        <v>1950</v>
      </c>
      <c r="I3725" s="4" t="s">
        <v>156</v>
      </c>
      <c r="J3725" s="25" t="str">
        <f aca="false">IF(M3725=1,"✓","")</f>
        <v>✓</v>
      </c>
      <c r="K3725" s="4" t="str">
        <f aca="false">IF(AND(M3725=0,P3725=0),"▶ NEXT","")</f>
        <v/>
      </c>
      <c r="L3725" s="4" t="n">
        <f aca="false">INDEX('Master List'!$F$2:$F$2594,O3725)</f>
        <v>6</v>
      </c>
      <c r="M3725" s="4" t="n">
        <f aca="false">INDEX('Master List'!$G$2:$G$2594,O3725)</f>
        <v>1</v>
      </c>
      <c r="N3725" s="4" t="str">
        <f aca="false">IF(K3725="","",A3725)</f>
        <v/>
      </c>
      <c r="O3725" s="4" t="n">
        <v>1860</v>
      </c>
      <c r="P3725" s="4" t="n">
        <f aca="false">IF(A3725=A3724,P3724+1-M3724,0)</f>
        <v>28</v>
      </c>
    </row>
    <row r="3726" customFormat="false" ht="15" hidden="false" customHeight="false" outlineLevel="0" collapsed="false">
      <c r="A3726" s="34" t="s">
        <v>4425</v>
      </c>
      <c r="B3726" s="34" t="s">
        <v>57</v>
      </c>
      <c r="C3726" s="34" t="s">
        <v>124</v>
      </c>
      <c r="D3726" s="34" t="s">
        <v>4426</v>
      </c>
      <c r="E3726" s="4" t="n">
        <v>43</v>
      </c>
      <c r="F3726" s="4" t="s">
        <v>213</v>
      </c>
      <c r="G3726" s="4" t="s">
        <v>772</v>
      </c>
      <c r="H3726" s="4" t="n">
        <v>1966</v>
      </c>
      <c r="I3726" s="4" t="s">
        <v>773</v>
      </c>
      <c r="J3726" s="25" t="str">
        <f aca="false">IF(M3726=1,"✓","")</f>
        <v/>
      </c>
      <c r="K3726" s="4" t="str">
        <f aca="false">IF(AND(M3726=0,P3726=0),"▶ NEXT","")</f>
        <v/>
      </c>
      <c r="L3726" s="4" t="n">
        <f aca="false">INDEX('Master List'!$F$2:$F$2594,O3726)</f>
        <v>2</v>
      </c>
      <c r="M3726" s="4" t="n">
        <f aca="false">INDEX('Master List'!$G$2:$G$2594,O3726)</f>
        <v>0</v>
      </c>
      <c r="N3726" s="4" t="str">
        <f aca="false">IF(K3726="","",A3726)</f>
        <v/>
      </c>
      <c r="O3726" s="4" t="n">
        <v>195</v>
      </c>
      <c r="P3726" s="4" t="n">
        <f aca="false">IF(A3726=A3725,P3725+1-M3725,0)</f>
        <v>28</v>
      </c>
    </row>
    <row r="3727" customFormat="false" ht="15" hidden="false" customHeight="false" outlineLevel="0" collapsed="false">
      <c r="A3727" s="34" t="s">
        <v>4425</v>
      </c>
      <c r="B3727" s="34" t="s">
        <v>57</v>
      </c>
      <c r="C3727" s="34" t="s">
        <v>124</v>
      </c>
      <c r="D3727" s="34" t="s">
        <v>4426</v>
      </c>
      <c r="E3727" s="4" t="n">
        <v>44</v>
      </c>
      <c r="F3727" s="4" t="s">
        <v>213</v>
      </c>
      <c r="G3727" s="4" t="s">
        <v>151</v>
      </c>
      <c r="H3727" s="4" t="n">
        <v>1960</v>
      </c>
      <c r="I3727" s="4" t="s">
        <v>152</v>
      </c>
      <c r="J3727" s="25" t="str">
        <f aca="false">IF(M3727=1,"✓","")</f>
        <v/>
      </c>
      <c r="K3727" s="4" t="str">
        <f aca="false">IF(AND(M3727=0,P3727=0),"▶ NEXT","")</f>
        <v/>
      </c>
      <c r="L3727" s="4" t="n">
        <f aca="false">INDEX('Master List'!$F$2:$F$2594,O3727)</f>
        <v>9</v>
      </c>
      <c r="M3727" s="4" t="n">
        <f aca="false">INDEX('Master List'!$G$2:$G$2594,O3727)</f>
        <v>0</v>
      </c>
      <c r="N3727" s="4" t="str">
        <f aca="false">IF(K3727="","",A3727)</f>
        <v/>
      </c>
      <c r="O3727" s="4" t="n">
        <v>342</v>
      </c>
      <c r="P3727" s="4" t="n">
        <f aca="false">IF(A3727=A3726,P3726+1-M3726,0)</f>
        <v>29</v>
      </c>
    </row>
    <row r="3728" customFormat="false" ht="15" hidden="false" customHeight="false" outlineLevel="0" collapsed="false">
      <c r="A3728" s="34" t="s">
        <v>4425</v>
      </c>
      <c r="B3728" s="34" t="s">
        <v>57</v>
      </c>
      <c r="C3728" s="34" t="s">
        <v>124</v>
      </c>
      <c r="D3728" s="34" t="s">
        <v>4426</v>
      </c>
      <c r="E3728" s="4" t="n">
        <v>45</v>
      </c>
      <c r="F3728" s="4" t="s">
        <v>213</v>
      </c>
      <c r="G3728" s="4" t="s">
        <v>192</v>
      </c>
      <c r="H3728" s="4" t="n">
        <v>1994</v>
      </c>
      <c r="I3728" s="4" t="s">
        <v>193</v>
      </c>
      <c r="J3728" s="25" t="str">
        <f aca="false">IF(M3728=1,"✓","")</f>
        <v/>
      </c>
      <c r="K3728" s="4" t="str">
        <f aca="false">IF(AND(M3728=0,P3728=0),"▶ NEXT","")</f>
        <v/>
      </c>
      <c r="L3728" s="4" t="n">
        <f aca="false">INDEX('Master List'!$F$2:$F$2594,O3728)</f>
        <v>7</v>
      </c>
      <c r="M3728" s="4" t="n">
        <f aca="false">INDEX('Master List'!$G$2:$G$2594,O3728)</f>
        <v>0</v>
      </c>
      <c r="N3728" s="4" t="str">
        <f aca="false">IF(K3728="","",A3728)</f>
        <v/>
      </c>
      <c r="O3728" s="4" t="n">
        <v>458</v>
      </c>
      <c r="P3728" s="4" t="n">
        <f aca="false">IF(A3728=A3727,P3727+1-M3727,0)</f>
        <v>30</v>
      </c>
    </row>
    <row r="3729" customFormat="false" ht="15" hidden="false" customHeight="false" outlineLevel="0" collapsed="false">
      <c r="A3729" s="34" t="s">
        <v>4425</v>
      </c>
      <c r="B3729" s="34" t="s">
        <v>57</v>
      </c>
      <c r="C3729" s="34" t="s">
        <v>124</v>
      </c>
      <c r="D3729" s="34" t="s">
        <v>4426</v>
      </c>
      <c r="E3729" s="4" t="n">
        <v>46</v>
      </c>
      <c r="F3729" s="4" t="s">
        <v>213</v>
      </c>
      <c r="G3729" s="4" t="s">
        <v>334</v>
      </c>
      <c r="H3729" s="4" t="n">
        <v>1942</v>
      </c>
      <c r="I3729" s="4" t="s">
        <v>335</v>
      </c>
      <c r="J3729" s="25" t="str">
        <f aca="false">IF(M3729=1,"✓","")</f>
        <v/>
      </c>
      <c r="K3729" s="4" t="str">
        <f aca="false">IF(AND(M3729=0,P3729=0),"▶ NEXT","")</f>
        <v/>
      </c>
      <c r="L3729" s="4" t="n">
        <f aca="false">INDEX('Master List'!$F$2:$F$2594,O3729)</f>
        <v>4</v>
      </c>
      <c r="M3729" s="4" t="n">
        <f aca="false">INDEX('Master List'!$G$2:$G$2594,O3729)</f>
        <v>0</v>
      </c>
      <c r="N3729" s="4" t="str">
        <f aca="false">IF(K3729="","",A3729)</f>
        <v/>
      </c>
      <c r="O3729" s="4" t="n">
        <v>403</v>
      </c>
      <c r="P3729" s="4" t="n">
        <f aca="false">IF(A3729=A3728,P3728+1-M3728,0)</f>
        <v>31</v>
      </c>
    </row>
    <row r="3730" customFormat="false" ht="15" hidden="false" customHeight="false" outlineLevel="0" collapsed="false">
      <c r="A3730" s="34" t="s">
        <v>4425</v>
      </c>
      <c r="B3730" s="34" t="s">
        <v>57</v>
      </c>
      <c r="C3730" s="34" t="s">
        <v>124</v>
      </c>
      <c r="D3730" s="34" t="s">
        <v>4426</v>
      </c>
      <c r="E3730" s="4" t="n">
        <v>47</v>
      </c>
      <c r="F3730" s="4" t="s">
        <v>213</v>
      </c>
      <c r="G3730" s="4" t="s">
        <v>285</v>
      </c>
      <c r="H3730" s="4" t="n">
        <v>1953</v>
      </c>
      <c r="I3730" s="4" t="s">
        <v>286</v>
      </c>
      <c r="J3730" s="25" t="str">
        <f aca="false">IF(M3730=1,"✓","")</f>
        <v/>
      </c>
      <c r="K3730" s="4" t="str">
        <f aca="false">IF(AND(M3730=0,P3730=0),"▶ NEXT","")</f>
        <v/>
      </c>
      <c r="L3730" s="4" t="n">
        <f aca="false">INDEX('Master List'!$F$2:$F$2594,O3730)</f>
        <v>5</v>
      </c>
      <c r="M3730" s="4" t="n">
        <f aca="false">INDEX('Master List'!$G$2:$G$2594,O3730)</f>
        <v>0</v>
      </c>
      <c r="N3730" s="4" t="str">
        <f aca="false">IF(K3730="","",A3730)</f>
        <v/>
      </c>
      <c r="O3730" s="4" t="n">
        <v>2393</v>
      </c>
      <c r="P3730" s="4" t="n">
        <f aca="false">IF(A3730=A3729,P3729+1-M3729,0)</f>
        <v>32</v>
      </c>
    </row>
    <row r="3731" customFormat="false" ht="15" hidden="false" customHeight="false" outlineLevel="0" collapsed="false">
      <c r="A3731" s="34" t="s">
        <v>4425</v>
      </c>
      <c r="B3731" s="34" t="s">
        <v>57</v>
      </c>
      <c r="C3731" s="34" t="s">
        <v>124</v>
      </c>
      <c r="D3731" s="34" t="s">
        <v>4426</v>
      </c>
      <c r="E3731" s="4" t="n">
        <v>48</v>
      </c>
      <c r="F3731" s="4" t="s">
        <v>213</v>
      </c>
      <c r="G3731" s="4" t="s">
        <v>601</v>
      </c>
      <c r="H3731" s="4" t="n">
        <v>1975</v>
      </c>
      <c r="I3731" s="4" t="s">
        <v>187</v>
      </c>
      <c r="J3731" s="25" t="str">
        <f aca="false">IF(M3731=1,"✓","")</f>
        <v>✓</v>
      </c>
      <c r="K3731" s="4" t="str">
        <f aca="false">IF(AND(M3731=0,P3731=0),"▶ NEXT","")</f>
        <v/>
      </c>
      <c r="L3731" s="4" t="n">
        <f aca="false">INDEX('Master List'!$F$2:$F$2594,O3731)</f>
        <v>3</v>
      </c>
      <c r="M3731" s="4" t="n">
        <f aca="false">INDEX('Master List'!$G$2:$G$2594,O3731)</f>
        <v>1</v>
      </c>
      <c r="N3731" s="4" t="str">
        <f aca="false">IF(K3731="","",A3731)</f>
        <v/>
      </c>
      <c r="O3731" s="4" t="n">
        <v>189</v>
      </c>
      <c r="P3731" s="4" t="n">
        <f aca="false">IF(A3731=A3730,P3730+1-M3730,0)</f>
        <v>33</v>
      </c>
    </row>
    <row r="3732" customFormat="false" ht="15" hidden="false" customHeight="false" outlineLevel="0" collapsed="false">
      <c r="A3732" s="34" t="s">
        <v>4425</v>
      </c>
      <c r="B3732" s="34" t="s">
        <v>57</v>
      </c>
      <c r="C3732" s="34" t="s">
        <v>124</v>
      </c>
      <c r="D3732" s="34" t="s">
        <v>4426</v>
      </c>
      <c r="E3732" s="4" t="n">
        <v>49</v>
      </c>
      <c r="F3732" s="4" t="s">
        <v>213</v>
      </c>
      <c r="G3732" s="4" t="s">
        <v>267</v>
      </c>
      <c r="H3732" s="4" t="n">
        <v>1954</v>
      </c>
      <c r="I3732" s="4" t="s">
        <v>268</v>
      </c>
      <c r="J3732" s="25" t="str">
        <f aca="false">IF(M3732=1,"✓","")</f>
        <v/>
      </c>
      <c r="K3732" s="4" t="str">
        <f aca="false">IF(AND(M3732=0,P3732=0),"▶ NEXT","")</f>
        <v/>
      </c>
      <c r="L3732" s="4" t="n">
        <f aca="false">INDEX('Master List'!$F$2:$F$2594,O3732)</f>
        <v>6</v>
      </c>
      <c r="M3732" s="4" t="n">
        <f aca="false">INDEX('Master List'!$G$2:$G$2594,O3732)</f>
        <v>0</v>
      </c>
      <c r="N3732" s="4" t="str">
        <f aca="false">IF(K3732="","",A3732)</f>
        <v/>
      </c>
      <c r="O3732" s="4" t="n">
        <v>1219</v>
      </c>
      <c r="P3732" s="4" t="n">
        <f aca="false">IF(A3732=A3731,P3731+1-M3731,0)</f>
        <v>33</v>
      </c>
    </row>
    <row r="3733" customFormat="false" ht="15" hidden="false" customHeight="false" outlineLevel="0" collapsed="false">
      <c r="A3733" s="34" t="s">
        <v>4425</v>
      </c>
      <c r="B3733" s="34" t="s">
        <v>57</v>
      </c>
      <c r="C3733" s="34" t="s">
        <v>124</v>
      </c>
      <c r="D3733" s="34" t="s">
        <v>4426</v>
      </c>
      <c r="E3733" s="4" t="n">
        <v>50</v>
      </c>
      <c r="F3733" s="4" t="s">
        <v>213</v>
      </c>
      <c r="G3733" s="4" t="s">
        <v>159</v>
      </c>
      <c r="H3733" s="4" t="n">
        <v>1948</v>
      </c>
      <c r="I3733" s="4" t="s">
        <v>160</v>
      </c>
      <c r="J3733" s="25" t="str">
        <f aca="false">IF(M3733=1,"✓","")</f>
        <v/>
      </c>
      <c r="K3733" s="4" t="str">
        <f aca="false">IF(AND(M3733=0,P3733=0),"▶ NEXT","")</f>
        <v/>
      </c>
      <c r="L3733" s="4" t="n">
        <f aca="false">INDEX('Master List'!$F$2:$F$2594,O3733)</f>
        <v>7</v>
      </c>
      <c r="M3733" s="4" t="n">
        <f aca="false">INDEX('Master List'!$G$2:$G$2594,O3733)</f>
        <v>0</v>
      </c>
      <c r="N3733" s="4" t="str">
        <f aca="false">IF(K3733="","",A3733)</f>
        <v/>
      </c>
      <c r="O3733" s="4" t="n">
        <v>238</v>
      </c>
      <c r="P3733" s="4" t="n">
        <f aca="false">IF(A3733=A3732,P3732+1-M3732,0)</f>
        <v>34</v>
      </c>
    </row>
    <row r="3734" customFormat="false" ht="15" hidden="false" customHeight="false" outlineLevel="0" collapsed="false">
      <c r="A3734" s="34" t="s">
        <v>4425</v>
      </c>
      <c r="B3734" s="34" t="s">
        <v>57</v>
      </c>
      <c r="C3734" s="34" t="s">
        <v>124</v>
      </c>
      <c r="D3734" s="34" t="s">
        <v>4426</v>
      </c>
      <c r="E3734" s="4" t="n">
        <v>51</v>
      </c>
      <c r="F3734" s="4" t="s">
        <v>213</v>
      </c>
      <c r="G3734" s="4" t="s">
        <v>380</v>
      </c>
      <c r="H3734" s="4" t="n">
        <v>2000</v>
      </c>
      <c r="I3734" s="4" t="s">
        <v>158</v>
      </c>
      <c r="J3734" s="25" t="str">
        <f aca="false">IF(M3734=1,"✓","")</f>
        <v/>
      </c>
      <c r="K3734" s="4" t="str">
        <f aca="false">IF(AND(M3734=0,P3734=0),"▶ NEXT","")</f>
        <v/>
      </c>
      <c r="L3734" s="4" t="n">
        <f aca="false">INDEX('Master List'!$F$2:$F$2594,O3734)</f>
        <v>4</v>
      </c>
      <c r="M3734" s="4" t="n">
        <f aca="false">INDEX('Master List'!$G$2:$G$2594,O3734)</f>
        <v>0</v>
      </c>
      <c r="N3734" s="4" t="str">
        <f aca="false">IF(K3734="","",A3734)</f>
        <v/>
      </c>
      <c r="O3734" s="4" t="n">
        <v>903</v>
      </c>
      <c r="P3734" s="4" t="n">
        <f aca="false">IF(A3734=A3733,P3733+1-M3733,0)</f>
        <v>35</v>
      </c>
    </row>
    <row r="3735" customFormat="false" ht="15" hidden="false" customHeight="false" outlineLevel="0" collapsed="false">
      <c r="A3735" s="34" t="s">
        <v>4425</v>
      </c>
      <c r="B3735" s="34" t="s">
        <v>57</v>
      </c>
      <c r="C3735" s="34" t="s">
        <v>124</v>
      </c>
      <c r="D3735" s="34" t="s">
        <v>4426</v>
      </c>
      <c r="E3735" s="4" t="n">
        <v>52</v>
      </c>
      <c r="F3735" s="4" t="s">
        <v>213</v>
      </c>
      <c r="G3735" s="4" t="s">
        <v>443</v>
      </c>
      <c r="H3735" s="4" t="n">
        <v>2004</v>
      </c>
      <c r="I3735" s="4" t="s">
        <v>444</v>
      </c>
      <c r="J3735" s="25" t="str">
        <f aca="false">IF(M3735=1,"✓","")</f>
        <v/>
      </c>
      <c r="K3735" s="4" t="str">
        <f aca="false">IF(AND(M3735=0,P3735=0),"▶ NEXT","")</f>
        <v/>
      </c>
      <c r="L3735" s="4" t="n">
        <f aca="false">INDEX('Master List'!$F$2:$F$2594,O3735)</f>
        <v>4</v>
      </c>
      <c r="M3735" s="4" t="n">
        <f aca="false">INDEX('Master List'!$G$2:$G$2594,O3735)</f>
        <v>0</v>
      </c>
      <c r="N3735" s="4" t="str">
        <f aca="false">IF(K3735="","",A3735)</f>
        <v/>
      </c>
      <c r="O3735" s="4" t="n">
        <v>2374</v>
      </c>
      <c r="P3735" s="4" t="n">
        <f aca="false">IF(A3735=A3734,P3734+1-M3734,0)</f>
        <v>36</v>
      </c>
    </row>
    <row r="3736" customFormat="false" ht="15" hidden="false" customHeight="false" outlineLevel="0" collapsed="false">
      <c r="A3736" s="34" t="s">
        <v>4425</v>
      </c>
      <c r="B3736" s="34" t="s">
        <v>57</v>
      </c>
      <c r="C3736" s="34" t="s">
        <v>124</v>
      </c>
      <c r="D3736" s="34" t="s">
        <v>4426</v>
      </c>
      <c r="E3736" s="4" t="n">
        <v>53</v>
      </c>
      <c r="F3736" s="4" t="s">
        <v>213</v>
      </c>
      <c r="G3736" s="4" t="s">
        <v>216</v>
      </c>
      <c r="H3736" s="4" t="n">
        <v>1960</v>
      </c>
      <c r="I3736" s="4" t="s">
        <v>217</v>
      </c>
      <c r="J3736" s="25" t="str">
        <f aca="false">IF(M3736=1,"✓","")</f>
        <v/>
      </c>
      <c r="K3736" s="4" t="str">
        <f aca="false">IF(AND(M3736=0,P3736=0),"▶ NEXT","")</f>
        <v/>
      </c>
      <c r="L3736" s="4" t="n">
        <f aca="false">INDEX('Master List'!$F$2:$F$2594,O3736)</f>
        <v>6</v>
      </c>
      <c r="M3736" s="4" t="n">
        <f aca="false">INDEX('Master List'!$G$2:$G$2594,O3736)</f>
        <v>0</v>
      </c>
      <c r="N3736" s="4" t="str">
        <f aca="false">IF(K3736="","",A3736)</f>
        <v/>
      </c>
      <c r="O3736" s="4" t="n">
        <v>154</v>
      </c>
      <c r="P3736" s="4" t="n">
        <f aca="false">IF(A3736=A3735,P3735+1-M3735,0)</f>
        <v>37</v>
      </c>
    </row>
    <row r="3737" customFormat="false" ht="15" hidden="false" customHeight="false" outlineLevel="0" collapsed="false">
      <c r="A3737" s="34" t="s">
        <v>4425</v>
      </c>
      <c r="B3737" s="34" t="s">
        <v>57</v>
      </c>
      <c r="C3737" s="34" t="s">
        <v>124</v>
      </c>
      <c r="D3737" s="34" t="s">
        <v>4426</v>
      </c>
      <c r="E3737" s="4" t="n">
        <v>54</v>
      </c>
      <c r="F3737" s="4" t="s">
        <v>213</v>
      </c>
      <c r="G3737" s="4" t="s">
        <v>332</v>
      </c>
      <c r="H3737" s="4" t="n">
        <v>1924</v>
      </c>
      <c r="I3737" s="4" t="s">
        <v>333</v>
      </c>
      <c r="J3737" s="25" t="str">
        <f aca="false">IF(M3737=1,"✓","")</f>
        <v/>
      </c>
      <c r="K3737" s="4" t="str">
        <f aca="false">IF(AND(M3737=0,P3737=0),"▶ NEXT","")</f>
        <v/>
      </c>
      <c r="L3737" s="4" t="n">
        <f aca="false">INDEX('Master List'!$F$2:$F$2594,O3737)</f>
        <v>4</v>
      </c>
      <c r="M3737" s="4" t="n">
        <f aca="false">INDEX('Master List'!$G$2:$G$2594,O3737)</f>
        <v>0</v>
      </c>
      <c r="N3737" s="4" t="str">
        <f aca="false">IF(K3737="","",A3737)</f>
        <v/>
      </c>
      <c r="O3737" s="4" t="n">
        <v>2043</v>
      </c>
      <c r="P3737" s="4" t="n">
        <f aca="false">IF(A3737=A3736,P3736+1-M3736,0)</f>
        <v>38</v>
      </c>
    </row>
    <row r="3738" customFormat="false" ht="15" hidden="false" customHeight="false" outlineLevel="0" collapsed="false">
      <c r="A3738" s="34" t="s">
        <v>4425</v>
      </c>
      <c r="B3738" s="34" t="s">
        <v>57</v>
      </c>
      <c r="C3738" s="34" t="s">
        <v>124</v>
      </c>
      <c r="D3738" s="34" t="s">
        <v>4426</v>
      </c>
      <c r="E3738" s="4" t="n">
        <v>55</v>
      </c>
      <c r="F3738" s="4" t="s">
        <v>213</v>
      </c>
      <c r="G3738" s="4" t="s">
        <v>279</v>
      </c>
      <c r="H3738" s="4" t="n">
        <v>2017</v>
      </c>
      <c r="I3738" s="4" t="s">
        <v>280</v>
      </c>
      <c r="J3738" s="25" t="str">
        <f aca="false">IF(M3738=1,"✓","")</f>
        <v>✓</v>
      </c>
      <c r="K3738" s="4" t="str">
        <f aca="false">IF(AND(M3738=0,P3738=0),"▶ NEXT","")</f>
        <v/>
      </c>
      <c r="L3738" s="4" t="n">
        <f aca="false">INDEX('Master List'!$F$2:$F$2594,O3738)</f>
        <v>5</v>
      </c>
      <c r="M3738" s="4" t="n">
        <f aca="false">INDEX('Master List'!$G$2:$G$2594,O3738)</f>
        <v>1</v>
      </c>
      <c r="N3738" s="4" t="str">
        <f aca="false">IF(K3738="","",A3738)</f>
        <v/>
      </c>
      <c r="O3738" s="4" t="n">
        <v>889</v>
      </c>
      <c r="P3738" s="4" t="n">
        <f aca="false">IF(A3738=A3737,P3737+1-M3737,0)</f>
        <v>39</v>
      </c>
    </row>
    <row r="3739" customFormat="false" ht="15" hidden="false" customHeight="false" outlineLevel="0" collapsed="false">
      <c r="A3739" s="34" t="s">
        <v>4425</v>
      </c>
      <c r="B3739" s="34" t="s">
        <v>57</v>
      </c>
      <c r="C3739" s="34" t="s">
        <v>124</v>
      </c>
      <c r="D3739" s="34" t="s">
        <v>4426</v>
      </c>
      <c r="E3739" s="4" t="n">
        <v>56</v>
      </c>
      <c r="F3739" s="4" t="s">
        <v>213</v>
      </c>
      <c r="G3739" s="4" t="s">
        <v>190</v>
      </c>
      <c r="H3739" s="4" t="n">
        <v>1954</v>
      </c>
      <c r="I3739" s="4" t="s">
        <v>162</v>
      </c>
      <c r="J3739" s="25" t="str">
        <f aca="false">IF(M3739=1,"✓","")</f>
        <v>✓</v>
      </c>
      <c r="K3739" s="4" t="str">
        <f aca="false">IF(AND(M3739=0,P3739=0),"▶ NEXT","")</f>
        <v/>
      </c>
      <c r="L3739" s="4" t="n">
        <f aca="false">INDEX('Master List'!$F$2:$F$2594,O3739)</f>
        <v>6</v>
      </c>
      <c r="M3739" s="4" t="n">
        <f aca="false">INDEX('Master List'!$G$2:$G$2594,O3739)</f>
        <v>1</v>
      </c>
      <c r="N3739" s="4" t="str">
        <f aca="false">IF(K3739="","",A3739)</f>
        <v/>
      </c>
      <c r="O3739" s="4" t="n">
        <v>1866</v>
      </c>
      <c r="P3739" s="4" t="n">
        <f aca="false">IF(A3739=A3738,P3738+1-M3738,0)</f>
        <v>39</v>
      </c>
    </row>
    <row r="3740" customFormat="false" ht="15" hidden="false" customHeight="false" outlineLevel="0" collapsed="false">
      <c r="A3740" s="34" t="s">
        <v>4425</v>
      </c>
      <c r="B3740" s="34" t="s">
        <v>57</v>
      </c>
      <c r="C3740" s="34" t="s">
        <v>124</v>
      </c>
      <c r="D3740" s="34" t="s">
        <v>4426</v>
      </c>
      <c r="E3740" s="4" t="n">
        <v>57</v>
      </c>
      <c r="F3740" s="4" t="s">
        <v>213</v>
      </c>
      <c r="G3740" s="4" t="s">
        <v>617</v>
      </c>
      <c r="H3740" s="4" t="n">
        <v>1994</v>
      </c>
      <c r="I3740" s="4" t="s">
        <v>618</v>
      </c>
      <c r="J3740" s="25" t="str">
        <f aca="false">IF(M3740=1,"✓","")</f>
        <v/>
      </c>
      <c r="K3740" s="4" t="str">
        <f aca="false">IF(AND(M3740=0,P3740=0),"▶ NEXT","")</f>
        <v/>
      </c>
      <c r="L3740" s="4" t="n">
        <f aca="false">INDEX('Master List'!$F$2:$F$2594,O3740)</f>
        <v>3</v>
      </c>
      <c r="M3740" s="4" t="n">
        <f aca="false">INDEX('Master List'!$G$2:$G$2594,O3740)</f>
        <v>0</v>
      </c>
      <c r="N3740" s="4" t="str">
        <f aca="false">IF(K3740="","",A3740)</f>
        <v/>
      </c>
      <c r="O3740" s="4" t="n">
        <v>1972</v>
      </c>
      <c r="P3740" s="4" t="n">
        <f aca="false">IF(A3740=A3739,P3739+1-M3739,0)</f>
        <v>39</v>
      </c>
    </row>
    <row r="3741" customFormat="false" ht="15" hidden="false" customHeight="false" outlineLevel="0" collapsed="false">
      <c r="A3741" s="34" t="s">
        <v>4425</v>
      </c>
      <c r="B3741" s="34" t="s">
        <v>57</v>
      </c>
      <c r="C3741" s="34" t="s">
        <v>124</v>
      </c>
      <c r="D3741" s="34" t="s">
        <v>4426</v>
      </c>
      <c r="E3741" s="4" t="n">
        <v>58</v>
      </c>
      <c r="F3741" s="4" t="s">
        <v>213</v>
      </c>
      <c r="G3741" s="4" t="s">
        <v>165</v>
      </c>
      <c r="H3741" s="4" t="n">
        <v>2016</v>
      </c>
      <c r="I3741" s="4" t="s">
        <v>166</v>
      </c>
      <c r="J3741" s="25" t="str">
        <f aca="false">IF(M3741=1,"✓","")</f>
        <v>✓</v>
      </c>
      <c r="K3741" s="4" t="str">
        <f aca="false">IF(AND(M3741=0,P3741=0),"▶ NEXT","")</f>
        <v/>
      </c>
      <c r="L3741" s="4" t="n">
        <f aca="false">INDEX('Master List'!$F$2:$F$2594,O3741)</f>
        <v>8</v>
      </c>
      <c r="M3741" s="4" t="n">
        <f aca="false">INDEX('Master List'!$G$2:$G$2594,O3741)</f>
        <v>1</v>
      </c>
      <c r="N3741" s="4" t="str">
        <f aca="false">IF(K3741="","",A3741)</f>
        <v/>
      </c>
      <c r="O3741" s="4" t="n">
        <v>1532</v>
      </c>
      <c r="P3741" s="4" t="n">
        <f aca="false">IF(A3741=A3740,P3740+1-M3740,0)</f>
        <v>40</v>
      </c>
    </row>
    <row r="3742" customFormat="false" ht="15" hidden="false" customHeight="false" outlineLevel="0" collapsed="false">
      <c r="A3742" s="34" t="s">
        <v>4425</v>
      </c>
      <c r="B3742" s="34" t="s">
        <v>57</v>
      </c>
      <c r="C3742" s="34" t="s">
        <v>124</v>
      </c>
      <c r="D3742" s="34" t="s">
        <v>4426</v>
      </c>
      <c r="E3742" s="4" t="n">
        <v>59</v>
      </c>
      <c r="F3742" s="4" t="s">
        <v>213</v>
      </c>
      <c r="G3742" s="4" t="s">
        <v>199</v>
      </c>
      <c r="H3742" s="4" t="n">
        <v>1960</v>
      </c>
      <c r="I3742" s="4" t="s">
        <v>200</v>
      </c>
      <c r="J3742" s="25" t="str">
        <f aca="false">IF(M3742=1,"✓","")</f>
        <v/>
      </c>
      <c r="K3742" s="4" t="str">
        <f aca="false">IF(AND(M3742=0,P3742=0),"▶ NEXT","")</f>
        <v/>
      </c>
      <c r="L3742" s="4" t="n">
        <f aca="false">INDEX('Master List'!$F$2:$F$2594,O3742)</f>
        <v>7</v>
      </c>
      <c r="M3742" s="4" t="n">
        <f aca="false">INDEX('Master List'!$G$2:$G$2594,O3742)</f>
        <v>0</v>
      </c>
      <c r="N3742" s="4" t="str">
        <f aca="false">IF(K3742="","",A3742)</f>
        <v/>
      </c>
      <c r="O3742" s="4" t="n">
        <v>120</v>
      </c>
      <c r="P3742" s="4" t="n">
        <f aca="false">IF(A3742=A3741,P3741+1-M3741,0)</f>
        <v>40</v>
      </c>
    </row>
    <row r="3743" customFormat="false" ht="15" hidden="false" customHeight="false" outlineLevel="0" collapsed="false">
      <c r="A3743" s="34" t="s">
        <v>4425</v>
      </c>
      <c r="B3743" s="34" t="s">
        <v>57</v>
      </c>
      <c r="C3743" s="34" t="s">
        <v>124</v>
      </c>
      <c r="D3743" s="34" t="s">
        <v>4426</v>
      </c>
      <c r="E3743" s="4" t="n">
        <v>60</v>
      </c>
      <c r="F3743" s="4" t="s">
        <v>213</v>
      </c>
      <c r="G3743" s="4" t="s">
        <v>595</v>
      </c>
      <c r="H3743" s="4" t="n">
        <v>1970</v>
      </c>
      <c r="I3743" s="4" t="s">
        <v>596</v>
      </c>
      <c r="J3743" s="25" t="str">
        <f aca="false">IF(M3743=1,"✓","")</f>
        <v/>
      </c>
      <c r="K3743" s="4" t="str">
        <f aca="false">IF(AND(M3743=0,P3743=0),"▶ NEXT","")</f>
        <v/>
      </c>
      <c r="L3743" s="4" t="n">
        <f aca="false">INDEX('Master List'!$F$2:$F$2594,O3743)</f>
        <v>3</v>
      </c>
      <c r="M3743" s="4" t="n">
        <f aca="false">INDEX('Master List'!$G$2:$G$2594,O3743)</f>
        <v>0</v>
      </c>
      <c r="N3743" s="4" t="str">
        <f aca="false">IF(K3743="","",A3743)</f>
        <v/>
      </c>
      <c r="O3743" s="4" t="n">
        <v>2461</v>
      </c>
      <c r="P3743" s="4" t="n">
        <f aca="false">IF(A3743=A3742,P3742+1-M3742,0)</f>
        <v>41</v>
      </c>
    </row>
    <row r="3744" customFormat="false" ht="15" hidden="false" customHeight="false" outlineLevel="0" collapsed="false">
      <c r="A3744" s="34" t="s">
        <v>4425</v>
      </c>
      <c r="B3744" s="34" t="s">
        <v>57</v>
      </c>
      <c r="C3744" s="34" t="s">
        <v>124</v>
      </c>
      <c r="D3744" s="34" t="s">
        <v>4426</v>
      </c>
      <c r="E3744" s="4" t="n">
        <v>61</v>
      </c>
      <c r="F3744" s="4" t="s">
        <v>213</v>
      </c>
      <c r="G3744" s="4" t="s">
        <v>339</v>
      </c>
      <c r="H3744" s="4" t="n">
        <v>1973</v>
      </c>
      <c r="I3744" s="4" t="s">
        <v>340</v>
      </c>
      <c r="J3744" s="25" t="str">
        <f aca="false">IF(M3744=1,"✓","")</f>
        <v/>
      </c>
      <c r="K3744" s="4" t="str">
        <f aca="false">IF(AND(M3744=0,P3744=0),"▶ NEXT","")</f>
        <v/>
      </c>
      <c r="L3744" s="4" t="n">
        <f aca="false">INDEX('Master List'!$F$2:$F$2594,O3744)</f>
        <v>4</v>
      </c>
      <c r="M3744" s="4" t="n">
        <f aca="false">INDEX('Master List'!$G$2:$G$2594,O3744)</f>
        <v>0</v>
      </c>
      <c r="N3744" s="4" t="str">
        <f aca="false">IF(K3744="","",A3744)</f>
        <v/>
      </c>
      <c r="O3744" s="4" t="n">
        <v>2349</v>
      </c>
      <c r="P3744" s="4" t="n">
        <f aca="false">IF(A3744=A3743,P3743+1-M3743,0)</f>
        <v>42</v>
      </c>
    </row>
    <row r="3745" customFormat="false" ht="15" hidden="false" customHeight="false" outlineLevel="0" collapsed="false">
      <c r="A3745" s="34" t="s">
        <v>4425</v>
      </c>
      <c r="B3745" s="34" t="s">
        <v>57</v>
      </c>
      <c r="C3745" s="34" t="s">
        <v>124</v>
      </c>
      <c r="D3745" s="34" t="s">
        <v>4426</v>
      </c>
      <c r="E3745" s="4" t="n">
        <v>62</v>
      </c>
      <c r="F3745" s="4" t="s">
        <v>213</v>
      </c>
      <c r="G3745" s="4" t="s">
        <v>381</v>
      </c>
      <c r="H3745" s="4" t="n">
        <v>2001</v>
      </c>
      <c r="I3745" s="4" t="s">
        <v>382</v>
      </c>
      <c r="J3745" s="25" t="str">
        <f aca="false">IF(M3745=1,"✓","")</f>
        <v/>
      </c>
      <c r="K3745" s="4" t="str">
        <f aca="false">IF(AND(M3745=0,P3745=0),"▶ NEXT","")</f>
        <v/>
      </c>
      <c r="L3745" s="4" t="n">
        <f aca="false">INDEX('Master List'!$F$2:$F$2594,O3745)</f>
        <v>4</v>
      </c>
      <c r="M3745" s="4" t="n">
        <f aca="false">INDEX('Master List'!$G$2:$G$2594,O3745)</f>
        <v>0</v>
      </c>
      <c r="N3745" s="4" t="str">
        <f aca="false">IF(K3745="","",A3745)</f>
        <v/>
      </c>
      <c r="O3745" s="4" t="n">
        <v>2136</v>
      </c>
      <c r="P3745" s="4" t="n">
        <f aca="false">IF(A3745=A3744,P3744+1-M3744,0)</f>
        <v>43</v>
      </c>
    </row>
    <row r="3746" customFormat="false" ht="15" hidden="false" customHeight="false" outlineLevel="0" collapsed="false">
      <c r="A3746" s="34" t="s">
        <v>4425</v>
      </c>
      <c r="B3746" s="34" t="s">
        <v>57</v>
      </c>
      <c r="C3746" s="34" t="s">
        <v>124</v>
      </c>
      <c r="D3746" s="34" t="s">
        <v>4426</v>
      </c>
      <c r="E3746" s="4" t="n">
        <v>63</v>
      </c>
      <c r="F3746" s="4" t="s">
        <v>213</v>
      </c>
      <c r="G3746" s="4" t="s">
        <v>222</v>
      </c>
      <c r="H3746" s="4" t="n">
        <v>2000</v>
      </c>
      <c r="I3746" s="4" t="s">
        <v>223</v>
      </c>
      <c r="J3746" s="25" t="str">
        <f aca="false">IF(M3746=1,"✓","")</f>
        <v/>
      </c>
      <c r="K3746" s="4" t="str">
        <f aca="false">IF(AND(M3746=0,P3746=0),"▶ NEXT","")</f>
        <v/>
      </c>
      <c r="L3746" s="4" t="n">
        <f aca="false">INDEX('Master List'!$F$2:$F$2594,O3746)</f>
        <v>6</v>
      </c>
      <c r="M3746" s="4" t="n">
        <f aca="false">INDEX('Master List'!$G$2:$G$2594,O3746)</f>
        <v>0</v>
      </c>
      <c r="N3746" s="4" t="str">
        <f aca="false">IF(K3746="","",A3746)</f>
        <v/>
      </c>
      <c r="O3746" s="4" t="n">
        <v>2569</v>
      </c>
      <c r="P3746" s="4" t="n">
        <f aca="false">IF(A3746=A3745,P3745+1-M3745,0)</f>
        <v>44</v>
      </c>
    </row>
    <row r="3747" customFormat="false" ht="15" hidden="false" customHeight="false" outlineLevel="0" collapsed="false">
      <c r="A3747" s="34" t="s">
        <v>4425</v>
      </c>
      <c r="B3747" s="34" t="s">
        <v>57</v>
      </c>
      <c r="C3747" s="34" t="s">
        <v>124</v>
      </c>
      <c r="D3747" s="34" t="s">
        <v>4426</v>
      </c>
      <c r="E3747" s="4" t="n">
        <v>64</v>
      </c>
      <c r="F3747" s="4" t="s">
        <v>213</v>
      </c>
      <c r="G3747" s="4" t="s">
        <v>173</v>
      </c>
      <c r="H3747" s="4" t="n">
        <v>1982</v>
      </c>
      <c r="I3747" s="4" t="s">
        <v>174</v>
      </c>
      <c r="J3747" s="25" t="str">
        <f aca="false">IF(M3747=1,"✓","")</f>
        <v>✓</v>
      </c>
      <c r="K3747" s="4" t="str">
        <f aca="false">IF(AND(M3747=0,P3747=0),"▶ NEXT","")</f>
        <v/>
      </c>
      <c r="L3747" s="4" t="n">
        <f aca="false">INDEX('Master List'!$F$2:$F$2594,O3747)</f>
        <v>8</v>
      </c>
      <c r="M3747" s="4" t="n">
        <f aca="false">INDEX('Master List'!$G$2:$G$2594,O3747)</f>
        <v>1</v>
      </c>
      <c r="N3747" s="4" t="str">
        <f aca="false">IF(K3747="","",A3747)</f>
        <v/>
      </c>
      <c r="O3747" s="4" t="n">
        <v>279</v>
      </c>
      <c r="P3747" s="4" t="n">
        <f aca="false">IF(A3747=A3746,P3746+1-M3746,0)</f>
        <v>45</v>
      </c>
    </row>
    <row r="3748" customFormat="false" ht="15" hidden="false" customHeight="false" outlineLevel="0" collapsed="false">
      <c r="A3748" s="34" t="s">
        <v>4425</v>
      </c>
      <c r="B3748" s="34" t="s">
        <v>57</v>
      </c>
      <c r="C3748" s="34" t="s">
        <v>124</v>
      </c>
      <c r="D3748" s="34" t="s">
        <v>4426</v>
      </c>
      <c r="E3748" s="4" t="n">
        <v>65</v>
      </c>
      <c r="F3748" s="4" t="s">
        <v>213</v>
      </c>
      <c r="G3748" s="4" t="s">
        <v>297</v>
      </c>
      <c r="H3748" s="4" t="n">
        <v>2019</v>
      </c>
      <c r="I3748" s="4" t="s">
        <v>276</v>
      </c>
      <c r="J3748" s="25" t="str">
        <f aca="false">IF(M3748=1,"✓","")</f>
        <v>✓</v>
      </c>
      <c r="K3748" s="4" t="str">
        <f aca="false">IF(AND(M3748=0,P3748=0),"▶ NEXT","")</f>
        <v/>
      </c>
      <c r="L3748" s="4" t="n">
        <f aca="false">INDEX('Master List'!$F$2:$F$2594,O3748)</f>
        <v>5</v>
      </c>
      <c r="M3748" s="4" t="n">
        <f aca="false">INDEX('Master List'!$G$2:$G$2594,O3748)</f>
        <v>1</v>
      </c>
      <c r="N3748" s="4" t="str">
        <f aca="false">IF(K3748="","",A3748)</f>
        <v/>
      </c>
      <c r="O3748" s="4" t="n">
        <v>1720</v>
      </c>
      <c r="P3748" s="4" t="n">
        <f aca="false">IF(A3748=A3747,P3747+1-M3747,0)</f>
        <v>45</v>
      </c>
    </row>
    <row r="3749" customFormat="false" ht="15" hidden="false" customHeight="false" outlineLevel="0" collapsed="false">
      <c r="A3749" s="34" t="s">
        <v>4425</v>
      </c>
      <c r="B3749" s="34" t="s">
        <v>57</v>
      </c>
      <c r="C3749" s="34" t="s">
        <v>124</v>
      </c>
      <c r="D3749" s="34" t="s">
        <v>4426</v>
      </c>
      <c r="E3749" s="4" t="n">
        <v>66</v>
      </c>
      <c r="F3749" s="4" t="s">
        <v>1327</v>
      </c>
      <c r="G3749" s="4" t="s">
        <v>896</v>
      </c>
      <c r="H3749" s="4" t="n">
        <v>1998</v>
      </c>
      <c r="I3749" s="4" t="s">
        <v>152</v>
      </c>
      <c r="J3749" s="25" t="str">
        <f aca="false">IF(M3749=1,"✓","")</f>
        <v/>
      </c>
      <c r="K3749" s="4" t="str">
        <f aca="false">IF(AND(M3749=0,P3749=0),"▶ NEXT","")</f>
        <v/>
      </c>
      <c r="L3749" s="4" t="n">
        <f aca="false">INDEX('Master List'!$F$2:$F$2594,O3749)</f>
        <v>3</v>
      </c>
      <c r="M3749" s="4" t="n">
        <f aca="false">INDEX('Master List'!$G$2:$G$2594,O3749)</f>
        <v>0</v>
      </c>
      <c r="N3749" s="4" t="str">
        <f aca="false">IF(K3749="","",A3749)</f>
        <v/>
      </c>
      <c r="O3749" s="4" t="n">
        <v>1043</v>
      </c>
      <c r="P3749" s="4" t="n">
        <f aca="false">IF(A3749=A3748,P3748+1-M3748,0)</f>
        <v>45</v>
      </c>
    </row>
    <row r="3750" customFormat="false" ht="15" hidden="false" customHeight="false" outlineLevel="0" collapsed="false">
      <c r="A3750" s="34" t="s">
        <v>4427</v>
      </c>
      <c r="B3750" s="34" t="s">
        <v>57</v>
      </c>
      <c r="C3750" s="34" t="s">
        <v>124</v>
      </c>
      <c r="D3750" s="34" t="s">
        <v>4428</v>
      </c>
      <c r="E3750" s="4" t="n">
        <v>1</v>
      </c>
      <c r="F3750" s="4" t="s">
        <v>144</v>
      </c>
      <c r="G3750" s="7" t="s">
        <v>142</v>
      </c>
      <c r="H3750" s="4" t="n">
        <v>1941</v>
      </c>
      <c r="I3750" s="4" t="s">
        <v>143</v>
      </c>
      <c r="J3750" s="25" t="str">
        <f aca="false">IF(M3750=1,"✓","")</f>
        <v/>
      </c>
      <c r="K3750" s="4" t="str">
        <f aca="false">IF(AND(M3750=0,P3750=0),"▶ NEXT","")</f>
        <v>▶ NEXT</v>
      </c>
      <c r="L3750" s="4" t="n">
        <f aca="false">INDEX('Master List'!$F$2:$F$2594,O3750)</f>
        <v>13</v>
      </c>
      <c r="M3750" s="4" t="n">
        <f aca="false">INDEX('Master List'!$G$2:$G$2594,O3750)</f>
        <v>0</v>
      </c>
      <c r="N3750" s="4" t="str">
        <f aca="false">IF(K3750="","",A3750)</f>
        <v>N302</v>
      </c>
      <c r="O3750" s="4" t="n">
        <v>462</v>
      </c>
      <c r="P3750" s="4" t="n">
        <f aca="false">IF(A3750=A3749,P3749+1-M3749,0)</f>
        <v>0</v>
      </c>
    </row>
    <row r="3751" customFormat="false" ht="15" hidden="false" customHeight="false" outlineLevel="0" collapsed="false">
      <c r="A3751" s="34" t="s">
        <v>4427</v>
      </c>
      <c r="B3751" s="34" t="s">
        <v>57</v>
      </c>
      <c r="C3751" s="34" t="s">
        <v>124</v>
      </c>
      <c r="D3751" s="34" t="s">
        <v>4428</v>
      </c>
      <c r="E3751" s="4" t="n">
        <v>2</v>
      </c>
      <c r="F3751" s="4" t="s">
        <v>144</v>
      </c>
      <c r="G3751" s="7" t="s">
        <v>206</v>
      </c>
      <c r="H3751" s="4" t="n">
        <v>1972</v>
      </c>
      <c r="I3751" s="4" t="s">
        <v>172</v>
      </c>
      <c r="J3751" s="25" t="str">
        <f aca="false">IF(M3751=1,"✓","")</f>
        <v>✓</v>
      </c>
      <c r="K3751" s="4" t="str">
        <f aca="false">IF(AND(M3751=0,P3751=0),"▶ NEXT","")</f>
        <v/>
      </c>
      <c r="L3751" s="4" t="n">
        <f aca="false">INDEX('Master List'!$F$2:$F$2594,O3751)</f>
        <v>6</v>
      </c>
      <c r="M3751" s="4" t="n">
        <f aca="false">INDEX('Master List'!$G$2:$G$2594,O3751)</f>
        <v>1</v>
      </c>
      <c r="N3751" s="4" t="str">
        <f aca="false">IF(K3751="","",A3751)</f>
        <v/>
      </c>
      <c r="O3751" s="4" t="n">
        <v>909</v>
      </c>
      <c r="P3751" s="4" t="n">
        <f aca="false">IF(A3751=A3750,P3750+1-M3750,0)</f>
        <v>1</v>
      </c>
    </row>
    <row r="3752" customFormat="false" ht="15" hidden="false" customHeight="false" outlineLevel="0" collapsed="false">
      <c r="A3752" s="34" t="s">
        <v>4427</v>
      </c>
      <c r="B3752" s="34" t="s">
        <v>57</v>
      </c>
      <c r="C3752" s="34" t="s">
        <v>124</v>
      </c>
      <c r="D3752" s="34" t="s">
        <v>4428</v>
      </c>
      <c r="E3752" s="4" t="n">
        <v>3</v>
      </c>
      <c r="F3752" s="4" t="s">
        <v>213</v>
      </c>
      <c r="G3752" s="4" t="s">
        <v>334</v>
      </c>
      <c r="H3752" s="4" t="n">
        <v>1942</v>
      </c>
      <c r="I3752" s="4" t="s">
        <v>335</v>
      </c>
      <c r="J3752" s="25" t="str">
        <f aca="false">IF(M3752=1,"✓","")</f>
        <v/>
      </c>
      <c r="K3752" s="4" t="str">
        <f aca="false">IF(AND(M3752=0,P3752=0),"▶ NEXT","")</f>
        <v/>
      </c>
      <c r="L3752" s="4" t="n">
        <f aca="false">INDEX('Master List'!$F$2:$F$2594,O3752)</f>
        <v>4</v>
      </c>
      <c r="M3752" s="4" t="n">
        <f aca="false">INDEX('Master List'!$G$2:$G$2594,O3752)</f>
        <v>0</v>
      </c>
      <c r="N3752" s="4" t="str">
        <f aca="false">IF(K3752="","",A3752)</f>
        <v/>
      </c>
      <c r="O3752" s="4" t="n">
        <v>403</v>
      </c>
      <c r="P3752" s="4" t="n">
        <f aca="false">IF(A3752=A3751,P3751+1-M3751,0)</f>
        <v>1</v>
      </c>
    </row>
    <row r="3753" customFormat="false" ht="15" hidden="false" customHeight="false" outlineLevel="0" collapsed="false">
      <c r="A3753" s="34" t="s">
        <v>4427</v>
      </c>
      <c r="B3753" s="34" t="s">
        <v>57</v>
      </c>
      <c r="C3753" s="34" t="s">
        <v>124</v>
      </c>
      <c r="D3753" s="34" t="s">
        <v>4428</v>
      </c>
      <c r="E3753" s="4" t="n">
        <v>4</v>
      </c>
      <c r="F3753" s="4" t="s">
        <v>213</v>
      </c>
      <c r="G3753" s="4" t="s">
        <v>244</v>
      </c>
      <c r="H3753" s="4" t="n">
        <v>1980</v>
      </c>
      <c r="I3753" s="4" t="s">
        <v>164</v>
      </c>
      <c r="J3753" s="25" t="str">
        <f aca="false">IF(M3753=1,"✓","")</f>
        <v>✓</v>
      </c>
      <c r="K3753" s="4" t="str">
        <f aca="false">IF(AND(M3753=0,P3753=0),"▶ NEXT","")</f>
        <v/>
      </c>
      <c r="L3753" s="4" t="n">
        <f aca="false">INDEX('Master List'!$F$2:$F$2594,O3753)</f>
        <v>5</v>
      </c>
      <c r="M3753" s="4" t="n">
        <f aca="false">INDEX('Master List'!$G$2:$G$2594,O3753)</f>
        <v>1</v>
      </c>
      <c r="N3753" s="4" t="str">
        <f aca="false">IF(K3753="","",A3753)</f>
        <v/>
      </c>
      <c r="O3753" s="4" t="n">
        <v>1850</v>
      </c>
      <c r="P3753" s="4" t="n">
        <f aca="false">IF(A3753=A3752,P3752+1-M3752,0)</f>
        <v>2</v>
      </c>
    </row>
    <row r="3754" customFormat="false" ht="15" hidden="false" customHeight="false" outlineLevel="0" collapsed="false">
      <c r="A3754" s="34" t="s">
        <v>4427</v>
      </c>
      <c r="B3754" s="34" t="s">
        <v>57</v>
      </c>
      <c r="C3754" s="34" t="s">
        <v>124</v>
      </c>
      <c r="D3754" s="34" t="s">
        <v>4428</v>
      </c>
      <c r="E3754" s="4" t="n">
        <v>5</v>
      </c>
      <c r="F3754" s="4" t="s">
        <v>213</v>
      </c>
      <c r="G3754" s="4" t="s">
        <v>224</v>
      </c>
      <c r="H3754" s="4" t="n">
        <v>1952</v>
      </c>
      <c r="I3754" s="4" t="s">
        <v>225</v>
      </c>
      <c r="J3754" s="25" t="str">
        <f aca="false">IF(M3754=1,"✓","")</f>
        <v/>
      </c>
      <c r="K3754" s="4" t="str">
        <f aca="false">IF(AND(M3754=0,P3754=0),"▶ NEXT","")</f>
        <v/>
      </c>
      <c r="L3754" s="4" t="n">
        <f aca="false">INDEX('Master List'!$F$2:$F$2594,O3754)</f>
        <v>6</v>
      </c>
      <c r="M3754" s="4" t="n">
        <f aca="false">INDEX('Master List'!$G$2:$G$2594,O3754)</f>
        <v>0</v>
      </c>
      <c r="N3754" s="4" t="str">
        <f aca="false">IF(K3754="","",A3754)</f>
        <v/>
      </c>
      <c r="O3754" s="4" t="n">
        <v>2080</v>
      </c>
      <c r="P3754" s="4" t="n">
        <f aca="false">IF(A3754=A3753,P3753+1-M3753,0)</f>
        <v>2</v>
      </c>
    </row>
    <row r="3755" customFormat="false" ht="15" hidden="false" customHeight="false" outlineLevel="0" collapsed="false">
      <c r="A3755" s="34" t="s">
        <v>4427</v>
      </c>
      <c r="B3755" s="34" t="s">
        <v>57</v>
      </c>
      <c r="C3755" s="34" t="s">
        <v>124</v>
      </c>
      <c r="D3755" s="34" t="s">
        <v>4428</v>
      </c>
      <c r="E3755" s="4" t="n">
        <v>6</v>
      </c>
      <c r="F3755" s="4" t="s">
        <v>213</v>
      </c>
      <c r="G3755" s="4" t="s">
        <v>914</v>
      </c>
      <c r="H3755" s="4" t="n">
        <v>1939</v>
      </c>
      <c r="I3755" s="4" t="s">
        <v>346</v>
      </c>
      <c r="J3755" s="25" t="str">
        <f aca="false">IF(M3755=1,"✓","")</f>
        <v/>
      </c>
      <c r="K3755" s="4" t="str">
        <f aca="false">IF(AND(M3755=0,P3755=0),"▶ NEXT","")</f>
        <v/>
      </c>
      <c r="L3755" s="4" t="n">
        <f aca="false">INDEX('Master List'!$F$2:$F$2594,O3755)</f>
        <v>2</v>
      </c>
      <c r="M3755" s="4" t="n">
        <f aca="false">INDEX('Master List'!$G$2:$G$2594,O3755)</f>
        <v>0</v>
      </c>
      <c r="N3755" s="4" t="str">
        <f aca="false">IF(K3755="","",A3755)</f>
        <v/>
      </c>
      <c r="O3755" s="4" t="n">
        <v>923</v>
      </c>
      <c r="P3755" s="4" t="n">
        <f aca="false">IF(A3755=A3754,P3754+1-M3754,0)</f>
        <v>3</v>
      </c>
    </row>
    <row r="3756" customFormat="false" ht="15" hidden="false" customHeight="false" outlineLevel="0" collapsed="false">
      <c r="A3756" s="34" t="s">
        <v>4427</v>
      </c>
      <c r="B3756" s="34" t="s">
        <v>57</v>
      </c>
      <c r="C3756" s="34" t="s">
        <v>124</v>
      </c>
      <c r="D3756" s="34" t="s">
        <v>4428</v>
      </c>
      <c r="E3756" s="4" t="n">
        <v>7</v>
      </c>
      <c r="F3756" s="4" t="s">
        <v>213</v>
      </c>
      <c r="G3756" s="4" t="s">
        <v>254</v>
      </c>
      <c r="H3756" s="4" t="n">
        <v>1962</v>
      </c>
      <c r="I3756" s="4" t="s">
        <v>255</v>
      </c>
      <c r="J3756" s="25" t="str">
        <f aca="false">IF(M3756=1,"✓","")</f>
        <v/>
      </c>
      <c r="K3756" s="4" t="str">
        <f aca="false">IF(AND(M3756=0,P3756=0),"▶ NEXT","")</f>
        <v/>
      </c>
      <c r="L3756" s="4" t="n">
        <f aca="false">INDEX('Master List'!$F$2:$F$2594,O3756)</f>
        <v>5</v>
      </c>
      <c r="M3756" s="4" t="n">
        <f aca="false">INDEX('Master List'!$G$2:$G$2594,O3756)</f>
        <v>0</v>
      </c>
      <c r="N3756" s="4" t="str">
        <f aca="false">IF(K3756="","",A3756)</f>
        <v/>
      </c>
      <c r="O3756" s="4" t="n">
        <v>1313</v>
      </c>
      <c r="P3756" s="4" t="n">
        <f aca="false">IF(A3756=A3755,P3755+1-M3755,0)</f>
        <v>4</v>
      </c>
    </row>
    <row r="3757" customFormat="false" ht="15" hidden="false" customHeight="false" outlineLevel="0" collapsed="false">
      <c r="A3757" s="34" t="s">
        <v>4427</v>
      </c>
      <c r="B3757" s="34" t="s">
        <v>57</v>
      </c>
      <c r="C3757" s="34" t="s">
        <v>124</v>
      </c>
      <c r="D3757" s="34" t="s">
        <v>4428</v>
      </c>
      <c r="E3757" s="4" t="n">
        <v>8</v>
      </c>
      <c r="F3757" s="4" t="s">
        <v>213</v>
      </c>
      <c r="G3757" s="4" t="s">
        <v>498</v>
      </c>
      <c r="H3757" s="4" t="n">
        <v>1993</v>
      </c>
      <c r="I3757" s="4" t="s">
        <v>183</v>
      </c>
      <c r="J3757" s="25" t="str">
        <f aca="false">IF(M3757=1,"✓","")</f>
        <v/>
      </c>
      <c r="K3757" s="4" t="str">
        <f aca="false">IF(AND(M3757=0,P3757=0),"▶ NEXT","")</f>
        <v/>
      </c>
      <c r="L3757" s="4" t="n">
        <f aca="false">INDEX('Master List'!$F$2:$F$2594,O3757)</f>
        <v>3</v>
      </c>
      <c r="M3757" s="4" t="n">
        <f aca="false">INDEX('Master List'!$G$2:$G$2594,O3757)</f>
        <v>0</v>
      </c>
      <c r="N3757" s="4" t="str">
        <f aca="false">IF(K3757="","",A3757)</f>
        <v/>
      </c>
      <c r="O3757" s="4" t="n">
        <v>1989</v>
      </c>
      <c r="P3757" s="4" t="n">
        <f aca="false">IF(A3757=A3756,P3756+1-M3756,0)</f>
        <v>5</v>
      </c>
    </row>
    <row r="3758" customFormat="false" ht="15" hidden="false" customHeight="false" outlineLevel="0" collapsed="false">
      <c r="A3758" s="34" t="s">
        <v>4427</v>
      </c>
      <c r="B3758" s="34" t="s">
        <v>57</v>
      </c>
      <c r="C3758" s="34" t="s">
        <v>124</v>
      </c>
      <c r="D3758" s="34" t="s">
        <v>4428</v>
      </c>
      <c r="E3758" s="4" t="n">
        <v>9</v>
      </c>
      <c r="F3758" s="4" t="s">
        <v>213</v>
      </c>
      <c r="G3758" s="4" t="s">
        <v>161</v>
      </c>
      <c r="H3758" s="4" t="n">
        <v>1958</v>
      </c>
      <c r="I3758" s="4" t="s">
        <v>162</v>
      </c>
      <c r="J3758" s="25" t="str">
        <f aca="false">IF(M3758=1,"✓","")</f>
        <v/>
      </c>
      <c r="K3758" s="4" t="str">
        <f aca="false">IF(AND(M3758=0,P3758=0),"▶ NEXT","")</f>
        <v/>
      </c>
      <c r="L3758" s="4" t="n">
        <f aca="false">INDEX('Master List'!$F$2:$F$2594,O3758)</f>
        <v>7</v>
      </c>
      <c r="M3758" s="4" t="n">
        <f aca="false">INDEX('Master List'!$G$2:$G$2594,O3758)</f>
        <v>0</v>
      </c>
      <c r="N3758" s="4" t="str">
        <f aca="false">IF(K3758="","",A3758)</f>
        <v/>
      </c>
      <c r="O3758" s="4" t="n">
        <v>2429</v>
      </c>
      <c r="P3758" s="4" t="n">
        <f aca="false">IF(A3758=A3757,P3757+1-M3757,0)</f>
        <v>6</v>
      </c>
    </row>
    <row r="3759" customFormat="false" ht="15" hidden="false" customHeight="false" outlineLevel="0" collapsed="false">
      <c r="A3759" s="34" t="s">
        <v>4427</v>
      </c>
      <c r="B3759" s="34" t="s">
        <v>57</v>
      </c>
      <c r="C3759" s="34" t="s">
        <v>124</v>
      </c>
      <c r="D3759" s="34" t="s">
        <v>4428</v>
      </c>
      <c r="E3759" s="4" t="n">
        <v>10</v>
      </c>
      <c r="F3759" s="4" t="s">
        <v>213</v>
      </c>
      <c r="G3759" s="4" t="s">
        <v>345</v>
      </c>
      <c r="H3759" s="4" t="n">
        <v>1939</v>
      </c>
      <c r="I3759" s="4" t="s">
        <v>346</v>
      </c>
      <c r="J3759" s="25" t="str">
        <f aca="false">IF(M3759=1,"✓","")</f>
        <v/>
      </c>
      <c r="K3759" s="4" t="str">
        <f aca="false">IF(AND(M3759=0,P3759=0),"▶ NEXT","")</f>
        <v/>
      </c>
      <c r="L3759" s="4" t="n">
        <f aca="false">INDEX('Master List'!$F$2:$F$2594,O3759)</f>
        <v>4</v>
      </c>
      <c r="M3759" s="4" t="n">
        <f aca="false">INDEX('Master List'!$G$2:$G$2594,O3759)</f>
        <v>0</v>
      </c>
      <c r="N3759" s="4" t="str">
        <f aca="false">IF(K3759="","",A3759)</f>
        <v/>
      </c>
      <c r="O3759" s="4" t="n">
        <v>2540</v>
      </c>
      <c r="P3759" s="4" t="n">
        <f aca="false">IF(A3759=A3758,P3758+1-M3758,0)</f>
        <v>7</v>
      </c>
    </row>
    <row r="3760" customFormat="false" ht="15" hidden="false" customHeight="false" outlineLevel="0" collapsed="false">
      <c r="A3760" s="34" t="s">
        <v>4427</v>
      </c>
      <c r="B3760" s="34" t="s">
        <v>57</v>
      </c>
      <c r="C3760" s="34" t="s">
        <v>124</v>
      </c>
      <c r="D3760" s="34" t="s">
        <v>4428</v>
      </c>
      <c r="E3760" s="4" t="n">
        <v>11</v>
      </c>
      <c r="F3760" s="4" t="s">
        <v>213</v>
      </c>
      <c r="G3760" s="4" t="s">
        <v>343</v>
      </c>
      <c r="H3760" s="4" t="n">
        <v>1931</v>
      </c>
      <c r="I3760" s="4" t="s">
        <v>344</v>
      </c>
      <c r="J3760" s="25" t="str">
        <f aca="false">IF(M3760=1,"✓","")</f>
        <v/>
      </c>
      <c r="K3760" s="4" t="str">
        <f aca="false">IF(AND(M3760=0,P3760=0),"▶ NEXT","")</f>
        <v/>
      </c>
      <c r="L3760" s="4" t="n">
        <f aca="false">INDEX('Master List'!$F$2:$F$2594,O3760)</f>
        <v>5</v>
      </c>
      <c r="M3760" s="4" t="n">
        <f aca="false">INDEX('Master List'!$G$2:$G$2594,O3760)</f>
        <v>0</v>
      </c>
      <c r="N3760" s="4" t="str">
        <f aca="false">IF(K3760="","",A3760)</f>
        <v/>
      </c>
      <c r="O3760" s="4" t="n">
        <v>464</v>
      </c>
      <c r="P3760" s="4" t="n">
        <f aca="false">IF(A3760=A3759,P3759+1-M3759,0)</f>
        <v>8</v>
      </c>
    </row>
    <row r="3761" customFormat="false" ht="15" hidden="false" customHeight="false" outlineLevel="0" collapsed="false">
      <c r="A3761" s="34" t="s">
        <v>4427</v>
      </c>
      <c r="B3761" s="34" t="s">
        <v>57</v>
      </c>
      <c r="C3761" s="34" t="s">
        <v>124</v>
      </c>
      <c r="D3761" s="34" t="s">
        <v>4428</v>
      </c>
      <c r="E3761" s="4" t="n">
        <v>12</v>
      </c>
      <c r="F3761" s="4" t="s">
        <v>213</v>
      </c>
      <c r="G3761" s="4" t="s">
        <v>221</v>
      </c>
      <c r="H3761" s="4" t="n">
        <v>1956</v>
      </c>
      <c r="I3761" s="4" t="s">
        <v>205</v>
      </c>
      <c r="J3761" s="25" t="str">
        <f aca="false">IF(M3761=1,"✓","")</f>
        <v>✓</v>
      </c>
      <c r="K3761" s="4" t="str">
        <f aca="false">IF(AND(M3761=0,P3761=0),"▶ NEXT","")</f>
        <v/>
      </c>
      <c r="L3761" s="4" t="n">
        <f aca="false">INDEX('Master List'!$F$2:$F$2594,O3761)</f>
        <v>6</v>
      </c>
      <c r="M3761" s="4" t="n">
        <f aca="false">INDEX('Master List'!$G$2:$G$2594,O3761)</f>
        <v>1</v>
      </c>
      <c r="N3761" s="4" t="str">
        <f aca="false">IF(K3761="","",A3761)</f>
        <v/>
      </c>
      <c r="O3761" s="4" t="n">
        <v>1998</v>
      </c>
      <c r="P3761" s="4" t="n">
        <f aca="false">IF(A3761=A3760,P3760+1-M3760,0)</f>
        <v>9</v>
      </c>
    </row>
    <row r="3762" customFormat="false" ht="15" hidden="false" customHeight="false" outlineLevel="0" collapsed="false">
      <c r="A3762" s="34" t="s">
        <v>4427</v>
      </c>
      <c r="B3762" s="34" t="s">
        <v>57</v>
      </c>
      <c r="C3762" s="34" t="s">
        <v>124</v>
      </c>
      <c r="D3762" s="34" t="s">
        <v>4428</v>
      </c>
      <c r="E3762" s="4" t="n">
        <v>13</v>
      </c>
      <c r="F3762" s="4" t="s">
        <v>213</v>
      </c>
      <c r="G3762" s="4" t="s">
        <v>256</v>
      </c>
      <c r="H3762" s="4" t="n">
        <v>1977</v>
      </c>
      <c r="I3762" s="4" t="s">
        <v>257</v>
      </c>
      <c r="J3762" s="25" t="str">
        <f aca="false">IF(M3762=1,"✓","")</f>
        <v>✓</v>
      </c>
      <c r="K3762" s="4" t="str">
        <f aca="false">IF(AND(M3762=0,P3762=0),"▶ NEXT","")</f>
        <v/>
      </c>
      <c r="L3762" s="4" t="n">
        <f aca="false">INDEX('Master List'!$F$2:$F$2594,O3762)</f>
        <v>5</v>
      </c>
      <c r="M3762" s="4" t="n">
        <f aca="false">INDEX('Master List'!$G$2:$G$2594,O3762)</f>
        <v>1</v>
      </c>
      <c r="N3762" s="4" t="str">
        <f aca="false">IF(K3762="","",A3762)</f>
        <v/>
      </c>
      <c r="O3762" s="4" t="n">
        <v>2149</v>
      </c>
      <c r="P3762" s="4" t="n">
        <f aca="false">IF(A3762=A3761,P3761+1-M3761,0)</f>
        <v>9</v>
      </c>
    </row>
    <row r="3763" customFormat="false" ht="15" hidden="false" customHeight="false" outlineLevel="0" collapsed="false">
      <c r="A3763" s="34" t="s">
        <v>4427</v>
      </c>
      <c r="B3763" s="34" t="s">
        <v>57</v>
      </c>
      <c r="C3763" s="34" t="s">
        <v>124</v>
      </c>
      <c r="D3763" s="34" t="s">
        <v>4428</v>
      </c>
      <c r="E3763" s="4" t="n">
        <v>14</v>
      </c>
      <c r="F3763" s="4" t="s">
        <v>213</v>
      </c>
      <c r="G3763" s="4" t="s">
        <v>177</v>
      </c>
      <c r="H3763" s="4" t="n">
        <v>1960</v>
      </c>
      <c r="I3763" s="4" t="s">
        <v>162</v>
      </c>
      <c r="J3763" s="25" t="str">
        <f aca="false">IF(M3763=1,"✓","")</f>
        <v>✓</v>
      </c>
      <c r="K3763" s="4" t="str">
        <f aca="false">IF(AND(M3763=0,P3763=0),"▶ NEXT","")</f>
        <v/>
      </c>
      <c r="L3763" s="4" t="n">
        <f aca="false">INDEX('Master List'!$F$2:$F$2594,O3763)</f>
        <v>8</v>
      </c>
      <c r="M3763" s="4" t="n">
        <f aca="false">INDEX('Master List'!$G$2:$G$2594,O3763)</f>
        <v>1</v>
      </c>
      <c r="N3763" s="4" t="str">
        <f aca="false">IF(K3763="","",A3763)</f>
        <v/>
      </c>
      <c r="O3763" s="4" t="n">
        <v>1826</v>
      </c>
      <c r="P3763" s="4" t="n">
        <f aca="false">IF(A3763=A3762,P3762+1-M3762,0)</f>
        <v>9</v>
      </c>
    </row>
    <row r="3764" customFormat="false" ht="15" hidden="false" customHeight="false" outlineLevel="0" collapsed="false">
      <c r="A3764" s="34" t="s">
        <v>4427</v>
      </c>
      <c r="B3764" s="34" t="s">
        <v>57</v>
      </c>
      <c r="C3764" s="34" t="s">
        <v>124</v>
      </c>
      <c r="D3764" s="34" t="s">
        <v>4428</v>
      </c>
      <c r="E3764" s="4" t="n">
        <v>15</v>
      </c>
      <c r="F3764" s="4" t="s">
        <v>213</v>
      </c>
      <c r="G3764" s="4" t="s">
        <v>186</v>
      </c>
      <c r="H3764" s="4" t="n">
        <v>1968</v>
      </c>
      <c r="I3764" s="4" t="s">
        <v>187</v>
      </c>
      <c r="J3764" s="25" t="str">
        <f aca="false">IF(M3764=1,"✓","")</f>
        <v>✓</v>
      </c>
      <c r="K3764" s="4" t="str">
        <f aca="false">IF(AND(M3764=0,P3764=0),"▶ NEXT","")</f>
        <v/>
      </c>
      <c r="L3764" s="4" t="n">
        <f aca="false">INDEX('Master List'!$F$2:$F$2594,O3764)</f>
        <v>7</v>
      </c>
      <c r="M3764" s="4" t="n">
        <f aca="false">INDEX('Master List'!$G$2:$G$2594,O3764)</f>
        <v>1</v>
      </c>
      <c r="N3764" s="4" t="str">
        <f aca="false">IF(K3764="","",A3764)</f>
        <v/>
      </c>
      <c r="O3764" s="4" t="n">
        <v>12</v>
      </c>
      <c r="P3764" s="4" t="n">
        <f aca="false">IF(A3764=A3763,P3763+1-M3763,0)</f>
        <v>9</v>
      </c>
    </row>
    <row r="3765" customFormat="false" ht="15" hidden="false" customHeight="false" outlineLevel="0" collapsed="false">
      <c r="A3765" s="34" t="s">
        <v>4427</v>
      </c>
      <c r="B3765" s="34" t="s">
        <v>57</v>
      </c>
      <c r="C3765" s="34" t="s">
        <v>124</v>
      </c>
      <c r="D3765" s="34" t="s">
        <v>4428</v>
      </c>
      <c r="E3765" s="4" t="n">
        <v>16</v>
      </c>
      <c r="F3765" s="4" t="s">
        <v>213</v>
      </c>
      <c r="G3765" s="4" t="s">
        <v>284</v>
      </c>
      <c r="H3765" s="4" t="n">
        <v>1950</v>
      </c>
      <c r="I3765" s="4" t="s">
        <v>200</v>
      </c>
      <c r="J3765" s="25" t="str">
        <f aca="false">IF(M3765=1,"✓","")</f>
        <v>✓</v>
      </c>
      <c r="K3765" s="4" t="str">
        <f aca="false">IF(AND(M3765=0,P3765=0),"▶ NEXT","")</f>
        <v/>
      </c>
      <c r="L3765" s="4" t="n">
        <f aca="false">INDEX('Master List'!$F$2:$F$2594,O3765)</f>
        <v>5</v>
      </c>
      <c r="M3765" s="4" t="n">
        <f aca="false">INDEX('Master List'!$G$2:$G$2594,O3765)</f>
        <v>1</v>
      </c>
      <c r="N3765" s="4" t="str">
        <f aca="false">IF(K3765="","",A3765)</f>
        <v/>
      </c>
      <c r="O3765" s="4" t="n">
        <v>2203</v>
      </c>
      <c r="P3765" s="4" t="n">
        <f aca="false">IF(A3765=A3764,P3764+1-M3764,0)</f>
        <v>9</v>
      </c>
    </row>
    <row r="3766" customFormat="false" ht="15" hidden="false" customHeight="false" outlineLevel="0" collapsed="false">
      <c r="A3766" s="34" t="s">
        <v>4427</v>
      </c>
      <c r="B3766" s="34" t="s">
        <v>57</v>
      </c>
      <c r="C3766" s="34" t="s">
        <v>124</v>
      </c>
      <c r="D3766" s="34" t="s">
        <v>4428</v>
      </c>
      <c r="E3766" s="4" t="n">
        <v>17</v>
      </c>
      <c r="F3766" s="4" t="s">
        <v>213</v>
      </c>
      <c r="G3766" s="4" t="s">
        <v>417</v>
      </c>
      <c r="H3766" s="4" t="n">
        <v>1967</v>
      </c>
      <c r="I3766" s="4" t="s">
        <v>357</v>
      </c>
      <c r="J3766" s="25" t="str">
        <f aca="false">IF(M3766=1,"✓","")</f>
        <v>✓</v>
      </c>
      <c r="K3766" s="4" t="str">
        <f aca="false">IF(AND(M3766=0,P3766=0),"▶ NEXT","")</f>
        <v/>
      </c>
      <c r="L3766" s="4" t="n">
        <f aca="false">INDEX('Master List'!$F$2:$F$2594,O3766)</f>
        <v>3</v>
      </c>
      <c r="M3766" s="4" t="n">
        <f aca="false">INDEX('Master List'!$G$2:$G$2594,O3766)</f>
        <v>1</v>
      </c>
      <c r="N3766" s="4" t="str">
        <f aca="false">IF(K3766="","",A3766)</f>
        <v/>
      </c>
      <c r="O3766" s="4" t="n">
        <v>939</v>
      </c>
      <c r="P3766" s="4" t="n">
        <f aca="false">IF(A3766=A3765,P3765+1-M3765,0)</f>
        <v>9</v>
      </c>
    </row>
    <row r="3767" customFormat="false" ht="15" hidden="false" customHeight="false" outlineLevel="0" collapsed="false">
      <c r="A3767" s="34" t="s">
        <v>4427</v>
      </c>
      <c r="B3767" s="34" t="s">
        <v>57</v>
      </c>
      <c r="C3767" s="34" t="s">
        <v>124</v>
      </c>
      <c r="D3767" s="34" t="s">
        <v>4428</v>
      </c>
      <c r="E3767" s="4" t="n">
        <v>18</v>
      </c>
      <c r="F3767" s="4" t="s">
        <v>213</v>
      </c>
      <c r="G3767" s="4" t="s">
        <v>532</v>
      </c>
      <c r="H3767" s="4" t="n">
        <v>1926</v>
      </c>
      <c r="I3767" s="4" t="s">
        <v>533</v>
      </c>
      <c r="J3767" s="25" t="str">
        <f aca="false">IF(M3767=1,"✓","")</f>
        <v/>
      </c>
      <c r="K3767" s="4" t="str">
        <f aca="false">IF(AND(M3767=0,P3767=0),"▶ NEXT","")</f>
        <v/>
      </c>
      <c r="L3767" s="4" t="n">
        <f aca="false">INDEX('Master List'!$F$2:$F$2594,O3767)</f>
        <v>3</v>
      </c>
      <c r="M3767" s="4" t="n">
        <f aca="false">INDEX('Master List'!$G$2:$G$2594,O3767)</f>
        <v>0</v>
      </c>
      <c r="N3767" s="4" t="str">
        <f aca="false">IF(K3767="","",A3767)</f>
        <v/>
      </c>
      <c r="O3767" s="4" t="n">
        <v>883</v>
      </c>
      <c r="P3767" s="4" t="n">
        <f aca="false">IF(A3767=A3766,P3766+1-M3766,0)</f>
        <v>9</v>
      </c>
    </row>
    <row r="3768" customFormat="false" ht="15" hidden="false" customHeight="false" outlineLevel="0" collapsed="false">
      <c r="A3768" s="34" t="s">
        <v>4427</v>
      </c>
      <c r="B3768" s="34" t="s">
        <v>57</v>
      </c>
      <c r="C3768" s="34" t="s">
        <v>124</v>
      </c>
      <c r="D3768" s="34" t="s">
        <v>4428</v>
      </c>
      <c r="E3768" s="4" t="n">
        <v>19</v>
      </c>
      <c r="F3768" s="4" t="s">
        <v>213</v>
      </c>
      <c r="G3768" s="4" t="s">
        <v>374</v>
      </c>
      <c r="H3768" s="4" t="n">
        <v>1954</v>
      </c>
      <c r="I3768" s="4" t="s">
        <v>375</v>
      </c>
      <c r="J3768" s="25" t="str">
        <f aca="false">IF(M3768=1,"✓","")</f>
        <v/>
      </c>
      <c r="K3768" s="4" t="str">
        <f aca="false">IF(AND(M3768=0,P3768=0),"▶ NEXT","")</f>
        <v/>
      </c>
      <c r="L3768" s="4" t="n">
        <f aca="false">INDEX('Master List'!$F$2:$F$2594,O3768)</f>
        <v>4</v>
      </c>
      <c r="M3768" s="4" t="n">
        <f aca="false">INDEX('Master List'!$G$2:$G$2594,O3768)</f>
        <v>0</v>
      </c>
      <c r="N3768" s="4" t="str">
        <f aca="false">IF(K3768="","",A3768)</f>
        <v/>
      </c>
      <c r="O3768" s="4" t="n">
        <v>1667</v>
      </c>
      <c r="P3768" s="4" t="n">
        <f aca="false">IF(A3768=A3767,P3767+1-M3767,0)</f>
        <v>10</v>
      </c>
    </row>
    <row r="3769" customFormat="false" ht="15" hidden="false" customHeight="false" outlineLevel="0" collapsed="false">
      <c r="A3769" s="34" t="s">
        <v>4427</v>
      </c>
      <c r="B3769" s="34" t="s">
        <v>57</v>
      </c>
      <c r="C3769" s="34" t="s">
        <v>124</v>
      </c>
      <c r="D3769" s="34" t="s">
        <v>4428</v>
      </c>
      <c r="E3769" s="4" t="n">
        <v>20</v>
      </c>
      <c r="F3769" s="4" t="s">
        <v>213</v>
      </c>
      <c r="G3769" s="4" t="s">
        <v>306</v>
      </c>
      <c r="H3769" s="4" t="n">
        <v>1946</v>
      </c>
      <c r="I3769" s="4" t="s">
        <v>176</v>
      </c>
      <c r="J3769" s="25" t="str">
        <f aca="false">IF(M3769=1,"✓","")</f>
        <v>✓</v>
      </c>
      <c r="K3769" s="4" t="str">
        <f aca="false">IF(AND(M3769=0,P3769=0),"▶ NEXT","")</f>
        <v/>
      </c>
      <c r="L3769" s="4" t="n">
        <f aca="false">INDEX('Master List'!$F$2:$F$2594,O3769)</f>
        <v>4</v>
      </c>
      <c r="M3769" s="4" t="n">
        <f aca="false">INDEX('Master List'!$G$2:$G$2594,O3769)</f>
        <v>1</v>
      </c>
      <c r="N3769" s="4" t="str">
        <f aca="false">IF(K3769="","",A3769)</f>
        <v/>
      </c>
      <c r="O3769" s="4" t="n">
        <v>1178</v>
      </c>
      <c r="P3769" s="4" t="n">
        <f aca="false">IF(A3769=A3768,P3768+1-M3768,0)</f>
        <v>11</v>
      </c>
    </row>
    <row r="3770" customFormat="false" ht="15" hidden="false" customHeight="false" outlineLevel="0" collapsed="false">
      <c r="A3770" s="34" t="s">
        <v>4427</v>
      </c>
      <c r="B3770" s="34" t="s">
        <v>57</v>
      </c>
      <c r="C3770" s="34" t="s">
        <v>124</v>
      </c>
      <c r="D3770" s="34" t="s">
        <v>4428</v>
      </c>
      <c r="E3770" s="4" t="n">
        <v>21</v>
      </c>
      <c r="F3770" s="4" t="s">
        <v>213</v>
      </c>
      <c r="G3770" s="4" t="s">
        <v>194</v>
      </c>
      <c r="H3770" s="4" t="n">
        <v>1974</v>
      </c>
      <c r="I3770" s="4" t="s">
        <v>195</v>
      </c>
      <c r="J3770" s="25" t="str">
        <f aca="false">IF(M3770=1,"✓","")</f>
        <v>✓</v>
      </c>
      <c r="K3770" s="4" t="str">
        <f aca="false">IF(AND(M3770=0,P3770=0),"▶ NEXT","")</f>
        <v/>
      </c>
      <c r="L3770" s="4" t="n">
        <f aca="false">INDEX('Master List'!$F$2:$F$2594,O3770)</f>
        <v>6</v>
      </c>
      <c r="M3770" s="4" t="n">
        <f aca="false">INDEX('Master List'!$G$2:$G$2594,O3770)</f>
        <v>1</v>
      </c>
      <c r="N3770" s="4" t="str">
        <f aca="false">IF(K3770="","",A3770)</f>
        <v/>
      </c>
      <c r="O3770" s="4" t="n">
        <v>450</v>
      </c>
      <c r="P3770" s="4" t="n">
        <f aca="false">IF(A3770=A3769,P3769+1-M3769,0)</f>
        <v>11</v>
      </c>
    </row>
    <row r="3771" customFormat="false" ht="15" hidden="false" customHeight="false" outlineLevel="0" collapsed="false">
      <c r="A3771" s="34" t="s">
        <v>4427</v>
      </c>
      <c r="B3771" s="34" t="s">
        <v>57</v>
      </c>
      <c r="C3771" s="34" t="s">
        <v>124</v>
      </c>
      <c r="D3771" s="34" t="s">
        <v>4428</v>
      </c>
      <c r="E3771" s="4" t="n">
        <v>22</v>
      </c>
      <c r="F3771" s="4" t="s">
        <v>213</v>
      </c>
      <c r="G3771" s="4" t="s">
        <v>413</v>
      </c>
      <c r="H3771" s="4" t="n">
        <v>1959</v>
      </c>
      <c r="I3771" s="4" t="s">
        <v>200</v>
      </c>
      <c r="J3771" s="25" t="str">
        <f aca="false">IF(M3771=1,"✓","")</f>
        <v/>
      </c>
      <c r="K3771" s="4" t="str">
        <f aca="false">IF(AND(M3771=0,P3771=0),"▶ NEXT","")</f>
        <v/>
      </c>
      <c r="L3771" s="4" t="n">
        <f aca="false">INDEX('Master List'!$F$2:$F$2594,O3771)</f>
        <v>4</v>
      </c>
      <c r="M3771" s="4" t="n">
        <f aca="false">INDEX('Master List'!$G$2:$G$2594,O3771)</f>
        <v>0</v>
      </c>
      <c r="N3771" s="4" t="str">
        <f aca="false">IF(K3771="","",A3771)</f>
        <v/>
      </c>
      <c r="O3771" s="4" t="n">
        <v>2107</v>
      </c>
      <c r="P3771" s="4" t="n">
        <f aca="false">IF(A3771=A3770,P3770+1-M3770,0)</f>
        <v>11</v>
      </c>
    </row>
    <row r="3772" customFormat="false" ht="15" hidden="false" customHeight="false" outlineLevel="0" collapsed="false">
      <c r="A3772" s="34" t="s">
        <v>4427</v>
      </c>
      <c r="B3772" s="34" t="s">
        <v>57</v>
      </c>
      <c r="C3772" s="34" t="s">
        <v>124</v>
      </c>
      <c r="D3772" s="34" t="s">
        <v>4428</v>
      </c>
      <c r="E3772" s="4" t="n">
        <v>23</v>
      </c>
      <c r="F3772" s="4" t="s">
        <v>213</v>
      </c>
      <c r="G3772" s="4" t="s">
        <v>204</v>
      </c>
      <c r="H3772" s="4" t="n">
        <v>1940</v>
      </c>
      <c r="I3772" s="4" t="s">
        <v>205</v>
      </c>
      <c r="J3772" s="25" t="str">
        <f aca="false">IF(M3772=1,"✓","")</f>
        <v/>
      </c>
      <c r="K3772" s="4" t="str">
        <f aca="false">IF(AND(M3772=0,P3772=0),"▶ NEXT","")</f>
        <v/>
      </c>
      <c r="L3772" s="4" t="n">
        <f aca="false">INDEX('Master List'!$F$2:$F$2594,O3772)</f>
        <v>7</v>
      </c>
      <c r="M3772" s="4" t="n">
        <f aca="false">INDEX('Master List'!$G$2:$G$2594,O3772)</f>
        <v>0</v>
      </c>
      <c r="N3772" s="4" t="str">
        <f aca="false">IF(K3772="","",A3772)</f>
        <v/>
      </c>
      <c r="O3772" s="4" t="n">
        <v>946</v>
      </c>
      <c r="P3772" s="4" t="n">
        <f aca="false">IF(A3772=A3771,P3771+1-M3771,0)</f>
        <v>12</v>
      </c>
    </row>
    <row r="3773" customFormat="false" ht="15" hidden="false" customHeight="false" outlineLevel="0" collapsed="false">
      <c r="A3773" s="34" t="s">
        <v>4427</v>
      </c>
      <c r="B3773" s="34" t="s">
        <v>57</v>
      </c>
      <c r="C3773" s="34" t="s">
        <v>124</v>
      </c>
      <c r="D3773" s="34" t="s">
        <v>4428</v>
      </c>
      <c r="E3773" s="4" t="n">
        <v>24</v>
      </c>
      <c r="F3773" s="4" t="s">
        <v>213</v>
      </c>
      <c r="G3773" s="4" t="s">
        <v>609</v>
      </c>
      <c r="H3773" s="4" t="n">
        <v>1982</v>
      </c>
      <c r="I3773" s="4" t="s">
        <v>183</v>
      </c>
      <c r="J3773" s="25" t="str">
        <f aca="false">IF(M3773=1,"✓","")</f>
        <v>✓</v>
      </c>
      <c r="K3773" s="4" t="str">
        <f aca="false">IF(AND(M3773=0,P3773=0),"▶ NEXT","")</f>
        <v/>
      </c>
      <c r="L3773" s="4" t="n">
        <f aca="false">INDEX('Master List'!$F$2:$F$2594,O3773)</f>
        <v>3</v>
      </c>
      <c r="M3773" s="4" t="n">
        <f aca="false">INDEX('Master List'!$G$2:$G$2594,O3773)</f>
        <v>1</v>
      </c>
      <c r="N3773" s="4" t="str">
        <f aca="false">IF(K3773="","",A3773)</f>
        <v/>
      </c>
      <c r="O3773" s="4" t="n">
        <v>697</v>
      </c>
      <c r="P3773" s="4" t="n">
        <f aca="false">IF(A3773=A3772,P3772+1-M3772,0)</f>
        <v>13</v>
      </c>
    </row>
    <row r="3774" customFormat="false" ht="15" hidden="false" customHeight="false" outlineLevel="0" collapsed="false">
      <c r="A3774" s="34" t="s">
        <v>4427</v>
      </c>
      <c r="B3774" s="34" t="s">
        <v>57</v>
      </c>
      <c r="C3774" s="34" t="s">
        <v>124</v>
      </c>
      <c r="D3774" s="34" t="s">
        <v>4428</v>
      </c>
      <c r="E3774" s="4" t="n">
        <v>25</v>
      </c>
      <c r="F3774" s="4" t="s">
        <v>213</v>
      </c>
      <c r="G3774" s="4" t="s">
        <v>432</v>
      </c>
      <c r="H3774" s="4" t="n">
        <v>1962</v>
      </c>
      <c r="I3774" s="4" t="s">
        <v>433</v>
      </c>
      <c r="J3774" s="25" t="str">
        <f aca="false">IF(M3774=1,"✓","")</f>
        <v/>
      </c>
      <c r="K3774" s="4" t="str">
        <f aca="false">IF(AND(M3774=0,P3774=0),"▶ NEXT","")</f>
        <v/>
      </c>
      <c r="L3774" s="4" t="n">
        <f aca="false">INDEX('Master List'!$F$2:$F$2594,O3774)</f>
        <v>3</v>
      </c>
      <c r="M3774" s="4" t="n">
        <f aca="false">INDEX('Master List'!$G$2:$G$2594,O3774)</f>
        <v>0</v>
      </c>
      <c r="N3774" s="4" t="str">
        <f aca="false">IF(K3774="","",A3774)</f>
        <v/>
      </c>
      <c r="O3774" s="4" t="n">
        <v>2318</v>
      </c>
      <c r="P3774" s="4" t="n">
        <f aca="false">IF(A3774=A3773,P3773+1-M3773,0)</f>
        <v>13</v>
      </c>
    </row>
    <row r="3775" customFormat="false" ht="15" hidden="false" customHeight="false" outlineLevel="0" collapsed="false">
      <c r="A3775" s="34" t="s">
        <v>4427</v>
      </c>
      <c r="B3775" s="34" t="s">
        <v>57</v>
      </c>
      <c r="C3775" s="34" t="s">
        <v>124</v>
      </c>
      <c r="D3775" s="34" t="s">
        <v>4428</v>
      </c>
      <c r="E3775" s="4" t="n">
        <v>26</v>
      </c>
      <c r="F3775" s="4" t="s">
        <v>213</v>
      </c>
      <c r="G3775" s="4" t="s">
        <v>303</v>
      </c>
      <c r="H3775" s="4" t="n">
        <v>1939</v>
      </c>
      <c r="I3775" s="4" t="s">
        <v>176</v>
      </c>
      <c r="J3775" s="25" t="str">
        <f aca="false">IF(M3775=1,"✓","")</f>
        <v/>
      </c>
      <c r="K3775" s="4" t="str">
        <f aca="false">IF(AND(M3775=0,P3775=0),"▶ NEXT","")</f>
        <v/>
      </c>
      <c r="L3775" s="4" t="n">
        <f aca="false">INDEX('Master List'!$F$2:$F$2594,O3775)</f>
        <v>4</v>
      </c>
      <c r="M3775" s="4" t="n">
        <f aca="false">INDEX('Master List'!$G$2:$G$2594,O3775)</f>
        <v>0</v>
      </c>
      <c r="N3775" s="4" t="str">
        <f aca="false">IF(K3775="","",A3775)</f>
        <v/>
      </c>
      <c r="O3775" s="4" t="n">
        <v>1550</v>
      </c>
      <c r="P3775" s="4" t="n">
        <f aca="false">IF(A3775=A3774,P3774+1-M3774,0)</f>
        <v>14</v>
      </c>
    </row>
    <row r="3776" customFormat="false" ht="15" hidden="false" customHeight="false" outlineLevel="0" collapsed="false">
      <c r="A3776" s="34" t="s">
        <v>4427</v>
      </c>
      <c r="B3776" s="34" t="s">
        <v>57</v>
      </c>
      <c r="C3776" s="34" t="s">
        <v>124</v>
      </c>
      <c r="D3776" s="34" t="s">
        <v>4428</v>
      </c>
      <c r="E3776" s="4" t="n">
        <v>27</v>
      </c>
      <c r="F3776" s="4" t="s">
        <v>213</v>
      </c>
      <c r="G3776" s="4" t="s">
        <v>352</v>
      </c>
      <c r="H3776" s="4" t="n">
        <v>1952</v>
      </c>
      <c r="I3776" s="4" t="s">
        <v>353</v>
      </c>
      <c r="J3776" s="25" t="str">
        <f aca="false">IF(M3776=1,"✓","")</f>
        <v/>
      </c>
      <c r="K3776" s="4" t="str">
        <f aca="false">IF(AND(M3776=0,P3776=0),"▶ NEXT","")</f>
        <v/>
      </c>
      <c r="L3776" s="4" t="n">
        <f aca="false">INDEX('Master List'!$F$2:$F$2594,O3776)</f>
        <v>4</v>
      </c>
      <c r="M3776" s="4" t="n">
        <f aca="false">INDEX('Master List'!$G$2:$G$2594,O3776)</f>
        <v>0</v>
      </c>
      <c r="N3776" s="4" t="str">
        <f aca="false">IF(K3776="","",A3776)</f>
        <v/>
      </c>
      <c r="O3776" s="4" t="n">
        <v>1035</v>
      </c>
      <c r="P3776" s="4" t="n">
        <f aca="false">IF(A3776=A3775,P3775+1-M3775,0)</f>
        <v>15</v>
      </c>
    </row>
    <row r="3777" customFormat="false" ht="15" hidden="false" customHeight="false" outlineLevel="0" collapsed="false">
      <c r="A3777" s="34" t="s">
        <v>4427</v>
      </c>
      <c r="B3777" s="34" t="s">
        <v>57</v>
      </c>
      <c r="C3777" s="34" t="s">
        <v>124</v>
      </c>
      <c r="D3777" s="34" t="s">
        <v>4428</v>
      </c>
      <c r="E3777" s="4" t="n">
        <v>28</v>
      </c>
      <c r="F3777" s="4" t="s">
        <v>213</v>
      </c>
      <c r="G3777" s="4" t="s">
        <v>932</v>
      </c>
      <c r="H3777" s="4" t="n">
        <v>1950</v>
      </c>
      <c r="I3777" s="4" t="s">
        <v>933</v>
      </c>
      <c r="J3777" s="25" t="str">
        <f aca="false">IF(M3777=1,"✓","")</f>
        <v/>
      </c>
      <c r="K3777" s="4" t="str">
        <f aca="false">IF(AND(M3777=0,P3777=0),"▶ NEXT","")</f>
        <v/>
      </c>
      <c r="L3777" s="4" t="n">
        <f aca="false">INDEX('Master List'!$F$2:$F$2594,O3777)</f>
        <v>2</v>
      </c>
      <c r="M3777" s="4" t="n">
        <f aca="false">INDEX('Master List'!$G$2:$G$2594,O3777)</f>
        <v>0</v>
      </c>
      <c r="N3777" s="4" t="str">
        <f aca="false">IF(K3777="","",A3777)</f>
        <v/>
      </c>
      <c r="O3777" s="4" t="n">
        <v>68</v>
      </c>
      <c r="P3777" s="4" t="n">
        <f aca="false">IF(A3777=A3776,P3776+1-M3776,0)</f>
        <v>16</v>
      </c>
    </row>
    <row r="3778" customFormat="false" ht="15" hidden="false" customHeight="false" outlineLevel="0" collapsed="false">
      <c r="A3778" s="34" t="s">
        <v>4427</v>
      </c>
      <c r="B3778" s="34" t="s">
        <v>57</v>
      </c>
      <c r="C3778" s="34" t="s">
        <v>124</v>
      </c>
      <c r="D3778" s="34" t="s">
        <v>4428</v>
      </c>
      <c r="E3778" s="4" t="n">
        <v>29</v>
      </c>
      <c r="F3778" s="4" t="s">
        <v>213</v>
      </c>
      <c r="G3778" s="4" t="s">
        <v>219</v>
      </c>
      <c r="H3778" s="4" t="n">
        <v>1944</v>
      </c>
      <c r="I3778" s="4" t="s">
        <v>200</v>
      </c>
      <c r="J3778" s="25" t="str">
        <f aca="false">IF(M3778=1,"✓","")</f>
        <v>✓</v>
      </c>
      <c r="K3778" s="4" t="str">
        <f aca="false">IF(AND(M3778=0,P3778=0),"▶ NEXT","")</f>
        <v/>
      </c>
      <c r="L3778" s="4" t="n">
        <f aca="false">INDEX('Master List'!$F$2:$F$2594,O3778)</f>
        <v>6</v>
      </c>
      <c r="M3778" s="4" t="n">
        <f aca="false">INDEX('Master List'!$G$2:$G$2594,O3778)</f>
        <v>1</v>
      </c>
      <c r="N3778" s="4" t="str">
        <f aca="false">IF(K3778="","",A3778)</f>
        <v/>
      </c>
      <c r="O3778" s="4" t="n">
        <v>663</v>
      </c>
      <c r="P3778" s="4" t="n">
        <f aca="false">IF(A3778=A3777,P3777+1-M3777,0)</f>
        <v>17</v>
      </c>
    </row>
    <row r="3779" customFormat="false" ht="15" hidden="false" customHeight="false" outlineLevel="0" collapsed="false">
      <c r="A3779" s="34" t="s">
        <v>4427</v>
      </c>
      <c r="B3779" s="34" t="s">
        <v>57</v>
      </c>
      <c r="C3779" s="34" t="s">
        <v>124</v>
      </c>
      <c r="D3779" s="34" t="s">
        <v>4428</v>
      </c>
      <c r="E3779" s="4" t="n">
        <v>30</v>
      </c>
      <c r="F3779" s="4" t="s">
        <v>213</v>
      </c>
      <c r="G3779" s="4" t="s">
        <v>201</v>
      </c>
      <c r="H3779" s="4" t="n">
        <v>1979</v>
      </c>
      <c r="I3779" s="4" t="s">
        <v>172</v>
      </c>
      <c r="J3779" s="25" t="str">
        <f aca="false">IF(M3779=1,"✓","")</f>
        <v>✓</v>
      </c>
      <c r="K3779" s="4" t="str">
        <f aca="false">IF(AND(M3779=0,P3779=0),"▶ NEXT","")</f>
        <v/>
      </c>
      <c r="L3779" s="4" t="n">
        <f aca="false">INDEX('Master List'!$F$2:$F$2594,O3779)</f>
        <v>7</v>
      </c>
      <c r="M3779" s="4" t="n">
        <f aca="false">INDEX('Master List'!$G$2:$G$2594,O3779)</f>
        <v>1</v>
      </c>
      <c r="N3779" s="4" t="str">
        <f aca="false">IF(K3779="","",A3779)</f>
        <v/>
      </c>
      <c r="O3779" s="4" t="n">
        <v>121</v>
      </c>
      <c r="P3779" s="4" t="n">
        <f aca="false">IF(A3779=A3778,P3778+1-M3778,0)</f>
        <v>17</v>
      </c>
    </row>
    <row r="3780" customFormat="false" ht="15" hidden="false" customHeight="false" outlineLevel="0" collapsed="false">
      <c r="A3780" s="34" t="s">
        <v>4427</v>
      </c>
      <c r="B3780" s="34" t="s">
        <v>57</v>
      </c>
      <c r="C3780" s="34" t="s">
        <v>124</v>
      </c>
      <c r="D3780" s="34" t="s">
        <v>4428</v>
      </c>
      <c r="E3780" s="4" t="n">
        <v>31</v>
      </c>
      <c r="F3780" s="4" t="s">
        <v>213</v>
      </c>
      <c r="G3780" s="4" t="s">
        <v>282</v>
      </c>
      <c r="H3780" s="4" t="n">
        <v>1941</v>
      </c>
      <c r="I3780" s="4" t="s">
        <v>283</v>
      </c>
      <c r="J3780" s="25" t="str">
        <f aca="false">IF(M3780=1,"✓","")</f>
        <v/>
      </c>
      <c r="K3780" s="4" t="str">
        <f aca="false">IF(AND(M3780=0,P3780=0),"▶ NEXT","")</f>
        <v/>
      </c>
      <c r="L3780" s="4" t="n">
        <f aca="false">INDEX('Master List'!$F$2:$F$2594,O3780)</f>
        <v>5</v>
      </c>
      <c r="M3780" s="4" t="n">
        <f aca="false">INDEX('Master List'!$G$2:$G$2594,O3780)</f>
        <v>0</v>
      </c>
      <c r="N3780" s="4" t="str">
        <f aca="false">IF(K3780="","",A3780)</f>
        <v/>
      </c>
      <c r="O3780" s="4" t="n">
        <v>1419</v>
      </c>
      <c r="P3780" s="4" t="n">
        <f aca="false">IF(A3780=A3779,P3779+1-M3779,0)</f>
        <v>17</v>
      </c>
    </row>
    <row r="3781" customFormat="false" ht="15" hidden="false" customHeight="false" outlineLevel="0" collapsed="false">
      <c r="A3781" s="34" t="s">
        <v>4427</v>
      </c>
      <c r="B3781" s="34" t="s">
        <v>57</v>
      </c>
      <c r="C3781" s="34" t="s">
        <v>124</v>
      </c>
      <c r="D3781" s="34" t="s">
        <v>4428</v>
      </c>
      <c r="E3781" s="4" t="n">
        <v>32</v>
      </c>
      <c r="F3781" s="4" t="s">
        <v>213</v>
      </c>
      <c r="G3781" s="4" t="s">
        <v>393</v>
      </c>
      <c r="H3781" s="4" t="n">
        <v>1974</v>
      </c>
      <c r="I3781" s="4" t="s">
        <v>172</v>
      </c>
      <c r="J3781" s="25" t="str">
        <f aca="false">IF(M3781=1,"✓","")</f>
        <v/>
      </c>
      <c r="K3781" s="4" t="str">
        <f aca="false">IF(AND(M3781=0,P3781=0),"▶ NEXT","")</f>
        <v/>
      </c>
      <c r="L3781" s="4" t="n">
        <f aca="false">INDEX('Master List'!$F$2:$F$2594,O3781)</f>
        <v>4</v>
      </c>
      <c r="M3781" s="4" t="n">
        <f aca="false">INDEX('Master List'!$G$2:$G$2594,O3781)</f>
        <v>0</v>
      </c>
      <c r="N3781" s="4" t="str">
        <f aca="false">IF(K3781="","",A3781)</f>
        <v/>
      </c>
      <c r="O3781" s="4" t="n">
        <v>910</v>
      </c>
      <c r="P3781" s="4" t="n">
        <f aca="false">IF(A3781=A3780,P3780+1-M3780,0)</f>
        <v>18</v>
      </c>
    </row>
    <row r="3782" customFormat="false" ht="15" hidden="false" customHeight="false" outlineLevel="0" collapsed="false">
      <c r="A3782" s="34" t="s">
        <v>4427</v>
      </c>
      <c r="B3782" s="34" t="s">
        <v>57</v>
      </c>
      <c r="C3782" s="34" t="s">
        <v>124</v>
      </c>
      <c r="D3782" s="34" t="s">
        <v>4428</v>
      </c>
      <c r="E3782" s="4" t="n">
        <v>33</v>
      </c>
      <c r="F3782" s="4" t="s">
        <v>213</v>
      </c>
      <c r="G3782" s="4" t="s">
        <v>547</v>
      </c>
      <c r="H3782" s="4" t="n">
        <v>1975</v>
      </c>
      <c r="I3782" s="4" t="s">
        <v>548</v>
      </c>
      <c r="J3782" s="25" t="str">
        <f aca="false">IF(M3782=1,"✓","")</f>
        <v>✓</v>
      </c>
      <c r="K3782" s="4" t="str">
        <f aca="false">IF(AND(M3782=0,P3782=0),"▶ NEXT","")</f>
        <v/>
      </c>
      <c r="L3782" s="4" t="n">
        <f aca="false">INDEX('Master List'!$F$2:$F$2594,O3782)</f>
        <v>3</v>
      </c>
      <c r="M3782" s="4" t="n">
        <f aca="false">INDEX('Master List'!$G$2:$G$2594,O3782)</f>
        <v>1</v>
      </c>
      <c r="N3782" s="4" t="str">
        <f aca="false">IF(K3782="","",A3782)</f>
        <v/>
      </c>
      <c r="O3782" s="4" t="n">
        <v>1678</v>
      </c>
      <c r="P3782" s="4" t="n">
        <f aca="false">IF(A3782=A3781,P3781+1-M3781,0)</f>
        <v>19</v>
      </c>
    </row>
    <row r="3783" customFormat="false" ht="15" hidden="false" customHeight="false" outlineLevel="0" collapsed="false">
      <c r="A3783" s="34" t="s">
        <v>4427</v>
      </c>
      <c r="B3783" s="34" t="s">
        <v>57</v>
      </c>
      <c r="C3783" s="34" t="s">
        <v>124</v>
      </c>
      <c r="D3783" s="34" t="s">
        <v>4428</v>
      </c>
      <c r="E3783" s="4" t="n">
        <v>34</v>
      </c>
      <c r="F3783" s="4" t="s">
        <v>213</v>
      </c>
      <c r="G3783" s="4" t="s">
        <v>735</v>
      </c>
      <c r="H3783" s="4" t="n">
        <v>1937</v>
      </c>
      <c r="I3783" s="4" t="s">
        <v>736</v>
      </c>
      <c r="J3783" s="25" t="str">
        <f aca="false">IF(M3783=1,"✓","")</f>
        <v/>
      </c>
      <c r="K3783" s="4" t="str">
        <f aca="false">IF(AND(M3783=0,P3783=0),"▶ NEXT","")</f>
        <v/>
      </c>
      <c r="L3783" s="4" t="n">
        <f aca="false">INDEX('Master List'!$F$2:$F$2594,O3783)</f>
        <v>2</v>
      </c>
      <c r="M3783" s="4" t="n">
        <f aca="false">INDEX('Master List'!$G$2:$G$2594,O3783)</f>
        <v>0</v>
      </c>
      <c r="N3783" s="4" t="str">
        <f aca="false">IF(K3783="","",A3783)</f>
        <v/>
      </c>
      <c r="O3783" s="4" t="n">
        <v>2100</v>
      </c>
      <c r="P3783" s="4" t="n">
        <f aca="false">IF(A3783=A3782,P3782+1-M3782,0)</f>
        <v>19</v>
      </c>
    </row>
    <row r="3784" customFormat="false" ht="15" hidden="false" customHeight="false" outlineLevel="0" collapsed="false">
      <c r="A3784" s="34" t="s">
        <v>4427</v>
      </c>
      <c r="B3784" s="34" t="s">
        <v>57</v>
      </c>
      <c r="C3784" s="34" t="s">
        <v>124</v>
      </c>
      <c r="D3784" s="34" t="s">
        <v>4428</v>
      </c>
      <c r="E3784" s="4" t="n">
        <v>35</v>
      </c>
      <c r="F3784" s="4" t="s">
        <v>213</v>
      </c>
      <c r="G3784" s="4" t="s">
        <v>603</v>
      </c>
      <c r="H3784" s="4" t="n">
        <v>1977</v>
      </c>
      <c r="I3784" s="4" t="s">
        <v>604</v>
      </c>
      <c r="J3784" s="25" t="str">
        <f aca="false">IF(M3784=1,"✓","")</f>
        <v>✓</v>
      </c>
      <c r="K3784" s="4" t="str">
        <f aca="false">IF(AND(M3784=0,P3784=0),"▶ NEXT","")</f>
        <v/>
      </c>
      <c r="L3784" s="4" t="n">
        <f aca="false">INDEX('Master List'!$F$2:$F$2594,O3784)</f>
        <v>3</v>
      </c>
      <c r="M3784" s="4" t="n">
        <f aca="false">INDEX('Master List'!$G$2:$G$2594,O3784)</f>
        <v>1</v>
      </c>
      <c r="N3784" s="4" t="str">
        <f aca="false">IF(K3784="","",A3784)</f>
        <v/>
      </c>
      <c r="O3784" s="4" t="n">
        <v>112</v>
      </c>
      <c r="P3784" s="4" t="n">
        <f aca="false">IF(A3784=A3783,P3783+1-M3783,0)</f>
        <v>20</v>
      </c>
    </row>
    <row r="3785" customFormat="false" ht="15" hidden="false" customHeight="false" outlineLevel="0" collapsed="false">
      <c r="A3785" s="34" t="s">
        <v>4427</v>
      </c>
      <c r="B3785" s="34" t="s">
        <v>57</v>
      </c>
      <c r="C3785" s="34" t="s">
        <v>124</v>
      </c>
      <c r="D3785" s="34" t="s">
        <v>4428</v>
      </c>
      <c r="E3785" s="4" t="n">
        <v>36</v>
      </c>
      <c r="F3785" s="4" t="s">
        <v>213</v>
      </c>
      <c r="G3785" s="4" t="s">
        <v>579</v>
      </c>
      <c r="H3785" s="4" t="n">
        <v>1957</v>
      </c>
      <c r="I3785" s="4" t="s">
        <v>255</v>
      </c>
      <c r="J3785" s="25" t="str">
        <f aca="false">IF(M3785=1,"✓","")</f>
        <v/>
      </c>
      <c r="K3785" s="4" t="str">
        <f aca="false">IF(AND(M3785=0,P3785=0),"▶ NEXT","")</f>
        <v/>
      </c>
      <c r="L3785" s="4" t="n">
        <f aca="false">INDEX('Master List'!$F$2:$F$2594,O3785)</f>
        <v>3</v>
      </c>
      <c r="M3785" s="4" t="n">
        <f aca="false">INDEX('Master List'!$G$2:$G$2594,O3785)</f>
        <v>0</v>
      </c>
      <c r="N3785" s="4" t="str">
        <f aca="false">IF(K3785="","",A3785)</f>
        <v/>
      </c>
      <c r="O3785" s="4" t="n">
        <v>348</v>
      </c>
      <c r="P3785" s="4" t="n">
        <f aca="false">IF(A3785=A3784,P3784+1-M3784,0)</f>
        <v>20</v>
      </c>
    </row>
    <row r="3786" customFormat="false" ht="15" hidden="false" customHeight="false" outlineLevel="0" collapsed="false">
      <c r="A3786" s="34" t="s">
        <v>4427</v>
      </c>
      <c r="B3786" s="34" t="s">
        <v>57</v>
      </c>
      <c r="C3786" s="34" t="s">
        <v>124</v>
      </c>
      <c r="D3786" s="34" t="s">
        <v>4428</v>
      </c>
      <c r="E3786" s="4" t="n">
        <v>37</v>
      </c>
      <c r="F3786" s="4" t="s">
        <v>213</v>
      </c>
      <c r="G3786" s="4" t="s">
        <v>304</v>
      </c>
      <c r="H3786" s="4" t="n">
        <v>1946</v>
      </c>
      <c r="I3786" s="4" t="s">
        <v>305</v>
      </c>
      <c r="J3786" s="25" t="str">
        <f aca="false">IF(M3786=1,"✓","")</f>
        <v/>
      </c>
      <c r="K3786" s="4" t="str">
        <f aca="false">IF(AND(M3786=0,P3786=0),"▶ NEXT","")</f>
        <v/>
      </c>
      <c r="L3786" s="4" t="n">
        <f aca="false">INDEX('Master List'!$F$2:$F$2594,O3786)</f>
        <v>5</v>
      </c>
      <c r="M3786" s="4" t="n">
        <f aca="false">INDEX('Master List'!$G$2:$G$2594,O3786)</f>
        <v>0</v>
      </c>
      <c r="N3786" s="4" t="str">
        <f aca="false">IF(K3786="","",A3786)</f>
        <v/>
      </c>
      <c r="O3786" s="4" t="n">
        <v>231</v>
      </c>
      <c r="P3786" s="4" t="n">
        <f aca="false">IF(A3786=A3785,P3785+1-M3785,0)</f>
        <v>21</v>
      </c>
    </row>
    <row r="3787" customFormat="false" ht="15" hidden="false" customHeight="false" outlineLevel="0" collapsed="false">
      <c r="A3787" s="34" t="s">
        <v>4427</v>
      </c>
      <c r="B3787" s="34" t="s">
        <v>57</v>
      </c>
      <c r="C3787" s="34" t="s">
        <v>124</v>
      </c>
      <c r="D3787" s="34" t="s">
        <v>4428</v>
      </c>
      <c r="E3787" s="4" t="n">
        <v>38</v>
      </c>
      <c r="F3787" s="4" t="s">
        <v>213</v>
      </c>
      <c r="G3787" s="4" t="s">
        <v>405</v>
      </c>
      <c r="H3787" s="4" t="n">
        <v>1948</v>
      </c>
      <c r="I3787" s="4" t="s">
        <v>283</v>
      </c>
      <c r="J3787" s="25" t="str">
        <f aca="false">IF(M3787=1,"✓","")</f>
        <v/>
      </c>
      <c r="K3787" s="4" t="str">
        <f aca="false">IF(AND(M3787=0,P3787=0),"▶ NEXT","")</f>
        <v/>
      </c>
      <c r="L3787" s="4" t="n">
        <f aca="false">INDEX('Master List'!$F$2:$F$2594,O3787)</f>
        <v>4</v>
      </c>
      <c r="M3787" s="4" t="n">
        <f aca="false">INDEX('Master List'!$G$2:$G$2594,O3787)</f>
        <v>0</v>
      </c>
      <c r="N3787" s="4" t="str">
        <f aca="false">IF(K3787="","",A3787)</f>
        <v/>
      </c>
      <c r="O3787" s="4" t="n">
        <v>2362</v>
      </c>
      <c r="P3787" s="4" t="n">
        <f aca="false">IF(A3787=A3786,P3786+1-M3786,0)</f>
        <v>22</v>
      </c>
    </row>
    <row r="3788" customFormat="false" ht="15" hidden="false" customHeight="false" outlineLevel="0" collapsed="false">
      <c r="A3788" s="34" t="s">
        <v>4427</v>
      </c>
      <c r="B3788" s="34" t="s">
        <v>57</v>
      </c>
      <c r="C3788" s="34" t="s">
        <v>124</v>
      </c>
      <c r="D3788" s="34" t="s">
        <v>4428</v>
      </c>
      <c r="E3788" s="4" t="n">
        <v>39</v>
      </c>
      <c r="F3788" s="4" t="s">
        <v>213</v>
      </c>
      <c r="G3788" s="4" t="s">
        <v>237</v>
      </c>
      <c r="H3788" s="4" t="n">
        <v>1964</v>
      </c>
      <c r="I3788" s="4" t="s">
        <v>187</v>
      </c>
      <c r="J3788" s="25" t="str">
        <f aca="false">IF(M3788=1,"✓","")</f>
        <v>✓</v>
      </c>
      <c r="K3788" s="4" t="str">
        <f aca="false">IF(AND(M3788=0,P3788=0),"▶ NEXT","")</f>
        <v/>
      </c>
      <c r="L3788" s="4" t="n">
        <f aca="false">INDEX('Master List'!$F$2:$F$2594,O3788)</f>
        <v>5</v>
      </c>
      <c r="M3788" s="4" t="n">
        <f aca="false">INDEX('Master List'!$G$2:$G$2594,O3788)</f>
        <v>1</v>
      </c>
      <c r="N3788" s="4" t="str">
        <f aca="false">IF(K3788="","",A3788)</f>
        <v/>
      </c>
      <c r="O3788" s="4" t="n">
        <v>671</v>
      </c>
      <c r="P3788" s="4" t="n">
        <f aca="false">IF(A3788=A3787,P3787+1-M3787,0)</f>
        <v>23</v>
      </c>
    </row>
    <row r="3789" customFormat="false" ht="15" hidden="false" customHeight="false" outlineLevel="0" collapsed="false">
      <c r="A3789" s="34" t="s">
        <v>4427</v>
      </c>
      <c r="B3789" s="34" t="s">
        <v>57</v>
      </c>
      <c r="C3789" s="34" t="s">
        <v>124</v>
      </c>
      <c r="D3789" s="34" t="s">
        <v>4428</v>
      </c>
      <c r="E3789" s="4" t="n">
        <v>40</v>
      </c>
      <c r="F3789" s="4" t="s">
        <v>213</v>
      </c>
      <c r="G3789" s="4" t="s">
        <v>987</v>
      </c>
      <c r="H3789" s="4" t="n">
        <v>1965</v>
      </c>
      <c r="I3789" s="4" t="s">
        <v>789</v>
      </c>
      <c r="J3789" s="25" t="str">
        <f aca="false">IF(M3789=1,"✓","")</f>
        <v/>
      </c>
      <c r="K3789" s="4" t="str">
        <f aca="false">IF(AND(M3789=0,P3789=0),"▶ NEXT","")</f>
        <v/>
      </c>
      <c r="L3789" s="4" t="n">
        <f aca="false">INDEX('Master List'!$F$2:$F$2594,O3789)</f>
        <v>2</v>
      </c>
      <c r="M3789" s="4" t="n">
        <f aca="false">INDEX('Master List'!$G$2:$G$2594,O3789)</f>
        <v>0</v>
      </c>
      <c r="N3789" s="4" t="str">
        <f aca="false">IF(K3789="","",A3789)</f>
        <v/>
      </c>
      <c r="O3789" s="4" t="n">
        <v>2122</v>
      </c>
      <c r="P3789" s="4" t="n">
        <f aca="false">IF(A3789=A3788,P3788+1-M3788,0)</f>
        <v>23</v>
      </c>
    </row>
    <row r="3790" customFormat="false" ht="15" hidden="false" customHeight="false" outlineLevel="0" collapsed="false">
      <c r="A3790" s="34" t="s">
        <v>4427</v>
      </c>
      <c r="B3790" s="34" t="s">
        <v>57</v>
      </c>
      <c r="C3790" s="34" t="s">
        <v>124</v>
      </c>
      <c r="D3790" s="34" t="s">
        <v>4428</v>
      </c>
      <c r="E3790" s="4" t="n">
        <v>41</v>
      </c>
      <c r="F3790" s="4" t="s">
        <v>213</v>
      </c>
      <c r="G3790" s="4" t="s">
        <v>566</v>
      </c>
      <c r="H3790" s="4" t="n">
        <v>1933</v>
      </c>
      <c r="I3790" s="4" t="s">
        <v>567</v>
      </c>
      <c r="J3790" s="25" t="str">
        <f aca="false">IF(M3790=1,"✓","")</f>
        <v/>
      </c>
      <c r="K3790" s="4" t="str">
        <f aca="false">IF(AND(M3790=0,P3790=0),"▶ NEXT","")</f>
        <v/>
      </c>
      <c r="L3790" s="4" t="n">
        <f aca="false">INDEX('Master List'!$F$2:$F$2594,O3790)</f>
        <v>3</v>
      </c>
      <c r="M3790" s="4" t="n">
        <f aca="false">INDEX('Master List'!$G$2:$G$2594,O3790)</f>
        <v>0</v>
      </c>
      <c r="N3790" s="4" t="str">
        <f aca="false">IF(K3790="","",A3790)</f>
        <v/>
      </c>
      <c r="O3790" s="4" t="n">
        <v>1257</v>
      </c>
      <c r="P3790" s="4" t="n">
        <f aca="false">IF(A3790=A3789,P3789+1-M3789,0)</f>
        <v>24</v>
      </c>
    </row>
    <row r="3791" customFormat="false" ht="15" hidden="false" customHeight="false" outlineLevel="0" collapsed="false">
      <c r="A3791" s="34" t="s">
        <v>4427</v>
      </c>
      <c r="B3791" s="34" t="s">
        <v>57</v>
      </c>
      <c r="C3791" s="34" t="s">
        <v>124</v>
      </c>
      <c r="D3791" s="34" t="s">
        <v>4428</v>
      </c>
      <c r="E3791" s="4" t="n">
        <v>42</v>
      </c>
      <c r="F3791" s="4" t="s">
        <v>213</v>
      </c>
      <c r="G3791" s="4" t="s">
        <v>300</v>
      </c>
      <c r="H3791" s="4" t="n">
        <v>1967</v>
      </c>
      <c r="I3791" s="4" t="s">
        <v>301</v>
      </c>
      <c r="J3791" s="25" t="str">
        <f aca="false">IF(M3791=1,"✓","")</f>
        <v>✓</v>
      </c>
      <c r="K3791" s="4" t="str">
        <f aca="false">IF(AND(M3791=0,P3791=0),"▶ NEXT","")</f>
        <v/>
      </c>
      <c r="L3791" s="4" t="n">
        <f aca="false">INDEX('Master List'!$F$2:$F$2594,O3791)</f>
        <v>5</v>
      </c>
      <c r="M3791" s="4" t="n">
        <f aca="false">INDEX('Master List'!$G$2:$G$2594,O3791)</f>
        <v>1</v>
      </c>
      <c r="N3791" s="4" t="str">
        <f aca="false">IF(K3791="","",A3791)</f>
        <v/>
      </c>
      <c r="O3791" s="4" t="n">
        <v>314</v>
      </c>
      <c r="P3791" s="4" t="n">
        <f aca="false">IF(A3791=A3790,P3790+1-M3790,0)</f>
        <v>25</v>
      </c>
    </row>
    <row r="3792" customFormat="false" ht="15" hidden="false" customHeight="false" outlineLevel="0" collapsed="false">
      <c r="A3792" s="34" t="s">
        <v>4427</v>
      </c>
      <c r="B3792" s="34" t="s">
        <v>57</v>
      </c>
      <c r="C3792" s="34" t="s">
        <v>124</v>
      </c>
      <c r="D3792" s="34" t="s">
        <v>4428</v>
      </c>
      <c r="E3792" s="4" t="n">
        <v>43</v>
      </c>
      <c r="F3792" s="4" t="s">
        <v>213</v>
      </c>
      <c r="G3792" s="4" t="s">
        <v>588</v>
      </c>
      <c r="H3792" s="4" t="n">
        <v>1969</v>
      </c>
      <c r="I3792" s="4" t="s">
        <v>589</v>
      </c>
      <c r="J3792" s="25" t="str">
        <f aca="false">IF(M3792=1,"✓","")</f>
        <v>✓</v>
      </c>
      <c r="K3792" s="4" t="str">
        <f aca="false">IF(AND(M3792=0,P3792=0),"▶ NEXT","")</f>
        <v/>
      </c>
      <c r="L3792" s="4" t="n">
        <f aca="false">INDEX('Master List'!$F$2:$F$2594,O3792)</f>
        <v>3</v>
      </c>
      <c r="M3792" s="4" t="n">
        <f aca="false">INDEX('Master List'!$G$2:$G$2594,O3792)</f>
        <v>1</v>
      </c>
      <c r="N3792" s="4" t="str">
        <f aca="false">IF(K3792="","",A3792)</f>
        <v/>
      </c>
      <c r="O3792" s="4" t="n">
        <v>1493</v>
      </c>
      <c r="P3792" s="4" t="n">
        <f aca="false">IF(A3792=A3791,P3791+1-M3791,0)</f>
        <v>25</v>
      </c>
    </row>
    <row r="3793" customFormat="false" ht="15" hidden="false" customHeight="false" outlineLevel="0" collapsed="false">
      <c r="A3793" s="34" t="s">
        <v>4427</v>
      </c>
      <c r="B3793" s="34" t="s">
        <v>57</v>
      </c>
      <c r="C3793" s="34" t="s">
        <v>124</v>
      </c>
      <c r="D3793" s="34" t="s">
        <v>4428</v>
      </c>
      <c r="E3793" s="4" t="n">
        <v>44</v>
      </c>
      <c r="F3793" s="4" t="s">
        <v>213</v>
      </c>
      <c r="G3793" s="4" t="s">
        <v>536</v>
      </c>
      <c r="H3793" s="4" t="n">
        <v>1940</v>
      </c>
      <c r="I3793" s="4" t="s">
        <v>537</v>
      </c>
      <c r="J3793" s="25" t="str">
        <f aca="false">IF(M3793=1,"✓","")</f>
        <v/>
      </c>
      <c r="K3793" s="4" t="str">
        <f aca="false">IF(AND(M3793=0,P3793=0),"▶ NEXT","")</f>
        <v/>
      </c>
      <c r="L3793" s="4" t="n">
        <f aca="false">INDEX('Master List'!$F$2:$F$2594,O3793)</f>
        <v>3</v>
      </c>
      <c r="M3793" s="4" t="n">
        <f aca="false">INDEX('Master List'!$G$2:$G$2594,O3793)</f>
        <v>0</v>
      </c>
      <c r="N3793" s="4" t="str">
        <f aca="false">IF(K3793="","",A3793)</f>
        <v/>
      </c>
      <c r="O3793" s="4" t="n">
        <v>1757</v>
      </c>
      <c r="P3793" s="4" t="n">
        <f aca="false">IF(A3793=A3792,P3792+1-M3792,0)</f>
        <v>25</v>
      </c>
    </row>
    <row r="3794" customFormat="false" ht="15" hidden="false" customHeight="false" outlineLevel="0" collapsed="false">
      <c r="A3794" s="34" t="s">
        <v>4427</v>
      </c>
      <c r="B3794" s="34" t="s">
        <v>57</v>
      </c>
      <c r="C3794" s="34" t="s">
        <v>124</v>
      </c>
      <c r="D3794" s="34" t="s">
        <v>4428</v>
      </c>
      <c r="E3794" s="4" t="n">
        <v>45</v>
      </c>
      <c r="F3794" s="4" t="s">
        <v>213</v>
      </c>
      <c r="G3794" s="4" t="s">
        <v>941</v>
      </c>
      <c r="H3794" s="4" t="n">
        <v>1953</v>
      </c>
      <c r="I3794" s="4" t="s">
        <v>912</v>
      </c>
      <c r="J3794" s="25" t="str">
        <f aca="false">IF(M3794=1,"✓","")</f>
        <v/>
      </c>
      <c r="K3794" s="4" t="str">
        <f aca="false">IF(AND(M3794=0,P3794=0),"▶ NEXT","")</f>
        <v/>
      </c>
      <c r="L3794" s="4" t="n">
        <f aca="false">INDEX('Master List'!$F$2:$F$2594,O3794)</f>
        <v>2</v>
      </c>
      <c r="M3794" s="4" t="n">
        <f aca="false">INDEX('Master List'!$G$2:$G$2594,O3794)</f>
        <v>0</v>
      </c>
      <c r="N3794" s="4" t="str">
        <f aca="false">IF(K3794="","",A3794)</f>
        <v/>
      </c>
      <c r="O3794" s="4" t="n">
        <v>2035</v>
      </c>
      <c r="P3794" s="4" t="n">
        <f aca="false">IF(A3794=A3793,P3793+1-M3793,0)</f>
        <v>26</v>
      </c>
    </row>
    <row r="3795" customFormat="false" ht="15" hidden="false" customHeight="false" outlineLevel="0" collapsed="false">
      <c r="A3795" s="34" t="s">
        <v>4427</v>
      </c>
      <c r="B3795" s="34" t="s">
        <v>57</v>
      </c>
      <c r="C3795" s="34" t="s">
        <v>124</v>
      </c>
      <c r="D3795" s="34" t="s">
        <v>4428</v>
      </c>
      <c r="E3795" s="4" t="n">
        <v>46</v>
      </c>
      <c r="F3795" s="4" t="s">
        <v>213</v>
      </c>
      <c r="G3795" s="4" t="s">
        <v>175</v>
      </c>
      <c r="H3795" s="4" t="n">
        <v>1934</v>
      </c>
      <c r="I3795" s="4" t="s">
        <v>176</v>
      </c>
      <c r="J3795" s="25" t="str">
        <f aca="false">IF(M3795=1,"✓","")</f>
        <v/>
      </c>
      <c r="K3795" s="4" t="str">
        <f aca="false">IF(AND(M3795=0,P3795=0),"▶ NEXT","")</f>
        <v/>
      </c>
      <c r="L3795" s="4" t="n">
        <f aca="false">INDEX('Master List'!$F$2:$F$2594,O3795)</f>
        <v>7</v>
      </c>
      <c r="M3795" s="4" t="n">
        <f aca="false">INDEX('Master List'!$G$2:$G$2594,O3795)</f>
        <v>0</v>
      </c>
      <c r="N3795" s="4" t="str">
        <f aca="false">IF(K3795="","",A3795)</f>
        <v/>
      </c>
      <c r="O3795" s="4" t="n">
        <v>1176</v>
      </c>
      <c r="P3795" s="4" t="n">
        <f aca="false">IF(A3795=A3794,P3794+1-M3794,0)</f>
        <v>27</v>
      </c>
    </row>
    <row r="3796" customFormat="false" ht="15" hidden="false" customHeight="false" outlineLevel="0" collapsed="false">
      <c r="A3796" s="34" t="s">
        <v>4427</v>
      </c>
      <c r="B3796" s="34" t="s">
        <v>57</v>
      </c>
      <c r="C3796" s="34" t="s">
        <v>124</v>
      </c>
      <c r="D3796" s="34" t="s">
        <v>4428</v>
      </c>
      <c r="E3796" s="4" t="n">
        <v>47</v>
      </c>
      <c r="F3796" s="4" t="s">
        <v>213</v>
      </c>
      <c r="G3796" s="4" t="s">
        <v>573</v>
      </c>
      <c r="H3796" s="4" t="n">
        <v>1951</v>
      </c>
      <c r="I3796" s="4" t="s">
        <v>375</v>
      </c>
      <c r="J3796" s="25" t="str">
        <f aca="false">IF(M3796=1,"✓","")</f>
        <v/>
      </c>
      <c r="K3796" s="4" t="str">
        <f aca="false">IF(AND(M3796=0,P3796=0),"▶ NEXT","")</f>
        <v/>
      </c>
      <c r="L3796" s="4" t="n">
        <f aca="false">INDEX('Master List'!$F$2:$F$2594,O3796)</f>
        <v>3</v>
      </c>
      <c r="M3796" s="4" t="n">
        <f aca="false">INDEX('Master List'!$G$2:$G$2594,O3796)</f>
        <v>0</v>
      </c>
      <c r="N3796" s="4" t="str">
        <f aca="false">IF(K3796="","",A3796)</f>
        <v/>
      </c>
      <c r="O3796" s="4" t="n">
        <v>2184</v>
      </c>
      <c r="P3796" s="4" t="n">
        <f aca="false">IF(A3796=A3795,P3795+1-M3795,0)</f>
        <v>28</v>
      </c>
    </row>
    <row r="3797" customFormat="false" ht="15" hidden="false" customHeight="false" outlineLevel="0" collapsed="false">
      <c r="A3797" s="34" t="s">
        <v>4427</v>
      </c>
      <c r="B3797" s="34" t="s">
        <v>57</v>
      </c>
      <c r="C3797" s="34" t="s">
        <v>124</v>
      </c>
      <c r="D3797" s="34" t="s">
        <v>4428</v>
      </c>
      <c r="E3797" s="4" t="n">
        <v>48</v>
      </c>
      <c r="F3797" s="4" t="s">
        <v>213</v>
      </c>
      <c r="G3797" s="4" t="s">
        <v>190</v>
      </c>
      <c r="H3797" s="4" t="n">
        <v>1954</v>
      </c>
      <c r="I3797" s="4" t="s">
        <v>162</v>
      </c>
      <c r="J3797" s="25" t="str">
        <f aca="false">IF(M3797=1,"✓","")</f>
        <v>✓</v>
      </c>
      <c r="K3797" s="4" t="str">
        <f aca="false">IF(AND(M3797=0,P3797=0),"▶ NEXT","")</f>
        <v/>
      </c>
      <c r="L3797" s="4" t="n">
        <f aca="false">INDEX('Master List'!$F$2:$F$2594,O3797)</f>
        <v>6</v>
      </c>
      <c r="M3797" s="4" t="n">
        <f aca="false">INDEX('Master List'!$G$2:$G$2594,O3797)</f>
        <v>1</v>
      </c>
      <c r="N3797" s="4" t="str">
        <f aca="false">IF(K3797="","",A3797)</f>
        <v/>
      </c>
      <c r="O3797" s="4" t="n">
        <v>1866</v>
      </c>
      <c r="P3797" s="4" t="n">
        <f aca="false">IF(A3797=A3796,P3796+1-M3796,0)</f>
        <v>29</v>
      </c>
    </row>
    <row r="3798" customFormat="false" ht="15" hidden="false" customHeight="false" outlineLevel="0" collapsed="false">
      <c r="A3798" s="34" t="s">
        <v>4427</v>
      </c>
      <c r="B3798" s="34" t="s">
        <v>57</v>
      </c>
      <c r="C3798" s="34" t="s">
        <v>124</v>
      </c>
      <c r="D3798" s="34" t="s">
        <v>4428</v>
      </c>
      <c r="E3798" s="4" t="n">
        <v>49</v>
      </c>
      <c r="F3798" s="4" t="s">
        <v>213</v>
      </c>
      <c r="G3798" s="4" t="s">
        <v>562</v>
      </c>
      <c r="H3798" s="4" t="n">
        <v>1916</v>
      </c>
      <c r="I3798" s="4" t="s">
        <v>531</v>
      </c>
      <c r="J3798" s="25" t="str">
        <f aca="false">IF(M3798=1,"✓","")</f>
        <v/>
      </c>
      <c r="K3798" s="4" t="str">
        <f aca="false">IF(AND(M3798=0,P3798=0),"▶ NEXT","")</f>
        <v/>
      </c>
      <c r="L3798" s="4" t="n">
        <f aca="false">INDEX('Master List'!$F$2:$F$2594,O3798)</f>
        <v>3</v>
      </c>
      <c r="M3798" s="4" t="n">
        <f aca="false">INDEX('Master List'!$G$2:$G$2594,O3798)</f>
        <v>0</v>
      </c>
      <c r="N3798" s="4" t="str">
        <f aca="false">IF(K3798="","",A3798)</f>
        <v/>
      </c>
      <c r="O3798" s="4" t="n">
        <v>1158</v>
      </c>
      <c r="P3798" s="4" t="n">
        <f aca="false">IF(A3798=A3797,P3797+1-M3797,0)</f>
        <v>29</v>
      </c>
    </row>
    <row r="3799" customFormat="false" ht="15" hidden="false" customHeight="false" outlineLevel="0" collapsed="false">
      <c r="A3799" s="34" t="s">
        <v>4427</v>
      </c>
      <c r="B3799" s="34" t="s">
        <v>57</v>
      </c>
      <c r="C3799" s="34" t="s">
        <v>124</v>
      </c>
      <c r="D3799" s="34" t="s">
        <v>4428</v>
      </c>
      <c r="E3799" s="4" t="n">
        <v>50</v>
      </c>
      <c r="F3799" s="4" t="s">
        <v>213</v>
      </c>
      <c r="G3799" s="4" t="s">
        <v>766</v>
      </c>
      <c r="H3799" s="4" t="n">
        <v>1961</v>
      </c>
      <c r="I3799" s="4" t="s">
        <v>767</v>
      </c>
      <c r="J3799" s="25" t="str">
        <f aca="false">IF(M3799=1,"✓","")</f>
        <v/>
      </c>
      <c r="K3799" s="4" t="str">
        <f aca="false">IF(AND(M3799=0,P3799=0),"▶ NEXT","")</f>
        <v/>
      </c>
      <c r="L3799" s="4" t="n">
        <f aca="false">INDEX('Master List'!$F$2:$F$2594,O3799)</f>
        <v>2</v>
      </c>
      <c r="M3799" s="4" t="n">
        <f aca="false">INDEX('Master List'!$G$2:$G$2594,O3799)</f>
        <v>0</v>
      </c>
      <c r="N3799" s="4" t="str">
        <f aca="false">IF(K3799="","",A3799)</f>
        <v/>
      </c>
      <c r="O3799" s="4" t="n">
        <v>2485</v>
      </c>
      <c r="P3799" s="4" t="n">
        <f aca="false">IF(A3799=A3798,P3798+1-M3798,0)</f>
        <v>30</v>
      </c>
    </row>
    <row r="3800" customFormat="false" ht="15" hidden="false" customHeight="false" outlineLevel="0" collapsed="false">
      <c r="A3800" s="34" t="s">
        <v>4427</v>
      </c>
      <c r="B3800" s="34" t="s">
        <v>57</v>
      </c>
      <c r="C3800" s="34" t="s">
        <v>124</v>
      </c>
      <c r="D3800" s="34" t="s">
        <v>4428</v>
      </c>
      <c r="E3800" s="4" t="n">
        <v>51</v>
      </c>
      <c r="F3800" s="4" t="s">
        <v>213</v>
      </c>
      <c r="G3800" s="4" t="s">
        <v>163</v>
      </c>
      <c r="H3800" s="4" t="n">
        <v>1976</v>
      </c>
      <c r="I3800" s="4" t="s">
        <v>164</v>
      </c>
      <c r="J3800" s="25" t="str">
        <f aca="false">IF(M3800=1,"✓","")</f>
        <v>✓</v>
      </c>
      <c r="K3800" s="4" t="str">
        <f aca="false">IF(AND(M3800=0,P3800=0),"▶ NEXT","")</f>
        <v/>
      </c>
      <c r="L3800" s="4" t="n">
        <f aca="false">INDEX('Master List'!$F$2:$F$2594,O3800)</f>
        <v>8</v>
      </c>
      <c r="M3800" s="4" t="n">
        <f aca="false">INDEX('Master List'!$G$2:$G$2594,O3800)</f>
        <v>1</v>
      </c>
      <c r="N3800" s="4" t="str">
        <f aca="false">IF(K3800="","",A3800)</f>
        <v/>
      </c>
      <c r="O3800" s="4" t="n">
        <v>2248</v>
      </c>
      <c r="P3800" s="4" t="n">
        <f aca="false">IF(A3800=A3799,P3799+1-M3799,0)</f>
        <v>31</v>
      </c>
    </row>
    <row r="3801" customFormat="false" ht="15" hidden="false" customHeight="false" outlineLevel="0" collapsed="false">
      <c r="A3801" s="34" t="s">
        <v>4427</v>
      </c>
      <c r="B3801" s="34" t="s">
        <v>57</v>
      </c>
      <c r="C3801" s="34" t="s">
        <v>124</v>
      </c>
      <c r="D3801" s="34" t="s">
        <v>4428</v>
      </c>
      <c r="E3801" s="4" t="n">
        <v>52</v>
      </c>
      <c r="F3801" s="4" t="s">
        <v>213</v>
      </c>
      <c r="G3801" s="4" t="s">
        <v>605</v>
      </c>
      <c r="H3801" s="4" t="n">
        <v>1978</v>
      </c>
      <c r="I3801" s="4" t="s">
        <v>606</v>
      </c>
      <c r="J3801" s="25" t="str">
        <f aca="false">IF(M3801=1,"✓","")</f>
        <v/>
      </c>
      <c r="K3801" s="4" t="str">
        <f aca="false">IF(AND(M3801=0,P3801=0),"▶ NEXT","")</f>
        <v/>
      </c>
      <c r="L3801" s="4" t="n">
        <f aca="false">INDEX('Master List'!$F$2:$F$2594,O3801)</f>
        <v>3</v>
      </c>
      <c r="M3801" s="4" t="n">
        <f aca="false">INDEX('Master List'!$G$2:$G$2594,O3801)</f>
        <v>0</v>
      </c>
      <c r="N3801" s="4" t="str">
        <f aca="false">IF(K3801="","",A3801)</f>
        <v/>
      </c>
      <c r="O3801" s="4" t="n">
        <v>605</v>
      </c>
      <c r="P3801" s="4" t="n">
        <f aca="false">IF(A3801=A3800,P3800+1-M3800,0)</f>
        <v>31</v>
      </c>
    </row>
    <row r="3802" customFormat="false" ht="15" hidden="false" customHeight="false" outlineLevel="0" collapsed="false">
      <c r="A3802" s="34" t="s">
        <v>4427</v>
      </c>
      <c r="B3802" s="34" t="s">
        <v>57</v>
      </c>
      <c r="C3802" s="34" t="s">
        <v>124</v>
      </c>
      <c r="D3802" s="34" t="s">
        <v>4428</v>
      </c>
      <c r="E3802" s="4" t="n">
        <v>53</v>
      </c>
      <c r="F3802" s="4" t="s">
        <v>213</v>
      </c>
      <c r="G3802" s="4" t="s">
        <v>422</v>
      </c>
      <c r="H3802" s="4" t="n">
        <v>1970</v>
      </c>
      <c r="I3802" s="4" t="s">
        <v>197</v>
      </c>
      <c r="J3802" s="25" t="str">
        <f aca="false">IF(M3802=1,"✓","")</f>
        <v>✓</v>
      </c>
      <c r="K3802" s="4" t="str">
        <f aca="false">IF(AND(M3802=0,P3802=0),"▶ NEXT","")</f>
        <v/>
      </c>
      <c r="L3802" s="4" t="n">
        <f aca="false">INDEX('Master List'!$F$2:$F$2594,O3802)</f>
        <v>4</v>
      </c>
      <c r="M3802" s="4" t="n">
        <f aca="false">INDEX('Master List'!$G$2:$G$2594,O3802)</f>
        <v>1</v>
      </c>
      <c r="N3802" s="4" t="str">
        <f aca="false">IF(K3802="","",A3802)</f>
        <v/>
      </c>
      <c r="O3802" s="4" t="n">
        <v>1399</v>
      </c>
      <c r="P3802" s="4" t="n">
        <f aca="false">IF(A3802=A3801,P3801+1-M3801,0)</f>
        <v>32</v>
      </c>
    </row>
    <row r="3803" customFormat="false" ht="15" hidden="false" customHeight="false" outlineLevel="0" collapsed="false">
      <c r="A3803" s="34" t="s">
        <v>4427</v>
      </c>
      <c r="B3803" s="34" t="s">
        <v>57</v>
      </c>
      <c r="C3803" s="34" t="s">
        <v>124</v>
      </c>
      <c r="D3803" s="34" t="s">
        <v>4428</v>
      </c>
      <c r="E3803" s="4" t="n">
        <v>54</v>
      </c>
      <c r="F3803" s="4" t="s">
        <v>213</v>
      </c>
      <c r="G3803" s="4" t="s">
        <v>412</v>
      </c>
      <c r="H3803" s="4" t="n">
        <v>1959</v>
      </c>
      <c r="I3803" s="4" t="s">
        <v>162</v>
      </c>
      <c r="J3803" s="25" t="str">
        <f aca="false">IF(M3803=1,"✓","")</f>
        <v/>
      </c>
      <c r="K3803" s="4" t="str">
        <f aca="false">IF(AND(M3803=0,P3803=0),"▶ NEXT","")</f>
        <v/>
      </c>
      <c r="L3803" s="4" t="n">
        <f aca="false">INDEX('Master List'!$F$2:$F$2594,O3803)</f>
        <v>3</v>
      </c>
      <c r="M3803" s="4" t="n">
        <f aca="false">INDEX('Master List'!$G$2:$G$2594,O3803)</f>
        <v>0</v>
      </c>
      <c r="N3803" s="4" t="str">
        <f aca="false">IF(K3803="","",A3803)</f>
        <v/>
      </c>
      <c r="O3803" s="4" t="n">
        <v>1630</v>
      </c>
      <c r="P3803" s="4" t="n">
        <f aca="false">IF(A3803=A3802,P3802+1-M3802,0)</f>
        <v>32</v>
      </c>
    </row>
    <row r="3804" customFormat="false" ht="15" hidden="false" customHeight="false" outlineLevel="0" collapsed="false">
      <c r="A3804" s="34" t="s">
        <v>4427</v>
      </c>
      <c r="B3804" s="34" t="s">
        <v>57</v>
      </c>
      <c r="C3804" s="34" t="s">
        <v>124</v>
      </c>
      <c r="D3804" s="34" t="s">
        <v>4428</v>
      </c>
      <c r="E3804" s="4" t="n">
        <v>55</v>
      </c>
      <c r="F3804" s="4" t="s">
        <v>213</v>
      </c>
      <c r="G3804" s="4" t="s">
        <v>182</v>
      </c>
      <c r="H3804" s="4" t="n">
        <v>1975</v>
      </c>
      <c r="I3804" s="4" t="s">
        <v>183</v>
      </c>
      <c r="J3804" s="25" t="str">
        <f aca="false">IF(M3804=1,"✓","")</f>
        <v>✓</v>
      </c>
      <c r="K3804" s="4" t="str">
        <f aca="false">IF(AND(M3804=0,P3804=0),"▶ NEXT","")</f>
        <v/>
      </c>
      <c r="L3804" s="4" t="n">
        <f aca="false">INDEX('Master List'!$F$2:$F$2594,O3804)</f>
        <v>7</v>
      </c>
      <c r="M3804" s="4" t="n">
        <f aca="false">INDEX('Master List'!$G$2:$G$2594,O3804)</f>
        <v>1</v>
      </c>
      <c r="N3804" s="4" t="str">
        <f aca="false">IF(K3804="","",A3804)</f>
        <v/>
      </c>
      <c r="O3804" s="4" t="n">
        <v>1196</v>
      </c>
      <c r="P3804" s="4" t="n">
        <f aca="false">IF(A3804=A3803,P3803+1-M3803,0)</f>
        <v>33</v>
      </c>
    </row>
    <row r="3805" customFormat="false" ht="15" hidden="false" customHeight="false" outlineLevel="0" collapsed="false">
      <c r="A3805" s="34" t="s">
        <v>4427</v>
      </c>
      <c r="B3805" s="34" t="s">
        <v>57</v>
      </c>
      <c r="C3805" s="34" t="s">
        <v>124</v>
      </c>
      <c r="D3805" s="34" t="s">
        <v>4428</v>
      </c>
      <c r="E3805" s="4" t="n">
        <v>56</v>
      </c>
      <c r="F3805" s="4" t="s">
        <v>213</v>
      </c>
      <c r="G3805" s="4" t="s">
        <v>1032</v>
      </c>
      <c r="H3805" s="4" t="n">
        <v>1976</v>
      </c>
      <c r="I3805" s="4" t="s">
        <v>1033</v>
      </c>
      <c r="J3805" s="25" t="str">
        <f aca="false">IF(M3805=1,"✓","")</f>
        <v>✓</v>
      </c>
      <c r="K3805" s="4" t="str">
        <f aca="false">IF(AND(M3805=0,P3805=0),"▶ NEXT","")</f>
        <v/>
      </c>
      <c r="L3805" s="4" t="n">
        <f aca="false">INDEX('Master List'!$F$2:$F$2594,O3805)</f>
        <v>2</v>
      </c>
      <c r="M3805" s="4" t="n">
        <f aca="false">INDEX('Master List'!$G$2:$G$2594,O3805)</f>
        <v>1</v>
      </c>
      <c r="N3805" s="4" t="str">
        <f aca="false">IF(K3805="","",A3805)</f>
        <v/>
      </c>
      <c r="O3805" s="4" t="n">
        <v>1921</v>
      </c>
      <c r="P3805" s="4" t="n">
        <f aca="false">IF(A3805=A3804,P3804+1-M3804,0)</f>
        <v>33</v>
      </c>
    </row>
    <row r="3806" customFormat="false" ht="15" hidden="false" customHeight="false" outlineLevel="0" collapsed="false">
      <c r="A3806" s="34" t="s">
        <v>4427</v>
      </c>
      <c r="B3806" s="34" t="s">
        <v>57</v>
      </c>
      <c r="C3806" s="34" t="s">
        <v>124</v>
      </c>
      <c r="D3806" s="34" t="s">
        <v>4428</v>
      </c>
      <c r="E3806" s="4" t="n">
        <v>57</v>
      </c>
      <c r="F3806" s="4" t="s">
        <v>213</v>
      </c>
      <c r="G3806" s="4" t="s">
        <v>655</v>
      </c>
      <c r="H3806" s="4" t="n">
        <v>1925</v>
      </c>
      <c r="I3806" s="4" t="s">
        <v>344</v>
      </c>
      <c r="J3806" s="25" t="str">
        <f aca="false">IF(M3806=1,"✓","")</f>
        <v>✓</v>
      </c>
      <c r="K3806" s="4" t="str">
        <f aca="false">IF(AND(M3806=0,P3806=0),"▶ NEXT","")</f>
        <v/>
      </c>
      <c r="L3806" s="4" t="n">
        <f aca="false">INDEX('Master List'!$F$2:$F$2594,O3806)</f>
        <v>3</v>
      </c>
      <c r="M3806" s="4" t="n">
        <f aca="false">INDEX('Master List'!$G$2:$G$2594,O3806)</f>
        <v>1</v>
      </c>
      <c r="N3806" s="4" t="str">
        <f aca="false">IF(K3806="","",A3806)</f>
        <v/>
      </c>
      <c r="O3806" s="4" t="n">
        <v>916</v>
      </c>
      <c r="P3806" s="4" t="n">
        <f aca="false">IF(A3806=A3805,P3805+1-M3805,0)</f>
        <v>33</v>
      </c>
    </row>
    <row r="3807" customFormat="false" ht="15" hidden="false" customHeight="false" outlineLevel="0" collapsed="false">
      <c r="A3807" s="34" t="s">
        <v>4427</v>
      </c>
      <c r="B3807" s="34" t="s">
        <v>57</v>
      </c>
      <c r="C3807" s="34" t="s">
        <v>124</v>
      </c>
      <c r="D3807" s="34" t="s">
        <v>4428</v>
      </c>
      <c r="E3807" s="4" t="n">
        <v>58</v>
      </c>
      <c r="F3807" s="4" t="s">
        <v>213</v>
      </c>
      <c r="G3807" s="4" t="s">
        <v>196</v>
      </c>
      <c r="H3807" s="4" t="n">
        <v>1975</v>
      </c>
      <c r="I3807" s="4" t="s">
        <v>197</v>
      </c>
      <c r="J3807" s="25" t="str">
        <f aca="false">IF(M3807=1,"✓","")</f>
        <v>✓</v>
      </c>
      <c r="K3807" s="4" t="str">
        <f aca="false">IF(AND(M3807=0,P3807=0),"▶ NEXT","")</f>
        <v/>
      </c>
      <c r="L3807" s="4" t="n">
        <f aca="false">INDEX('Master List'!$F$2:$F$2594,O3807)</f>
        <v>6</v>
      </c>
      <c r="M3807" s="4" t="n">
        <f aca="false">INDEX('Master List'!$G$2:$G$2594,O3807)</f>
        <v>1</v>
      </c>
      <c r="N3807" s="4" t="str">
        <f aca="false">IF(K3807="","",A3807)</f>
        <v/>
      </c>
      <c r="O3807" s="4" t="n">
        <v>1587</v>
      </c>
      <c r="P3807" s="4" t="n">
        <f aca="false">IF(A3807=A3806,P3806+1-M3806,0)</f>
        <v>33</v>
      </c>
    </row>
    <row r="3808" customFormat="false" ht="15" hidden="false" customHeight="false" outlineLevel="0" collapsed="false">
      <c r="A3808" s="34" t="s">
        <v>4427</v>
      </c>
      <c r="B3808" s="34" t="s">
        <v>57</v>
      </c>
      <c r="C3808" s="34" t="s">
        <v>124</v>
      </c>
      <c r="D3808" s="34" t="s">
        <v>4428</v>
      </c>
      <c r="E3808" s="4" t="n">
        <v>59</v>
      </c>
      <c r="F3808" s="4" t="s">
        <v>213</v>
      </c>
      <c r="G3808" s="4" t="s">
        <v>449</v>
      </c>
      <c r="H3808" s="4" t="n">
        <v>1933</v>
      </c>
      <c r="I3808" s="4" t="s">
        <v>450</v>
      </c>
      <c r="J3808" s="25" t="str">
        <f aca="false">IF(M3808=1,"✓","")</f>
        <v/>
      </c>
      <c r="K3808" s="4" t="str">
        <f aca="false">IF(AND(M3808=0,P3808=0),"▶ NEXT","")</f>
        <v/>
      </c>
      <c r="L3808" s="4" t="n">
        <f aca="false">INDEX('Master List'!$F$2:$F$2594,O3808)</f>
        <v>3</v>
      </c>
      <c r="M3808" s="4" t="n">
        <f aca="false">INDEX('Master List'!$G$2:$G$2594,O3808)</f>
        <v>0</v>
      </c>
      <c r="N3808" s="4" t="str">
        <f aca="false">IF(K3808="","",A3808)</f>
        <v/>
      </c>
      <c r="O3808" s="4" t="n">
        <v>686</v>
      </c>
      <c r="P3808" s="4" t="n">
        <f aca="false">IF(A3808=A3807,P3807+1-M3807,0)</f>
        <v>33</v>
      </c>
    </row>
    <row r="3809" customFormat="false" ht="15" hidden="false" customHeight="false" outlineLevel="0" collapsed="false">
      <c r="A3809" s="34" t="s">
        <v>4427</v>
      </c>
      <c r="B3809" s="34" t="s">
        <v>57</v>
      </c>
      <c r="C3809" s="34" t="s">
        <v>124</v>
      </c>
      <c r="D3809" s="34" t="s">
        <v>4428</v>
      </c>
      <c r="E3809" s="4" t="n">
        <v>60</v>
      </c>
      <c r="F3809" s="4" t="s">
        <v>213</v>
      </c>
      <c r="G3809" s="4" t="s">
        <v>249</v>
      </c>
      <c r="H3809" s="4" t="n">
        <v>1941</v>
      </c>
      <c r="I3809" s="4" t="s">
        <v>250</v>
      </c>
      <c r="J3809" s="25" t="str">
        <f aca="false">IF(M3809=1,"✓","")</f>
        <v/>
      </c>
      <c r="K3809" s="4" t="str">
        <f aca="false">IF(AND(M3809=0,P3809=0),"▶ NEXT","")</f>
        <v/>
      </c>
      <c r="L3809" s="4" t="n">
        <f aca="false">INDEX('Master List'!$F$2:$F$2594,O3809)</f>
        <v>5</v>
      </c>
      <c r="M3809" s="4" t="n">
        <f aca="false">INDEX('Master List'!$G$2:$G$2594,O3809)</f>
        <v>0</v>
      </c>
      <c r="N3809" s="4" t="str">
        <f aca="false">IF(K3809="","",A3809)</f>
        <v/>
      </c>
      <c r="O3809" s="4" t="n">
        <v>2195</v>
      </c>
      <c r="P3809" s="4" t="n">
        <f aca="false">IF(A3809=A3808,P3808+1-M3808,0)</f>
        <v>34</v>
      </c>
    </row>
    <row r="3810" customFormat="false" ht="15" hidden="false" customHeight="false" outlineLevel="0" collapsed="false">
      <c r="A3810" s="34" t="s">
        <v>4427</v>
      </c>
      <c r="B3810" s="34" t="s">
        <v>57</v>
      </c>
      <c r="C3810" s="34" t="s">
        <v>124</v>
      </c>
      <c r="D3810" s="34" t="s">
        <v>4428</v>
      </c>
      <c r="E3810" s="4" t="n">
        <v>61</v>
      </c>
      <c r="F3810" s="4" t="s">
        <v>213</v>
      </c>
      <c r="G3810" s="4" t="s">
        <v>392</v>
      </c>
      <c r="H3810" s="4" t="n">
        <v>1973</v>
      </c>
      <c r="I3810" s="4" t="s">
        <v>257</v>
      </c>
      <c r="J3810" s="25" t="str">
        <f aca="false">IF(M3810=1,"✓","")</f>
        <v/>
      </c>
      <c r="K3810" s="4" t="str">
        <f aca="false">IF(AND(M3810=0,P3810=0),"▶ NEXT","")</f>
        <v/>
      </c>
      <c r="L3810" s="4" t="n">
        <f aca="false">INDEX('Master List'!$F$2:$F$2594,O3810)</f>
        <v>4</v>
      </c>
      <c r="M3810" s="4" t="n">
        <f aca="false">INDEX('Master List'!$G$2:$G$2594,O3810)</f>
        <v>0</v>
      </c>
      <c r="N3810" s="4" t="str">
        <f aca="false">IF(K3810="","",A3810)</f>
        <v/>
      </c>
      <c r="O3810" s="4" t="n">
        <v>89</v>
      </c>
      <c r="P3810" s="4" t="n">
        <f aca="false">IF(A3810=A3809,P3809+1-M3809,0)</f>
        <v>35</v>
      </c>
    </row>
    <row r="3811" customFormat="false" ht="15" hidden="false" customHeight="false" outlineLevel="0" collapsed="false">
      <c r="A3811" s="34" t="s">
        <v>4427</v>
      </c>
      <c r="B3811" s="34" t="s">
        <v>57</v>
      </c>
      <c r="C3811" s="34" t="s">
        <v>124</v>
      </c>
      <c r="D3811" s="34" t="s">
        <v>4428</v>
      </c>
      <c r="E3811" s="4" t="n">
        <v>62</v>
      </c>
      <c r="F3811" s="4" t="s">
        <v>213</v>
      </c>
      <c r="G3811" s="4" t="s">
        <v>790</v>
      </c>
      <c r="H3811" s="4" t="n">
        <v>1972</v>
      </c>
      <c r="I3811" s="4" t="s">
        <v>791</v>
      </c>
      <c r="J3811" s="25" t="str">
        <f aca="false">IF(M3811=1,"✓","")</f>
        <v/>
      </c>
      <c r="K3811" s="4" t="str">
        <f aca="false">IF(AND(M3811=0,P3811=0),"▶ NEXT","")</f>
        <v/>
      </c>
      <c r="L3811" s="4" t="n">
        <f aca="false">INDEX('Master List'!$F$2:$F$2594,O3811)</f>
        <v>2</v>
      </c>
      <c r="M3811" s="4" t="n">
        <f aca="false">INDEX('Master List'!$G$2:$G$2594,O3811)</f>
        <v>0</v>
      </c>
      <c r="N3811" s="4" t="str">
        <f aca="false">IF(K3811="","",A3811)</f>
        <v/>
      </c>
      <c r="O3811" s="4" t="n">
        <v>374</v>
      </c>
      <c r="P3811" s="4" t="n">
        <f aca="false">IF(A3811=A3810,P3810+1-M3810,0)</f>
        <v>36</v>
      </c>
    </row>
    <row r="3812" customFormat="false" ht="15" hidden="false" customHeight="false" outlineLevel="0" collapsed="false">
      <c r="A3812" s="34" t="s">
        <v>4427</v>
      </c>
      <c r="B3812" s="34" t="s">
        <v>57</v>
      </c>
      <c r="C3812" s="34" t="s">
        <v>124</v>
      </c>
      <c r="D3812" s="34" t="s">
        <v>4428</v>
      </c>
      <c r="E3812" s="4" t="n">
        <v>63</v>
      </c>
      <c r="F3812" s="4" t="s">
        <v>213</v>
      </c>
      <c r="G3812" s="4" t="s">
        <v>188</v>
      </c>
      <c r="H3812" s="4" t="n">
        <v>1976</v>
      </c>
      <c r="I3812" s="4" t="s">
        <v>189</v>
      </c>
      <c r="J3812" s="25" t="str">
        <f aca="false">IF(M3812=1,"✓","")</f>
        <v>✓</v>
      </c>
      <c r="K3812" s="4" t="str">
        <f aca="false">IF(AND(M3812=0,P3812=0),"▶ NEXT","")</f>
        <v/>
      </c>
      <c r="L3812" s="4" t="n">
        <f aca="false">INDEX('Master List'!$F$2:$F$2594,O3812)</f>
        <v>7</v>
      </c>
      <c r="M3812" s="4" t="n">
        <f aca="false">INDEX('Master List'!$G$2:$G$2594,O3812)</f>
        <v>1</v>
      </c>
      <c r="N3812" s="4" t="str">
        <f aca="false">IF(K3812="","",A3812)</f>
        <v/>
      </c>
      <c r="O3812" s="4" t="n">
        <v>1593</v>
      </c>
      <c r="P3812" s="4" t="n">
        <f aca="false">IF(A3812=A3811,P3811+1-M3811,0)</f>
        <v>37</v>
      </c>
    </row>
    <row r="3813" customFormat="false" ht="15" hidden="false" customHeight="false" outlineLevel="0" collapsed="false">
      <c r="A3813" s="34" t="s">
        <v>4427</v>
      </c>
      <c r="B3813" s="34" t="s">
        <v>57</v>
      </c>
      <c r="C3813" s="34" t="s">
        <v>124</v>
      </c>
      <c r="D3813" s="34" t="s">
        <v>4428</v>
      </c>
      <c r="E3813" s="4" t="n">
        <v>64</v>
      </c>
      <c r="F3813" s="4" t="s">
        <v>213</v>
      </c>
      <c r="G3813" s="4" t="s">
        <v>938</v>
      </c>
      <c r="H3813" s="4" t="n">
        <v>1951</v>
      </c>
      <c r="I3813" s="4" t="s">
        <v>283</v>
      </c>
      <c r="J3813" s="25" t="str">
        <f aca="false">IF(M3813=1,"✓","")</f>
        <v/>
      </c>
      <c r="K3813" s="4" t="str">
        <f aca="false">IF(AND(M3813=0,P3813=0),"▶ NEXT","")</f>
        <v/>
      </c>
      <c r="L3813" s="4" t="n">
        <f aca="false">INDEX('Master List'!$F$2:$F$2594,O3813)</f>
        <v>2</v>
      </c>
      <c r="M3813" s="4" t="n">
        <f aca="false">INDEX('Master List'!$G$2:$G$2594,O3813)</f>
        <v>0</v>
      </c>
      <c r="N3813" s="4" t="str">
        <f aca="false">IF(K3813="","",A3813)</f>
        <v/>
      </c>
      <c r="O3813" s="4" t="n">
        <v>48</v>
      </c>
      <c r="P3813" s="4" t="n">
        <f aca="false">IF(A3813=A3812,P3812+1-M3812,0)</f>
        <v>37</v>
      </c>
    </row>
    <row r="3814" customFormat="false" ht="15" hidden="false" customHeight="false" outlineLevel="0" collapsed="false">
      <c r="A3814" s="34" t="s">
        <v>4427</v>
      </c>
      <c r="B3814" s="34" t="s">
        <v>57</v>
      </c>
      <c r="C3814" s="34" t="s">
        <v>124</v>
      </c>
      <c r="D3814" s="34" t="s">
        <v>4428</v>
      </c>
      <c r="E3814" s="4" t="n">
        <v>65</v>
      </c>
      <c r="F3814" s="4" t="s">
        <v>213</v>
      </c>
      <c r="G3814" s="4" t="s">
        <v>363</v>
      </c>
      <c r="H3814" s="4" t="n">
        <v>1981</v>
      </c>
      <c r="I3814" s="4" t="s">
        <v>183</v>
      </c>
      <c r="J3814" s="25" t="str">
        <f aca="false">IF(M3814=1,"✓","")</f>
        <v>✓</v>
      </c>
      <c r="K3814" s="4" t="str">
        <f aca="false">IF(AND(M3814=0,P3814=0),"▶ NEXT","")</f>
        <v/>
      </c>
      <c r="L3814" s="4" t="n">
        <f aca="false">INDEX('Master List'!$F$2:$F$2594,O3814)</f>
        <v>4</v>
      </c>
      <c r="M3814" s="4" t="n">
        <f aca="false">INDEX('Master List'!$G$2:$G$2594,O3814)</f>
        <v>1</v>
      </c>
      <c r="N3814" s="4" t="str">
        <f aca="false">IF(K3814="","",A3814)</f>
        <v/>
      </c>
      <c r="O3814" s="4" t="n">
        <v>1853</v>
      </c>
      <c r="P3814" s="4" t="n">
        <f aca="false">IF(A3814=A3813,P3813+1-M3813,0)</f>
        <v>38</v>
      </c>
    </row>
    <row r="3815" customFormat="false" ht="15" hidden="false" customHeight="false" outlineLevel="0" collapsed="false">
      <c r="A3815" s="34" t="s">
        <v>4427</v>
      </c>
      <c r="B3815" s="34" t="s">
        <v>57</v>
      </c>
      <c r="C3815" s="34" t="s">
        <v>124</v>
      </c>
      <c r="D3815" s="34" t="s">
        <v>4428</v>
      </c>
      <c r="E3815" s="4" t="n">
        <v>66</v>
      </c>
      <c r="F3815" s="4" t="s">
        <v>213</v>
      </c>
      <c r="G3815" s="4" t="s">
        <v>356</v>
      </c>
      <c r="H3815" s="4" t="n">
        <v>1966</v>
      </c>
      <c r="I3815" s="4" t="s">
        <v>357</v>
      </c>
      <c r="J3815" s="25" t="str">
        <f aca="false">IF(M3815=1,"✓","")</f>
        <v/>
      </c>
      <c r="K3815" s="4" t="str">
        <f aca="false">IF(AND(M3815=0,P3815=0),"▶ NEXT","")</f>
        <v/>
      </c>
      <c r="L3815" s="4" t="n">
        <f aca="false">INDEX('Master List'!$F$2:$F$2594,O3815)</f>
        <v>4</v>
      </c>
      <c r="M3815" s="4" t="n">
        <f aca="false">INDEX('Master List'!$G$2:$G$2594,O3815)</f>
        <v>0</v>
      </c>
      <c r="N3815" s="4" t="str">
        <f aca="false">IF(K3815="","",A3815)</f>
        <v/>
      </c>
      <c r="O3815" s="4" t="n">
        <v>2509</v>
      </c>
      <c r="P3815" s="4" t="n">
        <f aca="false">IF(A3815=A3814,P3814+1-M3814,0)</f>
        <v>38</v>
      </c>
    </row>
    <row r="3816" customFormat="false" ht="15" hidden="false" customHeight="false" outlineLevel="0" collapsed="false">
      <c r="A3816" s="34" t="s">
        <v>4427</v>
      </c>
      <c r="B3816" s="34" t="s">
        <v>57</v>
      </c>
      <c r="C3816" s="34" t="s">
        <v>124</v>
      </c>
      <c r="D3816" s="34" t="s">
        <v>4428</v>
      </c>
      <c r="E3816" s="4" t="n">
        <v>67</v>
      </c>
      <c r="F3816" s="4" t="s">
        <v>213</v>
      </c>
      <c r="G3816" s="4" t="s">
        <v>828</v>
      </c>
      <c r="H3816" s="4" t="n">
        <v>1992</v>
      </c>
      <c r="I3816" s="4" t="s">
        <v>829</v>
      </c>
      <c r="J3816" s="25" t="str">
        <f aca="false">IF(M3816=1,"✓","")</f>
        <v>✓</v>
      </c>
      <c r="K3816" s="4" t="str">
        <f aca="false">IF(AND(M3816=0,P3816=0),"▶ NEXT","")</f>
        <v/>
      </c>
      <c r="L3816" s="4" t="n">
        <f aca="false">INDEX('Master List'!$F$2:$F$2594,O3816)</f>
        <v>2</v>
      </c>
      <c r="M3816" s="4" t="n">
        <f aca="false">INDEX('Master List'!$G$2:$G$2594,O3816)</f>
        <v>1</v>
      </c>
      <c r="N3816" s="4" t="str">
        <f aca="false">IF(K3816="","",A3816)</f>
        <v/>
      </c>
      <c r="O3816" s="4" t="n">
        <v>2408</v>
      </c>
      <c r="P3816" s="4" t="n">
        <f aca="false">IF(A3816=A3815,P3815+1-M3815,0)</f>
        <v>39</v>
      </c>
    </row>
    <row r="3817" customFormat="false" ht="15" hidden="false" customHeight="false" outlineLevel="0" collapsed="false">
      <c r="A3817" s="34" t="s">
        <v>4427</v>
      </c>
      <c r="B3817" s="34" t="s">
        <v>57</v>
      </c>
      <c r="C3817" s="34" t="s">
        <v>124</v>
      </c>
      <c r="D3817" s="34" t="s">
        <v>4428</v>
      </c>
      <c r="E3817" s="4" t="n">
        <v>68</v>
      </c>
      <c r="F3817" s="4" t="s">
        <v>213</v>
      </c>
      <c r="G3817" s="4" t="s">
        <v>1057</v>
      </c>
      <c r="H3817" s="4" t="n">
        <v>1982</v>
      </c>
      <c r="I3817" s="4" t="s">
        <v>1058</v>
      </c>
      <c r="J3817" s="25" t="str">
        <f aca="false">IF(M3817=1,"✓","")</f>
        <v/>
      </c>
      <c r="K3817" s="4" t="str">
        <f aca="false">IF(AND(M3817=0,P3817=0),"▶ NEXT","")</f>
        <v/>
      </c>
      <c r="L3817" s="4" t="n">
        <f aca="false">INDEX('Master List'!$F$2:$F$2594,O3817)</f>
        <v>2</v>
      </c>
      <c r="M3817" s="4" t="n">
        <f aca="false">INDEX('Master List'!$G$2:$G$2594,O3817)</f>
        <v>0</v>
      </c>
      <c r="N3817" s="4" t="str">
        <f aca="false">IF(K3817="","",A3817)</f>
        <v/>
      </c>
      <c r="O3817" s="4" t="n">
        <v>2335</v>
      </c>
      <c r="P3817" s="4" t="n">
        <f aca="false">IF(A3817=A3816,P3816+1-M3816,0)</f>
        <v>39</v>
      </c>
    </row>
    <row r="3818" customFormat="false" ht="15" hidden="false" customHeight="false" outlineLevel="0" collapsed="false">
      <c r="A3818" s="34" t="s">
        <v>4427</v>
      </c>
      <c r="B3818" s="34" t="s">
        <v>57</v>
      </c>
      <c r="C3818" s="34" t="s">
        <v>124</v>
      </c>
      <c r="D3818" s="34" t="s">
        <v>4428</v>
      </c>
      <c r="E3818" s="4" t="n">
        <v>69</v>
      </c>
      <c r="F3818" s="4" t="s">
        <v>213</v>
      </c>
      <c r="G3818" s="4" t="s">
        <v>597</v>
      </c>
      <c r="H3818" s="4" t="n">
        <v>1971</v>
      </c>
      <c r="I3818" s="4" t="s">
        <v>187</v>
      </c>
      <c r="J3818" s="25" t="str">
        <f aca="false">IF(M3818=1,"✓","")</f>
        <v>✓</v>
      </c>
      <c r="K3818" s="4" t="str">
        <f aca="false">IF(AND(M3818=0,P3818=0),"▶ NEXT","")</f>
        <v/>
      </c>
      <c r="L3818" s="4" t="n">
        <f aca="false">INDEX('Master List'!$F$2:$F$2594,O3818)</f>
        <v>3</v>
      </c>
      <c r="M3818" s="4" t="n">
        <f aca="false">INDEX('Master List'!$G$2:$G$2594,O3818)</f>
        <v>1</v>
      </c>
      <c r="N3818" s="4" t="str">
        <f aca="false">IF(K3818="","",A3818)</f>
        <v/>
      </c>
      <c r="O3818" s="4" t="n">
        <v>478</v>
      </c>
      <c r="P3818" s="4" t="n">
        <f aca="false">IF(A3818=A3817,P3817+1-M3817,0)</f>
        <v>40</v>
      </c>
    </row>
    <row r="3819" customFormat="false" ht="15" hidden="false" customHeight="false" outlineLevel="0" collapsed="false">
      <c r="A3819" s="34" t="s">
        <v>4427</v>
      </c>
      <c r="B3819" s="34" t="s">
        <v>57</v>
      </c>
      <c r="C3819" s="34" t="s">
        <v>124</v>
      </c>
      <c r="D3819" s="34" t="s">
        <v>4428</v>
      </c>
      <c r="E3819" s="4" t="n">
        <v>70</v>
      </c>
      <c r="F3819" s="4" t="s">
        <v>213</v>
      </c>
      <c r="G3819" s="4" t="s">
        <v>846</v>
      </c>
      <c r="H3819" s="4" t="n">
        <v>1998</v>
      </c>
      <c r="I3819" s="4" t="s">
        <v>183</v>
      </c>
      <c r="J3819" s="25" t="str">
        <f aca="false">IF(M3819=1,"✓","")</f>
        <v>✓</v>
      </c>
      <c r="K3819" s="4" t="str">
        <f aca="false">IF(AND(M3819=0,P3819=0),"▶ NEXT","")</f>
        <v/>
      </c>
      <c r="L3819" s="4" t="n">
        <f aca="false">INDEX('Master List'!$F$2:$F$2594,O3819)</f>
        <v>2</v>
      </c>
      <c r="M3819" s="4" t="n">
        <f aca="false">INDEX('Master List'!$G$2:$G$2594,O3819)</f>
        <v>1</v>
      </c>
      <c r="N3819" s="4" t="str">
        <f aca="false">IF(K3819="","",A3819)</f>
        <v/>
      </c>
      <c r="O3819" s="4" t="n">
        <v>1976</v>
      </c>
      <c r="P3819" s="4" t="n">
        <f aca="false">IF(A3819=A3818,P3818+1-M3818,0)</f>
        <v>40</v>
      </c>
    </row>
    <row r="3820" customFormat="false" ht="15" hidden="false" customHeight="false" outlineLevel="0" collapsed="false">
      <c r="A3820" s="34" t="s">
        <v>4427</v>
      </c>
      <c r="B3820" s="34" t="s">
        <v>57</v>
      </c>
      <c r="C3820" s="34" t="s">
        <v>124</v>
      </c>
      <c r="D3820" s="34" t="s">
        <v>4428</v>
      </c>
      <c r="E3820" s="4" t="n">
        <v>71</v>
      </c>
      <c r="F3820" s="4" t="s">
        <v>213</v>
      </c>
      <c r="G3820" s="4" t="s">
        <v>2598</v>
      </c>
      <c r="H3820" s="4" t="n">
        <v>1994</v>
      </c>
      <c r="I3820" s="4" t="s">
        <v>2599</v>
      </c>
      <c r="J3820" s="25" t="str">
        <f aca="false">IF(M3820=1,"✓","")</f>
        <v>✓</v>
      </c>
      <c r="K3820" s="4" t="str">
        <f aca="false">IF(AND(M3820=0,P3820=0),"▶ NEXT","")</f>
        <v/>
      </c>
      <c r="L3820" s="4" t="n">
        <f aca="false">INDEX('Master List'!$F$2:$F$2594,O3820)</f>
        <v>1</v>
      </c>
      <c r="M3820" s="4" t="n">
        <f aca="false">INDEX('Master List'!$G$2:$G$2594,O3820)</f>
        <v>1</v>
      </c>
      <c r="N3820" s="4" t="str">
        <f aca="false">IF(K3820="","",A3820)</f>
        <v/>
      </c>
      <c r="O3820" s="4" t="n">
        <v>2039</v>
      </c>
      <c r="P3820" s="4" t="n">
        <f aca="false">IF(A3820=A3819,P3819+1-M3819,0)</f>
        <v>40</v>
      </c>
    </row>
    <row r="3821" customFormat="false" ht="15" hidden="false" customHeight="false" outlineLevel="0" collapsed="false">
      <c r="A3821" s="34" t="s">
        <v>4427</v>
      </c>
      <c r="B3821" s="34" t="s">
        <v>57</v>
      </c>
      <c r="C3821" s="34" t="s">
        <v>124</v>
      </c>
      <c r="D3821" s="34" t="s">
        <v>4428</v>
      </c>
      <c r="E3821" s="4" t="n">
        <v>72</v>
      </c>
      <c r="F3821" s="4" t="s">
        <v>213</v>
      </c>
      <c r="G3821" s="4" t="s">
        <v>1005</v>
      </c>
      <c r="H3821" s="4" t="n">
        <v>1969</v>
      </c>
      <c r="I3821" s="4" t="s">
        <v>797</v>
      </c>
      <c r="J3821" s="25" t="str">
        <f aca="false">IF(M3821=1,"✓","")</f>
        <v/>
      </c>
      <c r="K3821" s="4" t="str">
        <f aca="false">IF(AND(M3821=0,P3821=0),"▶ NEXT","")</f>
        <v/>
      </c>
      <c r="L3821" s="4" t="n">
        <f aca="false">INDEX('Master List'!$F$2:$F$2594,O3821)</f>
        <v>2</v>
      </c>
      <c r="M3821" s="4" t="n">
        <f aca="false">INDEX('Master List'!$G$2:$G$2594,O3821)</f>
        <v>0</v>
      </c>
      <c r="N3821" s="4" t="str">
        <f aca="false">IF(K3821="","",A3821)</f>
        <v/>
      </c>
      <c r="O3821" s="4" t="n">
        <v>373</v>
      </c>
      <c r="P3821" s="4" t="n">
        <f aca="false">IF(A3821=A3820,P3820+1-M3820,0)</f>
        <v>40</v>
      </c>
    </row>
    <row r="3822" customFormat="false" ht="15" hidden="false" customHeight="false" outlineLevel="0" collapsed="false">
      <c r="A3822" s="34" t="s">
        <v>4427</v>
      </c>
      <c r="B3822" s="34" t="s">
        <v>57</v>
      </c>
      <c r="C3822" s="34" t="s">
        <v>124</v>
      </c>
      <c r="D3822" s="34" t="s">
        <v>4428</v>
      </c>
      <c r="E3822" s="4" t="n">
        <v>73</v>
      </c>
      <c r="F3822" s="4" t="s">
        <v>213</v>
      </c>
      <c r="G3822" s="4" t="s">
        <v>495</v>
      </c>
      <c r="H3822" s="4" t="n">
        <v>1991</v>
      </c>
      <c r="I3822" s="4" t="s">
        <v>496</v>
      </c>
      <c r="J3822" s="25" t="str">
        <f aca="false">IF(M3822=1,"✓","")</f>
        <v>✓</v>
      </c>
      <c r="K3822" s="4" t="str">
        <f aca="false">IF(AND(M3822=0,P3822=0),"▶ NEXT","")</f>
        <v/>
      </c>
      <c r="L3822" s="4" t="n">
        <f aca="false">INDEX('Master List'!$F$2:$F$2594,O3822)</f>
        <v>3</v>
      </c>
      <c r="M3822" s="4" t="n">
        <f aca="false">INDEX('Master List'!$G$2:$G$2594,O3822)</f>
        <v>1</v>
      </c>
      <c r="N3822" s="4" t="str">
        <f aca="false">IF(K3822="","",A3822)</f>
        <v/>
      </c>
      <c r="O3822" s="4" t="n">
        <v>2069</v>
      </c>
      <c r="P3822" s="4" t="n">
        <f aca="false">IF(A3822=A3821,P3821+1-M3821,0)</f>
        <v>41</v>
      </c>
    </row>
    <row r="3823" customFormat="false" ht="15" hidden="false" customHeight="false" outlineLevel="0" collapsed="false">
      <c r="A3823" s="34" t="s">
        <v>4427</v>
      </c>
      <c r="B3823" s="34" t="s">
        <v>57</v>
      </c>
      <c r="C3823" s="34" t="s">
        <v>124</v>
      </c>
      <c r="D3823" s="34" t="s">
        <v>4428</v>
      </c>
      <c r="E3823" s="4" t="n">
        <v>74</v>
      </c>
      <c r="F3823" s="4" t="s">
        <v>213</v>
      </c>
      <c r="G3823" s="4" t="s">
        <v>2115</v>
      </c>
      <c r="H3823" s="4" t="n">
        <v>1967</v>
      </c>
      <c r="I3823" s="4" t="s">
        <v>2116</v>
      </c>
      <c r="J3823" s="25" t="str">
        <f aca="false">IF(M3823=1,"✓","")</f>
        <v/>
      </c>
      <c r="K3823" s="4" t="str">
        <f aca="false">IF(AND(M3823=0,P3823=0),"▶ NEXT","")</f>
        <v/>
      </c>
      <c r="L3823" s="4" t="n">
        <f aca="false">INDEX('Master List'!$F$2:$F$2594,O3823)</f>
        <v>1</v>
      </c>
      <c r="M3823" s="4" t="n">
        <f aca="false">INDEX('Master List'!$G$2:$G$2594,O3823)</f>
        <v>0</v>
      </c>
      <c r="N3823" s="4" t="str">
        <f aca="false">IF(K3823="","",A3823)</f>
        <v/>
      </c>
      <c r="O3823" s="4" t="n">
        <v>1127</v>
      </c>
      <c r="P3823" s="4" t="n">
        <f aca="false">IF(A3823=A3822,P3822+1-M3822,0)</f>
        <v>41</v>
      </c>
    </row>
    <row r="3824" customFormat="false" ht="15" hidden="false" customHeight="false" outlineLevel="0" collapsed="false">
      <c r="A3824" s="34" t="s">
        <v>4427</v>
      </c>
      <c r="B3824" s="34" t="s">
        <v>57</v>
      </c>
      <c r="C3824" s="34" t="s">
        <v>124</v>
      </c>
      <c r="D3824" s="34" t="s">
        <v>4428</v>
      </c>
      <c r="E3824" s="4" t="n">
        <v>75</v>
      </c>
      <c r="F3824" s="4" t="s">
        <v>213</v>
      </c>
      <c r="G3824" s="4" t="s">
        <v>2600</v>
      </c>
      <c r="H3824" s="4" t="n">
        <v>1994</v>
      </c>
      <c r="I3824" s="4" t="s">
        <v>1070</v>
      </c>
      <c r="J3824" s="25" t="str">
        <f aca="false">IF(M3824=1,"✓","")</f>
        <v>✓</v>
      </c>
      <c r="K3824" s="4" t="str">
        <f aca="false">IF(AND(M3824=0,P3824=0),"▶ NEXT","")</f>
        <v/>
      </c>
      <c r="L3824" s="4" t="n">
        <f aca="false">INDEX('Master List'!$F$2:$F$2594,O3824)</f>
        <v>1</v>
      </c>
      <c r="M3824" s="4" t="n">
        <f aca="false">INDEX('Master List'!$G$2:$G$2594,O3824)</f>
        <v>1</v>
      </c>
      <c r="N3824" s="4" t="str">
        <f aca="false">IF(K3824="","",A3824)</f>
        <v/>
      </c>
      <c r="O3824" s="4" t="n">
        <v>837</v>
      </c>
      <c r="P3824" s="4" t="n">
        <f aca="false">IF(A3824=A3823,P3823+1-M3823,0)</f>
        <v>42</v>
      </c>
    </row>
    <row r="3825" customFormat="false" ht="15" hidden="false" customHeight="false" outlineLevel="0" collapsed="false">
      <c r="A3825" s="34" t="s">
        <v>4427</v>
      </c>
      <c r="B3825" s="34" t="s">
        <v>57</v>
      </c>
      <c r="C3825" s="34" t="s">
        <v>124</v>
      </c>
      <c r="D3825" s="34" t="s">
        <v>4428</v>
      </c>
      <c r="E3825" s="4" t="n">
        <v>76</v>
      </c>
      <c r="F3825" s="4" t="s">
        <v>213</v>
      </c>
      <c r="G3825" s="4" t="s">
        <v>242</v>
      </c>
      <c r="H3825" s="4" t="n">
        <v>1976</v>
      </c>
      <c r="I3825" s="4" t="s">
        <v>243</v>
      </c>
      <c r="J3825" s="25" t="str">
        <f aca="false">IF(M3825=1,"✓","")</f>
        <v>✓</v>
      </c>
      <c r="K3825" s="4" t="str">
        <f aca="false">IF(AND(M3825=0,P3825=0),"▶ NEXT","")</f>
        <v/>
      </c>
      <c r="L3825" s="4" t="n">
        <f aca="false">INDEX('Master List'!$F$2:$F$2594,O3825)</f>
        <v>5</v>
      </c>
      <c r="M3825" s="4" t="n">
        <f aca="false">INDEX('Master List'!$G$2:$G$2594,O3825)</f>
        <v>1</v>
      </c>
      <c r="N3825" s="4" t="str">
        <f aca="false">IF(K3825="","",A3825)</f>
        <v/>
      </c>
      <c r="O3825" s="4" t="n">
        <v>78</v>
      </c>
      <c r="P3825" s="4" t="n">
        <f aca="false">IF(A3825=A3824,P3824+1-M3824,0)</f>
        <v>42</v>
      </c>
    </row>
    <row r="3826" customFormat="false" ht="15" hidden="false" customHeight="false" outlineLevel="0" collapsed="false">
      <c r="A3826" s="34" t="s">
        <v>4427</v>
      </c>
      <c r="B3826" s="34" t="s">
        <v>57</v>
      </c>
      <c r="C3826" s="34" t="s">
        <v>124</v>
      </c>
      <c r="D3826" s="34" t="s">
        <v>4428</v>
      </c>
      <c r="E3826" s="4" t="n">
        <v>77</v>
      </c>
      <c r="F3826" s="4" t="s">
        <v>213</v>
      </c>
      <c r="G3826" s="4" t="s">
        <v>913</v>
      </c>
      <c r="H3826" s="4" t="n">
        <v>1936</v>
      </c>
      <c r="I3826" s="4" t="s">
        <v>344</v>
      </c>
      <c r="J3826" s="25" t="str">
        <f aca="false">IF(M3826=1,"✓","")</f>
        <v>✓</v>
      </c>
      <c r="K3826" s="4" t="str">
        <f aca="false">IF(AND(M3826=0,P3826=0),"▶ NEXT","")</f>
        <v/>
      </c>
      <c r="L3826" s="4" t="n">
        <f aca="false">INDEX('Master List'!$F$2:$F$2594,O3826)</f>
        <v>2</v>
      </c>
      <c r="M3826" s="4" t="n">
        <f aca="false">INDEX('Master List'!$G$2:$G$2594,O3826)</f>
        <v>1</v>
      </c>
      <c r="N3826" s="4" t="str">
        <f aca="false">IF(K3826="","",A3826)</f>
        <v/>
      </c>
      <c r="O3826" s="4" t="n">
        <v>1519</v>
      </c>
      <c r="P3826" s="4" t="n">
        <f aca="false">IF(A3826=A3825,P3825+1-M3825,0)</f>
        <v>42</v>
      </c>
    </row>
    <row r="3827" customFormat="false" ht="15" hidden="false" customHeight="false" outlineLevel="0" collapsed="false">
      <c r="A3827" s="34" t="s">
        <v>4427</v>
      </c>
      <c r="B3827" s="34" t="s">
        <v>57</v>
      </c>
      <c r="C3827" s="34" t="s">
        <v>124</v>
      </c>
      <c r="D3827" s="34" t="s">
        <v>4428</v>
      </c>
      <c r="E3827" s="4" t="n">
        <v>78</v>
      </c>
      <c r="F3827" s="4" t="s">
        <v>213</v>
      </c>
      <c r="G3827" s="4" t="s">
        <v>782</v>
      </c>
      <c r="H3827" s="4" t="n">
        <v>1969</v>
      </c>
      <c r="I3827" s="4" t="s">
        <v>783</v>
      </c>
      <c r="J3827" s="25" t="str">
        <f aca="false">IF(M3827=1,"✓","")</f>
        <v/>
      </c>
      <c r="K3827" s="4" t="str">
        <f aca="false">IF(AND(M3827=0,P3827=0),"▶ NEXT","")</f>
        <v/>
      </c>
      <c r="L3827" s="4" t="n">
        <f aca="false">INDEX('Master List'!$F$2:$F$2594,O3827)</f>
        <v>2</v>
      </c>
      <c r="M3827" s="4" t="n">
        <f aca="false">INDEX('Master List'!$G$2:$G$2594,O3827)</f>
        <v>0</v>
      </c>
      <c r="N3827" s="4" t="str">
        <f aca="false">IF(K3827="","",A3827)</f>
        <v/>
      </c>
      <c r="O3827" s="4" t="n">
        <v>2514</v>
      </c>
      <c r="P3827" s="4" t="n">
        <f aca="false">IF(A3827=A3826,P3826+1-M3826,0)</f>
        <v>42</v>
      </c>
    </row>
    <row r="3828" customFormat="false" ht="15" hidden="false" customHeight="false" outlineLevel="0" collapsed="false">
      <c r="A3828" s="34" t="s">
        <v>4427</v>
      </c>
      <c r="B3828" s="34" t="s">
        <v>57</v>
      </c>
      <c r="C3828" s="34" t="s">
        <v>124</v>
      </c>
      <c r="D3828" s="34" t="s">
        <v>4428</v>
      </c>
      <c r="E3828" s="4" t="n">
        <v>79</v>
      </c>
      <c r="F3828" s="4" t="s">
        <v>213</v>
      </c>
      <c r="G3828" s="4" t="s">
        <v>199</v>
      </c>
      <c r="H3828" s="4" t="n">
        <v>1960</v>
      </c>
      <c r="I3828" s="4" t="s">
        <v>200</v>
      </c>
      <c r="J3828" s="25" t="str">
        <f aca="false">IF(M3828=1,"✓","")</f>
        <v/>
      </c>
      <c r="K3828" s="4" t="str">
        <f aca="false">IF(AND(M3828=0,P3828=0),"▶ NEXT","")</f>
        <v/>
      </c>
      <c r="L3828" s="4" t="n">
        <f aca="false">INDEX('Master List'!$F$2:$F$2594,O3828)</f>
        <v>7</v>
      </c>
      <c r="M3828" s="4" t="n">
        <f aca="false">INDEX('Master List'!$G$2:$G$2594,O3828)</f>
        <v>0</v>
      </c>
      <c r="N3828" s="4" t="str">
        <f aca="false">IF(K3828="","",A3828)</f>
        <v/>
      </c>
      <c r="O3828" s="4" t="n">
        <v>120</v>
      </c>
      <c r="P3828" s="4" t="n">
        <f aca="false">IF(A3828=A3827,P3827+1-M3827,0)</f>
        <v>43</v>
      </c>
    </row>
    <row r="3829" customFormat="false" ht="15" hidden="false" customHeight="false" outlineLevel="0" collapsed="false">
      <c r="A3829" s="34" t="s">
        <v>4427</v>
      </c>
      <c r="B3829" s="34" t="s">
        <v>57</v>
      </c>
      <c r="C3829" s="34" t="s">
        <v>124</v>
      </c>
      <c r="D3829" s="34" t="s">
        <v>4428</v>
      </c>
      <c r="E3829" s="4" t="n">
        <v>80</v>
      </c>
      <c r="F3829" s="4" t="s">
        <v>213</v>
      </c>
      <c r="G3829" s="4" t="s">
        <v>954</v>
      </c>
      <c r="H3829" s="4" t="n">
        <v>1960</v>
      </c>
      <c r="I3829" s="4" t="s">
        <v>187</v>
      </c>
      <c r="J3829" s="25" t="str">
        <f aca="false">IF(M3829=1,"✓","")</f>
        <v/>
      </c>
      <c r="K3829" s="4" t="str">
        <f aca="false">IF(AND(M3829=0,P3829=0),"▶ NEXT","")</f>
        <v/>
      </c>
      <c r="L3829" s="4" t="n">
        <f aca="false">INDEX('Master List'!$F$2:$F$2594,O3829)</f>
        <v>2</v>
      </c>
      <c r="M3829" s="4" t="n">
        <f aca="false">INDEX('Master List'!$G$2:$G$2594,O3829)</f>
        <v>0</v>
      </c>
      <c r="N3829" s="4" t="str">
        <f aca="false">IF(K3829="","",A3829)</f>
        <v/>
      </c>
      <c r="O3829" s="4" t="n">
        <v>2127</v>
      </c>
      <c r="P3829" s="4" t="n">
        <f aca="false">IF(A3829=A3828,P3828+1-M3828,0)</f>
        <v>44</v>
      </c>
    </row>
    <row r="3830" customFormat="false" ht="15" hidden="false" customHeight="false" outlineLevel="0" collapsed="false">
      <c r="A3830" s="34" t="s">
        <v>4427</v>
      </c>
      <c r="B3830" s="34" t="s">
        <v>57</v>
      </c>
      <c r="C3830" s="34" t="s">
        <v>124</v>
      </c>
      <c r="D3830" s="34" t="s">
        <v>4428</v>
      </c>
      <c r="E3830" s="4" t="n">
        <v>81</v>
      </c>
      <c r="F3830" s="4" t="s">
        <v>213</v>
      </c>
      <c r="G3830" s="4" t="s">
        <v>298</v>
      </c>
      <c r="H3830" s="4" t="n">
        <v>1927</v>
      </c>
      <c r="I3830" s="4" t="s">
        <v>299</v>
      </c>
      <c r="J3830" s="25" t="str">
        <f aca="false">IF(M3830=1,"✓","")</f>
        <v/>
      </c>
      <c r="K3830" s="4" t="str">
        <f aca="false">IF(AND(M3830=0,P3830=0),"▶ NEXT","")</f>
        <v/>
      </c>
      <c r="L3830" s="4" t="n">
        <f aca="false">INDEX('Master List'!$F$2:$F$2594,O3830)</f>
        <v>5</v>
      </c>
      <c r="M3830" s="4" t="n">
        <f aca="false">INDEX('Master List'!$G$2:$G$2594,O3830)</f>
        <v>0</v>
      </c>
      <c r="N3830" s="4" t="str">
        <f aca="false">IF(K3830="","",A3830)</f>
        <v/>
      </c>
      <c r="O3830" s="4" t="n">
        <v>2202</v>
      </c>
      <c r="P3830" s="4" t="n">
        <f aca="false">IF(A3830=A3829,P3829+1-M3829,0)</f>
        <v>45</v>
      </c>
    </row>
    <row r="3831" customFormat="false" ht="15" hidden="false" customHeight="false" outlineLevel="0" collapsed="false">
      <c r="A3831" s="34" t="s">
        <v>4427</v>
      </c>
      <c r="B3831" s="34" t="s">
        <v>57</v>
      </c>
      <c r="C3831" s="34" t="s">
        <v>124</v>
      </c>
      <c r="D3831" s="34" t="s">
        <v>4428</v>
      </c>
      <c r="E3831" s="4" t="n">
        <v>82</v>
      </c>
      <c r="F3831" s="4" t="s">
        <v>213</v>
      </c>
      <c r="G3831" s="4" t="s">
        <v>1123</v>
      </c>
      <c r="H3831" s="4" t="n">
        <v>1997</v>
      </c>
      <c r="I3831" s="4" t="s">
        <v>892</v>
      </c>
      <c r="J3831" s="25" t="str">
        <f aca="false">IF(M3831=1,"✓","")</f>
        <v/>
      </c>
      <c r="K3831" s="4" t="str">
        <f aca="false">IF(AND(M3831=0,P3831=0),"▶ NEXT","")</f>
        <v/>
      </c>
      <c r="L3831" s="4" t="n">
        <f aca="false">INDEX('Master List'!$F$2:$F$2594,O3831)</f>
        <v>2</v>
      </c>
      <c r="M3831" s="4" t="n">
        <f aca="false">INDEX('Master List'!$G$2:$G$2594,O3831)</f>
        <v>0</v>
      </c>
      <c r="N3831" s="4" t="str">
        <f aca="false">IF(K3831="","",A3831)</f>
        <v/>
      </c>
      <c r="O3831" s="4" t="n">
        <v>2312</v>
      </c>
      <c r="P3831" s="4" t="n">
        <f aca="false">IF(A3831=A3830,P3830+1-M3830,0)</f>
        <v>46</v>
      </c>
    </row>
    <row r="3832" customFormat="false" ht="15" hidden="false" customHeight="false" outlineLevel="0" collapsed="false">
      <c r="A3832" s="34" t="s">
        <v>4427</v>
      </c>
      <c r="B3832" s="34" t="s">
        <v>57</v>
      </c>
      <c r="C3832" s="34" t="s">
        <v>124</v>
      </c>
      <c r="D3832" s="34" t="s">
        <v>4428</v>
      </c>
      <c r="E3832" s="4" t="n">
        <v>83</v>
      </c>
      <c r="F3832" s="4" t="s">
        <v>213</v>
      </c>
      <c r="G3832" s="4" t="s">
        <v>476</v>
      </c>
      <c r="H3832" s="4" t="n">
        <v>1969</v>
      </c>
      <c r="I3832" s="4" t="s">
        <v>477</v>
      </c>
      <c r="J3832" s="25" t="str">
        <f aca="false">IF(M3832=1,"✓","")</f>
        <v/>
      </c>
      <c r="K3832" s="4" t="str">
        <f aca="false">IF(AND(M3832=0,P3832=0),"▶ NEXT","")</f>
        <v/>
      </c>
      <c r="L3832" s="4" t="n">
        <f aca="false">INDEX('Master List'!$F$2:$F$2594,O3832)</f>
        <v>3</v>
      </c>
      <c r="M3832" s="4" t="n">
        <f aca="false">INDEX('Master List'!$G$2:$G$2594,O3832)</f>
        <v>0</v>
      </c>
      <c r="N3832" s="4" t="str">
        <f aca="false">IF(K3832="","",A3832)</f>
        <v/>
      </c>
      <c r="O3832" s="4" t="n">
        <v>706</v>
      </c>
      <c r="P3832" s="4" t="n">
        <f aca="false">IF(A3832=A3831,P3831+1-M3831,0)</f>
        <v>47</v>
      </c>
    </row>
    <row r="3833" customFormat="false" ht="15" hidden="false" customHeight="false" outlineLevel="0" collapsed="false">
      <c r="A3833" s="34" t="s">
        <v>4427</v>
      </c>
      <c r="B3833" s="34" t="s">
        <v>57</v>
      </c>
      <c r="C3833" s="34" t="s">
        <v>124</v>
      </c>
      <c r="D3833" s="34" t="s">
        <v>4428</v>
      </c>
      <c r="E3833" s="4" t="n">
        <v>84</v>
      </c>
      <c r="F3833" s="4" t="s">
        <v>213</v>
      </c>
      <c r="G3833" s="4" t="s">
        <v>733</v>
      </c>
      <c r="H3833" s="4" t="n">
        <v>1935</v>
      </c>
      <c r="I3833" s="4" t="s">
        <v>734</v>
      </c>
      <c r="J3833" s="25" t="str">
        <f aca="false">IF(M3833=1,"✓","")</f>
        <v/>
      </c>
      <c r="K3833" s="4" t="str">
        <f aca="false">IF(AND(M3833=0,P3833=0),"▶ NEXT","")</f>
        <v/>
      </c>
      <c r="L3833" s="4" t="n">
        <f aca="false">INDEX('Master List'!$F$2:$F$2594,O3833)</f>
        <v>2</v>
      </c>
      <c r="M3833" s="4" t="n">
        <f aca="false">INDEX('Master List'!$G$2:$G$2594,O3833)</f>
        <v>0</v>
      </c>
      <c r="N3833" s="4" t="str">
        <f aca="false">IF(K3833="","",A3833)</f>
        <v/>
      </c>
      <c r="O3833" s="4" t="n">
        <v>1602</v>
      </c>
      <c r="P3833" s="4" t="n">
        <f aca="false">IF(A3833=A3832,P3832+1-M3832,0)</f>
        <v>48</v>
      </c>
    </row>
    <row r="3834" customFormat="false" ht="15" hidden="false" customHeight="false" outlineLevel="0" collapsed="false">
      <c r="A3834" s="34" t="s">
        <v>4427</v>
      </c>
      <c r="B3834" s="34" t="s">
        <v>57</v>
      </c>
      <c r="C3834" s="34" t="s">
        <v>124</v>
      </c>
      <c r="D3834" s="34" t="s">
        <v>4428</v>
      </c>
      <c r="E3834" s="4" t="n">
        <v>85</v>
      </c>
      <c r="F3834" s="4" t="s">
        <v>213</v>
      </c>
      <c r="G3834" s="4" t="s">
        <v>815</v>
      </c>
      <c r="H3834" s="4" t="n">
        <v>1986</v>
      </c>
      <c r="I3834" s="4" t="s">
        <v>816</v>
      </c>
      <c r="J3834" s="25" t="str">
        <f aca="false">IF(M3834=1,"✓","")</f>
        <v>✓</v>
      </c>
      <c r="K3834" s="4" t="str">
        <f aca="false">IF(AND(M3834=0,P3834=0),"▶ NEXT","")</f>
        <v/>
      </c>
      <c r="L3834" s="4" t="n">
        <f aca="false">INDEX('Master List'!$F$2:$F$2594,O3834)</f>
        <v>2</v>
      </c>
      <c r="M3834" s="4" t="n">
        <f aca="false">INDEX('Master List'!$G$2:$G$2594,O3834)</f>
        <v>1</v>
      </c>
      <c r="N3834" s="4" t="str">
        <f aca="false">IF(K3834="","",A3834)</f>
        <v/>
      </c>
      <c r="O3834" s="4" t="n">
        <v>1778</v>
      </c>
      <c r="P3834" s="4" t="n">
        <f aca="false">IF(A3834=A3833,P3833+1-M3833,0)</f>
        <v>49</v>
      </c>
    </row>
    <row r="3835" customFormat="false" ht="15" hidden="false" customHeight="false" outlineLevel="0" collapsed="false">
      <c r="A3835" s="34" t="s">
        <v>4427</v>
      </c>
      <c r="B3835" s="34" t="s">
        <v>57</v>
      </c>
      <c r="C3835" s="34" t="s">
        <v>124</v>
      </c>
      <c r="D3835" s="34" t="s">
        <v>4428</v>
      </c>
      <c r="E3835" s="4" t="n">
        <v>86</v>
      </c>
      <c r="F3835" s="4" t="s">
        <v>213</v>
      </c>
      <c r="G3835" s="4" t="s">
        <v>236</v>
      </c>
      <c r="H3835" s="4" t="n">
        <v>1957</v>
      </c>
      <c r="I3835" s="4" t="s">
        <v>189</v>
      </c>
      <c r="J3835" s="25" t="str">
        <f aca="false">IF(M3835=1,"✓","")</f>
        <v>✓</v>
      </c>
      <c r="K3835" s="4" t="str">
        <f aca="false">IF(AND(M3835=0,P3835=0),"▶ NEXT","")</f>
        <v/>
      </c>
      <c r="L3835" s="4" t="n">
        <f aca="false">INDEX('Master List'!$F$2:$F$2594,O3835)</f>
        <v>5</v>
      </c>
      <c r="M3835" s="4" t="n">
        <f aca="false">INDEX('Master List'!$G$2:$G$2594,O3835)</f>
        <v>1</v>
      </c>
      <c r="N3835" s="4" t="str">
        <f aca="false">IF(K3835="","",A3835)</f>
        <v/>
      </c>
      <c r="O3835" s="4" t="n">
        <v>3</v>
      </c>
      <c r="P3835" s="4" t="n">
        <f aca="false">IF(A3835=A3834,P3834+1-M3834,0)</f>
        <v>49</v>
      </c>
    </row>
    <row r="3836" customFormat="false" ht="15" hidden="false" customHeight="false" outlineLevel="0" collapsed="false">
      <c r="A3836" s="34" t="s">
        <v>4427</v>
      </c>
      <c r="B3836" s="34" t="s">
        <v>57</v>
      </c>
      <c r="C3836" s="34" t="s">
        <v>124</v>
      </c>
      <c r="D3836" s="34" t="s">
        <v>4428</v>
      </c>
      <c r="E3836" s="4" t="n">
        <v>87</v>
      </c>
      <c r="F3836" s="4" t="s">
        <v>213</v>
      </c>
      <c r="G3836" s="4" t="s">
        <v>403</v>
      </c>
      <c r="H3836" s="4" t="n">
        <v>1938</v>
      </c>
      <c r="I3836" s="4" t="s">
        <v>168</v>
      </c>
      <c r="J3836" s="25" t="str">
        <f aca="false">IF(M3836=1,"✓","")</f>
        <v/>
      </c>
      <c r="K3836" s="4" t="str">
        <f aca="false">IF(AND(M3836=0,P3836=0),"▶ NEXT","")</f>
        <v/>
      </c>
      <c r="L3836" s="4" t="n">
        <f aca="false">INDEX('Master List'!$F$2:$F$2594,O3836)</f>
        <v>4</v>
      </c>
      <c r="M3836" s="4" t="n">
        <f aca="false">INDEX('Master List'!$G$2:$G$2594,O3836)</f>
        <v>0</v>
      </c>
      <c r="N3836" s="4" t="str">
        <f aca="false">IF(K3836="","",A3836)</f>
        <v/>
      </c>
      <c r="O3836" s="4" t="n">
        <v>353</v>
      </c>
      <c r="P3836" s="4" t="n">
        <f aca="false">IF(A3836=A3835,P3835+1-M3835,0)</f>
        <v>49</v>
      </c>
    </row>
    <row r="3837" customFormat="false" ht="15" hidden="false" customHeight="false" outlineLevel="0" collapsed="false">
      <c r="A3837" s="34" t="s">
        <v>4427</v>
      </c>
      <c r="B3837" s="34" t="s">
        <v>57</v>
      </c>
      <c r="C3837" s="34" t="s">
        <v>124</v>
      </c>
      <c r="D3837" s="34" t="s">
        <v>4428</v>
      </c>
      <c r="E3837" s="4" t="n">
        <v>88</v>
      </c>
      <c r="F3837" s="4" t="s">
        <v>213</v>
      </c>
      <c r="G3837" s="4" t="s">
        <v>1131</v>
      </c>
      <c r="H3837" s="4" t="n">
        <v>1999</v>
      </c>
      <c r="I3837" s="4" t="s">
        <v>1132</v>
      </c>
      <c r="J3837" s="25" t="str">
        <f aca="false">IF(M3837=1,"✓","")</f>
        <v/>
      </c>
      <c r="K3837" s="4" t="str">
        <f aca="false">IF(AND(M3837=0,P3837=0),"▶ NEXT","")</f>
        <v/>
      </c>
      <c r="L3837" s="4" t="n">
        <f aca="false">INDEX('Master List'!$F$2:$F$2594,O3837)</f>
        <v>2</v>
      </c>
      <c r="M3837" s="4" t="n">
        <f aca="false">INDEX('Master List'!$G$2:$G$2594,O3837)</f>
        <v>0</v>
      </c>
      <c r="N3837" s="4" t="str">
        <f aca="false">IF(K3837="","",A3837)</f>
        <v/>
      </c>
      <c r="O3837" s="4" t="n">
        <v>2084</v>
      </c>
      <c r="P3837" s="4" t="n">
        <f aca="false">IF(A3837=A3836,P3836+1-M3836,0)</f>
        <v>50</v>
      </c>
    </row>
    <row r="3838" customFormat="false" ht="15" hidden="false" customHeight="false" outlineLevel="0" collapsed="false">
      <c r="A3838" s="34" t="s">
        <v>4427</v>
      </c>
      <c r="B3838" s="34" t="s">
        <v>57</v>
      </c>
      <c r="C3838" s="34" t="s">
        <v>124</v>
      </c>
      <c r="D3838" s="34" t="s">
        <v>4428</v>
      </c>
      <c r="E3838" s="4" t="n">
        <v>89</v>
      </c>
      <c r="F3838" s="4" t="s">
        <v>213</v>
      </c>
      <c r="G3838" s="4" t="s">
        <v>911</v>
      </c>
      <c r="H3838" s="4" t="n">
        <v>1936</v>
      </c>
      <c r="I3838" s="4" t="s">
        <v>912</v>
      </c>
      <c r="J3838" s="25" t="str">
        <f aca="false">IF(M3838=1,"✓","")</f>
        <v/>
      </c>
      <c r="K3838" s="4" t="str">
        <f aca="false">IF(AND(M3838=0,P3838=0),"▶ NEXT","")</f>
        <v/>
      </c>
      <c r="L3838" s="4" t="n">
        <f aca="false">INDEX('Master List'!$F$2:$F$2594,O3838)</f>
        <v>2</v>
      </c>
      <c r="M3838" s="4" t="n">
        <f aca="false">INDEX('Master List'!$G$2:$G$2594,O3838)</f>
        <v>0</v>
      </c>
      <c r="N3838" s="4" t="str">
        <f aca="false">IF(K3838="","",A3838)</f>
        <v/>
      </c>
      <c r="O3838" s="4" t="n">
        <v>2217</v>
      </c>
      <c r="P3838" s="4" t="n">
        <f aca="false">IF(A3838=A3837,P3837+1-M3837,0)</f>
        <v>51</v>
      </c>
    </row>
    <row r="3839" customFormat="false" ht="15" hidden="false" customHeight="false" outlineLevel="0" collapsed="false">
      <c r="A3839" s="34" t="s">
        <v>4427</v>
      </c>
      <c r="B3839" s="34" t="s">
        <v>57</v>
      </c>
      <c r="C3839" s="34" t="s">
        <v>124</v>
      </c>
      <c r="D3839" s="34" t="s">
        <v>4428</v>
      </c>
      <c r="E3839" s="4" t="n">
        <v>90</v>
      </c>
      <c r="F3839" s="4" t="s">
        <v>213</v>
      </c>
      <c r="G3839" s="4" t="s">
        <v>2377</v>
      </c>
      <c r="H3839" s="4" t="n">
        <v>1982</v>
      </c>
      <c r="I3839" s="4" t="s">
        <v>243</v>
      </c>
      <c r="J3839" s="25" t="str">
        <f aca="false">IF(M3839=1,"✓","")</f>
        <v/>
      </c>
      <c r="K3839" s="4" t="str">
        <f aca="false">IF(AND(M3839=0,P3839=0),"▶ NEXT","")</f>
        <v/>
      </c>
      <c r="L3839" s="4" t="n">
        <f aca="false">INDEX('Master List'!$F$2:$F$2594,O3839)</f>
        <v>1</v>
      </c>
      <c r="M3839" s="4" t="n">
        <f aca="false">INDEX('Master List'!$G$2:$G$2594,O3839)</f>
        <v>0</v>
      </c>
      <c r="N3839" s="4" t="str">
        <f aca="false">IF(K3839="","",A3839)</f>
        <v/>
      </c>
      <c r="O3839" s="4" t="n">
        <v>2116</v>
      </c>
      <c r="P3839" s="4" t="n">
        <f aca="false">IF(A3839=A3838,P3838+1-M3838,0)</f>
        <v>52</v>
      </c>
    </row>
    <row r="3840" customFormat="false" ht="15" hidden="false" customHeight="false" outlineLevel="0" collapsed="false">
      <c r="A3840" s="34" t="s">
        <v>4427</v>
      </c>
      <c r="B3840" s="34" t="s">
        <v>57</v>
      </c>
      <c r="C3840" s="34" t="s">
        <v>124</v>
      </c>
      <c r="D3840" s="34" t="s">
        <v>4428</v>
      </c>
      <c r="E3840" s="4" t="n">
        <v>91</v>
      </c>
      <c r="F3840" s="4" t="s">
        <v>213</v>
      </c>
      <c r="G3840" s="4" t="s">
        <v>318</v>
      </c>
      <c r="H3840" s="4" t="n">
        <v>1990</v>
      </c>
      <c r="I3840" s="4" t="s">
        <v>164</v>
      </c>
      <c r="J3840" s="25" t="str">
        <f aca="false">IF(M3840=1,"✓","")</f>
        <v>✓</v>
      </c>
      <c r="K3840" s="4" t="str">
        <f aca="false">IF(AND(M3840=0,P3840=0),"▶ NEXT","")</f>
        <v/>
      </c>
      <c r="L3840" s="4" t="n">
        <f aca="false">INDEX('Master List'!$F$2:$F$2594,O3840)</f>
        <v>4</v>
      </c>
      <c r="M3840" s="4" t="n">
        <f aca="false">INDEX('Master List'!$G$2:$G$2594,O3840)</f>
        <v>1</v>
      </c>
      <c r="N3840" s="4" t="str">
        <f aca="false">IF(K3840="","",A3840)</f>
        <v/>
      </c>
      <c r="O3840" s="4" t="n">
        <v>936</v>
      </c>
      <c r="P3840" s="4" t="n">
        <f aca="false">IF(A3840=A3839,P3839+1-M3839,0)</f>
        <v>53</v>
      </c>
    </row>
    <row r="3841" customFormat="false" ht="15" hidden="false" customHeight="false" outlineLevel="0" collapsed="false">
      <c r="A3841" s="34" t="s">
        <v>4427</v>
      </c>
      <c r="B3841" s="34" t="s">
        <v>57</v>
      </c>
      <c r="C3841" s="34" t="s">
        <v>124</v>
      </c>
      <c r="D3841" s="34" t="s">
        <v>4428</v>
      </c>
      <c r="E3841" s="4" t="n">
        <v>92</v>
      </c>
      <c r="F3841" s="4" t="s">
        <v>213</v>
      </c>
      <c r="G3841" s="4" t="s">
        <v>478</v>
      </c>
      <c r="H3841" s="4" t="n">
        <v>1971</v>
      </c>
      <c r="I3841" s="4" t="s">
        <v>479</v>
      </c>
      <c r="J3841" s="25" t="str">
        <f aca="false">IF(M3841=1,"✓","")</f>
        <v>✓</v>
      </c>
      <c r="K3841" s="4" t="str">
        <f aca="false">IF(AND(M3841=0,P3841=0),"▶ NEXT","")</f>
        <v/>
      </c>
      <c r="L3841" s="4" t="n">
        <f aca="false">INDEX('Master List'!$F$2:$F$2594,O3841)</f>
        <v>3</v>
      </c>
      <c r="M3841" s="4" t="n">
        <f aca="false">INDEX('Master List'!$G$2:$G$2594,O3841)</f>
        <v>1</v>
      </c>
      <c r="N3841" s="4" t="str">
        <f aca="false">IF(K3841="","",A3841)</f>
        <v/>
      </c>
      <c r="O3841" s="4" t="n">
        <v>851</v>
      </c>
      <c r="P3841" s="4" t="n">
        <f aca="false">IF(A3841=A3840,P3840+1-M3840,0)</f>
        <v>53</v>
      </c>
    </row>
    <row r="3842" customFormat="false" ht="15" hidden="false" customHeight="false" outlineLevel="0" collapsed="false">
      <c r="A3842" s="34" t="s">
        <v>4427</v>
      </c>
      <c r="B3842" s="34" t="s">
        <v>57</v>
      </c>
      <c r="C3842" s="34" t="s">
        <v>124</v>
      </c>
      <c r="D3842" s="34" t="s">
        <v>4428</v>
      </c>
      <c r="E3842" s="4" t="n">
        <v>93</v>
      </c>
      <c r="F3842" s="4" t="s">
        <v>213</v>
      </c>
      <c r="G3842" s="4" t="s">
        <v>207</v>
      </c>
      <c r="H3842" s="4" t="n">
        <v>1994</v>
      </c>
      <c r="I3842" s="4" t="s">
        <v>208</v>
      </c>
      <c r="J3842" s="25" t="str">
        <f aca="false">IF(M3842=1,"✓","")</f>
        <v>✓</v>
      </c>
      <c r="K3842" s="4" t="str">
        <f aca="false">IF(AND(M3842=0,P3842=0),"▶ NEXT","")</f>
        <v/>
      </c>
      <c r="L3842" s="4" t="n">
        <f aca="false">INDEX('Master List'!$F$2:$F$2594,O3842)</f>
        <v>6</v>
      </c>
      <c r="M3842" s="4" t="n">
        <f aca="false">INDEX('Master List'!$G$2:$G$2594,O3842)</f>
        <v>1</v>
      </c>
      <c r="N3842" s="4" t="str">
        <f aca="false">IF(K3842="","",A3842)</f>
        <v/>
      </c>
      <c r="O3842" s="4" t="n">
        <v>1830</v>
      </c>
      <c r="P3842" s="4" t="n">
        <f aca="false">IF(A3842=A3841,P3841+1-M3841,0)</f>
        <v>53</v>
      </c>
    </row>
    <row r="3843" customFormat="false" ht="15" hidden="false" customHeight="false" outlineLevel="0" collapsed="false">
      <c r="A3843" s="34" t="s">
        <v>4427</v>
      </c>
      <c r="B3843" s="34" t="s">
        <v>57</v>
      </c>
      <c r="C3843" s="34" t="s">
        <v>124</v>
      </c>
      <c r="D3843" s="34" t="s">
        <v>4428</v>
      </c>
      <c r="E3843" s="4" t="n">
        <v>94</v>
      </c>
      <c r="F3843" s="4" t="s">
        <v>213</v>
      </c>
      <c r="G3843" s="4" t="s">
        <v>388</v>
      </c>
      <c r="H3843" s="4" t="n">
        <v>1971</v>
      </c>
      <c r="I3843" s="4" t="s">
        <v>389</v>
      </c>
      <c r="J3843" s="25" t="str">
        <f aca="false">IF(M3843=1,"✓","")</f>
        <v/>
      </c>
      <c r="K3843" s="4" t="str">
        <f aca="false">IF(AND(M3843=0,P3843=0),"▶ NEXT","")</f>
        <v/>
      </c>
      <c r="L3843" s="4" t="n">
        <f aca="false">INDEX('Master List'!$F$2:$F$2594,O3843)</f>
        <v>4</v>
      </c>
      <c r="M3843" s="4" t="n">
        <f aca="false">INDEX('Master List'!$G$2:$G$2594,O3843)</f>
        <v>0</v>
      </c>
      <c r="N3843" s="4" t="str">
        <f aca="false">IF(K3843="","",A3843)</f>
        <v/>
      </c>
      <c r="O3843" s="4" t="n">
        <v>1300</v>
      </c>
      <c r="P3843" s="4" t="n">
        <f aca="false">IF(A3843=A3842,P3842+1-M3842,0)</f>
        <v>53</v>
      </c>
    </row>
    <row r="3844" customFormat="false" ht="15" hidden="false" customHeight="false" outlineLevel="0" collapsed="false">
      <c r="A3844" s="34" t="s">
        <v>4427</v>
      </c>
      <c r="B3844" s="34" t="s">
        <v>57</v>
      </c>
      <c r="C3844" s="34" t="s">
        <v>124</v>
      </c>
      <c r="D3844" s="34" t="s">
        <v>4428</v>
      </c>
      <c r="E3844" s="4" t="n">
        <v>95</v>
      </c>
      <c r="F3844" s="4" t="s">
        <v>213</v>
      </c>
      <c r="G3844" s="4" t="s">
        <v>147</v>
      </c>
      <c r="H3844" s="4" t="n">
        <v>1989</v>
      </c>
      <c r="I3844" s="4" t="s">
        <v>148</v>
      </c>
      <c r="J3844" s="25" t="str">
        <f aca="false">IF(M3844=1,"✓","")</f>
        <v>✓</v>
      </c>
      <c r="K3844" s="4" t="str">
        <f aca="false">IF(AND(M3844=0,P3844=0),"▶ NEXT","")</f>
        <v/>
      </c>
      <c r="L3844" s="4" t="n">
        <f aca="false">INDEX('Master List'!$F$2:$F$2594,O3844)</f>
        <v>11</v>
      </c>
      <c r="M3844" s="4" t="n">
        <f aca="false">INDEX('Master List'!$G$2:$G$2594,O3844)</f>
        <v>1</v>
      </c>
      <c r="N3844" s="4" t="str">
        <f aca="false">IF(K3844="","",A3844)</f>
        <v/>
      </c>
      <c r="O3844" s="4" t="n">
        <v>646</v>
      </c>
      <c r="P3844" s="4" t="n">
        <f aca="false">IF(A3844=A3843,P3843+1-M3843,0)</f>
        <v>54</v>
      </c>
    </row>
    <row r="3845" customFormat="false" ht="15" hidden="false" customHeight="false" outlineLevel="0" collapsed="false">
      <c r="A3845" s="34" t="s">
        <v>4427</v>
      </c>
      <c r="B3845" s="34" t="s">
        <v>57</v>
      </c>
      <c r="C3845" s="34" t="s">
        <v>124</v>
      </c>
      <c r="D3845" s="34" t="s">
        <v>4428</v>
      </c>
      <c r="E3845" s="4" t="n">
        <v>96</v>
      </c>
      <c r="F3845" s="4" t="s">
        <v>213</v>
      </c>
      <c r="G3845" s="4" t="s">
        <v>173</v>
      </c>
      <c r="H3845" s="4" t="n">
        <v>1982</v>
      </c>
      <c r="I3845" s="4" t="s">
        <v>174</v>
      </c>
      <c r="J3845" s="25" t="str">
        <f aca="false">IF(M3845=1,"✓","")</f>
        <v>✓</v>
      </c>
      <c r="K3845" s="4" t="str">
        <f aca="false">IF(AND(M3845=0,P3845=0),"▶ NEXT","")</f>
        <v/>
      </c>
      <c r="L3845" s="4" t="n">
        <f aca="false">INDEX('Master List'!$F$2:$F$2594,O3845)</f>
        <v>8</v>
      </c>
      <c r="M3845" s="4" t="n">
        <f aca="false">INDEX('Master List'!$G$2:$G$2594,O3845)</f>
        <v>1</v>
      </c>
      <c r="N3845" s="4" t="str">
        <f aca="false">IF(K3845="","",A3845)</f>
        <v/>
      </c>
      <c r="O3845" s="4" t="n">
        <v>279</v>
      </c>
      <c r="P3845" s="4" t="n">
        <f aca="false">IF(A3845=A3844,P3844+1-M3844,0)</f>
        <v>54</v>
      </c>
    </row>
    <row r="3846" customFormat="false" ht="15" hidden="false" customHeight="false" outlineLevel="0" collapsed="false">
      <c r="A3846" s="34" t="s">
        <v>4427</v>
      </c>
      <c r="B3846" s="34" t="s">
        <v>57</v>
      </c>
      <c r="C3846" s="34" t="s">
        <v>124</v>
      </c>
      <c r="D3846" s="34" t="s">
        <v>4428</v>
      </c>
      <c r="E3846" s="4" t="n">
        <v>97</v>
      </c>
      <c r="F3846" s="4" t="s">
        <v>213</v>
      </c>
      <c r="G3846" s="4" t="s">
        <v>1801</v>
      </c>
      <c r="H3846" s="4" t="n">
        <v>1942</v>
      </c>
      <c r="I3846" s="4" t="s">
        <v>335</v>
      </c>
      <c r="J3846" s="25" t="str">
        <f aca="false">IF(M3846=1,"✓","")</f>
        <v/>
      </c>
      <c r="K3846" s="4" t="str">
        <f aca="false">IF(AND(M3846=0,P3846=0),"▶ NEXT","")</f>
        <v/>
      </c>
      <c r="L3846" s="4" t="n">
        <f aca="false">INDEX('Master List'!$F$2:$F$2594,O3846)</f>
        <v>1</v>
      </c>
      <c r="M3846" s="4" t="n">
        <f aca="false">INDEX('Master List'!$G$2:$G$2594,O3846)</f>
        <v>0</v>
      </c>
      <c r="N3846" s="4" t="str">
        <f aca="false">IF(K3846="","",A3846)</f>
        <v/>
      </c>
      <c r="O3846" s="4" t="n">
        <v>2564</v>
      </c>
      <c r="P3846" s="4" t="n">
        <f aca="false">IF(A3846=A3845,P3845+1-M3845,0)</f>
        <v>54</v>
      </c>
    </row>
    <row r="3847" customFormat="false" ht="15" hidden="false" customHeight="false" outlineLevel="0" collapsed="false">
      <c r="A3847" s="34" t="s">
        <v>4427</v>
      </c>
      <c r="B3847" s="34" t="s">
        <v>57</v>
      </c>
      <c r="C3847" s="34" t="s">
        <v>124</v>
      </c>
      <c r="D3847" s="34" t="s">
        <v>4428</v>
      </c>
      <c r="E3847" s="4" t="n">
        <v>98</v>
      </c>
      <c r="F3847" s="4" t="s">
        <v>213</v>
      </c>
      <c r="G3847" s="4" t="s">
        <v>378</v>
      </c>
      <c r="H3847" s="4" t="n">
        <v>1995</v>
      </c>
      <c r="I3847" s="4" t="s">
        <v>379</v>
      </c>
      <c r="J3847" s="25" t="str">
        <f aca="false">IF(M3847=1,"✓","")</f>
        <v>✓</v>
      </c>
      <c r="K3847" s="4" t="str">
        <f aca="false">IF(AND(M3847=0,P3847=0),"▶ NEXT","")</f>
        <v/>
      </c>
      <c r="L3847" s="4" t="n">
        <f aca="false">INDEX('Master List'!$F$2:$F$2594,O3847)</f>
        <v>4</v>
      </c>
      <c r="M3847" s="4" t="n">
        <f aca="false">INDEX('Master List'!$G$2:$G$2594,O3847)</f>
        <v>1</v>
      </c>
      <c r="N3847" s="4" t="str">
        <f aca="false">IF(K3847="","",A3847)</f>
        <v/>
      </c>
      <c r="O3847" s="4" t="n">
        <v>2353</v>
      </c>
      <c r="P3847" s="4" t="n">
        <f aca="false">IF(A3847=A3846,P3846+1-M3846,0)</f>
        <v>55</v>
      </c>
    </row>
    <row r="3848" customFormat="false" ht="15" hidden="false" customHeight="false" outlineLevel="0" collapsed="false">
      <c r="A3848" s="34" t="s">
        <v>4427</v>
      </c>
      <c r="B3848" s="34" t="s">
        <v>57</v>
      </c>
      <c r="C3848" s="34" t="s">
        <v>124</v>
      </c>
      <c r="D3848" s="34" t="s">
        <v>4428</v>
      </c>
      <c r="E3848" s="4" t="n">
        <v>99</v>
      </c>
      <c r="F3848" s="4" t="s">
        <v>213</v>
      </c>
      <c r="G3848" s="4" t="s">
        <v>1970</v>
      </c>
      <c r="H3848" s="4" t="n">
        <v>1959</v>
      </c>
      <c r="I3848" s="4" t="s">
        <v>305</v>
      </c>
      <c r="J3848" s="25" t="str">
        <f aca="false">IF(M3848=1,"✓","")</f>
        <v/>
      </c>
      <c r="K3848" s="4" t="str">
        <f aca="false">IF(AND(M3848=0,P3848=0),"▶ NEXT","")</f>
        <v/>
      </c>
      <c r="L3848" s="4" t="n">
        <f aca="false">INDEX('Master List'!$F$2:$F$2594,O3848)</f>
        <v>1</v>
      </c>
      <c r="M3848" s="4" t="n">
        <f aca="false">INDEX('Master List'!$G$2:$G$2594,O3848)</f>
        <v>0</v>
      </c>
      <c r="N3848" s="4" t="str">
        <f aca="false">IF(K3848="","",A3848)</f>
        <v/>
      </c>
      <c r="O3848" s="4" t="n">
        <v>223</v>
      </c>
      <c r="P3848" s="4" t="n">
        <f aca="false">IF(A3848=A3847,P3847+1-M3847,0)</f>
        <v>55</v>
      </c>
    </row>
    <row r="3849" customFormat="false" ht="15" hidden="false" customHeight="false" outlineLevel="0" collapsed="false">
      <c r="A3849" s="34" t="s">
        <v>4429</v>
      </c>
      <c r="B3849" s="34" t="s">
        <v>57</v>
      </c>
      <c r="C3849" s="34" t="s">
        <v>124</v>
      </c>
      <c r="D3849" s="34" t="s">
        <v>4430</v>
      </c>
      <c r="E3849" s="4" t="n">
        <v>1</v>
      </c>
      <c r="F3849" s="4" t="s">
        <v>144</v>
      </c>
      <c r="G3849" s="7" t="s">
        <v>538</v>
      </c>
      <c r="H3849" s="4" t="n">
        <v>1949</v>
      </c>
      <c r="I3849" s="4" t="s">
        <v>539</v>
      </c>
      <c r="J3849" s="25" t="str">
        <f aca="false">IF(M3849=1,"✓","")</f>
        <v/>
      </c>
      <c r="K3849" s="4" t="str">
        <f aca="false">IF(AND(M3849=0,P3849=0),"▶ NEXT","")</f>
        <v>▶ NEXT</v>
      </c>
      <c r="L3849" s="4" t="n">
        <f aca="false">INDEX('Master List'!$F$2:$F$2594,O3849)</f>
        <v>3</v>
      </c>
      <c r="M3849" s="4" t="n">
        <f aca="false">INDEX('Master List'!$G$2:$G$2594,O3849)</f>
        <v>0</v>
      </c>
      <c r="N3849" s="4" t="str">
        <f aca="false">IF(K3849="","",A3849)</f>
        <v>N303</v>
      </c>
      <c r="O3849" s="4" t="n">
        <v>2281</v>
      </c>
      <c r="P3849" s="4" t="n">
        <f aca="false">IF(A3849=A3848,P3848+1-M3848,0)</f>
        <v>0</v>
      </c>
    </row>
    <row r="3850" customFormat="false" ht="15" hidden="false" customHeight="false" outlineLevel="0" collapsed="false">
      <c r="A3850" s="34" t="s">
        <v>4429</v>
      </c>
      <c r="B3850" s="34" t="s">
        <v>57</v>
      </c>
      <c r="C3850" s="34" t="s">
        <v>124</v>
      </c>
      <c r="D3850" s="34" t="s">
        <v>4430</v>
      </c>
      <c r="E3850" s="4" t="n">
        <v>2</v>
      </c>
      <c r="F3850" s="4" t="s">
        <v>144</v>
      </c>
      <c r="G3850" s="7" t="s">
        <v>404</v>
      </c>
      <c r="H3850" s="4" t="n">
        <v>1945</v>
      </c>
      <c r="I3850" s="4" t="s">
        <v>255</v>
      </c>
      <c r="J3850" s="25" t="str">
        <f aca="false">IF(M3850=1,"✓","")</f>
        <v/>
      </c>
      <c r="K3850" s="4" t="str">
        <f aca="false">IF(AND(M3850=0,P3850=0),"▶ NEXT","")</f>
        <v/>
      </c>
      <c r="L3850" s="4" t="n">
        <f aca="false">INDEX('Master List'!$F$2:$F$2594,O3850)</f>
        <v>3</v>
      </c>
      <c r="M3850" s="4" t="n">
        <f aca="false">INDEX('Master List'!$G$2:$G$2594,O3850)</f>
        <v>0</v>
      </c>
      <c r="N3850" s="4" t="str">
        <f aca="false">IF(K3850="","",A3850)</f>
        <v/>
      </c>
      <c r="O3850" s="4" t="n">
        <v>349</v>
      </c>
      <c r="P3850" s="4" t="n">
        <f aca="false">IF(A3850=A3849,P3849+1-M3849,0)</f>
        <v>1</v>
      </c>
    </row>
    <row r="3851" customFormat="false" ht="15" hidden="false" customHeight="false" outlineLevel="0" collapsed="false">
      <c r="A3851" s="34" t="s">
        <v>4429</v>
      </c>
      <c r="B3851" s="34" t="s">
        <v>57</v>
      </c>
      <c r="C3851" s="34" t="s">
        <v>124</v>
      </c>
      <c r="D3851" s="34" t="s">
        <v>4430</v>
      </c>
      <c r="E3851" s="4" t="n">
        <v>3</v>
      </c>
      <c r="F3851" s="4" t="s">
        <v>213</v>
      </c>
      <c r="G3851" s="4" t="s">
        <v>254</v>
      </c>
      <c r="H3851" s="4" t="n">
        <v>1962</v>
      </c>
      <c r="I3851" s="4" t="s">
        <v>255</v>
      </c>
      <c r="J3851" s="25" t="str">
        <f aca="false">IF(M3851=1,"✓","")</f>
        <v/>
      </c>
      <c r="K3851" s="4" t="str">
        <f aca="false">IF(AND(M3851=0,P3851=0),"▶ NEXT","")</f>
        <v/>
      </c>
      <c r="L3851" s="4" t="n">
        <f aca="false">INDEX('Master List'!$F$2:$F$2594,O3851)</f>
        <v>5</v>
      </c>
      <c r="M3851" s="4" t="n">
        <f aca="false">INDEX('Master List'!$G$2:$G$2594,O3851)</f>
        <v>0</v>
      </c>
      <c r="N3851" s="4" t="str">
        <f aca="false">IF(K3851="","",A3851)</f>
        <v/>
      </c>
      <c r="O3851" s="4" t="n">
        <v>1313</v>
      </c>
      <c r="P3851" s="4" t="n">
        <f aca="false">IF(A3851=A3850,P3850+1-M3850,0)</f>
        <v>2</v>
      </c>
    </row>
    <row r="3852" customFormat="false" ht="15" hidden="false" customHeight="false" outlineLevel="0" collapsed="false">
      <c r="A3852" s="34" t="s">
        <v>4429</v>
      </c>
      <c r="B3852" s="34" t="s">
        <v>57</v>
      </c>
      <c r="C3852" s="34" t="s">
        <v>124</v>
      </c>
      <c r="D3852" s="34" t="s">
        <v>4430</v>
      </c>
      <c r="E3852" s="4" t="n">
        <v>4</v>
      </c>
      <c r="F3852" s="4" t="s">
        <v>213</v>
      </c>
      <c r="G3852" s="4" t="s">
        <v>568</v>
      </c>
      <c r="H3852" s="4" t="n">
        <v>1935</v>
      </c>
      <c r="I3852" s="4" t="s">
        <v>162</v>
      </c>
      <c r="J3852" s="25" t="str">
        <f aca="false">IF(M3852=1,"✓","")</f>
        <v/>
      </c>
      <c r="K3852" s="4" t="str">
        <f aca="false">IF(AND(M3852=0,P3852=0),"▶ NEXT","")</f>
        <v/>
      </c>
      <c r="L3852" s="4" t="n">
        <f aca="false">INDEX('Master List'!$F$2:$F$2594,O3852)</f>
        <v>3</v>
      </c>
      <c r="M3852" s="4" t="n">
        <f aca="false">INDEX('Master List'!$G$2:$G$2594,O3852)</f>
        <v>0</v>
      </c>
      <c r="N3852" s="4" t="str">
        <f aca="false">IF(K3852="","",A3852)</f>
        <v/>
      </c>
      <c r="O3852" s="4" t="n">
        <v>22</v>
      </c>
      <c r="P3852" s="4" t="n">
        <f aca="false">IF(A3852=A3851,P3851+1-M3851,0)</f>
        <v>3</v>
      </c>
    </row>
    <row r="3853" customFormat="false" ht="15" hidden="false" customHeight="false" outlineLevel="0" collapsed="false">
      <c r="A3853" s="34" t="s">
        <v>4429</v>
      </c>
      <c r="B3853" s="34" t="s">
        <v>57</v>
      </c>
      <c r="C3853" s="34" t="s">
        <v>124</v>
      </c>
      <c r="D3853" s="34" t="s">
        <v>4430</v>
      </c>
      <c r="E3853" s="4" t="n">
        <v>5</v>
      </c>
      <c r="F3853" s="4" t="s">
        <v>213</v>
      </c>
      <c r="G3853" s="4" t="s">
        <v>926</v>
      </c>
      <c r="H3853" s="4" t="n">
        <v>1946</v>
      </c>
      <c r="I3853" s="4" t="s">
        <v>255</v>
      </c>
      <c r="J3853" s="25" t="str">
        <f aca="false">IF(M3853=1,"✓","")</f>
        <v/>
      </c>
      <c r="K3853" s="4" t="str">
        <f aca="false">IF(AND(M3853=0,P3853=0),"▶ NEXT","")</f>
        <v/>
      </c>
      <c r="L3853" s="4" t="n">
        <f aca="false">INDEX('Master List'!$F$2:$F$2594,O3853)</f>
        <v>2</v>
      </c>
      <c r="M3853" s="4" t="n">
        <f aca="false">INDEX('Master List'!$G$2:$G$2594,O3853)</f>
        <v>0</v>
      </c>
      <c r="N3853" s="4" t="str">
        <f aca="false">IF(K3853="","",A3853)</f>
        <v/>
      </c>
      <c r="O3853" s="4" t="n">
        <v>953</v>
      </c>
      <c r="P3853" s="4" t="n">
        <f aca="false">IF(A3853=A3852,P3852+1-M3852,0)</f>
        <v>4</v>
      </c>
    </row>
    <row r="3854" customFormat="false" ht="15" hidden="false" customHeight="false" outlineLevel="0" collapsed="false">
      <c r="A3854" s="34" t="s">
        <v>4429</v>
      </c>
      <c r="B3854" s="34" t="s">
        <v>57</v>
      </c>
      <c r="C3854" s="34" t="s">
        <v>124</v>
      </c>
      <c r="D3854" s="34" t="s">
        <v>4430</v>
      </c>
      <c r="E3854" s="4" t="n">
        <v>6</v>
      </c>
      <c r="F3854" s="4" t="s">
        <v>213</v>
      </c>
      <c r="G3854" s="4" t="s">
        <v>454</v>
      </c>
      <c r="H3854" s="4" t="n">
        <v>1949</v>
      </c>
      <c r="I3854" s="4" t="s">
        <v>455</v>
      </c>
      <c r="J3854" s="25" t="str">
        <f aca="false">IF(M3854=1,"✓","")</f>
        <v/>
      </c>
      <c r="K3854" s="4" t="str">
        <f aca="false">IF(AND(M3854=0,P3854=0),"▶ NEXT","")</f>
        <v/>
      </c>
      <c r="L3854" s="4" t="n">
        <f aca="false">INDEX('Master List'!$F$2:$F$2594,O3854)</f>
        <v>3</v>
      </c>
      <c r="M3854" s="4" t="n">
        <f aca="false">INDEX('Master List'!$G$2:$G$2594,O3854)</f>
        <v>0</v>
      </c>
      <c r="N3854" s="4" t="str">
        <f aca="false">IF(K3854="","",A3854)</f>
        <v/>
      </c>
      <c r="O3854" s="4" t="n">
        <v>1255</v>
      </c>
      <c r="P3854" s="4" t="n">
        <f aca="false">IF(A3854=A3853,P3853+1-M3853,0)</f>
        <v>5</v>
      </c>
    </row>
    <row r="3855" customFormat="false" ht="15" hidden="false" customHeight="false" outlineLevel="0" collapsed="false">
      <c r="A3855" s="34" t="s">
        <v>4429</v>
      </c>
      <c r="B3855" s="34" t="s">
        <v>57</v>
      </c>
      <c r="C3855" s="34" t="s">
        <v>124</v>
      </c>
      <c r="D3855" s="34" t="s">
        <v>4430</v>
      </c>
      <c r="E3855" s="4" t="n">
        <v>7</v>
      </c>
      <c r="F3855" s="4" t="s">
        <v>213</v>
      </c>
      <c r="G3855" s="4" t="s">
        <v>358</v>
      </c>
      <c r="H3855" s="4" t="n">
        <v>1969</v>
      </c>
      <c r="I3855" s="4" t="s">
        <v>359</v>
      </c>
      <c r="J3855" s="25" t="str">
        <f aca="false">IF(M3855=1,"✓","")</f>
        <v/>
      </c>
      <c r="K3855" s="4" t="str">
        <f aca="false">IF(AND(M3855=0,P3855=0),"▶ NEXT","")</f>
        <v/>
      </c>
      <c r="L3855" s="4" t="n">
        <f aca="false">INDEX('Master List'!$F$2:$F$2594,O3855)</f>
        <v>4</v>
      </c>
      <c r="M3855" s="4" t="n">
        <f aca="false">INDEX('Master List'!$G$2:$G$2594,O3855)</f>
        <v>0</v>
      </c>
      <c r="N3855" s="4" t="str">
        <f aca="false">IF(K3855="","",A3855)</f>
        <v/>
      </c>
      <c r="O3855" s="4" t="n">
        <v>1236</v>
      </c>
      <c r="P3855" s="4" t="n">
        <f aca="false">IF(A3855=A3854,P3854+1-M3854,0)</f>
        <v>6</v>
      </c>
    </row>
    <row r="3856" customFormat="false" ht="15" hidden="false" customHeight="false" outlineLevel="0" collapsed="false">
      <c r="A3856" s="34" t="s">
        <v>4429</v>
      </c>
      <c r="B3856" s="34" t="s">
        <v>57</v>
      </c>
      <c r="C3856" s="34" t="s">
        <v>124</v>
      </c>
      <c r="D3856" s="34" t="s">
        <v>4430</v>
      </c>
      <c r="E3856" s="4" t="n">
        <v>8</v>
      </c>
      <c r="F3856" s="4" t="s">
        <v>213</v>
      </c>
      <c r="G3856" s="4" t="s">
        <v>390</v>
      </c>
      <c r="H3856" s="4" t="n">
        <v>1973</v>
      </c>
      <c r="I3856" s="4" t="s">
        <v>391</v>
      </c>
      <c r="J3856" s="25" t="str">
        <f aca="false">IF(M3856=1,"✓","")</f>
        <v/>
      </c>
      <c r="K3856" s="4" t="str">
        <f aca="false">IF(AND(M3856=0,P3856=0),"▶ NEXT","")</f>
        <v/>
      </c>
      <c r="L3856" s="4" t="n">
        <f aca="false">INDEX('Master List'!$F$2:$F$2594,O3856)</f>
        <v>4</v>
      </c>
      <c r="M3856" s="4" t="n">
        <f aca="false">INDEX('Master List'!$G$2:$G$2594,O3856)</f>
        <v>0</v>
      </c>
      <c r="N3856" s="4" t="str">
        <f aca="false">IF(K3856="","",A3856)</f>
        <v/>
      </c>
      <c r="O3856" s="4" t="n">
        <v>659</v>
      </c>
      <c r="P3856" s="4" t="n">
        <f aca="false">IF(A3856=A3855,P3855+1-M3855,0)</f>
        <v>7</v>
      </c>
    </row>
    <row r="3857" customFormat="false" ht="15" hidden="false" customHeight="false" outlineLevel="0" collapsed="false">
      <c r="A3857" s="34" t="s">
        <v>4429</v>
      </c>
      <c r="B3857" s="34" t="s">
        <v>57</v>
      </c>
      <c r="C3857" s="34" t="s">
        <v>124</v>
      </c>
      <c r="D3857" s="34" t="s">
        <v>4430</v>
      </c>
      <c r="E3857" s="4" t="n">
        <v>9</v>
      </c>
      <c r="F3857" s="4" t="s">
        <v>213</v>
      </c>
      <c r="G3857" s="4" t="s">
        <v>452</v>
      </c>
      <c r="H3857" s="4" t="n">
        <v>1948</v>
      </c>
      <c r="I3857" s="4" t="s">
        <v>453</v>
      </c>
      <c r="J3857" s="25" t="str">
        <f aca="false">IF(M3857=1,"✓","")</f>
        <v/>
      </c>
      <c r="K3857" s="4" t="str">
        <f aca="false">IF(AND(M3857=0,P3857=0),"▶ NEXT","")</f>
        <v/>
      </c>
      <c r="L3857" s="4" t="n">
        <f aca="false">INDEX('Master List'!$F$2:$F$2594,O3857)</f>
        <v>3</v>
      </c>
      <c r="M3857" s="4" t="n">
        <f aca="false">INDEX('Master List'!$G$2:$G$2594,O3857)</f>
        <v>0</v>
      </c>
      <c r="N3857" s="4" t="str">
        <f aca="false">IF(K3857="","",A3857)</f>
        <v/>
      </c>
      <c r="O3857" s="4" t="n">
        <v>1877</v>
      </c>
      <c r="P3857" s="4" t="n">
        <f aca="false">IF(A3857=A3856,P3856+1-M3856,0)</f>
        <v>8</v>
      </c>
    </row>
    <row r="3858" customFormat="false" ht="15" hidden="false" customHeight="false" outlineLevel="0" collapsed="false">
      <c r="A3858" s="34" t="s">
        <v>4429</v>
      </c>
      <c r="B3858" s="34" t="s">
        <v>57</v>
      </c>
      <c r="C3858" s="34" t="s">
        <v>124</v>
      </c>
      <c r="D3858" s="34" t="s">
        <v>4430</v>
      </c>
      <c r="E3858" s="4" t="n">
        <v>10</v>
      </c>
      <c r="F3858" s="4" t="s">
        <v>213</v>
      </c>
      <c r="G3858" s="4" t="s">
        <v>2662</v>
      </c>
      <c r="H3858" s="4" t="n">
        <v>1996</v>
      </c>
      <c r="I3858" s="4" t="s">
        <v>1161</v>
      </c>
      <c r="J3858" s="25" t="str">
        <f aca="false">IF(M3858=1,"✓","")</f>
        <v>✓</v>
      </c>
      <c r="K3858" s="4" t="str">
        <f aca="false">IF(AND(M3858=0,P3858=0),"▶ NEXT","")</f>
        <v/>
      </c>
      <c r="L3858" s="4" t="n">
        <f aca="false">INDEX('Master List'!$F$2:$F$2594,O3858)</f>
        <v>1</v>
      </c>
      <c r="M3858" s="4" t="n">
        <f aca="false">INDEX('Master List'!$G$2:$G$2594,O3858)</f>
        <v>1</v>
      </c>
      <c r="N3858" s="4" t="str">
        <f aca="false">IF(K3858="","",A3858)</f>
        <v/>
      </c>
      <c r="O3858" s="4" t="n">
        <v>2359</v>
      </c>
      <c r="P3858" s="4" t="n">
        <f aca="false">IF(A3858=A3857,P3857+1-M3857,0)</f>
        <v>9</v>
      </c>
    </row>
    <row r="3859" customFormat="false" ht="15" hidden="false" customHeight="false" outlineLevel="0" collapsed="false">
      <c r="A3859" s="34" t="s">
        <v>4429</v>
      </c>
      <c r="B3859" s="34" t="s">
        <v>57</v>
      </c>
      <c r="C3859" s="34" t="s">
        <v>124</v>
      </c>
      <c r="D3859" s="34" t="s">
        <v>4430</v>
      </c>
      <c r="E3859" s="4" t="n">
        <v>11</v>
      </c>
      <c r="F3859" s="4" t="s">
        <v>213</v>
      </c>
      <c r="G3859" s="4" t="s">
        <v>740</v>
      </c>
      <c r="H3859" s="4" t="n">
        <v>1946</v>
      </c>
      <c r="I3859" s="4" t="s">
        <v>453</v>
      </c>
      <c r="J3859" s="25" t="str">
        <f aca="false">IF(M3859=1,"✓","")</f>
        <v/>
      </c>
      <c r="K3859" s="4" t="str">
        <f aca="false">IF(AND(M3859=0,P3859=0),"▶ NEXT","")</f>
        <v/>
      </c>
      <c r="L3859" s="4" t="n">
        <f aca="false">INDEX('Master List'!$F$2:$F$2594,O3859)</f>
        <v>2</v>
      </c>
      <c r="M3859" s="4" t="n">
        <f aca="false">INDEX('Master List'!$G$2:$G$2594,O3859)</f>
        <v>0</v>
      </c>
      <c r="N3859" s="4" t="str">
        <f aca="false">IF(K3859="","",A3859)</f>
        <v/>
      </c>
      <c r="O3859" s="4" t="n">
        <v>1465</v>
      </c>
      <c r="P3859" s="4" t="n">
        <f aca="false">IF(A3859=A3858,P3858+1-M3858,0)</f>
        <v>9</v>
      </c>
    </row>
    <row r="3860" customFormat="false" ht="15" hidden="false" customHeight="false" outlineLevel="0" collapsed="false">
      <c r="A3860" s="34" t="s">
        <v>4429</v>
      </c>
      <c r="B3860" s="34" t="s">
        <v>57</v>
      </c>
      <c r="C3860" s="34" t="s">
        <v>124</v>
      </c>
      <c r="D3860" s="34" t="s">
        <v>4430</v>
      </c>
      <c r="E3860" s="4" t="n">
        <v>12</v>
      </c>
      <c r="F3860" s="4" t="s">
        <v>213</v>
      </c>
      <c r="G3860" s="4" t="s">
        <v>996</v>
      </c>
      <c r="H3860" s="4" t="n">
        <v>1968</v>
      </c>
      <c r="I3860" s="4" t="s">
        <v>997</v>
      </c>
      <c r="J3860" s="25" t="str">
        <f aca="false">IF(M3860=1,"✓","")</f>
        <v/>
      </c>
      <c r="K3860" s="4" t="str">
        <f aca="false">IF(AND(M3860=0,P3860=0),"▶ NEXT","")</f>
        <v/>
      </c>
      <c r="L3860" s="4" t="n">
        <f aca="false">INDEX('Master List'!$F$2:$F$2594,O3860)</f>
        <v>2</v>
      </c>
      <c r="M3860" s="4" t="n">
        <f aca="false">INDEX('Master List'!$G$2:$G$2594,O3860)</f>
        <v>0</v>
      </c>
      <c r="N3860" s="4" t="str">
        <f aca="false">IF(K3860="","",A3860)</f>
        <v/>
      </c>
      <c r="O3860" s="4" t="n">
        <v>1116</v>
      </c>
      <c r="P3860" s="4" t="n">
        <f aca="false">IF(A3860=A3859,P3859+1-M3859,0)</f>
        <v>10</v>
      </c>
    </row>
    <row r="3861" customFormat="false" ht="15" hidden="false" customHeight="false" outlineLevel="0" collapsed="false">
      <c r="A3861" s="34" t="s">
        <v>4429</v>
      </c>
      <c r="B3861" s="34" t="s">
        <v>57</v>
      </c>
      <c r="C3861" s="34" t="s">
        <v>124</v>
      </c>
      <c r="D3861" s="34" t="s">
        <v>4430</v>
      </c>
      <c r="E3861" s="4" t="n">
        <v>13</v>
      </c>
      <c r="F3861" s="4" t="s">
        <v>213</v>
      </c>
      <c r="G3861" s="4" t="s">
        <v>746</v>
      </c>
      <c r="H3861" s="4" t="n">
        <v>1955</v>
      </c>
      <c r="I3861" s="4" t="s">
        <v>411</v>
      </c>
      <c r="J3861" s="25" t="str">
        <f aca="false">IF(M3861=1,"✓","")</f>
        <v/>
      </c>
      <c r="K3861" s="4" t="str">
        <f aca="false">IF(AND(M3861=0,P3861=0),"▶ NEXT","")</f>
        <v/>
      </c>
      <c r="L3861" s="4" t="n">
        <f aca="false">INDEX('Master List'!$F$2:$F$2594,O3861)</f>
        <v>2</v>
      </c>
      <c r="M3861" s="4" t="n">
        <f aca="false">INDEX('Master List'!$G$2:$G$2594,O3861)</f>
        <v>0</v>
      </c>
      <c r="N3861" s="4" t="str">
        <f aca="false">IF(K3861="","",A3861)</f>
        <v/>
      </c>
      <c r="O3861" s="4" t="n">
        <v>1285</v>
      </c>
      <c r="P3861" s="4" t="n">
        <f aca="false">IF(A3861=A3860,P3860+1-M3860,0)</f>
        <v>11</v>
      </c>
    </row>
    <row r="3862" customFormat="false" ht="15" hidden="false" customHeight="false" outlineLevel="0" collapsed="false">
      <c r="A3862" s="34" t="s">
        <v>4429</v>
      </c>
      <c r="B3862" s="34" t="s">
        <v>57</v>
      </c>
      <c r="C3862" s="34" t="s">
        <v>124</v>
      </c>
      <c r="D3862" s="34" t="s">
        <v>4430</v>
      </c>
      <c r="E3862" s="4" t="n">
        <v>14</v>
      </c>
      <c r="F3862" s="4" t="s">
        <v>213</v>
      </c>
      <c r="G3862" s="4" t="s">
        <v>762</v>
      </c>
      <c r="H3862" s="4" t="n">
        <v>1960</v>
      </c>
      <c r="I3862" s="4" t="s">
        <v>763</v>
      </c>
      <c r="J3862" s="25" t="str">
        <f aca="false">IF(M3862=1,"✓","")</f>
        <v/>
      </c>
      <c r="K3862" s="4" t="str">
        <f aca="false">IF(AND(M3862=0,P3862=0),"▶ NEXT","")</f>
        <v/>
      </c>
      <c r="L3862" s="4" t="n">
        <f aca="false">INDEX('Master List'!$F$2:$F$2594,O3862)</f>
        <v>2</v>
      </c>
      <c r="M3862" s="4" t="n">
        <f aca="false">INDEX('Master List'!$G$2:$G$2594,O3862)</f>
        <v>0</v>
      </c>
      <c r="N3862" s="4" t="str">
        <f aca="false">IF(K3862="","",A3862)</f>
        <v/>
      </c>
      <c r="O3862" s="4" t="n">
        <v>1974</v>
      </c>
      <c r="P3862" s="4" t="n">
        <f aca="false">IF(A3862=A3861,P3861+1-M3861,0)</f>
        <v>12</v>
      </c>
    </row>
    <row r="3863" customFormat="false" ht="15" hidden="false" customHeight="false" outlineLevel="0" collapsed="false">
      <c r="A3863" s="34" t="s">
        <v>4429</v>
      </c>
      <c r="B3863" s="34" t="s">
        <v>57</v>
      </c>
      <c r="C3863" s="34" t="s">
        <v>124</v>
      </c>
      <c r="D3863" s="34" t="s">
        <v>4430</v>
      </c>
      <c r="E3863" s="4" t="n">
        <v>15</v>
      </c>
      <c r="F3863" s="4" t="s">
        <v>213</v>
      </c>
      <c r="G3863" s="4" t="s">
        <v>2188</v>
      </c>
      <c r="H3863" s="4" t="n">
        <v>1971</v>
      </c>
      <c r="I3863" s="4" t="s">
        <v>2189</v>
      </c>
      <c r="J3863" s="25" t="str">
        <f aca="false">IF(M3863=1,"✓","")</f>
        <v/>
      </c>
      <c r="K3863" s="4" t="str">
        <f aca="false">IF(AND(M3863=0,P3863=0),"▶ NEXT","")</f>
        <v/>
      </c>
      <c r="L3863" s="4" t="n">
        <f aca="false">INDEX('Master List'!$F$2:$F$2594,O3863)</f>
        <v>1</v>
      </c>
      <c r="M3863" s="4" t="n">
        <f aca="false">INDEX('Master List'!$G$2:$G$2594,O3863)</f>
        <v>0</v>
      </c>
      <c r="N3863" s="4" t="str">
        <f aca="false">IF(K3863="","",A3863)</f>
        <v/>
      </c>
      <c r="O3863" s="4" t="n">
        <v>888</v>
      </c>
      <c r="P3863" s="4" t="n">
        <f aca="false">IF(A3863=A3862,P3862+1-M3862,0)</f>
        <v>13</v>
      </c>
    </row>
    <row r="3864" customFormat="false" ht="15" hidden="false" customHeight="false" outlineLevel="0" collapsed="false">
      <c r="A3864" s="34" t="s">
        <v>4429</v>
      </c>
      <c r="B3864" s="34" t="s">
        <v>57</v>
      </c>
      <c r="C3864" s="34" t="s">
        <v>124</v>
      </c>
      <c r="D3864" s="34" t="s">
        <v>4430</v>
      </c>
      <c r="E3864" s="4" t="n">
        <v>16</v>
      </c>
      <c r="F3864" s="4" t="s">
        <v>213</v>
      </c>
      <c r="G3864" s="4" t="s">
        <v>935</v>
      </c>
      <c r="H3864" s="4" t="n">
        <v>1951</v>
      </c>
      <c r="I3864" s="4" t="s">
        <v>936</v>
      </c>
      <c r="J3864" s="25" t="str">
        <f aca="false">IF(M3864=1,"✓","")</f>
        <v/>
      </c>
      <c r="K3864" s="4" t="str">
        <f aca="false">IF(AND(M3864=0,P3864=0),"▶ NEXT","")</f>
        <v/>
      </c>
      <c r="L3864" s="4" t="n">
        <f aca="false">INDEX('Master List'!$F$2:$F$2594,O3864)</f>
        <v>2</v>
      </c>
      <c r="M3864" s="4" t="n">
        <f aca="false">INDEX('Master List'!$G$2:$G$2594,O3864)</f>
        <v>0</v>
      </c>
      <c r="N3864" s="4" t="str">
        <f aca="false">IF(K3864="","",A3864)</f>
        <v/>
      </c>
      <c r="O3864" s="4" t="n">
        <v>1310</v>
      </c>
      <c r="P3864" s="4" t="n">
        <f aca="false">IF(A3864=A3863,P3863+1-M3863,0)</f>
        <v>14</v>
      </c>
    </row>
    <row r="3865" customFormat="false" ht="15" hidden="false" customHeight="false" outlineLevel="0" collapsed="false">
      <c r="A3865" s="34" t="s">
        <v>4429</v>
      </c>
      <c r="B3865" s="34" t="s">
        <v>57</v>
      </c>
      <c r="C3865" s="34" t="s">
        <v>124</v>
      </c>
      <c r="D3865" s="34" t="s">
        <v>4430</v>
      </c>
      <c r="E3865" s="4" t="n">
        <v>17</v>
      </c>
      <c r="F3865" s="4" t="s">
        <v>213</v>
      </c>
      <c r="G3865" s="4" t="s">
        <v>1850</v>
      </c>
      <c r="H3865" s="4" t="n">
        <v>1947</v>
      </c>
      <c r="I3865" s="4" t="s">
        <v>539</v>
      </c>
      <c r="J3865" s="25" t="str">
        <f aca="false">IF(M3865=1,"✓","")</f>
        <v/>
      </c>
      <c r="K3865" s="4" t="str">
        <f aca="false">IF(AND(M3865=0,P3865=0),"▶ NEXT","")</f>
        <v/>
      </c>
      <c r="L3865" s="4" t="n">
        <f aca="false">INDEX('Master List'!$F$2:$F$2594,O3865)</f>
        <v>1</v>
      </c>
      <c r="M3865" s="4" t="n">
        <f aca="false">INDEX('Master List'!$G$2:$G$2594,O3865)</f>
        <v>0</v>
      </c>
      <c r="N3865" s="4" t="str">
        <f aca="false">IF(K3865="","",A3865)</f>
        <v/>
      </c>
      <c r="O3865" s="4" t="n">
        <v>1649</v>
      </c>
      <c r="P3865" s="4" t="n">
        <f aca="false">IF(A3865=A3864,P3864+1-M3864,0)</f>
        <v>15</v>
      </c>
    </row>
    <row r="3866" customFormat="false" ht="15" hidden="false" customHeight="false" outlineLevel="0" collapsed="false">
      <c r="A3866" s="34" t="s">
        <v>4429</v>
      </c>
      <c r="B3866" s="34" t="s">
        <v>57</v>
      </c>
      <c r="C3866" s="34" t="s">
        <v>124</v>
      </c>
      <c r="D3866" s="34" t="s">
        <v>4430</v>
      </c>
      <c r="E3866" s="4" t="n">
        <v>18</v>
      </c>
      <c r="F3866" s="4" t="s">
        <v>213</v>
      </c>
      <c r="G3866" s="4" t="s">
        <v>1043</v>
      </c>
      <c r="H3866" s="4" t="n">
        <v>1979</v>
      </c>
      <c r="I3866" s="4" t="s">
        <v>1044</v>
      </c>
      <c r="J3866" s="25" t="str">
        <f aca="false">IF(M3866=1,"✓","")</f>
        <v>✓</v>
      </c>
      <c r="K3866" s="4" t="str">
        <f aca="false">IF(AND(M3866=0,P3866=0),"▶ NEXT","")</f>
        <v/>
      </c>
      <c r="L3866" s="4" t="n">
        <f aca="false">INDEX('Master List'!$F$2:$F$2594,O3866)</f>
        <v>2</v>
      </c>
      <c r="M3866" s="4" t="n">
        <f aca="false">INDEX('Master List'!$G$2:$G$2594,O3866)</f>
        <v>1</v>
      </c>
      <c r="N3866" s="4" t="str">
        <f aca="false">IF(K3866="","",A3866)</f>
        <v/>
      </c>
      <c r="O3866" s="4" t="n">
        <v>1333</v>
      </c>
      <c r="P3866" s="4" t="n">
        <f aca="false">IF(A3866=A3865,P3865+1-M3865,0)</f>
        <v>16</v>
      </c>
    </row>
    <row r="3867" customFormat="false" ht="15" hidden="false" customHeight="false" outlineLevel="0" collapsed="false">
      <c r="A3867" s="34" t="s">
        <v>4429</v>
      </c>
      <c r="B3867" s="34" t="s">
        <v>57</v>
      </c>
      <c r="C3867" s="34" t="s">
        <v>124</v>
      </c>
      <c r="D3867" s="34" t="s">
        <v>4430</v>
      </c>
      <c r="E3867" s="4" t="n">
        <v>19</v>
      </c>
      <c r="F3867" s="4" t="s">
        <v>213</v>
      </c>
      <c r="G3867" s="4" t="s">
        <v>2463</v>
      </c>
      <c r="H3867" s="4" t="n">
        <v>1987</v>
      </c>
      <c r="I3867" s="4" t="s">
        <v>2464</v>
      </c>
      <c r="J3867" s="25" t="str">
        <f aca="false">IF(M3867=1,"✓","")</f>
        <v/>
      </c>
      <c r="K3867" s="4" t="str">
        <f aca="false">IF(AND(M3867=0,P3867=0),"▶ NEXT","")</f>
        <v/>
      </c>
      <c r="L3867" s="4" t="n">
        <f aca="false">INDEX('Master List'!$F$2:$F$2594,O3867)</f>
        <v>1</v>
      </c>
      <c r="M3867" s="4" t="n">
        <f aca="false">INDEX('Master List'!$G$2:$G$2594,O3867)</f>
        <v>0</v>
      </c>
      <c r="N3867" s="4" t="str">
        <f aca="false">IF(K3867="","",A3867)</f>
        <v/>
      </c>
      <c r="O3867" s="4" t="n">
        <v>2536</v>
      </c>
      <c r="P3867" s="4" t="n">
        <f aca="false">IF(A3867=A3866,P3866+1-M3866,0)</f>
        <v>16</v>
      </c>
    </row>
    <row r="3868" customFormat="false" ht="15" hidden="false" customHeight="false" outlineLevel="0" collapsed="false">
      <c r="A3868" s="34" t="s">
        <v>4429</v>
      </c>
      <c r="B3868" s="34" t="s">
        <v>57</v>
      </c>
      <c r="C3868" s="34" t="s">
        <v>124</v>
      </c>
      <c r="D3868" s="34" t="s">
        <v>4430</v>
      </c>
      <c r="E3868" s="4" t="n">
        <v>20</v>
      </c>
      <c r="F3868" s="4" t="s">
        <v>213</v>
      </c>
      <c r="G3868" s="4" t="s">
        <v>1063</v>
      </c>
      <c r="H3868" s="4" t="n">
        <v>1983</v>
      </c>
      <c r="I3868" s="4" t="s">
        <v>1064</v>
      </c>
      <c r="J3868" s="25" t="str">
        <f aca="false">IF(M3868=1,"✓","")</f>
        <v/>
      </c>
      <c r="K3868" s="4" t="str">
        <f aca="false">IF(AND(M3868=0,P3868=0),"▶ NEXT","")</f>
        <v/>
      </c>
      <c r="L3868" s="4" t="n">
        <f aca="false">INDEX('Master List'!$F$2:$F$2594,O3868)</f>
        <v>2</v>
      </c>
      <c r="M3868" s="4" t="n">
        <f aca="false">INDEX('Master List'!$G$2:$G$2594,O3868)</f>
        <v>0</v>
      </c>
      <c r="N3868" s="4" t="str">
        <f aca="false">IF(K3868="","",A3868)</f>
        <v/>
      </c>
      <c r="O3868" s="4" t="n">
        <v>1363</v>
      </c>
      <c r="P3868" s="4" t="n">
        <f aca="false">IF(A3868=A3867,P3867+1-M3867,0)</f>
        <v>17</v>
      </c>
    </row>
    <row r="3869" customFormat="false" ht="15" hidden="false" customHeight="false" outlineLevel="0" collapsed="false">
      <c r="A3869" s="34" t="s">
        <v>4429</v>
      </c>
      <c r="B3869" s="34" t="s">
        <v>57</v>
      </c>
      <c r="C3869" s="34" t="s">
        <v>124</v>
      </c>
      <c r="D3869" s="34" t="s">
        <v>4430</v>
      </c>
      <c r="E3869" s="4" t="n">
        <v>21</v>
      </c>
      <c r="F3869" s="4" t="s">
        <v>1327</v>
      </c>
      <c r="G3869" s="4" t="s">
        <v>3352</v>
      </c>
      <c r="H3869" s="4" t="n">
        <v>1948</v>
      </c>
      <c r="I3869" s="4" t="s">
        <v>3353</v>
      </c>
      <c r="J3869" s="25" t="str">
        <f aca="false">IF(M3869=1,"✓","")</f>
        <v/>
      </c>
      <c r="K3869" s="4" t="str">
        <f aca="false">IF(AND(M3869=0,P3869=0),"▶ NEXT","")</f>
        <v/>
      </c>
      <c r="L3869" s="4" t="n">
        <f aca="false">INDEX('Master List'!$F$2:$F$2594,O3869)</f>
        <v>1</v>
      </c>
      <c r="M3869" s="4" t="n">
        <f aca="false">INDEX('Master List'!$G$2:$G$2594,O3869)</f>
        <v>0</v>
      </c>
      <c r="N3869" s="4" t="str">
        <f aca="false">IF(K3869="","",A3869)</f>
        <v/>
      </c>
      <c r="O3869" s="4" t="n">
        <v>351</v>
      </c>
      <c r="P3869" s="4" t="n">
        <f aca="false">IF(A3869=A3868,P3868+1-M3868,0)</f>
        <v>18</v>
      </c>
    </row>
    <row r="3870" customFormat="false" ht="15" hidden="false" customHeight="false" outlineLevel="0" collapsed="false">
      <c r="A3870" s="34" t="s">
        <v>4431</v>
      </c>
      <c r="B3870" s="34" t="s">
        <v>57</v>
      </c>
      <c r="C3870" s="34" t="s">
        <v>124</v>
      </c>
      <c r="D3870" s="34" t="s">
        <v>4432</v>
      </c>
      <c r="E3870" s="4" t="n">
        <v>1</v>
      </c>
      <c r="F3870" s="4" t="s">
        <v>144</v>
      </c>
      <c r="G3870" s="7" t="s">
        <v>235</v>
      </c>
      <c r="H3870" s="4" t="n">
        <v>1952</v>
      </c>
      <c r="I3870" s="4" t="s">
        <v>156</v>
      </c>
      <c r="J3870" s="25" t="str">
        <f aca="false">IF(M3870=1,"✓","")</f>
        <v>✓</v>
      </c>
      <c r="K3870" s="4" t="str">
        <f aca="false">IF(AND(M3870=0,P3870=0),"▶ NEXT","")</f>
        <v/>
      </c>
      <c r="L3870" s="4" t="n">
        <f aca="false">INDEX('Master List'!$F$2:$F$2594,O3870)</f>
        <v>5</v>
      </c>
      <c r="M3870" s="4" t="n">
        <f aca="false">INDEX('Master List'!$G$2:$G$2594,O3870)</f>
        <v>1</v>
      </c>
      <c r="N3870" s="4" t="str">
        <f aca="false">IF(K3870="","",A3870)</f>
        <v/>
      </c>
      <c r="O3870" s="4" t="n">
        <v>1118</v>
      </c>
      <c r="P3870" s="4" t="n">
        <f aca="false">IF(A3870=A3869,P3869+1-M3869,0)</f>
        <v>0</v>
      </c>
    </row>
    <row r="3871" customFormat="false" ht="15" hidden="false" customHeight="false" outlineLevel="0" collapsed="false">
      <c r="A3871" s="34" t="s">
        <v>4431</v>
      </c>
      <c r="B3871" s="34" t="s">
        <v>57</v>
      </c>
      <c r="C3871" s="34" t="s">
        <v>124</v>
      </c>
      <c r="D3871" s="34" t="s">
        <v>4432</v>
      </c>
      <c r="E3871" s="4" t="n">
        <v>2</v>
      </c>
      <c r="F3871" s="4" t="s">
        <v>144</v>
      </c>
      <c r="G3871" s="7" t="s">
        <v>757</v>
      </c>
      <c r="H3871" s="4" t="n">
        <v>1959</v>
      </c>
      <c r="I3871" s="4" t="s">
        <v>146</v>
      </c>
      <c r="J3871" s="25" t="str">
        <f aca="false">IF(M3871=1,"✓","")</f>
        <v/>
      </c>
      <c r="K3871" s="4" t="str">
        <f aca="false">IF(AND(M3871=0,P3871=0),"▶ NEXT","")</f>
        <v>▶ NEXT</v>
      </c>
      <c r="L3871" s="4" t="n">
        <f aca="false">INDEX('Master List'!$F$2:$F$2594,O3871)</f>
        <v>2</v>
      </c>
      <c r="M3871" s="4" t="n">
        <f aca="false">INDEX('Master List'!$G$2:$G$2594,O3871)</f>
        <v>0</v>
      </c>
      <c r="N3871" s="4" t="str">
        <f aca="false">IF(K3871="","",A3871)</f>
        <v>N304</v>
      </c>
      <c r="O3871" s="4" t="n">
        <v>822</v>
      </c>
      <c r="P3871" s="4" t="n">
        <f aca="false">IF(A3871=A3870,P3870+1-M3870,0)</f>
        <v>0</v>
      </c>
    </row>
    <row r="3872" customFormat="false" ht="15" hidden="false" customHeight="false" outlineLevel="0" collapsed="false">
      <c r="A3872" s="34" t="s">
        <v>4431</v>
      </c>
      <c r="B3872" s="34" t="s">
        <v>57</v>
      </c>
      <c r="C3872" s="34" t="s">
        <v>124</v>
      </c>
      <c r="D3872" s="34" t="s">
        <v>4432</v>
      </c>
      <c r="E3872" s="4" t="n">
        <v>3</v>
      </c>
      <c r="F3872" s="4" t="s">
        <v>213</v>
      </c>
      <c r="G3872" s="4" t="s">
        <v>2321</v>
      </c>
      <c r="H3872" s="4" t="n">
        <v>1978</v>
      </c>
      <c r="I3872" s="4" t="s">
        <v>1090</v>
      </c>
      <c r="J3872" s="25" t="str">
        <f aca="false">IF(M3872=1,"✓","")</f>
        <v/>
      </c>
      <c r="K3872" s="4" t="str">
        <f aca="false">IF(AND(M3872=0,P3872=0),"▶ NEXT","")</f>
        <v/>
      </c>
      <c r="L3872" s="4" t="n">
        <f aca="false">INDEX('Master List'!$F$2:$F$2594,O3872)</f>
        <v>1</v>
      </c>
      <c r="M3872" s="4" t="n">
        <f aca="false">INDEX('Master List'!$G$2:$G$2594,O3872)</f>
        <v>0</v>
      </c>
      <c r="N3872" s="4" t="str">
        <f aca="false">IF(K3872="","",A3872)</f>
        <v/>
      </c>
      <c r="O3872" s="4" t="n">
        <v>881</v>
      </c>
      <c r="P3872" s="4" t="n">
        <f aca="false">IF(A3872=A3871,P3871+1-M3871,0)</f>
        <v>1</v>
      </c>
    </row>
    <row r="3873" customFormat="false" ht="15" hidden="false" customHeight="false" outlineLevel="0" collapsed="false">
      <c r="A3873" s="34" t="s">
        <v>4431</v>
      </c>
      <c r="B3873" s="34" t="s">
        <v>57</v>
      </c>
      <c r="C3873" s="34" t="s">
        <v>124</v>
      </c>
      <c r="D3873" s="34" t="s">
        <v>4432</v>
      </c>
      <c r="E3873" s="4" t="n">
        <v>4</v>
      </c>
      <c r="F3873" s="4" t="s">
        <v>213</v>
      </c>
      <c r="G3873" s="4" t="s">
        <v>226</v>
      </c>
      <c r="H3873" s="4" t="n">
        <v>1952</v>
      </c>
      <c r="I3873" s="4" t="s">
        <v>160</v>
      </c>
      <c r="J3873" s="25" t="str">
        <f aca="false">IF(M3873=1,"✓","")</f>
        <v/>
      </c>
      <c r="K3873" s="4" t="str">
        <f aca="false">IF(AND(M3873=0,P3873=0),"▶ NEXT","")</f>
        <v/>
      </c>
      <c r="L3873" s="4" t="n">
        <f aca="false">INDEX('Master List'!$F$2:$F$2594,O3873)</f>
        <v>6</v>
      </c>
      <c r="M3873" s="4" t="n">
        <f aca="false">INDEX('Master List'!$G$2:$G$2594,O3873)</f>
        <v>0</v>
      </c>
      <c r="N3873" s="4" t="str">
        <f aca="false">IF(K3873="","",A3873)</f>
        <v/>
      </c>
      <c r="O3873" s="4" t="n">
        <v>2395</v>
      </c>
      <c r="P3873" s="4" t="n">
        <f aca="false">IF(A3873=A3872,P3872+1-M3872,0)</f>
        <v>2</v>
      </c>
    </row>
    <row r="3874" customFormat="false" ht="15" hidden="false" customHeight="false" outlineLevel="0" collapsed="false">
      <c r="A3874" s="34" t="s">
        <v>4431</v>
      </c>
      <c r="B3874" s="34" t="s">
        <v>57</v>
      </c>
      <c r="C3874" s="34" t="s">
        <v>124</v>
      </c>
      <c r="D3874" s="34" t="s">
        <v>4432</v>
      </c>
      <c r="E3874" s="4" t="n">
        <v>5</v>
      </c>
      <c r="F3874" s="4" t="s">
        <v>213</v>
      </c>
      <c r="G3874" s="4" t="s">
        <v>538</v>
      </c>
      <c r="H3874" s="4" t="n">
        <v>1949</v>
      </c>
      <c r="I3874" s="4" t="s">
        <v>539</v>
      </c>
      <c r="J3874" s="25" t="str">
        <f aca="false">IF(M3874=1,"✓","")</f>
        <v/>
      </c>
      <c r="K3874" s="4" t="str">
        <f aca="false">IF(AND(M3874=0,P3874=0),"▶ NEXT","")</f>
        <v/>
      </c>
      <c r="L3874" s="4" t="n">
        <f aca="false">INDEX('Master List'!$F$2:$F$2594,O3874)</f>
        <v>3</v>
      </c>
      <c r="M3874" s="4" t="n">
        <f aca="false">INDEX('Master List'!$G$2:$G$2594,O3874)</f>
        <v>0</v>
      </c>
      <c r="N3874" s="4" t="str">
        <f aca="false">IF(K3874="","",A3874)</f>
        <v/>
      </c>
      <c r="O3874" s="4" t="n">
        <v>2281</v>
      </c>
      <c r="P3874" s="4" t="n">
        <f aca="false">IF(A3874=A3873,P3873+1-M3873,0)</f>
        <v>3</v>
      </c>
    </row>
    <row r="3875" customFormat="false" ht="15" hidden="false" customHeight="false" outlineLevel="0" collapsed="false">
      <c r="A3875" s="34" t="s">
        <v>4431</v>
      </c>
      <c r="B3875" s="34" t="s">
        <v>57</v>
      </c>
      <c r="C3875" s="34" t="s">
        <v>124</v>
      </c>
      <c r="D3875" s="34" t="s">
        <v>4432</v>
      </c>
      <c r="E3875" s="4" t="n">
        <v>6</v>
      </c>
      <c r="F3875" s="4" t="s">
        <v>213</v>
      </c>
      <c r="G3875" s="4" t="s">
        <v>291</v>
      </c>
      <c r="H3875" s="4" t="n">
        <v>1972</v>
      </c>
      <c r="I3875" s="4" t="s">
        <v>292</v>
      </c>
      <c r="J3875" s="25" t="str">
        <f aca="false">IF(M3875=1,"✓","")</f>
        <v/>
      </c>
      <c r="K3875" s="4" t="str">
        <f aca="false">IF(AND(M3875=0,P3875=0),"▶ NEXT","")</f>
        <v/>
      </c>
      <c r="L3875" s="4" t="n">
        <f aca="false">INDEX('Master List'!$F$2:$F$2594,O3875)</f>
        <v>4</v>
      </c>
      <c r="M3875" s="4" t="n">
        <f aca="false">INDEX('Master List'!$G$2:$G$2594,O3875)</f>
        <v>0</v>
      </c>
      <c r="N3875" s="4" t="str">
        <f aca="false">IF(K3875="","",A3875)</f>
        <v/>
      </c>
      <c r="O3875" s="4" t="n">
        <v>56</v>
      </c>
      <c r="P3875" s="4" t="n">
        <f aca="false">IF(A3875=A3874,P3874+1-M3874,0)</f>
        <v>4</v>
      </c>
    </row>
    <row r="3876" customFormat="false" ht="15" hidden="false" customHeight="false" outlineLevel="0" collapsed="false">
      <c r="A3876" s="34" t="s">
        <v>4431</v>
      </c>
      <c r="B3876" s="34" t="s">
        <v>57</v>
      </c>
      <c r="C3876" s="34" t="s">
        <v>124</v>
      </c>
      <c r="D3876" s="34" t="s">
        <v>4432</v>
      </c>
      <c r="E3876" s="4" t="n">
        <v>7</v>
      </c>
      <c r="F3876" s="4" t="s">
        <v>213</v>
      </c>
      <c r="G3876" s="4" t="s">
        <v>336</v>
      </c>
      <c r="H3876" s="4" t="n">
        <v>1966</v>
      </c>
      <c r="I3876" s="4" t="s">
        <v>215</v>
      </c>
      <c r="J3876" s="25" t="str">
        <f aca="false">IF(M3876=1,"✓","")</f>
        <v/>
      </c>
      <c r="K3876" s="4" t="str">
        <f aca="false">IF(AND(M3876=0,P3876=0),"▶ NEXT","")</f>
        <v/>
      </c>
      <c r="L3876" s="4" t="n">
        <f aca="false">INDEX('Master List'!$F$2:$F$2594,O3876)</f>
        <v>5</v>
      </c>
      <c r="M3876" s="4" t="n">
        <f aca="false">INDEX('Master List'!$G$2:$G$2594,O3876)</f>
        <v>0</v>
      </c>
      <c r="N3876" s="4" t="str">
        <f aca="false">IF(K3876="","",A3876)</f>
        <v/>
      </c>
      <c r="O3876" s="4" t="n">
        <v>149</v>
      </c>
      <c r="P3876" s="4" t="n">
        <f aca="false">IF(A3876=A3875,P3875+1-M3875,0)</f>
        <v>5</v>
      </c>
    </row>
    <row r="3877" customFormat="false" ht="15" hidden="false" customHeight="false" outlineLevel="0" collapsed="false">
      <c r="A3877" s="34" t="s">
        <v>4431</v>
      </c>
      <c r="B3877" s="34" t="s">
        <v>57</v>
      </c>
      <c r="C3877" s="34" t="s">
        <v>124</v>
      </c>
      <c r="D3877" s="34" t="s">
        <v>4432</v>
      </c>
      <c r="E3877" s="4" t="n">
        <v>8</v>
      </c>
      <c r="F3877" s="4" t="s">
        <v>213</v>
      </c>
      <c r="G3877" s="4" t="s">
        <v>1081</v>
      </c>
      <c r="H3877" s="4" t="n">
        <v>1987</v>
      </c>
      <c r="I3877" s="4" t="s">
        <v>365</v>
      </c>
      <c r="J3877" s="25" t="str">
        <f aca="false">IF(M3877=1,"✓","")</f>
        <v/>
      </c>
      <c r="K3877" s="4" t="str">
        <f aca="false">IF(AND(M3877=0,P3877=0),"▶ NEXT","")</f>
        <v/>
      </c>
      <c r="L3877" s="4" t="n">
        <f aca="false">INDEX('Master List'!$F$2:$F$2594,O3877)</f>
        <v>2</v>
      </c>
      <c r="M3877" s="4" t="n">
        <f aca="false">INDEX('Master List'!$G$2:$G$2594,O3877)</f>
        <v>0</v>
      </c>
      <c r="N3877" s="4" t="str">
        <f aca="false">IF(K3877="","",A3877)</f>
        <v/>
      </c>
      <c r="O3877" s="4" t="n">
        <v>2527</v>
      </c>
      <c r="P3877" s="4" t="n">
        <f aca="false">IF(A3877=A3876,P3876+1-M3876,0)</f>
        <v>6</v>
      </c>
    </row>
    <row r="3878" customFormat="false" ht="15" hidden="false" customHeight="false" outlineLevel="0" collapsed="false">
      <c r="A3878" s="34" t="s">
        <v>4431</v>
      </c>
      <c r="B3878" s="34" t="s">
        <v>57</v>
      </c>
      <c r="C3878" s="34" t="s">
        <v>124</v>
      </c>
      <c r="D3878" s="34" t="s">
        <v>4432</v>
      </c>
      <c r="E3878" s="4" t="n">
        <v>9</v>
      </c>
      <c r="F3878" s="4" t="s">
        <v>213</v>
      </c>
      <c r="G3878" s="4" t="s">
        <v>610</v>
      </c>
      <c r="H3878" s="4" t="n">
        <v>1988</v>
      </c>
      <c r="I3878" s="4" t="s">
        <v>611</v>
      </c>
      <c r="J3878" s="25" t="str">
        <f aca="false">IF(M3878=1,"✓","")</f>
        <v/>
      </c>
      <c r="K3878" s="4" t="str">
        <f aca="false">IF(AND(M3878=0,P3878=0),"▶ NEXT","")</f>
        <v/>
      </c>
      <c r="L3878" s="4" t="n">
        <f aca="false">INDEX('Master List'!$F$2:$F$2594,O3878)</f>
        <v>3</v>
      </c>
      <c r="M3878" s="4" t="n">
        <f aca="false">INDEX('Master List'!$G$2:$G$2594,O3878)</f>
        <v>0</v>
      </c>
      <c r="N3878" s="4" t="str">
        <f aca="false">IF(K3878="","",A3878)</f>
        <v/>
      </c>
      <c r="O3878" s="4" t="n">
        <v>947</v>
      </c>
      <c r="P3878" s="4" t="n">
        <f aca="false">IF(A3878=A3877,P3877+1-M3877,0)</f>
        <v>7</v>
      </c>
    </row>
    <row r="3879" customFormat="false" ht="15" hidden="false" customHeight="false" outlineLevel="0" collapsed="false">
      <c r="A3879" s="34" t="s">
        <v>4431</v>
      </c>
      <c r="B3879" s="34" t="s">
        <v>57</v>
      </c>
      <c r="C3879" s="34" t="s">
        <v>124</v>
      </c>
      <c r="D3879" s="34" t="s">
        <v>4432</v>
      </c>
      <c r="E3879" s="4" t="n">
        <v>10</v>
      </c>
      <c r="F3879" s="4" t="s">
        <v>213</v>
      </c>
      <c r="G3879" s="4" t="s">
        <v>424</v>
      </c>
      <c r="H3879" s="4" t="n">
        <v>1988</v>
      </c>
      <c r="I3879" s="4" t="s">
        <v>382</v>
      </c>
      <c r="J3879" s="25" t="str">
        <f aca="false">IF(M3879=1,"✓","")</f>
        <v/>
      </c>
      <c r="K3879" s="4" t="str">
        <f aca="false">IF(AND(M3879=0,P3879=0),"▶ NEXT","")</f>
        <v/>
      </c>
      <c r="L3879" s="4" t="n">
        <f aca="false">INDEX('Master List'!$F$2:$F$2594,O3879)</f>
        <v>3</v>
      </c>
      <c r="M3879" s="4" t="n">
        <f aca="false">INDEX('Master List'!$G$2:$G$2594,O3879)</f>
        <v>0</v>
      </c>
      <c r="N3879" s="4" t="str">
        <f aca="false">IF(K3879="","",A3879)</f>
        <v/>
      </c>
      <c r="O3879" s="4" t="n">
        <v>1574</v>
      </c>
      <c r="P3879" s="4" t="n">
        <f aca="false">IF(A3879=A3878,P3878+1-M3878,0)</f>
        <v>8</v>
      </c>
    </row>
    <row r="3880" customFormat="false" ht="15" hidden="false" customHeight="false" outlineLevel="0" collapsed="false">
      <c r="A3880" s="34" t="s">
        <v>4431</v>
      </c>
      <c r="B3880" s="34" t="s">
        <v>57</v>
      </c>
      <c r="C3880" s="34" t="s">
        <v>124</v>
      </c>
      <c r="D3880" s="34" t="s">
        <v>4432</v>
      </c>
      <c r="E3880" s="4" t="n">
        <v>11</v>
      </c>
      <c r="F3880" s="4" t="s">
        <v>213</v>
      </c>
      <c r="G3880" s="4" t="s">
        <v>259</v>
      </c>
      <c r="H3880" s="4" t="n">
        <v>1993</v>
      </c>
      <c r="I3880" s="4" t="s">
        <v>260</v>
      </c>
      <c r="J3880" s="25" t="str">
        <f aca="false">IF(M3880=1,"✓","")</f>
        <v>✓</v>
      </c>
      <c r="K3880" s="4" t="str">
        <f aca="false">IF(AND(M3880=0,P3880=0),"▶ NEXT","")</f>
        <v/>
      </c>
      <c r="L3880" s="4" t="n">
        <f aca="false">INDEX('Master List'!$F$2:$F$2594,O3880)</f>
        <v>5</v>
      </c>
      <c r="M3880" s="4" t="n">
        <f aca="false">INDEX('Master List'!$G$2:$G$2594,O3880)</f>
        <v>1</v>
      </c>
      <c r="N3880" s="4" t="str">
        <f aca="false">IF(K3880="","",A3880)</f>
        <v/>
      </c>
      <c r="O3880" s="4" t="n">
        <v>970</v>
      </c>
      <c r="P3880" s="4" t="n">
        <f aca="false">IF(A3880=A3879,P3879+1-M3879,0)</f>
        <v>9</v>
      </c>
    </row>
    <row r="3881" customFormat="false" ht="15" hidden="false" customHeight="false" outlineLevel="0" collapsed="false">
      <c r="A3881" s="34" t="s">
        <v>4431</v>
      </c>
      <c r="B3881" s="34" t="s">
        <v>57</v>
      </c>
      <c r="C3881" s="34" t="s">
        <v>124</v>
      </c>
      <c r="D3881" s="34" t="s">
        <v>4432</v>
      </c>
      <c r="E3881" s="4" t="n">
        <v>12</v>
      </c>
      <c r="F3881" s="4" t="s">
        <v>213</v>
      </c>
      <c r="G3881" s="4" t="s">
        <v>1375</v>
      </c>
      <c r="H3881" s="4" t="n">
        <v>1989</v>
      </c>
      <c r="I3881" s="4" t="s">
        <v>1376</v>
      </c>
      <c r="J3881" s="25" t="str">
        <f aca="false">IF(M3881=1,"✓","")</f>
        <v/>
      </c>
      <c r="K3881" s="4" t="str">
        <f aca="false">IF(AND(M3881=0,P3881=0),"▶ NEXT","")</f>
        <v/>
      </c>
      <c r="L3881" s="4" t="n">
        <f aca="false">INDEX('Master List'!$F$2:$F$2594,O3881)</f>
        <v>2</v>
      </c>
      <c r="M3881" s="4" t="n">
        <f aca="false">INDEX('Master List'!$G$2:$G$2594,O3881)</f>
        <v>0</v>
      </c>
      <c r="N3881" s="4" t="str">
        <f aca="false">IF(K3881="","",A3881)</f>
        <v/>
      </c>
      <c r="O3881" s="4" t="n">
        <v>1978</v>
      </c>
      <c r="P3881" s="4" t="n">
        <f aca="false">IF(A3881=A3880,P3880+1-M3880,0)</f>
        <v>9</v>
      </c>
    </row>
    <row r="3882" customFormat="false" ht="15" hidden="false" customHeight="false" outlineLevel="0" collapsed="false">
      <c r="A3882" s="34" t="s">
        <v>4431</v>
      </c>
      <c r="B3882" s="34" t="s">
        <v>57</v>
      </c>
      <c r="C3882" s="34" t="s">
        <v>124</v>
      </c>
      <c r="D3882" s="34" t="s">
        <v>4432</v>
      </c>
      <c r="E3882" s="4" t="n">
        <v>13</v>
      </c>
      <c r="F3882" s="4" t="s">
        <v>213</v>
      </c>
      <c r="G3882" s="4" t="s">
        <v>381</v>
      </c>
      <c r="H3882" s="4" t="n">
        <v>2001</v>
      </c>
      <c r="I3882" s="4" t="s">
        <v>382</v>
      </c>
      <c r="J3882" s="25" t="str">
        <f aca="false">IF(M3882=1,"✓","")</f>
        <v/>
      </c>
      <c r="K3882" s="4" t="str">
        <f aca="false">IF(AND(M3882=0,P3882=0),"▶ NEXT","")</f>
        <v/>
      </c>
      <c r="L3882" s="4" t="n">
        <f aca="false">INDEX('Master List'!$F$2:$F$2594,O3882)</f>
        <v>4</v>
      </c>
      <c r="M3882" s="4" t="n">
        <f aca="false">INDEX('Master List'!$G$2:$G$2594,O3882)</f>
        <v>0</v>
      </c>
      <c r="N3882" s="4" t="str">
        <f aca="false">IF(K3882="","",A3882)</f>
        <v/>
      </c>
      <c r="O3882" s="4" t="n">
        <v>2136</v>
      </c>
      <c r="P3882" s="4" t="n">
        <f aca="false">IF(A3882=A3881,P3881+1-M3881,0)</f>
        <v>10</v>
      </c>
    </row>
    <row r="3883" customFormat="false" ht="15" hidden="false" customHeight="false" outlineLevel="0" collapsed="false">
      <c r="A3883" s="34" t="s">
        <v>4431</v>
      </c>
      <c r="B3883" s="34" t="s">
        <v>57</v>
      </c>
      <c r="C3883" s="34" t="s">
        <v>124</v>
      </c>
      <c r="D3883" s="34" t="s">
        <v>4432</v>
      </c>
      <c r="E3883" s="4" t="n">
        <v>14</v>
      </c>
      <c r="F3883" s="4" t="s">
        <v>213</v>
      </c>
      <c r="G3883" s="4" t="s">
        <v>287</v>
      </c>
      <c r="H3883" s="4" t="n">
        <v>1960</v>
      </c>
      <c r="I3883" s="4" t="s">
        <v>179</v>
      </c>
      <c r="J3883" s="25" t="str">
        <f aca="false">IF(M3883=1,"✓","")</f>
        <v>✓</v>
      </c>
      <c r="K3883" s="4" t="str">
        <f aca="false">IF(AND(M3883=0,P3883=0),"▶ NEXT","")</f>
        <v/>
      </c>
      <c r="L3883" s="4" t="n">
        <f aca="false">INDEX('Master List'!$F$2:$F$2594,O3883)</f>
        <v>5</v>
      </c>
      <c r="M3883" s="4" t="n">
        <f aca="false">INDEX('Master List'!$G$2:$G$2594,O3883)</f>
        <v>1</v>
      </c>
      <c r="N3883" s="4" t="str">
        <f aca="false">IF(K3883="","",A3883)</f>
        <v/>
      </c>
      <c r="O3883" s="4" t="n">
        <v>655</v>
      </c>
      <c r="P3883" s="4" t="n">
        <f aca="false">IF(A3883=A3882,P3882+1-M3882,0)</f>
        <v>11</v>
      </c>
    </row>
    <row r="3884" customFormat="false" ht="15" hidden="false" customHeight="false" outlineLevel="0" collapsed="false">
      <c r="A3884" s="34" t="s">
        <v>4433</v>
      </c>
      <c r="B3884" s="34" t="s">
        <v>57</v>
      </c>
      <c r="C3884" s="34" t="s">
        <v>125</v>
      </c>
      <c r="D3884" s="34" t="s">
        <v>4434</v>
      </c>
      <c r="E3884" s="4" t="n">
        <v>1</v>
      </c>
      <c r="F3884" s="4" t="s">
        <v>144</v>
      </c>
      <c r="G3884" s="7" t="s">
        <v>745</v>
      </c>
      <c r="H3884" s="4" t="n">
        <v>1953</v>
      </c>
      <c r="I3884" s="4" t="s">
        <v>179</v>
      </c>
      <c r="J3884" s="25" t="str">
        <f aca="false">IF(M3884=1,"✓","")</f>
        <v/>
      </c>
      <c r="K3884" s="4" t="str">
        <f aca="false">IF(AND(M3884=0,P3884=0),"▶ NEXT","")</f>
        <v>▶ NEXT</v>
      </c>
      <c r="L3884" s="4" t="n">
        <f aca="false">INDEX('Master List'!$F$2:$F$2594,O3884)</f>
        <v>2</v>
      </c>
      <c r="M3884" s="4" t="n">
        <f aca="false">INDEX('Master List'!$G$2:$G$2594,O3884)</f>
        <v>0</v>
      </c>
      <c r="N3884" s="4" t="str">
        <f aca="false">IF(K3884="","",A3884)</f>
        <v>N305</v>
      </c>
      <c r="O3884" s="4" t="n">
        <v>1109</v>
      </c>
      <c r="P3884" s="4" t="n">
        <f aca="false">IF(A3884=A3883,P3883+1-M3883,0)</f>
        <v>0</v>
      </c>
    </row>
    <row r="3885" customFormat="false" ht="15" hidden="false" customHeight="false" outlineLevel="0" collapsed="false">
      <c r="A3885" s="34" t="s">
        <v>4433</v>
      </c>
      <c r="B3885" s="34" t="s">
        <v>57</v>
      </c>
      <c r="C3885" s="34" t="s">
        <v>125</v>
      </c>
      <c r="D3885" s="34" t="s">
        <v>4434</v>
      </c>
      <c r="E3885" s="4" t="n">
        <v>2</v>
      </c>
      <c r="F3885" s="4" t="s">
        <v>144</v>
      </c>
      <c r="G3885" s="7" t="s">
        <v>169</v>
      </c>
      <c r="H3885" s="4" t="n">
        <v>1957</v>
      </c>
      <c r="I3885" s="4" t="s">
        <v>170</v>
      </c>
      <c r="J3885" s="25" t="str">
        <f aca="false">IF(M3885=1,"✓","")</f>
        <v/>
      </c>
      <c r="K3885" s="4" t="str">
        <f aca="false">IF(AND(M3885=0,P3885=0),"▶ NEXT","")</f>
        <v/>
      </c>
      <c r="L3885" s="4" t="n">
        <f aca="false">INDEX('Master List'!$F$2:$F$2594,O3885)</f>
        <v>8</v>
      </c>
      <c r="M3885" s="4" t="n">
        <f aca="false">INDEX('Master List'!$G$2:$G$2594,O3885)</f>
        <v>0</v>
      </c>
      <c r="N3885" s="4" t="str">
        <f aca="false">IF(K3885="","",A3885)</f>
        <v/>
      </c>
      <c r="O3885" s="4" t="n">
        <v>2516</v>
      </c>
      <c r="P3885" s="4" t="n">
        <f aca="false">IF(A3885=A3884,P3884+1-M3884,0)</f>
        <v>1</v>
      </c>
    </row>
    <row r="3886" customFormat="false" ht="15" hidden="false" customHeight="false" outlineLevel="0" collapsed="false">
      <c r="A3886" s="34" t="s">
        <v>4433</v>
      </c>
      <c r="B3886" s="34" t="s">
        <v>57</v>
      </c>
      <c r="C3886" s="34" t="s">
        <v>125</v>
      </c>
      <c r="D3886" s="34" t="s">
        <v>4434</v>
      </c>
      <c r="E3886" s="4" t="n">
        <v>3</v>
      </c>
      <c r="F3886" s="4" t="s">
        <v>213</v>
      </c>
      <c r="G3886" s="4" t="s">
        <v>142</v>
      </c>
      <c r="H3886" s="4" t="n">
        <v>1941</v>
      </c>
      <c r="I3886" s="4" t="s">
        <v>143</v>
      </c>
      <c r="J3886" s="25" t="str">
        <f aca="false">IF(M3886=1,"✓","")</f>
        <v/>
      </c>
      <c r="K3886" s="4" t="str">
        <f aca="false">IF(AND(M3886=0,P3886=0),"▶ NEXT","")</f>
        <v/>
      </c>
      <c r="L3886" s="4" t="n">
        <f aca="false">INDEX('Master List'!$F$2:$F$2594,O3886)</f>
        <v>13</v>
      </c>
      <c r="M3886" s="4" t="n">
        <f aca="false">INDEX('Master List'!$G$2:$G$2594,O3886)</f>
        <v>0</v>
      </c>
      <c r="N3886" s="4" t="str">
        <f aca="false">IF(K3886="","",A3886)</f>
        <v/>
      </c>
      <c r="O3886" s="4" t="n">
        <v>462</v>
      </c>
      <c r="P3886" s="4" t="n">
        <f aca="false">IF(A3886=A3885,P3885+1-M3885,0)</f>
        <v>2</v>
      </c>
    </row>
    <row r="3887" customFormat="false" ht="15" hidden="false" customHeight="false" outlineLevel="0" collapsed="false">
      <c r="A3887" s="34" t="s">
        <v>4433</v>
      </c>
      <c r="B3887" s="34" t="s">
        <v>57</v>
      </c>
      <c r="C3887" s="34" t="s">
        <v>125</v>
      </c>
      <c r="D3887" s="34" t="s">
        <v>4434</v>
      </c>
      <c r="E3887" s="4" t="n">
        <v>4</v>
      </c>
      <c r="F3887" s="4" t="s">
        <v>213</v>
      </c>
      <c r="G3887" s="4" t="s">
        <v>405</v>
      </c>
      <c r="H3887" s="4" t="n">
        <v>1948</v>
      </c>
      <c r="I3887" s="4" t="s">
        <v>283</v>
      </c>
      <c r="J3887" s="25" t="str">
        <f aca="false">IF(M3887=1,"✓","")</f>
        <v/>
      </c>
      <c r="K3887" s="4" t="str">
        <f aca="false">IF(AND(M3887=0,P3887=0),"▶ NEXT","")</f>
        <v/>
      </c>
      <c r="L3887" s="4" t="n">
        <f aca="false">INDEX('Master List'!$F$2:$F$2594,O3887)</f>
        <v>4</v>
      </c>
      <c r="M3887" s="4" t="n">
        <f aca="false">INDEX('Master List'!$G$2:$G$2594,O3887)</f>
        <v>0</v>
      </c>
      <c r="N3887" s="4" t="str">
        <f aca="false">IF(K3887="","",A3887)</f>
        <v/>
      </c>
      <c r="O3887" s="4" t="n">
        <v>2362</v>
      </c>
      <c r="P3887" s="4" t="n">
        <f aca="false">IF(A3887=A3886,P3886+1-M3886,0)</f>
        <v>3</v>
      </c>
    </row>
    <row r="3888" customFormat="false" ht="15" hidden="false" customHeight="false" outlineLevel="0" collapsed="false">
      <c r="A3888" s="34" t="s">
        <v>4433</v>
      </c>
      <c r="B3888" s="34" t="s">
        <v>57</v>
      </c>
      <c r="C3888" s="34" t="s">
        <v>125</v>
      </c>
      <c r="D3888" s="34" t="s">
        <v>4434</v>
      </c>
      <c r="E3888" s="4" t="n">
        <v>5</v>
      </c>
      <c r="F3888" s="4" t="s">
        <v>213</v>
      </c>
      <c r="G3888" s="4" t="s">
        <v>343</v>
      </c>
      <c r="H3888" s="4" t="n">
        <v>1931</v>
      </c>
      <c r="I3888" s="4" t="s">
        <v>344</v>
      </c>
      <c r="J3888" s="25" t="str">
        <f aca="false">IF(M3888=1,"✓","")</f>
        <v/>
      </c>
      <c r="K3888" s="4" t="str">
        <f aca="false">IF(AND(M3888=0,P3888=0),"▶ NEXT","")</f>
        <v/>
      </c>
      <c r="L3888" s="4" t="n">
        <f aca="false">INDEX('Master List'!$F$2:$F$2594,O3888)</f>
        <v>5</v>
      </c>
      <c r="M3888" s="4" t="n">
        <f aca="false">INDEX('Master List'!$G$2:$G$2594,O3888)</f>
        <v>0</v>
      </c>
      <c r="N3888" s="4" t="str">
        <f aca="false">IF(K3888="","",A3888)</f>
        <v/>
      </c>
      <c r="O3888" s="4" t="n">
        <v>464</v>
      </c>
      <c r="P3888" s="4" t="n">
        <f aca="false">IF(A3888=A3887,P3887+1-M3887,0)</f>
        <v>4</v>
      </c>
    </row>
    <row r="3889" customFormat="false" ht="15" hidden="false" customHeight="false" outlineLevel="0" collapsed="false">
      <c r="A3889" s="34" t="s">
        <v>4433</v>
      </c>
      <c r="B3889" s="34" t="s">
        <v>57</v>
      </c>
      <c r="C3889" s="34" t="s">
        <v>125</v>
      </c>
      <c r="D3889" s="34" t="s">
        <v>4434</v>
      </c>
      <c r="E3889" s="4" t="n">
        <v>6</v>
      </c>
      <c r="F3889" s="4" t="s">
        <v>213</v>
      </c>
      <c r="G3889" s="4" t="s">
        <v>1822</v>
      </c>
      <c r="H3889" s="4" t="n">
        <v>1944</v>
      </c>
      <c r="I3889" s="4" t="s">
        <v>1823</v>
      </c>
      <c r="J3889" s="25" t="str">
        <f aca="false">IF(M3889=1,"✓","")</f>
        <v/>
      </c>
      <c r="K3889" s="4" t="str">
        <f aca="false">IF(AND(M3889=0,P3889=0),"▶ NEXT","")</f>
        <v/>
      </c>
      <c r="L3889" s="4" t="n">
        <f aca="false">INDEX('Master List'!$F$2:$F$2594,O3889)</f>
        <v>1</v>
      </c>
      <c r="M3889" s="4" t="n">
        <f aca="false">INDEX('Master List'!$G$2:$G$2594,O3889)</f>
        <v>0</v>
      </c>
      <c r="N3889" s="4" t="str">
        <f aca="false">IF(K3889="","",A3889)</f>
        <v/>
      </c>
      <c r="O3889" s="4" t="n">
        <v>1023</v>
      </c>
      <c r="P3889" s="4" t="n">
        <f aca="false">IF(A3889=A3888,P3888+1-M3888,0)</f>
        <v>5</v>
      </c>
    </row>
    <row r="3890" customFormat="false" ht="15" hidden="false" customHeight="false" outlineLevel="0" collapsed="false">
      <c r="A3890" s="34" t="s">
        <v>4433</v>
      </c>
      <c r="B3890" s="34" t="s">
        <v>57</v>
      </c>
      <c r="C3890" s="34" t="s">
        <v>125</v>
      </c>
      <c r="D3890" s="34" t="s">
        <v>4434</v>
      </c>
      <c r="E3890" s="4" t="n">
        <v>7</v>
      </c>
      <c r="F3890" s="4" t="s">
        <v>213</v>
      </c>
      <c r="G3890" s="4" t="s">
        <v>582</v>
      </c>
      <c r="H3890" s="4" t="n">
        <v>1961</v>
      </c>
      <c r="I3890" s="4" t="s">
        <v>217</v>
      </c>
      <c r="J3890" s="25" t="str">
        <f aca="false">IF(M3890=1,"✓","")</f>
        <v/>
      </c>
      <c r="K3890" s="4" t="str">
        <f aca="false">IF(AND(M3890=0,P3890=0),"▶ NEXT","")</f>
        <v/>
      </c>
      <c r="L3890" s="4" t="n">
        <f aca="false">INDEX('Master List'!$F$2:$F$2594,O3890)</f>
        <v>3</v>
      </c>
      <c r="M3890" s="4" t="n">
        <f aca="false">INDEX('Master List'!$G$2:$G$2594,O3890)</f>
        <v>0</v>
      </c>
      <c r="N3890" s="4" t="str">
        <f aca="false">IF(K3890="","",A3890)</f>
        <v/>
      </c>
      <c r="O3890" s="4" t="n">
        <v>1639</v>
      </c>
      <c r="P3890" s="4" t="n">
        <f aca="false">IF(A3890=A3889,P3889+1-M3889,0)</f>
        <v>6</v>
      </c>
    </row>
    <row r="3891" customFormat="false" ht="15" hidden="false" customHeight="false" outlineLevel="0" collapsed="false">
      <c r="A3891" s="34" t="s">
        <v>4433</v>
      </c>
      <c r="B3891" s="34" t="s">
        <v>57</v>
      </c>
      <c r="C3891" s="34" t="s">
        <v>125</v>
      </c>
      <c r="D3891" s="34" t="s">
        <v>4434</v>
      </c>
      <c r="E3891" s="4" t="n">
        <v>8</v>
      </c>
      <c r="F3891" s="4" t="s">
        <v>213</v>
      </c>
      <c r="G3891" s="4" t="s">
        <v>915</v>
      </c>
      <c r="H3891" s="4" t="n">
        <v>1940</v>
      </c>
      <c r="I3891" s="4" t="s">
        <v>916</v>
      </c>
      <c r="J3891" s="25" t="str">
        <f aca="false">IF(M3891=1,"✓","")</f>
        <v/>
      </c>
      <c r="K3891" s="4" t="str">
        <f aca="false">IF(AND(M3891=0,P3891=0),"▶ NEXT","")</f>
        <v/>
      </c>
      <c r="L3891" s="4" t="n">
        <f aca="false">INDEX('Master List'!$F$2:$F$2594,O3891)</f>
        <v>2</v>
      </c>
      <c r="M3891" s="4" t="n">
        <f aca="false">INDEX('Master List'!$G$2:$G$2594,O3891)</f>
        <v>0</v>
      </c>
      <c r="N3891" s="4" t="str">
        <f aca="false">IF(K3891="","",A3891)</f>
        <v/>
      </c>
      <c r="O3891" s="4" t="n">
        <v>184</v>
      </c>
      <c r="P3891" s="4" t="n">
        <f aca="false">IF(A3891=A3890,P3890+1-M3890,0)</f>
        <v>7</v>
      </c>
    </row>
    <row r="3892" customFormat="false" ht="15" hidden="false" customHeight="false" outlineLevel="0" collapsed="false">
      <c r="A3892" s="34" t="s">
        <v>4433</v>
      </c>
      <c r="B3892" s="34" t="s">
        <v>57</v>
      </c>
      <c r="C3892" s="34" t="s">
        <v>125</v>
      </c>
      <c r="D3892" s="34" t="s">
        <v>4434</v>
      </c>
      <c r="E3892" s="4" t="n">
        <v>9</v>
      </c>
      <c r="F3892" s="4" t="s">
        <v>213</v>
      </c>
      <c r="G3892" s="4" t="s">
        <v>1802</v>
      </c>
      <c r="H3892" s="4" t="n">
        <v>1942</v>
      </c>
      <c r="I3892" s="4" t="s">
        <v>564</v>
      </c>
      <c r="J3892" s="25" t="str">
        <f aca="false">IF(M3892=1,"✓","")</f>
        <v/>
      </c>
      <c r="K3892" s="4" t="str">
        <f aca="false">IF(AND(M3892=0,P3892=0),"▶ NEXT","")</f>
        <v/>
      </c>
      <c r="L3892" s="4" t="n">
        <f aca="false">INDEX('Master List'!$F$2:$F$2594,O3892)</f>
        <v>1</v>
      </c>
      <c r="M3892" s="4" t="n">
        <f aca="false">INDEX('Master List'!$G$2:$G$2594,O3892)</f>
        <v>0</v>
      </c>
      <c r="N3892" s="4" t="str">
        <f aca="false">IF(K3892="","",A3892)</f>
        <v/>
      </c>
      <c r="O3892" s="4" t="n">
        <v>1940</v>
      </c>
      <c r="P3892" s="4" t="n">
        <f aca="false">IF(A3892=A3891,P3891+1-M3891,0)</f>
        <v>8</v>
      </c>
    </row>
    <row r="3893" customFormat="false" ht="15" hidden="false" customHeight="false" outlineLevel="0" collapsed="false">
      <c r="A3893" s="34" t="s">
        <v>4433</v>
      </c>
      <c r="B3893" s="34" t="s">
        <v>57</v>
      </c>
      <c r="C3893" s="34" t="s">
        <v>125</v>
      </c>
      <c r="D3893" s="34" t="s">
        <v>4434</v>
      </c>
      <c r="E3893" s="4" t="n">
        <v>10</v>
      </c>
      <c r="F3893" s="4" t="s">
        <v>213</v>
      </c>
      <c r="G3893" s="4" t="s">
        <v>1716</v>
      </c>
      <c r="H3893" s="4" t="n">
        <v>1930</v>
      </c>
      <c r="I3893" s="4" t="s">
        <v>1717</v>
      </c>
      <c r="J3893" s="25" t="str">
        <f aca="false">IF(M3893=1,"✓","")</f>
        <v/>
      </c>
      <c r="K3893" s="4" t="str">
        <f aca="false">IF(AND(M3893=0,P3893=0),"▶ NEXT","")</f>
        <v/>
      </c>
      <c r="L3893" s="4" t="n">
        <f aca="false">INDEX('Master List'!$F$2:$F$2594,O3893)</f>
        <v>1</v>
      </c>
      <c r="M3893" s="4" t="n">
        <f aca="false">INDEX('Master List'!$G$2:$G$2594,O3893)</f>
        <v>0</v>
      </c>
      <c r="N3893" s="4" t="str">
        <f aca="false">IF(K3893="","",A3893)</f>
        <v/>
      </c>
      <c r="O3893" s="4" t="n">
        <v>1020</v>
      </c>
      <c r="P3893" s="4" t="n">
        <f aca="false">IF(A3893=A3892,P3892+1-M3892,0)</f>
        <v>9</v>
      </c>
    </row>
    <row r="3894" customFormat="false" ht="15" hidden="false" customHeight="false" outlineLevel="0" collapsed="false">
      <c r="A3894" s="34" t="s">
        <v>4435</v>
      </c>
      <c r="B3894" s="34" t="s">
        <v>57</v>
      </c>
      <c r="C3894" s="34" t="s">
        <v>125</v>
      </c>
      <c r="D3894" s="34" t="s">
        <v>4436</v>
      </c>
      <c r="E3894" s="4" t="n">
        <v>1</v>
      </c>
      <c r="F3894" s="4" t="s">
        <v>144</v>
      </c>
      <c r="G3894" s="7" t="s">
        <v>214</v>
      </c>
      <c r="H3894" s="4" t="n">
        <v>1951</v>
      </c>
      <c r="I3894" s="4" t="s">
        <v>215</v>
      </c>
      <c r="J3894" s="25" t="str">
        <f aca="false">IF(M3894=1,"✓","")</f>
        <v/>
      </c>
      <c r="K3894" s="4" t="str">
        <f aca="false">IF(AND(M3894=0,P3894=0),"▶ NEXT","")</f>
        <v>▶ NEXT</v>
      </c>
      <c r="L3894" s="4" t="n">
        <f aca="false">INDEX('Master List'!$F$2:$F$2594,O3894)</f>
        <v>6</v>
      </c>
      <c r="M3894" s="4" t="n">
        <f aca="false">INDEX('Master List'!$G$2:$G$2594,O3894)</f>
        <v>0</v>
      </c>
      <c r="N3894" s="4" t="str">
        <f aca="false">IF(K3894="","",A3894)</f>
        <v>N306</v>
      </c>
      <c r="O3894" s="4" t="n">
        <v>628</v>
      </c>
      <c r="P3894" s="4" t="n">
        <f aca="false">IF(A3894=A3893,P3893+1-M3893,0)</f>
        <v>0</v>
      </c>
    </row>
    <row r="3895" customFormat="false" ht="15" hidden="false" customHeight="false" outlineLevel="0" collapsed="false">
      <c r="A3895" s="34" t="s">
        <v>4435</v>
      </c>
      <c r="B3895" s="34" t="s">
        <v>57</v>
      </c>
      <c r="C3895" s="34" t="s">
        <v>125</v>
      </c>
      <c r="D3895" s="34" t="s">
        <v>4436</v>
      </c>
      <c r="E3895" s="4" t="n">
        <v>2</v>
      </c>
      <c r="F3895" s="4" t="s">
        <v>144</v>
      </c>
      <c r="G3895" s="7" t="s">
        <v>288</v>
      </c>
      <c r="H3895" s="4" t="n">
        <v>1963</v>
      </c>
      <c r="I3895" s="4" t="s">
        <v>170</v>
      </c>
      <c r="J3895" s="25" t="str">
        <f aca="false">IF(M3895=1,"✓","")</f>
        <v/>
      </c>
      <c r="K3895" s="4" t="str">
        <f aca="false">IF(AND(M3895=0,P3895=0),"▶ NEXT","")</f>
        <v/>
      </c>
      <c r="L3895" s="4" t="n">
        <f aca="false">INDEX('Master List'!$F$2:$F$2594,O3895)</f>
        <v>4</v>
      </c>
      <c r="M3895" s="4" t="n">
        <f aca="false">INDEX('Master List'!$G$2:$G$2594,O3895)</f>
        <v>0</v>
      </c>
      <c r="N3895" s="4" t="str">
        <f aca="false">IF(K3895="","",A3895)</f>
        <v/>
      </c>
      <c r="O3895" s="4" t="n">
        <v>2529</v>
      </c>
      <c r="P3895" s="4" t="n">
        <f aca="false">IF(A3895=A3894,P3894+1-M3894,0)</f>
        <v>1</v>
      </c>
    </row>
    <row r="3896" customFormat="false" ht="15" hidden="false" customHeight="false" outlineLevel="0" collapsed="false">
      <c r="A3896" s="34" t="s">
        <v>4435</v>
      </c>
      <c r="B3896" s="34" t="s">
        <v>57</v>
      </c>
      <c r="C3896" s="34" t="s">
        <v>125</v>
      </c>
      <c r="D3896" s="34" t="s">
        <v>4436</v>
      </c>
      <c r="E3896" s="4" t="n">
        <v>3</v>
      </c>
      <c r="F3896" s="4" t="s">
        <v>213</v>
      </c>
      <c r="G3896" s="4" t="s">
        <v>1323</v>
      </c>
      <c r="H3896" s="4" t="n">
        <v>1959</v>
      </c>
      <c r="I3896" s="4" t="s">
        <v>402</v>
      </c>
      <c r="J3896" s="25" t="str">
        <f aca="false">IF(M3896=1,"✓","")</f>
        <v/>
      </c>
      <c r="K3896" s="4" t="str">
        <f aca="false">IF(AND(M3896=0,P3896=0),"▶ NEXT","")</f>
        <v/>
      </c>
      <c r="L3896" s="4" t="n">
        <f aca="false">INDEX('Master List'!$F$2:$F$2594,O3896)</f>
        <v>2</v>
      </c>
      <c r="M3896" s="4" t="n">
        <f aca="false">INDEX('Master List'!$G$2:$G$2594,O3896)</f>
        <v>0</v>
      </c>
      <c r="N3896" s="4" t="str">
        <f aca="false">IF(K3896="","",A3896)</f>
        <v/>
      </c>
      <c r="O3896" s="4" t="n">
        <v>1590</v>
      </c>
      <c r="P3896" s="4" t="n">
        <f aca="false">IF(A3896=A3895,P3895+1-M3895,0)</f>
        <v>2</v>
      </c>
    </row>
    <row r="3897" customFormat="false" ht="15" hidden="false" customHeight="false" outlineLevel="0" collapsed="false">
      <c r="A3897" s="34" t="s">
        <v>4435</v>
      </c>
      <c r="B3897" s="34" t="s">
        <v>57</v>
      </c>
      <c r="C3897" s="34" t="s">
        <v>125</v>
      </c>
      <c r="D3897" s="34" t="s">
        <v>4436</v>
      </c>
      <c r="E3897" s="4" t="n">
        <v>4</v>
      </c>
      <c r="F3897" s="4" t="s">
        <v>213</v>
      </c>
      <c r="G3897" s="4" t="s">
        <v>169</v>
      </c>
      <c r="H3897" s="4" t="n">
        <v>1957</v>
      </c>
      <c r="I3897" s="4" t="s">
        <v>170</v>
      </c>
      <c r="J3897" s="25" t="str">
        <f aca="false">IF(M3897=1,"✓","")</f>
        <v/>
      </c>
      <c r="K3897" s="4" t="str">
        <f aca="false">IF(AND(M3897=0,P3897=0),"▶ NEXT","")</f>
        <v/>
      </c>
      <c r="L3897" s="4" t="n">
        <f aca="false">INDEX('Master List'!$F$2:$F$2594,O3897)</f>
        <v>8</v>
      </c>
      <c r="M3897" s="4" t="n">
        <f aca="false">INDEX('Master List'!$G$2:$G$2594,O3897)</f>
        <v>0</v>
      </c>
      <c r="N3897" s="4" t="str">
        <f aca="false">IF(K3897="","",A3897)</f>
        <v/>
      </c>
      <c r="O3897" s="4" t="n">
        <v>2516</v>
      </c>
      <c r="P3897" s="4" t="n">
        <f aca="false">IF(A3897=A3896,P3896+1-M3896,0)</f>
        <v>3</v>
      </c>
    </row>
    <row r="3898" customFormat="false" ht="15" hidden="false" customHeight="false" outlineLevel="0" collapsed="false">
      <c r="A3898" s="34" t="s">
        <v>4435</v>
      </c>
      <c r="B3898" s="34" t="s">
        <v>57</v>
      </c>
      <c r="C3898" s="34" t="s">
        <v>125</v>
      </c>
      <c r="D3898" s="34" t="s">
        <v>4436</v>
      </c>
      <c r="E3898" s="4" t="n">
        <v>5</v>
      </c>
      <c r="F3898" s="4" t="s">
        <v>213</v>
      </c>
      <c r="G3898" s="4" t="s">
        <v>343</v>
      </c>
      <c r="H3898" s="4" t="n">
        <v>1931</v>
      </c>
      <c r="I3898" s="4" t="s">
        <v>344</v>
      </c>
      <c r="J3898" s="25" t="str">
        <f aca="false">IF(M3898=1,"✓","")</f>
        <v/>
      </c>
      <c r="K3898" s="4" t="str">
        <f aca="false">IF(AND(M3898=0,P3898=0),"▶ NEXT","")</f>
        <v/>
      </c>
      <c r="L3898" s="4" t="n">
        <f aca="false">INDEX('Master List'!$F$2:$F$2594,O3898)</f>
        <v>5</v>
      </c>
      <c r="M3898" s="4" t="n">
        <f aca="false">INDEX('Master List'!$G$2:$G$2594,O3898)</f>
        <v>0</v>
      </c>
      <c r="N3898" s="4" t="str">
        <f aca="false">IF(K3898="","",A3898)</f>
        <v/>
      </c>
      <c r="O3898" s="4" t="n">
        <v>464</v>
      </c>
      <c r="P3898" s="4" t="n">
        <f aca="false">IF(A3898=A3897,P3897+1-M3897,0)</f>
        <v>4</v>
      </c>
    </row>
    <row r="3899" customFormat="false" ht="15" hidden="false" customHeight="false" outlineLevel="0" collapsed="false">
      <c r="A3899" s="34" t="s">
        <v>4435</v>
      </c>
      <c r="B3899" s="34" t="s">
        <v>57</v>
      </c>
      <c r="C3899" s="34" t="s">
        <v>125</v>
      </c>
      <c r="D3899" s="34" t="s">
        <v>4436</v>
      </c>
      <c r="E3899" s="4" t="n">
        <v>6</v>
      </c>
      <c r="F3899" s="4" t="s">
        <v>213</v>
      </c>
      <c r="G3899" s="4" t="s">
        <v>285</v>
      </c>
      <c r="H3899" s="4" t="n">
        <v>1953</v>
      </c>
      <c r="I3899" s="4" t="s">
        <v>286</v>
      </c>
      <c r="J3899" s="25" t="str">
        <f aca="false">IF(M3899=1,"✓","")</f>
        <v/>
      </c>
      <c r="K3899" s="4" t="str">
        <f aca="false">IF(AND(M3899=0,P3899=0),"▶ NEXT","")</f>
        <v/>
      </c>
      <c r="L3899" s="4" t="n">
        <f aca="false">INDEX('Master List'!$F$2:$F$2594,O3899)</f>
        <v>5</v>
      </c>
      <c r="M3899" s="4" t="n">
        <f aca="false">INDEX('Master List'!$G$2:$G$2594,O3899)</f>
        <v>0</v>
      </c>
      <c r="N3899" s="4" t="str">
        <f aca="false">IF(K3899="","",A3899)</f>
        <v/>
      </c>
      <c r="O3899" s="4" t="n">
        <v>2393</v>
      </c>
      <c r="P3899" s="4" t="n">
        <f aca="false">IF(A3899=A3898,P3898+1-M3898,0)</f>
        <v>5</v>
      </c>
    </row>
    <row r="3900" customFormat="false" ht="15" hidden="false" customHeight="false" outlineLevel="0" collapsed="false">
      <c r="A3900" s="34" t="s">
        <v>4435</v>
      </c>
      <c r="B3900" s="34" t="s">
        <v>57</v>
      </c>
      <c r="C3900" s="34" t="s">
        <v>125</v>
      </c>
      <c r="D3900" s="34" t="s">
        <v>4436</v>
      </c>
      <c r="E3900" s="4" t="n">
        <v>7</v>
      </c>
      <c r="F3900" s="4" t="s">
        <v>213</v>
      </c>
      <c r="G3900" s="4" t="s">
        <v>155</v>
      </c>
      <c r="H3900" s="4" t="n">
        <v>1954</v>
      </c>
      <c r="I3900" s="4" t="s">
        <v>156</v>
      </c>
      <c r="J3900" s="25" t="str">
        <f aca="false">IF(M3900=1,"✓","")</f>
        <v/>
      </c>
      <c r="K3900" s="4" t="str">
        <f aca="false">IF(AND(M3900=0,P3900=0),"▶ NEXT","")</f>
        <v/>
      </c>
      <c r="L3900" s="4" t="n">
        <f aca="false">INDEX('Master List'!$F$2:$F$2594,O3900)</f>
        <v>8</v>
      </c>
      <c r="M3900" s="4" t="n">
        <f aca="false">INDEX('Master List'!$G$2:$G$2594,O3900)</f>
        <v>0</v>
      </c>
      <c r="N3900" s="4" t="str">
        <f aca="false">IF(K3900="","",A3900)</f>
        <v/>
      </c>
      <c r="O3900" s="4" t="n">
        <v>2021</v>
      </c>
      <c r="P3900" s="4" t="n">
        <f aca="false">IF(A3900=A3899,P3899+1-M3899,0)</f>
        <v>6</v>
      </c>
    </row>
    <row r="3901" customFormat="false" ht="15" hidden="false" customHeight="false" outlineLevel="0" collapsed="false">
      <c r="A3901" s="34" t="s">
        <v>4435</v>
      </c>
      <c r="B3901" s="34" t="s">
        <v>57</v>
      </c>
      <c r="C3901" s="34" t="s">
        <v>125</v>
      </c>
      <c r="D3901" s="34" t="s">
        <v>4436</v>
      </c>
      <c r="E3901" s="4" t="n">
        <v>8</v>
      </c>
      <c r="F3901" s="4" t="s">
        <v>213</v>
      </c>
      <c r="G3901" s="4" t="s">
        <v>191</v>
      </c>
      <c r="H3901" s="4" t="n">
        <v>1966</v>
      </c>
      <c r="I3901" s="4" t="s">
        <v>170</v>
      </c>
      <c r="J3901" s="25" t="str">
        <f aca="false">IF(M3901=1,"✓","")</f>
        <v/>
      </c>
      <c r="K3901" s="4" t="str">
        <f aca="false">IF(AND(M3901=0,P3901=0),"▶ NEXT","")</f>
        <v/>
      </c>
      <c r="L3901" s="4" t="n">
        <f aca="false">INDEX('Master List'!$F$2:$F$2594,O3901)</f>
        <v>7</v>
      </c>
      <c r="M3901" s="4" t="n">
        <f aca="false">INDEX('Master List'!$G$2:$G$2594,O3901)</f>
        <v>0</v>
      </c>
      <c r="N3901" s="4" t="str">
        <f aca="false">IF(K3901="","",A3901)</f>
        <v/>
      </c>
      <c r="O3901" s="4" t="n">
        <v>1749</v>
      </c>
      <c r="P3901" s="4" t="n">
        <f aca="false">IF(A3901=A3900,P3900+1-M3900,0)</f>
        <v>7</v>
      </c>
    </row>
    <row r="3902" customFormat="false" ht="15" hidden="false" customHeight="false" outlineLevel="0" collapsed="false">
      <c r="A3902" s="34" t="s">
        <v>4435</v>
      </c>
      <c r="B3902" s="34" t="s">
        <v>57</v>
      </c>
      <c r="C3902" s="34" t="s">
        <v>125</v>
      </c>
      <c r="D3902" s="34" t="s">
        <v>4436</v>
      </c>
      <c r="E3902" s="4" t="n">
        <v>9</v>
      </c>
      <c r="F3902" s="4" t="s">
        <v>213</v>
      </c>
      <c r="G3902" s="4" t="s">
        <v>993</v>
      </c>
      <c r="H3902" s="4" t="n">
        <v>1967</v>
      </c>
      <c r="I3902" s="4" t="s">
        <v>215</v>
      </c>
      <c r="J3902" s="25" t="str">
        <f aca="false">IF(M3902=1,"✓","")</f>
        <v/>
      </c>
      <c r="K3902" s="4" t="str">
        <f aca="false">IF(AND(M3902=0,P3902=0),"▶ NEXT","")</f>
        <v/>
      </c>
      <c r="L3902" s="4" t="n">
        <f aca="false">INDEX('Master List'!$F$2:$F$2594,O3902)</f>
        <v>2</v>
      </c>
      <c r="M3902" s="4" t="n">
        <f aca="false">INDEX('Master List'!$G$2:$G$2594,O3902)</f>
        <v>0</v>
      </c>
      <c r="N3902" s="4" t="str">
        <f aca="false">IF(K3902="","",A3902)</f>
        <v/>
      </c>
      <c r="O3902" s="4" t="n">
        <v>1543</v>
      </c>
      <c r="P3902" s="4" t="n">
        <f aca="false">IF(A3902=A3901,P3901+1-M3901,0)</f>
        <v>8</v>
      </c>
    </row>
    <row r="3903" customFormat="false" ht="15" hidden="false" customHeight="false" outlineLevel="0" collapsed="false">
      <c r="A3903" s="34" t="s">
        <v>4435</v>
      </c>
      <c r="B3903" s="34" t="s">
        <v>57</v>
      </c>
      <c r="C3903" s="34" t="s">
        <v>125</v>
      </c>
      <c r="D3903" s="34" t="s">
        <v>4436</v>
      </c>
      <c r="E3903" s="4" t="n">
        <v>10</v>
      </c>
      <c r="F3903" s="4" t="s">
        <v>213</v>
      </c>
      <c r="G3903" s="4" t="s">
        <v>465</v>
      </c>
      <c r="H3903" s="4" t="n">
        <v>1964</v>
      </c>
      <c r="I3903" s="4" t="s">
        <v>466</v>
      </c>
      <c r="J3903" s="25" t="str">
        <f aca="false">IF(M3903=1,"✓","")</f>
        <v/>
      </c>
      <c r="K3903" s="4" t="str">
        <f aca="false">IF(AND(M3903=0,P3903=0),"▶ NEXT","")</f>
        <v/>
      </c>
      <c r="L3903" s="4" t="n">
        <f aca="false">INDEX('Master List'!$F$2:$F$2594,O3903)</f>
        <v>3</v>
      </c>
      <c r="M3903" s="4" t="n">
        <f aca="false">INDEX('Master List'!$G$2:$G$2594,O3903)</f>
        <v>0</v>
      </c>
      <c r="N3903" s="4" t="str">
        <f aca="false">IF(K3903="","",A3903)</f>
        <v/>
      </c>
      <c r="O3903" s="4" t="n">
        <v>2543</v>
      </c>
      <c r="P3903" s="4" t="n">
        <f aca="false">IF(A3903=A3902,P3902+1-M3902,0)</f>
        <v>9</v>
      </c>
    </row>
    <row r="3904" customFormat="false" ht="15" hidden="false" customHeight="false" outlineLevel="0" collapsed="false">
      <c r="A3904" s="34" t="s">
        <v>4437</v>
      </c>
      <c r="B3904" s="34" t="s">
        <v>57</v>
      </c>
      <c r="C3904" s="34" t="s">
        <v>126</v>
      </c>
      <c r="D3904" s="34" t="s">
        <v>4438</v>
      </c>
      <c r="E3904" s="4" t="n">
        <v>1</v>
      </c>
      <c r="F3904" s="4" t="s">
        <v>144</v>
      </c>
      <c r="G3904" s="7" t="s">
        <v>155</v>
      </c>
      <c r="H3904" s="4" t="n">
        <v>1954</v>
      </c>
      <c r="I3904" s="4" t="s">
        <v>156</v>
      </c>
      <c r="J3904" s="25" t="str">
        <f aca="false">IF(M3904=1,"✓","")</f>
        <v/>
      </c>
      <c r="K3904" s="4" t="str">
        <f aca="false">IF(AND(M3904=0,P3904=0),"▶ NEXT","")</f>
        <v>▶ NEXT</v>
      </c>
      <c r="L3904" s="4" t="n">
        <f aca="false">INDEX('Master List'!$F$2:$F$2594,O3904)</f>
        <v>8</v>
      </c>
      <c r="M3904" s="4" t="n">
        <f aca="false">INDEX('Master List'!$G$2:$G$2594,O3904)</f>
        <v>0</v>
      </c>
      <c r="N3904" s="4" t="str">
        <f aca="false">IF(K3904="","",A3904)</f>
        <v>N307</v>
      </c>
      <c r="O3904" s="4" t="n">
        <v>2021</v>
      </c>
      <c r="P3904" s="4" t="n">
        <f aca="false">IF(A3904=A3903,P3903+1-M3903,0)</f>
        <v>0</v>
      </c>
    </row>
    <row r="3905" customFormat="false" ht="15" hidden="false" customHeight="false" outlineLevel="0" collapsed="false">
      <c r="A3905" s="34" t="s">
        <v>4437</v>
      </c>
      <c r="B3905" s="34" t="s">
        <v>57</v>
      </c>
      <c r="C3905" s="34" t="s">
        <v>126</v>
      </c>
      <c r="D3905" s="34" t="s">
        <v>4438</v>
      </c>
      <c r="E3905" s="4" t="n">
        <v>2</v>
      </c>
      <c r="F3905" s="4" t="s">
        <v>144</v>
      </c>
      <c r="G3905" s="7" t="s">
        <v>149</v>
      </c>
      <c r="H3905" s="4" t="n">
        <v>1959</v>
      </c>
      <c r="I3905" s="4" t="s">
        <v>150</v>
      </c>
      <c r="J3905" s="25" t="str">
        <f aca="false">IF(M3905=1,"✓","")</f>
        <v/>
      </c>
      <c r="K3905" s="4" t="str">
        <f aca="false">IF(AND(M3905=0,P3905=0),"▶ NEXT","")</f>
        <v/>
      </c>
      <c r="L3905" s="4" t="n">
        <f aca="false">INDEX('Master List'!$F$2:$F$2594,O3905)</f>
        <v>8</v>
      </c>
      <c r="M3905" s="4" t="n">
        <f aca="false">INDEX('Master List'!$G$2:$G$2594,O3905)</f>
        <v>0</v>
      </c>
      <c r="N3905" s="4" t="str">
        <f aca="false">IF(K3905="","",A3905)</f>
        <v/>
      </c>
      <c r="O3905" s="4" t="n">
        <v>25</v>
      </c>
      <c r="P3905" s="4" t="n">
        <f aca="false">IF(A3905=A3904,P3904+1-M3904,0)</f>
        <v>1</v>
      </c>
    </row>
    <row r="3906" customFormat="false" ht="15" hidden="false" customHeight="false" outlineLevel="0" collapsed="false">
      <c r="A3906" s="34" t="s">
        <v>4437</v>
      </c>
      <c r="B3906" s="34" t="s">
        <v>57</v>
      </c>
      <c r="C3906" s="34" t="s">
        <v>126</v>
      </c>
      <c r="D3906" s="34" t="s">
        <v>4438</v>
      </c>
      <c r="E3906" s="4" t="n">
        <v>3</v>
      </c>
      <c r="F3906" s="4" t="s">
        <v>213</v>
      </c>
      <c r="G3906" s="4" t="s">
        <v>145</v>
      </c>
      <c r="H3906" s="4" t="n">
        <v>1953</v>
      </c>
      <c r="I3906" s="4" t="s">
        <v>146</v>
      </c>
      <c r="J3906" s="25" t="str">
        <f aca="false">IF(M3906=1,"✓","")</f>
        <v/>
      </c>
      <c r="K3906" s="4" t="str">
        <f aca="false">IF(AND(M3906=0,P3906=0),"▶ NEXT","")</f>
        <v/>
      </c>
      <c r="L3906" s="4" t="n">
        <f aca="false">INDEX('Master List'!$F$2:$F$2594,O3906)</f>
        <v>10</v>
      </c>
      <c r="M3906" s="4" t="n">
        <f aca="false">INDEX('Master List'!$G$2:$G$2594,O3906)</f>
        <v>0</v>
      </c>
      <c r="N3906" s="4" t="str">
        <f aca="false">IF(K3906="","",A3906)</f>
        <v/>
      </c>
      <c r="O3906" s="4" t="n">
        <v>2328</v>
      </c>
      <c r="P3906" s="4" t="n">
        <f aca="false">IF(A3906=A3905,P3905+1-M3905,0)</f>
        <v>2</v>
      </c>
    </row>
    <row r="3907" customFormat="false" ht="15" hidden="false" customHeight="false" outlineLevel="0" collapsed="false">
      <c r="A3907" s="34" t="s">
        <v>4437</v>
      </c>
      <c r="B3907" s="34" t="s">
        <v>57</v>
      </c>
      <c r="C3907" s="34" t="s">
        <v>126</v>
      </c>
      <c r="D3907" s="34" t="s">
        <v>4438</v>
      </c>
      <c r="E3907" s="4" t="n">
        <v>4</v>
      </c>
      <c r="F3907" s="4" t="s">
        <v>213</v>
      </c>
      <c r="G3907" s="4" t="s">
        <v>198</v>
      </c>
      <c r="H3907" s="4" t="n">
        <v>1957</v>
      </c>
      <c r="I3907" s="4" t="s">
        <v>170</v>
      </c>
      <c r="J3907" s="25" t="str">
        <f aca="false">IF(M3907=1,"✓","")</f>
        <v>✓</v>
      </c>
      <c r="K3907" s="4" t="str">
        <f aca="false">IF(AND(M3907=0,P3907=0),"▶ NEXT","")</f>
        <v/>
      </c>
      <c r="L3907" s="4" t="n">
        <f aca="false">INDEX('Master List'!$F$2:$F$2594,O3907)</f>
        <v>6</v>
      </c>
      <c r="M3907" s="4" t="n">
        <f aca="false">INDEX('Master List'!$G$2:$G$2594,O3907)</f>
        <v>1</v>
      </c>
      <c r="N3907" s="4" t="str">
        <f aca="false">IF(K3907="","",A3907)</f>
        <v/>
      </c>
      <c r="O3907" s="4" t="n">
        <v>2025</v>
      </c>
      <c r="P3907" s="4" t="n">
        <f aca="false">IF(A3907=A3906,P3906+1-M3906,0)</f>
        <v>3</v>
      </c>
    </row>
    <row r="3908" customFormat="false" ht="15" hidden="false" customHeight="false" outlineLevel="0" collapsed="false">
      <c r="A3908" s="34" t="s">
        <v>4437</v>
      </c>
      <c r="B3908" s="34" t="s">
        <v>57</v>
      </c>
      <c r="C3908" s="34" t="s">
        <v>126</v>
      </c>
      <c r="D3908" s="34" t="s">
        <v>4438</v>
      </c>
      <c r="E3908" s="4" t="n">
        <v>5</v>
      </c>
      <c r="F3908" s="4" t="s">
        <v>213</v>
      </c>
      <c r="G3908" s="4" t="s">
        <v>151</v>
      </c>
      <c r="H3908" s="4" t="n">
        <v>1960</v>
      </c>
      <c r="I3908" s="4" t="s">
        <v>152</v>
      </c>
      <c r="J3908" s="25" t="str">
        <f aca="false">IF(M3908=1,"✓","")</f>
        <v/>
      </c>
      <c r="K3908" s="4" t="str">
        <f aca="false">IF(AND(M3908=0,P3908=0),"▶ NEXT","")</f>
        <v/>
      </c>
      <c r="L3908" s="4" t="n">
        <f aca="false">INDEX('Master List'!$F$2:$F$2594,O3908)</f>
        <v>9</v>
      </c>
      <c r="M3908" s="4" t="n">
        <f aca="false">INDEX('Master List'!$G$2:$G$2594,O3908)</f>
        <v>0</v>
      </c>
      <c r="N3908" s="4" t="str">
        <f aca="false">IF(K3908="","",A3908)</f>
        <v/>
      </c>
      <c r="O3908" s="4" t="n">
        <v>342</v>
      </c>
      <c r="P3908" s="4" t="n">
        <f aca="false">IF(A3908=A3907,P3907+1-M3907,0)</f>
        <v>3</v>
      </c>
    </row>
    <row r="3909" customFormat="false" ht="15" hidden="false" customHeight="false" outlineLevel="0" collapsed="false">
      <c r="A3909" s="34" t="s">
        <v>4437</v>
      </c>
      <c r="B3909" s="34" t="s">
        <v>57</v>
      </c>
      <c r="C3909" s="34" t="s">
        <v>126</v>
      </c>
      <c r="D3909" s="34" t="s">
        <v>4438</v>
      </c>
      <c r="E3909" s="4" t="n">
        <v>6</v>
      </c>
      <c r="F3909" s="4" t="s">
        <v>213</v>
      </c>
      <c r="G3909" s="4" t="s">
        <v>336</v>
      </c>
      <c r="H3909" s="4" t="n">
        <v>1966</v>
      </c>
      <c r="I3909" s="4" t="s">
        <v>215</v>
      </c>
      <c r="J3909" s="25" t="str">
        <f aca="false">IF(M3909=1,"✓","")</f>
        <v/>
      </c>
      <c r="K3909" s="4" t="str">
        <f aca="false">IF(AND(M3909=0,P3909=0),"▶ NEXT","")</f>
        <v/>
      </c>
      <c r="L3909" s="4" t="n">
        <f aca="false">INDEX('Master List'!$F$2:$F$2594,O3909)</f>
        <v>5</v>
      </c>
      <c r="M3909" s="4" t="n">
        <f aca="false">INDEX('Master List'!$G$2:$G$2594,O3909)</f>
        <v>0</v>
      </c>
      <c r="N3909" s="4" t="str">
        <f aca="false">IF(K3909="","",A3909)</f>
        <v/>
      </c>
      <c r="O3909" s="4" t="n">
        <v>149</v>
      </c>
      <c r="P3909" s="4" t="n">
        <f aca="false">IF(A3909=A3908,P3908+1-M3908,0)</f>
        <v>4</v>
      </c>
    </row>
    <row r="3910" customFormat="false" ht="15" hidden="false" customHeight="false" outlineLevel="0" collapsed="false">
      <c r="A3910" s="34" t="s">
        <v>4437</v>
      </c>
      <c r="B3910" s="34" t="s">
        <v>57</v>
      </c>
      <c r="C3910" s="34" t="s">
        <v>126</v>
      </c>
      <c r="D3910" s="34" t="s">
        <v>4438</v>
      </c>
      <c r="E3910" s="4" t="n">
        <v>7</v>
      </c>
      <c r="F3910" s="4" t="s">
        <v>213</v>
      </c>
      <c r="G3910" s="4" t="s">
        <v>540</v>
      </c>
      <c r="H3910" s="4" t="n">
        <v>1962</v>
      </c>
      <c r="I3910" s="4" t="s">
        <v>541</v>
      </c>
      <c r="J3910" s="25" t="str">
        <f aca="false">IF(M3910=1,"✓","")</f>
        <v/>
      </c>
      <c r="K3910" s="4" t="str">
        <f aca="false">IF(AND(M3910=0,P3910=0),"▶ NEXT","")</f>
        <v/>
      </c>
      <c r="L3910" s="4" t="n">
        <f aca="false">INDEX('Master List'!$F$2:$F$2594,O3910)</f>
        <v>3</v>
      </c>
      <c r="M3910" s="4" t="n">
        <f aca="false">INDEX('Master List'!$G$2:$G$2594,O3910)</f>
        <v>0</v>
      </c>
      <c r="N3910" s="4" t="str">
        <f aca="false">IF(K3910="","",A3910)</f>
        <v/>
      </c>
      <c r="O3910" s="4" t="n">
        <v>991</v>
      </c>
      <c r="P3910" s="4" t="n">
        <f aca="false">IF(A3910=A3909,P3909+1-M3909,0)</f>
        <v>5</v>
      </c>
    </row>
    <row r="3911" customFormat="false" ht="15" hidden="false" customHeight="false" outlineLevel="0" collapsed="false">
      <c r="A3911" s="34" t="s">
        <v>4437</v>
      </c>
      <c r="B3911" s="34" t="s">
        <v>57</v>
      </c>
      <c r="C3911" s="34" t="s">
        <v>126</v>
      </c>
      <c r="D3911" s="34" t="s">
        <v>4438</v>
      </c>
      <c r="E3911" s="4" t="n">
        <v>8</v>
      </c>
      <c r="F3911" s="4" t="s">
        <v>213</v>
      </c>
      <c r="G3911" s="4" t="s">
        <v>364</v>
      </c>
      <c r="H3911" s="4" t="n">
        <v>1984</v>
      </c>
      <c r="I3911" s="4" t="s">
        <v>365</v>
      </c>
      <c r="J3911" s="25" t="str">
        <f aca="false">IF(M3911=1,"✓","")</f>
        <v>✓</v>
      </c>
      <c r="K3911" s="4" t="str">
        <f aca="false">IF(AND(M3911=0,P3911=0),"▶ NEXT","")</f>
        <v/>
      </c>
      <c r="L3911" s="4" t="n">
        <f aca="false">INDEX('Master List'!$F$2:$F$2594,O3911)</f>
        <v>4</v>
      </c>
      <c r="M3911" s="4" t="n">
        <f aca="false">INDEX('Master List'!$G$2:$G$2594,O3911)</f>
        <v>1</v>
      </c>
      <c r="N3911" s="4" t="str">
        <f aca="false">IF(K3911="","",A3911)</f>
        <v/>
      </c>
      <c r="O3911" s="4" t="n">
        <v>1724</v>
      </c>
      <c r="P3911" s="4" t="n">
        <f aca="false">IF(A3911=A3910,P3910+1-M3910,0)</f>
        <v>6</v>
      </c>
    </row>
    <row r="3912" customFormat="false" ht="15" hidden="false" customHeight="false" outlineLevel="0" collapsed="false">
      <c r="A3912" s="34" t="s">
        <v>4437</v>
      </c>
      <c r="B3912" s="34" t="s">
        <v>57</v>
      </c>
      <c r="C3912" s="34" t="s">
        <v>126</v>
      </c>
      <c r="D3912" s="34" t="s">
        <v>4438</v>
      </c>
      <c r="E3912" s="4" t="n">
        <v>9</v>
      </c>
      <c r="F3912" s="4" t="s">
        <v>213</v>
      </c>
      <c r="G3912" s="4" t="s">
        <v>366</v>
      </c>
      <c r="H3912" s="4" t="n">
        <v>1985</v>
      </c>
      <c r="I3912" s="4" t="s">
        <v>367</v>
      </c>
      <c r="J3912" s="25" t="str">
        <f aca="false">IF(M3912=1,"✓","")</f>
        <v/>
      </c>
      <c r="K3912" s="4" t="str">
        <f aca="false">IF(AND(M3912=0,P3912=0),"▶ NEXT","")</f>
        <v/>
      </c>
      <c r="L3912" s="4" t="n">
        <f aca="false">INDEX('Master List'!$F$2:$F$2594,O3912)</f>
        <v>4</v>
      </c>
      <c r="M3912" s="4" t="n">
        <f aca="false">INDEX('Master List'!$G$2:$G$2594,O3912)</f>
        <v>0</v>
      </c>
      <c r="N3912" s="4" t="str">
        <f aca="false">IF(K3912="","",A3912)</f>
        <v/>
      </c>
      <c r="O3912" s="4" t="n">
        <v>337</v>
      </c>
      <c r="P3912" s="4" t="n">
        <f aca="false">IF(A3912=A3911,P3911+1-M3911,0)</f>
        <v>6</v>
      </c>
    </row>
    <row r="3913" customFormat="false" ht="15" hidden="false" customHeight="false" outlineLevel="0" collapsed="false">
      <c r="A3913" s="34" t="s">
        <v>4437</v>
      </c>
      <c r="B3913" s="34" t="s">
        <v>57</v>
      </c>
      <c r="C3913" s="34" t="s">
        <v>126</v>
      </c>
      <c r="D3913" s="34" t="s">
        <v>4438</v>
      </c>
      <c r="E3913" s="4" t="n">
        <v>10</v>
      </c>
      <c r="F3913" s="4" t="s">
        <v>213</v>
      </c>
      <c r="G3913" s="4" t="s">
        <v>147</v>
      </c>
      <c r="H3913" s="4" t="n">
        <v>1989</v>
      </c>
      <c r="I3913" s="4" t="s">
        <v>148</v>
      </c>
      <c r="J3913" s="25" t="str">
        <f aca="false">IF(M3913=1,"✓","")</f>
        <v>✓</v>
      </c>
      <c r="K3913" s="4" t="str">
        <f aca="false">IF(AND(M3913=0,P3913=0),"▶ NEXT","")</f>
        <v/>
      </c>
      <c r="L3913" s="4" t="n">
        <f aca="false">INDEX('Master List'!$F$2:$F$2594,O3913)</f>
        <v>11</v>
      </c>
      <c r="M3913" s="4" t="n">
        <f aca="false">INDEX('Master List'!$G$2:$G$2594,O3913)</f>
        <v>1</v>
      </c>
      <c r="N3913" s="4" t="str">
        <f aca="false">IF(K3913="","",A3913)</f>
        <v/>
      </c>
      <c r="O3913" s="4" t="n">
        <v>646</v>
      </c>
      <c r="P3913" s="4" t="n">
        <f aca="false">IF(A3913=A3912,P3912+1-M3912,0)</f>
        <v>7</v>
      </c>
    </row>
    <row r="3914" customFormat="false" ht="15" hidden="false" customHeight="false" outlineLevel="0" collapsed="false">
      <c r="A3914" s="34" t="s">
        <v>4437</v>
      </c>
      <c r="B3914" s="34" t="s">
        <v>57</v>
      </c>
      <c r="C3914" s="34" t="s">
        <v>126</v>
      </c>
      <c r="D3914" s="34" t="s">
        <v>4438</v>
      </c>
      <c r="E3914" s="4" t="n">
        <v>11</v>
      </c>
      <c r="F3914" s="4" t="s">
        <v>213</v>
      </c>
      <c r="G3914" s="4" t="s">
        <v>202</v>
      </c>
      <c r="H3914" s="4" t="n">
        <v>1990</v>
      </c>
      <c r="I3914" s="4" t="s">
        <v>203</v>
      </c>
      <c r="J3914" s="25" t="str">
        <f aca="false">IF(M3914=1,"✓","")</f>
        <v/>
      </c>
      <c r="K3914" s="4" t="str">
        <f aca="false">IF(AND(M3914=0,P3914=0),"▶ NEXT","")</f>
        <v/>
      </c>
      <c r="L3914" s="4" t="n">
        <f aca="false">INDEX('Master List'!$F$2:$F$2594,O3914)</f>
        <v>7</v>
      </c>
      <c r="M3914" s="4" t="n">
        <f aca="false">INDEX('Master List'!$G$2:$G$2594,O3914)</f>
        <v>0</v>
      </c>
      <c r="N3914" s="4" t="str">
        <f aca="false">IF(K3914="","",A3914)</f>
        <v/>
      </c>
      <c r="O3914" s="4" t="n">
        <v>480</v>
      </c>
      <c r="P3914" s="4" t="n">
        <f aca="false">IF(A3914=A3913,P3913+1-M3913,0)</f>
        <v>7</v>
      </c>
    </row>
    <row r="3915" customFormat="false" ht="15" hidden="false" customHeight="false" outlineLevel="0" collapsed="false">
      <c r="A3915" s="34" t="s">
        <v>4437</v>
      </c>
      <c r="B3915" s="34" t="s">
        <v>57</v>
      </c>
      <c r="C3915" s="34" t="s">
        <v>126</v>
      </c>
      <c r="D3915" s="34" t="s">
        <v>4438</v>
      </c>
      <c r="E3915" s="4" t="n">
        <v>12</v>
      </c>
      <c r="F3915" s="4" t="s">
        <v>213</v>
      </c>
      <c r="G3915" s="4" t="s">
        <v>192</v>
      </c>
      <c r="H3915" s="4" t="n">
        <v>1994</v>
      </c>
      <c r="I3915" s="4" t="s">
        <v>193</v>
      </c>
      <c r="J3915" s="25" t="str">
        <f aca="false">IF(M3915=1,"✓","")</f>
        <v/>
      </c>
      <c r="K3915" s="4" t="str">
        <f aca="false">IF(AND(M3915=0,P3915=0),"▶ NEXT","")</f>
        <v/>
      </c>
      <c r="L3915" s="4" t="n">
        <f aca="false">INDEX('Master List'!$F$2:$F$2594,O3915)</f>
        <v>7</v>
      </c>
      <c r="M3915" s="4" t="n">
        <f aca="false">INDEX('Master List'!$G$2:$G$2594,O3915)</f>
        <v>0</v>
      </c>
      <c r="N3915" s="4" t="str">
        <f aca="false">IF(K3915="","",A3915)</f>
        <v/>
      </c>
      <c r="O3915" s="4" t="n">
        <v>458</v>
      </c>
      <c r="P3915" s="4" t="n">
        <f aca="false">IF(A3915=A3914,P3914+1-M3914,0)</f>
        <v>8</v>
      </c>
    </row>
    <row r="3916" customFormat="false" ht="15" hidden="false" customHeight="false" outlineLevel="0" collapsed="false">
      <c r="A3916" s="34" t="s">
        <v>4437</v>
      </c>
      <c r="B3916" s="34" t="s">
        <v>57</v>
      </c>
      <c r="C3916" s="34" t="s">
        <v>126</v>
      </c>
      <c r="D3916" s="34" t="s">
        <v>4438</v>
      </c>
      <c r="E3916" s="4" t="n">
        <v>13</v>
      </c>
      <c r="F3916" s="4" t="s">
        <v>213</v>
      </c>
      <c r="G3916" s="4" t="s">
        <v>319</v>
      </c>
      <c r="H3916" s="4" t="n">
        <v>1993</v>
      </c>
      <c r="I3916" s="4" t="s">
        <v>320</v>
      </c>
      <c r="J3916" s="25" t="str">
        <f aca="false">IF(M3916=1,"✓","")</f>
        <v>✓</v>
      </c>
      <c r="K3916" s="4" t="str">
        <f aca="false">IF(AND(M3916=0,P3916=0),"▶ NEXT","")</f>
        <v/>
      </c>
      <c r="L3916" s="4" t="n">
        <f aca="false">INDEX('Master List'!$F$2:$F$2594,O3916)</f>
        <v>4</v>
      </c>
      <c r="M3916" s="4" t="n">
        <f aca="false">INDEX('Master List'!$G$2:$G$2594,O3916)</f>
        <v>1</v>
      </c>
      <c r="N3916" s="4" t="str">
        <f aca="false">IF(K3916="","",A3916)</f>
        <v/>
      </c>
      <c r="O3916" s="4" t="n">
        <v>582</v>
      </c>
      <c r="P3916" s="4" t="n">
        <f aca="false">IF(A3916=A3915,P3915+1-M3915,0)</f>
        <v>9</v>
      </c>
    </row>
    <row r="3917" customFormat="false" ht="15" hidden="false" customHeight="false" outlineLevel="0" collapsed="false">
      <c r="A3917" s="34" t="s">
        <v>4437</v>
      </c>
      <c r="B3917" s="34" t="s">
        <v>57</v>
      </c>
      <c r="C3917" s="34" t="s">
        <v>126</v>
      </c>
      <c r="D3917" s="34" t="s">
        <v>4438</v>
      </c>
      <c r="E3917" s="4" t="n">
        <v>14</v>
      </c>
      <c r="F3917" s="4" t="s">
        <v>213</v>
      </c>
      <c r="G3917" s="4" t="s">
        <v>625</v>
      </c>
      <c r="H3917" s="4" t="n">
        <v>1998</v>
      </c>
      <c r="I3917" s="4" t="s">
        <v>361</v>
      </c>
      <c r="J3917" s="25" t="str">
        <f aca="false">IF(M3917=1,"✓","")</f>
        <v>✓</v>
      </c>
      <c r="K3917" s="4" t="str">
        <f aca="false">IF(AND(M3917=0,P3917=0),"▶ NEXT","")</f>
        <v/>
      </c>
      <c r="L3917" s="4" t="n">
        <f aca="false">INDEX('Master List'!$F$2:$F$2594,O3917)</f>
        <v>3</v>
      </c>
      <c r="M3917" s="4" t="n">
        <f aca="false">INDEX('Master List'!$G$2:$G$2594,O3917)</f>
        <v>1</v>
      </c>
      <c r="N3917" s="4" t="str">
        <f aca="false">IF(K3917="","",A3917)</f>
        <v/>
      </c>
      <c r="O3917" s="4" t="n">
        <v>2277</v>
      </c>
      <c r="P3917" s="4" t="n">
        <f aca="false">IF(A3917=A3916,P3916+1-M3916,0)</f>
        <v>9</v>
      </c>
    </row>
    <row r="3918" customFormat="false" ht="15" hidden="false" customHeight="false" outlineLevel="0" collapsed="false">
      <c r="A3918" s="34" t="s">
        <v>4437</v>
      </c>
      <c r="B3918" s="34" t="s">
        <v>57</v>
      </c>
      <c r="C3918" s="34" t="s">
        <v>126</v>
      </c>
      <c r="D3918" s="34" t="s">
        <v>4438</v>
      </c>
      <c r="E3918" s="4" t="n">
        <v>15</v>
      </c>
      <c r="F3918" s="4" t="s">
        <v>213</v>
      </c>
      <c r="G3918" s="4" t="s">
        <v>273</v>
      </c>
      <c r="H3918" s="4" t="n">
        <v>1998</v>
      </c>
      <c r="I3918" s="4" t="s">
        <v>274</v>
      </c>
      <c r="J3918" s="25" t="str">
        <f aca="false">IF(M3918=1,"✓","")</f>
        <v>✓</v>
      </c>
      <c r="K3918" s="4" t="str">
        <f aca="false">IF(AND(M3918=0,P3918=0),"▶ NEXT","")</f>
        <v/>
      </c>
      <c r="L3918" s="4" t="n">
        <f aca="false">INDEX('Master List'!$F$2:$F$2594,O3918)</f>
        <v>5</v>
      </c>
      <c r="M3918" s="4" t="n">
        <f aca="false">INDEX('Master List'!$G$2:$G$2594,O3918)</f>
        <v>1</v>
      </c>
      <c r="N3918" s="4" t="str">
        <f aca="false">IF(K3918="","",A3918)</f>
        <v/>
      </c>
      <c r="O3918" s="4" t="n">
        <v>1948</v>
      </c>
      <c r="P3918" s="4" t="n">
        <f aca="false">IF(A3918=A3917,P3917+1-M3917,0)</f>
        <v>9</v>
      </c>
    </row>
    <row r="3919" customFormat="false" ht="15" hidden="false" customHeight="false" outlineLevel="0" collapsed="false">
      <c r="A3919" s="34" t="s">
        <v>4437</v>
      </c>
      <c r="B3919" s="34" t="s">
        <v>57</v>
      </c>
      <c r="C3919" s="34" t="s">
        <v>126</v>
      </c>
      <c r="D3919" s="34" t="s">
        <v>4438</v>
      </c>
      <c r="E3919" s="4" t="n">
        <v>16</v>
      </c>
      <c r="F3919" s="4" t="s">
        <v>213</v>
      </c>
      <c r="G3919" s="4" t="s">
        <v>222</v>
      </c>
      <c r="H3919" s="4" t="n">
        <v>2000</v>
      </c>
      <c r="I3919" s="4" t="s">
        <v>223</v>
      </c>
      <c r="J3919" s="25" t="str">
        <f aca="false">IF(M3919=1,"✓","")</f>
        <v/>
      </c>
      <c r="K3919" s="4" t="str">
        <f aca="false">IF(AND(M3919=0,P3919=0),"▶ NEXT","")</f>
        <v/>
      </c>
      <c r="L3919" s="4" t="n">
        <f aca="false">INDEX('Master List'!$F$2:$F$2594,O3919)</f>
        <v>6</v>
      </c>
      <c r="M3919" s="4" t="n">
        <f aca="false">INDEX('Master List'!$G$2:$G$2594,O3919)</f>
        <v>0</v>
      </c>
      <c r="N3919" s="4" t="str">
        <f aca="false">IF(K3919="","",A3919)</f>
        <v/>
      </c>
      <c r="O3919" s="4" t="n">
        <v>2569</v>
      </c>
      <c r="P3919" s="4" t="n">
        <f aca="false">IF(A3919=A3918,P3918+1-M3918,0)</f>
        <v>9</v>
      </c>
    </row>
    <row r="3920" customFormat="false" ht="15" hidden="false" customHeight="false" outlineLevel="0" collapsed="false">
      <c r="A3920" s="34" t="s">
        <v>4437</v>
      </c>
      <c r="B3920" s="34" t="s">
        <v>57</v>
      </c>
      <c r="C3920" s="34" t="s">
        <v>126</v>
      </c>
      <c r="D3920" s="34" t="s">
        <v>4438</v>
      </c>
      <c r="E3920" s="4" t="n">
        <v>17</v>
      </c>
      <c r="F3920" s="4" t="s">
        <v>213</v>
      </c>
      <c r="G3920" s="4" t="s">
        <v>153</v>
      </c>
      <c r="H3920" s="4" t="n">
        <v>2001</v>
      </c>
      <c r="I3920" s="4" t="s">
        <v>154</v>
      </c>
      <c r="J3920" s="25" t="str">
        <f aca="false">IF(M3920=1,"✓","")</f>
        <v>✓</v>
      </c>
      <c r="K3920" s="4" t="str">
        <f aca="false">IF(AND(M3920=0,P3920=0),"▶ NEXT","")</f>
        <v/>
      </c>
      <c r="L3920" s="4" t="n">
        <f aca="false">INDEX('Master List'!$F$2:$F$2594,O3920)</f>
        <v>9</v>
      </c>
      <c r="M3920" s="4" t="n">
        <f aca="false">INDEX('Master List'!$G$2:$G$2594,O3920)</f>
        <v>1</v>
      </c>
      <c r="N3920" s="4" t="str">
        <f aca="false">IF(K3920="","",A3920)</f>
        <v/>
      </c>
      <c r="O3920" s="4" t="n">
        <v>1555</v>
      </c>
      <c r="P3920" s="4" t="n">
        <f aca="false">IF(A3920=A3919,P3919+1-M3919,0)</f>
        <v>10</v>
      </c>
    </row>
    <row r="3921" customFormat="false" ht="15" hidden="false" customHeight="false" outlineLevel="0" collapsed="false">
      <c r="A3921" s="34" t="s">
        <v>4437</v>
      </c>
      <c r="B3921" s="34" t="s">
        <v>57</v>
      </c>
      <c r="C3921" s="34" t="s">
        <v>126</v>
      </c>
      <c r="D3921" s="34" t="s">
        <v>4438</v>
      </c>
      <c r="E3921" s="4" t="n">
        <v>18</v>
      </c>
      <c r="F3921" s="4" t="s">
        <v>213</v>
      </c>
      <c r="G3921" s="4" t="s">
        <v>184</v>
      </c>
      <c r="H3921" s="4" t="n">
        <v>1975</v>
      </c>
      <c r="I3921" s="4" t="s">
        <v>185</v>
      </c>
      <c r="J3921" s="25" t="str">
        <f aca="false">IF(M3921=1,"✓","")</f>
        <v/>
      </c>
      <c r="K3921" s="4" t="str">
        <f aca="false">IF(AND(M3921=0,P3921=0),"▶ NEXT","")</f>
        <v/>
      </c>
      <c r="L3921" s="4" t="n">
        <f aca="false">INDEX('Master List'!$F$2:$F$2594,O3921)</f>
        <v>8</v>
      </c>
      <c r="M3921" s="4" t="n">
        <f aca="false">INDEX('Master List'!$G$2:$G$2594,O3921)</f>
        <v>0</v>
      </c>
      <c r="N3921" s="4" t="str">
        <f aca="false">IF(K3921="","",A3921)</f>
        <v/>
      </c>
      <c r="O3921" s="4" t="n">
        <v>1201</v>
      </c>
      <c r="P3921" s="4" t="n">
        <f aca="false">IF(A3921=A3920,P3920+1-M3920,0)</f>
        <v>10</v>
      </c>
    </row>
    <row r="3922" customFormat="false" ht="15" hidden="false" customHeight="false" outlineLevel="0" collapsed="false">
      <c r="A3922" s="34" t="s">
        <v>4437</v>
      </c>
      <c r="B3922" s="34" t="s">
        <v>57</v>
      </c>
      <c r="C3922" s="34" t="s">
        <v>126</v>
      </c>
      <c r="D3922" s="34" t="s">
        <v>4438</v>
      </c>
      <c r="E3922" s="4" t="n">
        <v>19</v>
      </c>
      <c r="F3922" s="4" t="s">
        <v>213</v>
      </c>
      <c r="G3922" s="4" t="s">
        <v>261</v>
      </c>
      <c r="H3922" s="4" t="n">
        <v>1999</v>
      </c>
      <c r="I3922" s="4" t="s">
        <v>262</v>
      </c>
      <c r="J3922" s="25" t="str">
        <f aca="false">IF(M3922=1,"✓","")</f>
        <v/>
      </c>
      <c r="K3922" s="4" t="str">
        <f aca="false">IF(AND(M3922=0,P3922=0),"▶ NEXT","")</f>
        <v/>
      </c>
      <c r="L3922" s="4" t="n">
        <f aca="false">INDEX('Master List'!$F$2:$F$2594,O3922)</f>
        <v>5</v>
      </c>
      <c r="M3922" s="4" t="n">
        <f aca="false">INDEX('Master List'!$G$2:$G$2594,O3922)</f>
        <v>0</v>
      </c>
      <c r="N3922" s="4" t="str">
        <f aca="false">IF(K3922="","",A3922)</f>
        <v/>
      </c>
      <c r="O3922" s="4" t="n">
        <v>206</v>
      </c>
      <c r="P3922" s="4" t="n">
        <f aca="false">IF(A3922=A3921,P3921+1-M3921,0)</f>
        <v>11</v>
      </c>
    </row>
    <row r="3923" customFormat="false" ht="15" hidden="false" customHeight="false" outlineLevel="0" collapsed="false">
      <c r="A3923" s="34" t="s">
        <v>4437</v>
      </c>
      <c r="B3923" s="34" t="s">
        <v>57</v>
      </c>
      <c r="C3923" s="34" t="s">
        <v>126</v>
      </c>
      <c r="D3923" s="34" t="s">
        <v>4438</v>
      </c>
      <c r="E3923" s="4" t="n">
        <v>20</v>
      </c>
      <c r="F3923" s="4" t="s">
        <v>1327</v>
      </c>
      <c r="G3923" s="4" t="s">
        <v>711</v>
      </c>
      <c r="H3923" s="4" t="n">
        <v>1982</v>
      </c>
      <c r="I3923" s="4" t="s">
        <v>170</v>
      </c>
      <c r="J3923" s="25" t="str">
        <f aca="false">IF(M3923=1,"✓","")</f>
        <v/>
      </c>
      <c r="K3923" s="4" t="str">
        <f aca="false">IF(AND(M3923=0,P3923=0),"▶ NEXT","")</f>
        <v/>
      </c>
      <c r="L3923" s="4" t="n">
        <f aca="false">INDEX('Master List'!$F$2:$F$2594,O3923)</f>
        <v>3</v>
      </c>
      <c r="M3923" s="4" t="n">
        <f aca="false">INDEX('Master List'!$G$2:$G$2594,O3923)</f>
        <v>0</v>
      </c>
      <c r="N3923" s="4" t="str">
        <f aca="false">IF(K3923="","",A3923)</f>
        <v/>
      </c>
      <c r="O3923" s="4" t="n">
        <v>780</v>
      </c>
      <c r="P3923" s="4" t="n">
        <f aca="false">IF(A3923=A3922,P3922+1-M3922,0)</f>
        <v>12</v>
      </c>
    </row>
    <row r="3924" customFormat="false" ht="15" hidden="false" customHeight="false" outlineLevel="0" collapsed="false">
      <c r="A3924" s="34" t="s">
        <v>4437</v>
      </c>
      <c r="B3924" s="34" t="s">
        <v>57</v>
      </c>
      <c r="C3924" s="34" t="s">
        <v>126</v>
      </c>
      <c r="D3924" s="34" t="s">
        <v>4438</v>
      </c>
      <c r="E3924" s="4" t="n">
        <v>21</v>
      </c>
      <c r="F3924" s="4" t="s">
        <v>1327</v>
      </c>
      <c r="G3924" s="4" t="s">
        <v>315</v>
      </c>
      <c r="H3924" s="4" t="n">
        <v>1983</v>
      </c>
      <c r="I3924" s="4" t="s">
        <v>316</v>
      </c>
      <c r="J3924" s="25" t="str">
        <f aca="false">IF(M3924=1,"✓","")</f>
        <v>✓</v>
      </c>
      <c r="K3924" s="4" t="str">
        <f aca="false">IF(AND(M3924=0,P3924=0),"▶ NEXT","")</f>
        <v/>
      </c>
      <c r="L3924" s="4" t="n">
        <f aca="false">INDEX('Master List'!$F$2:$F$2594,O3924)</f>
        <v>5</v>
      </c>
      <c r="M3924" s="4" t="n">
        <f aca="false">INDEX('Master List'!$G$2:$G$2594,O3924)</f>
        <v>1</v>
      </c>
      <c r="N3924" s="4" t="str">
        <f aca="false">IF(K3924="","",A3924)</f>
        <v/>
      </c>
      <c r="O3924" s="4" t="n">
        <v>2434</v>
      </c>
      <c r="P3924" s="4" t="n">
        <f aca="false">IF(A3924=A3923,P3923+1-M3923,0)</f>
        <v>13</v>
      </c>
    </row>
    <row r="3925" customFormat="false" ht="15" hidden="false" customHeight="false" outlineLevel="0" collapsed="false">
      <c r="A3925" s="34" t="s">
        <v>4439</v>
      </c>
      <c r="B3925" s="34" t="s">
        <v>57</v>
      </c>
      <c r="C3925" s="34" t="s">
        <v>126</v>
      </c>
      <c r="D3925" s="34" t="s">
        <v>4440</v>
      </c>
      <c r="E3925" s="4" t="n">
        <v>1</v>
      </c>
      <c r="F3925" s="4" t="s">
        <v>144</v>
      </c>
      <c r="G3925" s="7" t="s">
        <v>676</v>
      </c>
      <c r="H3925" s="4" t="n">
        <v>1975</v>
      </c>
      <c r="I3925" s="4" t="s">
        <v>677</v>
      </c>
      <c r="J3925" s="25" t="str">
        <f aca="false">IF(M3925=1,"✓","")</f>
        <v/>
      </c>
      <c r="K3925" s="4" t="str">
        <f aca="false">IF(AND(M3925=0,P3925=0),"▶ NEXT","")</f>
        <v>▶ NEXT</v>
      </c>
      <c r="L3925" s="4" t="n">
        <f aca="false">INDEX('Master List'!$F$2:$F$2594,O3925)</f>
        <v>2</v>
      </c>
      <c r="M3925" s="4" t="n">
        <f aca="false">INDEX('Master List'!$G$2:$G$2594,O3925)</f>
        <v>0</v>
      </c>
      <c r="N3925" s="4" t="str">
        <f aca="false">IF(K3925="","",A3925)</f>
        <v>N308</v>
      </c>
      <c r="O3925" s="4" t="n">
        <v>604</v>
      </c>
      <c r="P3925" s="4" t="n">
        <f aca="false">IF(A3925=A3924,P3924+1-M3924,0)</f>
        <v>0</v>
      </c>
    </row>
    <row r="3926" customFormat="false" ht="15" hidden="false" customHeight="false" outlineLevel="0" collapsed="false">
      <c r="A3926" s="34" t="s">
        <v>4439</v>
      </c>
      <c r="B3926" s="34" t="s">
        <v>57</v>
      </c>
      <c r="C3926" s="34" t="s">
        <v>126</v>
      </c>
      <c r="D3926" s="34" t="s">
        <v>4440</v>
      </c>
      <c r="E3926" s="4" t="n">
        <v>2</v>
      </c>
      <c r="F3926" s="4" t="s">
        <v>144</v>
      </c>
      <c r="G3926" s="7" t="s">
        <v>672</v>
      </c>
      <c r="H3926" s="4" t="n">
        <v>1973</v>
      </c>
      <c r="I3926" s="4" t="s">
        <v>673</v>
      </c>
      <c r="J3926" s="25" t="str">
        <f aca="false">IF(M3926=1,"✓","")</f>
        <v/>
      </c>
      <c r="K3926" s="4" t="str">
        <f aca="false">IF(AND(M3926=0,P3926=0),"▶ NEXT","")</f>
        <v/>
      </c>
      <c r="L3926" s="4" t="n">
        <f aca="false">INDEX('Master List'!$F$2:$F$2594,O3926)</f>
        <v>2</v>
      </c>
      <c r="M3926" s="4" t="n">
        <f aca="false">INDEX('Master List'!$G$2:$G$2594,O3926)</f>
        <v>0</v>
      </c>
      <c r="N3926" s="4" t="str">
        <f aca="false">IF(K3926="","",A3926)</f>
        <v/>
      </c>
      <c r="O3926" s="4" t="n">
        <v>198</v>
      </c>
      <c r="P3926" s="4" t="n">
        <f aca="false">IF(A3926=A3925,P3925+1-M3925,0)</f>
        <v>1</v>
      </c>
    </row>
    <row r="3927" customFormat="false" ht="15" hidden="false" customHeight="false" outlineLevel="0" collapsed="false">
      <c r="A3927" s="34" t="s">
        <v>4439</v>
      </c>
      <c r="B3927" s="34" t="s">
        <v>57</v>
      </c>
      <c r="C3927" s="34" t="s">
        <v>126</v>
      </c>
      <c r="D3927" s="34" t="s">
        <v>4440</v>
      </c>
      <c r="E3927" s="4" t="n">
        <v>3</v>
      </c>
      <c r="F3927" s="4" t="s">
        <v>213</v>
      </c>
      <c r="G3927" s="4" t="s">
        <v>784</v>
      </c>
      <c r="H3927" s="4" t="n">
        <v>1970</v>
      </c>
      <c r="I3927" s="4" t="s">
        <v>677</v>
      </c>
      <c r="J3927" s="25" t="str">
        <f aca="false">IF(M3927=1,"✓","")</f>
        <v/>
      </c>
      <c r="K3927" s="4" t="str">
        <f aca="false">IF(AND(M3927=0,P3927=0),"▶ NEXT","")</f>
        <v/>
      </c>
      <c r="L3927" s="4" t="n">
        <f aca="false">INDEX('Master List'!$F$2:$F$2594,O3927)</f>
        <v>2</v>
      </c>
      <c r="M3927" s="4" t="n">
        <f aca="false">INDEX('Master List'!$G$2:$G$2594,O3927)</f>
        <v>0</v>
      </c>
      <c r="N3927" s="4" t="str">
        <f aca="false">IF(K3927="","",A3927)</f>
        <v/>
      </c>
      <c r="O3927" s="4" t="n">
        <v>254</v>
      </c>
      <c r="P3927" s="4" t="n">
        <f aca="false">IF(A3927=A3926,P3926+1-M3926,0)</f>
        <v>2</v>
      </c>
    </row>
    <row r="3928" customFormat="false" ht="15" hidden="false" customHeight="false" outlineLevel="0" collapsed="false">
      <c r="A3928" s="34" t="s">
        <v>4439</v>
      </c>
      <c r="B3928" s="34" t="s">
        <v>57</v>
      </c>
      <c r="C3928" s="34" t="s">
        <v>126</v>
      </c>
      <c r="D3928" s="34" t="s">
        <v>4440</v>
      </c>
      <c r="E3928" s="4" t="n">
        <v>4</v>
      </c>
      <c r="F3928" s="4" t="s">
        <v>213</v>
      </c>
      <c r="G3928" s="4" t="s">
        <v>976</v>
      </c>
      <c r="H3928" s="4" t="n">
        <v>1964</v>
      </c>
      <c r="I3928" s="4" t="s">
        <v>761</v>
      </c>
      <c r="J3928" s="25" t="str">
        <f aca="false">IF(M3928=1,"✓","")</f>
        <v/>
      </c>
      <c r="K3928" s="4" t="str">
        <f aca="false">IF(AND(M3928=0,P3928=0),"▶ NEXT","")</f>
        <v/>
      </c>
      <c r="L3928" s="4" t="n">
        <f aca="false">INDEX('Master List'!$F$2:$F$2594,O3928)</f>
        <v>2</v>
      </c>
      <c r="M3928" s="4" t="n">
        <f aca="false">INDEX('Master List'!$G$2:$G$2594,O3928)</f>
        <v>0</v>
      </c>
      <c r="N3928" s="4" t="str">
        <f aca="false">IF(K3928="","",A3928)</f>
        <v/>
      </c>
      <c r="O3928" s="4" t="n">
        <v>289</v>
      </c>
      <c r="P3928" s="4" t="n">
        <f aca="false">IF(A3928=A3927,P3927+1-M3927,0)</f>
        <v>3</v>
      </c>
    </row>
    <row r="3929" customFormat="false" ht="15" hidden="false" customHeight="false" outlineLevel="0" collapsed="false">
      <c r="A3929" s="34" t="s">
        <v>4439</v>
      </c>
      <c r="B3929" s="34" t="s">
        <v>57</v>
      </c>
      <c r="C3929" s="34" t="s">
        <v>126</v>
      </c>
      <c r="D3929" s="34" t="s">
        <v>4440</v>
      </c>
      <c r="E3929" s="4" t="n">
        <v>5</v>
      </c>
      <c r="F3929" s="4" t="s">
        <v>213</v>
      </c>
      <c r="G3929" s="4" t="s">
        <v>760</v>
      </c>
      <c r="H3929" s="4" t="n">
        <v>1960</v>
      </c>
      <c r="I3929" s="4" t="s">
        <v>761</v>
      </c>
      <c r="J3929" s="25" t="str">
        <f aca="false">IF(M3929=1,"✓","")</f>
        <v/>
      </c>
      <c r="K3929" s="4" t="str">
        <f aca="false">IF(AND(M3929=0,P3929=0),"▶ NEXT","")</f>
        <v/>
      </c>
      <c r="L3929" s="4" t="n">
        <f aca="false">INDEX('Master List'!$F$2:$F$2594,O3929)</f>
        <v>2</v>
      </c>
      <c r="M3929" s="4" t="n">
        <f aca="false">INDEX('Master List'!$G$2:$G$2594,O3929)</f>
        <v>0</v>
      </c>
      <c r="N3929" s="4" t="str">
        <f aca="false">IF(K3929="","",A3929)</f>
        <v/>
      </c>
      <c r="O3929" s="4" t="n">
        <v>273</v>
      </c>
      <c r="P3929" s="4" t="n">
        <f aca="false">IF(A3929=A3928,P3928+1-M3928,0)</f>
        <v>4</v>
      </c>
    </row>
    <row r="3930" customFormat="false" ht="15" hidden="false" customHeight="false" outlineLevel="0" collapsed="false">
      <c r="A3930" s="34" t="s">
        <v>4439</v>
      </c>
      <c r="B3930" s="34" t="s">
        <v>57</v>
      </c>
      <c r="C3930" s="34" t="s">
        <v>126</v>
      </c>
      <c r="D3930" s="34" t="s">
        <v>4440</v>
      </c>
      <c r="E3930" s="4" t="n">
        <v>6</v>
      </c>
      <c r="F3930" s="4" t="s">
        <v>213</v>
      </c>
      <c r="G3930" s="4" t="s">
        <v>1046</v>
      </c>
      <c r="H3930" s="4" t="n">
        <v>1979</v>
      </c>
      <c r="I3930" s="4" t="s">
        <v>709</v>
      </c>
      <c r="J3930" s="25" t="str">
        <f aca="false">IF(M3930=1,"✓","")</f>
        <v/>
      </c>
      <c r="K3930" s="4" t="str">
        <f aca="false">IF(AND(M3930=0,P3930=0),"▶ NEXT","")</f>
        <v/>
      </c>
      <c r="L3930" s="4" t="n">
        <f aca="false">INDEX('Master List'!$F$2:$F$2594,O3930)</f>
        <v>2</v>
      </c>
      <c r="M3930" s="4" t="n">
        <f aca="false">INDEX('Master List'!$G$2:$G$2594,O3930)</f>
        <v>0</v>
      </c>
      <c r="N3930" s="4" t="str">
        <f aca="false">IF(K3930="","",A3930)</f>
        <v/>
      </c>
      <c r="O3930" s="4" t="n">
        <v>2590</v>
      </c>
      <c r="P3930" s="4" t="n">
        <f aca="false">IF(A3930=A3929,P3929+1-M3929,0)</f>
        <v>5</v>
      </c>
    </row>
    <row r="3931" customFormat="false" ht="15" hidden="false" customHeight="false" outlineLevel="0" collapsed="false">
      <c r="A3931" s="34" t="s">
        <v>4439</v>
      </c>
      <c r="B3931" s="34" t="s">
        <v>57</v>
      </c>
      <c r="C3931" s="34" t="s">
        <v>126</v>
      </c>
      <c r="D3931" s="34" t="s">
        <v>4440</v>
      </c>
      <c r="E3931" s="4" t="n">
        <v>7</v>
      </c>
      <c r="F3931" s="4" t="s">
        <v>213</v>
      </c>
      <c r="G3931" s="4" t="s">
        <v>708</v>
      </c>
      <c r="H3931" s="4" t="n">
        <v>1981</v>
      </c>
      <c r="I3931" s="4" t="s">
        <v>709</v>
      </c>
      <c r="J3931" s="25" t="str">
        <f aca="false">IF(M3931=1,"✓","")</f>
        <v/>
      </c>
      <c r="K3931" s="4" t="str">
        <f aca="false">IF(AND(M3931=0,P3931=0),"▶ NEXT","")</f>
        <v/>
      </c>
      <c r="L3931" s="4" t="n">
        <f aca="false">INDEX('Master List'!$F$2:$F$2594,O3931)</f>
        <v>3</v>
      </c>
      <c r="M3931" s="4" t="n">
        <f aca="false">INDEX('Master List'!$G$2:$G$2594,O3931)</f>
        <v>0</v>
      </c>
      <c r="N3931" s="4" t="str">
        <f aca="false">IF(K3931="","",A3931)</f>
        <v/>
      </c>
      <c r="O3931" s="4" t="n">
        <v>235</v>
      </c>
      <c r="P3931" s="4" t="n">
        <f aca="false">IF(A3931=A3930,P3930+1-M3930,0)</f>
        <v>6</v>
      </c>
    </row>
    <row r="3932" customFormat="false" ht="15" hidden="false" customHeight="false" outlineLevel="0" collapsed="false">
      <c r="A3932" s="34" t="s">
        <v>4439</v>
      </c>
      <c r="B3932" s="34" t="s">
        <v>57</v>
      </c>
      <c r="C3932" s="34" t="s">
        <v>126</v>
      </c>
      <c r="D3932" s="34" t="s">
        <v>4440</v>
      </c>
      <c r="E3932" s="4" t="n">
        <v>8</v>
      </c>
      <c r="F3932" s="4" t="s">
        <v>213</v>
      </c>
      <c r="G3932" s="4" t="s">
        <v>1028</v>
      </c>
      <c r="H3932" s="4" t="n">
        <v>1975</v>
      </c>
      <c r="I3932" s="4" t="s">
        <v>673</v>
      </c>
      <c r="J3932" s="25" t="str">
        <f aca="false">IF(M3932=1,"✓","")</f>
        <v/>
      </c>
      <c r="K3932" s="4" t="str">
        <f aca="false">IF(AND(M3932=0,P3932=0),"▶ NEXT","")</f>
        <v/>
      </c>
      <c r="L3932" s="4" t="n">
        <f aca="false">INDEX('Master List'!$F$2:$F$2594,O3932)</f>
        <v>2</v>
      </c>
      <c r="M3932" s="4" t="n">
        <f aca="false">INDEX('Master List'!$G$2:$G$2594,O3932)</f>
        <v>0</v>
      </c>
      <c r="N3932" s="4" t="str">
        <f aca="false">IF(K3932="","",A3932)</f>
        <v/>
      </c>
      <c r="O3932" s="4" t="n">
        <v>948</v>
      </c>
      <c r="P3932" s="4" t="n">
        <f aca="false">IF(A3932=A3931,P3931+1-M3931,0)</f>
        <v>7</v>
      </c>
    </row>
    <row r="3933" customFormat="false" ht="15" hidden="false" customHeight="false" outlineLevel="0" collapsed="false">
      <c r="A3933" s="34" t="s">
        <v>4439</v>
      </c>
      <c r="B3933" s="34" t="s">
        <v>57</v>
      </c>
      <c r="C3933" s="34" t="s">
        <v>126</v>
      </c>
      <c r="D3933" s="34" t="s">
        <v>4440</v>
      </c>
      <c r="E3933" s="4" t="n">
        <v>9</v>
      </c>
      <c r="F3933" s="4" t="s">
        <v>213</v>
      </c>
      <c r="G3933" s="4" t="s">
        <v>1073</v>
      </c>
      <c r="H3933" s="4" t="n">
        <v>1985</v>
      </c>
      <c r="I3933" s="4" t="s">
        <v>1074</v>
      </c>
      <c r="J3933" s="25" t="str">
        <f aca="false">IF(M3933=1,"✓","")</f>
        <v/>
      </c>
      <c r="K3933" s="4" t="str">
        <f aca="false">IF(AND(M3933=0,P3933=0),"▶ NEXT","")</f>
        <v/>
      </c>
      <c r="L3933" s="4" t="n">
        <f aca="false">INDEX('Master List'!$F$2:$F$2594,O3933)</f>
        <v>2</v>
      </c>
      <c r="M3933" s="4" t="n">
        <f aca="false">INDEX('Master List'!$G$2:$G$2594,O3933)</f>
        <v>0</v>
      </c>
      <c r="N3933" s="4" t="str">
        <f aca="false">IF(K3933="","",A3933)</f>
        <v/>
      </c>
      <c r="O3933" s="4" t="n">
        <v>1865</v>
      </c>
      <c r="P3933" s="4" t="n">
        <f aca="false">IF(A3933=A3932,P3932+1-M3932,0)</f>
        <v>8</v>
      </c>
    </row>
    <row r="3934" customFormat="false" ht="15" hidden="false" customHeight="false" outlineLevel="0" collapsed="false">
      <c r="A3934" s="34" t="s">
        <v>4439</v>
      </c>
      <c r="B3934" s="34" t="s">
        <v>57</v>
      </c>
      <c r="C3934" s="34" t="s">
        <v>126</v>
      </c>
      <c r="D3934" s="34" t="s">
        <v>4440</v>
      </c>
      <c r="E3934" s="4" t="n">
        <v>10</v>
      </c>
      <c r="F3934" s="4" t="s">
        <v>213</v>
      </c>
      <c r="G3934" s="4" t="s">
        <v>1093</v>
      </c>
      <c r="H3934" s="4" t="n">
        <v>1989</v>
      </c>
      <c r="I3934" s="4" t="s">
        <v>1094</v>
      </c>
      <c r="J3934" s="25" t="str">
        <f aca="false">IF(M3934=1,"✓","")</f>
        <v/>
      </c>
      <c r="K3934" s="4" t="str">
        <f aca="false">IF(AND(M3934=0,P3934=0),"▶ NEXT","")</f>
        <v/>
      </c>
      <c r="L3934" s="4" t="n">
        <f aca="false">INDEX('Master List'!$F$2:$F$2594,O3934)</f>
        <v>2</v>
      </c>
      <c r="M3934" s="4" t="n">
        <f aca="false">INDEX('Master List'!$G$2:$G$2594,O3934)</f>
        <v>0</v>
      </c>
      <c r="N3934" s="4" t="str">
        <f aca="false">IF(K3934="","",A3934)</f>
        <v/>
      </c>
      <c r="O3934" s="4" t="n">
        <v>2103</v>
      </c>
      <c r="P3934" s="4" t="n">
        <f aca="false">IF(A3934=A3933,P3933+1-M3933,0)</f>
        <v>9</v>
      </c>
    </row>
    <row r="3935" customFormat="false" ht="15" hidden="false" customHeight="false" outlineLevel="0" collapsed="false">
      <c r="A3935" s="34" t="s">
        <v>4439</v>
      </c>
      <c r="B3935" s="34" t="s">
        <v>57</v>
      </c>
      <c r="C3935" s="34" t="s">
        <v>126</v>
      </c>
      <c r="D3935" s="34" t="s">
        <v>4440</v>
      </c>
      <c r="E3935" s="4" t="n">
        <v>11</v>
      </c>
      <c r="F3935" s="4" t="s">
        <v>213</v>
      </c>
      <c r="G3935" s="4" t="s">
        <v>493</v>
      </c>
      <c r="H3935" s="4" t="n">
        <v>1989</v>
      </c>
      <c r="I3935" s="4" t="s">
        <v>494</v>
      </c>
      <c r="J3935" s="25" t="str">
        <f aca="false">IF(M3935=1,"✓","")</f>
        <v/>
      </c>
      <c r="K3935" s="4" t="str">
        <f aca="false">IF(AND(M3935=0,P3935=0),"▶ NEXT","")</f>
        <v/>
      </c>
      <c r="L3935" s="4" t="n">
        <f aca="false">INDEX('Master List'!$F$2:$F$2594,O3935)</f>
        <v>4</v>
      </c>
      <c r="M3935" s="4" t="n">
        <f aca="false">INDEX('Master List'!$G$2:$G$2594,O3935)</f>
        <v>0</v>
      </c>
      <c r="N3935" s="4" t="str">
        <f aca="false">IF(K3935="","",A3935)</f>
        <v/>
      </c>
      <c r="O3935" s="4" t="n">
        <v>2259</v>
      </c>
      <c r="P3935" s="4" t="n">
        <f aca="false">IF(A3935=A3934,P3934+1-M3934,0)</f>
        <v>10</v>
      </c>
    </row>
    <row r="3936" customFormat="false" ht="15" hidden="false" customHeight="false" outlineLevel="0" collapsed="false">
      <c r="A3936" s="34" t="s">
        <v>4439</v>
      </c>
      <c r="B3936" s="34" t="s">
        <v>57</v>
      </c>
      <c r="C3936" s="34" t="s">
        <v>126</v>
      </c>
      <c r="D3936" s="34" t="s">
        <v>4440</v>
      </c>
      <c r="E3936" s="4" t="n">
        <v>12</v>
      </c>
      <c r="F3936" s="4" t="s">
        <v>213</v>
      </c>
      <c r="G3936" s="4" t="s">
        <v>1126</v>
      </c>
      <c r="H3936" s="4" t="n">
        <v>1999</v>
      </c>
      <c r="I3936" s="4" t="s">
        <v>1127</v>
      </c>
      <c r="J3936" s="25" t="str">
        <f aca="false">IF(M3936=1,"✓","")</f>
        <v/>
      </c>
      <c r="K3936" s="4" t="str">
        <f aca="false">IF(AND(M3936=0,P3936=0),"▶ NEXT","")</f>
        <v/>
      </c>
      <c r="L3936" s="4" t="n">
        <f aca="false">INDEX('Master List'!$F$2:$F$2594,O3936)</f>
        <v>2</v>
      </c>
      <c r="M3936" s="4" t="n">
        <f aca="false">INDEX('Master List'!$G$2:$G$2594,O3936)</f>
        <v>0</v>
      </c>
      <c r="N3936" s="4" t="str">
        <f aca="false">IF(K3936="","",A3936)</f>
        <v/>
      </c>
      <c r="O3936" s="4" t="n">
        <v>150</v>
      </c>
      <c r="P3936" s="4" t="n">
        <f aca="false">IF(A3936=A3935,P3935+1-M3935,0)</f>
        <v>11</v>
      </c>
    </row>
    <row r="3937" customFormat="false" ht="15" hidden="false" customHeight="false" outlineLevel="0" collapsed="false">
      <c r="A3937" s="34" t="s">
        <v>4439</v>
      </c>
      <c r="B3937" s="34" t="s">
        <v>57</v>
      </c>
      <c r="C3937" s="34" t="s">
        <v>126</v>
      </c>
      <c r="D3937" s="34" t="s">
        <v>4440</v>
      </c>
      <c r="E3937" s="4" t="n">
        <v>13</v>
      </c>
      <c r="F3937" s="4" t="s">
        <v>213</v>
      </c>
      <c r="G3937" s="4" t="s">
        <v>714</v>
      </c>
      <c r="H3937" s="4" t="n">
        <v>2001</v>
      </c>
      <c r="I3937" s="4" t="s">
        <v>505</v>
      </c>
      <c r="J3937" s="25" t="str">
        <f aca="false">IF(M3937=1,"✓","")</f>
        <v/>
      </c>
      <c r="K3937" s="4" t="str">
        <f aca="false">IF(AND(M3937=0,P3937=0),"▶ NEXT","")</f>
        <v/>
      </c>
      <c r="L3937" s="4" t="n">
        <f aca="false">INDEX('Master List'!$F$2:$F$2594,O3937)</f>
        <v>3</v>
      </c>
      <c r="M3937" s="4" t="n">
        <f aca="false">INDEX('Master List'!$G$2:$G$2594,O3937)</f>
        <v>0</v>
      </c>
      <c r="N3937" s="4" t="str">
        <f aca="false">IF(K3937="","",A3937)</f>
        <v/>
      </c>
      <c r="O3937" s="4" t="n">
        <v>1831</v>
      </c>
      <c r="P3937" s="4" t="n">
        <f aca="false">IF(A3937=A3936,P3936+1-M3936,0)</f>
        <v>12</v>
      </c>
    </row>
    <row r="3938" customFormat="false" ht="15" hidden="false" customHeight="false" outlineLevel="0" collapsed="false">
      <c r="A3938" s="34" t="s">
        <v>4439</v>
      </c>
      <c r="B3938" s="34" t="s">
        <v>57</v>
      </c>
      <c r="C3938" s="34" t="s">
        <v>126</v>
      </c>
      <c r="D3938" s="34" t="s">
        <v>4440</v>
      </c>
      <c r="E3938" s="4" t="n">
        <v>14</v>
      </c>
      <c r="F3938" s="4" t="s">
        <v>213</v>
      </c>
      <c r="G3938" s="4" t="s">
        <v>1150</v>
      </c>
      <c r="H3938" s="4" t="n">
        <v>2001</v>
      </c>
      <c r="I3938" s="4" t="s">
        <v>1151</v>
      </c>
      <c r="J3938" s="25" t="str">
        <f aca="false">IF(M3938=1,"✓","")</f>
        <v>✓</v>
      </c>
      <c r="K3938" s="4" t="str">
        <f aca="false">IF(AND(M3938=0,P3938=0),"▶ NEXT","")</f>
        <v/>
      </c>
      <c r="L3938" s="4" t="n">
        <f aca="false">INDEX('Master List'!$F$2:$F$2594,O3938)</f>
        <v>2</v>
      </c>
      <c r="M3938" s="4" t="n">
        <f aca="false">INDEX('Master List'!$G$2:$G$2594,O3938)</f>
        <v>1</v>
      </c>
      <c r="N3938" s="4" t="str">
        <f aca="false">IF(K3938="","",A3938)</f>
        <v/>
      </c>
      <c r="O3938" s="4" t="n">
        <v>662</v>
      </c>
      <c r="P3938" s="4" t="n">
        <f aca="false">IF(A3938=A3937,P3937+1-M3937,0)</f>
        <v>13</v>
      </c>
    </row>
    <row r="3939" customFormat="false" ht="15" hidden="false" customHeight="false" outlineLevel="0" collapsed="false">
      <c r="A3939" s="34" t="s">
        <v>4439</v>
      </c>
      <c r="B3939" s="34" t="s">
        <v>57</v>
      </c>
      <c r="C3939" s="34" t="s">
        <v>126</v>
      </c>
      <c r="D3939" s="34" t="s">
        <v>4440</v>
      </c>
      <c r="E3939" s="4" t="n">
        <v>15</v>
      </c>
      <c r="F3939" s="4" t="s">
        <v>1327</v>
      </c>
      <c r="G3939" s="4" t="s">
        <v>1345</v>
      </c>
      <c r="H3939" s="4" t="n">
        <v>1971</v>
      </c>
      <c r="I3939" s="4" t="s">
        <v>1346</v>
      </c>
      <c r="J3939" s="25" t="str">
        <f aca="false">IF(M3939=1,"✓","")</f>
        <v/>
      </c>
      <c r="K3939" s="4" t="str">
        <f aca="false">IF(AND(M3939=0,P3939=0),"▶ NEXT","")</f>
        <v/>
      </c>
      <c r="L3939" s="4" t="n">
        <f aca="false">INDEX('Master List'!$F$2:$F$2594,O3939)</f>
        <v>2</v>
      </c>
      <c r="M3939" s="4" t="n">
        <f aca="false">INDEX('Master List'!$G$2:$G$2594,O3939)</f>
        <v>0</v>
      </c>
      <c r="N3939" s="4" t="str">
        <f aca="false">IF(K3939="","",A3939)</f>
        <v/>
      </c>
      <c r="O3939" s="4" t="n">
        <v>2174</v>
      </c>
      <c r="P3939" s="4" t="n">
        <f aca="false">IF(A3939=A3938,P3938+1-M3938,0)</f>
        <v>13</v>
      </c>
    </row>
    <row r="3940" customFormat="false" ht="15" hidden="false" customHeight="false" outlineLevel="0" collapsed="false">
      <c r="A3940" s="34" t="s">
        <v>4439</v>
      </c>
      <c r="B3940" s="34" t="s">
        <v>57</v>
      </c>
      <c r="C3940" s="34" t="s">
        <v>126</v>
      </c>
      <c r="D3940" s="34" t="s">
        <v>4440</v>
      </c>
      <c r="E3940" s="4" t="n">
        <v>16</v>
      </c>
      <c r="F3940" s="4" t="s">
        <v>1327</v>
      </c>
      <c r="G3940" s="4" t="s">
        <v>1653</v>
      </c>
      <c r="H3940" s="4" t="n">
        <v>1994</v>
      </c>
      <c r="I3940" s="4" t="s">
        <v>1654</v>
      </c>
      <c r="J3940" s="25" t="str">
        <f aca="false">IF(M3940=1,"✓","")</f>
        <v/>
      </c>
      <c r="K3940" s="4" t="str">
        <f aca="false">IF(AND(M3940=0,P3940=0),"▶ NEXT","")</f>
        <v/>
      </c>
      <c r="L3940" s="4" t="n">
        <f aca="false">INDEX('Master List'!$F$2:$F$2594,O3940)</f>
        <v>2</v>
      </c>
      <c r="M3940" s="4" t="n">
        <f aca="false">INDEX('Master List'!$G$2:$G$2594,O3940)</f>
        <v>0</v>
      </c>
      <c r="N3940" s="4" t="str">
        <f aca="false">IF(K3940="","",A3940)</f>
        <v/>
      </c>
      <c r="O3940" s="4" t="n">
        <v>419</v>
      </c>
      <c r="P3940" s="4" t="n">
        <f aca="false">IF(A3940=A3939,P3939+1-M3939,0)</f>
        <v>14</v>
      </c>
    </row>
    <row r="3941" customFormat="false" ht="15" hidden="false" customHeight="false" outlineLevel="0" collapsed="false">
      <c r="A3941" s="34" t="s">
        <v>4441</v>
      </c>
      <c r="B3941" s="34" t="s">
        <v>57</v>
      </c>
      <c r="C3941" s="34" t="s">
        <v>126</v>
      </c>
      <c r="D3941" s="34" t="s">
        <v>4442</v>
      </c>
      <c r="E3941" s="4" t="n">
        <v>1</v>
      </c>
      <c r="F3941" s="4" t="s">
        <v>144</v>
      </c>
      <c r="G3941" s="7" t="s">
        <v>785</v>
      </c>
      <c r="H3941" s="4" t="n">
        <v>1970</v>
      </c>
      <c r="I3941" s="4" t="s">
        <v>786</v>
      </c>
      <c r="J3941" s="25" t="str">
        <f aca="false">IF(M3941=1,"✓","")</f>
        <v/>
      </c>
      <c r="K3941" s="4" t="str">
        <f aca="false">IF(AND(M3941=0,P3941=0),"▶ NEXT","")</f>
        <v>▶ NEXT</v>
      </c>
      <c r="L3941" s="4" t="n">
        <f aca="false">INDEX('Master List'!$F$2:$F$2594,O3941)</f>
        <v>2</v>
      </c>
      <c r="M3941" s="4" t="n">
        <f aca="false">INDEX('Master List'!$G$2:$G$2594,O3941)</f>
        <v>0</v>
      </c>
      <c r="N3941" s="4" t="str">
        <f aca="false">IF(K3941="","",A3941)</f>
        <v>N309</v>
      </c>
      <c r="O3941" s="4" t="n">
        <v>603</v>
      </c>
      <c r="P3941" s="4" t="n">
        <f aca="false">IF(A3941=A3940,P3940+1-M3940,0)</f>
        <v>0</v>
      </c>
    </row>
    <row r="3942" customFormat="false" ht="15" hidden="false" customHeight="false" outlineLevel="0" collapsed="false">
      <c r="A3942" s="34" t="s">
        <v>4441</v>
      </c>
      <c r="B3942" s="34" t="s">
        <v>57</v>
      </c>
      <c r="C3942" s="34" t="s">
        <v>126</v>
      </c>
      <c r="D3942" s="34" t="s">
        <v>4442</v>
      </c>
      <c r="E3942" s="4" t="n">
        <v>2</v>
      </c>
      <c r="F3942" s="4" t="s">
        <v>144</v>
      </c>
      <c r="G3942" s="7" t="s">
        <v>1006</v>
      </c>
      <c r="H3942" s="4" t="n">
        <v>1970</v>
      </c>
      <c r="I3942" s="4" t="s">
        <v>1007</v>
      </c>
      <c r="J3942" s="25" t="str">
        <f aca="false">IF(M3942=1,"✓","")</f>
        <v/>
      </c>
      <c r="K3942" s="4" t="str">
        <f aca="false">IF(AND(M3942=0,P3942=0),"▶ NEXT","")</f>
        <v/>
      </c>
      <c r="L3942" s="4" t="n">
        <f aca="false">INDEX('Master List'!$F$2:$F$2594,O3942)</f>
        <v>2</v>
      </c>
      <c r="M3942" s="4" t="n">
        <f aca="false">INDEX('Master List'!$G$2:$G$2594,O3942)</f>
        <v>0</v>
      </c>
      <c r="N3942" s="4" t="str">
        <f aca="false">IF(K3942="","",A3942)</f>
        <v/>
      </c>
      <c r="O3942" s="4" t="n">
        <v>358</v>
      </c>
      <c r="P3942" s="4" t="n">
        <f aca="false">IF(A3942=A3941,P3941+1-M3941,0)</f>
        <v>1</v>
      </c>
    </row>
    <row r="3943" customFormat="false" ht="15" hidden="false" customHeight="false" outlineLevel="0" collapsed="false">
      <c r="A3943" s="34" t="s">
        <v>4441</v>
      </c>
      <c r="B3943" s="34" t="s">
        <v>57</v>
      </c>
      <c r="C3943" s="34" t="s">
        <v>126</v>
      </c>
      <c r="D3943" s="34" t="s">
        <v>4442</v>
      </c>
      <c r="E3943" s="4" t="n">
        <v>3</v>
      </c>
      <c r="F3943" s="4" t="s">
        <v>213</v>
      </c>
      <c r="G3943" s="4" t="s">
        <v>2117</v>
      </c>
      <c r="H3943" s="4" t="n">
        <v>1967</v>
      </c>
      <c r="I3943" s="4" t="s">
        <v>2118</v>
      </c>
      <c r="J3943" s="25" t="str">
        <f aca="false">IF(M3943=1,"✓","")</f>
        <v/>
      </c>
      <c r="K3943" s="4" t="str">
        <f aca="false">IF(AND(M3943=0,P3943=0),"▶ NEXT","")</f>
        <v/>
      </c>
      <c r="L3943" s="4" t="n">
        <f aca="false">INDEX('Master List'!$F$2:$F$2594,O3943)</f>
        <v>1</v>
      </c>
      <c r="M3943" s="4" t="n">
        <f aca="false">INDEX('Master List'!$G$2:$G$2594,O3943)</f>
        <v>0</v>
      </c>
      <c r="N3943" s="4" t="str">
        <f aca="false">IF(K3943="","",A3943)</f>
        <v/>
      </c>
      <c r="O3943" s="4" t="n">
        <v>1028</v>
      </c>
      <c r="P3943" s="4" t="n">
        <f aca="false">IF(A3943=A3942,P3942+1-M3942,0)</f>
        <v>2</v>
      </c>
    </row>
    <row r="3944" customFormat="false" ht="15" hidden="false" customHeight="false" outlineLevel="0" collapsed="false">
      <c r="A3944" s="34" t="s">
        <v>4441</v>
      </c>
      <c r="B3944" s="34" t="s">
        <v>57</v>
      </c>
      <c r="C3944" s="34" t="s">
        <v>126</v>
      </c>
      <c r="D3944" s="34" t="s">
        <v>4442</v>
      </c>
      <c r="E3944" s="4" t="n">
        <v>4</v>
      </c>
      <c r="F3944" s="4" t="s">
        <v>213</v>
      </c>
      <c r="G3944" s="4" t="s">
        <v>2073</v>
      </c>
      <c r="H3944" s="4" t="n">
        <v>1965</v>
      </c>
      <c r="I3944" s="4" t="s">
        <v>2074</v>
      </c>
      <c r="J3944" s="25" t="str">
        <f aca="false">IF(M3944=1,"✓","")</f>
        <v/>
      </c>
      <c r="K3944" s="4" t="str">
        <f aca="false">IF(AND(M3944=0,P3944=0),"▶ NEXT","")</f>
        <v/>
      </c>
      <c r="L3944" s="4" t="n">
        <f aca="false">INDEX('Master List'!$F$2:$F$2594,O3944)</f>
        <v>1</v>
      </c>
      <c r="M3944" s="4" t="n">
        <f aca="false">INDEX('Master List'!$G$2:$G$2594,O3944)</f>
        <v>0</v>
      </c>
      <c r="N3944" s="4" t="str">
        <f aca="false">IF(K3944="","",A3944)</f>
        <v/>
      </c>
      <c r="O3944" s="4" t="n">
        <v>1781</v>
      </c>
      <c r="P3944" s="4" t="n">
        <f aca="false">IF(A3944=A3943,P3943+1-M3943,0)</f>
        <v>3</v>
      </c>
    </row>
    <row r="3945" customFormat="false" ht="15" hidden="false" customHeight="false" outlineLevel="0" collapsed="false">
      <c r="A3945" s="34" t="s">
        <v>4441</v>
      </c>
      <c r="B3945" s="34" t="s">
        <v>57</v>
      </c>
      <c r="C3945" s="34" t="s">
        <v>126</v>
      </c>
      <c r="D3945" s="34" t="s">
        <v>4442</v>
      </c>
      <c r="E3945" s="4" t="n">
        <v>5</v>
      </c>
      <c r="F3945" s="4" t="s">
        <v>213</v>
      </c>
      <c r="G3945" s="4" t="s">
        <v>2131</v>
      </c>
      <c r="H3945" s="4" t="n">
        <v>1968</v>
      </c>
      <c r="I3945" s="4" t="s">
        <v>2132</v>
      </c>
      <c r="J3945" s="25" t="str">
        <f aca="false">IF(M3945=1,"✓","")</f>
        <v/>
      </c>
      <c r="K3945" s="4" t="str">
        <f aca="false">IF(AND(M3945=0,P3945=0),"▶ NEXT","")</f>
        <v/>
      </c>
      <c r="L3945" s="4" t="n">
        <f aca="false">INDEX('Master List'!$F$2:$F$2594,O3945)</f>
        <v>1</v>
      </c>
      <c r="M3945" s="4" t="n">
        <f aca="false">INDEX('Master List'!$G$2:$G$2594,O3945)</f>
        <v>0</v>
      </c>
      <c r="N3945" s="4" t="str">
        <f aca="false">IF(K3945="","",A3945)</f>
        <v/>
      </c>
      <c r="O3945" s="4" t="n">
        <v>1210</v>
      </c>
      <c r="P3945" s="4" t="n">
        <f aca="false">IF(A3945=A3944,P3944+1-M3944,0)</f>
        <v>4</v>
      </c>
    </row>
    <row r="3946" customFormat="false" ht="15" hidden="false" customHeight="false" outlineLevel="0" collapsed="false">
      <c r="A3946" s="34" t="s">
        <v>4441</v>
      </c>
      <c r="B3946" s="34" t="s">
        <v>57</v>
      </c>
      <c r="C3946" s="34" t="s">
        <v>126</v>
      </c>
      <c r="D3946" s="34" t="s">
        <v>4442</v>
      </c>
      <c r="E3946" s="4" t="n">
        <v>6</v>
      </c>
      <c r="F3946" s="4" t="s">
        <v>213</v>
      </c>
      <c r="G3946" s="4" t="s">
        <v>2151</v>
      </c>
      <c r="H3946" s="4" t="n">
        <v>1969</v>
      </c>
      <c r="I3946" s="4" t="s">
        <v>2152</v>
      </c>
      <c r="J3946" s="25" t="str">
        <f aca="false">IF(M3946=1,"✓","")</f>
        <v/>
      </c>
      <c r="K3946" s="4" t="str">
        <f aca="false">IF(AND(M3946=0,P3946=0),"▶ NEXT","")</f>
        <v/>
      </c>
      <c r="L3946" s="4" t="n">
        <f aca="false">INDEX('Master List'!$F$2:$F$2594,O3946)</f>
        <v>1</v>
      </c>
      <c r="M3946" s="4" t="n">
        <f aca="false">INDEX('Master List'!$G$2:$G$2594,O3946)</f>
        <v>0</v>
      </c>
      <c r="N3946" s="4" t="str">
        <f aca="false">IF(K3946="","",A3946)</f>
        <v/>
      </c>
      <c r="O3946" s="4" t="n">
        <v>1428</v>
      </c>
      <c r="P3946" s="4" t="n">
        <f aca="false">IF(A3946=A3945,P3945+1-M3945,0)</f>
        <v>5</v>
      </c>
    </row>
    <row r="3947" customFormat="false" ht="15" hidden="false" customHeight="false" outlineLevel="0" collapsed="false">
      <c r="A3947" s="34" t="s">
        <v>4441</v>
      </c>
      <c r="B3947" s="34" t="s">
        <v>57</v>
      </c>
      <c r="C3947" s="34" t="s">
        <v>126</v>
      </c>
      <c r="D3947" s="34" t="s">
        <v>4442</v>
      </c>
      <c r="E3947" s="4" t="n">
        <v>7</v>
      </c>
      <c r="F3947" s="4" t="s">
        <v>213</v>
      </c>
      <c r="G3947" s="4" t="s">
        <v>2254</v>
      </c>
      <c r="H3947" s="4" t="n">
        <v>1974</v>
      </c>
      <c r="I3947" s="4" t="s">
        <v>2255</v>
      </c>
      <c r="J3947" s="25" t="str">
        <f aca="false">IF(M3947=1,"✓","")</f>
        <v/>
      </c>
      <c r="K3947" s="4" t="str">
        <f aca="false">IF(AND(M3947=0,P3947=0),"▶ NEXT","")</f>
        <v/>
      </c>
      <c r="L3947" s="4" t="n">
        <f aca="false">INDEX('Master List'!$F$2:$F$2594,O3947)</f>
        <v>1</v>
      </c>
      <c r="M3947" s="4" t="n">
        <f aca="false">INDEX('Master List'!$G$2:$G$2594,O3947)</f>
        <v>0</v>
      </c>
      <c r="N3947" s="4" t="str">
        <f aca="false">IF(K3947="","",A3947)</f>
        <v/>
      </c>
      <c r="O3947" s="4" t="n">
        <v>2223</v>
      </c>
      <c r="P3947" s="4" t="n">
        <f aca="false">IF(A3947=A3946,P3946+1-M3946,0)</f>
        <v>6</v>
      </c>
    </row>
    <row r="3948" customFormat="false" ht="15" hidden="false" customHeight="false" outlineLevel="0" collapsed="false">
      <c r="A3948" s="34" t="s">
        <v>4441</v>
      </c>
      <c r="B3948" s="34" t="s">
        <v>57</v>
      </c>
      <c r="C3948" s="34" t="s">
        <v>126</v>
      </c>
      <c r="D3948" s="34" t="s">
        <v>4442</v>
      </c>
      <c r="E3948" s="4" t="n">
        <v>8</v>
      </c>
      <c r="F3948" s="4" t="s">
        <v>213</v>
      </c>
      <c r="G3948" s="4" t="s">
        <v>2279</v>
      </c>
      <c r="H3948" s="4" t="n">
        <v>1975</v>
      </c>
      <c r="I3948" s="4" t="s">
        <v>2280</v>
      </c>
      <c r="J3948" s="25" t="str">
        <f aca="false">IF(M3948=1,"✓","")</f>
        <v/>
      </c>
      <c r="K3948" s="4" t="str">
        <f aca="false">IF(AND(M3948=0,P3948=0),"▶ NEXT","")</f>
        <v/>
      </c>
      <c r="L3948" s="4" t="n">
        <f aca="false">INDEX('Master List'!$F$2:$F$2594,O3948)</f>
        <v>1</v>
      </c>
      <c r="M3948" s="4" t="n">
        <f aca="false">INDEX('Master List'!$G$2:$G$2594,O3948)</f>
        <v>0</v>
      </c>
      <c r="N3948" s="4" t="str">
        <f aca="false">IF(K3948="","",A3948)</f>
        <v/>
      </c>
      <c r="O3948" s="4" t="n">
        <v>1890</v>
      </c>
      <c r="P3948" s="4" t="n">
        <f aca="false">IF(A3948=A3947,P3947+1-M3947,0)</f>
        <v>7</v>
      </c>
    </row>
    <row r="3949" customFormat="false" ht="15" hidden="false" customHeight="false" outlineLevel="0" collapsed="false">
      <c r="A3949" s="34" t="s">
        <v>4441</v>
      </c>
      <c r="B3949" s="34" t="s">
        <v>57</v>
      </c>
      <c r="C3949" s="34" t="s">
        <v>126</v>
      </c>
      <c r="D3949" s="34" t="s">
        <v>4442</v>
      </c>
      <c r="E3949" s="4" t="n">
        <v>9</v>
      </c>
      <c r="F3949" s="4" t="s">
        <v>213</v>
      </c>
      <c r="G3949" s="4" t="s">
        <v>2190</v>
      </c>
      <c r="H3949" s="4" t="n">
        <v>1971</v>
      </c>
      <c r="I3949" s="4" t="s">
        <v>2191</v>
      </c>
      <c r="J3949" s="25" t="str">
        <f aca="false">IF(M3949=1,"✓","")</f>
        <v/>
      </c>
      <c r="K3949" s="4" t="str">
        <f aca="false">IF(AND(M3949=0,P3949=0),"▶ NEXT","")</f>
        <v/>
      </c>
      <c r="L3949" s="4" t="n">
        <f aca="false">INDEX('Master List'!$F$2:$F$2594,O3949)</f>
        <v>1</v>
      </c>
      <c r="M3949" s="4" t="n">
        <f aca="false">INDEX('Master List'!$G$2:$G$2594,O3949)</f>
        <v>0</v>
      </c>
      <c r="N3949" s="4" t="str">
        <f aca="false">IF(K3949="","",A3949)</f>
        <v/>
      </c>
      <c r="O3949" s="4" t="n">
        <v>1531</v>
      </c>
      <c r="P3949" s="4" t="n">
        <f aca="false">IF(A3949=A3948,P3948+1-M3948,0)</f>
        <v>8</v>
      </c>
    </row>
    <row r="3950" customFormat="false" ht="15" hidden="false" customHeight="false" outlineLevel="0" collapsed="false">
      <c r="A3950" s="34" t="s">
        <v>4441</v>
      </c>
      <c r="B3950" s="34" t="s">
        <v>57</v>
      </c>
      <c r="C3950" s="34" t="s">
        <v>126</v>
      </c>
      <c r="D3950" s="34" t="s">
        <v>4442</v>
      </c>
      <c r="E3950" s="4" t="n">
        <v>10</v>
      </c>
      <c r="F3950" s="4" t="s">
        <v>1327</v>
      </c>
      <c r="G3950" s="4" t="s">
        <v>3494</v>
      </c>
      <c r="H3950" s="4" t="n">
        <v>1971</v>
      </c>
      <c r="I3950" s="4" t="s">
        <v>3495</v>
      </c>
      <c r="J3950" s="25" t="str">
        <f aca="false">IF(M3950=1,"✓","")</f>
        <v/>
      </c>
      <c r="K3950" s="4" t="str">
        <f aca="false">IF(AND(M3950=0,P3950=0),"▶ NEXT","")</f>
        <v/>
      </c>
      <c r="L3950" s="4" t="n">
        <f aca="false">INDEX('Master List'!$F$2:$F$2594,O3950)</f>
        <v>1</v>
      </c>
      <c r="M3950" s="4" t="n">
        <f aca="false">INDEX('Master List'!$G$2:$G$2594,O3950)</f>
        <v>0</v>
      </c>
      <c r="N3950" s="4" t="str">
        <f aca="false">IF(K3950="","",A3950)</f>
        <v/>
      </c>
      <c r="O3950" s="4" t="n">
        <v>689</v>
      </c>
      <c r="P3950" s="4" t="n">
        <f aca="false">IF(A3950=A3949,P3949+1-M3949,0)</f>
        <v>9</v>
      </c>
    </row>
    <row r="3951" customFormat="false" ht="15" hidden="false" customHeight="false" outlineLevel="0" collapsed="false">
      <c r="A3951" s="34" t="s">
        <v>4443</v>
      </c>
      <c r="B3951" s="34" t="s">
        <v>57</v>
      </c>
      <c r="C3951" s="34" t="s">
        <v>126</v>
      </c>
      <c r="D3951" s="34" t="s">
        <v>4444</v>
      </c>
      <c r="E3951" s="4" t="n">
        <v>1</v>
      </c>
      <c r="F3951" s="4" t="s">
        <v>144</v>
      </c>
      <c r="G3951" s="7" t="s">
        <v>448</v>
      </c>
      <c r="H3951" s="4" t="n">
        <v>1922</v>
      </c>
      <c r="I3951" s="4" t="s">
        <v>299</v>
      </c>
      <c r="J3951" s="25" t="str">
        <f aca="false">IF(M3951=1,"✓","")</f>
        <v/>
      </c>
      <c r="K3951" s="4" t="str">
        <f aca="false">IF(AND(M3951=0,P3951=0),"▶ NEXT","")</f>
        <v>▶ NEXT</v>
      </c>
      <c r="L3951" s="4" t="n">
        <f aca="false">INDEX('Master List'!$F$2:$F$2594,O3951)</f>
        <v>3</v>
      </c>
      <c r="M3951" s="4" t="n">
        <f aca="false">INDEX('Master List'!$G$2:$G$2594,O3951)</f>
        <v>0</v>
      </c>
      <c r="N3951" s="4" t="str">
        <f aca="false">IF(K3951="","",A3951)</f>
        <v>N310</v>
      </c>
      <c r="O3951" s="4" t="n">
        <v>1632</v>
      </c>
      <c r="P3951" s="4" t="n">
        <f aca="false">IF(A3951=A3950,P3950+1-M3950,0)</f>
        <v>0</v>
      </c>
    </row>
    <row r="3952" customFormat="false" ht="15" hidden="false" customHeight="false" outlineLevel="0" collapsed="false">
      <c r="A3952" s="34" t="s">
        <v>4443</v>
      </c>
      <c r="B3952" s="34" t="s">
        <v>57</v>
      </c>
      <c r="C3952" s="34" t="s">
        <v>126</v>
      </c>
      <c r="D3952" s="34" t="s">
        <v>4444</v>
      </c>
      <c r="E3952" s="4" t="n">
        <v>2</v>
      </c>
      <c r="F3952" s="4" t="s">
        <v>144</v>
      </c>
      <c r="G3952" s="7" t="s">
        <v>281</v>
      </c>
      <c r="H3952" s="4" t="n">
        <v>1927</v>
      </c>
      <c r="I3952" s="4" t="s">
        <v>248</v>
      </c>
      <c r="J3952" s="25" t="str">
        <f aca="false">IF(M3952=1,"✓","")</f>
        <v>✓</v>
      </c>
      <c r="K3952" s="4" t="str">
        <f aca="false">IF(AND(M3952=0,P3952=0),"▶ NEXT","")</f>
        <v/>
      </c>
      <c r="L3952" s="4" t="n">
        <f aca="false">INDEX('Master List'!$F$2:$F$2594,O3952)</f>
        <v>5</v>
      </c>
      <c r="M3952" s="4" t="n">
        <f aca="false">INDEX('Master List'!$G$2:$G$2594,O3952)</f>
        <v>1</v>
      </c>
      <c r="N3952" s="4" t="str">
        <f aca="false">IF(K3952="","",A3952)</f>
        <v/>
      </c>
      <c r="O3952" s="4" t="n">
        <v>1487</v>
      </c>
      <c r="P3952" s="4" t="n">
        <f aca="false">IF(A3952=A3951,P3951+1-M3951,0)</f>
        <v>1</v>
      </c>
    </row>
    <row r="3953" customFormat="false" ht="15" hidden="false" customHeight="false" outlineLevel="0" collapsed="false">
      <c r="A3953" s="34" t="s">
        <v>4443</v>
      </c>
      <c r="B3953" s="34" t="s">
        <v>57</v>
      </c>
      <c r="C3953" s="34" t="s">
        <v>126</v>
      </c>
      <c r="D3953" s="34" t="s">
        <v>4444</v>
      </c>
      <c r="E3953" s="4" t="n">
        <v>3</v>
      </c>
      <c r="F3953" s="4" t="s">
        <v>213</v>
      </c>
      <c r="G3953" s="4" t="s">
        <v>901</v>
      </c>
      <c r="H3953" s="4" t="n">
        <v>1926</v>
      </c>
      <c r="I3953" s="4" t="s">
        <v>299</v>
      </c>
      <c r="J3953" s="25" t="str">
        <f aca="false">IF(M3953=1,"✓","")</f>
        <v/>
      </c>
      <c r="K3953" s="4" t="str">
        <f aca="false">IF(AND(M3953=0,P3953=0),"▶ NEXT","")</f>
        <v/>
      </c>
      <c r="L3953" s="4" t="n">
        <f aca="false">INDEX('Master List'!$F$2:$F$2594,O3953)</f>
        <v>2</v>
      </c>
      <c r="M3953" s="4" t="n">
        <f aca="false">INDEX('Master List'!$G$2:$G$2594,O3953)</f>
        <v>0</v>
      </c>
      <c r="N3953" s="4" t="str">
        <f aca="false">IF(K3953="","",A3953)</f>
        <v/>
      </c>
      <c r="O3953" s="4" t="n">
        <v>794</v>
      </c>
      <c r="P3953" s="4" t="n">
        <f aca="false">IF(A3953=A3952,P3952+1-M3952,0)</f>
        <v>1</v>
      </c>
    </row>
    <row r="3954" customFormat="false" ht="15" hidden="false" customHeight="false" outlineLevel="0" collapsed="false">
      <c r="A3954" s="34" t="s">
        <v>4443</v>
      </c>
      <c r="B3954" s="34" t="s">
        <v>57</v>
      </c>
      <c r="C3954" s="34" t="s">
        <v>126</v>
      </c>
      <c r="D3954" s="34" t="s">
        <v>4444</v>
      </c>
      <c r="E3954" s="4" t="n">
        <v>4</v>
      </c>
      <c r="F3954" s="4" t="s">
        <v>213</v>
      </c>
      <c r="G3954" s="4" t="s">
        <v>898</v>
      </c>
      <c r="H3954" s="4" t="n">
        <v>1922</v>
      </c>
      <c r="I3954" s="4" t="s">
        <v>248</v>
      </c>
      <c r="J3954" s="25" t="str">
        <f aca="false">IF(M3954=1,"✓","")</f>
        <v/>
      </c>
      <c r="K3954" s="4" t="str">
        <f aca="false">IF(AND(M3954=0,P3954=0),"▶ NEXT","")</f>
        <v/>
      </c>
      <c r="L3954" s="4" t="n">
        <f aca="false">INDEX('Master List'!$F$2:$F$2594,O3954)</f>
        <v>2</v>
      </c>
      <c r="M3954" s="4" t="n">
        <f aca="false">INDEX('Master List'!$G$2:$G$2594,O3954)</f>
        <v>0</v>
      </c>
      <c r="N3954" s="4" t="str">
        <f aca="false">IF(K3954="","",A3954)</f>
        <v/>
      </c>
      <c r="O3954" s="4" t="n">
        <v>669</v>
      </c>
      <c r="P3954" s="4" t="n">
        <f aca="false">IF(A3954=A3953,P3953+1-M3953,0)</f>
        <v>2</v>
      </c>
    </row>
    <row r="3955" customFormat="false" ht="15" hidden="false" customHeight="false" outlineLevel="0" collapsed="false">
      <c r="A3955" s="34" t="s">
        <v>4443</v>
      </c>
      <c r="B3955" s="34" t="s">
        <v>57</v>
      </c>
      <c r="C3955" s="34" t="s">
        <v>126</v>
      </c>
      <c r="D3955" s="34" t="s">
        <v>4444</v>
      </c>
      <c r="E3955" s="4" t="n">
        <v>5</v>
      </c>
      <c r="F3955" s="4" t="s">
        <v>213</v>
      </c>
      <c r="G3955" s="4" t="s">
        <v>902</v>
      </c>
      <c r="H3955" s="4" t="n">
        <v>1928</v>
      </c>
      <c r="I3955" s="4" t="s">
        <v>248</v>
      </c>
      <c r="J3955" s="25" t="str">
        <f aca="false">IF(M3955=1,"✓","")</f>
        <v/>
      </c>
      <c r="K3955" s="4" t="str">
        <f aca="false">IF(AND(M3955=0,P3955=0),"▶ NEXT","")</f>
        <v/>
      </c>
      <c r="L3955" s="4" t="n">
        <f aca="false">INDEX('Master List'!$F$2:$F$2594,O3955)</f>
        <v>2</v>
      </c>
      <c r="M3955" s="4" t="n">
        <f aca="false">INDEX('Master List'!$G$2:$G$2594,O3955)</f>
        <v>0</v>
      </c>
      <c r="N3955" s="4" t="str">
        <f aca="false">IF(K3955="","",A3955)</f>
        <v/>
      </c>
      <c r="O3955" s="4" t="n">
        <v>2133</v>
      </c>
      <c r="P3955" s="4" t="n">
        <f aca="false">IF(A3955=A3954,P3954+1-M3954,0)</f>
        <v>3</v>
      </c>
    </row>
    <row r="3956" customFormat="false" ht="15" hidden="false" customHeight="false" outlineLevel="0" collapsed="false">
      <c r="A3956" s="34" t="s">
        <v>4443</v>
      </c>
      <c r="B3956" s="34" t="s">
        <v>57</v>
      </c>
      <c r="C3956" s="34" t="s">
        <v>126</v>
      </c>
      <c r="D3956" s="34" t="s">
        <v>4444</v>
      </c>
      <c r="E3956" s="4" t="n">
        <v>6</v>
      </c>
      <c r="F3956" s="4" t="s">
        <v>213</v>
      </c>
      <c r="G3956" s="4" t="s">
        <v>1723</v>
      </c>
      <c r="H3956" s="4" t="n">
        <v>1931</v>
      </c>
      <c r="I3956" s="4" t="s">
        <v>299</v>
      </c>
      <c r="J3956" s="25" t="str">
        <f aca="false">IF(M3956=1,"✓","")</f>
        <v/>
      </c>
      <c r="K3956" s="4" t="str">
        <f aca="false">IF(AND(M3956=0,P3956=0),"▶ NEXT","")</f>
        <v/>
      </c>
      <c r="L3956" s="4" t="n">
        <f aca="false">INDEX('Master List'!$F$2:$F$2594,O3956)</f>
        <v>1</v>
      </c>
      <c r="M3956" s="4" t="n">
        <f aca="false">INDEX('Master List'!$G$2:$G$2594,O3956)</f>
        <v>0</v>
      </c>
      <c r="N3956" s="4" t="str">
        <f aca="false">IF(K3956="","",A3956)</f>
        <v/>
      </c>
      <c r="O3956" s="4" t="n">
        <v>2228</v>
      </c>
      <c r="P3956" s="4" t="n">
        <f aca="false">IF(A3956=A3955,P3955+1-M3955,0)</f>
        <v>4</v>
      </c>
    </row>
    <row r="3957" customFormat="false" ht="15" hidden="false" customHeight="false" outlineLevel="0" collapsed="false">
      <c r="A3957" s="34" t="s">
        <v>4443</v>
      </c>
      <c r="B3957" s="34" t="s">
        <v>57</v>
      </c>
      <c r="C3957" s="34" t="s">
        <v>126</v>
      </c>
      <c r="D3957" s="34" t="s">
        <v>4444</v>
      </c>
      <c r="E3957" s="4" t="n">
        <v>7</v>
      </c>
      <c r="F3957" s="4" t="s">
        <v>213</v>
      </c>
      <c r="G3957" s="4" t="s">
        <v>376</v>
      </c>
      <c r="H3957" s="4" t="n">
        <v>1964</v>
      </c>
      <c r="I3957" s="4" t="s">
        <v>377</v>
      </c>
      <c r="J3957" s="25" t="str">
        <f aca="false">IF(M3957=1,"✓","")</f>
        <v/>
      </c>
      <c r="K3957" s="4" t="str">
        <f aca="false">IF(AND(M3957=0,P3957=0),"▶ NEXT","")</f>
        <v/>
      </c>
      <c r="L3957" s="4" t="n">
        <f aca="false">INDEX('Master List'!$F$2:$F$2594,O3957)</f>
        <v>4</v>
      </c>
      <c r="M3957" s="4" t="n">
        <f aca="false">INDEX('Master List'!$G$2:$G$2594,O3957)</f>
        <v>0</v>
      </c>
      <c r="N3957" s="4" t="str">
        <f aca="false">IF(K3957="","",A3957)</f>
        <v/>
      </c>
      <c r="O3957" s="4" t="n">
        <v>1683</v>
      </c>
      <c r="P3957" s="4" t="n">
        <f aca="false">IF(A3957=A3956,P3956+1-M3956,0)</f>
        <v>5</v>
      </c>
    </row>
    <row r="3958" customFormat="false" ht="15" hidden="false" customHeight="false" outlineLevel="0" collapsed="false">
      <c r="A3958" s="34" t="s">
        <v>4443</v>
      </c>
      <c r="B3958" s="34" t="s">
        <v>57</v>
      </c>
      <c r="C3958" s="34" t="s">
        <v>126</v>
      </c>
      <c r="D3958" s="34" t="s">
        <v>4444</v>
      </c>
      <c r="E3958" s="4" t="n">
        <v>8</v>
      </c>
      <c r="F3958" s="4" t="s">
        <v>213</v>
      </c>
      <c r="G3958" s="4" t="s">
        <v>1000</v>
      </c>
      <c r="H3958" s="4" t="n">
        <v>1968</v>
      </c>
      <c r="I3958" s="4" t="s">
        <v>377</v>
      </c>
      <c r="J3958" s="25" t="str">
        <f aca="false">IF(M3958=1,"✓","")</f>
        <v/>
      </c>
      <c r="K3958" s="4" t="str">
        <f aca="false">IF(AND(M3958=0,P3958=0),"▶ NEXT","")</f>
        <v/>
      </c>
      <c r="L3958" s="4" t="n">
        <f aca="false">INDEX('Master List'!$F$2:$F$2594,O3958)</f>
        <v>2</v>
      </c>
      <c r="M3958" s="4" t="n">
        <f aca="false">INDEX('Master List'!$G$2:$G$2594,O3958)</f>
        <v>0</v>
      </c>
      <c r="N3958" s="4" t="str">
        <f aca="false">IF(K3958="","",A3958)</f>
        <v/>
      </c>
      <c r="O3958" s="4" t="n">
        <v>1274</v>
      </c>
      <c r="P3958" s="4" t="n">
        <f aca="false">IF(A3958=A3957,P3957+1-M3957,0)</f>
        <v>6</v>
      </c>
    </row>
    <row r="3959" customFormat="false" ht="15" hidden="false" customHeight="false" outlineLevel="0" collapsed="false">
      <c r="A3959" s="34" t="s">
        <v>4443</v>
      </c>
      <c r="B3959" s="34" t="s">
        <v>57</v>
      </c>
      <c r="C3959" s="34" t="s">
        <v>126</v>
      </c>
      <c r="D3959" s="34" t="s">
        <v>4444</v>
      </c>
      <c r="E3959" s="4" t="n">
        <v>9</v>
      </c>
      <c r="F3959" s="4" t="s">
        <v>213</v>
      </c>
      <c r="G3959" s="4" t="s">
        <v>575</v>
      </c>
      <c r="H3959" s="4" t="n">
        <v>1954</v>
      </c>
      <c r="I3959" s="4" t="s">
        <v>286</v>
      </c>
      <c r="J3959" s="25" t="str">
        <f aca="false">IF(M3959=1,"✓","")</f>
        <v/>
      </c>
      <c r="K3959" s="4" t="str">
        <f aca="false">IF(AND(M3959=0,P3959=0),"▶ NEXT","")</f>
        <v/>
      </c>
      <c r="L3959" s="4" t="n">
        <f aca="false">INDEX('Master List'!$F$2:$F$2594,O3959)</f>
        <v>3</v>
      </c>
      <c r="M3959" s="4" t="n">
        <f aca="false">INDEX('Master List'!$G$2:$G$2594,O3959)</f>
        <v>0</v>
      </c>
      <c r="N3959" s="4" t="str">
        <f aca="false">IF(K3959="","",A3959)</f>
        <v/>
      </c>
      <c r="O3959" s="4" t="n">
        <v>1970</v>
      </c>
      <c r="P3959" s="4" t="n">
        <f aca="false">IF(A3959=A3958,P3958+1-M3958,0)</f>
        <v>7</v>
      </c>
    </row>
    <row r="3960" customFormat="false" ht="15" hidden="false" customHeight="false" outlineLevel="0" collapsed="false">
      <c r="A3960" s="34" t="s">
        <v>4443</v>
      </c>
      <c r="B3960" s="34" t="s">
        <v>57</v>
      </c>
      <c r="C3960" s="34" t="s">
        <v>126</v>
      </c>
      <c r="D3960" s="34" t="s">
        <v>4444</v>
      </c>
      <c r="E3960" s="4" t="n">
        <v>10</v>
      </c>
      <c r="F3960" s="4" t="s">
        <v>213</v>
      </c>
      <c r="G3960" s="4" t="s">
        <v>504</v>
      </c>
      <c r="H3960" s="4" t="n">
        <v>1997</v>
      </c>
      <c r="I3960" s="4" t="s">
        <v>505</v>
      </c>
      <c r="J3960" s="25" t="str">
        <f aca="false">IF(M3960=1,"✓","")</f>
        <v/>
      </c>
      <c r="K3960" s="4" t="str">
        <f aca="false">IF(AND(M3960=0,P3960=0),"▶ NEXT","")</f>
        <v/>
      </c>
      <c r="L3960" s="4" t="n">
        <f aca="false">INDEX('Master List'!$F$2:$F$2594,O3960)</f>
        <v>4</v>
      </c>
      <c r="M3960" s="4" t="n">
        <f aca="false">INDEX('Master List'!$G$2:$G$2594,O3960)</f>
        <v>0</v>
      </c>
      <c r="N3960" s="4" t="str">
        <f aca="false">IF(K3960="","",A3960)</f>
        <v/>
      </c>
      <c r="O3960" s="4" t="n">
        <v>548</v>
      </c>
      <c r="P3960" s="4" t="n">
        <f aca="false">IF(A3960=A3959,P3959+1-M3959,0)</f>
        <v>8</v>
      </c>
    </row>
    <row r="3961" customFormat="false" ht="15" hidden="false" customHeight="false" outlineLevel="0" collapsed="false">
      <c r="A3961" s="34" t="s">
        <v>4443</v>
      </c>
      <c r="B3961" s="34" t="s">
        <v>57</v>
      </c>
      <c r="C3961" s="34" t="s">
        <v>126</v>
      </c>
      <c r="D3961" s="34" t="s">
        <v>4444</v>
      </c>
      <c r="E3961" s="4" t="n">
        <v>11</v>
      </c>
      <c r="F3961" s="4" t="s">
        <v>1327</v>
      </c>
      <c r="G3961" s="4" t="s">
        <v>1306</v>
      </c>
      <c r="H3961" s="4" t="n">
        <v>1933</v>
      </c>
      <c r="I3961" s="4" t="s">
        <v>1307</v>
      </c>
      <c r="J3961" s="25" t="str">
        <f aca="false">IF(M3961=1,"✓","")</f>
        <v/>
      </c>
      <c r="K3961" s="4" t="str">
        <f aca="false">IF(AND(M3961=0,P3961=0),"▶ NEXT","")</f>
        <v/>
      </c>
      <c r="L3961" s="4" t="n">
        <f aca="false">INDEX('Master List'!$F$2:$F$2594,O3961)</f>
        <v>2</v>
      </c>
      <c r="M3961" s="4" t="n">
        <f aca="false">INDEX('Master List'!$G$2:$G$2594,O3961)</f>
        <v>0</v>
      </c>
      <c r="N3961" s="4" t="str">
        <f aca="false">IF(K3961="","",A3961)</f>
        <v/>
      </c>
      <c r="O3961" s="4" t="n">
        <v>2115</v>
      </c>
      <c r="P3961" s="4" t="n">
        <f aca="false">IF(A3961=A3960,P3960+1-M3960,0)</f>
        <v>9</v>
      </c>
    </row>
    <row r="3962" customFormat="false" ht="15" hidden="false" customHeight="false" outlineLevel="0" collapsed="false">
      <c r="A3962" s="34" t="s">
        <v>4443</v>
      </c>
      <c r="B3962" s="34" t="s">
        <v>57</v>
      </c>
      <c r="C3962" s="34" t="s">
        <v>126</v>
      </c>
      <c r="D3962" s="34" t="s">
        <v>4444</v>
      </c>
      <c r="E3962" s="4" t="n">
        <v>12</v>
      </c>
      <c r="F3962" s="4" t="s">
        <v>1327</v>
      </c>
      <c r="G3962" s="4" t="s">
        <v>700</v>
      </c>
      <c r="H3962" s="4" t="n">
        <v>1952</v>
      </c>
      <c r="I3962" s="4" t="s">
        <v>286</v>
      </c>
      <c r="J3962" s="25" t="str">
        <f aca="false">IF(M3962=1,"✓","")</f>
        <v/>
      </c>
      <c r="K3962" s="4" t="str">
        <f aca="false">IF(AND(M3962=0,P3962=0),"▶ NEXT","")</f>
        <v/>
      </c>
      <c r="L3962" s="4" t="n">
        <f aca="false">INDEX('Master List'!$F$2:$F$2594,O3962)</f>
        <v>3</v>
      </c>
      <c r="M3962" s="4" t="n">
        <f aca="false">INDEX('Master List'!$G$2:$G$2594,O3962)</f>
        <v>0</v>
      </c>
      <c r="N3962" s="4" t="str">
        <f aca="false">IF(K3962="","",A3962)</f>
        <v/>
      </c>
      <c r="O3962" s="4" t="n">
        <v>1334</v>
      </c>
      <c r="P3962" s="4" t="n">
        <f aca="false">IF(A3962=A3961,P3961+1-M3961,0)</f>
        <v>10</v>
      </c>
    </row>
    <row r="3963" customFormat="false" ht="15" hidden="false" customHeight="false" outlineLevel="0" collapsed="false">
      <c r="A3963" s="34" t="s">
        <v>4445</v>
      </c>
      <c r="B3963" s="34" t="s">
        <v>57</v>
      </c>
      <c r="C3963" s="34" t="s">
        <v>126</v>
      </c>
      <c r="D3963" s="34" t="s">
        <v>4446</v>
      </c>
      <c r="E3963" s="4" t="n">
        <v>1</v>
      </c>
      <c r="F3963" s="4" t="s">
        <v>144</v>
      </c>
      <c r="G3963" s="7" t="s">
        <v>780</v>
      </c>
      <c r="H3963" s="4" t="n">
        <v>1969</v>
      </c>
      <c r="I3963" s="4" t="s">
        <v>781</v>
      </c>
      <c r="J3963" s="25" t="str">
        <f aca="false">IF(M3963=1,"✓","")</f>
        <v/>
      </c>
      <c r="K3963" s="4" t="str">
        <f aca="false">IF(AND(M3963=0,P3963=0),"▶ NEXT","")</f>
        <v>▶ NEXT</v>
      </c>
      <c r="L3963" s="4" t="n">
        <f aca="false">INDEX('Master List'!$F$2:$F$2594,O3963)</f>
        <v>2</v>
      </c>
      <c r="M3963" s="4" t="n">
        <f aca="false">INDEX('Master List'!$G$2:$G$2594,O3963)</f>
        <v>0</v>
      </c>
      <c r="N3963" s="4" t="str">
        <f aca="false">IF(K3963="","",A3963)</f>
        <v>N311</v>
      </c>
      <c r="O3963" s="4" t="n">
        <v>533</v>
      </c>
      <c r="P3963" s="4" t="n">
        <f aca="false">IF(A3963=A3962,P3962+1-M3962,0)</f>
        <v>0</v>
      </c>
    </row>
    <row r="3964" customFormat="false" ht="15" hidden="false" customHeight="false" outlineLevel="0" collapsed="false">
      <c r="A3964" s="34" t="s">
        <v>4445</v>
      </c>
      <c r="B3964" s="34" t="s">
        <v>57</v>
      </c>
      <c r="C3964" s="34" t="s">
        <v>126</v>
      </c>
      <c r="D3964" s="34" t="s">
        <v>4446</v>
      </c>
      <c r="E3964" s="4" t="n">
        <v>2</v>
      </c>
      <c r="F3964" s="4" t="s">
        <v>144</v>
      </c>
      <c r="G3964" s="7" t="s">
        <v>979</v>
      </c>
      <c r="H3964" s="4" t="n">
        <v>1964</v>
      </c>
      <c r="I3964" s="4" t="s">
        <v>980</v>
      </c>
      <c r="J3964" s="25" t="str">
        <f aca="false">IF(M3964=1,"✓","")</f>
        <v/>
      </c>
      <c r="K3964" s="4" t="str">
        <f aca="false">IF(AND(M3964=0,P3964=0),"▶ NEXT","")</f>
        <v/>
      </c>
      <c r="L3964" s="4" t="n">
        <f aca="false">INDEX('Master List'!$F$2:$F$2594,O3964)</f>
        <v>2</v>
      </c>
      <c r="M3964" s="4" t="n">
        <f aca="false">INDEX('Master List'!$G$2:$G$2594,O3964)</f>
        <v>0</v>
      </c>
      <c r="N3964" s="4" t="str">
        <f aca="false">IF(K3964="","",A3964)</f>
        <v/>
      </c>
      <c r="O3964" s="4" t="n">
        <v>626</v>
      </c>
      <c r="P3964" s="4" t="n">
        <f aca="false">IF(A3964=A3963,P3963+1-M3963,0)</f>
        <v>1</v>
      </c>
    </row>
    <row r="3965" customFormat="false" ht="15" hidden="false" customHeight="false" outlineLevel="0" collapsed="false">
      <c r="A3965" s="34" t="s">
        <v>4445</v>
      </c>
      <c r="B3965" s="34" t="s">
        <v>57</v>
      </c>
      <c r="C3965" s="34" t="s">
        <v>126</v>
      </c>
      <c r="D3965" s="34" t="s">
        <v>4446</v>
      </c>
      <c r="E3965" s="4" t="n">
        <v>3</v>
      </c>
      <c r="F3965" s="4" t="s">
        <v>213</v>
      </c>
      <c r="G3965" s="4" t="s">
        <v>1333</v>
      </c>
      <c r="H3965" s="4" t="n">
        <v>1966</v>
      </c>
      <c r="I3965" s="4" t="s">
        <v>980</v>
      </c>
      <c r="J3965" s="25" t="str">
        <f aca="false">IF(M3965=1,"✓","")</f>
        <v/>
      </c>
      <c r="K3965" s="4" t="str">
        <f aca="false">IF(AND(M3965=0,P3965=0),"▶ NEXT","")</f>
        <v/>
      </c>
      <c r="L3965" s="4" t="n">
        <f aca="false">INDEX('Master List'!$F$2:$F$2594,O3965)</f>
        <v>2</v>
      </c>
      <c r="M3965" s="4" t="n">
        <f aca="false">INDEX('Master List'!$G$2:$G$2594,O3965)</f>
        <v>0</v>
      </c>
      <c r="N3965" s="4" t="str">
        <f aca="false">IF(K3965="","",A3965)</f>
        <v/>
      </c>
      <c r="O3965" s="4" t="n">
        <v>1888</v>
      </c>
      <c r="P3965" s="4" t="n">
        <f aca="false">IF(A3965=A3964,P3964+1-M3964,0)</f>
        <v>2</v>
      </c>
    </row>
    <row r="3966" customFormat="false" ht="15" hidden="false" customHeight="false" outlineLevel="0" collapsed="false">
      <c r="A3966" s="34" t="s">
        <v>4445</v>
      </c>
      <c r="B3966" s="34" t="s">
        <v>57</v>
      </c>
      <c r="C3966" s="34" t="s">
        <v>126</v>
      </c>
      <c r="D3966" s="34" t="s">
        <v>4446</v>
      </c>
      <c r="E3966" s="4" t="n">
        <v>4</v>
      </c>
      <c r="F3966" s="4" t="s">
        <v>213</v>
      </c>
      <c r="G3966" s="4" t="s">
        <v>989</v>
      </c>
      <c r="H3966" s="4" t="n">
        <v>1967</v>
      </c>
      <c r="I3966" s="4" t="s">
        <v>990</v>
      </c>
      <c r="J3966" s="25" t="str">
        <f aca="false">IF(M3966=1,"✓","")</f>
        <v/>
      </c>
      <c r="K3966" s="4" t="str">
        <f aca="false">IF(AND(M3966=0,P3966=0),"▶ NEXT","")</f>
        <v/>
      </c>
      <c r="L3966" s="4" t="n">
        <f aca="false">INDEX('Master List'!$F$2:$F$2594,O3966)</f>
        <v>2</v>
      </c>
      <c r="M3966" s="4" t="n">
        <f aca="false">INDEX('Master List'!$G$2:$G$2594,O3966)</f>
        <v>0</v>
      </c>
      <c r="N3966" s="4" t="str">
        <f aca="false">IF(K3966="","",A3966)</f>
        <v/>
      </c>
      <c r="O3966" s="4" t="n">
        <v>1448</v>
      </c>
      <c r="P3966" s="4" t="n">
        <f aca="false">IF(A3966=A3965,P3965+1-M3965,0)</f>
        <v>3</v>
      </c>
    </row>
    <row r="3967" customFormat="false" ht="15" hidden="false" customHeight="false" outlineLevel="0" collapsed="false">
      <c r="A3967" s="34" t="s">
        <v>4445</v>
      </c>
      <c r="B3967" s="34" t="s">
        <v>57</v>
      </c>
      <c r="C3967" s="34" t="s">
        <v>126</v>
      </c>
      <c r="D3967" s="34" t="s">
        <v>4446</v>
      </c>
      <c r="E3967" s="4" t="n">
        <v>5</v>
      </c>
      <c r="F3967" s="4" t="s">
        <v>213</v>
      </c>
      <c r="G3967" s="4" t="s">
        <v>1349</v>
      </c>
      <c r="H3967" s="4" t="n">
        <v>1973</v>
      </c>
      <c r="I3967" s="4" t="s">
        <v>1350</v>
      </c>
      <c r="J3967" s="25" t="str">
        <f aca="false">IF(M3967=1,"✓","")</f>
        <v/>
      </c>
      <c r="K3967" s="4" t="str">
        <f aca="false">IF(AND(M3967=0,P3967=0),"▶ NEXT","")</f>
        <v/>
      </c>
      <c r="L3967" s="4" t="n">
        <f aca="false">INDEX('Master List'!$F$2:$F$2594,O3967)</f>
        <v>2</v>
      </c>
      <c r="M3967" s="4" t="n">
        <f aca="false">INDEX('Master List'!$G$2:$G$2594,O3967)</f>
        <v>0</v>
      </c>
      <c r="N3967" s="4" t="str">
        <f aca="false">IF(K3967="","",A3967)</f>
        <v/>
      </c>
      <c r="O3967" s="4" t="n">
        <v>1071</v>
      </c>
      <c r="P3967" s="4" t="n">
        <f aca="false">IF(A3967=A3966,P3966+1-M3966,0)</f>
        <v>4</v>
      </c>
    </row>
    <row r="3968" customFormat="false" ht="15" hidden="false" customHeight="false" outlineLevel="0" collapsed="false">
      <c r="A3968" s="34" t="s">
        <v>4445</v>
      </c>
      <c r="B3968" s="34" t="s">
        <v>57</v>
      </c>
      <c r="C3968" s="34" t="s">
        <v>126</v>
      </c>
      <c r="D3968" s="34" t="s">
        <v>4446</v>
      </c>
      <c r="E3968" s="4" t="n">
        <v>6</v>
      </c>
      <c r="F3968" s="4" t="s">
        <v>213</v>
      </c>
      <c r="G3968" s="4" t="s">
        <v>770</v>
      </c>
      <c r="H3968" s="4" t="n">
        <v>1966</v>
      </c>
      <c r="I3968" s="4" t="s">
        <v>771</v>
      </c>
      <c r="J3968" s="25" t="str">
        <f aca="false">IF(M3968=1,"✓","")</f>
        <v/>
      </c>
      <c r="K3968" s="4" t="str">
        <f aca="false">IF(AND(M3968=0,P3968=0),"▶ NEXT","")</f>
        <v/>
      </c>
      <c r="L3968" s="4" t="n">
        <f aca="false">INDEX('Master List'!$F$2:$F$2594,O3968)</f>
        <v>2</v>
      </c>
      <c r="M3968" s="4" t="n">
        <f aca="false">INDEX('Master List'!$G$2:$G$2594,O3968)</f>
        <v>0</v>
      </c>
      <c r="N3968" s="4" t="str">
        <f aca="false">IF(K3968="","",A3968)</f>
        <v/>
      </c>
      <c r="O3968" s="4" t="n">
        <v>1939</v>
      </c>
      <c r="P3968" s="4" t="n">
        <f aca="false">IF(A3968=A3967,P3967+1-M3967,0)</f>
        <v>5</v>
      </c>
    </row>
    <row r="3969" customFormat="false" ht="15" hidden="false" customHeight="false" outlineLevel="0" collapsed="false">
      <c r="A3969" s="34" t="s">
        <v>4445</v>
      </c>
      <c r="B3969" s="34" t="s">
        <v>57</v>
      </c>
      <c r="C3969" s="34" t="s">
        <v>126</v>
      </c>
      <c r="D3969" s="34" t="s">
        <v>4446</v>
      </c>
      <c r="E3969" s="4" t="n">
        <v>7</v>
      </c>
      <c r="F3969" s="4" t="s">
        <v>213</v>
      </c>
      <c r="G3969" s="4" t="s">
        <v>227</v>
      </c>
      <c r="H3969" s="4" t="n">
        <v>1966</v>
      </c>
      <c r="I3969" s="4" t="s">
        <v>228</v>
      </c>
      <c r="J3969" s="25" t="str">
        <f aca="false">IF(M3969=1,"✓","")</f>
        <v/>
      </c>
      <c r="K3969" s="4" t="str">
        <f aca="false">IF(AND(M3969=0,P3969=0),"▶ NEXT","")</f>
        <v/>
      </c>
      <c r="L3969" s="4" t="n">
        <f aca="false">INDEX('Master List'!$F$2:$F$2594,O3969)</f>
        <v>6</v>
      </c>
      <c r="M3969" s="4" t="n">
        <f aca="false">INDEX('Master List'!$G$2:$G$2594,O3969)</f>
        <v>0</v>
      </c>
      <c r="N3969" s="4" t="str">
        <f aca="false">IF(K3969="","",A3969)</f>
        <v/>
      </c>
      <c r="O3969" s="4" t="n">
        <v>554</v>
      </c>
      <c r="P3969" s="4" t="n">
        <f aca="false">IF(A3969=A3968,P3968+1-M3968,0)</f>
        <v>6</v>
      </c>
    </row>
    <row r="3970" customFormat="false" ht="15" hidden="false" customHeight="false" outlineLevel="0" collapsed="false">
      <c r="A3970" s="34" t="s">
        <v>4445</v>
      </c>
      <c r="B3970" s="34" t="s">
        <v>57</v>
      </c>
      <c r="C3970" s="34" t="s">
        <v>126</v>
      </c>
      <c r="D3970" s="34" t="s">
        <v>4446</v>
      </c>
      <c r="E3970" s="4" t="n">
        <v>8</v>
      </c>
      <c r="F3970" s="4" t="s">
        <v>213</v>
      </c>
      <c r="G3970" s="4" t="s">
        <v>1339</v>
      </c>
      <c r="H3970" s="4" t="n">
        <v>1969</v>
      </c>
      <c r="I3970" s="4" t="s">
        <v>1340</v>
      </c>
      <c r="J3970" s="25" t="str">
        <f aca="false">IF(M3970=1,"✓","")</f>
        <v/>
      </c>
      <c r="K3970" s="4" t="str">
        <f aca="false">IF(AND(M3970=0,P3970=0),"▶ NEXT","")</f>
        <v/>
      </c>
      <c r="L3970" s="4" t="n">
        <f aca="false">INDEX('Master List'!$F$2:$F$2594,O3970)</f>
        <v>2</v>
      </c>
      <c r="M3970" s="4" t="n">
        <f aca="false">INDEX('Master List'!$G$2:$G$2594,O3970)</f>
        <v>0</v>
      </c>
      <c r="N3970" s="4" t="str">
        <f aca="false">IF(K3970="","",A3970)</f>
        <v/>
      </c>
      <c r="O3970" s="4" t="n">
        <v>1217</v>
      </c>
      <c r="P3970" s="4" t="n">
        <f aca="false">IF(A3970=A3969,P3969+1-M3969,0)</f>
        <v>7</v>
      </c>
    </row>
    <row r="3971" customFormat="false" ht="15" hidden="false" customHeight="false" outlineLevel="0" collapsed="false">
      <c r="A3971" s="34" t="s">
        <v>4445</v>
      </c>
      <c r="B3971" s="34" t="s">
        <v>57</v>
      </c>
      <c r="C3971" s="34" t="s">
        <v>126</v>
      </c>
      <c r="D3971" s="34" t="s">
        <v>4446</v>
      </c>
      <c r="E3971" s="4" t="n">
        <v>9</v>
      </c>
      <c r="F3971" s="4" t="s">
        <v>1327</v>
      </c>
      <c r="G3971" s="4" t="s">
        <v>1646</v>
      </c>
      <c r="H3971" s="4" t="n">
        <v>1961</v>
      </c>
      <c r="I3971" s="4" t="s">
        <v>1647</v>
      </c>
      <c r="J3971" s="25" t="str">
        <f aca="false">IF(M3971=1,"✓","")</f>
        <v/>
      </c>
      <c r="K3971" s="4" t="str">
        <f aca="false">IF(AND(M3971=0,P3971=0),"▶ NEXT","")</f>
        <v/>
      </c>
      <c r="L3971" s="4" t="n">
        <f aca="false">INDEX('Master List'!$F$2:$F$2594,O3971)</f>
        <v>2</v>
      </c>
      <c r="M3971" s="4" t="n">
        <f aca="false">INDEX('Master List'!$G$2:$G$2594,O3971)</f>
        <v>0</v>
      </c>
      <c r="N3971" s="4" t="str">
        <f aca="false">IF(K3971="","",A3971)</f>
        <v/>
      </c>
      <c r="O3971" s="4" t="n">
        <v>1540</v>
      </c>
      <c r="P3971" s="4" t="n">
        <f aca="false">IF(A3971=A3970,P3970+1-M3970,0)</f>
        <v>8</v>
      </c>
    </row>
    <row r="3972" customFormat="false" ht="15" hidden="false" customHeight="false" outlineLevel="0" collapsed="false">
      <c r="A3972" s="34" t="s">
        <v>4447</v>
      </c>
      <c r="B3972" s="34" t="s">
        <v>57</v>
      </c>
      <c r="C3972" s="34" t="s">
        <v>126</v>
      </c>
      <c r="D3972" s="34" t="s">
        <v>4448</v>
      </c>
      <c r="E3972" s="4" t="n">
        <v>1</v>
      </c>
      <c r="F3972" s="4" t="s">
        <v>144</v>
      </c>
      <c r="G3972" s="7" t="s">
        <v>339</v>
      </c>
      <c r="H3972" s="4" t="n">
        <v>1973</v>
      </c>
      <c r="I3972" s="4" t="s">
        <v>340</v>
      </c>
      <c r="J3972" s="25" t="str">
        <f aca="false">IF(M3972=1,"✓","")</f>
        <v/>
      </c>
      <c r="K3972" s="4" t="str">
        <f aca="false">IF(AND(M3972=0,P3972=0),"▶ NEXT","")</f>
        <v>▶ NEXT</v>
      </c>
      <c r="L3972" s="4" t="n">
        <f aca="false">INDEX('Master List'!$F$2:$F$2594,O3972)</f>
        <v>4</v>
      </c>
      <c r="M3972" s="4" t="n">
        <f aca="false">INDEX('Master List'!$G$2:$G$2594,O3972)</f>
        <v>0</v>
      </c>
      <c r="N3972" s="4" t="str">
        <f aca="false">IF(K3972="","",A3972)</f>
        <v>N312</v>
      </c>
      <c r="O3972" s="4" t="n">
        <v>2349</v>
      </c>
      <c r="P3972" s="4" t="n">
        <f aca="false">IF(A3972=A3971,P3971+1-M3971,0)</f>
        <v>0</v>
      </c>
    </row>
    <row r="3973" customFormat="false" ht="15" hidden="false" customHeight="false" outlineLevel="0" collapsed="false">
      <c r="A3973" s="34" t="s">
        <v>4447</v>
      </c>
      <c r="B3973" s="34" t="s">
        <v>57</v>
      </c>
      <c r="C3973" s="34" t="s">
        <v>126</v>
      </c>
      <c r="D3973" s="34" t="s">
        <v>4448</v>
      </c>
      <c r="E3973" s="4" t="n">
        <v>2</v>
      </c>
      <c r="F3973" s="4" t="s">
        <v>144</v>
      </c>
      <c r="G3973" s="7" t="s">
        <v>660</v>
      </c>
      <c r="H3973" s="4" t="n">
        <v>1960</v>
      </c>
      <c r="I3973" s="4" t="s">
        <v>661</v>
      </c>
      <c r="J3973" s="25" t="str">
        <f aca="false">IF(M3973=1,"✓","")</f>
        <v/>
      </c>
      <c r="K3973" s="4" t="str">
        <f aca="false">IF(AND(M3973=0,P3973=0),"▶ NEXT","")</f>
        <v/>
      </c>
      <c r="L3973" s="4" t="n">
        <f aca="false">INDEX('Master List'!$F$2:$F$2594,O3973)</f>
        <v>2</v>
      </c>
      <c r="M3973" s="4" t="n">
        <f aca="false">INDEX('Master List'!$G$2:$G$2594,O3973)</f>
        <v>0</v>
      </c>
      <c r="N3973" s="4" t="str">
        <f aca="false">IF(K3973="","",A3973)</f>
        <v/>
      </c>
      <c r="O3973" s="4" t="n">
        <v>1077</v>
      </c>
      <c r="P3973" s="4" t="n">
        <f aca="false">IF(A3973=A3972,P3972+1-M3972,0)</f>
        <v>1</v>
      </c>
    </row>
    <row r="3974" customFormat="false" ht="15" hidden="false" customHeight="false" outlineLevel="0" collapsed="false">
      <c r="A3974" s="34" t="s">
        <v>4447</v>
      </c>
      <c r="B3974" s="34" t="s">
        <v>57</v>
      </c>
      <c r="C3974" s="34" t="s">
        <v>126</v>
      </c>
      <c r="D3974" s="34" t="s">
        <v>4448</v>
      </c>
      <c r="E3974" s="4" t="n">
        <v>3</v>
      </c>
      <c r="F3974" s="4" t="s">
        <v>213</v>
      </c>
      <c r="G3974" s="4" t="s">
        <v>1769</v>
      </c>
      <c r="H3974" s="4" t="n">
        <v>1936</v>
      </c>
      <c r="I3974" s="4" t="s">
        <v>1770</v>
      </c>
      <c r="J3974" s="25" t="str">
        <f aca="false">IF(M3974=1,"✓","")</f>
        <v/>
      </c>
      <c r="K3974" s="4" t="str">
        <f aca="false">IF(AND(M3974=0,P3974=0),"▶ NEXT","")</f>
        <v/>
      </c>
      <c r="L3974" s="4" t="n">
        <f aca="false">INDEX('Master List'!$F$2:$F$2594,O3974)</f>
        <v>1</v>
      </c>
      <c r="M3974" s="4" t="n">
        <f aca="false">INDEX('Master List'!$G$2:$G$2594,O3974)</f>
        <v>0</v>
      </c>
      <c r="N3974" s="4" t="str">
        <f aca="false">IF(K3974="","",A3974)</f>
        <v/>
      </c>
      <c r="O3974" s="4" t="n">
        <v>1879</v>
      </c>
      <c r="P3974" s="4" t="n">
        <f aca="false">IF(A3974=A3973,P3973+1-M3973,0)</f>
        <v>2</v>
      </c>
    </row>
    <row r="3975" customFormat="false" ht="15" hidden="false" customHeight="false" outlineLevel="0" collapsed="false">
      <c r="A3975" s="34" t="s">
        <v>4447</v>
      </c>
      <c r="B3975" s="34" t="s">
        <v>57</v>
      </c>
      <c r="C3975" s="34" t="s">
        <v>126</v>
      </c>
      <c r="D3975" s="34" t="s">
        <v>4448</v>
      </c>
      <c r="E3975" s="4" t="n">
        <v>4</v>
      </c>
      <c r="F3975" s="4" t="s">
        <v>213</v>
      </c>
      <c r="G3975" s="4" t="s">
        <v>1328</v>
      </c>
      <c r="H3975" s="4" t="n">
        <v>1964</v>
      </c>
      <c r="I3975" s="4" t="s">
        <v>1329</v>
      </c>
      <c r="J3975" s="25" t="str">
        <f aca="false">IF(M3975=1,"✓","")</f>
        <v/>
      </c>
      <c r="K3975" s="4" t="str">
        <f aca="false">IF(AND(M3975=0,P3975=0),"▶ NEXT","")</f>
        <v/>
      </c>
      <c r="L3975" s="4" t="n">
        <f aca="false">INDEX('Master List'!$F$2:$F$2594,O3975)</f>
        <v>2</v>
      </c>
      <c r="M3975" s="4" t="n">
        <f aca="false">INDEX('Master List'!$G$2:$G$2594,O3975)</f>
        <v>0</v>
      </c>
      <c r="N3975" s="4" t="str">
        <f aca="false">IF(K3975="","",A3975)</f>
        <v/>
      </c>
      <c r="O3975" s="4" t="n">
        <v>685</v>
      </c>
      <c r="P3975" s="4" t="n">
        <f aca="false">IF(A3975=A3974,P3974+1-M3974,0)</f>
        <v>3</v>
      </c>
    </row>
    <row r="3976" customFormat="false" ht="15" hidden="false" customHeight="false" outlineLevel="0" collapsed="false">
      <c r="A3976" s="34" t="s">
        <v>4447</v>
      </c>
      <c r="B3976" s="34" t="s">
        <v>57</v>
      </c>
      <c r="C3976" s="34" t="s">
        <v>126</v>
      </c>
      <c r="D3976" s="34" t="s">
        <v>4448</v>
      </c>
      <c r="E3976" s="4" t="n">
        <v>5</v>
      </c>
      <c r="F3976" s="4" t="s">
        <v>213</v>
      </c>
      <c r="G3976" s="4" t="s">
        <v>2353</v>
      </c>
      <c r="H3976" s="4" t="n">
        <v>1981</v>
      </c>
      <c r="I3976" s="4" t="s">
        <v>2354</v>
      </c>
      <c r="J3976" s="25" t="str">
        <f aca="false">IF(M3976=1,"✓","")</f>
        <v/>
      </c>
      <c r="K3976" s="4" t="str">
        <f aca="false">IF(AND(M3976=0,P3976=0),"▶ NEXT","")</f>
        <v/>
      </c>
      <c r="L3976" s="4" t="n">
        <f aca="false">INDEX('Master List'!$F$2:$F$2594,O3976)</f>
        <v>1</v>
      </c>
      <c r="M3976" s="4" t="n">
        <f aca="false">INDEX('Master List'!$G$2:$G$2594,O3976)</f>
        <v>0</v>
      </c>
      <c r="N3976" s="4" t="str">
        <f aca="false">IF(K3976="","",A3976)</f>
        <v/>
      </c>
      <c r="O3976" s="4" t="n">
        <v>2360</v>
      </c>
      <c r="P3976" s="4" t="n">
        <f aca="false">IF(A3976=A3975,P3975+1-M3975,0)</f>
        <v>4</v>
      </c>
    </row>
    <row r="3977" customFormat="false" ht="15" hidden="false" customHeight="false" outlineLevel="0" collapsed="false">
      <c r="A3977" s="34" t="s">
        <v>4447</v>
      </c>
      <c r="B3977" s="34" t="s">
        <v>57</v>
      </c>
      <c r="C3977" s="34" t="s">
        <v>126</v>
      </c>
      <c r="D3977" s="34" t="s">
        <v>4448</v>
      </c>
      <c r="E3977" s="4" t="n">
        <v>6</v>
      </c>
      <c r="F3977" s="4" t="s">
        <v>213</v>
      </c>
      <c r="G3977" s="4" t="s">
        <v>2234</v>
      </c>
      <c r="H3977" s="4" t="n">
        <v>1973</v>
      </c>
      <c r="I3977" s="4" t="s">
        <v>1975</v>
      </c>
      <c r="J3977" s="25" t="str">
        <f aca="false">IF(M3977=1,"✓","")</f>
        <v/>
      </c>
      <c r="K3977" s="4" t="str">
        <f aca="false">IF(AND(M3977=0,P3977=0),"▶ NEXT","")</f>
        <v/>
      </c>
      <c r="L3977" s="4" t="n">
        <f aca="false">INDEX('Master List'!$F$2:$F$2594,O3977)</f>
        <v>1</v>
      </c>
      <c r="M3977" s="4" t="n">
        <f aca="false">INDEX('Master List'!$G$2:$G$2594,O3977)</f>
        <v>0</v>
      </c>
      <c r="N3977" s="4" t="str">
        <f aca="false">IF(K3977="","",A3977)</f>
        <v/>
      </c>
      <c r="O3977" s="4" t="n">
        <v>1912</v>
      </c>
      <c r="P3977" s="4" t="n">
        <f aca="false">IF(A3977=A3976,P3976+1-M3976,0)</f>
        <v>5</v>
      </c>
    </row>
    <row r="3978" customFormat="false" ht="15" hidden="false" customHeight="false" outlineLevel="0" collapsed="false">
      <c r="A3978" s="34" t="s">
        <v>4447</v>
      </c>
      <c r="B3978" s="34" t="s">
        <v>57</v>
      </c>
      <c r="C3978" s="34" t="s">
        <v>126</v>
      </c>
      <c r="D3978" s="34" t="s">
        <v>4448</v>
      </c>
      <c r="E3978" s="4" t="n">
        <v>7</v>
      </c>
      <c r="F3978" s="4" t="s">
        <v>213</v>
      </c>
      <c r="G3978" s="4" t="s">
        <v>1030</v>
      </c>
      <c r="H3978" s="4" t="n">
        <v>1976</v>
      </c>
      <c r="I3978" s="4" t="s">
        <v>803</v>
      </c>
      <c r="J3978" s="25" t="str">
        <f aca="false">IF(M3978=1,"✓","")</f>
        <v/>
      </c>
      <c r="K3978" s="4" t="str">
        <f aca="false">IF(AND(M3978=0,P3978=0),"▶ NEXT","")</f>
        <v/>
      </c>
      <c r="L3978" s="4" t="n">
        <f aca="false">INDEX('Master List'!$F$2:$F$2594,O3978)</f>
        <v>2</v>
      </c>
      <c r="M3978" s="4" t="n">
        <f aca="false">INDEX('Master List'!$G$2:$G$2594,O3978)</f>
        <v>0</v>
      </c>
      <c r="N3978" s="4" t="str">
        <f aca="false">IF(K3978="","",A3978)</f>
        <v/>
      </c>
      <c r="O3978" s="4" t="n">
        <v>1146</v>
      </c>
      <c r="P3978" s="4" t="n">
        <f aca="false">IF(A3978=A3977,P3977+1-M3977,0)</f>
        <v>6</v>
      </c>
    </row>
    <row r="3979" customFormat="false" ht="15" hidden="false" customHeight="false" outlineLevel="0" collapsed="false">
      <c r="A3979" s="34" t="s">
        <v>4447</v>
      </c>
      <c r="B3979" s="34" t="s">
        <v>57</v>
      </c>
      <c r="C3979" s="34" t="s">
        <v>126</v>
      </c>
      <c r="D3979" s="34" t="s">
        <v>4448</v>
      </c>
      <c r="E3979" s="4" t="n">
        <v>8</v>
      </c>
      <c r="F3979" s="4" t="s">
        <v>213</v>
      </c>
      <c r="G3979" s="4" t="s">
        <v>998</v>
      </c>
      <c r="H3979" s="4" t="n">
        <v>1968</v>
      </c>
      <c r="I3979" s="4" t="s">
        <v>999</v>
      </c>
      <c r="J3979" s="25" t="str">
        <f aca="false">IF(M3979=1,"✓","")</f>
        <v/>
      </c>
      <c r="K3979" s="4" t="str">
        <f aca="false">IF(AND(M3979=0,P3979=0),"▶ NEXT","")</f>
        <v/>
      </c>
      <c r="L3979" s="4" t="n">
        <f aca="false">INDEX('Master List'!$F$2:$F$2594,O3979)</f>
        <v>2</v>
      </c>
      <c r="M3979" s="4" t="n">
        <f aca="false">INDEX('Master List'!$G$2:$G$2594,O3979)</f>
        <v>0</v>
      </c>
      <c r="N3979" s="4" t="str">
        <f aca="false">IF(K3979="","",A3979)</f>
        <v/>
      </c>
      <c r="O3979" s="4" t="n">
        <v>1395</v>
      </c>
      <c r="P3979" s="4" t="n">
        <f aca="false">IF(A3979=A3978,P3978+1-M3978,0)</f>
        <v>7</v>
      </c>
    </row>
    <row r="3980" customFormat="false" ht="15" hidden="false" customHeight="false" outlineLevel="0" collapsed="false">
      <c r="A3980" s="34" t="s">
        <v>4447</v>
      </c>
      <c r="B3980" s="34" t="s">
        <v>57</v>
      </c>
      <c r="C3980" s="34" t="s">
        <v>126</v>
      </c>
      <c r="D3980" s="34" t="s">
        <v>4448</v>
      </c>
      <c r="E3980" s="4" t="n">
        <v>9</v>
      </c>
      <c r="F3980" s="4" t="s">
        <v>213</v>
      </c>
      <c r="G3980" s="4" t="s">
        <v>704</v>
      </c>
      <c r="H3980" s="4" t="n">
        <v>1970</v>
      </c>
      <c r="I3980" s="4" t="s">
        <v>705</v>
      </c>
      <c r="J3980" s="25" t="str">
        <f aca="false">IF(M3980=1,"✓","")</f>
        <v/>
      </c>
      <c r="K3980" s="4" t="str">
        <f aca="false">IF(AND(M3980=0,P3980=0),"▶ NEXT","")</f>
        <v/>
      </c>
      <c r="L3980" s="4" t="n">
        <f aca="false">INDEX('Master List'!$F$2:$F$2594,O3980)</f>
        <v>3</v>
      </c>
      <c r="M3980" s="4" t="n">
        <f aca="false">INDEX('Master List'!$G$2:$G$2594,O3980)</f>
        <v>0</v>
      </c>
      <c r="N3980" s="4" t="str">
        <f aca="false">IF(K3980="","",A3980)</f>
        <v/>
      </c>
      <c r="O3980" s="4" t="n">
        <v>2105</v>
      </c>
      <c r="P3980" s="4" t="n">
        <f aca="false">IF(A3980=A3979,P3979+1-M3979,0)</f>
        <v>8</v>
      </c>
    </row>
    <row r="3981" customFormat="false" ht="15" hidden="false" customHeight="false" outlineLevel="0" collapsed="false">
      <c r="A3981" s="34" t="s">
        <v>4447</v>
      </c>
      <c r="B3981" s="34" t="s">
        <v>57</v>
      </c>
      <c r="C3981" s="34" t="s">
        <v>126</v>
      </c>
      <c r="D3981" s="34" t="s">
        <v>4448</v>
      </c>
      <c r="E3981" s="4" t="n">
        <v>10</v>
      </c>
      <c r="F3981" s="4" t="s">
        <v>213</v>
      </c>
      <c r="G3981" s="4" t="s">
        <v>1072</v>
      </c>
      <c r="H3981" s="4" t="n">
        <v>1985</v>
      </c>
      <c r="I3981" s="4" t="s">
        <v>223</v>
      </c>
      <c r="J3981" s="25" t="str">
        <f aca="false">IF(M3981=1,"✓","")</f>
        <v/>
      </c>
      <c r="K3981" s="4" t="str">
        <f aca="false">IF(AND(M3981=0,P3981=0),"▶ NEXT","")</f>
        <v/>
      </c>
      <c r="L3981" s="4" t="n">
        <f aca="false">INDEX('Master List'!$F$2:$F$2594,O3981)</f>
        <v>2</v>
      </c>
      <c r="M3981" s="4" t="n">
        <f aca="false">INDEX('Master List'!$G$2:$G$2594,O3981)</f>
        <v>0</v>
      </c>
      <c r="N3981" s="4" t="str">
        <f aca="false">IF(K3981="","",A3981)</f>
        <v/>
      </c>
      <c r="O3981" s="4" t="n">
        <v>2229</v>
      </c>
      <c r="P3981" s="4" t="n">
        <f aca="false">IF(A3981=A3980,P3980+1-M3980,0)</f>
        <v>9</v>
      </c>
    </row>
    <row r="3982" customFormat="false" ht="15" hidden="false" customHeight="false" outlineLevel="0" collapsed="false">
      <c r="A3982" s="34" t="s">
        <v>4447</v>
      </c>
      <c r="B3982" s="34" t="s">
        <v>57</v>
      </c>
      <c r="C3982" s="34" t="s">
        <v>126</v>
      </c>
      <c r="D3982" s="34" t="s">
        <v>4448</v>
      </c>
      <c r="E3982" s="4" t="n">
        <v>11</v>
      </c>
      <c r="F3982" s="4" t="s">
        <v>213</v>
      </c>
      <c r="G3982" s="4" t="s">
        <v>1300</v>
      </c>
      <c r="H3982" s="4" t="n">
        <v>1931</v>
      </c>
      <c r="I3982" s="4" t="s">
        <v>1301</v>
      </c>
      <c r="J3982" s="25" t="str">
        <f aca="false">IF(M3982=1,"✓","")</f>
        <v/>
      </c>
      <c r="K3982" s="4" t="str">
        <f aca="false">IF(AND(M3982=0,P3982=0),"▶ NEXT","")</f>
        <v/>
      </c>
      <c r="L3982" s="4" t="n">
        <f aca="false">INDEX('Master List'!$F$2:$F$2594,O3982)</f>
        <v>2</v>
      </c>
      <c r="M3982" s="4" t="n">
        <f aca="false">INDEX('Master List'!$G$2:$G$2594,O3982)</f>
        <v>0</v>
      </c>
      <c r="N3982" s="4" t="str">
        <f aca="false">IF(K3982="","",A3982)</f>
        <v/>
      </c>
      <c r="O3982" s="4" t="n">
        <v>1342</v>
      </c>
      <c r="P3982" s="4" t="n">
        <f aca="false">IF(A3982=A3981,P3981+1-M3981,0)</f>
        <v>10</v>
      </c>
    </row>
    <row r="3983" customFormat="false" ht="15" hidden="false" customHeight="false" outlineLevel="0" collapsed="false">
      <c r="A3983" s="34" t="s">
        <v>4447</v>
      </c>
      <c r="B3983" s="34" t="s">
        <v>57</v>
      </c>
      <c r="C3983" s="34" t="s">
        <v>126</v>
      </c>
      <c r="D3983" s="34" t="s">
        <v>4448</v>
      </c>
      <c r="E3983" s="4" t="n">
        <v>12</v>
      </c>
      <c r="F3983" s="4" t="s">
        <v>213</v>
      </c>
      <c r="G3983" s="4" t="s">
        <v>1318</v>
      </c>
      <c r="H3983" s="4" t="n">
        <v>1954</v>
      </c>
      <c r="I3983" s="4" t="s">
        <v>1319</v>
      </c>
      <c r="J3983" s="25" t="str">
        <f aca="false">IF(M3983=1,"✓","")</f>
        <v/>
      </c>
      <c r="K3983" s="4" t="str">
        <f aca="false">IF(AND(M3983=0,P3983=0),"▶ NEXT","")</f>
        <v/>
      </c>
      <c r="L3983" s="4" t="n">
        <f aca="false">INDEX('Master List'!$F$2:$F$2594,O3983)</f>
        <v>2</v>
      </c>
      <c r="M3983" s="4" t="n">
        <f aca="false">INDEX('Master List'!$G$2:$G$2594,O3983)</f>
        <v>0</v>
      </c>
      <c r="N3983" s="4" t="str">
        <f aca="false">IF(K3983="","",A3983)</f>
        <v/>
      </c>
      <c r="O3983" s="4" t="n">
        <v>51</v>
      </c>
      <c r="P3983" s="4" t="n">
        <f aca="false">IF(A3983=A3982,P3982+1-M3982,0)</f>
        <v>11</v>
      </c>
    </row>
    <row r="3984" customFormat="false" ht="15" hidden="false" customHeight="false" outlineLevel="0" collapsed="false">
      <c r="A3984" s="34" t="s">
        <v>4447</v>
      </c>
      <c r="B3984" s="34" t="s">
        <v>57</v>
      </c>
      <c r="C3984" s="34" t="s">
        <v>126</v>
      </c>
      <c r="D3984" s="34" t="s">
        <v>4448</v>
      </c>
      <c r="E3984" s="4" t="n">
        <v>13</v>
      </c>
      <c r="F3984" s="4" t="s">
        <v>213</v>
      </c>
      <c r="G3984" s="4" t="s">
        <v>802</v>
      </c>
      <c r="H3984" s="4" t="n">
        <v>1975</v>
      </c>
      <c r="I3984" s="4" t="s">
        <v>803</v>
      </c>
      <c r="J3984" s="25" t="str">
        <f aca="false">IF(M3984=1,"✓","")</f>
        <v/>
      </c>
      <c r="K3984" s="4" t="str">
        <f aca="false">IF(AND(M3984=0,P3984=0),"▶ NEXT","")</f>
        <v/>
      </c>
      <c r="L3984" s="4" t="n">
        <f aca="false">INDEX('Master List'!$F$2:$F$2594,O3984)</f>
        <v>2</v>
      </c>
      <c r="M3984" s="4" t="n">
        <f aca="false">INDEX('Master List'!$G$2:$G$2594,O3984)</f>
        <v>0</v>
      </c>
      <c r="N3984" s="4" t="str">
        <f aca="false">IF(K3984="","",A3984)</f>
        <v/>
      </c>
      <c r="O3984" s="4" t="n">
        <v>1440</v>
      </c>
      <c r="P3984" s="4" t="n">
        <f aca="false">IF(A3984=A3983,P3983+1-M3983,0)</f>
        <v>12</v>
      </c>
    </row>
    <row r="3985" customFormat="false" ht="15" hidden="false" customHeight="false" outlineLevel="0" collapsed="false">
      <c r="A3985" s="34" t="s">
        <v>4447</v>
      </c>
      <c r="B3985" s="34" t="s">
        <v>57</v>
      </c>
      <c r="C3985" s="34" t="s">
        <v>126</v>
      </c>
      <c r="D3985" s="34" t="s">
        <v>4448</v>
      </c>
      <c r="E3985" s="4" t="n">
        <v>14</v>
      </c>
      <c r="F3985" s="4" t="s">
        <v>213</v>
      </c>
      <c r="G3985" s="4" t="s">
        <v>1353</v>
      </c>
      <c r="H3985" s="4" t="n">
        <v>1976</v>
      </c>
      <c r="I3985" s="4" t="s">
        <v>1354</v>
      </c>
      <c r="J3985" s="25" t="str">
        <f aca="false">IF(M3985=1,"✓","")</f>
        <v/>
      </c>
      <c r="K3985" s="4" t="str">
        <f aca="false">IF(AND(M3985=0,P3985=0),"▶ NEXT","")</f>
        <v/>
      </c>
      <c r="L3985" s="4" t="n">
        <f aca="false">INDEX('Master List'!$F$2:$F$2594,O3985)</f>
        <v>2</v>
      </c>
      <c r="M3985" s="4" t="n">
        <f aca="false">INDEX('Master List'!$G$2:$G$2594,O3985)</f>
        <v>0</v>
      </c>
      <c r="N3985" s="4" t="str">
        <f aca="false">IF(K3985="","",A3985)</f>
        <v/>
      </c>
      <c r="O3985" s="4" t="n">
        <v>437</v>
      </c>
      <c r="P3985" s="4" t="n">
        <f aca="false">IF(A3985=A3984,P3984+1-M3984,0)</f>
        <v>13</v>
      </c>
    </row>
    <row r="3986" customFormat="false" ht="15" hidden="false" customHeight="false" outlineLevel="0" collapsed="false">
      <c r="A3986" s="34" t="s">
        <v>4447</v>
      </c>
      <c r="B3986" s="34" t="s">
        <v>57</v>
      </c>
      <c r="C3986" s="34" t="s">
        <v>126</v>
      </c>
      <c r="D3986" s="34" t="s">
        <v>4448</v>
      </c>
      <c r="E3986" s="4" t="n">
        <v>15</v>
      </c>
      <c r="F3986" s="4" t="s">
        <v>1327</v>
      </c>
      <c r="G3986" s="4" t="s">
        <v>1651</v>
      </c>
      <c r="H3986" s="4" t="n">
        <v>1975</v>
      </c>
      <c r="I3986" s="4" t="s">
        <v>1652</v>
      </c>
      <c r="J3986" s="25" t="str">
        <f aca="false">IF(M3986=1,"✓","")</f>
        <v/>
      </c>
      <c r="K3986" s="4" t="str">
        <f aca="false">IF(AND(M3986=0,P3986=0),"▶ NEXT","")</f>
        <v/>
      </c>
      <c r="L3986" s="4" t="n">
        <f aca="false">INDEX('Master List'!$F$2:$F$2594,O3986)</f>
        <v>2</v>
      </c>
      <c r="M3986" s="4" t="n">
        <f aca="false">INDEX('Master List'!$G$2:$G$2594,O3986)</f>
        <v>0</v>
      </c>
      <c r="N3986" s="4" t="str">
        <f aca="false">IF(K3986="","",A3986)</f>
        <v/>
      </c>
      <c r="O3986" s="4" t="n">
        <v>1557</v>
      </c>
      <c r="P3986" s="4" t="n">
        <f aca="false">IF(A3986=A3985,P3985+1-M3985,0)</f>
        <v>14</v>
      </c>
    </row>
    <row r="3987" customFormat="false" ht="15" hidden="false" customHeight="false" outlineLevel="0" collapsed="false">
      <c r="A3987" s="34" t="s">
        <v>4447</v>
      </c>
      <c r="B3987" s="34" t="s">
        <v>57</v>
      </c>
      <c r="C3987" s="34" t="s">
        <v>126</v>
      </c>
      <c r="D3987" s="34" t="s">
        <v>4448</v>
      </c>
      <c r="E3987" s="4" t="n">
        <v>16</v>
      </c>
      <c r="F3987" s="4" t="s">
        <v>1327</v>
      </c>
      <c r="G3987" s="4" t="s">
        <v>3505</v>
      </c>
      <c r="H3987" s="4" t="n">
        <v>1972</v>
      </c>
      <c r="I3987" s="4" t="s">
        <v>3506</v>
      </c>
      <c r="J3987" s="25" t="str">
        <f aca="false">IF(M3987=1,"✓","")</f>
        <v/>
      </c>
      <c r="K3987" s="4" t="str">
        <f aca="false">IF(AND(M3987=0,P3987=0),"▶ NEXT","")</f>
        <v/>
      </c>
      <c r="L3987" s="4" t="n">
        <f aca="false">INDEX('Master List'!$F$2:$F$2594,O3987)</f>
        <v>1</v>
      </c>
      <c r="M3987" s="4" t="n">
        <f aca="false">INDEX('Master List'!$G$2:$G$2594,O3987)</f>
        <v>0</v>
      </c>
      <c r="N3987" s="4" t="str">
        <f aca="false">IF(K3987="","",A3987)</f>
        <v/>
      </c>
      <c r="O3987" s="4" t="n">
        <v>668</v>
      </c>
      <c r="P3987" s="4" t="n">
        <f aca="false">IF(A3987=A3986,P3986+1-M3986,0)</f>
        <v>15</v>
      </c>
    </row>
    <row r="3988" customFormat="false" ht="15" hidden="false" customHeight="false" outlineLevel="0" collapsed="false">
      <c r="A3988" s="34" t="s">
        <v>4449</v>
      </c>
      <c r="B3988" s="34" t="s">
        <v>57</v>
      </c>
      <c r="C3988" s="34" t="s">
        <v>126</v>
      </c>
      <c r="D3988" s="34" t="s">
        <v>4450</v>
      </c>
      <c r="E3988" s="4" t="n">
        <v>1</v>
      </c>
      <c r="F3988" s="4" t="s">
        <v>144</v>
      </c>
      <c r="G3988" s="7" t="s">
        <v>165</v>
      </c>
      <c r="H3988" s="4" t="n">
        <v>2016</v>
      </c>
      <c r="I3988" s="4" t="s">
        <v>166</v>
      </c>
      <c r="J3988" s="25" t="str">
        <f aca="false">IF(M3988=1,"✓","")</f>
        <v>✓</v>
      </c>
      <c r="K3988" s="4" t="str">
        <f aca="false">IF(AND(M3988=0,P3988=0),"▶ NEXT","")</f>
        <v/>
      </c>
      <c r="L3988" s="4" t="n">
        <f aca="false">INDEX('Master List'!$F$2:$F$2594,O3988)</f>
        <v>8</v>
      </c>
      <c r="M3988" s="4" t="n">
        <f aca="false">INDEX('Master List'!$G$2:$G$2594,O3988)</f>
        <v>1</v>
      </c>
      <c r="N3988" s="4" t="str">
        <f aca="false">IF(K3988="","",A3988)</f>
        <v/>
      </c>
      <c r="O3988" s="4" t="n">
        <v>1532</v>
      </c>
      <c r="P3988" s="4" t="n">
        <f aca="false">IF(A3988=A3987,P3987+1-M3987,0)</f>
        <v>0</v>
      </c>
    </row>
    <row r="3989" customFormat="false" ht="15" hidden="false" customHeight="false" outlineLevel="0" collapsed="false">
      <c r="A3989" s="34" t="s">
        <v>4449</v>
      </c>
      <c r="B3989" s="34" t="s">
        <v>57</v>
      </c>
      <c r="C3989" s="34" t="s">
        <v>126</v>
      </c>
      <c r="D3989" s="34" t="s">
        <v>4450</v>
      </c>
      <c r="E3989" s="4" t="n">
        <v>2</v>
      </c>
      <c r="F3989" s="4" t="s">
        <v>144</v>
      </c>
      <c r="G3989" s="7" t="s">
        <v>1642</v>
      </c>
      <c r="H3989" s="4" t="n">
        <v>2022</v>
      </c>
      <c r="I3989" s="4" t="s">
        <v>1643</v>
      </c>
      <c r="J3989" s="25" t="str">
        <f aca="false">IF(M3989=1,"✓","")</f>
        <v>✓</v>
      </c>
      <c r="K3989" s="4" t="str">
        <f aca="false">IF(AND(M3989=0,P3989=0),"▶ NEXT","")</f>
        <v/>
      </c>
      <c r="L3989" s="4" t="n">
        <f aca="false">INDEX('Master List'!$F$2:$F$2594,O3989)</f>
        <v>1</v>
      </c>
      <c r="M3989" s="4" t="n">
        <f aca="false">INDEX('Master List'!$G$2:$G$2594,O3989)</f>
        <v>1</v>
      </c>
      <c r="N3989" s="4" t="str">
        <f aca="false">IF(K3989="","",A3989)</f>
        <v/>
      </c>
      <c r="O3989" s="4" t="n">
        <v>753</v>
      </c>
      <c r="P3989" s="4" t="n">
        <f aca="false">IF(A3989=A3988,P3988+1-M3988,0)</f>
        <v>0</v>
      </c>
    </row>
    <row r="3990" customFormat="false" ht="15" hidden="false" customHeight="false" outlineLevel="0" collapsed="false">
      <c r="A3990" s="34" t="s">
        <v>4449</v>
      </c>
      <c r="B3990" s="34" t="s">
        <v>57</v>
      </c>
      <c r="C3990" s="34" t="s">
        <v>126</v>
      </c>
      <c r="D3990" s="34" t="s">
        <v>4450</v>
      </c>
      <c r="E3990" s="4" t="n">
        <v>3</v>
      </c>
      <c r="F3990" s="4" t="s">
        <v>213</v>
      </c>
      <c r="G3990" s="4" t="s">
        <v>3018</v>
      </c>
      <c r="H3990" s="4" t="n">
        <v>2012</v>
      </c>
      <c r="I3990" s="4" t="s">
        <v>2698</v>
      </c>
      <c r="J3990" s="25" t="str">
        <f aca="false">IF(M3990=1,"✓","")</f>
        <v/>
      </c>
      <c r="K3990" s="4" t="str">
        <f aca="false">IF(AND(M3990=0,P3990=0),"▶ NEXT","")</f>
        <v>▶ NEXT</v>
      </c>
      <c r="L3990" s="4" t="n">
        <f aca="false">INDEX('Master List'!$F$2:$F$2594,O3990)</f>
        <v>1</v>
      </c>
      <c r="M3990" s="4" t="n">
        <f aca="false">INDEX('Master List'!$G$2:$G$2594,O3990)</f>
        <v>0</v>
      </c>
      <c r="N3990" s="4" t="str">
        <f aca="false">IF(K3990="","",A3990)</f>
        <v>N313</v>
      </c>
      <c r="O3990" s="4" t="n">
        <v>2138</v>
      </c>
      <c r="P3990" s="4" t="n">
        <f aca="false">IF(A3990=A3989,P3989+1-M3989,0)</f>
        <v>0</v>
      </c>
    </row>
    <row r="3991" customFormat="false" ht="15" hidden="false" customHeight="false" outlineLevel="0" collapsed="false">
      <c r="A3991" s="34" t="s">
        <v>4449</v>
      </c>
      <c r="B3991" s="34" t="s">
        <v>57</v>
      </c>
      <c r="C3991" s="34" t="s">
        <v>126</v>
      </c>
      <c r="D3991" s="34" t="s">
        <v>4450</v>
      </c>
      <c r="E3991" s="4" t="n">
        <v>4</v>
      </c>
      <c r="F3991" s="4" t="s">
        <v>213</v>
      </c>
      <c r="G3991" s="4" t="s">
        <v>1207</v>
      </c>
      <c r="H3991" s="4" t="n">
        <v>2013</v>
      </c>
      <c r="I3991" s="4" t="s">
        <v>400</v>
      </c>
      <c r="J3991" s="25" t="str">
        <f aca="false">IF(M3991=1,"✓","")</f>
        <v/>
      </c>
      <c r="K3991" s="4" t="str">
        <f aca="false">IF(AND(M3991=0,P3991=0),"▶ NEXT","")</f>
        <v/>
      </c>
      <c r="L3991" s="4" t="n">
        <f aca="false">INDEX('Master List'!$F$2:$F$2594,O3991)</f>
        <v>2</v>
      </c>
      <c r="M3991" s="4" t="n">
        <f aca="false">INDEX('Master List'!$G$2:$G$2594,O3991)</f>
        <v>0</v>
      </c>
      <c r="N3991" s="4" t="str">
        <f aca="false">IF(K3991="","",A3991)</f>
        <v/>
      </c>
      <c r="O3991" s="4" t="n">
        <v>2402</v>
      </c>
      <c r="P3991" s="4" t="n">
        <f aca="false">IF(A3991=A3990,P3990+1-M3990,0)</f>
        <v>1</v>
      </c>
    </row>
    <row r="3992" customFormat="false" ht="15" hidden="false" customHeight="false" outlineLevel="0" collapsed="false">
      <c r="A3992" s="34" t="s">
        <v>4449</v>
      </c>
      <c r="B3992" s="34" t="s">
        <v>57</v>
      </c>
      <c r="C3992" s="34" t="s">
        <v>126</v>
      </c>
      <c r="D3992" s="34" t="s">
        <v>4450</v>
      </c>
      <c r="E3992" s="4" t="n">
        <v>5</v>
      </c>
      <c r="F3992" s="4" t="s">
        <v>213</v>
      </c>
      <c r="G3992" s="4" t="s">
        <v>645</v>
      </c>
      <c r="H3992" s="4" t="n">
        <v>2015</v>
      </c>
      <c r="I3992" s="4" t="s">
        <v>646</v>
      </c>
      <c r="J3992" s="25" t="str">
        <f aca="false">IF(M3992=1,"✓","")</f>
        <v/>
      </c>
      <c r="K3992" s="4" t="str">
        <f aca="false">IF(AND(M3992=0,P3992=0),"▶ NEXT","")</f>
        <v/>
      </c>
      <c r="L3992" s="4" t="n">
        <f aca="false">INDEX('Master List'!$F$2:$F$2594,O3992)</f>
        <v>3</v>
      </c>
      <c r="M3992" s="4" t="n">
        <f aca="false">INDEX('Master List'!$G$2:$G$2594,O3992)</f>
        <v>0</v>
      </c>
      <c r="N3992" s="4" t="str">
        <f aca="false">IF(K3992="","",A3992)</f>
        <v/>
      </c>
      <c r="O3992" s="4" t="n">
        <v>756</v>
      </c>
      <c r="P3992" s="4" t="n">
        <f aca="false">IF(A3992=A3991,P3991+1-M3991,0)</f>
        <v>2</v>
      </c>
    </row>
    <row r="3993" customFormat="false" ht="15" hidden="false" customHeight="false" outlineLevel="0" collapsed="false">
      <c r="A3993" s="34" t="s">
        <v>4449</v>
      </c>
      <c r="B3993" s="34" t="s">
        <v>57</v>
      </c>
      <c r="C3993" s="34" t="s">
        <v>126</v>
      </c>
      <c r="D3993" s="34" t="s">
        <v>4450</v>
      </c>
      <c r="E3993" s="4" t="n">
        <v>6</v>
      </c>
      <c r="F3993" s="4" t="s">
        <v>213</v>
      </c>
      <c r="G3993" s="4" t="s">
        <v>3086</v>
      </c>
      <c r="H3993" s="4" t="n">
        <v>2015</v>
      </c>
      <c r="I3993" s="4" t="s">
        <v>3087</v>
      </c>
      <c r="J3993" s="25" t="str">
        <f aca="false">IF(M3993=1,"✓","")</f>
        <v>✓</v>
      </c>
      <c r="K3993" s="4" t="str">
        <f aca="false">IF(AND(M3993=0,P3993=0),"▶ NEXT","")</f>
        <v/>
      </c>
      <c r="L3993" s="4" t="n">
        <f aca="false">INDEX('Master List'!$F$2:$F$2594,O3993)</f>
        <v>1</v>
      </c>
      <c r="M3993" s="4" t="n">
        <f aca="false">INDEX('Master List'!$G$2:$G$2594,O3993)</f>
        <v>1</v>
      </c>
      <c r="N3993" s="4" t="str">
        <f aca="false">IF(K3993="","",A3993)</f>
        <v/>
      </c>
      <c r="O3993" s="4" t="n">
        <v>1931</v>
      </c>
      <c r="P3993" s="4" t="n">
        <f aca="false">IF(A3993=A3992,P3992+1-M3992,0)</f>
        <v>3</v>
      </c>
    </row>
    <row r="3994" customFormat="false" ht="15" hidden="false" customHeight="false" outlineLevel="0" collapsed="false">
      <c r="A3994" s="34" t="s">
        <v>4449</v>
      </c>
      <c r="B3994" s="34" t="s">
        <v>57</v>
      </c>
      <c r="C3994" s="34" t="s">
        <v>126</v>
      </c>
      <c r="D3994" s="34" t="s">
        <v>4450</v>
      </c>
      <c r="E3994" s="4" t="n">
        <v>7</v>
      </c>
      <c r="F3994" s="4" t="s">
        <v>213</v>
      </c>
      <c r="G3994" s="4" t="s">
        <v>691</v>
      </c>
      <c r="H3994" s="4" t="n">
        <v>2015</v>
      </c>
      <c r="I3994" s="4" t="s">
        <v>692</v>
      </c>
      <c r="J3994" s="25" t="str">
        <f aca="false">IF(M3994=1,"✓","")</f>
        <v/>
      </c>
      <c r="K3994" s="4" t="str">
        <f aca="false">IF(AND(M3994=0,P3994=0),"▶ NEXT","")</f>
        <v/>
      </c>
      <c r="L3994" s="4" t="n">
        <f aca="false">INDEX('Master List'!$F$2:$F$2594,O3994)</f>
        <v>3</v>
      </c>
      <c r="M3994" s="4" t="n">
        <f aca="false">INDEX('Master List'!$G$2:$G$2594,O3994)</f>
        <v>0</v>
      </c>
      <c r="N3994" s="4" t="str">
        <f aca="false">IF(K3994="","",A3994)</f>
        <v/>
      </c>
      <c r="O3994" s="4" t="n">
        <v>2533</v>
      </c>
      <c r="P3994" s="4" t="n">
        <f aca="false">IF(A3994=A3993,P3993+1-M3993,0)</f>
        <v>3</v>
      </c>
    </row>
    <row r="3995" customFormat="false" ht="15" hidden="false" customHeight="false" outlineLevel="0" collapsed="false">
      <c r="A3995" s="34" t="s">
        <v>4449</v>
      </c>
      <c r="B3995" s="34" t="s">
        <v>57</v>
      </c>
      <c r="C3995" s="34" t="s">
        <v>126</v>
      </c>
      <c r="D3995" s="34" t="s">
        <v>4450</v>
      </c>
      <c r="E3995" s="4" t="n">
        <v>8</v>
      </c>
      <c r="F3995" s="4" t="s">
        <v>213</v>
      </c>
      <c r="G3995" s="4" t="s">
        <v>1239</v>
      </c>
      <c r="H3995" s="4" t="n">
        <v>2017</v>
      </c>
      <c r="I3995" s="4" t="s">
        <v>1240</v>
      </c>
      <c r="J3995" s="25" t="str">
        <f aca="false">IF(M3995=1,"✓","")</f>
        <v>✓</v>
      </c>
      <c r="K3995" s="4" t="str">
        <f aca="false">IF(AND(M3995=0,P3995=0),"▶ NEXT","")</f>
        <v/>
      </c>
      <c r="L3995" s="4" t="n">
        <f aca="false">INDEX('Master List'!$F$2:$F$2594,O3995)</f>
        <v>2</v>
      </c>
      <c r="M3995" s="4" t="n">
        <f aca="false">INDEX('Master List'!$G$2:$G$2594,O3995)</f>
        <v>1</v>
      </c>
      <c r="N3995" s="4" t="str">
        <f aca="false">IF(K3995="","",A3995)</f>
        <v/>
      </c>
      <c r="O3995" s="4" t="n">
        <v>1278</v>
      </c>
      <c r="P3995" s="4" t="n">
        <f aca="false">IF(A3995=A3994,P3994+1-M3994,0)</f>
        <v>4</v>
      </c>
    </row>
    <row r="3996" customFormat="false" ht="15" hidden="false" customHeight="false" outlineLevel="0" collapsed="false">
      <c r="A3996" s="34" t="s">
        <v>4449</v>
      </c>
      <c r="B3996" s="34" t="s">
        <v>57</v>
      </c>
      <c r="C3996" s="34" t="s">
        <v>126</v>
      </c>
      <c r="D3996" s="34" t="s">
        <v>4450</v>
      </c>
      <c r="E3996" s="4" t="n">
        <v>9</v>
      </c>
      <c r="F3996" s="4" t="s">
        <v>213</v>
      </c>
      <c r="G3996" s="4" t="s">
        <v>1238</v>
      </c>
      <c r="H3996" s="4" t="n">
        <v>2017</v>
      </c>
      <c r="I3996" s="4" t="s">
        <v>694</v>
      </c>
      <c r="J3996" s="25" t="str">
        <f aca="false">IF(M3996=1,"✓","")</f>
        <v>✓</v>
      </c>
      <c r="K3996" s="4" t="str">
        <f aca="false">IF(AND(M3996=0,P3996=0),"▶ NEXT","")</f>
        <v/>
      </c>
      <c r="L3996" s="4" t="n">
        <f aca="false">INDEX('Master List'!$F$2:$F$2594,O3996)</f>
        <v>2</v>
      </c>
      <c r="M3996" s="4" t="n">
        <f aca="false">INDEX('Master List'!$G$2:$G$2594,O3996)</f>
        <v>1</v>
      </c>
      <c r="N3996" s="4" t="str">
        <f aca="false">IF(K3996="","",A3996)</f>
        <v/>
      </c>
      <c r="O3996" s="4" t="n">
        <v>823</v>
      </c>
      <c r="P3996" s="4" t="n">
        <f aca="false">IF(A3996=A3995,P3995+1-M3995,0)</f>
        <v>4</v>
      </c>
    </row>
    <row r="3997" customFormat="false" ht="15" hidden="false" customHeight="false" outlineLevel="0" collapsed="false">
      <c r="A3997" s="34" t="s">
        <v>4449</v>
      </c>
      <c r="B3997" s="34" t="s">
        <v>57</v>
      </c>
      <c r="C3997" s="34" t="s">
        <v>126</v>
      </c>
      <c r="D3997" s="34" t="s">
        <v>4450</v>
      </c>
      <c r="E3997" s="4" t="n">
        <v>10</v>
      </c>
      <c r="F3997" s="4" t="s">
        <v>213</v>
      </c>
      <c r="G3997" s="4" t="s">
        <v>695</v>
      </c>
      <c r="H3997" s="4" t="n">
        <v>2018</v>
      </c>
      <c r="I3997" s="4" t="s">
        <v>696</v>
      </c>
      <c r="J3997" s="25" t="str">
        <f aca="false">IF(M3997=1,"✓","")</f>
        <v>✓</v>
      </c>
      <c r="K3997" s="4" t="str">
        <f aca="false">IF(AND(M3997=0,P3997=0),"▶ NEXT","")</f>
        <v/>
      </c>
      <c r="L3997" s="4" t="n">
        <f aca="false">INDEX('Master List'!$F$2:$F$2594,O3997)</f>
        <v>3</v>
      </c>
      <c r="M3997" s="4" t="n">
        <f aca="false">INDEX('Master List'!$G$2:$G$2594,O3997)</f>
        <v>1</v>
      </c>
      <c r="N3997" s="4" t="str">
        <f aca="false">IF(K3997="","",A3997)</f>
        <v/>
      </c>
      <c r="O3997" s="4" t="n">
        <v>1025</v>
      </c>
      <c r="P3997" s="4" t="n">
        <f aca="false">IF(A3997=A3996,P3996+1-M3996,0)</f>
        <v>4</v>
      </c>
    </row>
    <row r="3998" customFormat="false" ht="15" hidden="false" customHeight="false" outlineLevel="0" collapsed="false">
      <c r="A3998" s="34" t="s">
        <v>4449</v>
      </c>
      <c r="B3998" s="34" t="s">
        <v>57</v>
      </c>
      <c r="C3998" s="34" t="s">
        <v>126</v>
      </c>
      <c r="D3998" s="34" t="s">
        <v>4450</v>
      </c>
      <c r="E3998" s="4" t="n">
        <v>11</v>
      </c>
      <c r="F3998" s="4" t="s">
        <v>213</v>
      </c>
      <c r="G3998" s="4" t="s">
        <v>652</v>
      </c>
      <c r="H3998" s="4" t="n">
        <v>2019</v>
      </c>
      <c r="I3998" s="4" t="s">
        <v>653</v>
      </c>
      <c r="J3998" s="25" t="str">
        <f aca="false">IF(M3998=1,"✓","")</f>
        <v>✓</v>
      </c>
      <c r="K3998" s="4" t="str">
        <f aca="false">IF(AND(M3998=0,P3998=0),"▶ NEXT","")</f>
        <v/>
      </c>
      <c r="L3998" s="4" t="n">
        <f aca="false">INDEX('Master List'!$F$2:$F$2594,O3998)</f>
        <v>3</v>
      </c>
      <c r="M3998" s="4" t="n">
        <f aca="false">INDEX('Master List'!$G$2:$G$2594,O3998)</f>
        <v>1</v>
      </c>
      <c r="N3998" s="4" t="str">
        <f aca="false">IF(K3998="","",A3998)</f>
        <v/>
      </c>
      <c r="O3998" s="4" t="n">
        <v>2400</v>
      </c>
      <c r="P3998" s="4" t="n">
        <f aca="false">IF(A3998=A3997,P3997+1-M3997,0)</f>
        <v>4</v>
      </c>
    </row>
    <row r="3999" customFormat="false" ht="15" hidden="false" customHeight="false" outlineLevel="0" collapsed="false">
      <c r="A3999" s="34" t="s">
        <v>4449</v>
      </c>
      <c r="B3999" s="34" t="s">
        <v>57</v>
      </c>
      <c r="C3999" s="34" t="s">
        <v>126</v>
      </c>
      <c r="D3999" s="34" t="s">
        <v>4450</v>
      </c>
      <c r="E3999" s="4" t="n">
        <v>12</v>
      </c>
      <c r="F3999" s="4" t="s">
        <v>213</v>
      </c>
      <c r="G3999" s="4" t="s">
        <v>1255</v>
      </c>
      <c r="H3999" s="4" t="n">
        <v>2020</v>
      </c>
      <c r="I3999" s="4" t="s">
        <v>1256</v>
      </c>
      <c r="J3999" s="25" t="str">
        <f aca="false">IF(M3999=1,"✓","")</f>
        <v/>
      </c>
      <c r="K3999" s="4" t="str">
        <f aca="false">IF(AND(M3999=0,P3999=0),"▶ NEXT","")</f>
        <v/>
      </c>
      <c r="L3999" s="4" t="n">
        <f aca="false">INDEX('Master List'!$F$2:$F$2594,O3999)</f>
        <v>2</v>
      </c>
      <c r="M3999" s="4" t="n">
        <f aca="false">INDEX('Master List'!$G$2:$G$2594,O3999)</f>
        <v>0</v>
      </c>
      <c r="N3999" s="4" t="str">
        <f aca="false">IF(K3999="","",A3999)</f>
        <v/>
      </c>
      <c r="O3999" s="4" t="n">
        <v>1505</v>
      </c>
      <c r="P3999" s="4" t="n">
        <f aca="false">IF(A3999=A3998,P3998+1-M3998,0)</f>
        <v>4</v>
      </c>
    </row>
    <row r="4000" customFormat="false" ht="15" hidden="false" customHeight="false" outlineLevel="0" collapsed="false">
      <c r="A4000" s="34" t="s">
        <v>4449</v>
      </c>
      <c r="B4000" s="34" t="s">
        <v>57</v>
      </c>
      <c r="C4000" s="34" t="s">
        <v>126</v>
      </c>
      <c r="D4000" s="34" t="s">
        <v>4450</v>
      </c>
      <c r="E4000" s="4" t="n">
        <v>13</v>
      </c>
      <c r="F4000" s="4" t="s">
        <v>213</v>
      </c>
      <c r="G4000" s="4" t="s">
        <v>211</v>
      </c>
      <c r="H4000" s="4" t="n">
        <v>2022</v>
      </c>
      <c r="I4000" s="4" t="s">
        <v>212</v>
      </c>
      <c r="J4000" s="25" t="str">
        <f aca="false">IF(M4000=1,"✓","")</f>
        <v/>
      </c>
      <c r="K4000" s="4" t="str">
        <f aca="false">IF(AND(M4000=0,P4000=0),"▶ NEXT","")</f>
        <v/>
      </c>
      <c r="L4000" s="4" t="n">
        <f aca="false">INDEX('Master List'!$F$2:$F$2594,O4000)</f>
        <v>7</v>
      </c>
      <c r="M4000" s="4" t="n">
        <f aca="false">INDEX('Master List'!$G$2:$G$2594,O4000)</f>
        <v>0</v>
      </c>
      <c r="N4000" s="4" t="str">
        <f aca="false">IF(K4000="","",A4000)</f>
        <v/>
      </c>
      <c r="O4000" s="4" t="n">
        <v>53</v>
      </c>
      <c r="P4000" s="4" t="n">
        <f aca="false">IF(A4000=A3999,P3999+1-M3999,0)</f>
        <v>5</v>
      </c>
    </row>
    <row r="4001" customFormat="false" ht="15" hidden="false" customHeight="false" outlineLevel="0" collapsed="false">
      <c r="A4001" s="34" t="s">
        <v>4449</v>
      </c>
      <c r="B4001" s="34" t="s">
        <v>57</v>
      </c>
      <c r="C4001" s="34" t="s">
        <v>126</v>
      </c>
      <c r="D4001" s="34" t="s">
        <v>4450</v>
      </c>
      <c r="E4001" s="4" t="n">
        <v>14</v>
      </c>
      <c r="F4001" s="4" t="s">
        <v>213</v>
      </c>
      <c r="G4001" s="4" t="s">
        <v>328</v>
      </c>
      <c r="H4001" s="4" t="n">
        <v>2023</v>
      </c>
      <c r="I4001" s="4" t="s">
        <v>329</v>
      </c>
      <c r="J4001" s="25" t="str">
        <f aca="false">IF(M4001=1,"✓","")</f>
        <v/>
      </c>
      <c r="K4001" s="4" t="str">
        <f aca="false">IF(AND(M4001=0,P4001=0),"▶ NEXT","")</f>
        <v/>
      </c>
      <c r="L4001" s="4" t="n">
        <f aca="false">INDEX('Master List'!$F$2:$F$2594,O4001)</f>
        <v>5</v>
      </c>
      <c r="M4001" s="4" t="n">
        <f aca="false">INDEX('Master List'!$G$2:$G$2594,O4001)</f>
        <v>0</v>
      </c>
      <c r="N4001" s="4" t="str">
        <f aca="false">IF(K4001="","",A4001)</f>
        <v/>
      </c>
      <c r="O4001" s="4" t="n">
        <v>1731</v>
      </c>
      <c r="P4001" s="4" t="n">
        <f aca="false">IF(A4001=A4000,P4000+1-M4000,0)</f>
        <v>6</v>
      </c>
    </row>
    <row r="4002" customFormat="false" ht="15" hidden="false" customHeight="false" outlineLevel="0" collapsed="false">
      <c r="A4002" s="34" t="s">
        <v>4449</v>
      </c>
      <c r="B4002" s="34" t="s">
        <v>57</v>
      </c>
      <c r="C4002" s="34" t="s">
        <v>126</v>
      </c>
      <c r="D4002" s="34" t="s">
        <v>4450</v>
      </c>
      <c r="E4002" s="4" t="n">
        <v>15</v>
      </c>
      <c r="F4002" s="4" t="s">
        <v>213</v>
      </c>
      <c r="G4002" s="4" t="s">
        <v>399</v>
      </c>
      <c r="H4002" s="4" t="n">
        <v>2023</v>
      </c>
      <c r="I4002" s="4" t="s">
        <v>400</v>
      </c>
      <c r="J4002" s="25" t="str">
        <f aca="false">IF(M4002=1,"✓","")</f>
        <v/>
      </c>
      <c r="K4002" s="4" t="str">
        <f aca="false">IF(AND(M4002=0,P4002=0),"▶ NEXT","")</f>
        <v/>
      </c>
      <c r="L4002" s="4" t="n">
        <f aca="false">INDEX('Master List'!$F$2:$F$2594,O4002)</f>
        <v>4</v>
      </c>
      <c r="M4002" s="4" t="n">
        <f aca="false">INDEX('Master List'!$G$2:$G$2594,O4002)</f>
        <v>0</v>
      </c>
      <c r="N4002" s="4" t="str">
        <f aca="false">IF(K4002="","",A4002)</f>
        <v/>
      </c>
      <c r="O4002" s="4" t="n">
        <v>2591</v>
      </c>
      <c r="P4002" s="4" t="n">
        <f aca="false">IF(A4002=A4001,P4001+1-M4001,0)</f>
        <v>7</v>
      </c>
    </row>
    <row r="4003" customFormat="false" ht="15" hidden="false" customHeight="false" outlineLevel="0" collapsed="false">
      <c r="A4003" s="34" t="s">
        <v>4449</v>
      </c>
      <c r="B4003" s="34" t="s">
        <v>57</v>
      </c>
      <c r="C4003" s="34" t="s">
        <v>126</v>
      </c>
      <c r="D4003" s="34" t="s">
        <v>4450</v>
      </c>
      <c r="E4003" s="4" t="n">
        <v>16</v>
      </c>
      <c r="F4003" s="4" t="s">
        <v>1327</v>
      </c>
      <c r="G4003" s="4" t="s">
        <v>445</v>
      </c>
      <c r="H4003" s="4" t="n">
        <v>2013</v>
      </c>
      <c r="I4003" s="4" t="s">
        <v>327</v>
      </c>
      <c r="J4003" s="25" t="str">
        <f aca="false">IF(M4003=1,"✓","")</f>
        <v>✓</v>
      </c>
      <c r="K4003" s="4" t="str">
        <f aca="false">IF(AND(M4003=0,P4003=0),"▶ NEXT","")</f>
        <v/>
      </c>
      <c r="L4003" s="4" t="n">
        <f aca="false">INDEX('Master List'!$F$2:$F$2594,O4003)</f>
        <v>4</v>
      </c>
      <c r="M4003" s="4" t="n">
        <f aca="false">INDEX('Master List'!$G$2:$G$2594,O4003)</f>
        <v>1</v>
      </c>
      <c r="N4003" s="4" t="str">
        <f aca="false">IF(K4003="","",A4003)</f>
        <v/>
      </c>
      <c r="O4003" s="4" t="n">
        <v>732</v>
      </c>
      <c r="P4003" s="4" t="n">
        <f aca="false">IF(A4003=A4002,P4002+1-M4002,0)</f>
        <v>8</v>
      </c>
    </row>
    <row r="4004" customFormat="false" ht="15" hidden="false" customHeight="false" outlineLevel="0" collapsed="false">
      <c r="A4004" s="34" t="s">
        <v>4449</v>
      </c>
      <c r="B4004" s="34" t="s">
        <v>57</v>
      </c>
      <c r="C4004" s="34" t="s">
        <v>126</v>
      </c>
      <c r="D4004" s="34" t="s">
        <v>4450</v>
      </c>
      <c r="E4004" s="4" t="n">
        <v>17</v>
      </c>
      <c r="F4004" s="4" t="s">
        <v>1327</v>
      </c>
      <c r="G4004" s="4" t="s">
        <v>1416</v>
      </c>
      <c r="H4004" s="4" t="n">
        <v>2017</v>
      </c>
      <c r="I4004" s="4" t="s">
        <v>1417</v>
      </c>
      <c r="J4004" s="25" t="str">
        <f aca="false">IF(M4004=1,"✓","")</f>
        <v>✓</v>
      </c>
      <c r="K4004" s="4" t="str">
        <f aca="false">IF(AND(M4004=0,P4004=0),"▶ NEXT","")</f>
        <v/>
      </c>
      <c r="L4004" s="4" t="n">
        <f aca="false">INDEX('Master List'!$F$2:$F$2594,O4004)</f>
        <v>2</v>
      </c>
      <c r="M4004" s="4" t="n">
        <f aca="false">INDEX('Master List'!$G$2:$G$2594,O4004)</f>
        <v>1</v>
      </c>
      <c r="N4004" s="4" t="str">
        <f aca="false">IF(K4004="","",A4004)</f>
        <v/>
      </c>
      <c r="O4004" s="4" t="n">
        <v>810</v>
      </c>
      <c r="P4004" s="4" t="n">
        <f aca="false">IF(A4004=A4003,P4003+1-M4003,0)</f>
        <v>8</v>
      </c>
    </row>
    <row r="4005" customFormat="false" ht="15" hidden="false" customHeight="false" outlineLevel="0" collapsed="false">
      <c r="A4005" s="34" t="s">
        <v>4451</v>
      </c>
      <c r="B4005" s="34" t="s">
        <v>57</v>
      </c>
      <c r="C4005" s="34" t="s">
        <v>127</v>
      </c>
      <c r="D4005" s="34" t="s">
        <v>4452</v>
      </c>
      <c r="E4005" s="4" t="n">
        <v>1</v>
      </c>
      <c r="F4005" s="4" t="s">
        <v>144</v>
      </c>
      <c r="G4005" s="7" t="s">
        <v>332</v>
      </c>
      <c r="H4005" s="4" t="n">
        <v>1924</v>
      </c>
      <c r="I4005" s="4" t="s">
        <v>333</v>
      </c>
      <c r="J4005" s="25" t="str">
        <f aca="false">IF(M4005=1,"✓","")</f>
        <v/>
      </c>
      <c r="K4005" s="4" t="str">
        <f aca="false">IF(AND(M4005=0,P4005=0),"▶ NEXT","")</f>
        <v>▶ NEXT</v>
      </c>
      <c r="L4005" s="4" t="n">
        <f aca="false">INDEX('Master List'!$F$2:$F$2594,O4005)</f>
        <v>4</v>
      </c>
      <c r="M4005" s="4" t="n">
        <f aca="false">INDEX('Master List'!$G$2:$G$2594,O4005)</f>
        <v>0</v>
      </c>
      <c r="N4005" s="4" t="str">
        <f aca="false">IF(K4005="","",A4005)</f>
        <v>N314</v>
      </c>
      <c r="O4005" s="4" t="n">
        <v>2043</v>
      </c>
      <c r="P4005" s="4" t="n">
        <f aca="false">IF(A4005=A4004,P4004+1-M4004,0)</f>
        <v>0</v>
      </c>
    </row>
    <row r="4006" customFormat="false" ht="15" hidden="false" customHeight="false" outlineLevel="0" collapsed="false">
      <c r="A4006" s="34" t="s">
        <v>4451</v>
      </c>
      <c r="B4006" s="34" t="s">
        <v>57</v>
      </c>
      <c r="C4006" s="34" t="s">
        <v>127</v>
      </c>
      <c r="D4006" s="34" t="s">
        <v>4452</v>
      </c>
      <c r="E4006" s="4" t="n">
        <v>2</v>
      </c>
      <c r="F4006" s="4" t="s">
        <v>144</v>
      </c>
      <c r="G4006" s="7" t="s">
        <v>142</v>
      </c>
      <c r="H4006" s="4" t="n">
        <v>1941</v>
      </c>
      <c r="I4006" s="4" t="s">
        <v>143</v>
      </c>
      <c r="J4006" s="25" t="str">
        <f aca="false">IF(M4006=1,"✓","")</f>
        <v/>
      </c>
      <c r="K4006" s="4" t="str">
        <f aca="false">IF(AND(M4006=0,P4006=0),"▶ NEXT","")</f>
        <v/>
      </c>
      <c r="L4006" s="4" t="n">
        <f aca="false">INDEX('Master List'!$F$2:$F$2594,O4006)</f>
        <v>13</v>
      </c>
      <c r="M4006" s="4" t="n">
        <f aca="false">INDEX('Master List'!$G$2:$G$2594,O4006)</f>
        <v>0</v>
      </c>
      <c r="N4006" s="4" t="str">
        <f aca="false">IF(K4006="","",A4006)</f>
        <v/>
      </c>
      <c r="O4006" s="4" t="n">
        <v>462</v>
      </c>
      <c r="P4006" s="4" t="n">
        <f aca="false">IF(A4006=A4005,P4005+1-M4005,0)</f>
        <v>1</v>
      </c>
    </row>
    <row r="4007" customFormat="false" ht="15" hidden="false" customHeight="false" outlineLevel="0" collapsed="false">
      <c r="A4007" s="34" t="s">
        <v>4451</v>
      </c>
      <c r="B4007" s="34" t="s">
        <v>57</v>
      </c>
      <c r="C4007" s="34" t="s">
        <v>127</v>
      </c>
      <c r="D4007" s="34" t="s">
        <v>4452</v>
      </c>
      <c r="E4007" s="4" t="n">
        <v>3</v>
      </c>
      <c r="F4007" s="4" t="s">
        <v>213</v>
      </c>
      <c r="G4007" s="4" t="s">
        <v>330</v>
      </c>
      <c r="H4007" s="4" t="n">
        <v>1920</v>
      </c>
      <c r="I4007" s="4" t="s">
        <v>331</v>
      </c>
      <c r="J4007" s="25" t="str">
        <f aca="false">IF(M4007=1,"✓","")</f>
        <v/>
      </c>
      <c r="K4007" s="4" t="str">
        <f aca="false">IF(AND(M4007=0,P4007=0),"▶ NEXT","")</f>
        <v/>
      </c>
      <c r="L4007" s="4" t="n">
        <f aca="false">INDEX('Master List'!$F$2:$F$2594,O4007)</f>
        <v>4</v>
      </c>
      <c r="M4007" s="4" t="n">
        <f aca="false">INDEX('Master List'!$G$2:$G$2594,O4007)</f>
        <v>0</v>
      </c>
      <c r="N4007" s="4" t="str">
        <f aca="false">IF(K4007="","",A4007)</f>
        <v/>
      </c>
      <c r="O4007" s="4" t="n">
        <v>377</v>
      </c>
      <c r="P4007" s="4" t="n">
        <f aca="false">IF(A4007=A4006,P4006+1-M4006,0)</f>
        <v>2</v>
      </c>
    </row>
    <row r="4008" customFormat="false" ht="15" hidden="false" customHeight="false" outlineLevel="0" collapsed="false">
      <c r="A4008" s="34" t="s">
        <v>4451</v>
      </c>
      <c r="B4008" s="34" t="s">
        <v>57</v>
      </c>
      <c r="C4008" s="34" t="s">
        <v>127</v>
      </c>
      <c r="D4008" s="34" t="s">
        <v>4452</v>
      </c>
      <c r="E4008" s="4" t="n">
        <v>4</v>
      </c>
      <c r="F4008" s="4" t="s">
        <v>213</v>
      </c>
      <c r="G4008" s="4" t="s">
        <v>524</v>
      </c>
      <c r="H4008" s="4" t="n">
        <v>2014</v>
      </c>
      <c r="I4008" s="4" t="s">
        <v>274</v>
      </c>
      <c r="J4008" s="25" t="str">
        <f aca="false">IF(M4008=1,"✓","")</f>
        <v>✓</v>
      </c>
      <c r="K4008" s="4" t="str">
        <f aca="false">IF(AND(M4008=0,P4008=0),"▶ NEXT","")</f>
        <v/>
      </c>
      <c r="L4008" s="4" t="n">
        <f aca="false">INDEX('Master List'!$F$2:$F$2594,O4008)</f>
        <v>3</v>
      </c>
      <c r="M4008" s="4" t="n">
        <f aca="false">INDEX('Master List'!$G$2:$G$2594,O4008)</f>
        <v>1</v>
      </c>
      <c r="N4008" s="4" t="str">
        <f aca="false">IF(K4008="","",A4008)</f>
        <v/>
      </c>
      <c r="O4008" s="4" t="n">
        <v>941</v>
      </c>
      <c r="P4008" s="4" t="n">
        <f aca="false">IF(A4008=A4007,P4007+1-M4007,0)</f>
        <v>3</v>
      </c>
    </row>
    <row r="4009" customFormat="false" ht="15" hidden="false" customHeight="false" outlineLevel="0" collapsed="false">
      <c r="A4009" s="34" t="s">
        <v>4451</v>
      </c>
      <c r="B4009" s="34" t="s">
        <v>57</v>
      </c>
      <c r="C4009" s="34" t="s">
        <v>127</v>
      </c>
      <c r="D4009" s="34" t="s">
        <v>4452</v>
      </c>
      <c r="E4009" s="4" t="n">
        <v>5</v>
      </c>
      <c r="F4009" s="4" t="s">
        <v>213</v>
      </c>
      <c r="G4009" s="4" t="s">
        <v>308</v>
      </c>
      <c r="H4009" s="4" t="n">
        <v>1958</v>
      </c>
      <c r="I4009" s="4" t="s">
        <v>143</v>
      </c>
      <c r="J4009" s="25" t="str">
        <f aca="false">IF(M4009=1,"✓","")</f>
        <v/>
      </c>
      <c r="K4009" s="4" t="str">
        <f aca="false">IF(AND(M4009=0,P4009=0),"▶ NEXT","")</f>
        <v/>
      </c>
      <c r="L4009" s="4" t="n">
        <f aca="false">INDEX('Master List'!$F$2:$F$2594,O4009)</f>
        <v>4</v>
      </c>
      <c r="M4009" s="4" t="n">
        <f aca="false">INDEX('Master List'!$G$2:$G$2594,O4009)</f>
        <v>0</v>
      </c>
      <c r="N4009" s="4" t="str">
        <f aca="false">IF(K4009="","",A4009)</f>
        <v/>
      </c>
      <c r="O4009" s="4" t="n">
        <v>2344</v>
      </c>
      <c r="P4009" s="4" t="n">
        <f aca="false">IF(A4009=A4008,P4008+1-M4008,0)</f>
        <v>3</v>
      </c>
    </row>
    <row r="4010" customFormat="false" ht="15" hidden="false" customHeight="false" outlineLevel="0" collapsed="false">
      <c r="A4010" s="34" t="s">
        <v>4451</v>
      </c>
      <c r="B4010" s="34" t="s">
        <v>57</v>
      </c>
      <c r="C4010" s="34" t="s">
        <v>127</v>
      </c>
      <c r="D4010" s="34" t="s">
        <v>4452</v>
      </c>
      <c r="E4010" s="4" t="n">
        <v>6</v>
      </c>
      <c r="F4010" s="4" t="s">
        <v>213</v>
      </c>
      <c r="G4010" s="4" t="s">
        <v>231</v>
      </c>
      <c r="H4010" s="4" t="n">
        <v>1925</v>
      </c>
      <c r="I4010" s="4" t="s">
        <v>232</v>
      </c>
      <c r="J4010" s="25" t="str">
        <f aca="false">IF(M4010=1,"✓","")</f>
        <v/>
      </c>
      <c r="K4010" s="4" t="str">
        <f aca="false">IF(AND(M4010=0,P4010=0),"▶ NEXT","")</f>
        <v/>
      </c>
      <c r="L4010" s="4" t="n">
        <f aca="false">INDEX('Master List'!$F$2:$F$2594,O4010)</f>
        <v>5</v>
      </c>
      <c r="M4010" s="4" t="n">
        <f aca="false">INDEX('Master List'!$G$2:$G$2594,O4010)</f>
        <v>0</v>
      </c>
      <c r="N4010" s="4" t="str">
        <f aca="false">IF(K4010="","",A4010)</f>
        <v/>
      </c>
      <c r="O4010" s="4" t="n">
        <v>199</v>
      </c>
      <c r="P4010" s="4" t="n">
        <f aca="false">IF(A4010=A4009,P4009+1-M4009,0)</f>
        <v>4</v>
      </c>
    </row>
    <row r="4011" customFormat="false" ht="15" hidden="false" customHeight="false" outlineLevel="0" collapsed="false">
      <c r="A4011" s="34" t="s">
        <v>4451</v>
      </c>
      <c r="B4011" s="34" t="s">
        <v>57</v>
      </c>
      <c r="C4011" s="34" t="s">
        <v>127</v>
      </c>
      <c r="D4011" s="34" t="s">
        <v>4452</v>
      </c>
      <c r="E4011" s="4" t="n">
        <v>7</v>
      </c>
      <c r="F4011" s="4" t="s">
        <v>213</v>
      </c>
      <c r="G4011" s="4" t="s">
        <v>177</v>
      </c>
      <c r="H4011" s="4" t="n">
        <v>1960</v>
      </c>
      <c r="I4011" s="4" t="s">
        <v>162</v>
      </c>
      <c r="J4011" s="25" t="str">
        <f aca="false">IF(M4011=1,"✓","")</f>
        <v>✓</v>
      </c>
      <c r="K4011" s="4" t="str">
        <f aca="false">IF(AND(M4011=0,P4011=0),"▶ NEXT","")</f>
        <v/>
      </c>
      <c r="L4011" s="4" t="n">
        <f aca="false">INDEX('Master List'!$F$2:$F$2594,O4011)</f>
        <v>8</v>
      </c>
      <c r="M4011" s="4" t="n">
        <f aca="false">INDEX('Master List'!$G$2:$G$2594,O4011)</f>
        <v>1</v>
      </c>
      <c r="N4011" s="4" t="str">
        <f aca="false">IF(K4011="","",A4011)</f>
        <v/>
      </c>
      <c r="O4011" s="4" t="n">
        <v>1826</v>
      </c>
      <c r="P4011" s="4" t="n">
        <f aca="false">IF(A4011=A4010,P4010+1-M4010,0)</f>
        <v>5</v>
      </c>
    </row>
    <row r="4012" customFormat="false" ht="15" hidden="false" customHeight="false" outlineLevel="0" collapsed="false">
      <c r="A4012" s="34" t="s">
        <v>4451</v>
      </c>
      <c r="B4012" s="34" t="s">
        <v>57</v>
      </c>
      <c r="C4012" s="34" t="s">
        <v>127</v>
      </c>
      <c r="D4012" s="34" t="s">
        <v>4452</v>
      </c>
      <c r="E4012" s="4" t="n">
        <v>8</v>
      </c>
      <c r="F4012" s="4" t="s">
        <v>213</v>
      </c>
      <c r="G4012" s="4" t="s">
        <v>171</v>
      </c>
      <c r="H4012" s="4" t="n">
        <v>1974</v>
      </c>
      <c r="I4012" s="4" t="s">
        <v>172</v>
      </c>
      <c r="J4012" s="25" t="str">
        <f aca="false">IF(M4012=1,"✓","")</f>
        <v>✓</v>
      </c>
      <c r="K4012" s="4" t="str">
        <f aca="false">IF(AND(M4012=0,P4012=0),"▶ NEXT","")</f>
        <v/>
      </c>
      <c r="L4012" s="4" t="n">
        <f aca="false">INDEX('Master List'!$F$2:$F$2594,O4012)</f>
        <v>8</v>
      </c>
      <c r="M4012" s="4" t="n">
        <f aca="false">INDEX('Master List'!$G$2:$G$2594,O4012)</f>
        <v>1</v>
      </c>
      <c r="N4012" s="4" t="str">
        <f aca="false">IF(K4012="","",A4012)</f>
        <v/>
      </c>
      <c r="O4012" s="4" t="n">
        <v>520</v>
      </c>
      <c r="P4012" s="4" t="n">
        <f aca="false">IF(A4012=A4011,P4011+1-M4011,0)</f>
        <v>5</v>
      </c>
    </row>
    <row r="4013" customFormat="false" ht="15" hidden="false" customHeight="false" outlineLevel="0" collapsed="false">
      <c r="A4013" s="34" t="s">
        <v>4451</v>
      </c>
      <c r="B4013" s="34" t="s">
        <v>57</v>
      </c>
      <c r="C4013" s="34" t="s">
        <v>127</v>
      </c>
      <c r="D4013" s="34" t="s">
        <v>4452</v>
      </c>
      <c r="E4013" s="4" t="n">
        <v>9</v>
      </c>
      <c r="F4013" s="4" t="s">
        <v>213</v>
      </c>
      <c r="G4013" s="4" t="s">
        <v>167</v>
      </c>
      <c r="H4013" s="4" t="n">
        <v>1940</v>
      </c>
      <c r="I4013" s="4" t="s">
        <v>168</v>
      </c>
      <c r="J4013" s="25" t="str">
        <f aca="false">IF(M4013=1,"✓","")</f>
        <v>✓</v>
      </c>
      <c r="K4013" s="4" t="str">
        <f aca="false">IF(AND(M4013=0,P4013=0),"▶ NEXT","")</f>
        <v/>
      </c>
      <c r="L4013" s="4" t="n">
        <f aca="false">INDEX('Master List'!$F$2:$F$2594,O4013)</f>
        <v>7</v>
      </c>
      <c r="M4013" s="4" t="n">
        <f aca="false">INDEX('Master List'!$G$2:$G$2594,O4013)</f>
        <v>1</v>
      </c>
      <c r="N4013" s="4" t="str">
        <f aca="false">IF(K4013="","",A4013)</f>
        <v/>
      </c>
      <c r="O4013" s="4" t="n">
        <v>1041</v>
      </c>
      <c r="P4013" s="4" t="n">
        <f aca="false">IF(A4013=A4012,P4012+1-M4012,0)</f>
        <v>5</v>
      </c>
    </row>
    <row r="4014" customFormat="false" ht="15" hidden="false" customHeight="false" outlineLevel="0" collapsed="false">
      <c r="A4014" s="34" t="s">
        <v>4451</v>
      </c>
      <c r="B4014" s="34" t="s">
        <v>57</v>
      </c>
      <c r="C4014" s="34" t="s">
        <v>127</v>
      </c>
      <c r="D4014" s="34" t="s">
        <v>4452</v>
      </c>
      <c r="E4014" s="4" t="n">
        <v>10</v>
      </c>
      <c r="F4014" s="4" t="s">
        <v>213</v>
      </c>
      <c r="G4014" s="4" t="s">
        <v>220</v>
      </c>
      <c r="H4014" s="4" t="n">
        <v>1950</v>
      </c>
      <c r="I4014" s="4" t="s">
        <v>156</v>
      </c>
      <c r="J4014" s="25" t="str">
        <f aca="false">IF(M4014=1,"✓","")</f>
        <v>✓</v>
      </c>
      <c r="K4014" s="4" t="str">
        <f aca="false">IF(AND(M4014=0,P4014=0),"▶ NEXT","")</f>
        <v/>
      </c>
      <c r="L4014" s="4" t="n">
        <f aca="false">INDEX('Master List'!$F$2:$F$2594,O4014)</f>
        <v>6</v>
      </c>
      <c r="M4014" s="4" t="n">
        <f aca="false">INDEX('Master List'!$G$2:$G$2594,O4014)</f>
        <v>1</v>
      </c>
      <c r="N4014" s="4" t="str">
        <f aca="false">IF(K4014="","",A4014)</f>
        <v/>
      </c>
      <c r="O4014" s="4" t="n">
        <v>1860</v>
      </c>
      <c r="P4014" s="4" t="n">
        <f aca="false">IF(A4014=A4013,P4013+1-M4013,0)</f>
        <v>5</v>
      </c>
    </row>
    <row r="4015" customFormat="false" ht="15" hidden="false" customHeight="false" outlineLevel="0" collapsed="false">
      <c r="A4015" s="34" t="s">
        <v>4451</v>
      </c>
      <c r="B4015" s="34" t="s">
        <v>57</v>
      </c>
      <c r="C4015" s="34" t="s">
        <v>127</v>
      </c>
      <c r="D4015" s="34" t="s">
        <v>4452</v>
      </c>
      <c r="E4015" s="4" t="n">
        <v>11</v>
      </c>
      <c r="F4015" s="4" t="s">
        <v>213</v>
      </c>
      <c r="G4015" s="4" t="s">
        <v>219</v>
      </c>
      <c r="H4015" s="4" t="n">
        <v>1944</v>
      </c>
      <c r="I4015" s="4" t="s">
        <v>200</v>
      </c>
      <c r="J4015" s="25" t="str">
        <f aca="false">IF(M4015=1,"✓","")</f>
        <v>✓</v>
      </c>
      <c r="K4015" s="4" t="str">
        <f aca="false">IF(AND(M4015=0,P4015=0),"▶ NEXT","")</f>
        <v/>
      </c>
      <c r="L4015" s="4" t="n">
        <f aca="false">INDEX('Master List'!$F$2:$F$2594,O4015)</f>
        <v>6</v>
      </c>
      <c r="M4015" s="4" t="n">
        <f aca="false">INDEX('Master List'!$G$2:$G$2594,O4015)</f>
        <v>1</v>
      </c>
      <c r="N4015" s="4" t="str">
        <f aca="false">IF(K4015="","",A4015)</f>
        <v/>
      </c>
      <c r="O4015" s="4" t="n">
        <v>663</v>
      </c>
      <c r="P4015" s="4" t="n">
        <f aca="false">IF(A4015=A4014,P4014+1-M4014,0)</f>
        <v>5</v>
      </c>
    </row>
    <row r="4016" customFormat="false" ht="15" hidden="false" customHeight="false" outlineLevel="0" collapsed="false">
      <c r="A4016" s="34" t="s">
        <v>4451</v>
      </c>
      <c r="B4016" s="34" t="s">
        <v>57</v>
      </c>
      <c r="C4016" s="34" t="s">
        <v>127</v>
      </c>
      <c r="D4016" s="34" t="s">
        <v>4452</v>
      </c>
      <c r="E4016" s="4" t="n">
        <v>12</v>
      </c>
      <c r="F4016" s="4" t="s">
        <v>213</v>
      </c>
      <c r="G4016" s="4" t="s">
        <v>221</v>
      </c>
      <c r="H4016" s="4" t="n">
        <v>1956</v>
      </c>
      <c r="I4016" s="4" t="s">
        <v>205</v>
      </c>
      <c r="J4016" s="25" t="str">
        <f aca="false">IF(M4016=1,"✓","")</f>
        <v>✓</v>
      </c>
      <c r="K4016" s="4" t="str">
        <f aca="false">IF(AND(M4016=0,P4016=0),"▶ NEXT","")</f>
        <v/>
      </c>
      <c r="L4016" s="4" t="n">
        <f aca="false">INDEX('Master List'!$F$2:$F$2594,O4016)</f>
        <v>6</v>
      </c>
      <c r="M4016" s="4" t="n">
        <f aca="false">INDEX('Master List'!$G$2:$G$2594,O4016)</f>
        <v>1</v>
      </c>
      <c r="N4016" s="4" t="str">
        <f aca="false">IF(K4016="","",A4016)</f>
        <v/>
      </c>
      <c r="O4016" s="4" t="n">
        <v>1998</v>
      </c>
      <c r="P4016" s="4" t="n">
        <f aca="false">IF(A4016=A4015,P4015+1-M4015,0)</f>
        <v>5</v>
      </c>
    </row>
    <row r="4017" customFormat="false" ht="15" hidden="false" customHeight="false" outlineLevel="0" collapsed="false">
      <c r="A4017" s="34" t="s">
        <v>4451</v>
      </c>
      <c r="B4017" s="34" t="s">
        <v>57</v>
      </c>
      <c r="C4017" s="34" t="s">
        <v>127</v>
      </c>
      <c r="D4017" s="34" t="s">
        <v>4452</v>
      </c>
      <c r="E4017" s="4" t="n">
        <v>13</v>
      </c>
      <c r="F4017" s="4" t="s">
        <v>213</v>
      </c>
      <c r="G4017" s="4" t="s">
        <v>159</v>
      </c>
      <c r="H4017" s="4" t="n">
        <v>1948</v>
      </c>
      <c r="I4017" s="4" t="s">
        <v>160</v>
      </c>
      <c r="J4017" s="25" t="str">
        <f aca="false">IF(M4017=1,"✓","")</f>
        <v/>
      </c>
      <c r="K4017" s="4" t="str">
        <f aca="false">IF(AND(M4017=0,P4017=0),"▶ NEXT","")</f>
        <v/>
      </c>
      <c r="L4017" s="4" t="n">
        <f aca="false">INDEX('Master List'!$F$2:$F$2594,O4017)</f>
        <v>7</v>
      </c>
      <c r="M4017" s="4" t="n">
        <f aca="false">INDEX('Master List'!$G$2:$G$2594,O4017)</f>
        <v>0</v>
      </c>
      <c r="N4017" s="4" t="str">
        <f aca="false">IF(K4017="","",A4017)</f>
        <v/>
      </c>
      <c r="O4017" s="4" t="n">
        <v>238</v>
      </c>
      <c r="P4017" s="4" t="n">
        <f aca="false">IF(A4017=A4016,P4016+1-M4016,0)</f>
        <v>5</v>
      </c>
    </row>
    <row r="4018" customFormat="false" ht="15" hidden="false" customHeight="false" outlineLevel="0" collapsed="false">
      <c r="A4018" s="34" t="s">
        <v>4451</v>
      </c>
      <c r="B4018" s="34" t="s">
        <v>57</v>
      </c>
      <c r="C4018" s="34" t="s">
        <v>127</v>
      </c>
      <c r="D4018" s="34" t="s">
        <v>4452</v>
      </c>
      <c r="E4018" s="4" t="n">
        <v>14</v>
      </c>
      <c r="F4018" s="4" t="s">
        <v>213</v>
      </c>
      <c r="G4018" s="4" t="s">
        <v>151</v>
      </c>
      <c r="H4018" s="4" t="n">
        <v>1960</v>
      </c>
      <c r="I4018" s="4" t="s">
        <v>152</v>
      </c>
      <c r="J4018" s="25" t="str">
        <f aca="false">IF(M4018=1,"✓","")</f>
        <v/>
      </c>
      <c r="K4018" s="4" t="str">
        <f aca="false">IF(AND(M4018=0,P4018=0),"▶ NEXT","")</f>
        <v/>
      </c>
      <c r="L4018" s="4" t="n">
        <f aca="false">INDEX('Master List'!$F$2:$F$2594,O4018)</f>
        <v>9</v>
      </c>
      <c r="M4018" s="4" t="n">
        <f aca="false">INDEX('Master List'!$G$2:$G$2594,O4018)</f>
        <v>0</v>
      </c>
      <c r="N4018" s="4" t="str">
        <f aca="false">IF(K4018="","",A4018)</f>
        <v/>
      </c>
      <c r="O4018" s="4" t="n">
        <v>342</v>
      </c>
      <c r="P4018" s="4" t="n">
        <f aca="false">IF(A4018=A4017,P4017+1-M4017,0)</f>
        <v>6</v>
      </c>
    </row>
    <row r="4019" customFormat="false" ht="15" hidden="false" customHeight="false" outlineLevel="0" collapsed="false">
      <c r="A4019" s="34" t="s">
        <v>4451</v>
      </c>
      <c r="B4019" s="34" t="s">
        <v>57</v>
      </c>
      <c r="C4019" s="34" t="s">
        <v>127</v>
      </c>
      <c r="D4019" s="34" t="s">
        <v>4452</v>
      </c>
      <c r="E4019" s="4" t="n">
        <v>15</v>
      </c>
      <c r="F4019" s="4" t="s">
        <v>213</v>
      </c>
      <c r="G4019" s="4" t="s">
        <v>180</v>
      </c>
      <c r="H4019" s="4" t="n">
        <v>1929</v>
      </c>
      <c r="I4019" s="4" t="s">
        <v>181</v>
      </c>
      <c r="J4019" s="25" t="str">
        <f aca="false">IF(M4019=1,"✓","")</f>
        <v/>
      </c>
      <c r="K4019" s="4" t="str">
        <f aca="false">IF(AND(M4019=0,P4019=0),"▶ NEXT","")</f>
        <v/>
      </c>
      <c r="L4019" s="4" t="n">
        <f aca="false">INDEX('Master List'!$F$2:$F$2594,O4019)</f>
        <v>7</v>
      </c>
      <c r="M4019" s="4" t="n">
        <f aca="false">INDEX('Master List'!$G$2:$G$2594,O4019)</f>
        <v>0</v>
      </c>
      <c r="N4019" s="4" t="str">
        <f aca="false">IF(K4019="","",A4019)</f>
        <v/>
      </c>
      <c r="O4019" s="4" t="n">
        <v>1434</v>
      </c>
      <c r="P4019" s="4" t="n">
        <f aca="false">IF(A4019=A4018,P4018+1-M4018,0)</f>
        <v>7</v>
      </c>
    </row>
    <row r="4020" customFormat="false" ht="15" hidden="false" customHeight="false" outlineLevel="0" collapsed="false">
      <c r="A4020" s="34" t="s">
        <v>4451</v>
      </c>
      <c r="B4020" s="34" t="s">
        <v>57</v>
      </c>
      <c r="C4020" s="34" t="s">
        <v>127</v>
      </c>
      <c r="D4020" s="34" t="s">
        <v>4452</v>
      </c>
      <c r="E4020" s="4" t="n">
        <v>16</v>
      </c>
      <c r="F4020" s="4" t="s">
        <v>213</v>
      </c>
      <c r="G4020" s="4" t="s">
        <v>263</v>
      </c>
      <c r="H4020" s="4" t="n">
        <v>1943</v>
      </c>
      <c r="I4020" s="4" t="s">
        <v>264</v>
      </c>
      <c r="J4020" s="25" t="str">
        <f aca="false">IF(M4020=1,"✓","")</f>
        <v/>
      </c>
      <c r="K4020" s="4" t="str">
        <f aca="false">IF(AND(M4020=0,P4020=0),"▶ NEXT","")</f>
        <v/>
      </c>
      <c r="L4020" s="4" t="n">
        <f aca="false">INDEX('Master List'!$F$2:$F$2594,O4020)</f>
        <v>5</v>
      </c>
      <c r="M4020" s="4" t="n">
        <f aca="false">INDEX('Master List'!$G$2:$G$2594,O4020)</f>
        <v>0</v>
      </c>
      <c r="N4020" s="4" t="str">
        <f aca="false">IF(K4020="","",A4020)</f>
        <v/>
      </c>
      <c r="O4020" s="4" t="n">
        <v>1486</v>
      </c>
      <c r="P4020" s="4" t="n">
        <f aca="false">IF(A4020=A4019,P4019+1-M4019,0)</f>
        <v>8</v>
      </c>
    </row>
    <row r="4021" customFormat="false" ht="15" hidden="false" customHeight="false" outlineLevel="0" collapsed="false">
      <c r="A4021" s="34" t="s">
        <v>4451</v>
      </c>
      <c r="B4021" s="34" t="s">
        <v>57</v>
      </c>
      <c r="C4021" s="34" t="s">
        <v>127</v>
      </c>
      <c r="D4021" s="34" t="s">
        <v>4452</v>
      </c>
      <c r="E4021" s="4" t="n">
        <v>17</v>
      </c>
      <c r="F4021" s="4" t="s">
        <v>213</v>
      </c>
      <c r="G4021" s="4" t="s">
        <v>147</v>
      </c>
      <c r="H4021" s="4" t="n">
        <v>1989</v>
      </c>
      <c r="I4021" s="4" t="s">
        <v>148</v>
      </c>
      <c r="J4021" s="25" t="str">
        <f aca="false">IF(M4021=1,"✓","")</f>
        <v>✓</v>
      </c>
      <c r="K4021" s="4" t="str">
        <f aca="false">IF(AND(M4021=0,P4021=0),"▶ NEXT","")</f>
        <v/>
      </c>
      <c r="L4021" s="4" t="n">
        <f aca="false">INDEX('Master List'!$F$2:$F$2594,O4021)</f>
        <v>11</v>
      </c>
      <c r="M4021" s="4" t="n">
        <f aca="false">INDEX('Master List'!$G$2:$G$2594,O4021)</f>
        <v>1</v>
      </c>
      <c r="N4021" s="4" t="str">
        <f aca="false">IF(K4021="","",A4021)</f>
        <v/>
      </c>
      <c r="O4021" s="4" t="n">
        <v>646</v>
      </c>
      <c r="P4021" s="4" t="n">
        <f aca="false">IF(A4021=A4020,P4020+1-M4020,0)</f>
        <v>9</v>
      </c>
    </row>
    <row r="4022" customFormat="false" ht="15" hidden="false" customHeight="false" outlineLevel="0" collapsed="false">
      <c r="A4022" s="34" t="s">
        <v>4453</v>
      </c>
      <c r="B4022" s="34" t="s">
        <v>57</v>
      </c>
      <c r="C4022" s="34" t="s">
        <v>127</v>
      </c>
      <c r="D4022" s="34" t="s">
        <v>4454</v>
      </c>
      <c r="E4022" s="4" t="n">
        <v>1</v>
      </c>
      <c r="F4022" s="4" t="s">
        <v>144</v>
      </c>
      <c r="G4022" s="7" t="s">
        <v>719</v>
      </c>
      <c r="H4022" s="4" t="n">
        <v>1902</v>
      </c>
      <c r="I4022" s="4" t="s">
        <v>720</v>
      </c>
      <c r="J4022" s="25" t="str">
        <f aca="false">IF(M4022=1,"✓","")</f>
        <v>✓</v>
      </c>
      <c r="K4022" s="4" t="str">
        <f aca="false">IF(AND(M4022=0,P4022=0),"▶ NEXT","")</f>
        <v/>
      </c>
      <c r="L4022" s="4" t="n">
        <f aca="false">INDEX('Master List'!$F$2:$F$2594,O4022)</f>
        <v>2</v>
      </c>
      <c r="M4022" s="4" t="n">
        <f aca="false">INDEX('Master List'!$G$2:$G$2594,O4022)</f>
        <v>1</v>
      </c>
      <c r="N4022" s="4" t="str">
        <f aca="false">IF(K4022="","",A4022)</f>
        <v/>
      </c>
      <c r="O4022" s="4" t="n">
        <v>2368</v>
      </c>
      <c r="P4022" s="4" t="n">
        <f aca="false">IF(A4022=A4021,P4021+1-M4021,0)</f>
        <v>0</v>
      </c>
    </row>
    <row r="4023" customFormat="false" ht="15" hidden="false" customHeight="false" outlineLevel="0" collapsed="false">
      <c r="A4023" s="34" t="s">
        <v>4453</v>
      </c>
      <c r="B4023" s="34" t="s">
        <v>57</v>
      </c>
      <c r="C4023" s="34" t="s">
        <v>127</v>
      </c>
      <c r="D4023" s="34" t="s">
        <v>4454</v>
      </c>
      <c r="E4023" s="4" t="n">
        <v>2</v>
      </c>
      <c r="F4023" s="4" t="s">
        <v>213</v>
      </c>
      <c r="G4023" s="4" t="s">
        <v>528</v>
      </c>
      <c r="H4023" s="4" t="n">
        <v>1903</v>
      </c>
      <c r="I4023" s="4" t="s">
        <v>529</v>
      </c>
      <c r="J4023" s="25" t="str">
        <f aca="false">IF(M4023=1,"✓","")</f>
        <v/>
      </c>
      <c r="K4023" s="4" t="str">
        <f aca="false">IF(AND(M4023=0,P4023=0),"▶ NEXT","")</f>
        <v>▶ NEXT</v>
      </c>
      <c r="L4023" s="4" t="n">
        <f aca="false">INDEX('Master List'!$F$2:$F$2594,O4023)</f>
        <v>3</v>
      </c>
      <c r="M4023" s="4" t="n">
        <f aca="false">INDEX('Master List'!$G$2:$G$2594,O4023)</f>
        <v>0</v>
      </c>
      <c r="N4023" s="4" t="str">
        <f aca="false">IF(K4023="","",A4023)</f>
        <v>N315</v>
      </c>
      <c r="O4023" s="4" t="n">
        <v>957</v>
      </c>
      <c r="P4023" s="4" t="n">
        <f aca="false">IF(A4023=A4022,P4022+1-M4022,0)</f>
        <v>0</v>
      </c>
    </row>
    <row r="4024" customFormat="false" ht="15" hidden="false" customHeight="false" outlineLevel="0" collapsed="false">
      <c r="A4024" s="34" t="s">
        <v>4453</v>
      </c>
      <c r="B4024" s="34" t="s">
        <v>57</v>
      </c>
      <c r="C4024" s="34" t="s">
        <v>127</v>
      </c>
      <c r="D4024" s="34" t="s">
        <v>4454</v>
      </c>
      <c r="E4024" s="4" t="n">
        <v>3</v>
      </c>
      <c r="F4024" s="4" t="s">
        <v>213</v>
      </c>
      <c r="G4024" s="4" t="s">
        <v>530</v>
      </c>
      <c r="H4024" s="4" t="n">
        <v>1915</v>
      </c>
      <c r="I4024" s="4" t="s">
        <v>531</v>
      </c>
      <c r="J4024" s="25" t="str">
        <f aca="false">IF(M4024=1,"✓","")</f>
        <v/>
      </c>
      <c r="K4024" s="4" t="str">
        <f aca="false">IF(AND(M4024=0,P4024=0),"▶ NEXT","")</f>
        <v/>
      </c>
      <c r="L4024" s="4" t="n">
        <f aca="false">INDEX('Master List'!$F$2:$F$2594,O4024)</f>
        <v>3</v>
      </c>
      <c r="M4024" s="4" t="n">
        <f aca="false">INDEX('Master List'!$G$2:$G$2594,O4024)</f>
        <v>0</v>
      </c>
      <c r="N4024" s="4" t="str">
        <f aca="false">IF(K4024="","",A4024)</f>
        <v/>
      </c>
      <c r="O4024" s="4" t="n">
        <v>259</v>
      </c>
      <c r="P4024" s="4" t="n">
        <f aca="false">IF(A4024=A4023,P4023+1-M4023,0)</f>
        <v>1</v>
      </c>
    </row>
    <row r="4025" customFormat="false" ht="15" hidden="false" customHeight="false" outlineLevel="0" collapsed="false">
      <c r="A4025" s="34" t="s">
        <v>4453</v>
      </c>
      <c r="B4025" s="34" t="s">
        <v>57</v>
      </c>
      <c r="C4025" s="34" t="s">
        <v>127</v>
      </c>
      <c r="D4025" s="34" t="s">
        <v>4454</v>
      </c>
      <c r="E4025" s="4" t="n">
        <v>4</v>
      </c>
      <c r="F4025" s="4" t="s">
        <v>213</v>
      </c>
      <c r="G4025" s="4" t="s">
        <v>330</v>
      </c>
      <c r="H4025" s="4" t="n">
        <v>1920</v>
      </c>
      <c r="I4025" s="4" t="s">
        <v>331</v>
      </c>
      <c r="J4025" s="25" t="str">
        <f aca="false">IF(M4025=1,"✓","")</f>
        <v/>
      </c>
      <c r="K4025" s="4" t="str">
        <f aca="false">IF(AND(M4025=0,P4025=0),"▶ NEXT","")</f>
        <v/>
      </c>
      <c r="L4025" s="4" t="n">
        <f aca="false">INDEX('Master List'!$F$2:$F$2594,O4025)</f>
        <v>4</v>
      </c>
      <c r="M4025" s="4" t="n">
        <f aca="false">INDEX('Master List'!$G$2:$G$2594,O4025)</f>
        <v>0</v>
      </c>
      <c r="N4025" s="4" t="str">
        <f aca="false">IF(K4025="","",A4025)</f>
        <v/>
      </c>
      <c r="O4025" s="4" t="n">
        <v>377</v>
      </c>
      <c r="P4025" s="4" t="n">
        <f aca="false">IF(A4025=A4024,P4024+1-M4024,0)</f>
        <v>2</v>
      </c>
    </row>
    <row r="4026" customFormat="false" ht="15" hidden="false" customHeight="false" outlineLevel="0" collapsed="false">
      <c r="A4026" s="34" t="s">
        <v>4453</v>
      </c>
      <c r="B4026" s="34" t="s">
        <v>57</v>
      </c>
      <c r="C4026" s="34" t="s">
        <v>127</v>
      </c>
      <c r="D4026" s="34" t="s">
        <v>4454</v>
      </c>
      <c r="E4026" s="4" t="n">
        <v>5</v>
      </c>
      <c r="F4026" s="4" t="s">
        <v>213</v>
      </c>
      <c r="G4026" s="4" t="s">
        <v>231</v>
      </c>
      <c r="H4026" s="4" t="n">
        <v>1925</v>
      </c>
      <c r="I4026" s="4" t="s">
        <v>232</v>
      </c>
      <c r="J4026" s="25" t="str">
        <f aca="false">IF(M4026=1,"✓","")</f>
        <v/>
      </c>
      <c r="K4026" s="4" t="str">
        <f aca="false">IF(AND(M4026=0,P4026=0),"▶ NEXT","")</f>
        <v/>
      </c>
      <c r="L4026" s="4" t="n">
        <f aca="false">INDEX('Master List'!$F$2:$F$2594,O4026)</f>
        <v>5</v>
      </c>
      <c r="M4026" s="4" t="n">
        <f aca="false">INDEX('Master List'!$G$2:$G$2594,O4026)</f>
        <v>0</v>
      </c>
      <c r="N4026" s="4" t="str">
        <f aca="false">IF(K4026="","",A4026)</f>
        <v/>
      </c>
      <c r="O4026" s="4" t="n">
        <v>199</v>
      </c>
      <c r="P4026" s="4" t="n">
        <f aca="false">IF(A4026=A4025,P4025+1-M4025,0)</f>
        <v>3</v>
      </c>
    </row>
    <row r="4027" customFormat="false" ht="15" hidden="false" customHeight="false" outlineLevel="0" collapsed="false">
      <c r="A4027" s="34" t="s">
        <v>4453</v>
      </c>
      <c r="B4027" s="34" t="s">
        <v>57</v>
      </c>
      <c r="C4027" s="34" t="s">
        <v>127</v>
      </c>
      <c r="D4027" s="34" t="s">
        <v>4454</v>
      </c>
      <c r="E4027" s="4" t="n">
        <v>6</v>
      </c>
      <c r="F4027" s="4" t="s">
        <v>213</v>
      </c>
      <c r="G4027" s="4" t="s">
        <v>532</v>
      </c>
      <c r="H4027" s="4" t="n">
        <v>1926</v>
      </c>
      <c r="I4027" s="4" t="s">
        <v>533</v>
      </c>
      <c r="J4027" s="25" t="str">
        <f aca="false">IF(M4027=1,"✓","")</f>
        <v/>
      </c>
      <c r="K4027" s="4" t="str">
        <f aca="false">IF(AND(M4027=0,P4027=0),"▶ NEXT","")</f>
        <v/>
      </c>
      <c r="L4027" s="4" t="n">
        <f aca="false">INDEX('Master List'!$F$2:$F$2594,O4027)</f>
        <v>3</v>
      </c>
      <c r="M4027" s="4" t="n">
        <f aca="false">INDEX('Master List'!$G$2:$G$2594,O4027)</f>
        <v>0</v>
      </c>
      <c r="N4027" s="4" t="str">
        <f aca="false">IF(K4027="","",A4027)</f>
        <v/>
      </c>
      <c r="O4027" s="4" t="n">
        <v>883</v>
      </c>
      <c r="P4027" s="4" t="n">
        <f aca="false">IF(A4027=A4026,P4026+1-M4026,0)</f>
        <v>4</v>
      </c>
    </row>
    <row r="4028" customFormat="false" ht="15" hidden="false" customHeight="false" outlineLevel="0" collapsed="false">
      <c r="A4028" s="34" t="s">
        <v>4453</v>
      </c>
      <c r="B4028" s="34" t="s">
        <v>57</v>
      </c>
      <c r="C4028" s="34" t="s">
        <v>127</v>
      </c>
      <c r="D4028" s="34" t="s">
        <v>4454</v>
      </c>
      <c r="E4028" s="4" t="n">
        <v>7</v>
      </c>
      <c r="F4028" s="4" t="s">
        <v>213</v>
      </c>
      <c r="G4028" s="4" t="s">
        <v>298</v>
      </c>
      <c r="H4028" s="4" t="n">
        <v>1927</v>
      </c>
      <c r="I4028" s="4" t="s">
        <v>299</v>
      </c>
      <c r="J4028" s="25" t="str">
        <f aca="false">IF(M4028=1,"✓","")</f>
        <v/>
      </c>
      <c r="K4028" s="4" t="str">
        <f aca="false">IF(AND(M4028=0,P4028=0),"▶ NEXT","")</f>
        <v/>
      </c>
      <c r="L4028" s="4" t="n">
        <f aca="false">INDEX('Master List'!$F$2:$F$2594,O4028)</f>
        <v>5</v>
      </c>
      <c r="M4028" s="4" t="n">
        <f aca="false">INDEX('Master List'!$G$2:$G$2594,O4028)</f>
        <v>0</v>
      </c>
      <c r="N4028" s="4" t="str">
        <f aca="false">IF(K4028="","",A4028)</f>
        <v/>
      </c>
      <c r="O4028" s="4" t="n">
        <v>2202</v>
      </c>
      <c r="P4028" s="4" t="n">
        <f aca="false">IF(A4028=A4027,P4027+1-M4027,0)</f>
        <v>5</v>
      </c>
    </row>
    <row r="4029" customFormat="false" ht="15" hidden="false" customHeight="false" outlineLevel="0" collapsed="false">
      <c r="A4029" s="34" t="s">
        <v>4453</v>
      </c>
      <c r="B4029" s="34" t="s">
        <v>57</v>
      </c>
      <c r="C4029" s="34" t="s">
        <v>127</v>
      </c>
      <c r="D4029" s="34" t="s">
        <v>4454</v>
      </c>
      <c r="E4029" s="4" t="n">
        <v>8</v>
      </c>
      <c r="F4029" s="4" t="s">
        <v>213</v>
      </c>
      <c r="G4029" s="4" t="s">
        <v>245</v>
      </c>
      <c r="H4029" s="4" t="n">
        <v>1928</v>
      </c>
      <c r="I4029" s="4" t="s">
        <v>246</v>
      </c>
      <c r="J4029" s="25" t="str">
        <f aca="false">IF(M4029=1,"✓","")</f>
        <v/>
      </c>
      <c r="K4029" s="4" t="str">
        <f aca="false">IF(AND(M4029=0,P4029=0),"▶ NEXT","")</f>
        <v/>
      </c>
      <c r="L4029" s="4" t="n">
        <f aca="false">INDEX('Master List'!$F$2:$F$2594,O4029)</f>
        <v>5</v>
      </c>
      <c r="M4029" s="4" t="n">
        <f aca="false">INDEX('Master List'!$G$2:$G$2594,O4029)</f>
        <v>0</v>
      </c>
      <c r="N4029" s="4" t="str">
        <f aca="false">IF(K4029="","",A4029)</f>
        <v/>
      </c>
      <c r="O4029" s="4" t="n">
        <v>1729</v>
      </c>
      <c r="P4029" s="4" t="n">
        <f aca="false">IF(A4029=A4028,P4028+1-M4028,0)</f>
        <v>6</v>
      </c>
    </row>
    <row r="4030" customFormat="false" ht="15" hidden="false" customHeight="false" outlineLevel="0" collapsed="false">
      <c r="A4030" s="34" t="s">
        <v>4453</v>
      </c>
      <c r="B4030" s="34" t="s">
        <v>57</v>
      </c>
      <c r="C4030" s="34" t="s">
        <v>127</v>
      </c>
      <c r="D4030" s="34" t="s">
        <v>4454</v>
      </c>
      <c r="E4030" s="4" t="n">
        <v>9</v>
      </c>
      <c r="F4030" s="4" t="s">
        <v>213</v>
      </c>
      <c r="G4030" s="4" t="s">
        <v>247</v>
      </c>
      <c r="H4030" s="4" t="n">
        <v>1931</v>
      </c>
      <c r="I4030" s="4" t="s">
        <v>248</v>
      </c>
      <c r="J4030" s="25" t="str">
        <f aca="false">IF(M4030=1,"✓","")</f>
        <v>✓</v>
      </c>
      <c r="K4030" s="4" t="str">
        <f aca="false">IF(AND(M4030=0,P4030=0),"▶ NEXT","")</f>
        <v/>
      </c>
      <c r="L4030" s="4" t="n">
        <f aca="false">INDEX('Master List'!$F$2:$F$2594,O4030)</f>
        <v>5</v>
      </c>
      <c r="M4030" s="4" t="n">
        <f aca="false">INDEX('Master List'!$G$2:$G$2594,O4030)</f>
        <v>1</v>
      </c>
      <c r="N4030" s="4" t="str">
        <f aca="false">IF(K4030="","",A4030)</f>
        <v/>
      </c>
      <c r="O4030" s="4" t="n">
        <v>1398</v>
      </c>
      <c r="P4030" s="4" t="n">
        <f aca="false">IF(A4030=A4029,P4029+1-M4029,0)</f>
        <v>7</v>
      </c>
    </row>
    <row r="4031" customFormat="false" ht="15" hidden="false" customHeight="false" outlineLevel="0" collapsed="false">
      <c r="A4031" s="34" t="s">
        <v>4453</v>
      </c>
      <c r="B4031" s="34" t="s">
        <v>57</v>
      </c>
      <c r="C4031" s="34" t="s">
        <v>127</v>
      </c>
      <c r="D4031" s="34" t="s">
        <v>4454</v>
      </c>
      <c r="E4031" s="4" t="n">
        <v>10</v>
      </c>
      <c r="F4031" s="4" t="s">
        <v>213</v>
      </c>
      <c r="G4031" s="4" t="s">
        <v>233</v>
      </c>
      <c r="H4031" s="4" t="n">
        <v>1939</v>
      </c>
      <c r="I4031" s="4" t="s">
        <v>234</v>
      </c>
      <c r="J4031" s="25" t="str">
        <f aca="false">IF(M4031=1,"✓","")</f>
        <v/>
      </c>
      <c r="K4031" s="4" t="str">
        <f aca="false">IF(AND(M4031=0,P4031=0),"▶ NEXT","")</f>
        <v/>
      </c>
      <c r="L4031" s="4" t="n">
        <f aca="false">INDEX('Master List'!$F$2:$F$2594,O4031)</f>
        <v>5</v>
      </c>
      <c r="M4031" s="4" t="n">
        <f aca="false">INDEX('Master List'!$G$2:$G$2594,O4031)</f>
        <v>0</v>
      </c>
      <c r="N4031" s="4" t="str">
        <f aca="false">IF(K4031="","",A4031)</f>
        <v/>
      </c>
      <c r="O4031" s="4" t="n">
        <v>1943</v>
      </c>
      <c r="P4031" s="4" t="n">
        <f aca="false">IF(A4031=A4030,P4030+1-M4030,0)</f>
        <v>7</v>
      </c>
    </row>
    <row r="4032" customFormat="false" ht="15" hidden="false" customHeight="false" outlineLevel="0" collapsed="false">
      <c r="A4032" s="34" t="s">
        <v>4453</v>
      </c>
      <c r="B4032" s="34" t="s">
        <v>57</v>
      </c>
      <c r="C4032" s="34" t="s">
        <v>127</v>
      </c>
      <c r="D4032" s="34" t="s">
        <v>4454</v>
      </c>
      <c r="E4032" s="4" t="n">
        <v>11</v>
      </c>
      <c r="F4032" s="4" t="s">
        <v>213</v>
      </c>
      <c r="G4032" s="4" t="s">
        <v>142</v>
      </c>
      <c r="H4032" s="4" t="n">
        <v>1941</v>
      </c>
      <c r="I4032" s="4" t="s">
        <v>143</v>
      </c>
      <c r="J4032" s="25" t="str">
        <f aca="false">IF(M4032=1,"✓","")</f>
        <v/>
      </c>
      <c r="K4032" s="4" t="str">
        <f aca="false">IF(AND(M4032=0,P4032=0),"▶ NEXT","")</f>
        <v/>
      </c>
      <c r="L4032" s="4" t="n">
        <f aca="false">INDEX('Master List'!$F$2:$F$2594,O4032)</f>
        <v>13</v>
      </c>
      <c r="M4032" s="4" t="n">
        <f aca="false">INDEX('Master List'!$G$2:$G$2594,O4032)</f>
        <v>0</v>
      </c>
      <c r="N4032" s="4" t="str">
        <f aca="false">IF(K4032="","",A4032)</f>
        <v/>
      </c>
      <c r="O4032" s="4" t="n">
        <v>462</v>
      </c>
      <c r="P4032" s="4" t="n">
        <f aca="false">IF(A4032=A4031,P4031+1-M4031,0)</f>
        <v>8</v>
      </c>
    </row>
    <row r="4033" customFormat="false" ht="15" hidden="false" customHeight="false" outlineLevel="0" collapsed="false">
      <c r="A4033" s="34" t="s">
        <v>4453</v>
      </c>
      <c r="B4033" s="34" t="s">
        <v>57</v>
      </c>
      <c r="C4033" s="34" t="s">
        <v>127</v>
      </c>
      <c r="D4033" s="34" t="s">
        <v>4454</v>
      </c>
      <c r="E4033" s="4" t="n">
        <v>12</v>
      </c>
      <c r="F4033" s="4" t="s">
        <v>213</v>
      </c>
      <c r="G4033" s="4" t="s">
        <v>349</v>
      </c>
      <c r="H4033" s="4" t="n">
        <v>1945</v>
      </c>
      <c r="I4033" s="4" t="s">
        <v>268</v>
      </c>
      <c r="J4033" s="25" t="str">
        <f aca="false">IF(M4033=1,"✓","")</f>
        <v/>
      </c>
      <c r="K4033" s="4" t="str">
        <f aca="false">IF(AND(M4033=0,P4033=0),"▶ NEXT","")</f>
        <v/>
      </c>
      <c r="L4033" s="4" t="n">
        <f aca="false">INDEX('Master List'!$F$2:$F$2594,O4033)</f>
        <v>4</v>
      </c>
      <c r="M4033" s="4" t="n">
        <f aca="false">INDEX('Master List'!$G$2:$G$2594,O4033)</f>
        <v>0</v>
      </c>
      <c r="N4033" s="4" t="str">
        <f aca="false">IF(K4033="","",A4033)</f>
        <v/>
      </c>
      <c r="O4033" s="4" t="n">
        <v>1928</v>
      </c>
      <c r="P4033" s="4" t="n">
        <f aca="false">IF(A4033=A4032,P4032+1-M4032,0)</f>
        <v>9</v>
      </c>
    </row>
    <row r="4034" customFormat="false" ht="15" hidden="false" customHeight="false" outlineLevel="0" collapsed="false">
      <c r="A4034" s="34" t="s">
        <v>4453</v>
      </c>
      <c r="B4034" s="34" t="s">
        <v>57</v>
      </c>
      <c r="C4034" s="34" t="s">
        <v>127</v>
      </c>
      <c r="D4034" s="34" t="s">
        <v>4454</v>
      </c>
      <c r="E4034" s="4" t="n">
        <v>13</v>
      </c>
      <c r="F4034" s="4" t="s">
        <v>213</v>
      </c>
      <c r="G4034" s="4" t="s">
        <v>220</v>
      </c>
      <c r="H4034" s="4" t="n">
        <v>1950</v>
      </c>
      <c r="I4034" s="4" t="s">
        <v>156</v>
      </c>
      <c r="J4034" s="25" t="str">
        <f aca="false">IF(M4034=1,"✓","")</f>
        <v>✓</v>
      </c>
      <c r="K4034" s="4" t="str">
        <f aca="false">IF(AND(M4034=0,P4034=0),"▶ NEXT","")</f>
        <v/>
      </c>
      <c r="L4034" s="4" t="n">
        <f aca="false">INDEX('Master List'!$F$2:$F$2594,O4034)</f>
        <v>6</v>
      </c>
      <c r="M4034" s="4" t="n">
        <f aca="false">INDEX('Master List'!$G$2:$G$2594,O4034)</f>
        <v>1</v>
      </c>
      <c r="N4034" s="4" t="str">
        <f aca="false">IF(K4034="","",A4034)</f>
        <v/>
      </c>
      <c r="O4034" s="4" t="n">
        <v>1860</v>
      </c>
      <c r="P4034" s="4" t="n">
        <f aca="false">IF(A4034=A4033,P4033+1-M4033,0)</f>
        <v>10</v>
      </c>
    </row>
    <row r="4035" customFormat="false" ht="15" hidden="false" customHeight="false" outlineLevel="0" collapsed="false">
      <c r="A4035" s="34" t="s">
        <v>4453</v>
      </c>
      <c r="B4035" s="34" t="s">
        <v>57</v>
      </c>
      <c r="C4035" s="34" t="s">
        <v>127</v>
      </c>
      <c r="D4035" s="34" t="s">
        <v>4454</v>
      </c>
      <c r="E4035" s="4" t="n">
        <v>14</v>
      </c>
      <c r="F4035" s="4" t="s">
        <v>213</v>
      </c>
      <c r="G4035" s="4" t="s">
        <v>145</v>
      </c>
      <c r="H4035" s="4" t="n">
        <v>1953</v>
      </c>
      <c r="I4035" s="4" t="s">
        <v>146</v>
      </c>
      <c r="J4035" s="25" t="str">
        <f aca="false">IF(M4035=1,"✓","")</f>
        <v/>
      </c>
      <c r="K4035" s="4" t="str">
        <f aca="false">IF(AND(M4035=0,P4035=0),"▶ NEXT","")</f>
        <v/>
      </c>
      <c r="L4035" s="4" t="n">
        <f aca="false">INDEX('Master List'!$F$2:$F$2594,O4035)</f>
        <v>10</v>
      </c>
      <c r="M4035" s="4" t="n">
        <f aca="false">INDEX('Master List'!$G$2:$G$2594,O4035)</f>
        <v>0</v>
      </c>
      <c r="N4035" s="4" t="str">
        <f aca="false">IF(K4035="","",A4035)</f>
        <v/>
      </c>
      <c r="O4035" s="4" t="n">
        <v>2328</v>
      </c>
      <c r="P4035" s="4" t="n">
        <f aca="false">IF(A4035=A4034,P4034+1-M4034,0)</f>
        <v>10</v>
      </c>
    </row>
    <row r="4036" customFormat="false" ht="15" hidden="false" customHeight="false" outlineLevel="0" collapsed="false">
      <c r="A4036" s="34" t="s">
        <v>4453</v>
      </c>
      <c r="B4036" s="34" t="s">
        <v>57</v>
      </c>
      <c r="C4036" s="34" t="s">
        <v>127</v>
      </c>
      <c r="D4036" s="34" t="s">
        <v>4454</v>
      </c>
      <c r="E4036" s="4" t="n">
        <v>15</v>
      </c>
      <c r="F4036" s="4" t="s">
        <v>213</v>
      </c>
      <c r="G4036" s="4" t="s">
        <v>252</v>
      </c>
      <c r="H4036" s="4" t="n">
        <v>1955</v>
      </c>
      <c r="I4036" s="4" t="s">
        <v>253</v>
      </c>
      <c r="J4036" s="25" t="str">
        <f aca="false">IF(M4036=1,"✓","")</f>
        <v/>
      </c>
      <c r="K4036" s="4" t="str">
        <f aca="false">IF(AND(M4036=0,P4036=0),"▶ NEXT","")</f>
        <v/>
      </c>
      <c r="L4036" s="4" t="n">
        <f aca="false">INDEX('Master List'!$F$2:$F$2594,O4036)</f>
        <v>5</v>
      </c>
      <c r="M4036" s="4" t="n">
        <f aca="false">INDEX('Master List'!$G$2:$G$2594,O4036)</f>
        <v>0</v>
      </c>
      <c r="N4036" s="4" t="str">
        <f aca="false">IF(K4036="","",A4036)</f>
        <v/>
      </c>
      <c r="O4036" s="4" t="n">
        <v>1734</v>
      </c>
      <c r="P4036" s="4" t="n">
        <f aca="false">IF(A4036=A4035,P4035+1-M4035,0)</f>
        <v>11</v>
      </c>
    </row>
    <row r="4037" customFormat="false" ht="15" hidden="false" customHeight="false" outlineLevel="0" collapsed="false">
      <c r="A4037" s="34" t="s">
        <v>4453</v>
      </c>
      <c r="B4037" s="34" t="s">
        <v>57</v>
      </c>
      <c r="C4037" s="34" t="s">
        <v>127</v>
      </c>
      <c r="D4037" s="34" t="s">
        <v>4454</v>
      </c>
      <c r="E4037" s="4" t="n">
        <v>16</v>
      </c>
      <c r="F4037" s="4" t="s">
        <v>213</v>
      </c>
      <c r="G4037" s="4" t="s">
        <v>198</v>
      </c>
      <c r="H4037" s="4" t="n">
        <v>1957</v>
      </c>
      <c r="I4037" s="4" t="s">
        <v>170</v>
      </c>
      <c r="J4037" s="25" t="str">
        <f aca="false">IF(M4037=1,"✓","")</f>
        <v>✓</v>
      </c>
      <c r="K4037" s="4" t="str">
        <f aca="false">IF(AND(M4037=0,P4037=0),"▶ NEXT","")</f>
        <v/>
      </c>
      <c r="L4037" s="4" t="n">
        <f aca="false">INDEX('Master List'!$F$2:$F$2594,O4037)</f>
        <v>6</v>
      </c>
      <c r="M4037" s="4" t="n">
        <f aca="false">INDEX('Master List'!$G$2:$G$2594,O4037)</f>
        <v>1</v>
      </c>
      <c r="N4037" s="4" t="str">
        <f aca="false">IF(K4037="","",A4037)</f>
        <v/>
      </c>
      <c r="O4037" s="4" t="n">
        <v>2025</v>
      </c>
      <c r="P4037" s="4" t="n">
        <f aca="false">IF(A4037=A4036,P4036+1-M4036,0)</f>
        <v>12</v>
      </c>
    </row>
    <row r="4038" customFormat="false" ht="15" hidden="false" customHeight="false" outlineLevel="0" collapsed="false">
      <c r="A4038" s="34" t="s">
        <v>4453</v>
      </c>
      <c r="B4038" s="34" t="s">
        <v>57</v>
      </c>
      <c r="C4038" s="34" t="s">
        <v>127</v>
      </c>
      <c r="D4038" s="34" t="s">
        <v>4454</v>
      </c>
      <c r="E4038" s="4" t="n">
        <v>17</v>
      </c>
      <c r="F4038" s="4" t="s">
        <v>213</v>
      </c>
      <c r="G4038" s="4" t="s">
        <v>151</v>
      </c>
      <c r="H4038" s="4" t="n">
        <v>1960</v>
      </c>
      <c r="I4038" s="4" t="s">
        <v>152</v>
      </c>
      <c r="J4038" s="25" t="str">
        <f aca="false">IF(M4038=1,"✓","")</f>
        <v/>
      </c>
      <c r="K4038" s="4" t="str">
        <f aca="false">IF(AND(M4038=0,P4038=0),"▶ NEXT","")</f>
        <v/>
      </c>
      <c r="L4038" s="4" t="n">
        <f aca="false">INDEX('Master List'!$F$2:$F$2594,O4038)</f>
        <v>9</v>
      </c>
      <c r="M4038" s="4" t="n">
        <f aca="false">INDEX('Master List'!$G$2:$G$2594,O4038)</f>
        <v>0</v>
      </c>
      <c r="N4038" s="4" t="str">
        <f aca="false">IF(K4038="","",A4038)</f>
        <v/>
      </c>
      <c r="O4038" s="4" t="n">
        <v>342</v>
      </c>
      <c r="P4038" s="4" t="n">
        <f aca="false">IF(A4038=A4037,P4037+1-M4037,0)</f>
        <v>12</v>
      </c>
    </row>
    <row r="4039" customFormat="false" ht="15" hidden="false" customHeight="false" outlineLevel="0" collapsed="false">
      <c r="A4039" s="34" t="s">
        <v>4453</v>
      </c>
      <c r="B4039" s="34" t="s">
        <v>57</v>
      </c>
      <c r="C4039" s="34" t="s">
        <v>127</v>
      </c>
      <c r="D4039" s="34" t="s">
        <v>4454</v>
      </c>
      <c r="E4039" s="4" t="n">
        <v>18</v>
      </c>
      <c r="F4039" s="4" t="s">
        <v>213</v>
      </c>
      <c r="G4039" s="4" t="s">
        <v>216</v>
      </c>
      <c r="H4039" s="4" t="n">
        <v>1960</v>
      </c>
      <c r="I4039" s="4" t="s">
        <v>217</v>
      </c>
      <c r="J4039" s="25" t="str">
        <f aca="false">IF(M4039=1,"✓","")</f>
        <v/>
      </c>
      <c r="K4039" s="4" t="str">
        <f aca="false">IF(AND(M4039=0,P4039=0),"▶ NEXT","")</f>
        <v/>
      </c>
      <c r="L4039" s="4" t="n">
        <f aca="false">INDEX('Master List'!$F$2:$F$2594,O4039)</f>
        <v>6</v>
      </c>
      <c r="M4039" s="4" t="n">
        <f aca="false">INDEX('Master List'!$G$2:$G$2594,O4039)</f>
        <v>0</v>
      </c>
      <c r="N4039" s="4" t="str">
        <f aca="false">IF(K4039="","",A4039)</f>
        <v/>
      </c>
      <c r="O4039" s="4" t="n">
        <v>154</v>
      </c>
      <c r="P4039" s="4" t="n">
        <f aca="false">IF(A4039=A4038,P4038+1-M4038,0)</f>
        <v>13</v>
      </c>
    </row>
    <row r="4040" customFormat="false" ht="15" hidden="false" customHeight="false" outlineLevel="0" collapsed="false">
      <c r="A4040" s="34" t="s">
        <v>4453</v>
      </c>
      <c r="B4040" s="34" t="s">
        <v>57</v>
      </c>
      <c r="C4040" s="34" t="s">
        <v>127</v>
      </c>
      <c r="D4040" s="34" t="s">
        <v>4454</v>
      </c>
      <c r="E4040" s="4" t="n">
        <v>19</v>
      </c>
      <c r="F4040" s="4" t="s">
        <v>213</v>
      </c>
      <c r="G4040" s="4" t="s">
        <v>463</v>
      </c>
      <c r="H4040" s="4" t="n">
        <v>1964</v>
      </c>
      <c r="I4040" s="4" t="s">
        <v>464</v>
      </c>
      <c r="J4040" s="25" t="str">
        <f aca="false">IF(M4040=1,"✓","")</f>
        <v/>
      </c>
      <c r="K4040" s="4" t="str">
        <f aca="false">IF(AND(M4040=0,P4040=0),"▶ NEXT","")</f>
        <v/>
      </c>
      <c r="L4040" s="4" t="n">
        <f aca="false">INDEX('Master List'!$F$2:$F$2594,O4040)</f>
        <v>3</v>
      </c>
      <c r="M4040" s="4" t="n">
        <f aca="false">INDEX('Master List'!$G$2:$G$2594,O4040)</f>
        <v>0</v>
      </c>
      <c r="N4040" s="4" t="str">
        <f aca="false">IF(K4040="","",A4040)</f>
        <v/>
      </c>
      <c r="O4040" s="4" t="n">
        <v>267</v>
      </c>
      <c r="P4040" s="4" t="n">
        <f aca="false">IF(A4040=A4039,P4039+1-M4039,0)</f>
        <v>14</v>
      </c>
    </row>
    <row r="4041" customFormat="false" ht="15" hidden="false" customHeight="false" outlineLevel="0" collapsed="false">
      <c r="A4041" s="34" t="s">
        <v>4453</v>
      </c>
      <c r="B4041" s="34" t="s">
        <v>57</v>
      </c>
      <c r="C4041" s="34" t="s">
        <v>127</v>
      </c>
      <c r="D4041" s="34" t="s">
        <v>4454</v>
      </c>
      <c r="E4041" s="4" t="n">
        <v>20</v>
      </c>
      <c r="F4041" s="4" t="s">
        <v>213</v>
      </c>
      <c r="G4041" s="4" t="s">
        <v>227</v>
      </c>
      <c r="H4041" s="4" t="n">
        <v>1966</v>
      </c>
      <c r="I4041" s="4" t="s">
        <v>228</v>
      </c>
      <c r="J4041" s="25" t="str">
        <f aca="false">IF(M4041=1,"✓","")</f>
        <v/>
      </c>
      <c r="K4041" s="4" t="str">
        <f aca="false">IF(AND(M4041=0,P4041=0),"▶ NEXT","")</f>
        <v/>
      </c>
      <c r="L4041" s="4" t="n">
        <f aca="false">INDEX('Master List'!$F$2:$F$2594,O4041)</f>
        <v>6</v>
      </c>
      <c r="M4041" s="4" t="n">
        <f aca="false">INDEX('Master List'!$G$2:$G$2594,O4041)</f>
        <v>0</v>
      </c>
      <c r="N4041" s="4" t="str">
        <f aca="false">IF(K4041="","",A4041)</f>
        <v/>
      </c>
      <c r="O4041" s="4" t="n">
        <v>554</v>
      </c>
      <c r="P4041" s="4" t="n">
        <f aca="false">IF(A4041=A4040,P4040+1-M4040,0)</f>
        <v>15</v>
      </c>
    </row>
    <row r="4042" customFormat="false" ht="15" hidden="false" customHeight="false" outlineLevel="0" collapsed="false">
      <c r="A4042" s="34" t="s">
        <v>4453</v>
      </c>
      <c r="B4042" s="34" t="s">
        <v>57</v>
      </c>
      <c r="C4042" s="34" t="s">
        <v>127</v>
      </c>
      <c r="D4042" s="34" t="s">
        <v>4454</v>
      </c>
      <c r="E4042" s="4" t="n">
        <v>21</v>
      </c>
      <c r="F4042" s="4" t="s">
        <v>213</v>
      </c>
      <c r="G4042" s="4" t="s">
        <v>469</v>
      </c>
      <c r="H4042" s="4" t="n">
        <v>1966</v>
      </c>
      <c r="I4042" s="4" t="s">
        <v>470</v>
      </c>
      <c r="J4042" s="25" t="str">
        <f aca="false">IF(M4042=1,"✓","")</f>
        <v/>
      </c>
      <c r="K4042" s="4" t="str">
        <f aca="false">IF(AND(M4042=0,P4042=0),"▶ NEXT","")</f>
        <v/>
      </c>
      <c r="L4042" s="4" t="n">
        <f aca="false">INDEX('Master List'!$F$2:$F$2594,O4042)</f>
        <v>3</v>
      </c>
      <c r="M4042" s="4" t="n">
        <f aca="false">INDEX('Master List'!$G$2:$G$2594,O4042)</f>
        <v>0</v>
      </c>
      <c r="N4042" s="4" t="str">
        <f aca="false">IF(K4042="","",A4042)</f>
        <v/>
      </c>
      <c r="O4042" s="4" t="n">
        <v>266</v>
      </c>
      <c r="P4042" s="4" t="n">
        <f aca="false">IF(A4042=A4041,P4041+1-M4041,0)</f>
        <v>16</v>
      </c>
    </row>
    <row r="4043" customFormat="false" ht="15" hidden="false" customHeight="false" outlineLevel="0" collapsed="false">
      <c r="A4043" s="34" t="s">
        <v>4453</v>
      </c>
      <c r="B4043" s="34" t="s">
        <v>57</v>
      </c>
      <c r="C4043" s="34" t="s">
        <v>127</v>
      </c>
      <c r="D4043" s="34" t="s">
        <v>4454</v>
      </c>
      <c r="E4043" s="4" t="n">
        <v>22</v>
      </c>
      <c r="F4043" s="4" t="s">
        <v>213</v>
      </c>
      <c r="G4043" s="4" t="s">
        <v>300</v>
      </c>
      <c r="H4043" s="4" t="n">
        <v>1967</v>
      </c>
      <c r="I4043" s="4" t="s">
        <v>301</v>
      </c>
      <c r="J4043" s="25" t="str">
        <f aca="false">IF(M4043=1,"✓","")</f>
        <v>✓</v>
      </c>
      <c r="K4043" s="4" t="str">
        <f aca="false">IF(AND(M4043=0,P4043=0),"▶ NEXT","")</f>
        <v/>
      </c>
      <c r="L4043" s="4" t="n">
        <f aca="false">INDEX('Master List'!$F$2:$F$2594,O4043)</f>
        <v>5</v>
      </c>
      <c r="M4043" s="4" t="n">
        <f aca="false">INDEX('Master List'!$G$2:$G$2594,O4043)</f>
        <v>1</v>
      </c>
      <c r="N4043" s="4" t="str">
        <f aca="false">IF(K4043="","",A4043)</f>
        <v/>
      </c>
      <c r="O4043" s="4" t="n">
        <v>314</v>
      </c>
      <c r="P4043" s="4" t="n">
        <f aca="false">IF(A4043=A4042,P4042+1-M4042,0)</f>
        <v>17</v>
      </c>
    </row>
    <row r="4044" customFormat="false" ht="15" hidden="false" customHeight="false" outlineLevel="0" collapsed="false">
      <c r="A4044" s="34" t="s">
        <v>4453</v>
      </c>
      <c r="B4044" s="34" t="s">
        <v>57</v>
      </c>
      <c r="C4044" s="34" t="s">
        <v>127</v>
      </c>
      <c r="D4044" s="34" t="s">
        <v>4454</v>
      </c>
      <c r="E4044" s="4" t="n">
        <v>23</v>
      </c>
      <c r="F4044" s="4" t="s">
        <v>213</v>
      </c>
      <c r="G4044" s="4" t="s">
        <v>311</v>
      </c>
      <c r="H4044" s="4" t="n">
        <v>1974</v>
      </c>
      <c r="I4044" s="4" t="s">
        <v>312</v>
      </c>
      <c r="J4044" s="25" t="str">
        <f aca="false">IF(M4044=1,"✓","")</f>
        <v/>
      </c>
      <c r="K4044" s="4" t="str">
        <f aca="false">IF(AND(M4044=0,P4044=0),"▶ NEXT","")</f>
        <v/>
      </c>
      <c r="L4044" s="4" t="n">
        <f aca="false">INDEX('Master List'!$F$2:$F$2594,O4044)</f>
        <v>4</v>
      </c>
      <c r="M4044" s="4" t="n">
        <f aca="false">INDEX('Master List'!$G$2:$G$2594,O4044)</f>
        <v>0</v>
      </c>
      <c r="N4044" s="4" t="str">
        <f aca="false">IF(K4044="","",A4044)</f>
        <v/>
      </c>
      <c r="O4044" s="4" t="n">
        <v>62</v>
      </c>
      <c r="P4044" s="4" t="n">
        <f aca="false">IF(A4044=A4043,P4043+1-M4043,0)</f>
        <v>17</v>
      </c>
    </row>
    <row r="4045" customFormat="false" ht="15" hidden="false" customHeight="false" outlineLevel="0" collapsed="false">
      <c r="A4045" s="34" t="s">
        <v>4453</v>
      </c>
      <c r="B4045" s="34" t="s">
        <v>57</v>
      </c>
      <c r="C4045" s="34" t="s">
        <v>127</v>
      </c>
      <c r="D4045" s="34" t="s">
        <v>4454</v>
      </c>
      <c r="E4045" s="4" t="n">
        <v>24</v>
      </c>
      <c r="F4045" s="4" t="s">
        <v>213</v>
      </c>
      <c r="G4045" s="4" t="s">
        <v>184</v>
      </c>
      <c r="H4045" s="4" t="n">
        <v>1975</v>
      </c>
      <c r="I4045" s="4" t="s">
        <v>185</v>
      </c>
      <c r="J4045" s="25" t="str">
        <f aca="false">IF(M4045=1,"✓","")</f>
        <v/>
      </c>
      <c r="K4045" s="4" t="str">
        <f aca="false">IF(AND(M4045=0,P4045=0),"▶ NEXT","")</f>
        <v/>
      </c>
      <c r="L4045" s="4" t="n">
        <f aca="false">INDEX('Master List'!$F$2:$F$2594,O4045)</f>
        <v>8</v>
      </c>
      <c r="M4045" s="4" t="n">
        <f aca="false">INDEX('Master List'!$G$2:$G$2594,O4045)</f>
        <v>0</v>
      </c>
      <c r="N4045" s="4" t="str">
        <f aca="false">IF(K4045="","",A4045)</f>
        <v/>
      </c>
      <c r="O4045" s="4" t="n">
        <v>1201</v>
      </c>
      <c r="P4045" s="4" t="n">
        <f aca="false">IF(A4045=A4044,P4044+1-M4044,0)</f>
        <v>18</v>
      </c>
    </row>
    <row r="4046" customFormat="false" ht="15" hidden="false" customHeight="false" outlineLevel="0" collapsed="false">
      <c r="A4046" s="34" t="s">
        <v>4453</v>
      </c>
      <c r="B4046" s="34" t="s">
        <v>57</v>
      </c>
      <c r="C4046" s="34" t="s">
        <v>127</v>
      </c>
      <c r="D4046" s="34" t="s">
        <v>4454</v>
      </c>
      <c r="E4046" s="4" t="n">
        <v>25</v>
      </c>
      <c r="F4046" s="4" t="s">
        <v>213</v>
      </c>
      <c r="G4046" s="4" t="s">
        <v>182</v>
      </c>
      <c r="H4046" s="4" t="n">
        <v>1975</v>
      </c>
      <c r="I4046" s="4" t="s">
        <v>183</v>
      </c>
      <c r="J4046" s="25" t="str">
        <f aca="false">IF(M4046=1,"✓","")</f>
        <v>✓</v>
      </c>
      <c r="K4046" s="4" t="str">
        <f aca="false">IF(AND(M4046=0,P4046=0),"▶ NEXT","")</f>
        <v/>
      </c>
      <c r="L4046" s="4" t="n">
        <f aca="false">INDEX('Master List'!$F$2:$F$2594,O4046)</f>
        <v>7</v>
      </c>
      <c r="M4046" s="4" t="n">
        <f aca="false">INDEX('Master List'!$G$2:$G$2594,O4046)</f>
        <v>1</v>
      </c>
      <c r="N4046" s="4" t="str">
        <f aca="false">IF(K4046="","",A4046)</f>
        <v/>
      </c>
      <c r="O4046" s="4" t="n">
        <v>1196</v>
      </c>
      <c r="P4046" s="4" t="n">
        <f aca="false">IF(A4046=A4045,P4045+1-M4045,0)</f>
        <v>19</v>
      </c>
    </row>
    <row r="4047" customFormat="false" ht="15" hidden="false" customHeight="false" outlineLevel="0" collapsed="false">
      <c r="A4047" s="34" t="s">
        <v>4453</v>
      </c>
      <c r="B4047" s="34" t="s">
        <v>57</v>
      </c>
      <c r="C4047" s="34" t="s">
        <v>127</v>
      </c>
      <c r="D4047" s="34" t="s">
        <v>4454</v>
      </c>
      <c r="E4047" s="4" t="n">
        <v>26</v>
      </c>
      <c r="F4047" s="4" t="s">
        <v>213</v>
      </c>
      <c r="G4047" s="4" t="s">
        <v>238</v>
      </c>
      <c r="H4047" s="4" t="n">
        <v>1978</v>
      </c>
      <c r="I4047" s="4" t="s">
        <v>239</v>
      </c>
      <c r="J4047" s="25" t="str">
        <f aca="false">IF(M4047=1,"✓","")</f>
        <v/>
      </c>
      <c r="K4047" s="4" t="str">
        <f aca="false">IF(AND(M4047=0,P4047=0),"▶ NEXT","")</f>
        <v/>
      </c>
      <c r="L4047" s="4" t="n">
        <f aca="false">INDEX('Master List'!$F$2:$F$2594,O4047)</f>
        <v>6</v>
      </c>
      <c r="M4047" s="4" t="n">
        <f aca="false">INDEX('Master List'!$G$2:$G$2594,O4047)</f>
        <v>0</v>
      </c>
      <c r="N4047" s="4" t="str">
        <f aca="false">IF(K4047="","",A4047)</f>
        <v/>
      </c>
      <c r="O4047" s="4" t="n">
        <v>1248</v>
      </c>
      <c r="P4047" s="4" t="n">
        <f aca="false">IF(A4047=A4046,P4046+1-M4046,0)</f>
        <v>19</v>
      </c>
    </row>
    <row r="4048" customFormat="false" ht="15" hidden="false" customHeight="false" outlineLevel="0" collapsed="false">
      <c r="A4048" s="34" t="s">
        <v>4453</v>
      </c>
      <c r="B4048" s="34" t="s">
        <v>57</v>
      </c>
      <c r="C4048" s="34" t="s">
        <v>127</v>
      </c>
      <c r="D4048" s="34" t="s">
        <v>4454</v>
      </c>
      <c r="E4048" s="4" t="n">
        <v>27</v>
      </c>
      <c r="F4048" s="4" t="s">
        <v>213</v>
      </c>
      <c r="G4048" s="4" t="s">
        <v>491</v>
      </c>
      <c r="H4048" s="4" t="n">
        <v>1989</v>
      </c>
      <c r="I4048" s="4" t="s">
        <v>492</v>
      </c>
      <c r="J4048" s="25" t="str">
        <f aca="false">IF(M4048=1,"✓","")</f>
        <v/>
      </c>
      <c r="K4048" s="4" t="str">
        <f aca="false">IF(AND(M4048=0,P4048=0),"▶ NEXT","")</f>
        <v/>
      </c>
      <c r="L4048" s="4" t="n">
        <f aca="false">INDEX('Master List'!$F$2:$F$2594,O4048)</f>
        <v>3</v>
      </c>
      <c r="M4048" s="4" t="n">
        <f aca="false">INDEX('Master List'!$G$2:$G$2594,O4048)</f>
        <v>0</v>
      </c>
      <c r="N4048" s="4" t="str">
        <f aca="false">IF(K4048="","",A4048)</f>
        <v/>
      </c>
      <c r="O4048" s="4" t="n">
        <v>466</v>
      </c>
      <c r="P4048" s="4" t="n">
        <f aca="false">IF(A4048=A4047,P4047+1-M4047,0)</f>
        <v>20</v>
      </c>
    </row>
    <row r="4049" customFormat="false" ht="15" hidden="false" customHeight="false" outlineLevel="0" collapsed="false">
      <c r="A4049" s="34" t="s">
        <v>4453</v>
      </c>
      <c r="B4049" s="34" t="s">
        <v>57</v>
      </c>
      <c r="C4049" s="34" t="s">
        <v>127</v>
      </c>
      <c r="D4049" s="34" t="s">
        <v>4454</v>
      </c>
      <c r="E4049" s="4" t="n">
        <v>28</v>
      </c>
      <c r="F4049" s="4" t="s">
        <v>213</v>
      </c>
      <c r="G4049" s="4" t="s">
        <v>202</v>
      </c>
      <c r="H4049" s="4" t="n">
        <v>1990</v>
      </c>
      <c r="I4049" s="4" t="s">
        <v>203</v>
      </c>
      <c r="J4049" s="25" t="str">
        <f aca="false">IF(M4049=1,"✓","")</f>
        <v/>
      </c>
      <c r="K4049" s="4" t="str">
        <f aca="false">IF(AND(M4049=0,P4049=0),"▶ NEXT","")</f>
        <v/>
      </c>
      <c r="L4049" s="4" t="n">
        <f aca="false">INDEX('Master List'!$F$2:$F$2594,O4049)</f>
        <v>7</v>
      </c>
      <c r="M4049" s="4" t="n">
        <f aca="false">INDEX('Master List'!$G$2:$G$2594,O4049)</f>
        <v>0</v>
      </c>
      <c r="N4049" s="4" t="str">
        <f aca="false">IF(K4049="","",A4049)</f>
        <v/>
      </c>
      <c r="O4049" s="4" t="n">
        <v>480</v>
      </c>
      <c r="P4049" s="4" t="n">
        <f aca="false">IF(A4049=A4048,P4048+1-M4048,0)</f>
        <v>21</v>
      </c>
    </row>
    <row r="4050" customFormat="false" ht="15" hidden="false" customHeight="false" outlineLevel="0" collapsed="false">
      <c r="A4050" s="34" t="s">
        <v>4453</v>
      </c>
      <c r="B4050" s="34" t="s">
        <v>57</v>
      </c>
      <c r="C4050" s="34" t="s">
        <v>127</v>
      </c>
      <c r="D4050" s="34" t="s">
        <v>4454</v>
      </c>
      <c r="E4050" s="4" t="n">
        <v>29</v>
      </c>
      <c r="F4050" s="4" t="s">
        <v>213</v>
      </c>
      <c r="G4050" s="4" t="s">
        <v>192</v>
      </c>
      <c r="H4050" s="4" t="n">
        <v>1994</v>
      </c>
      <c r="I4050" s="4" t="s">
        <v>193</v>
      </c>
      <c r="J4050" s="25" t="str">
        <f aca="false">IF(M4050=1,"✓","")</f>
        <v/>
      </c>
      <c r="K4050" s="4" t="str">
        <f aca="false">IF(AND(M4050=0,P4050=0),"▶ NEXT","")</f>
        <v/>
      </c>
      <c r="L4050" s="4" t="n">
        <f aca="false">INDEX('Master List'!$F$2:$F$2594,O4050)</f>
        <v>7</v>
      </c>
      <c r="M4050" s="4" t="n">
        <f aca="false">INDEX('Master List'!$G$2:$G$2594,O4050)</f>
        <v>0</v>
      </c>
      <c r="N4050" s="4" t="str">
        <f aca="false">IF(K4050="","",A4050)</f>
        <v/>
      </c>
      <c r="O4050" s="4" t="n">
        <v>458</v>
      </c>
      <c r="P4050" s="4" t="n">
        <f aca="false">IF(A4050=A4049,P4049+1-M4049,0)</f>
        <v>22</v>
      </c>
    </row>
    <row r="4051" customFormat="false" ht="15" hidden="false" customHeight="false" outlineLevel="0" collapsed="false">
      <c r="A4051" s="34" t="s">
        <v>4453</v>
      </c>
      <c r="B4051" s="34" t="s">
        <v>57</v>
      </c>
      <c r="C4051" s="34" t="s">
        <v>127</v>
      </c>
      <c r="D4051" s="34" t="s">
        <v>4454</v>
      </c>
      <c r="E4051" s="4" t="n">
        <v>30</v>
      </c>
      <c r="F4051" s="4" t="s">
        <v>213</v>
      </c>
      <c r="G4051" s="4" t="s">
        <v>842</v>
      </c>
      <c r="H4051" s="4" t="n">
        <v>1998</v>
      </c>
      <c r="I4051" s="4" t="s">
        <v>843</v>
      </c>
      <c r="J4051" s="25" t="str">
        <f aca="false">IF(M4051=1,"✓","")</f>
        <v/>
      </c>
      <c r="K4051" s="4" t="str">
        <f aca="false">IF(AND(M4051=0,P4051=0),"▶ NEXT","")</f>
        <v/>
      </c>
      <c r="L4051" s="4" t="n">
        <f aca="false">INDEX('Master List'!$F$2:$F$2594,O4051)</f>
        <v>2</v>
      </c>
      <c r="M4051" s="4" t="n">
        <f aca="false">INDEX('Master List'!$G$2:$G$2594,O4051)</f>
        <v>0</v>
      </c>
      <c r="N4051" s="4" t="str">
        <f aca="false">IF(K4051="","",A4051)</f>
        <v/>
      </c>
      <c r="O4051" s="4" t="n">
        <v>416</v>
      </c>
      <c r="P4051" s="4" t="n">
        <f aca="false">IF(A4051=A4050,P4050+1-M4050,0)</f>
        <v>23</v>
      </c>
    </row>
    <row r="4052" customFormat="false" ht="15" hidden="false" customHeight="false" outlineLevel="0" collapsed="false">
      <c r="A4052" s="34" t="s">
        <v>4453</v>
      </c>
      <c r="B4052" s="34" t="s">
        <v>57</v>
      </c>
      <c r="C4052" s="34" t="s">
        <v>127</v>
      </c>
      <c r="D4052" s="34" t="s">
        <v>4454</v>
      </c>
      <c r="E4052" s="4" t="n">
        <v>31</v>
      </c>
      <c r="F4052" s="4" t="s">
        <v>213</v>
      </c>
      <c r="G4052" s="4" t="s">
        <v>222</v>
      </c>
      <c r="H4052" s="4" t="n">
        <v>2000</v>
      </c>
      <c r="I4052" s="4" t="s">
        <v>223</v>
      </c>
      <c r="J4052" s="25" t="str">
        <f aca="false">IF(M4052=1,"✓","")</f>
        <v/>
      </c>
      <c r="K4052" s="4" t="str">
        <f aca="false">IF(AND(M4052=0,P4052=0),"▶ NEXT","")</f>
        <v/>
      </c>
      <c r="L4052" s="4" t="n">
        <f aca="false">INDEX('Master List'!$F$2:$F$2594,O4052)</f>
        <v>6</v>
      </c>
      <c r="M4052" s="4" t="n">
        <f aca="false">INDEX('Master List'!$G$2:$G$2594,O4052)</f>
        <v>0</v>
      </c>
      <c r="N4052" s="4" t="str">
        <f aca="false">IF(K4052="","",A4052)</f>
        <v/>
      </c>
      <c r="O4052" s="4" t="n">
        <v>2569</v>
      </c>
      <c r="P4052" s="4" t="n">
        <f aca="false">IF(A4052=A4051,P4051+1-M4051,0)</f>
        <v>24</v>
      </c>
    </row>
    <row r="4053" customFormat="false" ht="15" hidden="false" customHeight="false" outlineLevel="0" collapsed="false">
      <c r="A4053" s="34" t="s">
        <v>4453</v>
      </c>
      <c r="B4053" s="34" t="s">
        <v>57</v>
      </c>
      <c r="C4053" s="34" t="s">
        <v>127</v>
      </c>
      <c r="D4053" s="34" t="s">
        <v>4454</v>
      </c>
      <c r="E4053" s="4" t="n">
        <v>32</v>
      </c>
      <c r="F4053" s="4" t="s">
        <v>213</v>
      </c>
      <c r="G4053" s="4" t="s">
        <v>297</v>
      </c>
      <c r="H4053" s="4" t="n">
        <v>2019</v>
      </c>
      <c r="I4053" s="4" t="s">
        <v>276</v>
      </c>
      <c r="J4053" s="25" t="str">
        <f aca="false">IF(M4053=1,"✓","")</f>
        <v>✓</v>
      </c>
      <c r="K4053" s="4" t="str">
        <f aca="false">IF(AND(M4053=0,P4053=0),"▶ NEXT","")</f>
        <v/>
      </c>
      <c r="L4053" s="4" t="n">
        <f aca="false">INDEX('Master List'!$F$2:$F$2594,O4053)</f>
        <v>5</v>
      </c>
      <c r="M4053" s="4" t="n">
        <f aca="false">INDEX('Master List'!$G$2:$G$2594,O4053)</f>
        <v>1</v>
      </c>
      <c r="N4053" s="4" t="str">
        <f aca="false">IF(K4053="","",A4053)</f>
        <v/>
      </c>
      <c r="O4053" s="4" t="n">
        <v>1720</v>
      </c>
      <c r="P4053" s="4" t="n">
        <f aca="false">IF(A4053=A4052,P4052+1-M4052,0)</f>
        <v>25</v>
      </c>
    </row>
    <row r="4054" customFormat="false" ht="15" hidden="false" customHeight="false" outlineLevel="0" collapsed="false">
      <c r="A4054" s="34" t="s">
        <v>4455</v>
      </c>
      <c r="B4054" s="34" t="s">
        <v>57</v>
      </c>
      <c r="C4054" s="34" t="s">
        <v>127</v>
      </c>
      <c r="D4054" s="34" t="s">
        <v>4456</v>
      </c>
      <c r="E4054" s="4" t="n">
        <v>1</v>
      </c>
      <c r="F4054" s="4" t="s">
        <v>144</v>
      </c>
      <c r="G4054" s="7" t="s">
        <v>528</v>
      </c>
      <c r="H4054" s="4" t="n">
        <v>1903</v>
      </c>
      <c r="I4054" s="4" t="s">
        <v>529</v>
      </c>
      <c r="J4054" s="25" t="str">
        <f aca="false">IF(M4054=1,"✓","")</f>
        <v/>
      </c>
      <c r="K4054" s="4" t="str">
        <f aca="false">IF(AND(M4054=0,P4054=0),"▶ NEXT","")</f>
        <v>▶ NEXT</v>
      </c>
      <c r="L4054" s="4" t="n">
        <f aca="false">INDEX('Master List'!$F$2:$F$2594,O4054)</f>
        <v>3</v>
      </c>
      <c r="M4054" s="4" t="n">
        <f aca="false">INDEX('Master List'!$G$2:$G$2594,O4054)</f>
        <v>0</v>
      </c>
      <c r="N4054" s="4" t="str">
        <f aca="false">IF(K4054="","",A4054)</f>
        <v>N316</v>
      </c>
      <c r="O4054" s="4" t="n">
        <v>957</v>
      </c>
      <c r="P4054" s="4" t="n">
        <f aca="false">IF(A4054=A4053,P4053+1-M4053,0)</f>
        <v>0</v>
      </c>
    </row>
    <row r="4055" customFormat="false" ht="15" hidden="false" customHeight="false" outlineLevel="0" collapsed="false">
      <c r="A4055" s="34" t="s">
        <v>4455</v>
      </c>
      <c r="B4055" s="34" t="s">
        <v>57</v>
      </c>
      <c r="C4055" s="34" t="s">
        <v>127</v>
      </c>
      <c r="D4055" s="34" t="s">
        <v>4456</v>
      </c>
      <c r="E4055" s="4" t="n">
        <v>2</v>
      </c>
      <c r="F4055" s="4" t="s">
        <v>213</v>
      </c>
      <c r="G4055" s="4" t="s">
        <v>530</v>
      </c>
      <c r="H4055" s="4" t="n">
        <v>1915</v>
      </c>
      <c r="I4055" s="4" t="s">
        <v>531</v>
      </c>
      <c r="J4055" s="25" t="str">
        <f aca="false">IF(M4055=1,"✓","")</f>
        <v/>
      </c>
      <c r="K4055" s="4" t="str">
        <f aca="false">IF(AND(M4055=0,P4055=0),"▶ NEXT","")</f>
        <v/>
      </c>
      <c r="L4055" s="4" t="n">
        <f aca="false">INDEX('Master List'!$F$2:$F$2594,O4055)</f>
        <v>3</v>
      </c>
      <c r="M4055" s="4" t="n">
        <f aca="false">INDEX('Master List'!$G$2:$G$2594,O4055)</f>
        <v>0</v>
      </c>
      <c r="N4055" s="4" t="str">
        <f aca="false">IF(K4055="","",A4055)</f>
        <v/>
      </c>
      <c r="O4055" s="4" t="n">
        <v>259</v>
      </c>
      <c r="P4055" s="4" t="n">
        <f aca="false">IF(A4055=A4054,P4054+1-M4054,0)</f>
        <v>1</v>
      </c>
    </row>
    <row r="4056" customFormat="false" ht="15" hidden="false" customHeight="false" outlineLevel="0" collapsed="false">
      <c r="A4056" s="34" t="s">
        <v>4455</v>
      </c>
      <c r="B4056" s="34" t="s">
        <v>57</v>
      </c>
      <c r="C4056" s="34" t="s">
        <v>127</v>
      </c>
      <c r="D4056" s="34" t="s">
        <v>4456</v>
      </c>
      <c r="E4056" s="4" t="n">
        <v>3</v>
      </c>
      <c r="F4056" s="4" t="s">
        <v>213</v>
      </c>
      <c r="G4056" s="4" t="s">
        <v>655</v>
      </c>
      <c r="H4056" s="4" t="n">
        <v>1925</v>
      </c>
      <c r="I4056" s="4" t="s">
        <v>344</v>
      </c>
      <c r="J4056" s="25" t="str">
        <f aca="false">IF(M4056=1,"✓","")</f>
        <v>✓</v>
      </c>
      <c r="K4056" s="4" t="str">
        <f aca="false">IF(AND(M4056=0,P4056=0),"▶ NEXT","")</f>
        <v/>
      </c>
      <c r="L4056" s="4" t="n">
        <f aca="false">INDEX('Master List'!$F$2:$F$2594,O4056)</f>
        <v>3</v>
      </c>
      <c r="M4056" s="4" t="n">
        <f aca="false">INDEX('Master List'!$G$2:$G$2594,O4056)</f>
        <v>1</v>
      </c>
      <c r="N4056" s="4" t="str">
        <f aca="false">IF(K4056="","",A4056)</f>
        <v/>
      </c>
      <c r="O4056" s="4" t="n">
        <v>916</v>
      </c>
      <c r="P4056" s="4" t="n">
        <f aca="false">IF(A4056=A4055,P4055+1-M4055,0)</f>
        <v>2</v>
      </c>
    </row>
    <row r="4057" customFormat="false" ht="15" hidden="false" customHeight="false" outlineLevel="0" collapsed="false">
      <c r="A4057" s="34" t="s">
        <v>4455</v>
      </c>
      <c r="B4057" s="34" t="s">
        <v>57</v>
      </c>
      <c r="C4057" s="34" t="s">
        <v>127</v>
      </c>
      <c r="D4057" s="34" t="s">
        <v>4456</v>
      </c>
      <c r="E4057" s="4" t="n">
        <v>4</v>
      </c>
      <c r="F4057" s="4" t="s">
        <v>213</v>
      </c>
      <c r="G4057" s="4" t="s">
        <v>727</v>
      </c>
      <c r="H4057" s="4" t="n">
        <v>1927</v>
      </c>
      <c r="I4057" s="4" t="s">
        <v>728</v>
      </c>
      <c r="J4057" s="25" t="str">
        <f aca="false">IF(M4057=1,"✓","")</f>
        <v/>
      </c>
      <c r="K4057" s="4" t="str">
        <f aca="false">IF(AND(M4057=0,P4057=0),"▶ NEXT","")</f>
        <v/>
      </c>
      <c r="L4057" s="4" t="n">
        <f aca="false">INDEX('Master List'!$F$2:$F$2594,O4057)</f>
        <v>2</v>
      </c>
      <c r="M4057" s="4" t="n">
        <f aca="false">INDEX('Master List'!$G$2:$G$2594,O4057)</f>
        <v>0</v>
      </c>
      <c r="N4057" s="4" t="str">
        <f aca="false">IF(K4057="","",A4057)</f>
        <v/>
      </c>
      <c r="O4057" s="4" t="n">
        <v>1198</v>
      </c>
      <c r="P4057" s="4" t="n">
        <f aca="false">IF(A4057=A4056,P4056+1-M4056,0)</f>
        <v>2</v>
      </c>
    </row>
    <row r="4058" customFormat="false" ht="15" hidden="false" customHeight="false" outlineLevel="0" collapsed="false">
      <c r="A4058" s="34" t="s">
        <v>4455</v>
      </c>
      <c r="B4058" s="34" t="s">
        <v>57</v>
      </c>
      <c r="C4058" s="34" t="s">
        <v>127</v>
      </c>
      <c r="D4058" s="34" t="s">
        <v>4456</v>
      </c>
      <c r="E4058" s="4" t="n">
        <v>5</v>
      </c>
      <c r="F4058" s="4" t="s">
        <v>213</v>
      </c>
      <c r="G4058" s="4" t="s">
        <v>563</v>
      </c>
      <c r="H4058" s="4" t="n">
        <v>1931</v>
      </c>
      <c r="I4058" s="4" t="s">
        <v>564</v>
      </c>
      <c r="J4058" s="25" t="str">
        <f aca="false">IF(M4058=1,"✓","")</f>
        <v/>
      </c>
      <c r="K4058" s="4" t="str">
        <f aca="false">IF(AND(M4058=0,P4058=0),"▶ NEXT","")</f>
        <v/>
      </c>
      <c r="L4058" s="4" t="n">
        <f aca="false">INDEX('Master List'!$F$2:$F$2594,O4058)</f>
        <v>3</v>
      </c>
      <c r="M4058" s="4" t="n">
        <f aca="false">INDEX('Master List'!$G$2:$G$2594,O4058)</f>
        <v>0</v>
      </c>
      <c r="N4058" s="4" t="str">
        <f aca="false">IF(K4058="","",A4058)</f>
        <v/>
      </c>
      <c r="O4058" s="4" t="n">
        <v>1828</v>
      </c>
      <c r="P4058" s="4" t="n">
        <f aca="false">IF(A4058=A4057,P4057+1-M4057,0)</f>
        <v>3</v>
      </c>
    </row>
    <row r="4059" customFormat="false" ht="15" hidden="false" customHeight="false" outlineLevel="0" collapsed="false">
      <c r="A4059" s="34" t="s">
        <v>4455</v>
      </c>
      <c r="B4059" s="34" t="s">
        <v>57</v>
      </c>
      <c r="C4059" s="34" t="s">
        <v>127</v>
      </c>
      <c r="D4059" s="34" t="s">
        <v>4456</v>
      </c>
      <c r="E4059" s="4" t="n">
        <v>6</v>
      </c>
      <c r="F4059" s="4" t="s">
        <v>213</v>
      </c>
      <c r="G4059" s="4" t="s">
        <v>175</v>
      </c>
      <c r="H4059" s="4" t="n">
        <v>1934</v>
      </c>
      <c r="I4059" s="4" t="s">
        <v>176</v>
      </c>
      <c r="J4059" s="25" t="str">
        <f aca="false">IF(M4059=1,"✓","")</f>
        <v/>
      </c>
      <c r="K4059" s="4" t="str">
        <f aca="false">IF(AND(M4059=0,P4059=0),"▶ NEXT","")</f>
        <v/>
      </c>
      <c r="L4059" s="4" t="n">
        <f aca="false">INDEX('Master List'!$F$2:$F$2594,O4059)</f>
        <v>7</v>
      </c>
      <c r="M4059" s="4" t="n">
        <f aca="false">INDEX('Master List'!$G$2:$G$2594,O4059)</f>
        <v>0</v>
      </c>
      <c r="N4059" s="4" t="str">
        <f aca="false">IF(K4059="","",A4059)</f>
        <v/>
      </c>
      <c r="O4059" s="4" t="n">
        <v>1176</v>
      </c>
      <c r="P4059" s="4" t="n">
        <f aca="false">IF(A4059=A4058,P4058+1-M4058,0)</f>
        <v>4</v>
      </c>
    </row>
    <row r="4060" customFormat="false" ht="15" hidden="false" customHeight="false" outlineLevel="0" collapsed="false">
      <c r="A4060" s="34" t="s">
        <v>4455</v>
      </c>
      <c r="B4060" s="34" t="s">
        <v>57</v>
      </c>
      <c r="C4060" s="34" t="s">
        <v>127</v>
      </c>
      <c r="D4060" s="34" t="s">
        <v>4456</v>
      </c>
      <c r="E4060" s="4" t="n">
        <v>7</v>
      </c>
      <c r="F4060" s="4" t="s">
        <v>213</v>
      </c>
      <c r="G4060" s="4" t="s">
        <v>302</v>
      </c>
      <c r="H4060" s="4" t="n">
        <v>1939</v>
      </c>
      <c r="I4060" s="4" t="s">
        <v>205</v>
      </c>
      <c r="J4060" s="25" t="str">
        <f aca="false">IF(M4060=1,"✓","")</f>
        <v/>
      </c>
      <c r="K4060" s="4" t="str">
        <f aca="false">IF(AND(M4060=0,P4060=0),"▶ NEXT","")</f>
        <v/>
      </c>
      <c r="L4060" s="4" t="n">
        <f aca="false">INDEX('Master List'!$F$2:$F$2594,O4060)</f>
        <v>4</v>
      </c>
      <c r="M4060" s="4" t="n">
        <f aca="false">INDEX('Master List'!$G$2:$G$2594,O4060)</f>
        <v>0</v>
      </c>
      <c r="N4060" s="4" t="str">
        <f aca="false">IF(K4060="","",A4060)</f>
        <v/>
      </c>
      <c r="O4060" s="4" t="n">
        <v>2143</v>
      </c>
      <c r="P4060" s="4" t="n">
        <f aca="false">IF(A4060=A4059,P4059+1-M4059,0)</f>
        <v>5</v>
      </c>
    </row>
    <row r="4061" customFormat="false" ht="15" hidden="false" customHeight="false" outlineLevel="0" collapsed="false">
      <c r="A4061" s="34" t="s">
        <v>4455</v>
      </c>
      <c r="B4061" s="34" t="s">
        <v>57</v>
      </c>
      <c r="C4061" s="34" t="s">
        <v>127</v>
      </c>
      <c r="D4061" s="34" t="s">
        <v>4456</v>
      </c>
      <c r="E4061" s="4" t="n">
        <v>8</v>
      </c>
      <c r="F4061" s="4" t="s">
        <v>213</v>
      </c>
      <c r="G4061" s="4" t="s">
        <v>142</v>
      </c>
      <c r="H4061" s="4" t="n">
        <v>1941</v>
      </c>
      <c r="I4061" s="4" t="s">
        <v>143</v>
      </c>
      <c r="J4061" s="25" t="str">
        <f aca="false">IF(M4061=1,"✓","")</f>
        <v/>
      </c>
      <c r="K4061" s="4" t="str">
        <f aca="false">IF(AND(M4061=0,P4061=0),"▶ NEXT","")</f>
        <v/>
      </c>
      <c r="L4061" s="4" t="n">
        <f aca="false">INDEX('Master List'!$F$2:$F$2594,O4061)</f>
        <v>13</v>
      </c>
      <c r="M4061" s="4" t="n">
        <f aca="false">INDEX('Master List'!$G$2:$G$2594,O4061)</f>
        <v>0</v>
      </c>
      <c r="N4061" s="4" t="str">
        <f aca="false">IF(K4061="","",A4061)</f>
        <v/>
      </c>
      <c r="O4061" s="4" t="n">
        <v>462</v>
      </c>
      <c r="P4061" s="4" t="n">
        <f aca="false">IF(A4061=A4060,P4060+1-M4060,0)</f>
        <v>6</v>
      </c>
    </row>
    <row r="4062" customFormat="false" ht="15" hidden="false" customHeight="false" outlineLevel="0" collapsed="false">
      <c r="A4062" s="34" t="s">
        <v>4455</v>
      </c>
      <c r="B4062" s="34" t="s">
        <v>57</v>
      </c>
      <c r="C4062" s="34" t="s">
        <v>127</v>
      </c>
      <c r="D4062" s="34" t="s">
        <v>4456</v>
      </c>
      <c r="E4062" s="4" t="n">
        <v>9</v>
      </c>
      <c r="F4062" s="4" t="s">
        <v>213</v>
      </c>
      <c r="G4062" s="4" t="s">
        <v>219</v>
      </c>
      <c r="H4062" s="4" t="n">
        <v>1944</v>
      </c>
      <c r="I4062" s="4" t="s">
        <v>200</v>
      </c>
      <c r="J4062" s="25" t="str">
        <f aca="false">IF(M4062=1,"✓","")</f>
        <v>✓</v>
      </c>
      <c r="K4062" s="4" t="str">
        <f aca="false">IF(AND(M4062=0,P4062=0),"▶ NEXT","")</f>
        <v/>
      </c>
      <c r="L4062" s="4" t="n">
        <f aca="false">INDEX('Master List'!$F$2:$F$2594,O4062)</f>
        <v>6</v>
      </c>
      <c r="M4062" s="4" t="n">
        <f aca="false">INDEX('Master List'!$G$2:$G$2594,O4062)</f>
        <v>1</v>
      </c>
      <c r="N4062" s="4" t="str">
        <f aca="false">IF(K4062="","",A4062)</f>
        <v/>
      </c>
      <c r="O4062" s="4" t="n">
        <v>663</v>
      </c>
      <c r="P4062" s="4" t="n">
        <f aca="false">IF(A4062=A4061,P4061+1-M4061,0)</f>
        <v>7</v>
      </c>
    </row>
    <row r="4063" customFormat="false" ht="15" hidden="false" customHeight="false" outlineLevel="0" collapsed="false">
      <c r="A4063" s="34" t="s">
        <v>4455</v>
      </c>
      <c r="B4063" s="34" t="s">
        <v>57</v>
      </c>
      <c r="C4063" s="34" t="s">
        <v>127</v>
      </c>
      <c r="D4063" s="34" t="s">
        <v>4456</v>
      </c>
      <c r="E4063" s="4" t="n">
        <v>10</v>
      </c>
      <c r="F4063" s="4" t="s">
        <v>213</v>
      </c>
      <c r="G4063" s="4" t="s">
        <v>304</v>
      </c>
      <c r="H4063" s="4" t="n">
        <v>1946</v>
      </c>
      <c r="I4063" s="4" t="s">
        <v>305</v>
      </c>
      <c r="J4063" s="25" t="str">
        <f aca="false">IF(M4063=1,"✓","")</f>
        <v/>
      </c>
      <c r="K4063" s="4" t="str">
        <f aca="false">IF(AND(M4063=0,P4063=0),"▶ NEXT","")</f>
        <v/>
      </c>
      <c r="L4063" s="4" t="n">
        <f aca="false">INDEX('Master List'!$F$2:$F$2594,O4063)</f>
        <v>5</v>
      </c>
      <c r="M4063" s="4" t="n">
        <f aca="false">INDEX('Master List'!$G$2:$G$2594,O4063)</f>
        <v>0</v>
      </c>
      <c r="N4063" s="4" t="str">
        <f aca="false">IF(K4063="","",A4063)</f>
        <v/>
      </c>
      <c r="O4063" s="4" t="n">
        <v>231</v>
      </c>
      <c r="P4063" s="4" t="n">
        <f aca="false">IF(A4063=A4062,P4062+1-M4062,0)</f>
        <v>7</v>
      </c>
    </row>
    <row r="4064" customFormat="false" ht="15" hidden="false" customHeight="false" outlineLevel="0" collapsed="false">
      <c r="A4064" s="34" t="s">
        <v>4455</v>
      </c>
      <c r="B4064" s="34" t="s">
        <v>57</v>
      </c>
      <c r="C4064" s="34" t="s">
        <v>127</v>
      </c>
      <c r="D4064" s="34" t="s">
        <v>4456</v>
      </c>
      <c r="E4064" s="4" t="n">
        <v>11</v>
      </c>
      <c r="F4064" s="4" t="s">
        <v>213</v>
      </c>
      <c r="G4064" s="4" t="s">
        <v>374</v>
      </c>
      <c r="H4064" s="4" t="n">
        <v>1954</v>
      </c>
      <c r="I4064" s="4" t="s">
        <v>375</v>
      </c>
      <c r="J4064" s="25" t="str">
        <f aca="false">IF(M4064=1,"✓","")</f>
        <v/>
      </c>
      <c r="K4064" s="4" t="str">
        <f aca="false">IF(AND(M4064=0,P4064=0),"▶ NEXT","")</f>
        <v/>
      </c>
      <c r="L4064" s="4" t="n">
        <f aca="false">INDEX('Master List'!$F$2:$F$2594,O4064)</f>
        <v>4</v>
      </c>
      <c r="M4064" s="4" t="n">
        <f aca="false">INDEX('Master List'!$G$2:$G$2594,O4064)</f>
        <v>0</v>
      </c>
      <c r="N4064" s="4" t="str">
        <f aca="false">IF(K4064="","",A4064)</f>
        <v/>
      </c>
      <c r="O4064" s="4" t="n">
        <v>1667</v>
      </c>
      <c r="P4064" s="4" t="n">
        <f aca="false">IF(A4064=A4063,P4063+1-M4063,0)</f>
        <v>8</v>
      </c>
    </row>
    <row r="4065" customFormat="false" ht="15" hidden="false" customHeight="false" outlineLevel="0" collapsed="false">
      <c r="A4065" s="34" t="s">
        <v>4455</v>
      </c>
      <c r="B4065" s="34" t="s">
        <v>57</v>
      </c>
      <c r="C4065" s="34" t="s">
        <v>127</v>
      </c>
      <c r="D4065" s="34" t="s">
        <v>4456</v>
      </c>
      <c r="E4065" s="4" t="n">
        <v>12</v>
      </c>
      <c r="F4065" s="4" t="s">
        <v>213</v>
      </c>
      <c r="G4065" s="4" t="s">
        <v>269</v>
      </c>
      <c r="H4065" s="4" t="n">
        <v>1955</v>
      </c>
      <c r="I4065" s="4" t="s">
        <v>270</v>
      </c>
      <c r="J4065" s="25" t="str">
        <f aca="false">IF(M4065=1,"✓","")</f>
        <v/>
      </c>
      <c r="K4065" s="4" t="str">
        <f aca="false">IF(AND(M4065=0,P4065=0),"▶ NEXT","")</f>
        <v/>
      </c>
      <c r="L4065" s="4" t="n">
        <f aca="false">INDEX('Master List'!$F$2:$F$2594,O4065)</f>
        <v>5</v>
      </c>
      <c r="M4065" s="4" t="n">
        <f aca="false">INDEX('Master List'!$G$2:$G$2594,O4065)</f>
        <v>0</v>
      </c>
      <c r="N4065" s="4" t="str">
        <f aca="false">IF(K4065="","",A4065)</f>
        <v/>
      </c>
      <c r="O4065" s="4" t="n">
        <v>1868</v>
      </c>
      <c r="P4065" s="4" t="n">
        <f aca="false">IF(A4065=A4064,P4064+1-M4064,0)</f>
        <v>9</v>
      </c>
    </row>
    <row r="4066" customFormat="false" ht="15" hidden="false" customHeight="false" outlineLevel="0" collapsed="false">
      <c r="A4066" s="34" t="s">
        <v>4455</v>
      </c>
      <c r="B4066" s="34" t="s">
        <v>57</v>
      </c>
      <c r="C4066" s="34" t="s">
        <v>127</v>
      </c>
      <c r="D4066" s="34" t="s">
        <v>4456</v>
      </c>
      <c r="E4066" s="4" t="n">
        <v>13</v>
      </c>
      <c r="F4066" s="4" t="s">
        <v>213</v>
      </c>
      <c r="G4066" s="4" t="s">
        <v>177</v>
      </c>
      <c r="H4066" s="4" t="n">
        <v>1960</v>
      </c>
      <c r="I4066" s="4" t="s">
        <v>162</v>
      </c>
      <c r="J4066" s="25" t="str">
        <f aca="false">IF(M4066=1,"✓","")</f>
        <v>✓</v>
      </c>
      <c r="K4066" s="4" t="str">
        <f aca="false">IF(AND(M4066=0,P4066=0),"▶ NEXT","")</f>
        <v/>
      </c>
      <c r="L4066" s="4" t="n">
        <f aca="false">INDEX('Master List'!$F$2:$F$2594,O4066)</f>
        <v>8</v>
      </c>
      <c r="M4066" s="4" t="n">
        <f aca="false">INDEX('Master List'!$G$2:$G$2594,O4066)</f>
        <v>1</v>
      </c>
      <c r="N4066" s="4" t="str">
        <f aca="false">IF(K4066="","",A4066)</f>
        <v/>
      </c>
      <c r="O4066" s="4" t="n">
        <v>1826</v>
      </c>
      <c r="P4066" s="4" t="n">
        <f aca="false">IF(A4066=A4065,P4065+1-M4065,0)</f>
        <v>10</v>
      </c>
    </row>
    <row r="4067" customFormat="false" ht="15" hidden="false" customHeight="false" outlineLevel="0" collapsed="false">
      <c r="A4067" s="34" t="s">
        <v>4455</v>
      </c>
      <c r="B4067" s="34" t="s">
        <v>57</v>
      </c>
      <c r="C4067" s="34" t="s">
        <v>127</v>
      </c>
      <c r="D4067" s="34" t="s">
        <v>4456</v>
      </c>
      <c r="E4067" s="4" t="n">
        <v>14</v>
      </c>
      <c r="F4067" s="4" t="s">
        <v>213</v>
      </c>
      <c r="G4067" s="4" t="s">
        <v>300</v>
      </c>
      <c r="H4067" s="4" t="n">
        <v>1967</v>
      </c>
      <c r="I4067" s="4" t="s">
        <v>301</v>
      </c>
      <c r="J4067" s="25" t="str">
        <f aca="false">IF(M4067=1,"✓","")</f>
        <v>✓</v>
      </c>
      <c r="K4067" s="4" t="str">
        <f aca="false">IF(AND(M4067=0,P4067=0),"▶ NEXT","")</f>
        <v/>
      </c>
      <c r="L4067" s="4" t="n">
        <f aca="false">INDEX('Master List'!$F$2:$F$2594,O4067)</f>
        <v>5</v>
      </c>
      <c r="M4067" s="4" t="n">
        <f aca="false">INDEX('Master List'!$G$2:$G$2594,O4067)</f>
        <v>1</v>
      </c>
      <c r="N4067" s="4" t="str">
        <f aca="false">IF(K4067="","",A4067)</f>
        <v/>
      </c>
      <c r="O4067" s="4" t="n">
        <v>314</v>
      </c>
      <c r="P4067" s="4" t="n">
        <f aca="false">IF(A4067=A4066,P4066+1-M4066,0)</f>
        <v>10</v>
      </c>
    </row>
    <row r="4068" customFormat="false" ht="15" hidden="false" customHeight="false" outlineLevel="0" collapsed="false">
      <c r="A4068" s="34" t="s">
        <v>4455</v>
      </c>
      <c r="B4068" s="34" t="s">
        <v>57</v>
      </c>
      <c r="C4068" s="34" t="s">
        <v>127</v>
      </c>
      <c r="D4068" s="34" t="s">
        <v>4456</v>
      </c>
      <c r="E4068" s="4" t="n">
        <v>15</v>
      </c>
      <c r="F4068" s="4" t="s">
        <v>213</v>
      </c>
      <c r="G4068" s="4" t="s">
        <v>206</v>
      </c>
      <c r="H4068" s="4" t="n">
        <v>1972</v>
      </c>
      <c r="I4068" s="4" t="s">
        <v>172</v>
      </c>
      <c r="J4068" s="25" t="str">
        <f aca="false">IF(M4068=1,"✓","")</f>
        <v>✓</v>
      </c>
      <c r="K4068" s="4" t="str">
        <f aca="false">IF(AND(M4068=0,P4068=0),"▶ NEXT","")</f>
        <v/>
      </c>
      <c r="L4068" s="4" t="n">
        <f aca="false">INDEX('Master List'!$F$2:$F$2594,O4068)</f>
        <v>6</v>
      </c>
      <c r="M4068" s="4" t="n">
        <f aca="false">INDEX('Master List'!$G$2:$G$2594,O4068)</f>
        <v>1</v>
      </c>
      <c r="N4068" s="4" t="str">
        <f aca="false">IF(K4068="","",A4068)</f>
        <v/>
      </c>
      <c r="O4068" s="4" t="n">
        <v>909</v>
      </c>
      <c r="P4068" s="4" t="n">
        <f aca="false">IF(A4068=A4067,P4067+1-M4067,0)</f>
        <v>10</v>
      </c>
    </row>
    <row r="4069" customFormat="false" ht="15" hidden="false" customHeight="false" outlineLevel="0" collapsed="false">
      <c r="A4069" s="34" t="s">
        <v>4455</v>
      </c>
      <c r="B4069" s="34" t="s">
        <v>57</v>
      </c>
      <c r="C4069" s="34" t="s">
        <v>127</v>
      </c>
      <c r="D4069" s="34" t="s">
        <v>4456</v>
      </c>
      <c r="E4069" s="4" t="n">
        <v>16</v>
      </c>
      <c r="F4069" s="4" t="s">
        <v>213</v>
      </c>
      <c r="G4069" s="4" t="s">
        <v>182</v>
      </c>
      <c r="H4069" s="4" t="n">
        <v>1975</v>
      </c>
      <c r="I4069" s="4" t="s">
        <v>183</v>
      </c>
      <c r="J4069" s="25" t="str">
        <f aca="false">IF(M4069=1,"✓","")</f>
        <v>✓</v>
      </c>
      <c r="K4069" s="4" t="str">
        <f aca="false">IF(AND(M4069=0,P4069=0),"▶ NEXT","")</f>
        <v/>
      </c>
      <c r="L4069" s="4" t="n">
        <f aca="false">INDEX('Master List'!$F$2:$F$2594,O4069)</f>
        <v>7</v>
      </c>
      <c r="M4069" s="4" t="n">
        <f aca="false">INDEX('Master List'!$G$2:$G$2594,O4069)</f>
        <v>1</v>
      </c>
      <c r="N4069" s="4" t="str">
        <f aca="false">IF(K4069="","",A4069)</f>
        <v/>
      </c>
      <c r="O4069" s="4" t="n">
        <v>1196</v>
      </c>
      <c r="P4069" s="4" t="n">
        <f aca="false">IF(A4069=A4068,P4068+1-M4068,0)</f>
        <v>10</v>
      </c>
    </row>
    <row r="4070" customFormat="false" ht="15" hidden="false" customHeight="false" outlineLevel="0" collapsed="false">
      <c r="A4070" s="34" t="s">
        <v>4455</v>
      </c>
      <c r="B4070" s="34" t="s">
        <v>57</v>
      </c>
      <c r="C4070" s="34" t="s">
        <v>127</v>
      </c>
      <c r="D4070" s="34" t="s">
        <v>4456</v>
      </c>
      <c r="E4070" s="4" t="n">
        <v>17</v>
      </c>
      <c r="F4070" s="4" t="s">
        <v>213</v>
      </c>
      <c r="G4070" s="4" t="s">
        <v>256</v>
      </c>
      <c r="H4070" s="4" t="n">
        <v>1977</v>
      </c>
      <c r="I4070" s="4" t="s">
        <v>257</v>
      </c>
      <c r="J4070" s="25" t="str">
        <f aca="false">IF(M4070=1,"✓","")</f>
        <v>✓</v>
      </c>
      <c r="K4070" s="4" t="str">
        <f aca="false">IF(AND(M4070=0,P4070=0),"▶ NEXT","")</f>
        <v/>
      </c>
      <c r="L4070" s="4" t="n">
        <f aca="false">INDEX('Master List'!$F$2:$F$2594,O4070)</f>
        <v>5</v>
      </c>
      <c r="M4070" s="4" t="n">
        <f aca="false">INDEX('Master List'!$G$2:$G$2594,O4070)</f>
        <v>1</v>
      </c>
      <c r="N4070" s="4" t="str">
        <f aca="false">IF(K4070="","",A4070)</f>
        <v/>
      </c>
      <c r="O4070" s="4" t="n">
        <v>2149</v>
      </c>
      <c r="P4070" s="4" t="n">
        <f aca="false">IF(A4070=A4069,P4069+1-M4069,0)</f>
        <v>10</v>
      </c>
    </row>
    <row r="4071" customFormat="false" ht="15" hidden="false" customHeight="false" outlineLevel="0" collapsed="false">
      <c r="A4071" s="34" t="s">
        <v>4455</v>
      </c>
      <c r="B4071" s="34" t="s">
        <v>57</v>
      </c>
      <c r="C4071" s="34" t="s">
        <v>127</v>
      </c>
      <c r="D4071" s="34" t="s">
        <v>4456</v>
      </c>
      <c r="E4071" s="4" t="n">
        <v>18</v>
      </c>
      <c r="F4071" s="4" t="s">
        <v>213</v>
      </c>
      <c r="G4071" s="4" t="s">
        <v>147</v>
      </c>
      <c r="H4071" s="4" t="n">
        <v>1989</v>
      </c>
      <c r="I4071" s="4" t="s">
        <v>148</v>
      </c>
      <c r="J4071" s="25" t="str">
        <f aca="false">IF(M4071=1,"✓","")</f>
        <v>✓</v>
      </c>
      <c r="K4071" s="4" t="str">
        <f aca="false">IF(AND(M4071=0,P4071=0),"▶ NEXT","")</f>
        <v/>
      </c>
      <c r="L4071" s="4" t="n">
        <f aca="false">INDEX('Master List'!$F$2:$F$2594,O4071)</f>
        <v>11</v>
      </c>
      <c r="M4071" s="4" t="n">
        <f aca="false">INDEX('Master List'!$G$2:$G$2594,O4071)</f>
        <v>1</v>
      </c>
      <c r="N4071" s="4" t="str">
        <f aca="false">IF(K4071="","",A4071)</f>
        <v/>
      </c>
      <c r="O4071" s="4" t="n">
        <v>646</v>
      </c>
      <c r="P4071" s="4" t="n">
        <f aca="false">IF(A4071=A4070,P4070+1-M4070,0)</f>
        <v>10</v>
      </c>
    </row>
    <row r="4072" customFormat="false" ht="15" hidden="false" customHeight="false" outlineLevel="0" collapsed="false">
      <c r="A4072" s="34" t="s">
        <v>4455</v>
      </c>
      <c r="B4072" s="34" t="s">
        <v>57</v>
      </c>
      <c r="C4072" s="34" t="s">
        <v>127</v>
      </c>
      <c r="D4072" s="34" t="s">
        <v>4456</v>
      </c>
      <c r="E4072" s="4" t="n">
        <v>19</v>
      </c>
      <c r="F4072" s="4" t="s">
        <v>213</v>
      </c>
      <c r="G4072" s="4" t="s">
        <v>207</v>
      </c>
      <c r="H4072" s="4" t="n">
        <v>1994</v>
      </c>
      <c r="I4072" s="4" t="s">
        <v>208</v>
      </c>
      <c r="J4072" s="25" t="str">
        <f aca="false">IF(M4072=1,"✓","")</f>
        <v>✓</v>
      </c>
      <c r="K4072" s="4" t="str">
        <f aca="false">IF(AND(M4072=0,P4072=0),"▶ NEXT","")</f>
        <v/>
      </c>
      <c r="L4072" s="4" t="n">
        <f aca="false">INDEX('Master List'!$F$2:$F$2594,O4072)</f>
        <v>6</v>
      </c>
      <c r="M4072" s="4" t="n">
        <f aca="false">INDEX('Master List'!$G$2:$G$2594,O4072)</f>
        <v>1</v>
      </c>
      <c r="N4072" s="4" t="str">
        <f aca="false">IF(K4072="","",A4072)</f>
        <v/>
      </c>
      <c r="O4072" s="4" t="n">
        <v>1830</v>
      </c>
      <c r="P4072" s="4" t="n">
        <f aca="false">IF(A4072=A4071,P4071+1-M4071,0)</f>
        <v>10</v>
      </c>
    </row>
    <row r="4073" customFormat="false" ht="15" hidden="false" customHeight="false" outlineLevel="0" collapsed="false">
      <c r="A4073" s="34" t="s">
        <v>4455</v>
      </c>
      <c r="B4073" s="34" t="s">
        <v>57</v>
      </c>
      <c r="C4073" s="34" t="s">
        <v>127</v>
      </c>
      <c r="D4073" s="34" t="s">
        <v>4456</v>
      </c>
      <c r="E4073" s="4" t="n">
        <v>20</v>
      </c>
      <c r="F4073" s="4" t="s">
        <v>213</v>
      </c>
      <c r="G4073" s="4" t="s">
        <v>378</v>
      </c>
      <c r="H4073" s="4" t="n">
        <v>1995</v>
      </c>
      <c r="I4073" s="4" t="s">
        <v>379</v>
      </c>
      <c r="J4073" s="25" t="str">
        <f aca="false">IF(M4073=1,"✓","")</f>
        <v>✓</v>
      </c>
      <c r="K4073" s="4" t="str">
        <f aca="false">IF(AND(M4073=0,P4073=0),"▶ NEXT","")</f>
        <v/>
      </c>
      <c r="L4073" s="4" t="n">
        <f aca="false">INDEX('Master List'!$F$2:$F$2594,O4073)</f>
        <v>4</v>
      </c>
      <c r="M4073" s="4" t="n">
        <f aca="false">INDEX('Master List'!$G$2:$G$2594,O4073)</f>
        <v>1</v>
      </c>
      <c r="N4073" s="4" t="str">
        <f aca="false">IF(K4073="","",A4073)</f>
        <v/>
      </c>
      <c r="O4073" s="4" t="n">
        <v>2353</v>
      </c>
      <c r="P4073" s="4" t="n">
        <f aca="false">IF(A4073=A4072,P4072+1-M4072,0)</f>
        <v>10</v>
      </c>
    </row>
    <row r="4074" customFormat="false" ht="15" hidden="false" customHeight="false" outlineLevel="0" collapsed="false">
      <c r="A4074" s="34" t="s">
        <v>4455</v>
      </c>
      <c r="B4074" s="34" t="s">
        <v>57</v>
      </c>
      <c r="C4074" s="34" t="s">
        <v>127</v>
      </c>
      <c r="D4074" s="34" t="s">
        <v>4456</v>
      </c>
      <c r="E4074" s="4" t="n">
        <v>21</v>
      </c>
      <c r="F4074" s="4" t="s">
        <v>213</v>
      </c>
      <c r="G4074" s="4" t="s">
        <v>640</v>
      </c>
      <c r="H4074" s="4" t="n">
        <v>2010</v>
      </c>
      <c r="I4074" s="4" t="s">
        <v>325</v>
      </c>
      <c r="J4074" s="25" t="str">
        <f aca="false">IF(M4074=1,"✓","")</f>
        <v>✓</v>
      </c>
      <c r="K4074" s="4" t="str">
        <f aca="false">IF(AND(M4074=0,P4074=0),"▶ NEXT","")</f>
        <v/>
      </c>
      <c r="L4074" s="4" t="n">
        <f aca="false">INDEX('Master List'!$F$2:$F$2594,O4074)</f>
        <v>3</v>
      </c>
      <c r="M4074" s="4" t="n">
        <f aca="false">INDEX('Master List'!$G$2:$G$2594,O4074)</f>
        <v>1</v>
      </c>
      <c r="N4074" s="4" t="str">
        <f aca="false">IF(K4074="","",A4074)</f>
        <v/>
      </c>
      <c r="O4074" s="4" t="n">
        <v>2102</v>
      </c>
      <c r="P4074" s="4" t="n">
        <f aca="false">IF(A4074=A4073,P4073+1-M4073,0)</f>
        <v>10</v>
      </c>
    </row>
    <row r="4075" customFormat="false" ht="15" hidden="false" customHeight="false" outlineLevel="0" collapsed="false">
      <c r="A4075" s="34" t="s">
        <v>4455</v>
      </c>
      <c r="B4075" s="34" t="s">
        <v>57</v>
      </c>
      <c r="C4075" s="34" t="s">
        <v>127</v>
      </c>
      <c r="D4075" s="34" t="s">
        <v>4456</v>
      </c>
      <c r="E4075" s="4" t="n">
        <v>22</v>
      </c>
      <c r="F4075" s="4" t="s">
        <v>213</v>
      </c>
      <c r="G4075" s="4" t="s">
        <v>165</v>
      </c>
      <c r="H4075" s="4" t="n">
        <v>2016</v>
      </c>
      <c r="I4075" s="4" t="s">
        <v>166</v>
      </c>
      <c r="J4075" s="25" t="str">
        <f aca="false">IF(M4075=1,"✓","")</f>
        <v>✓</v>
      </c>
      <c r="K4075" s="4" t="str">
        <f aca="false">IF(AND(M4075=0,P4075=0),"▶ NEXT","")</f>
        <v/>
      </c>
      <c r="L4075" s="4" t="n">
        <f aca="false">INDEX('Master List'!$F$2:$F$2594,O4075)</f>
        <v>8</v>
      </c>
      <c r="M4075" s="4" t="n">
        <f aca="false">INDEX('Master List'!$G$2:$G$2594,O4075)</f>
        <v>1</v>
      </c>
      <c r="N4075" s="4" t="str">
        <f aca="false">IF(K4075="","",A4075)</f>
        <v/>
      </c>
      <c r="O4075" s="4" t="n">
        <v>1532</v>
      </c>
      <c r="P4075" s="4" t="n">
        <f aca="false">IF(A4075=A4074,P4074+1-M4074,0)</f>
        <v>10</v>
      </c>
    </row>
    <row r="4076" customFormat="false" ht="15" hidden="false" customHeight="false" outlineLevel="0" collapsed="false">
      <c r="A4076" s="35" t="s">
        <v>4457</v>
      </c>
      <c r="B4076" s="35" t="s">
        <v>58</v>
      </c>
      <c r="C4076" s="35" t="s">
        <v>128</v>
      </c>
      <c r="D4076" s="35" t="s">
        <v>4458</v>
      </c>
      <c r="E4076" s="4" t="n">
        <v>1</v>
      </c>
      <c r="F4076" s="4" t="s">
        <v>144</v>
      </c>
      <c r="G4076" s="7" t="s">
        <v>1460</v>
      </c>
      <c r="H4076" s="4" t="n">
        <v>1962</v>
      </c>
      <c r="I4076" s="4" t="s">
        <v>1461</v>
      </c>
      <c r="J4076" s="25" t="str">
        <f aca="false">IF(M4076=1,"✓","")</f>
        <v/>
      </c>
      <c r="K4076" s="4" t="str">
        <f aca="false">IF(AND(M4076=0,P4076=0),"▶ NEXT","")</f>
        <v>▶ NEXT</v>
      </c>
      <c r="L4076" s="4" t="n">
        <f aca="false">INDEX('Master List'!$F$2:$F$2594,O4076)</f>
        <v>1</v>
      </c>
      <c r="M4076" s="4" t="n">
        <f aca="false">INDEX('Master List'!$G$2:$G$2594,O4076)</f>
        <v>0</v>
      </c>
      <c r="N4076" s="4" t="str">
        <f aca="false">IF(K4076="","",A4076)</f>
        <v>N317</v>
      </c>
      <c r="O4076" s="4" t="n">
        <v>400</v>
      </c>
      <c r="P4076" s="4" t="n">
        <f aca="false">IF(A4076=A4075,P4075+1-M4075,0)</f>
        <v>0</v>
      </c>
    </row>
    <row r="4077" customFormat="false" ht="15" hidden="false" customHeight="false" outlineLevel="0" collapsed="false">
      <c r="A4077" s="35" t="s">
        <v>4457</v>
      </c>
      <c r="B4077" s="35" t="s">
        <v>58</v>
      </c>
      <c r="C4077" s="35" t="s">
        <v>128</v>
      </c>
      <c r="D4077" s="35" t="s">
        <v>4458</v>
      </c>
      <c r="E4077" s="4" t="n">
        <v>2</v>
      </c>
      <c r="F4077" s="4" t="s">
        <v>144</v>
      </c>
      <c r="G4077" s="7" t="s">
        <v>191</v>
      </c>
      <c r="H4077" s="4" t="n">
        <v>1966</v>
      </c>
      <c r="I4077" s="4" t="s">
        <v>170</v>
      </c>
      <c r="J4077" s="25" t="str">
        <f aca="false">IF(M4077=1,"✓","")</f>
        <v/>
      </c>
      <c r="K4077" s="4" t="str">
        <f aca="false">IF(AND(M4077=0,P4077=0),"▶ NEXT","")</f>
        <v/>
      </c>
      <c r="L4077" s="4" t="n">
        <f aca="false">INDEX('Master List'!$F$2:$F$2594,O4077)</f>
        <v>7</v>
      </c>
      <c r="M4077" s="4" t="n">
        <f aca="false">INDEX('Master List'!$G$2:$G$2594,O4077)</f>
        <v>0</v>
      </c>
      <c r="N4077" s="4" t="str">
        <f aca="false">IF(K4077="","",A4077)</f>
        <v/>
      </c>
      <c r="O4077" s="4" t="n">
        <v>1749</v>
      </c>
      <c r="P4077" s="4" t="n">
        <f aca="false">IF(A4077=A4076,P4076+1-M4076,0)</f>
        <v>1</v>
      </c>
    </row>
    <row r="4078" customFormat="false" ht="15" hidden="false" customHeight="false" outlineLevel="0" collapsed="false">
      <c r="A4078" s="35" t="s">
        <v>4457</v>
      </c>
      <c r="B4078" s="35" t="s">
        <v>58</v>
      </c>
      <c r="C4078" s="35" t="s">
        <v>128</v>
      </c>
      <c r="D4078" s="35" t="s">
        <v>4458</v>
      </c>
      <c r="E4078" s="4" t="n">
        <v>3</v>
      </c>
      <c r="F4078" s="4" t="s">
        <v>213</v>
      </c>
      <c r="G4078" s="4" t="s">
        <v>2007</v>
      </c>
      <c r="H4078" s="4" t="n">
        <v>1961</v>
      </c>
      <c r="I4078" s="4" t="s">
        <v>2008</v>
      </c>
      <c r="J4078" s="25" t="str">
        <f aca="false">IF(M4078=1,"✓","")</f>
        <v/>
      </c>
      <c r="K4078" s="4" t="str">
        <f aca="false">IF(AND(M4078=0,P4078=0),"▶ NEXT","")</f>
        <v/>
      </c>
      <c r="L4078" s="4" t="n">
        <f aca="false">INDEX('Master List'!$F$2:$F$2594,O4078)</f>
        <v>1</v>
      </c>
      <c r="M4078" s="4" t="n">
        <f aca="false">INDEX('Master List'!$G$2:$G$2594,O4078)</f>
        <v>0</v>
      </c>
      <c r="N4078" s="4" t="str">
        <f aca="false">IF(K4078="","",A4078)</f>
        <v/>
      </c>
      <c r="O4078" s="4" t="n">
        <v>1645</v>
      </c>
      <c r="P4078" s="4" t="n">
        <f aca="false">IF(A4078=A4077,P4077+1-M4077,0)</f>
        <v>2</v>
      </c>
    </row>
    <row r="4079" customFormat="false" ht="15" hidden="false" customHeight="false" outlineLevel="0" collapsed="false">
      <c r="A4079" s="35" t="s">
        <v>4457</v>
      </c>
      <c r="B4079" s="35" t="s">
        <v>58</v>
      </c>
      <c r="C4079" s="35" t="s">
        <v>128</v>
      </c>
      <c r="D4079" s="35" t="s">
        <v>4458</v>
      </c>
      <c r="E4079" s="4" t="n">
        <v>4</v>
      </c>
      <c r="F4079" s="4" t="s">
        <v>213</v>
      </c>
      <c r="G4079" s="4" t="s">
        <v>986</v>
      </c>
      <c r="H4079" s="4" t="n">
        <v>1965</v>
      </c>
      <c r="I4079" s="4" t="s">
        <v>195</v>
      </c>
      <c r="J4079" s="25" t="str">
        <f aca="false">IF(M4079=1,"✓","")</f>
        <v/>
      </c>
      <c r="K4079" s="4" t="str">
        <f aca="false">IF(AND(M4079=0,P4079=0),"▶ NEXT","")</f>
        <v/>
      </c>
      <c r="L4079" s="4" t="n">
        <f aca="false">INDEX('Master List'!$F$2:$F$2594,O4079)</f>
        <v>2</v>
      </c>
      <c r="M4079" s="4" t="n">
        <f aca="false">INDEX('Master List'!$G$2:$G$2594,O4079)</f>
        <v>0</v>
      </c>
      <c r="N4079" s="4" t="str">
        <f aca="false">IF(K4079="","",A4079)</f>
        <v/>
      </c>
      <c r="O4079" s="4" t="n">
        <v>1889</v>
      </c>
      <c r="P4079" s="4" t="n">
        <f aca="false">IF(A4079=A4078,P4078+1-M4078,0)</f>
        <v>3</v>
      </c>
    </row>
    <row r="4080" customFormat="false" ht="15" hidden="false" customHeight="false" outlineLevel="0" collapsed="false">
      <c r="A4080" s="35" t="s">
        <v>4457</v>
      </c>
      <c r="B4080" s="35" t="s">
        <v>58</v>
      </c>
      <c r="C4080" s="35" t="s">
        <v>128</v>
      </c>
      <c r="D4080" s="35" t="s">
        <v>4458</v>
      </c>
      <c r="E4080" s="4" t="n">
        <v>5</v>
      </c>
      <c r="F4080" s="4" t="s">
        <v>213</v>
      </c>
      <c r="G4080" s="4" t="s">
        <v>390</v>
      </c>
      <c r="H4080" s="4" t="n">
        <v>1973</v>
      </c>
      <c r="I4080" s="4" t="s">
        <v>391</v>
      </c>
      <c r="J4080" s="25" t="str">
        <f aca="false">IF(M4080=1,"✓","")</f>
        <v/>
      </c>
      <c r="K4080" s="4" t="str">
        <f aca="false">IF(AND(M4080=0,P4080=0),"▶ NEXT","")</f>
        <v/>
      </c>
      <c r="L4080" s="4" t="n">
        <f aca="false">INDEX('Master List'!$F$2:$F$2594,O4080)</f>
        <v>4</v>
      </c>
      <c r="M4080" s="4" t="n">
        <f aca="false">INDEX('Master List'!$G$2:$G$2594,O4080)</f>
        <v>0</v>
      </c>
      <c r="N4080" s="4" t="str">
        <f aca="false">IF(K4080="","",A4080)</f>
        <v/>
      </c>
      <c r="O4080" s="4" t="n">
        <v>659</v>
      </c>
      <c r="P4080" s="4" t="n">
        <f aca="false">IF(A4080=A4079,P4079+1-M4079,0)</f>
        <v>4</v>
      </c>
    </row>
    <row r="4081" customFormat="false" ht="15" hidden="false" customHeight="false" outlineLevel="0" collapsed="false">
      <c r="A4081" s="35" t="s">
        <v>4457</v>
      </c>
      <c r="B4081" s="35" t="s">
        <v>58</v>
      </c>
      <c r="C4081" s="35" t="s">
        <v>128</v>
      </c>
      <c r="D4081" s="35" t="s">
        <v>4458</v>
      </c>
      <c r="E4081" s="4" t="n">
        <v>6</v>
      </c>
      <c r="F4081" s="4" t="s">
        <v>213</v>
      </c>
      <c r="G4081" s="4" t="s">
        <v>218</v>
      </c>
      <c r="H4081" s="4" t="n">
        <v>1977</v>
      </c>
      <c r="I4081" s="4" t="s">
        <v>154</v>
      </c>
      <c r="J4081" s="25" t="str">
        <f aca="false">IF(M4081=1,"✓","")</f>
        <v>✓</v>
      </c>
      <c r="K4081" s="4" t="str">
        <f aca="false">IF(AND(M4081=0,P4081=0),"▶ NEXT","")</f>
        <v/>
      </c>
      <c r="L4081" s="4" t="n">
        <f aca="false">INDEX('Master List'!$F$2:$F$2594,O4081)</f>
        <v>6</v>
      </c>
      <c r="M4081" s="4" t="n">
        <f aca="false">INDEX('Master List'!$G$2:$G$2594,O4081)</f>
        <v>1</v>
      </c>
      <c r="N4081" s="4" t="str">
        <f aca="false">IF(K4081="","",A4081)</f>
        <v/>
      </c>
      <c r="O4081" s="4" t="n">
        <v>740</v>
      </c>
      <c r="P4081" s="4" t="n">
        <f aca="false">IF(A4081=A4080,P4080+1-M4080,0)</f>
        <v>5</v>
      </c>
    </row>
    <row r="4082" customFormat="false" ht="15" hidden="false" customHeight="false" outlineLevel="0" collapsed="false">
      <c r="A4082" s="35" t="s">
        <v>4457</v>
      </c>
      <c r="B4082" s="35" t="s">
        <v>58</v>
      </c>
      <c r="C4082" s="35" t="s">
        <v>128</v>
      </c>
      <c r="D4082" s="35" t="s">
        <v>4458</v>
      </c>
      <c r="E4082" s="4" t="n">
        <v>7</v>
      </c>
      <c r="F4082" s="4" t="s">
        <v>213</v>
      </c>
      <c r="G4082" s="4" t="s">
        <v>442</v>
      </c>
      <c r="H4082" s="4" t="n">
        <v>1997</v>
      </c>
      <c r="I4082" s="4" t="s">
        <v>154</v>
      </c>
      <c r="J4082" s="25" t="str">
        <f aca="false">IF(M4082=1,"✓","")</f>
        <v/>
      </c>
      <c r="K4082" s="4" t="str">
        <f aca="false">IF(AND(M4082=0,P4082=0),"▶ NEXT","")</f>
        <v/>
      </c>
      <c r="L4082" s="4" t="n">
        <f aca="false">INDEX('Master List'!$F$2:$F$2594,O4082)</f>
        <v>4</v>
      </c>
      <c r="M4082" s="4" t="n">
        <f aca="false">INDEX('Master List'!$G$2:$G$2594,O4082)</f>
        <v>0</v>
      </c>
      <c r="N4082" s="4" t="str">
        <f aca="false">IF(K4082="","",A4082)</f>
        <v/>
      </c>
      <c r="O4082" s="4" t="n">
        <v>1384</v>
      </c>
      <c r="P4082" s="4" t="n">
        <f aca="false">IF(A4082=A4081,P4081+1-M4081,0)</f>
        <v>5</v>
      </c>
    </row>
    <row r="4083" customFormat="false" ht="15" hidden="false" customHeight="false" outlineLevel="0" collapsed="false">
      <c r="A4083" s="35" t="s">
        <v>4457</v>
      </c>
      <c r="B4083" s="35" t="s">
        <v>58</v>
      </c>
      <c r="C4083" s="35" t="s">
        <v>128</v>
      </c>
      <c r="D4083" s="35" t="s">
        <v>4458</v>
      </c>
      <c r="E4083" s="4" t="n">
        <v>8</v>
      </c>
      <c r="F4083" s="4" t="s">
        <v>213</v>
      </c>
      <c r="G4083" s="4" t="s">
        <v>153</v>
      </c>
      <c r="H4083" s="4" t="n">
        <v>2001</v>
      </c>
      <c r="I4083" s="4" t="s">
        <v>154</v>
      </c>
      <c r="J4083" s="25" t="str">
        <f aca="false">IF(M4083=1,"✓","")</f>
        <v>✓</v>
      </c>
      <c r="K4083" s="4" t="str">
        <f aca="false">IF(AND(M4083=0,P4083=0),"▶ NEXT","")</f>
        <v/>
      </c>
      <c r="L4083" s="4" t="n">
        <f aca="false">INDEX('Master List'!$F$2:$F$2594,O4083)</f>
        <v>9</v>
      </c>
      <c r="M4083" s="4" t="n">
        <f aca="false">INDEX('Master List'!$G$2:$G$2594,O4083)</f>
        <v>1</v>
      </c>
      <c r="N4083" s="4" t="str">
        <f aca="false">IF(K4083="","",A4083)</f>
        <v/>
      </c>
      <c r="O4083" s="4" t="n">
        <v>1555</v>
      </c>
      <c r="P4083" s="4" t="n">
        <f aca="false">IF(A4083=A4082,P4082+1-M4082,0)</f>
        <v>6</v>
      </c>
    </row>
    <row r="4084" customFormat="false" ht="15" hidden="false" customHeight="false" outlineLevel="0" collapsed="false">
      <c r="A4084" s="35" t="s">
        <v>4457</v>
      </c>
      <c r="B4084" s="35" t="s">
        <v>58</v>
      </c>
      <c r="C4084" s="35" t="s">
        <v>128</v>
      </c>
      <c r="D4084" s="35" t="s">
        <v>4458</v>
      </c>
      <c r="E4084" s="4" t="n">
        <v>9</v>
      </c>
      <c r="F4084" s="4" t="s">
        <v>213</v>
      </c>
      <c r="G4084" s="4" t="s">
        <v>445</v>
      </c>
      <c r="H4084" s="4" t="n">
        <v>2013</v>
      </c>
      <c r="I4084" s="4" t="s">
        <v>327</v>
      </c>
      <c r="J4084" s="25" t="str">
        <f aca="false">IF(M4084=1,"✓","")</f>
        <v>✓</v>
      </c>
      <c r="K4084" s="4" t="str">
        <f aca="false">IF(AND(M4084=0,P4084=0),"▶ NEXT","")</f>
        <v/>
      </c>
      <c r="L4084" s="4" t="n">
        <f aca="false">INDEX('Master List'!$F$2:$F$2594,O4084)</f>
        <v>4</v>
      </c>
      <c r="M4084" s="4" t="n">
        <f aca="false">INDEX('Master List'!$G$2:$G$2594,O4084)</f>
        <v>1</v>
      </c>
      <c r="N4084" s="4" t="str">
        <f aca="false">IF(K4084="","",A4084)</f>
        <v/>
      </c>
      <c r="O4084" s="4" t="n">
        <v>732</v>
      </c>
      <c r="P4084" s="4" t="n">
        <f aca="false">IF(A4084=A4083,P4083+1-M4083,0)</f>
        <v>6</v>
      </c>
    </row>
    <row r="4085" customFormat="false" ht="15" hidden="false" customHeight="false" outlineLevel="0" collapsed="false">
      <c r="A4085" s="35" t="s">
        <v>4457</v>
      </c>
      <c r="B4085" s="35" t="s">
        <v>58</v>
      </c>
      <c r="C4085" s="35" t="s">
        <v>128</v>
      </c>
      <c r="D4085" s="35" t="s">
        <v>4458</v>
      </c>
      <c r="E4085" s="4" t="n">
        <v>10</v>
      </c>
      <c r="F4085" s="4" t="s">
        <v>1327</v>
      </c>
      <c r="G4085" s="4" t="s">
        <v>560</v>
      </c>
      <c r="H4085" s="4" t="n">
        <v>1981</v>
      </c>
      <c r="I4085" s="4" t="s">
        <v>561</v>
      </c>
      <c r="J4085" s="25" t="str">
        <f aca="false">IF(M4085=1,"✓","")</f>
        <v/>
      </c>
      <c r="K4085" s="4" t="str">
        <f aca="false">IF(AND(M4085=0,P4085=0),"▶ NEXT","")</f>
        <v/>
      </c>
      <c r="L4085" s="4" t="n">
        <f aca="false">INDEX('Master List'!$F$2:$F$2594,O4085)</f>
        <v>4</v>
      </c>
      <c r="M4085" s="4" t="n">
        <f aca="false">INDEX('Master List'!$G$2:$G$2594,O4085)</f>
        <v>0</v>
      </c>
      <c r="N4085" s="4" t="str">
        <f aca="false">IF(K4085="","",A4085)</f>
        <v/>
      </c>
      <c r="O4085" s="4" t="n">
        <v>1801</v>
      </c>
      <c r="P4085" s="4" t="n">
        <f aca="false">IF(A4085=A4084,P4084+1-M4084,0)</f>
        <v>6</v>
      </c>
    </row>
    <row r="4086" customFormat="false" ht="15" hidden="false" customHeight="false" outlineLevel="0" collapsed="false">
      <c r="A4086" s="35" t="s">
        <v>4457</v>
      </c>
      <c r="B4086" s="35" t="s">
        <v>58</v>
      </c>
      <c r="C4086" s="35" t="s">
        <v>128</v>
      </c>
      <c r="D4086" s="35" t="s">
        <v>4458</v>
      </c>
      <c r="E4086" s="4" t="n">
        <v>11</v>
      </c>
      <c r="F4086" s="4" t="s">
        <v>1327</v>
      </c>
      <c r="G4086" s="4" t="s">
        <v>1644</v>
      </c>
      <c r="H4086" s="4" t="n">
        <v>2023</v>
      </c>
      <c r="I4086" s="4" t="s">
        <v>696</v>
      </c>
      <c r="J4086" s="25" t="str">
        <f aca="false">IF(M4086=1,"✓","")</f>
        <v/>
      </c>
      <c r="K4086" s="4" t="str">
        <f aca="false">IF(AND(M4086=0,P4086=0),"▶ NEXT","")</f>
        <v/>
      </c>
      <c r="L4086" s="4" t="n">
        <f aca="false">INDEX('Master List'!$F$2:$F$2594,O4086)</f>
        <v>2</v>
      </c>
      <c r="M4086" s="4" t="n">
        <f aca="false">INDEX('Master List'!$G$2:$G$2594,O4086)</f>
        <v>0</v>
      </c>
      <c r="N4086" s="4" t="str">
        <f aca="false">IF(K4086="","",A4086)</f>
        <v/>
      </c>
      <c r="O4086" s="4" t="n">
        <v>204</v>
      </c>
      <c r="P4086" s="4" t="n">
        <f aca="false">IF(A4086=A4085,P4085+1-M4085,0)</f>
        <v>7</v>
      </c>
    </row>
    <row r="4087" customFormat="false" ht="15" hidden="false" customHeight="false" outlineLevel="0" collapsed="false">
      <c r="A4087" s="35" t="s">
        <v>4459</v>
      </c>
      <c r="B4087" s="35" t="s">
        <v>58</v>
      </c>
      <c r="C4087" s="35" t="s">
        <v>128</v>
      </c>
      <c r="D4087" s="35" t="s">
        <v>4460</v>
      </c>
      <c r="E4087" s="4" t="n">
        <v>1</v>
      </c>
      <c r="F4087" s="4" t="s">
        <v>144</v>
      </c>
      <c r="G4087" s="7" t="s">
        <v>178</v>
      </c>
      <c r="H4087" s="4" t="n">
        <v>1963</v>
      </c>
      <c r="I4087" s="4" t="s">
        <v>179</v>
      </c>
      <c r="J4087" s="25" t="str">
        <f aca="false">IF(M4087=1,"✓","")</f>
        <v/>
      </c>
      <c r="K4087" s="4" t="str">
        <f aca="false">IF(AND(M4087=0,P4087=0),"▶ NEXT","")</f>
        <v>▶ NEXT</v>
      </c>
      <c r="L4087" s="4" t="n">
        <f aca="false">INDEX('Master List'!$F$2:$F$2594,O4087)</f>
        <v>7</v>
      </c>
      <c r="M4087" s="4" t="n">
        <f aca="false">INDEX('Master List'!$G$2:$G$2594,O4087)</f>
        <v>0</v>
      </c>
      <c r="N4087" s="4" t="str">
        <f aca="false">IF(K4087="","",A4087)</f>
        <v>N318</v>
      </c>
      <c r="O4087" s="4" t="n">
        <v>32</v>
      </c>
      <c r="P4087" s="4" t="n">
        <f aca="false">IF(A4087=A4086,P4086+1-M4086,0)</f>
        <v>0</v>
      </c>
    </row>
    <row r="4088" customFormat="false" ht="15" hidden="false" customHeight="false" outlineLevel="0" collapsed="false">
      <c r="A4088" s="35" t="s">
        <v>4459</v>
      </c>
      <c r="B4088" s="35" t="s">
        <v>58</v>
      </c>
      <c r="C4088" s="35" t="s">
        <v>128</v>
      </c>
      <c r="D4088" s="35" t="s">
        <v>4460</v>
      </c>
      <c r="E4088" s="4" t="n">
        <v>2</v>
      </c>
      <c r="F4088" s="4" t="s">
        <v>144</v>
      </c>
      <c r="G4088" s="7" t="s">
        <v>191</v>
      </c>
      <c r="H4088" s="4" t="n">
        <v>1966</v>
      </c>
      <c r="I4088" s="4" t="s">
        <v>170</v>
      </c>
      <c r="J4088" s="25" t="str">
        <f aca="false">IF(M4088=1,"✓","")</f>
        <v/>
      </c>
      <c r="K4088" s="4" t="str">
        <f aca="false">IF(AND(M4088=0,P4088=0),"▶ NEXT","")</f>
        <v/>
      </c>
      <c r="L4088" s="4" t="n">
        <f aca="false">INDEX('Master List'!$F$2:$F$2594,O4088)</f>
        <v>7</v>
      </c>
      <c r="M4088" s="4" t="n">
        <f aca="false">INDEX('Master List'!$G$2:$G$2594,O4088)</f>
        <v>0</v>
      </c>
      <c r="N4088" s="4" t="str">
        <f aca="false">IF(K4088="","",A4088)</f>
        <v/>
      </c>
      <c r="O4088" s="4" t="n">
        <v>1749</v>
      </c>
      <c r="P4088" s="4" t="n">
        <f aca="false">IF(A4088=A4087,P4087+1-M4087,0)</f>
        <v>1</v>
      </c>
    </row>
    <row r="4089" customFormat="false" ht="15" hidden="false" customHeight="false" outlineLevel="0" collapsed="false">
      <c r="A4089" s="35" t="s">
        <v>4459</v>
      </c>
      <c r="B4089" s="35" t="s">
        <v>58</v>
      </c>
      <c r="C4089" s="35" t="s">
        <v>128</v>
      </c>
      <c r="D4089" s="35" t="s">
        <v>4460</v>
      </c>
      <c r="E4089" s="4" t="n">
        <v>3</v>
      </c>
      <c r="F4089" s="4" t="s">
        <v>213</v>
      </c>
      <c r="G4089" s="4" t="s">
        <v>169</v>
      </c>
      <c r="H4089" s="4" t="n">
        <v>1957</v>
      </c>
      <c r="I4089" s="4" t="s">
        <v>170</v>
      </c>
      <c r="J4089" s="25" t="str">
        <f aca="false">IF(M4089=1,"✓","")</f>
        <v/>
      </c>
      <c r="K4089" s="4" t="str">
        <f aca="false">IF(AND(M4089=0,P4089=0),"▶ NEXT","")</f>
        <v/>
      </c>
      <c r="L4089" s="4" t="n">
        <f aca="false">INDEX('Master List'!$F$2:$F$2594,O4089)</f>
        <v>8</v>
      </c>
      <c r="M4089" s="4" t="n">
        <f aca="false">INDEX('Master List'!$G$2:$G$2594,O4089)</f>
        <v>0</v>
      </c>
      <c r="N4089" s="4" t="str">
        <f aca="false">IF(K4089="","",A4089)</f>
        <v/>
      </c>
      <c r="O4089" s="4" t="n">
        <v>2516</v>
      </c>
      <c r="P4089" s="4" t="n">
        <f aca="false">IF(A4089=A4088,P4088+1-M4088,0)</f>
        <v>2</v>
      </c>
    </row>
    <row r="4090" customFormat="false" ht="15" hidden="false" customHeight="false" outlineLevel="0" collapsed="false">
      <c r="A4090" s="35" t="s">
        <v>4459</v>
      </c>
      <c r="B4090" s="35" t="s">
        <v>58</v>
      </c>
      <c r="C4090" s="35" t="s">
        <v>128</v>
      </c>
      <c r="D4090" s="35" t="s">
        <v>4460</v>
      </c>
      <c r="E4090" s="4" t="n">
        <v>4</v>
      </c>
      <c r="F4090" s="4" t="s">
        <v>213</v>
      </c>
      <c r="G4090" s="4" t="s">
        <v>1037</v>
      </c>
      <c r="H4090" s="4" t="n">
        <v>1977</v>
      </c>
      <c r="I4090" s="4" t="s">
        <v>801</v>
      </c>
      <c r="J4090" s="25" t="str">
        <f aca="false">IF(M4090=1,"✓","")</f>
        <v/>
      </c>
      <c r="K4090" s="4" t="str">
        <f aca="false">IF(AND(M4090=0,P4090=0),"▶ NEXT","")</f>
        <v/>
      </c>
      <c r="L4090" s="4" t="n">
        <f aca="false">INDEX('Master List'!$F$2:$F$2594,O4090)</f>
        <v>2</v>
      </c>
      <c r="M4090" s="4" t="n">
        <f aca="false">INDEX('Master List'!$G$2:$G$2594,O4090)</f>
        <v>0</v>
      </c>
      <c r="N4090" s="4" t="str">
        <f aca="false">IF(K4090="","",A4090)</f>
        <v/>
      </c>
      <c r="O4090" s="4" t="n">
        <v>1688</v>
      </c>
      <c r="P4090" s="4" t="n">
        <f aca="false">IF(A4090=A4089,P4089+1-M4089,0)</f>
        <v>3</v>
      </c>
    </row>
    <row r="4091" customFormat="false" ht="15" hidden="false" customHeight="false" outlineLevel="0" collapsed="false">
      <c r="A4091" s="35" t="s">
        <v>4459</v>
      </c>
      <c r="B4091" s="35" t="s">
        <v>58</v>
      </c>
      <c r="C4091" s="35" t="s">
        <v>128</v>
      </c>
      <c r="D4091" s="35" t="s">
        <v>4460</v>
      </c>
      <c r="E4091" s="4" t="n">
        <v>5</v>
      </c>
      <c r="F4091" s="4" t="s">
        <v>213</v>
      </c>
      <c r="G4091" s="4" t="s">
        <v>835</v>
      </c>
      <c r="H4091" s="4" t="n">
        <v>1994</v>
      </c>
      <c r="I4091" s="4" t="s">
        <v>813</v>
      </c>
      <c r="J4091" s="25" t="str">
        <f aca="false">IF(M4091=1,"✓","")</f>
        <v/>
      </c>
      <c r="K4091" s="4" t="str">
        <f aca="false">IF(AND(M4091=0,P4091=0),"▶ NEXT","")</f>
        <v/>
      </c>
      <c r="L4091" s="4" t="n">
        <f aca="false">INDEX('Master List'!$F$2:$F$2594,O4091)</f>
        <v>3</v>
      </c>
      <c r="M4091" s="4" t="n">
        <f aca="false">INDEX('Master List'!$G$2:$G$2594,O4091)</f>
        <v>0</v>
      </c>
      <c r="N4091" s="4" t="str">
        <f aca="false">IF(K4091="","",A4091)</f>
        <v/>
      </c>
      <c r="O4091" s="4" t="n">
        <v>2423</v>
      </c>
      <c r="P4091" s="4" t="n">
        <f aca="false">IF(A4091=A4090,P4090+1-M4090,0)</f>
        <v>4</v>
      </c>
    </row>
    <row r="4092" customFormat="false" ht="15" hidden="false" customHeight="false" outlineLevel="0" collapsed="false">
      <c r="A4092" s="35" t="s">
        <v>4459</v>
      </c>
      <c r="B4092" s="35" t="s">
        <v>58</v>
      </c>
      <c r="C4092" s="35" t="s">
        <v>128</v>
      </c>
      <c r="D4092" s="35" t="s">
        <v>4460</v>
      </c>
      <c r="E4092" s="4" t="n">
        <v>6</v>
      </c>
      <c r="F4092" s="4" t="s">
        <v>213</v>
      </c>
      <c r="G4092" s="4" t="s">
        <v>1163</v>
      </c>
      <c r="H4092" s="4" t="n">
        <v>2002</v>
      </c>
      <c r="I4092" s="4" t="s">
        <v>508</v>
      </c>
      <c r="J4092" s="25" t="str">
        <f aca="false">IF(M4092=1,"✓","")</f>
        <v>✓</v>
      </c>
      <c r="K4092" s="4" t="str">
        <f aca="false">IF(AND(M4092=0,P4092=0),"▶ NEXT","")</f>
        <v/>
      </c>
      <c r="L4092" s="4" t="n">
        <f aca="false">INDEX('Master List'!$F$2:$F$2594,O4092)</f>
        <v>2</v>
      </c>
      <c r="M4092" s="4" t="n">
        <f aca="false">INDEX('Master List'!$G$2:$G$2594,O4092)</f>
        <v>1</v>
      </c>
      <c r="N4092" s="4" t="str">
        <f aca="false">IF(K4092="","",A4092)</f>
        <v/>
      </c>
      <c r="O4092" s="4" t="n">
        <v>42</v>
      </c>
      <c r="P4092" s="4" t="n">
        <f aca="false">IF(A4092=A4091,P4091+1-M4091,0)</f>
        <v>5</v>
      </c>
    </row>
    <row r="4093" customFormat="false" ht="15" hidden="false" customHeight="false" outlineLevel="0" collapsed="false">
      <c r="A4093" s="35" t="s">
        <v>4459</v>
      </c>
      <c r="B4093" s="35" t="s">
        <v>58</v>
      </c>
      <c r="C4093" s="35" t="s">
        <v>128</v>
      </c>
      <c r="D4093" s="35" t="s">
        <v>4460</v>
      </c>
      <c r="E4093" s="4" t="n">
        <v>7</v>
      </c>
      <c r="F4093" s="4" t="s">
        <v>213</v>
      </c>
      <c r="G4093" s="4" t="s">
        <v>1201</v>
      </c>
      <c r="H4093" s="4" t="n">
        <v>2012</v>
      </c>
      <c r="I4093" s="4" t="s">
        <v>1202</v>
      </c>
      <c r="J4093" s="25" t="str">
        <f aca="false">IF(M4093=1,"✓","")</f>
        <v/>
      </c>
      <c r="K4093" s="4" t="str">
        <f aca="false">IF(AND(M4093=0,P4093=0),"▶ NEXT","")</f>
        <v/>
      </c>
      <c r="L4093" s="4" t="n">
        <f aca="false">INDEX('Master List'!$F$2:$F$2594,O4093)</f>
        <v>2</v>
      </c>
      <c r="M4093" s="4" t="n">
        <f aca="false">INDEX('Master List'!$G$2:$G$2594,O4093)</f>
        <v>0</v>
      </c>
      <c r="N4093" s="4" t="str">
        <f aca="false">IF(K4093="","",A4093)</f>
        <v/>
      </c>
      <c r="O4093" s="4" t="n">
        <v>1054</v>
      </c>
      <c r="P4093" s="4" t="n">
        <f aca="false">IF(A4093=A4092,P4092+1-M4092,0)</f>
        <v>5</v>
      </c>
    </row>
    <row r="4094" customFormat="false" ht="15" hidden="false" customHeight="false" outlineLevel="0" collapsed="false">
      <c r="A4094" s="35" t="s">
        <v>4459</v>
      </c>
      <c r="B4094" s="35" t="s">
        <v>58</v>
      </c>
      <c r="C4094" s="35" t="s">
        <v>128</v>
      </c>
      <c r="D4094" s="35" t="s">
        <v>4460</v>
      </c>
      <c r="E4094" s="4" t="n">
        <v>8</v>
      </c>
      <c r="F4094" s="4" t="s">
        <v>213</v>
      </c>
      <c r="G4094" s="4" t="s">
        <v>647</v>
      </c>
      <c r="H4094" s="4" t="n">
        <v>2015</v>
      </c>
      <c r="I4094" s="4" t="s">
        <v>648</v>
      </c>
      <c r="J4094" s="25" t="str">
        <f aca="false">IF(M4094=1,"✓","")</f>
        <v/>
      </c>
      <c r="K4094" s="4" t="str">
        <f aca="false">IF(AND(M4094=0,P4094=0),"▶ NEXT","")</f>
        <v/>
      </c>
      <c r="L4094" s="4" t="n">
        <f aca="false">INDEX('Master List'!$F$2:$F$2594,O4094)</f>
        <v>3</v>
      </c>
      <c r="M4094" s="4" t="n">
        <f aca="false">INDEX('Master List'!$G$2:$G$2594,O4094)</f>
        <v>0</v>
      </c>
      <c r="N4094" s="4" t="str">
        <f aca="false">IF(K4094="","",A4094)</f>
        <v/>
      </c>
      <c r="O4094" s="4" t="n">
        <v>114</v>
      </c>
      <c r="P4094" s="4" t="n">
        <f aca="false">IF(A4094=A4093,P4093+1-M4093,0)</f>
        <v>6</v>
      </c>
    </row>
    <row r="4095" customFormat="false" ht="15" hidden="false" customHeight="false" outlineLevel="0" collapsed="false">
      <c r="A4095" s="35" t="s">
        <v>4459</v>
      </c>
      <c r="B4095" s="35" t="s">
        <v>58</v>
      </c>
      <c r="C4095" s="35" t="s">
        <v>128</v>
      </c>
      <c r="D4095" s="35" t="s">
        <v>4460</v>
      </c>
      <c r="E4095" s="4" t="n">
        <v>9</v>
      </c>
      <c r="F4095" s="4" t="s">
        <v>213</v>
      </c>
      <c r="G4095" s="4" t="s">
        <v>1644</v>
      </c>
      <c r="H4095" s="4" t="n">
        <v>2023</v>
      </c>
      <c r="I4095" s="4" t="s">
        <v>696</v>
      </c>
      <c r="J4095" s="25" t="str">
        <f aca="false">IF(M4095=1,"✓","")</f>
        <v/>
      </c>
      <c r="K4095" s="4" t="str">
        <f aca="false">IF(AND(M4095=0,P4095=0),"▶ NEXT","")</f>
        <v/>
      </c>
      <c r="L4095" s="4" t="n">
        <f aca="false">INDEX('Master List'!$F$2:$F$2594,O4095)</f>
        <v>2</v>
      </c>
      <c r="M4095" s="4" t="n">
        <f aca="false">INDEX('Master List'!$G$2:$G$2594,O4095)</f>
        <v>0</v>
      </c>
      <c r="N4095" s="4" t="str">
        <f aca="false">IF(K4095="","",A4095)</f>
        <v/>
      </c>
      <c r="O4095" s="4" t="n">
        <v>204</v>
      </c>
      <c r="P4095" s="4" t="n">
        <f aca="false">IF(A4095=A4094,P4094+1-M4094,0)</f>
        <v>7</v>
      </c>
    </row>
    <row r="4096" customFormat="false" ht="15" hidden="false" customHeight="false" outlineLevel="0" collapsed="false">
      <c r="A4096" s="35" t="s">
        <v>4459</v>
      </c>
      <c r="B4096" s="35" t="s">
        <v>58</v>
      </c>
      <c r="C4096" s="35" t="s">
        <v>128</v>
      </c>
      <c r="D4096" s="35" t="s">
        <v>4460</v>
      </c>
      <c r="E4096" s="4" t="n">
        <v>10</v>
      </c>
      <c r="F4096" s="4" t="s">
        <v>1327</v>
      </c>
      <c r="G4096" s="4" t="s">
        <v>229</v>
      </c>
      <c r="H4096" s="4" t="n">
        <v>1975</v>
      </c>
      <c r="I4096" s="4" t="s">
        <v>210</v>
      </c>
      <c r="J4096" s="25" t="str">
        <f aca="false">IF(M4096=1,"✓","")</f>
        <v/>
      </c>
      <c r="K4096" s="4" t="str">
        <f aca="false">IF(AND(M4096=0,P4096=0),"▶ NEXT","")</f>
        <v/>
      </c>
      <c r="L4096" s="4" t="n">
        <f aca="false">INDEX('Master List'!$F$2:$F$2594,O4096)</f>
        <v>6</v>
      </c>
      <c r="M4096" s="4" t="n">
        <f aca="false">INDEX('Master List'!$G$2:$G$2594,O4096)</f>
        <v>0</v>
      </c>
      <c r="N4096" s="4" t="str">
        <f aca="false">IF(K4096="","",A4096)</f>
        <v/>
      </c>
      <c r="O4096" s="4" t="n">
        <v>1512</v>
      </c>
      <c r="P4096" s="4" t="n">
        <f aca="false">IF(A4096=A4095,P4095+1-M4095,0)</f>
        <v>8</v>
      </c>
    </row>
    <row r="4097" customFormat="false" ht="15" hidden="false" customHeight="false" outlineLevel="0" collapsed="false">
      <c r="A4097" s="35" t="s">
        <v>4461</v>
      </c>
      <c r="B4097" s="35" t="s">
        <v>58</v>
      </c>
      <c r="C4097" s="35" t="s">
        <v>128</v>
      </c>
      <c r="D4097" s="35" t="s">
        <v>4462</v>
      </c>
      <c r="E4097" s="4" t="n">
        <v>1</v>
      </c>
      <c r="F4097" s="4" t="s">
        <v>144</v>
      </c>
      <c r="G4097" s="7" t="s">
        <v>808</v>
      </c>
      <c r="H4097" s="4" t="n">
        <v>1980</v>
      </c>
      <c r="I4097" s="4" t="s">
        <v>272</v>
      </c>
      <c r="J4097" s="25" t="str">
        <f aca="false">IF(M4097=1,"✓","")</f>
        <v/>
      </c>
      <c r="K4097" s="4" t="str">
        <f aca="false">IF(AND(M4097=0,P4097=0),"▶ NEXT","")</f>
        <v>▶ NEXT</v>
      </c>
      <c r="L4097" s="4" t="n">
        <f aca="false">INDEX('Master List'!$F$2:$F$2594,O4097)</f>
        <v>2</v>
      </c>
      <c r="M4097" s="4" t="n">
        <f aca="false">INDEX('Master List'!$G$2:$G$2594,O4097)</f>
        <v>0</v>
      </c>
      <c r="N4097" s="4" t="str">
        <f aca="false">IF(K4097="","",A4097)</f>
        <v>N319</v>
      </c>
      <c r="O4097" s="4" t="n">
        <v>1524</v>
      </c>
      <c r="P4097" s="4" t="n">
        <f aca="false">IF(A4097=A4096,P4096+1-M4096,0)</f>
        <v>0</v>
      </c>
    </row>
    <row r="4098" customFormat="false" ht="15" hidden="false" customHeight="false" outlineLevel="0" collapsed="false">
      <c r="A4098" s="35" t="s">
        <v>4461</v>
      </c>
      <c r="B4098" s="35" t="s">
        <v>58</v>
      </c>
      <c r="C4098" s="35" t="s">
        <v>128</v>
      </c>
      <c r="D4098" s="35" t="s">
        <v>4462</v>
      </c>
      <c r="E4098" s="4" t="n">
        <v>2</v>
      </c>
      <c r="F4098" s="4" t="s">
        <v>144</v>
      </c>
      <c r="G4098" s="7" t="s">
        <v>370</v>
      </c>
      <c r="H4098" s="4" t="n">
        <v>1990</v>
      </c>
      <c r="I4098" s="4" t="s">
        <v>320</v>
      </c>
      <c r="J4098" s="25" t="str">
        <f aca="false">IF(M4098=1,"✓","")</f>
        <v/>
      </c>
      <c r="K4098" s="4" t="str">
        <f aca="false">IF(AND(M4098=0,P4098=0),"▶ NEXT","")</f>
        <v/>
      </c>
      <c r="L4098" s="4" t="n">
        <f aca="false">INDEX('Master List'!$F$2:$F$2594,O4098)</f>
        <v>4</v>
      </c>
      <c r="M4098" s="4" t="n">
        <f aca="false">INDEX('Master List'!$G$2:$G$2594,O4098)</f>
        <v>0</v>
      </c>
      <c r="N4098" s="4" t="str">
        <f aca="false">IF(K4098="","",A4098)</f>
        <v/>
      </c>
      <c r="O4098" s="4" t="n">
        <v>2086</v>
      </c>
      <c r="P4098" s="4" t="n">
        <f aca="false">IF(A4098=A4097,P4097+1-M4097,0)</f>
        <v>1</v>
      </c>
    </row>
    <row r="4099" customFormat="false" ht="15" hidden="false" customHeight="false" outlineLevel="0" collapsed="false">
      <c r="A4099" s="35" t="s">
        <v>4461</v>
      </c>
      <c r="B4099" s="35" t="s">
        <v>58</v>
      </c>
      <c r="C4099" s="35" t="s">
        <v>128</v>
      </c>
      <c r="D4099" s="35" t="s">
        <v>4462</v>
      </c>
      <c r="E4099" s="4" t="n">
        <v>3</v>
      </c>
      <c r="F4099" s="4" t="s">
        <v>213</v>
      </c>
      <c r="G4099" s="4" t="s">
        <v>835</v>
      </c>
      <c r="H4099" s="4" t="n">
        <v>1994</v>
      </c>
      <c r="I4099" s="4" t="s">
        <v>813</v>
      </c>
      <c r="J4099" s="25" t="str">
        <f aca="false">IF(M4099=1,"✓","")</f>
        <v/>
      </c>
      <c r="K4099" s="4" t="str">
        <f aca="false">IF(AND(M4099=0,P4099=0),"▶ NEXT","")</f>
        <v/>
      </c>
      <c r="L4099" s="4" t="n">
        <f aca="false">INDEX('Master List'!$F$2:$F$2594,O4099)</f>
        <v>3</v>
      </c>
      <c r="M4099" s="4" t="n">
        <f aca="false">INDEX('Master List'!$G$2:$G$2594,O4099)</f>
        <v>0</v>
      </c>
      <c r="N4099" s="4" t="str">
        <f aca="false">IF(K4099="","",A4099)</f>
        <v/>
      </c>
      <c r="O4099" s="4" t="n">
        <v>2423</v>
      </c>
      <c r="P4099" s="4" t="n">
        <f aca="false">IF(A4099=A4098,P4098+1-M4098,0)</f>
        <v>2</v>
      </c>
    </row>
    <row r="4100" customFormat="false" ht="15" hidden="false" customHeight="false" outlineLevel="0" collapsed="false">
      <c r="A4100" s="35" t="s">
        <v>4461</v>
      </c>
      <c r="B4100" s="35" t="s">
        <v>58</v>
      </c>
      <c r="C4100" s="35" t="s">
        <v>128</v>
      </c>
      <c r="D4100" s="35" t="s">
        <v>4462</v>
      </c>
      <c r="E4100" s="4" t="n">
        <v>4</v>
      </c>
      <c r="F4100" s="4" t="s">
        <v>213</v>
      </c>
      <c r="G4100" s="4" t="s">
        <v>321</v>
      </c>
      <c r="H4100" s="4" t="n">
        <v>1997</v>
      </c>
      <c r="I4100" s="4" t="s">
        <v>203</v>
      </c>
      <c r="J4100" s="25" t="str">
        <f aca="false">IF(M4100=1,"✓","")</f>
        <v>✓</v>
      </c>
      <c r="K4100" s="4" t="str">
        <f aca="false">IF(AND(M4100=0,P4100=0),"▶ NEXT","")</f>
        <v/>
      </c>
      <c r="L4100" s="4" t="n">
        <f aca="false">INDEX('Master List'!$F$2:$F$2594,O4100)</f>
        <v>4</v>
      </c>
      <c r="M4100" s="4" t="n">
        <f aca="false">INDEX('Master List'!$G$2:$G$2594,O4100)</f>
        <v>1</v>
      </c>
      <c r="N4100" s="4" t="str">
        <f aca="false">IF(K4100="","",A4100)</f>
        <v/>
      </c>
      <c r="O4100" s="4" t="n">
        <v>2245</v>
      </c>
      <c r="P4100" s="4" t="n">
        <f aca="false">IF(A4100=A4099,P4099+1-M4099,0)</f>
        <v>3</v>
      </c>
    </row>
    <row r="4101" customFormat="false" ht="15" hidden="false" customHeight="false" outlineLevel="0" collapsed="false">
      <c r="A4101" s="35" t="s">
        <v>4461</v>
      </c>
      <c r="B4101" s="35" t="s">
        <v>58</v>
      </c>
      <c r="C4101" s="35" t="s">
        <v>128</v>
      </c>
      <c r="D4101" s="35" t="s">
        <v>4462</v>
      </c>
      <c r="E4101" s="4" t="n">
        <v>5</v>
      </c>
      <c r="F4101" s="4" t="s">
        <v>213</v>
      </c>
      <c r="G4101" s="4" t="s">
        <v>636</v>
      </c>
      <c r="H4101" s="4" t="n">
        <v>2003</v>
      </c>
      <c r="I4101" s="4" t="s">
        <v>615</v>
      </c>
      <c r="J4101" s="25" t="str">
        <f aca="false">IF(M4101=1,"✓","")</f>
        <v>✓</v>
      </c>
      <c r="K4101" s="4" t="str">
        <f aca="false">IF(AND(M4101=0,P4101=0),"▶ NEXT","")</f>
        <v/>
      </c>
      <c r="L4101" s="4" t="n">
        <f aca="false">INDEX('Master List'!$F$2:$F$2594,O4101)</f>
        <v>3</v>
      </c>
      <c r="M4101" s="4" t="n">
        <f aca="false">INDEX('Master List'!$G$2:$G$2594,O4101)</f>
        <v>1</v>
      </c>
      <c r="N4101" s="4" t="str">
        <f aca="false">IF(K4101="","",A4101)</f>
        <v/>
      </c>
      <c r="O4101" s="4" t="n">
        <v>491</v>
      </c>
      <c r="P4101" s="4" t="n">
        <f aca="false">IF(A4101=A4100,P4100+1-M4100,0)</f>
        <v>3</v>
      </c>
    </row>
    <row r="4102" customFormat="false" ht="15" hidden="false" customHeight="false" outlineLevel="0" collapsed="false">
      <c r="A4102" s="35" t="s">
        <v>4461</v>
      </c>
      <c r="B4102" s="35" t="s">
        <v>58</v>
      </c>
      <c r="C4102" s="35" t="s">
        <v>128</v>
      </c>
      <c r="D4102" s="35" t="s">
        <v>4462</v>
      </c>
      <c r="E4102" s="4" t="n">
        <v>6</v>
      </c>
      <c r="F4102" s="4" t="s">
        <v>213</v>
      </c>
      <c r="G4102" s="4" t="s">
        <v>373</v>
      </c>
      <c r="H4102" s="4" t="n">
        <v>1995</v>
      </c>
      <c r="I4102" s="4" t="s">
        <v>320</v>
      </c>
      <c r="J4102" s="25" t="str">
        <f aca="false">IF(M4102=1,"✓","")</f>
        <v>✓</v>
      </c>
      <c r="K4102" s="4" t="str">
        <f aca="false">IF(AND(M4102=0,P4102=0),"▶ NEXT","")</f>
        <v/>
      </c>
      <c r="L4102" s="4" t="n">
        <f aca="false">INDEX('Master List'!$F$2:$F$2594,O4102)</f>
        <v>4</v>
      </c>
      <c r="M4102" s="4" t="n">
        <f aca="false">INDEX('Master List'!$G$2:$G$2594,O4102)</f>
        <v>1</v>
      </c>
      <c r="N4102" s="4" t="str">
        <f aca="false">IF(K4102="","",A4102)</f>
        <v/>
      </c>
      <c r="O4102" s="4" t="n">
        <v>212</v>
      </c>
      <c r="P4102" s="4" t="n">
        <f aca="false">IF(A4102=A4101,P4101+1-M4101,0)</f>
        <v>3</v>
      </c>
    </row>
    <row r="4103" customFormat="false" ht="15" hidden="false" customHeight="false" outlineLevel="0" collapsed="false">
      <c r="A4103" s="35" t="s">
        <v>4461</v>
      </c>
      <c r="B4103" s="35" t="s">
        <v>58</v>
      </c>
      <c r="C4103" s="35" t="s">
        <v>128</v>
      </c>
      <c r="D4103" s="35" t="s">
        <v>4462</v>
      </c>
      <c r="E4103" s="4" t="n">
        <v>7</v>
      </c>
      <c r="F4103" s="4" t="s">
        <v>213</v>
      </c>
      <c r="G4103" s="4" t="s">
        <v>639</v>
      </c>
      <c r="H4103" s="4" t="n">
        <v>2010</v>
      </c>
      <c r="I4103" s="4" t="s">
        <v>203</v>
      </c>
      <c r="J4103" s="25" t="str">
        <f aca="false">IF(M4103=1,"✓","")</f>
        <v/>
      </c>
      <c r="K4103" s="4" t="str">
        <f aca="false">IF(AND(M4103=0,P4103=0),"▶ NEXT","")</f>
        <v/>
      </c>
      <c r="L4103" s="4" t="n">
        <f aca="false">INDEX('Master List'!$F$2:$F$2594,O4103)</f>
        <v>3</v>
      </c>
      <c r="M4103" s="4" t="n">
        <f aca="false">INDEX('Master List'!$G$2:$G$2594,O4103)</f>
        <v>0</v>
      </c>
      <c r="N4103" s="4" t="str">
        <f aca="false">IF(K4103="","",A4103)</f>
        <v/>
      </c>
      <c r="O4103" s="4" t="n">
        <v>424</v>
      </c>
      <c r="P4103" s="4" t="n">
        <f aca="false">IF(A4103=A4102,P4102+1-M4102,0)</f>
        <v>3</v>
      </c>
    </row>
    <row r="4104" customFormat="false" ht="15" hidden="false" customHeight="false" outlineLevel="0" collapsed="false">
      <c r="A4104" s="35" t="s">
        <v>4461</v>
      </c>
      <c r="B4104" s="35" t="s">
        <v>58</v>
      </c>
      <c r="C4104" s="35" t="s">
        <v>128</v>
      </c>
      <c r="D4104" s="35" t="s">
        <v>4462</v>
      </c>
      <c r="E4104" s="4" t="n">
        <v>8</v>
      </c>
      <c r="F4104" s="4" t="s">
        <v>213</v>
      </c>
      <c r="G4104" s="4" t="s">
        <v>1236</v>
      </c>
      <c r="H4104" s="4" t="n">
        <v>2017</v>
      </c>
      <c r="I4104" s="4" t="s">
        <v>1237</v>
      </c>
      <c r="J4104" s="25" t="str">
        <f aca="false">IF(M4104=1,"✓","")</f>
        <v/>
      </c>
      <c r="K4104" s="4" t="str">
        <f aca="false">IF(AND(M4104=0,P4104=0),"▶ NEXT","")</f>
        <v/>
      </c>
      <c r="L4104" s="4" t="n">
        <f aca="false">INDEX('Master List'!$F$2:$F$2594,O4104)</f>
        <v>2</v>
      </c>
      <c r="M4104" s="4" t="n">
        <f aca="false">INDEX('Master List'!$G$2:$G$2594,O4104)</f>
        <v>0</v>
      </c>
      <c r="N4104" s="4" t="str">
        <f aca="false">IF(K4104="","",A4104)</f>
        <v/>
      </c>
      <c r="O4104" s="4" t="n">
        <v>500</v>
      </c>
      <c r="P4104" s="4" t="n">
        <f aca="false">IF(A4104=A4103,P4103+1-M4103,0)</f>
        <v>4</v>
      </c>
    </row>
    <row r="4105" customFormat="false" ht="15" hidden="false" customHeight="false" outlineLevel="0" collapsed="false">
      <c r="A4105" s="35" t="s">
        <v>4461</v>
      </c>
      <c r="B4105" s="35" t="s">
        <v>58</v>
      </c>
      <c r="C4105" s="35" t="s">
        <v>128</v>
      </c>
      <c r="D4105" s="35" t="s">
        <v>4462</v>
      </c>
      <c r="E4105" s="4" t="n">
        <v>9</v>
      </c>
      <c r="F4105" s="4" t="s">
        <v>1327</v>
      </c>
      <c r="G4105" s="4" t="s">
        <v>3528</v>
      </c>
      <c r="H4105" s="4" t="n">
        <v>1973</v>
      </c>
      <c r="I4105" s="4" t="s">
        <v>3529</v>
      </c>
      <c r="J4105" s="25" t="str">
        <f aca="false">IF(M4105=1,"✓","")</f>
        <v/>
      </c>
      <c r="K4105" s="4" t="str">
        <f aca="false">IF(AND(M4105=0,P4105=0),"▶ NEXT","")</f>
        <v/>
      </c>
      <c r="L4105" s="4" t="n">
        <f aca="false">INDEX('Master List'!$F$2:$F$2594,O4105)</f>
        <v>1</v>
      </c>
      <c r="M4105" s="4" t="n">
        <f aca="false">INDEX('Master List'!$G$2:$G$2594,O4105)</f>
        <v>0</v>
      </c>
      <c r="N4105" s="4" t="str">
        <f aca="false">IF(K4105="","",A4105)</f>
        <v/>
      </c>
      <c r="O4105" s="4" t="n">
        <v>1420</v>
      </c>
      <c r="P4105" s="4" t="n">
        <f aca="false">IF(A4105=A4104,P4104+1-M4104,0)</f>
        <v>5</v>
      </c>
    </row>
    <row r="4106" customFormat="false" ht="15" hidden="false" customHeight="false" outlineLevel="0" collapsed="false">
      <c r="A4106" s="35" t="s">
        <v>4461</v>
      </c>
      <c r="B4106" s="35" t="s">
        <v>58</v>
      </c>
      <c r="C4106" s="35" t="s">
        <v>128</v>
      </c>
      <c r="D4106" s="35" t="s">
        <v>4462</v>
      </c>
      <c r="E4106" s="4" t="n">
        <v>10</v>
      </c>
      <c r="F4106" s="4" t="s">
        <v>1327</v>
      </c>
      <c r="G4106" s="4" t="s">
        <v>614</v>
      </c>
      <c r="H4106" s="4" t="n">
        <v>1991</v>
      </c>
      <c r="I4106" s="4" t="s">
        <v>615</v>
      </c>
      <c r="J4106" s="25" t="str">
        <f aca="false">IF(M4106=1,"✓","")</f>
        <v/>
      </c>
      <c r="K4106" s="4" t="str">
        <f aca="false">IF(AND(M4106=0,P4106=0),"▶ NEXT","")</f>
        <v/>
      </c>
      <c r="L4106" s="4" t="n">
        <f aca="false">INDEX('Master List'!$F$2:$F$2594,O4106)</f>
        <v>3</v>
      </c>
      <c r="M4106" s="4" t="n">
        <f aca="false">INDEX('Master List'!$G$2:$G$2594,O4106)</f>
        <v>0</v>
      </c>
      <c r="N4106" s="4" t="str">
        <f aca="false">IF(K4106="","",A4106)</f>
        <v/>
      </c>
      <c r="O4106" s="4" t="n">
        <v>1608</v>
      </c>
      <c r="P4106" s="4" t="n">
        <f aca="false">IF(A4106=A4105,P4105+1-M4105,0)</f>
        <v>6</v>
      </c>
    </row>
    <row r="4107" customFormat="false" ht="15" hidden="false" customHeight="false" outlineLevel="0" collapsed="false">
      <c r="A4107" s="35" t="s">
        <v>4463</v>
      </c>
      <c r="B4107" s="35" t="s">
        <v>58</v>
      </c>
      <c r="C4107" s="35" t="s">
        <v>129</v>
      </c>
      <c r="D4107" s="35" t="s">
        <v>4464</v>
      </c>
      <c r="E4107" s="4" t="n">
        <v>1</v>
      </c>
      <c r="F4107" s="4" t="s">
        <v>144</v>
      </c>
      <c r="G4107" s="7" t="s">
        <v>460</v>
      </c>
      <c r="H4107" s="4" t="n">
        <v>1963</v>
      </c>
      <c r="I4107" s="4" t="s">
        <v>461</v>
      </c>
      <c r="J4107" s="25" t="str">
        <f aca="false">IF(M4107=1,"✓","")</f>
        <v/>
      </c>
      <c r="K4107" s="4" t="str">
        <f aca="false">IF(AND(M4107=0,P4107=0),"▶ NEXT","")</f>
        <v>▶ NEXT</v>
      </c>
      <c r="L4107" s="4" t="n">
        <f aca="false">INDEX('Master List'!$F$2:$F$2594,O4107)</f>
        <v>3</v>
      </c>
      <c r="M4107" s="4" t="n">
        <f aca="false">INDEX('Master List'!$G$2:$G$2594,O4107)</f>
        <v>0</v>
      </c>
      <c r="N4107" s="4" t="str">
        <f aca="false">IF(K4107="","",A4107)</f>
        <v>N320</v>
      </c>
      <c r="O4107" s="4" t="n">
        <v>1321</v>
      </c>
      <c r="P4107" s="4" t="n">
        <f aca="false">IF(A4107=A4106,P4106+1-M4106,0)</f>
        <v>0</v>
      </c>
    </row>
    <row r="4108" customFormat="false" ht="15" hidden="false" customHeight="false" outlineLevel="0" collapsed="false">
      <c r="A4108" s="35" t="s">
        <v>4463</v>
      </c>
      <c r="B4108" s="35" t="s">
        <v>58</v>
      </c>
      <c r="C4108" s="35" t="s">
        <v>129</v>
      </c>
      <c r="D4108" s="35" t="s">
        <v>4464</v>
      </c>
      <c r="E4108" s="4" t="n">
        <v>2</v>
      </c>
      <c r="F4108" s="4" t="s">
        <v>144</v>
      </c>
      <c r="G4108" s="7" t="s">
        <v>291</v>
      </c>
      <c r="H4108" s="4" t="n">
        <v>1972</v>
      </c>
      <c r="I4108" s="4" t="s">
        <v>292</v>
      </c>
      <c r="J4108" s="25" t="str">
        <f aca="false">IF(M4108=1,"✓","")</f>
        <v/>
      </c>
      <c r="K4108" s="4" t="str">
        <f aca="false">IF(AND(M4108=0,P4108=0),"▶ NEXT","")</f>
        <v/>
      </c>
      <c r="L4108" s="4" t="n">
        <f aca="false">INDEX('Master List'!$F$2:$F$2594,O4108)</f>
        <v>4</v>
      </c>
      <c r="M4108" s="4" t="n">
        <f aca="false">INDEX('Master List'!$G$2:$G$2594,O4108)</f>
        <v>0</v>
      </c>
      <c r="N4108" s="4" t="str">
        <f aca="false">IF(K4108="","",A4108)</f>
        <v/>
      </c>
      <c r="O4108" s="4" t="n">
        <v>56</v>
      </c>
      <c r="P4108" s="4" t="n">
        <f aca="false">IF(A4108=A4107,P4107+1-M4107,0)</f>
        <v>1</v>
      </c>
    </row>
    <row r="4109" customFormat="false" ht="15" hidden="false" customHeight="false" outlineLevel="0" collapsed="false">
      <c r="A4109" s="35" t="s">
        <v>4463</v>
      </c>
      <c r="B4109" s="35" t="s">
        <v>58</v>
      </c>
      <c r="C4109" s="35" t="s">
        <v>129</v>
      </c>
      <c r="D4109" s="35" t="s">
        <v>4464</v>
      </c>
      <c r="E4109" s="4" t="n">
        <v>3</v>
      </c>
      <c r="F4109" s="4" t="s">
        <v>213</v>
      </c>
      <c r="G4109" s="4" t="s">
        <v>591</v>
      </c>
      <c r="H4109" s="4" t="n">
        <v>1970</v>
      </c>
      <c r="I4109" s="4" t="s">
        <v>592</v>
      </c>
      <c r="J4109" s="25" t="str">
        <f aca="false">IF(M4109=1,"✓","")</f>
        <v/>
      </c>
      <c r="K4109" s="4" t="str">
        <f aca="false">IF(AND(M4109=0,P4109=0),"▶ NEXT","")</f>
        <v/>
      </c>
      <c r="L4109" s="4" t="n">
        <f aca="false">INDEX('Master List'!$F$2:$F$2594,O4109)</f>
        <v>3</v>
      </c>
      <c r="M4109" s="4" t="n">
        <f aca="false">INDEX('Master List'!$G$2:$G$2594,O4109)</f>
        <v>0</v>
      </c>
      <c r="N4109" s="4" t="str">
        <f aca="false">IF(K4109="","",A4109)</f>
        <v/>
      </c>
      <c r="O4109" s="4" t="n">
        <v>513</v>
      </c>
      <c r="P4109" s="4" t="n">
        <f aca="false">IF(A4109=A4108,P4108+1-M4108,0)</f>
        <v>2</v>
      </c>
    </row>
    <row r="4110" customFormat="false" ht="15" hidden="false" customHeight="false" outlineLevel="0" collapsed="false">
      <c r="A4110" s="35" t="s">
        <v>4463</v>
      </c>
      <c r="B4110" s="35" t="s">
        <v>58</v>
      </c>
      <c r="C4110" s="35" t="s">
        <v>129</v>
      </c>
      <c r="D4110" s="35" t="s">
        <v>4464</v>
      </c>
      <c r="E4110" s="4" t="n">
        <v>4</v>
      </c>
      <c r="F4110" s="4" t="s">
        <v>213</v>
      </c>
      <c r="G4110" s="4" t="s">
        <v>2578</v>
      </c>
      <c r="H4110" s="4" t="n">
        <v>1993</v>
      </c>
      <c r="I4110" s="4" t="s">
        <v>391</v>
      </c>
      <c r="J4110" s="25" t="str">
        <f aca="false">IF(M4110=1,"✓","")</f>
        <v/>
      </c>
      <c r="K4110" s="4" t="str">
        <f aca="false">IF(AND(M4110=0,P4110=0),"▶ NEXT","")</f>
        <v/>
      </c>
      <c r="L4110" s="4" t="n">
        <f aca="false">INDEX('Master List'!$F$2:$F$2594,O4110)</f>
        <v>1</v>
      </c>
      <c r="M4110" s="4" t="n">
        <f aca="false">INDEX('Master List'!$G$2:$G$2594,O4110)</f>
        <v>0</v>
      </c>
      <c r="N4110" s="4" t="str">
        <f aca="false">IF(K4110="","",A4110)</f>
        <v/>
      </c>
      <c r="O4110" s="4" t="n">
        <v>1006</v>
      </c>
      <c r="P4110" s="4" t="n">
        <f aca="false">IF(A4110=A4109,P4109+1-M4109,0)</f>
        <v>3</v>
      </c>
    </row>
    <row r="4111" customFormat="false" ht="15" hidden="false" customHeight="false" outlineLevel="0" collapsed="false">
      <c r="A4111" s="35" t="s">
        <v>4463</v>
      </c>
      <c r="B4111" s="35" t="s">
        <v>58</v>
      </c>
      <c r="C4111" s="35" t="s">
        <v>129</v>
      </c>
      <c r="D4111" s="35" t="s">
        <v>4464</v>
      </c>
      <c r="E4111" s="4" t="n">
        <v>5</v>
      </c>
      <c r="F4111" s="4" t="s">
        <v>213</v>
      </c>
      <c r="G4111" s="4" t="s">
        <v>1379</v>
      </c>
      <c r="H4111" s="4" t="n">
        <v>1991</v>
      </c>
      <c r="I4111" s="4" t="s">
        <v>1380</v>
      </c>
      <c r="J4111" s="25" t="str">
        <f aca="false">IF(M4111=1,"✓","")</f>
        <v>✓</v>
      </c>
      <c r="K4111" s="4" t="str">
        <f aca="false">IF(AND(M4111=0,P4111=0),"▶ NEXT","")</f>
        <v/>
      </c>
      <c r="L4111" s="4" t="n">
        <f aca="false">INDEX('Master List'!$F$2:$F$2594,O4111)</f>
        <v>2</v>
      </c>
      <c r="M4111" s="4" t="n">
        <f aca="false">INDEX('Master List'!$G$2:$G$2594,O4111)</f>
        <v>1</v>
      </c>
      <c r="N4111" s="4" t="str">
        <f aca="false">IF(K4111="","",A4111)</f>
        <v/>
      </c>
      <c r="O4111" s="4" t="n">
        <v>1010</v>
      </c>
      <c r="P4111" s="4" t="n">
        <f aca="false">IF(A4111=A4110,P4110+1-M4110,0)</f>
        <v>4</v>
      </c>
    </row>
    <row r="4112" customFormat="false" ht="15" hidden="false" customHeight="false" outlineLevel="0" collapsed="false">
      <c r="A4112" s="35" t="s">
        <v>4463</v>
      </c>
      <c r="B4112" s="35" t="s">
        <v>58</v>
      </c>
      <c r="C4112" s="35" t="s">
        <v>129</v>
      </c>
      <c r="D4112" s="35" t="s">
        <v>4464</v>
      </c>
      <c r="E4112" s="4" t="n">
        <v>6</v>
      </c>
      <c r="F4112" s="4" t="s">
        <v>213</v>
      </c>
      <c r="G4112" s="4" t="s">
        <v>393</v>
      </c>
      <c r="H4112" s="4" t="n">
        <v>1974</v>
      </c>
      <c r="I4112" s="4" t="s">
        <v>172</v>
      </c>
      <c r="J4112" s="25" t="str">
        <f aca="false">IF(M4112=1,"✓","")</f>
        <v/>
      </c>
      <c r="K4112" s="4" t="str">
        <f aca="false">IF(AND(M4112=0,P4112=0),"▶ NEXT","")</f>
        <v/>
      </c>
      <c r="L4112" s="4" t="n">
        <f aca="false">INDEX('Master List'!$F$2:$F$2594,O4112)</f>
        <v>4</v>
      </c>
      <c r="M4112" s="4" t="n">
        <f aca="false">INDEX('Master List'!$G$2:$G$2594,O4112)</f>
        <v>0</v>
      </c>
      <c r="N4112" s="4" t="str">
        <f aca="false">IF(K4112="","",A4112)</f>
        <v/>
      </c>
      <c r="O4112" s="4" t="n">
        <v>910</v>
      </c>
      <c r="P4112" s="4" t="n">
        <f aca="false">IF(A4112=A4111,P4111+1-M4111,0)</f>
        <v>4</v>
      </c>
    </row>
    <row r="4113" customFormat="false" ht="15" hidden="false" customHeight="false" outlineLevel="0" collapsed="false">
      <c r="A4113" s="35" t="s">
        <v>4463</v>
      </c>
      <c r="B4113" s="35" t="s">
        <v>58</v>
      </c>
      <c r="C4113" s="35" t="s">
        <v>129</v>
      </c>
      <c r="D4113" s="35" t="s">
        <v>4464</v>
      </c>
      <c r="E4113" s="4" t="n">
        <v>7</v>
      </c>
      <c r="F4113" s="4" t="s">
        <v>213</v>
      </c>
      <c r="G4113" s="4" t="s">
        <v>394</v>
      </c>
      <c r="H4113" s="4" t="n">
        <v>1984</v>
      </c>
      <c r="I4113" s="4" t="s">
        <v>395</v>
      </c>
      <c r="J4113" s="25" t="str">
        <f aca="false">IF(M4113=1,"✓","")</f>
        <v/>
      </c>
      <c r="K4113" s="4" t="str">
        <f aca="false">IF(AND(M4113=0,P4113=0),"▶ NEXT","")</f>
        <v/>
      </c>
      <c r="L4113" s="4" t="n">
        <f aca="false">INDEX('Master List'!$F$2:$F$2594,O4113)</f>
        <v>4</v>
      </c>
      <c r="M4113" s="4" t="n">
        <f aca="false">INDEX('Master List'!$G$2:$G$2594,O4113)</f>
        <v>0</v>
      </c>
      <c r="N4113" s="4" t="str">
        <f aca="false">IF(K4113="","",A4113)</f>
        <v/>
      </c>
      <c r="O4113" s="4" t="n">
        <v>1669</v>
      </c>
      <c r="P4113" s="4" t="n">
        <f aca="false">IF(A4113=A4112,P4112+1-M4112,0)</f>
        <v>5</v>
      </c>
    </row>
    <row r="4114" customFormat="false" ht="15" hidden="false" customHeight="false" outlineLevel="0" collapsed="false">
      <c r="A4114" s="35" t="s">
        <v>4463</v>
      </c>
      <c r="B4114" s="35" t="s">
        <v>58</v>
      </c>
      <c r="C4114" s="35" t="s">
        <v>129</v>
      </c>
      <c r="D4114" s="35" t="s">
        <v>4464</v>
      </c>
      <c r="E4114" s="4" t="n">
        <v>8</v>
      </c>
      <c r="F4114" s="4" t="s">
        <v>213</v>
      </c>
      <c r="G4114" s="4" t="s">
        <v>612</v>
      </c>
      <c r="H4114" s="4" t="n">
        <v>1990</v>
      </c>
      <c r="I4114" s="4" t="s">
        <v>397</v>
      </c>
      <c r="J4114" s="25" t="str">
        <f aca="false">IF(M4114=1,"✓","")</f>
        <v>✓</v>
      </c>
      <c r="K4114" s="4" t="str">
        <f aca="false">IF(AND(M4114=0,P4114=0),"▶ NEXT","")</f>
        <v/>
      </c>
      <c r="L4114" s="4" t="n">
        <f aca="false">INDEX('Master List'!$F$2:$F$2594,O4114)</f>
        <v>3</v>
      </c>
      <c r="M4114" s="4" t="n">
        <f aca="false">INDEX('Master List'!$G$2:$G$2594,O4114)</f>
        <v>1</v>
      </c>
      <c r="N4114" s="4" t="str">
        <f aca="false">IF(K4114="","",A4114)</f>
        <v/>
      </c>
      <c r="O4114" s="4" t="n">
        <v>1504</v>
      </c>
      <c r="P4114" s="4" t="n">
        <f aca="false">IF(A4114=A4113,P4113+1-M4113,0)</f>
        <v>6</v>
      </c>
    </row>
    <row r="4115" customFormat="false" ht="15" hidden="false" customHeight="false" outlineLevel="0" collapsed="false">
      <c r="A4115" s="35" t="s">
        <v>4463</v>
      </c>
      <c r="B4115" s="35" t="s">
        <v>58</v>
      </c>
      <c r="C4115" s="35" t="s">
        <v>129</v>
      </c>
      <c r="D4115" s="35" t="s">
        <v>4464</v>
      </c>
      <c r="E4115" s="4" t="n">
        <v>9</v>
      </c>
      <c r="F4115" s="4" t="s">
        <v>1327</v>
      </c>
      <c r="G4115" s="4" t="s">
        <v>171</v>
      </c>
      <c r="H4115" s="4" t="n">
        <v>1974</v>
      </c>
      <c r="I4115" s="4" t="s">
        <v>172</v>
      </c>
      <c r="J4115" s="25" t="str">
        <f aca="false">IF(M4115=1,"✓","")</f>
        <v>✓</v>
      </c>
      <c r="K4115" s="4" t="str">
        <f aca="false">IF(AND(M4115=0,P4115=0),"▶ NEXT","")</f>
        <v/>
      </c>
      <c r="L4115" s="4" t="n">
        <f aca="false">INDEX('Master List'!$F$2:$F$2594,O4115)</f>
        <v>8</v>
      </c>
      <c r="M4115" s="4" t="n">
        <f aca="false">INDEX('Master List'!$G$2:$G$2594,O4115)</f>
        <v>1</v>
      </c>
      <c r="N4115" s="4" t="str">
        <f aca="false">IF(K4115="","",A4115)</f>
        <v/>
      </c>
      <c r="O4115" s="4" t="n">
        <v>520</v>
      </c>
      <c r="P4115" s="4" t="n">
        <f aca="false">IF(A4115=A4114,P4114+1-M4114,0)</f>
        <v>6</v>
      </c>
    </row>
    <row r="4116" customFormat="false" ht="15" hidden="false" customHeight="false" outlineLevel="0" collapsed="false">
      <c r="A4116" s="35" t="s">
        <v>4463</v>
      </c>
      <c r="B4116" s="35" t="s">
        <v>58</v>
      </c>
      <c r="C4116" s="35" t="s">
        <v>129</v>
      </c>
      <c r="D4116" s="35" t="s">
        <v>4464</v>
      </c>
      <c r="E4116" s="4" t="n">
        <v>10</v>
      </c>
      <c r="F4116" s="4" t="s">
        <v>1327</v>
      </c>
      <c r="G4116" s="4" t="s">
        <v>710</v>
      </c>
      <c r="H4116" s="4" t="n">
        <v>1982</v>
      </c>
      <c r="I4116" s="4" t="s">
        <v>292</v>
      </c>
      <c r="J4116" s="25" t="str">
        <f aca="false">IF(M4116=1,"✓","")</f>
        <v/>
      </c>
      <c r="K4116" s="4" t="str">
        <f aca="false">IF(AND(M4116=0,P4116=0),"▶ NEXT","")</f>
        <v/>
      </c>
      <c r="L4116" s="4" t="n">
        <f aca="false">INDEX('Master List'!$F$2:$F$2594,O4116)</f>
        <v>3</v>
      </c>
      <c r="M4116" s="4" t="n">
        <f aca="false">INDEX('Master List'!$G$2:$G$2594,O4116)</f>
        <v>0</v>
      </c>
      <c r="N4116" s="4" t="str">
        <f aca="false">IF(K4116="","",A4116)</f>
        <v/>
      </c>
      <c r="O4116" s="4" t="n">
        <v>814</v>
      </c>
      <c r="P4116" s="4" t="n">
        <f aca="false">IF(A4116=A4115,P4115+1-M4115,0)</f>
        <v>6</v>
      </c>
    </row>
    <row r="4117" customFormat="false" ht="15" hidden="false" customHeight="false" outlineLevel="0" collapsed="false">
      <c r="A4117" s="35" t="s">
        <v>4465</v>
      </c>
      <c r="B4117" s="35" t="s">
        <v>58</v>
      </c>
      <c r="C4117" s="35" t="s">
        <v>129</v>
      </c>
      <c r="D4117" s="35" t="s">
        <v>4466</v>
      </c>
      <c r="E4117" s="4" t="n">
        <v>1</v>
      </c>
      <c r="F4117" s="4" t="s">
        <v>144</v>
      </c>
      <c r="G4117" s="7" t="s">
        <v>196</v>
      </c>
      <c r="H4117" s="4" t="n">
        <v>1975</v>
      </c>
      <c r="I4117" s="4" t="s">
        <v>197</v>
      </c>
      <c r="J4117" s="25" t="str">
        <f aca="false">IF(M4117=1,"✓","")</f>
        <v>✓</v>
      </c>
      <c r="K4117" s="4" t="str">
        <f aca="false">IF(AND(M4117=0,P4117=0),"▶ NEXT","")</f>
        <v/>
      </c>
      <c r="L4117" s="4" t="n">
        <f aca="false">INDEX('Master List'!$F$2:$F$2594,O4117)</f>
        <v>6</v>
      </c>
      <c r="M4117" s="4" t="n">
        <f aca="false">INDEX('Master List'!$G$2:$G$2594,O4117)</f>
        <v>1</v>
      </c>
      <c r="N4117" s="4" t="str">
        <f aca="false">IF(K4117="","",A4117)</f>
        <v/>
      </c>
      <c r="O4117" s="4" t="n">
        <v>1587</v>
      </c>
      <c r="P4117" s="4" t="n">
        <f aca="false">IF(A4117=A4116,P4116+1-M4116,0)</f>
        <v>0</v>
      </c>
    </row>
    <row r="4118" customFormat="false" ht="15" hidden="false" customHeight="false" outlineLevel="0" collapsed="false">
      <c r="A4118" s="35" t="s">
        <v>4465</v>
      </c>
      <c r="B4118" s="35" t="s">
        <v>58</v>
      </c>
      <c r="C4118" s="35" t="s">
        <v>129</v>
      </c>
      <c r="D4118" s="35" t="s">
        <v>4466</v>
      </c>
      <c r="E4118" s="4" t="n">
        <v>2</v>
      </c>
      <c r="F4118" s="4" t="s">
        <v>144</v>
      </c>
      <c r="G4118" s="7" t="s">
        <v>294</v>
      </c>
      <c r="H4118" s="4" t="n">
        <v>1993</v>
      </c>
      <c r="I4118" s="4" t="s">
        <v>197</v>
      </c>
      <c r="J4118" s="25" t="str">
        <f aca="false">IF(M4118=1,"✓","")</f>
        <v>✓</v>
      </c>
      <c r="K4118" s="4" t="str">
        <f aca="false">IF(AND(M4118=0,P4118=0),"▶ NEXT","")</f>
        <v/>
      </c>
      <c r="L4118" s="4" t="n">
        <f aca="false">INDEX('Master List'!$F$2:$F$2594,O4118)</f>
        <v>5</v>
      </c>
      <c r="M4118" s="4" t="n">
        <f aca="false">INDEX('Master List'!$G$2:$G$2594,O4118)</f>
        <v>1</v>
      </c>
      <c r="N4118" s="4" t="str">
        <f aca="false">IF(K4118="","",A4118)</f>
        <v/>
      </c>
      <c r="O4118" s="4" t="n">
        <v>2058</v>
      </c>
      <c r="P4118" s="4" t="n">
        <f aca="false">IF(A4118=A4117,P4117+1-M4117,0)</f>
        <v>0</v>
      </c>
    </row>
    <row r="4119" customFormat="false" ht="15" hidden="false" customHeight="false" outlineLevel="0" collapsed="false">
      <c r="A4119" s="35" t="s">
        <v>4465</v>
      </c>
      <c r="B4119" s="35" t="s">
        <v>58</v>
      </c>
      <c r="C4119" s="35" t="s">
        <v>129</v>
      </c>
      <c r="D4119" s="35" t="s">
        <v>4466</v>
      </c>
      <c r="E4119" s="4" t="n">
        <v>3</v>
      </c>
      <c r="F4119" s="4" t="s">
        <v>213</v>
      </c>
      <c r="G4119" s="4" t="s">
        <v>188</v>
      </c>
      <c r="H4119" s="4" t="n">
        <v>1976</v>
      </c>
      <c r="I4119" s="4" t="s">
        <v>189</v>
      </c>
      <c r="J4119" s="25" t="str">
        <f aca="false">IF(M4119=1,"✓","")</f>
        <v>✓</v>
      </c>
      <c r="K4119" s="4" t="str">
        <f aca="false">IF(AND(M4119=0,P4119=0),"▶ NEXT","")</f>
        <v/>
      </c>
      <c r="L4119" s="4" t="n">
        <f aca="false">INDEX('Master List'!$F$2:$F$2594,O4119)</f>
        <v>7</v>
      </c>
      <c r="M4119" s="4" t="n">
        <f aca="false">INDEX('Master List'!$G$2:$G$2594,O4119)</f>
        <v>1</v>
      </c>
      <c r="N4119" s="4" t="str">
        <f aca="false">IF(K4119="","",A4119)</f>
        <v/>
      </c>
      <c r="O4119" s="4" t="n">
        <v>1593</v>
      </c>
      <c r="P4119" s="4" t="n">
        <f aca="false">IF(A4119=A4118,P4118+1-M4118,0)</f>
        <v>0</v>
      </c>
    </row>
    <row r="4120" customFormat="false" ht="15" hidden="false" customHeight="false" outlineLevel="0" collapsed="false">
      <c r="A4120" s="35" t="s">
        <v>4465</v>
      </c>
      <c r="B4120" s="35" t="s">
        <v>58</v>
      </c>
      <c r="C4120" s="35" t="s">
        <v>129</v>
      </c>
      <c r="D4120" s="35" t="s">
        <v>4466</v>
      </c>
      <c r="E4120" s="4" t="n">
        <v>4</v>
      </c>
      <c r="F4120" s="4" t="s">
        <v>213</v>
      </c>
      <c r="G4120" s="4" t="s">
        <v>620</v>
      </c>
      <c r="H4120" s="4" t="n">
        <v>1996</v>
      </c>
      <c r="I4120" s="4" t="s">
        <v>278</v>
      </c>
      <c r="J4120" s="25" t="str">
        <f aca="false">IF(M4120=1,"✓","")</f>
        <v>✓</v>
      </c>
      <c r="K4120" s="4" t="str">
        <f aca="false">IF(AND(M4120=0,P4120=0),"▶ NEXT","")</f>
        <v/>
      </c>
      <c r="L4120" s="4" t="n">
        <f aca="false">INDEX('Master List'!$F$2:$F$2594,O4120)</f>
        <v>3</v>
      </c>
      <c r="M4120" s="4" t="n">
        <f aca="false">INDEX('Master List'!$G$2:$G$2594,O4120)</f>
        <v>1</v>
      </c>
      <c r="N4120" s="4" t="str">
        <f aca="false">IF(K4120="","",A4120)</f>
        <v/>
      </c>
      <c r="O4120" s="4" t="n">
        <v>995</v>
      </c>
      <c r="P4120" s="4" t="n">
        <f aca="false">IF(A4120=A4119,P4119+1-M4119,0)</f>
        <v>0</v>
      </c>
    </row>
    <row r="4121" customFormat="false" ht="15" hidden="false" customHeight="false" outlineLevel="0" collapsed="false">
      <c r="A4121" s="35" t="s">
        <v>4465</v>
      </c>
      <c r="B4121" s="35" t="s">
        <v>58</v>
      </c>
      <c r="C4121" s="35" t="s">
        <v>129</v>
      </c>
      <c r="D4121" s="35" t="s">
        <v>4466</v>
      </c>
      <c r="E4121" s="4" t="n">
        <v>5</v>
      </c>
      <c r="F4121" s="4" t="s">
        <v>213</v>
      </c>
      <c r="G4121" s="4" t="s">
        <v>503</v>
      </c>
      <c r="H4121" s="4" t="n">
        <v>1997</v>
      </c>
      <c r="I4121" s="4" t="s">
        <v>278</v>
      </c>
      <c r="J4121" s="25" t="str">
        <f aca="false">IF(M4121=1,"✓","")</f>
        <v>✓</v>
      </c>
      <c r="K4121" s="4" t="str">
        <f aca="false">IF(AND(M4121=0,P4121=0),"▶ NEXT","")</f>
        <v/>
      </c>
      <c r="L4121" s="4" t="n">
        <f aca="false">INDEX('Master List'!$F$2:$F$2594,O4121)</f>
        <v>3</v>
      </c>
      <c r="M4121" s="4" t="n">
        <f aca="false">INDEX('Master List'!$G$2:$G$2594,O4121)</f>
        <v>1</v>
      </c>
      <c r="N4121" s="4" t="str">
        <f aca="false">IF(K4121="","",A4121)</f>
        <v/>
      </c>
      <c r="O4121" s="4" t="n">
        <v>315</v>
      </c>
      <c r="P4121" s="4" t="n">
        <f aca="false">IF(A4121=A4120,P4120+1-M4120,0)</f>
        <v>0</v>
      </c>
    </row>
    <row r="4122" customFormat="false" ht="15" hidden="false" customHeight="false" outlineLevel="0" collapsed="false">
      <c r="A4122" s="35" t="s">
        <v>4465</v>
      </c>
      <c r="B4122" s="35" t="s">
        <v>58</v>
      </c>
      <c r="C4122" s="35" t="s">
        <v>129</v>
      </c>
      <c r="D4122" s="35" t="s">
        <v>4466</v>
      </c>
      <c r="E4122" s="4" t="n">
        <v>6</v>
      </c>
      <c r="F4122" s="4" t="s">
        <v>213</v>
      </c>
      <c r="G4122" s="4" t="s">
        <v>337</v>
      </c>
      <c r="H4122" s="4" t="n">
        <v>1967</v>
      </c>
      <c r="I4122" s="4" t="s">
        <v>338</v>
      </c>
      <c r="J4122" s="25" t="str">
        <f aca="false">IF(M4122=1,"✓","")</f>
        <v/>
      </c>
      <c r="K4122" s="4" t="str">
        <f aca="false">IF(AND(M4122=0,P4122=0),"▶ NEXT","")</f>
        <v>▶ NEXT</v>
      </c>
      <c r="L4122" s="4" t="n">
        <f aca="false">INDEX('Master List'!$F$2:$F$2594,O4122)</f>
        <v>4</v>
      </c>
      <c r="M4122" s="4" t="n">
        <f aca="false">INDEX('Master List'!$G$2:$G$2594,O4122)</f>
        <v>0</v>
      </c>
      <c r="N4122" s="4" t="str">
        <f aca="false">IF(K4122="","",A4122)</f>
        <v>N321</v>
      </c>
      <c r="O4122" s="4" t="n">
        <v>1780</v>
      </c>
      <c r="P4122" s="4" t="n">
        <f aca="false">IF(A4122=A4121,P4121+1-M4121,0)</f>
        <v>0</v>
      </c>
    </row>
    <row r="4123" customFormat="false" ht="15" hidden="false" customHeight="false" outlineLevel="0" collapsed="false">
      <c r="A4123" s="35" t="s">
        <v>4465</v>
      </c>
      <c r="B4123" s="35" t="s">
        <v>58</v>
      </c>
      <c r="C4123" s="35" t="s">
        <v>129</v>
      </c>
      <c r="D4123" s="35" t="s">
        <v>4466</v>
      </c>
      <c r="E4123" s="4" t="n">
        <v>7</v>
      </c>
      <c r="F4123" s="4" t="s">
        <v>213</v>
      </c>
      <c r="G4123" s="4" t="s">
        <v>623</v>
      </c>
      <c r="H4123" s="4" t="n">
        <v>1998</v>
      </c>
      <c r="I4123" s="4" t="s">
        <v>624</v>
      </c>
      <c r="J4123" s="25" t="str">
        <f aca="false">IF(M4123=1,"✓","")</f>
        <v/>
      </c>
      <c r="K4123" s="4" t="str">
        <f aca="false">IF(AND(M4123=0,P4123=0),"▶ NEXT","")</f>
        <v/>
      </c>
      <c r="L4123" s="4" t="n">
        <f aca="false">INDEX('Master List'!$F$2:$F$2594,O4123)</f>
        <v>3</v>
      </c>
      <c r="M4123" s="4" t="n">
        <f aca="false">INDEX('Master List'!$G$2:$G$2594,O4123)</f>
        <v>0</v>
      </c>
      <c r="N4123" s="4" t="str">
        <f aca="false">IF(K4123="","",A4123)</f>
        <v/>
      </c>
      <c r="O4123" s="4" t="n">
        <v>986</v>
      </c>
      <c r="P4123" s="4" t="n">
        <f aca="false">IF(A4123=A4122,P4122+1-M4122,0)</f>
        <v>1</v>
      </c>
    </row>
    <row r="4124" customFormat="false" ht="15" hidden="false" customHeight="false" outlineLevel="0" collapsed="false">
      <c r="A4124" s="35" t="s">
        <v>4465</v>
      </c>
      <c r="B4124" s="35" t="s">
        <v>58</v>
      </c>
      <c r="C4124" s="35" t="s">
        <v>129</v>
      </c>
      <c r="D4124" s="35" t="s">
        <v>4466</v>
      </c>
      <c r="E4124" s="4" t="n">
        <v>8</v>
      </c>
      <c r="F4124" s="4" t="s">
        <v>213</v>
      </c>
      <c r="G4124" s="4" t="s">
        <v>641</v>
      </c>
      <c r="H4124" s="4" t="n">
        <v>2012</v>
      </c>
      <c r="I4124" s="4" t="s">
        <v>278</v>
      </c>
      <c r="J4124" s="25" t="str">
        <f aca="false">IF(M4124=1,"✓","")</f>
        <v>✓</v>
      </c>
      <c r="K4124" s="4" t="str">
        <f aca="false">IF(AND(M4124=0,P4124=0),"▶ NEXT","")</f>
        <v/>
      </c>
      <c r="L4124" s="4" t="n">
        <f aca="false">INDEX('Master List'!$F$2:$F$2594,O4124)</f>
        <v>3</v>
      </c>
      <c r="M4124" s="4" t="n">
        <f aca="false">INDEX('Master List'!$G$2:$G$2594,O4124)</f>
        <v>1</v>
      </c>
      <c r="N4124" s="4" t="str">
        <f aca="false">IF(K4124="","",A4124)</f>
        <v/>
      </c>
      <c r="O4124" s="4" t="n">
        <v>1458</v>
      </c>
      <c r="P4124" s="4" t="n">
        <f aca="false">IF(A4124=A4123,P4123+1-M4123,0)</f>
        <v>2</v>
      </c>
    </row>
    <row r="4125" customFormat="false" ht="15" hidden="false" customHeight="false" outlineLevel="0" collapsed="false">
      <c r="A4125" s="35" t="s">
        <v>4465</v>
      </c>
      <c r="B4125" s="35" t="s">
        <v>58</v>
      </c>
      <c r="C4125" s="35" t="s">
        <v>129</v>
      </c>
      <c r="D4125" s="35" t="s">
        <v>4466</v>
      </c>
      <c r="E4125" s="4" t="n">
        <v>9</v>
      </c>
      <c r="F4125" s="4" t="s">
        <v>213</v>
      </c>
      <c r="G4125" s="4" t="s">
        <v>649</v>
      </c>
      <c r="H4125" s="4" t="n">
        <v>2017</v>
      </c>
      <c r="I4125" s="4" t="s">
        <v>278</v>
      </c>
      <c r="J4125" s="25" t="str">
        <f aca="false">IF(M4125=1,"✓","")</f>
        <v>✓</v>
      </c>
      <c r="K4125" s="4" t="str">
        <f aca="false">IF(AND(M4125=0,P4125=0),"▶ NEXT","")</f>
        <v/>
      </c>
      <c r="L4125" s="4" t="n">
        <f aca="false">INDEX('Master List'!$F$2:$F$2594,O4125)</f>
        <v>3</v>
      </c>
      <c r="M4125" s="4" t="n">
        <f aca="false">INDEX('Master List'!$G$2:$G$2594,O4125)</f>
        <v>1</v>
      </c>
      <c r="N4125" s="4" t="str">
        <f aca="false">IF(K4125="","",A4125)</f>
        <v/>
      </c>
      <c r="O4125" s="4" t="n">
        <v>1754</v>
      </c>
      <c r="P4125" s="4" t="n">
        <f aca="false">IF(A4125=A4124,P4124+1-M4124,0)</f>
        <v>2</v>
      </c>
    </row>
    <row r="4126" customFormat="false" ht="15" hidden="false" customHeight="false" outlineLevel="0" collapsed="false">
      <c r="A4126" s="35" t="s">
        <v>4465</v>
      </c>
      <c r="B4126" s="35" t="s">
        <v>58</v>
      </c>
      <c r="C4126" s="35" t="s">
        <v>129</v>
      </c>
      <c r="D4126" s="35" t="s">
        <v>4466</v>
      </c>
      <c r="E4126" s="4" t="n">
        <v>10</v>
      </c>
      <c r="F4126" s="4" t="s">
        <v>1327</v>
      </c>
      <c r="G4126" s="4" t="s">
        <v>3322</v>
      </c>
      <c r="H4126" s="4" t="n">
        <v>1936</v>
      </c>
      <c r="I4126" s="4" t="s">
        <v>162</v>
      </c>
      <c r="J4126" s="25" t="str">
        <f aca="false">IF(M4126=1,"✓","")</f>
        <v/>
      </c>
      <c r="K4126" s="4" t="str">
        <f aca="false">IF(AND(M4126=0,P4126=0),"▶ NEXT","")</f>
        <v/>
      </c>
      <c r="L4126" s="4" t="n">
        <f aca="false">INDEX('Master List'!$F$2:$F$2594,O4126)</f>
        <v>1</v>
      </c>
      <c r="M4126" s="4" t="n">
        <f aca="false">INDEX('Master List'!$G$2:$G$2594,O4126)</f>
        <v>0</v>
      </c>
      <c r="N4126" s="4" t="str">
        <f aca="false">IF(K4126="","",A4126)</f>
        <v/>
      </c>
      <c r="O4126" s="4" t="n">
        <v>1951</v>
      </c>
      <c r="P4126" s="4" t="n">
        <f aca="false">IF(A4126=A4125,P4125+1-M4125,0)</f>
        <v>2</v>
      </c>
    </row>
    <row r="4127" customFormat="false" ht="15" hidden="false" customHeight="false" outlineLevel="0" collapsed="false">
      <c r="A4127" s="35" t="s">
        <v>4465</v>
      </c>
      <c r="B4127" s="35" t="s">
        <v>58</v>
      </c>
      <c r="C4127" s="35" t="s">
        <v>129</v>
      </c>
      <c r="D4127" s="35" t="s">
        <v>4466</v>
      </c>
      <c r="E4127" s="4" t="n">
        <v>11</v>
      </c>
      <c r="F4127" s="4" t="s">
        <v>1327</v>
      </c>
      <c r="G4127" s="4" t="s">
        <v>1356</v>
      </c>
      <c r="H4127" s="4" t="n">
        <v>1976</v>
      </c>
      <c r="I4127" s="4" t="s">
        <v>707</v>
      </c>
      <c r="J4127" s="25" t="str">
        <f aca="false">IF(M4127=1,"✓","")</f>
        <v>✓</v>
      </c>
      <c r="K4127" s="4" t="str">
        <f aca="false">IF(AND(M4127=0,P4127=0),"▶ NEXT","")</f>
        <v/>
      </c>
      <c r="L4127" s="4" t="n">
        <f aca="false">INDEX('Master List'!$F$2:$F$2594,O4127)</f>
        <v>2</v>
      </c>
      <c r="M4127" s="4" t="n">
        <f aca="false">INDEX('Master List'!$G$2:$G$2594,O4127)</f>
        <v>1</v>
      </c>
      <c r="N4127" s="4" t="str">
        <f aca="false">IF(K4127="","",A4127)</f>
        <v/>
      </c>
      <c r="O4127" s="4" t="n">
        <v>1498</v>
      </c>
      <c r="P4127" s="4" t="n">
        <f aca="false">IF(A4127=A4126,P4126+1-M4126,0)</f>
        <v>3</v>
      </c>
    </row>
    <row r="4128" customFormat="false" ht="15" hidden="false" customHeight="false" outlineLevel="0" collapsed="false">
      <c r="A4128" s="35" t="s">
        <v>4467</v>
      </c>
      <c r="B4128" s="35" t="s">
        <v>58</v>
      </c>
      <c r="C4128" s="35" t="s">
        <v>129</v>
      </c>
      <c r="D4128" s="35" t="s">
        <v>4468</v>
      </c>
      <c r="E4128" s="4" t="n">
        <v>1</v>
      </c>
      <c r="F4128" s="4" t="s">
        <v>144</v>
      </c>
      <c r="G4128" s="7" t="s">
        <v>249</v>
      </c>
      <c r="H4128" s="4" t="n">
        <v>1941</v>
      </c>
      <c r="I4128" s="4" t="s">
        <v>250</v>
      </c>
      <c r="J4128" s="25" t="str">
        <f aca="false">IF(M4128=1,"✓","")</f>
        <v/>
      </c>
      <c r="K4128" s="4" t="str">
        <f aca="false">IF(AND(M4128=0,P4128=0),"▶ NEXT","")</f>
        <v>▶ NEXT</v>
      </c>
      <c r="L4128" s="4" t="n">
        <f aca="false">INDEX('Master List'!$F$2:$F$2594,O4128)</f>
        <v>5</v>
      </c>
      <c r="M4128" s="4" t="n">
        <f aca="false">INDEX('Master List'!$G$2:$G$2594,O4128)</f>
        <v>0</v>
      </c>
      <c r="N4128" s="4" t="str">
        <f aca="false">IF(K4128="","",A4128)</f>
        <v>N322</v>
      </c>
      <c r="O4128" s="4" t="n">
        <v>2195</v>
      </c>
      <c r="P4128" s="4" t="n">
        <f aca="false">IF(A4128=A4127,P4127+1-M4127,0)</f>
        <v>0</v>
      </c>
    </row>
    <row r="4129" customFormat="false" ht="15" hidden="false" customHeight="false" outlineLevel="0" collapsed="false">
      <c r="A4129" s="35" t="s">
        <v>4467</v>
      </c>
      <c r="B4129" s="35" t="s">
        <v>58</v>
      </c>
      <c r="C4129" s="35" t="s">
        <v>129</v>
      </c>
      <c r="D4129" s="35" t="s">
        <v>4468</v>
      </c>
      <c r="E4129" s="4" t="n">
        <v>2</v>
      </c>
      <c r="F4129" s="4" t="s">
        <v>144</v>
      </c>
      <c r="G4129" s="7" t="s">
        <v>167</v>
      </c>
      <c r="H4129" s="4" t="n">
        <v>1940</v>
      </c>
      <c r="I4129" s="4" t="s">
        <v>168</v>
      </c>
      <c r="J4129" s="25" t="str">
        <f aca="false">IF(M4129=1,"✓","")</f>
        <v>✓</v>
      </c>
      <c r="K4129" s="4" t="str">
        <f aca="false">IF(AND(M4129=0,P4129=0),"▶ NEXT","")</f>
        <v/>
      </c>
      <c r="L4129" s="4" t="n">
        <f aca="false">INDEX('Master List'!$F$2:$F$2594,O4129)</f>
        <v>7</v>
      </c>
      <c r="M4129" s="4" t="n">
        <f aca="false">INDEX('Master List'!$G$2:$G$2594,O4129)</f>
        <v>1</v>
      </c>
      <c r="N4129" s="4" t="str">
        <f aca="false">IF(K4129="","",A4129)</f>
        <v/>
      </c>
      <c r="O4129" s="4" t="n">
        <v>1041</v>
      </c>
      <c r="P4129" s="4" t="n">
        <f aca="false">IF(A4129=A4128,P4128+1-M4128,0)</f>
        <v>1</v>
      </c>
    </row>
    <row r="4130" customFormat="false" ht="15" hidden="false" customHeight="false" outlineLevel="0" collapsed="false">
      <c r="A4130" s="35" t="s">
        <v>4467</v>
      </c>
      <c r="B4130" s="35" t="s">
        <v>58</v>
      </c>
      <c r="C4130" s="35" t="s">
        <v>129</v>
      </c>
      <c r="D4130" s="35" t="s">
        <v>4468</v>
      </c>
      <c r="E4130" s="4" t="n">
        <v>3</v>
      </c>
      <c r="F4130" s="4" t="s">
        <v>213</v>
      </c>
      <c r="G4130" s="4" t="s">
        <v>921</v>
      </c>
      <c r="H4130" s="4" t="n">
        <v>1943</v>
      </c>
      <c r="I4130" s="4" t="s">
        <v>250</v>
      </c>
      <c r="J4130" s="25" t="str">
        <f aca="false">IF(M4130=1,"✓","")</f>
        <v/>
      </c>
      <c r="K4130" s="4" t="str">
        <f aca="false">IF(AND(M4130=0,P4130=0),"▶ NEXT","")</f>
        <v/>
      </c>
      <c r="L4130" s="4" t="n">
        <f aca="false">INDEX('Master List'!$F$2:$F$2594,O4130)</f>
        <v>2</v>
      </c>
      <c r="M4130" s="4" t="n">
        <f aca="false">INDEX('Master List'!$G$2:$G$2594,O4130)</f>
        <v>0</v>
      </c>
      <c r="N4130" s="4" t="str">
        <f aca="false">IF(K4130="","",A4130)</f>
        <v/>
      </c>
      <c r="O4130" s="4" t="n">
        <v>1510</v>
      </c>
      <c r="P4130" s="4" t="n">
        <f aca="false">IF(A4130=A4129,P4129+1-M4129,0)</f>
        <v>1</v>
      </c>
    </row>
    <row r="4131" customFormat="false" ht="15" hidden="false" customHeight="false" outlineLevel="0" collapsed="false">
      <c r="A4131" s="35" t="s">
        <v>4467</v>
      </c>
      <c r="B4131" s="35" t="s">
        <v>58</v>
      </c>
      <c r="C4131" s="35" t="s">
        <v>129</v>
      </c>
      <c r="D4131" s="35" t="s">
        <v>4468</v>
      </c>
      <c r="E4131" s="4" t="n">
        <v>4</v>
      </c>
      <c r="F4131" s="4" t="s">
        <v>213</v>
      </c>
      <c r="G4131" s="4" t="s">
        <v>917</v>
      </c>
      <c r="H4131" s="4" t="n">
        <v>1941</v>
      </c>
      <c r="I4131" s="4" t="s">
        <v>176</v>
      </c>
      <c r="J4131" s="25" t="str">
        <f aca="false">IF(M4131=1,"✓","")</f>
        <v/>
      </c>
      <c r="K4131" s="4" t="str">
        <f aca="false">IF(AND(M4131=0,P4131=0),"▶ NEXT","")</f>
        <v/>
      </c>
      <c r="L4131" s="4" t="n">
        <f aca="false">INDEX('Master List'!$F$2:$F$2594,O4131)</f>
        <v>2</v>
      </c>
      <c r="M4131" s="4" t="n">
        <f aca="false">INDEX('Master List'!$G$2:$G$2594,O4131)</f>
        <v>0</v>
      </c>
      <c r="N4131" s="4" t="str">
        <f aca="false">IF(K4131="","",A4131)</f>
        <v/>
      </c>
      <c r="O4131" s="4" t="n">
        <v>1472</v>
      </c>
      <c r="P4131" s="4" t="n">
        <f aca="false">IF(A4131=A4130,P4130+1-M4130,0)</f>
        <v>2</v>
      </c>
    </row>
    <row r="4132" customFormat="false" ht="15" hidden="false" customHeight="false" outlineLevel="0" collapsed="false">
      <c r="A4132" s="35" t="s">
        <v>4467</v>
      </c>
      <c r="B4132" s="35" t="s">
        <v>58</v>
      </c>
      <c r="C4132" s="35" t="s">
        <v>129</v>
      </c>
      <c r="D4132" s="35" t="s">
        <v>4468</v>
      </c>
      <c r="E4132" s="4" t="n">
        <v>5</v>
      </c>
      <c r="F4132" s="4" t="s">
        <v>213</v>
      </c>
      <c r="G4132" s="4" t="s">
        <v>944</v>
      </c>
      <c r="H4132" s="4" t="n">
        <v>1954</v>
      </c>
      <c r="I4132" s="4" t="s">
        <v>789</v>
      </c>
      <c r="J4132" s="25" t="str">
        <f aca="false">IF(M4132=1,"✓","")</f>
        <v/>
      </c>
      <c r="K4132" s="4" t="str">
        <f aca="false">IF(AND(M4132=0,P4132=0),"▶ NEXT","")</f>
        <v/>
      </c>
      <c r="L4132" s="4" t="n">
        <f aca="false">INDEX('Master List'!$F$2:$F$2594,O4132)</f>
        <v>2</v>
      </c>
      <c r="M4132" s="4" t="n">
        <f aca="false">INDEX('Master List'!$G$2:$G$2594,O4132)</f>
        <v>0</v>
      </c>
      <c r="N4132" s="4" t="str">
        <f aca="false">IF(K4132="","",A4132)</f>
        <v/>
      </c>
      <c r="O4132" s="4" t="n">
        <v>759</v>
      </c>
      <c r="P4132" s="4" t="n">
        <f aca="false">IF(A4132=A4131,P4131+1-M4131,0)</f>
        <v>3</v>
      </c>
    </row>
    <row r="4133" customFormat="false" ht="15" hidden="false" customHeight="false" outlineLevel="0" collapsed="false">
      <c r="A4133" s="35" t="s">
        <v>4467</v>
      </c>
      <c r="B4133" s="35" t="s">
        <v>58</v>
      </c>
      <c r="C4133" s="35" t="s">
        <v>129</v>
      </c>
      <c r="D4133" s="35" t="s">
        <v>4468</v>
      </c>
      <c r="E4133" s="4" t="n">
        <v>6</v>
      </c>
      <c r="F4133" s="4" t="s">
        <v>213</v>
      </c>
      <c r="G4133" s="4" t="s">
        <v>937</v>
      </c>
      <c r="H4133" s="4" t="n">
        <v>1951</v>
      </c>
      <c r="I4133" s="4" t="s">
        <v>411</v>
      </c>
      <c r="J4133" s="25" t="str">
        <f aca="false">IF(M4133=1,"✓","")</f>
        <v/>
      </c>
      <c r="K4133" s="4" t="str">
        <f aca="false">IF(AND(M4133=0,P4133=0),"▶ NEXT","")</f>
        <v/>
      </c>
      <c r="L4133" s="4" t="n">
        <f aca="false">INDEX('Master List'!$F$2:$F$2594,O4133)</f>
        <v>2</v>
      </c>
      <c r="M4133" s="4" t="n">
        <f aca="false">INDEX('Master List'!$G$2:$G$2594,O4133)</f>
        <v>0</v>
      </c>
      <c r="N4133" s="4" t="str">
        <f aca="false">IF(K4133="","",A4133)</f>
        <v/>
      </c>
      <c r="O4133" s="4" t="n">
        <v>1425</v>
      </c>
      <c r="P4133" s="4" t="n">
        <f aca="false">IF(A4133=A4132,P4132+1-M4132,0)</f>
        <v>4</v>
      </c>
    </row>
    <row r="4134" customFormat="false" ht="15" hidden="false" customHeight="false" outlineLevel="0" collapsed="false">
      <c r="A4134" s="35" t="s">
        <v>4467</v>
      </c>
      <c r="B4134" s="35" t="s">
        <v>58</v>
      </c>
      <c r="C4134" s="35" t="s">
        <v>129</v>
      </c>
      <c r="D4134" s="35" t="s">
        <v>4468</v>
      </c>
      <c r="E4134" s="4" t="n">
        <v>7</v>
      </c>
      <c r="F4134" s="4" t="s">
        <v>213</v>
      </c>
      <c r="G4134" s="4" t="s">
        <v>366</v>
      </c>
      <c r="H4134" s="4" t="n">
        <v>1985</v>
      </c>
      <c r="I4134" s="4" t="s">
        <v>367</v>
      </c>
      <c r="J4134" s="25" t="str">
        <f aca="false">IF(M4134=1,"✓","")</f>
        <v/>
      </c>
      <c r="K4134" s="4" t="str">
        <f aca="false">IF(AND(M4134=0,P4134=0),"▶ NEXT","")</f>
        <v/>
      </c>
      <c r="L4134" s="4" t="n">
        <f aca="false">INDEX('Master List'!$F$2:$F$2594,O4134)</f>
        <v>4</v>
      </c>
      <c r="M4134" s="4" t="n">
        <f aca="false">INDEX('Master List'!$G$2:$G$2594,O4134)</f>
        <v>0</v>
      </c>
      <c r="N4134" s="4" t="str">
        <f aca="false">IF(K4134="","",A4134)</f>
        <v/>
      </c>
      <c r="O4134" s="4" t="n">
        <v>337</v>
      </c>
      <c r="P4134" s="4" t="n">
        <f aca="false">IF(A4134=A4133,P4133+1-M4133,0)</f>
        <v>5</v>
      </c>
    </row>
    <row r="4135" customFormat="false" ht="15" hidden="false" customHeight="false" outlineLevel="0" collapsed="false">
      <c r="A4135" s="35" t="s">
        <v>4467</v>
      </c>
      <c r="B4135" s="35" t="s">
        <v>58</v>
      </c>
      <c r="C4135" s="35" t="s">
        <v>129</v>
      </c>
      <c r="D4135" s="35" t="s">
        <v>4468</v>
      </c>
      <c r="E4135" s="4" t="n">
        <v>8</v>
      </c>
      <c r="F4135" s="4" t="s">
        <v>213</v>
      </c>
      <c r="G4135" s="4" t="s">
        <v>1027</v>
      </c>
      <c r="H4135" s="4" t="n">
        <v>1974</v>
      </c>
      <c r="I4135" s="4" t="s">
        <v>183</v>
      </c>
      <c r="J4135" s="25" t="str">
        <f aca="false">IF(M4135=1,"✓","")</f>
        <v>✓</v>
      </c>
      <c r="K4135" s="4" t="str">
        <f aca="false">IF(AND(M4135=0,P4135=0),"▶ NEXT","")</f>
        <v/>
      </c>
      <c r="L4135" s="4" t="n">
        <f aca="false">INDEX('Master List'!$F$2:$F$2594,O4135)</f>
        <v>2</v>
      </c>
      <c r="M4135" s="4" t="n">
        <f aca="false">INDEX('Master List'!$G$2:$G$2594,O4135)</f>
        <v>1</v>
      </c>
      <c r="N4135" s="4" t="str">
        <f aca="false">IF(K4135="","",A4135)</f>
        <v/>
      </c>
      <c r="O4135" s="4" t="n">
        <v>2194</v>
      </c>
      <c r="P4135" s="4" t="n">
        <f aca="false">IF(A4135=A4134,P4134+1-M4134,0)</f>
        <v>6</v>
      </c>
    </row>
    <row r="4136" customFormat="false" ht="15" hidden="false" customHeight="false" outlineLevel="0" collapsed="false">
      <c r="A4136" s="35" t="s">
        <v>4467</v>
      </c>
      <c r="B4136" s="35" t="s">
        <v>58</v>
      </c>
      <c r="C4136" s="35" t="s">
        <v>129</v>
      </c>
      <c r="D4136" s="35" t="s">
        <v>4468</v>
      </c>
      <c r="E4136" s="4" t="n">
        <v>9</v>
      </c>
      <c r="F4136" s="4" t="s">
        <v>1327</v>
      </c>
      <c r="G4136" s="4" t="s">
        <v>1660</v>
      </c>
      <c r="H4136" s="4" t="n">
        <v>2016</v>
      </c>
      <c r="I4136" s="4" t="s">
        <v>323</v>
      </c>
      <c r="J4136" s="25" t="str">
        <f aca="false">IF(M4136=1,"✓","")</f>
        <v>✓</v>
      </c>
      <c r="K4136" s="4" t="str">
        <f aca="false">IF(AND(M4136=0,P4136=0),"▶ NEXT","")</f>
        <v/>
      </c>
      <c r="L4136" s="4" t="n">
        <f aca="false">INDEX('Master List'!$F$2:$F$2594,O4136)</f>
        <v>2</v>
      </c>
      <c r="M4136" s="4" t="n">
        <f aca="false">INDEX('Master List'!$G$2:$G$2594,O4136)</f>
        <v>1</v>
      </c>
      <c r="N4136" s="4" t="str">
        <f aca="false">IF(K4136="","",A4136)</f>
        <v/>
      </c>
      <c r="O4136" s="4" t="n">
        <v>976</v>
      </c>
      <c r="P4136" s="4" t="n">
        <f aca="false">IF(A4136=A4135,P4135+1-M4135,0)</f>
        <v>6</v>
      </c>
    </row>
    <row r="4137" customFormat="false" ht="15" hidden="false" customHeight="false" outlineLevel="0" collapsed="false">
      <c r="A4137" s="35" t="s">
        <v>4467</v>
      </c>
      <c r="B4137" s="35" t="s">
        <v>58</v>
      </c>
      <c r="C4137" s="35" t="s">
        <v>129</v>
      </c>
      <c r="D4137" s="35" t="s">
        <v>4468</v>
      </c>
      <c r="E4137" s="4" t="n">
        <v>10</v>
      </c>
      <c r="F4137" s="4" t="s">
        <v>1327</v>
      </c>
      <c r="G4137" s="4" t="s">
        <v>1381</v>
      </c>
      <c r="H4137" s="4" t="n">
        <v>1991</v>
      </c>
      <c r="I4137" s="4" t="s">
        <v>397</v>
      </c>
      <c r="J4137" s="25" t="str">
        <f aca="false">IF(M4137=1,"✓","")</f>
        <v>✓</v>
      </c>
      <c r="K4137" s="4" t="str">
        <f aca="false">IF(AND(M4137=0,P4137=0),"▶ NEXT","")</f>
        <v/>
      </c>
      <c r="L4137" s="4" t="n">
        <f aca="false">INDEX('Master List'!$F$2:$F$2594,O4137)</f>
        <v>2</v>
      </c>
      <c r="M4137" s="4" t="n">
        <f aca="false">INDEX('Master List'!$G$2:$G$2594,O4137)</f>
        <v>1</v>
      </c>
      <c r="N4137" s="4" t="str">
        <f aca="false">IF(K4137="","",A4137)</f>
        <v/>
      </c>
      <c r="O4137" s="4" t="n">
        <v>190</v>
      </c>
      <c r="P4137" s="4" t="n">
        <f aca="false">IF(A4137=A4136,P4136+1-M4136,0)</f>
        <v>6</v>
      </c>
    </row>
    <row r="4138" customFormat="false" ht="15" hidden="false" customHeight="false" outlineLevel="0" collapsed="false">
      <c r="A4138" s="35" t="s">
        <v>4469</v>
      </c>
      <c r="B4138" s="35" t="s">
        <v>58</v>
      </c>
      <c r="C4138" s="35" t="s">
        <v>129</v>
      </c>
      <c r="D4138" s="35" t="s">
        <v>4470</v>
      </c>
      <c r="E4138" s="4" t="n">
        <v>1</v>
      </c>
      <c r="F4138" s="4" t="s">
        <v>144</v>
      </c>
      <c r="G4138" s="7" t="s">
        <v>675</v>
      </c>
      <c r="H4138" s="4" t="n">
        <v>1973</v>
      </c>
      <c r="I4138" s="4" t="s">
        <v>310</v>
      </c>
      <c r="J4138" s="25" t="str">
        <f aca="false">IF(M4138=1,"✓","")</f>
        <v>✓</v>
      </c>
      <c r="K4138" s="4" t="str">
        <f aca="false">IF(AND(M4138=0,P4138=0),"▶ NEXT","")</f>
        <v/>
      </c>
      <c r="L4138" s="4" t="n">
        <f aca="false">INDEX('Master List'!$F$2:$F$2594,O4138)</f>
        <v>2</v>
      </c>
      <c r="M4138" s="4" t="n">
        <f aca="false">INDEX('Master List'!$G$2:$G$2594,O4138)</f>
        <v>1</v>
      </c>
      <c r="N4138" s="4" t="str">
        <f aca="false">IF(K4138="","",A4138)</f>
        <v/>
      </c>
      <c r="O4138" s="4" t="n">
        <v>1294</v>
      </c>
      <c r="P4138" s="4" t="n">
        <f aca="false">IF(A4138=A4137,P4137+1-M4137,0)</f>
        <v>0</v>
      </c>
    </row>
    <row r="4139" customFormat="false" ht="15" hidden="false" customHeight="false" outlineLevel="0" collapsed="false">
      <c r="A4139" s="35" t="s">
        <v>4469</v>
      </c>
      <c r="B4139" s="35" t="s">
        <v>58</v>
      </c>
      <c r="C4139" s="35" t="s">
        <v>129</v>
      </c>
      <c r="D4139" s="35" t="s">
        <v>4470</v>
      </c>
      <c r="E4139" s="4" t="n">
        <v>2</v>
      </c>
      <c r="F4139" s="4" t="s">
        <v>144</v>
      </c>
      <c r="G4139" s="7" t="s">
        <v>309</v>
      </c>
      <c r="H4139" s="4" t="n">
        <v>1971</v>
      </c>
      <c r="I4139" s="4" t="s">
        <v>310</v>
      </c>
      <c r="J4139" s="25" t="str">
        <f aca="false">IF(M4139=1,"✓","")</f>
        <v/>
      </c>
      <c r="K4139" s="4" t="str">
        <f aca="false">IF(AND(M4139=0,P4139=0),"▶ NEXT","")</f>
        <v>▶ NEXT</v>
      </c>
      <c r="L4139" s="4" t="n">
        <f aca="false">INDEX('Master List'!$F$2:$F$2594,O4139)</f>
        <v>4</v>
      </c>
      <c r="M4139" s="4" t="n">
        <f aca="false">INDEX('Master List'!$G$2:$G$2594,O4139)</f>
        <v>0</v>
      </c>
      <c r="N4139" s="4" t="str">
        <f aca="false">IF(K4139="","",A4139)</f>
        <v>N323</v>
      </c>
      <c r="O4139" s="4" t="n">
        <v>999</v>
      </c>
      <c r="P4139" s="4" t="n">
        <f aca="false">IF(A4139=A4138,P4138+1-M4138,0)</f>
        <v>0</v>
      </c>
    </row>
    <row r="4140" customFormat="false" ht="15" hidden="false" customHeight="false" outlineLevel="0" collapsed="false">
      <c r="A4140" s="35" t="s">
        <v>4469</v>
      </c>
      <c r="B4140" s="35" t="s">
        <v>58</v>
      </c>
      <c r="C4140" s="35" t="s">
        <v>129</v>
      </c>
      <c r="D4140" s="35" t="s">
        <v>4470</v>
      </c>
      <c r="E4140" s="4" t="n">
        <v>3</v>
      </c>
      <c r="F4140" s="4" t="s">
        <v>213</v>
      </c>
      <c r="G4140" s="4" t="s">
        <v>593</v>
      </c>
      <c r="H4140" s="4" t="n">
        <v>1970</v>
      </c>
      <c r="I4140" s="4" t="s">
        <v>594</v>
      </c>
      <c r="J4140" s="25" t="str">
        <f aca="false">IF(M4140=1,"✓","")</f>
        <v>✓</v>
      </c>
      <c r="K4140" s="4" t="str">
        <f aca="false">IF(AND(M4140=0,P4140=0),"▶ NEXT","")</f>
        <v/>
      </c>
      <c r="L4140" s="4" t="n">
        <f aca="false">INDEX('Master List'!$F$2:$F$2594,O4140)</f>
        <v>3</v>
      </c>
      <c r="M4140" s="4" t="n">
        <f aca="false">INDEX('Master List'!$G$2:$G$2594,O4140)</f>
        <v>1</v>
      </c>
      <c r="N4140" s="4" t="str">
        <f aca="false">IF(K4140="","",A4140)</f>
        <v/>
      </c>
      <c r="O4140" s="4" t="n">
        <v>816</v>
      </c>
      <c r="P4140" s="4" t="n">
        <f aca="false">IF(A4140=A4139,P4139+1-M4139,0)</f>
        <v>1</v>
      </c>
    </row>
    <row r="4141" customFormat="false" ht="15" hidden="false" customHeight="false" outlineLevel="0" collapsed="false">
      <c r="A4141" s="35" t="s">
        <v>4469</v>
      </c>
      <c r="B4141" s="35" t="s">
        <v>58</v>
      </c>
      <c r="C4141" s="35" t="s">
        <v>129</v>
      </c>
      <c r="D4141" s="35" t="s">
        <v>4470</v>
      </c>
      <c r="E4141" s="4" t="n">
        <v>4</v>
      </c>
      <c r="F4141" s="4" t="s">
        <v>213</v>
      </c>
      <c r="G4141" s="4" t="s">
        <v>423</v>
      </c>
      <c r="H4141" s="4" t="n">
        <v>1973</v>
      </c>
      <c r="I4141" s="4" t="s">
        <v>389</v>
      </c>
      <c r="J4141" s="25" t="str">
        <f aca="false">IF(M4141=1,"✓","")</f>
        <v>✓</v>
      </c>
      <c r="K4141" s="4" t="str">
        <f aca="false">IF(AND(M4141=0,P4141=0),"▶ NEXT","")</f>
        <v/>
      </c>
      <c r="L4141" s="4" t="n">
        <f aca="false">INDEX('Master List'!$F$2:$F$2594,O4141)</f>
        <v>3</v>
      </c>
      <c r="M4141" s="4" t="n">
        <f aca="false">INDEX('Master List'!$G$2:$G$2594,O4141)</f>
        <v>1</v>
      </c>
      <c r="N4141" s="4" t="str">
        <f aca="false">IF(K4141="","",A4141)</f>
        <v/>
      </c>
      <c r="O4141" s="4" t="n">
        <v>1715</v>
      </c>
      <c r="P4141" s="4" t="n">
        <f aca="false">IF(A4141=A4140,P4140+1-M4140,0)</f>
        <v>1</v>
      </c>
    </row>
    <row r="4142" customFormat="false" ht="15" hidden="false" customHeight="false" outlineLevel="0" collapsed="false">
      <c r="A4142" s="35" t="s">
        <v>4469</v>
      </c>
      <c r="B4142" s="35" t="s">
        <v>58</v>
      </c>
      <c r="C4142" s="35" t="s">
        <v>129</v>
      </c>
      <c r="D4142" s="35" t="s">
        <v>4470</v>
      </c>
      <c r="E4142" s="4" t="n">
        <v>5</v>
      </c>
      <c r="F4142" s="4" t="s">
        <v>213</v>
      </c>
      <c r="G4142" s="4" t="s">
        <v>388</v>
      </c>
      <c r="H4142" s="4" t="n">
        <v>1971</v>
      </c>
      <c r="I4142" s="4" t="s">
        <v>389</v>
      </c>
      <c r="J4142" s="25" t="str">
        <f aca="false">IF(M4142=1,"✓","")</f>
        <v/>
      </c>
      <c r="K4142" s="4" t="str">
        <f aca="false">IF(AND(M4142=0,P4142=0),"▶ NEXT","")</f>
        <v/>
      </c>
      <c r="L4142" s="4" t="n">
        <f aca="false">INDEX('Master List'!$F$2:$F$2594,O4142)</f>
        <v>4</v>
      </c>
      <c r="M4142" s="4" t="n">
        <f aca="false">INDEX('Master List'!$G$2:$G$2594,O4142)</f>
        <v>0</v>
      </c>
      <c r="N4142" s="4" t="str">
        <f aca="false">IF(K4142="","",A4142)</f>
        <v/>
      </c>
      <c r="O4142" s="4" t="n">
        <v>1300</v>
      </c>
      <c r="P4142" s="4" t="n">
        <f aca="false">IF(A4142=A4141,P4141+1-M4141,0)</f>
        <v>1</v>
      </c>
    </row>
    <row r="4143" customFormat="false" ht="15" hidden="false" customHeight="false" outlineLevel="0" collapsed="false">
      <c r="A4143" s="35" t="s">
        <v>4469</v>
      </c>
      <c r="B4143" s="35" t="s">
        <v>58</v>
      </c>
      <c r="C4143" s="35" t="s">
        <v>129</v>
      </c>
      <c r="D4143" s="35" t="s">
        <v>4470</v>
      </c>
      <c r="E4143" s="4" t="n">
        <v>6</v>
      </c>
      <c r="F4143" s="4" t="s">
        <v>213</v>
      </c>
      <c r="G4143" s="4" t="s">
        <v>1045</v>
      </c>
      <c r="H4143" s="4" t="n">
        <v>1979</v>
      </c>
      <c r="I4143" s="4" t="s">
        <v>587</v>
      </c>
      <c r="J4143" s="25" t="str">
        <f aca="false">IF(M4143=1,"✓","")</f>
        <v/>
      </c>
      <c r="K4143" s="4" t="str">
        <f aca="false">IF(AND(M4143=0,P4143=0),"▶ NEXT","")</f>
        <v/>
      </c>
      <c r="L4143" s="4" t="n">
        <f aca="false">INDEX('Master List'!$F$2:$F$2594,O4143)</f>
        <v>2</v>
      </c>
      <c r="M4143" s="4" t="n">
        <f aca="false">INDEX('Master List'!$G$2:$G$2594,O4143)</f>
        <v>0</v>
      </c>
      <c r="N4143" s="4" t="str">
        <f aca="false">IF(K4143="","",A4143)</f>
        <v/>
      </c>
      <c r="O4143" s="4" t="n">
        <v>340</v>
      </c>
      <c r="P4143" s="4" t="n">
        <f aca="false">IF(A4143=A4142,P4142+1-M4142,0)</f>
        <v>2</v>
      </c>
    </row>
    <row r="4144" customFormat="false" ht="15" hidden="false" customHeight="false" outlineLevel="0" collapsed="false">
      <c r="A4144" s="35" t="s">
        <v>4469</v>
      </c>
      <c r="B4144" s="35" t="s">
        <v>58</v>
      </c>
      <c r="C4144" s="35" t="s">
        <v>129</v>
      </c>
      <c r="D4144" s="35" t="s">
        <v>4470</v>
      </c>
      <c r="E4144" s="4" t="n">
        <v>7</v>
      </c>
      <c r="F4144" s="4" t="s">
        <v>213</v>
      </c>
      <c r="G4144" s="4" t="s">
        <v>273</v>
      </c>
      <c r="H4144" s="4" t="n">
        <v>1998</v>
      </c>
      <c r="I4144" s="4" t="s">
        <v>274</v>
      </c>
      <c r="J4144" s="25" t="str">
        <f aca="false">IF(M4144=1,"✓","")</f>
        <v>✓</v>
      </c>
      <c r="K4144" s="4" t="str">
        <f aca="false">IF(AND(M4144=0,P4144=0),"▶ NEXT","")</f>
        <v/>
      </c>
      <c r="L4144" s="4" t="n">
        <f aca="false">INDEX('Master List'!$F$2:$F$2594,O4144)</f>
        <v>5</v>
      </c>
      <c r="M4144" s="4" t="n">
        <f aca="false">INDEX('Master List'!$G$2:$G$2594,O4144)</f>
        <v>1</v>
      </c>
      <c r="N4144" s="4" t="str">
        <f aca="false">IF(K4144="","",A4144)</f>
        <v/>
      </c>
      <c r="O4144" s="4" t="n">
        <v>1948</v>
      </c>
      <c r="P4144" s="4" t="n">
        <f aca="false">IF(A4144=A4143,P4143+1-M4143,0)</f>
        <v>3</v>
      </c>
    </row>
    <row r="4145" customFormat="false" ht="15" hidden="false" customHeight="false" outlineLevel="0" collapsed="false">
      <c r="A4145" s="35" t="s">
        <v>4469</v>
      </c>
      <c r="B4145" s="35" t="s">
        <v>58</v>
      </c>
      <c r="C4145" s="35" t="s">
        <v>129</v>
      </c>
      <c r="D4145" s="35" t="s">
        <v>4470</v>
      </c>
      <c r="E4145" s="4" t="n">
        <v>8</v>
      </c>
      <c r="F4145" s="4" t="s">
        <v>213</v>
      </c>
      <c r="G4145" s="4" t="s">
        <v>2831</v>
      </c>
      <c r="H4145" s="4" t="n">
        <v>2004</v>
      </c>
      <c r="I4145" s="4" t="s">
        <v>429</v>
      </c>
      <c r="J4145" s="25" t="str">
        <f aca="false">IF(M4145=1,"✓","")</f>
        <v>✓</v>
      </c>
      <c r="K4145" s="4" t="str">
        <f aca="false">IF(AND(M4145=0,P4145=0),"▶ NEXT","")</f>
        <v/>
      </c>
      <c r="L4145" s="4" t="n">
        <f aca="false">INDEX('Master List'!$F$2:$F$2594,O4145)</f>
        <v>1</v>
      </c>
      <c r="M4145" s="4" t="n">
        <f aca="false">INDEX('Master List'!$G$2:$G$2594,O4145)</f>
        <v>1</v>
      </c>
      <c r="N4145" s="4" t="str">
        <f aca="false">IF(K4145="","",A4145)</f>
        <v/>
      </c>
      <c r="O4145" s="4" t="n">
        <v>2066</v>
      </c>
      <c r="P4145" s="4" t="n">
        <f aca="false">IF(A4145=A4144,P4144+1-M4144,0)</f>
        <v>3</v>
      </c>
    </row>
    <row r="4146" customFormat="false" ht="15" hidden="false" customHeight="false" outlineLevel="0" collapsed="false">
      <c r="A4146" s="35" t="s">
        <v>4469</v>
      </c>
      <c r="B4146" s="35" t="s">
        <v>58</v>
      </c>
      <c r="C4146" s="35" t="s">
        <v>129</v>
      </c>
      <c r="D4146" s="35" t="s">
        <v>4470</v>
      </c>
      <c r="E4146" s="4" t="n">
        <v>9</v>
      </c>
      <c r="F4146" s="4" t="s">
        <v>213</v>
      </c>
      <c r="G4146" s="4" t="s">
        <v>690</v>
      </c>
      <c r="H4146" s="4" t="n">
        <v>2013</v>
      </c>
      <c r="I4146" s="4" t="s">
        <v>429</v>
      </c>
      <c r="J4146" s="25" t="str">
        <f aca="false">IF(M4146=1,"✓","")</f>
        <v>✓</v>
      </c>
      <c r="K4146" s="4" t="str">
        <f aca="false">IF(AND(M4146=0,P4146=0),"▶ NEXT","")</f>
        <v/>
      </c>
      <c r="L4146" s="4" t="n">
        <f aca="false">INDEX('Master List'!$F$2:$F$2594,O4146)</f>
        <v>3</v>
      </c>
      <c r="M4146" s="4" t="n">
        <f aca="false">INDEX('Master List'!$G$2:$G$2594,O4146)</f>
        <v>1</v>
      </c>
      <c r="N4146" s="4" t="str">
        <f aca="false">IF(K4146="","",A4146)</f>
        <v/>
      </c>
      <c r="O4146" s="4" t="n">
        <v>1591</v>
      </c>
      <c r="P4146" s="4" t="n">
        <f aca="false">IF(A4146=A4145,P4145+1-M4145,0)</f>
        <v>3</v>
      </c>
    </row>
    <row r="4147" customFormat="false" ht="15" hidden="false" customHeight="false" outlineLevel="0" collapsed="false">
      <c r="A4147" s="35" t="s">
        <v>4469</v>
      </c>
      <c r="B4147" s="35" t="s">
        <v>58</v>
      </c>
      <c r="C4147" s="35" t="s">
        <v>129</v>
      </c>
      <c r="D4147" s="35" t="s">
        <v>4470</v>
      </c>
      <c r="E4147" s="4" t="n">
        <v>10</v>
      </c>
      <c r="F4147" s="4" t="s">
        <v>1327</v>
      </c>
      <c r="G4147" s="4" t="s">
        <v>706</v>
      </c>
      <c r="H4147" s="4" t="n">
        <v>1972</v>
      </c>
      <c r="I4147" s="4" t="s">
        <v>707</v>
      </c>
      <c r="J4147" s="25" t="str">
        <f aca="false">IF(M4147=1,"✓","")</f>
        <v/>
      </c>
      <c r="K4147" s="4" t="str">
        <f aca="false">IF(AND(M4147=0,P4147=0),"▶ NEXT","")</f>
        <v/>
      </c>
      <c r="L4147" s="4" t="n">
        <f aca="false">INDEX('Master List'!$F$2:$F$2594,O4147)</f>
        <v>3</v>
      </c>
      <c r="M4147" s="4" t="n">
        <f aca="false">INDEX('Master List'!$G$2:$G$2594,O4147)</f>
        <v>0</v>
      </c>
      <c r="N4147" s="4" t="str">
        <f aca="false">IF(K4147="","",A4147)</f>
        <v/>
      </c>
      <c r="O4147" s="4" t="n">
        <v>1008</v>
      </c>
      <c r="P4147" s="4" t="n">
        <f aca="false">IF(A4147=A4146,P4146+1-M4146,0)</f>
        <v>3</v>
      </c>
    </row>
    <row r="4148" customFormat="false" ht="15" hidden="false" customHeight="false" outlineLevel="0" collapsed="false">
      <c r="A4148" s="35" t="s">
        <v>4469</v>
      </c>
      <c r="B4148" s="35" t="s">
        <v>58</v>
      </c>
      <c r="C4148" s="35" t="s">
        <v>129</v>
      </c>
      <c r="D4148" s="35" t="s">
        <v>4470</v>
      </c>
      <c r="E4148" s="4" t="n">
        <v>11</v>
      </c>
      <c r="F4148" s="4" t="s">
        <v>1327</v>
      </c>
      <c r="G4148" s="4" t="s">
        <v>3466</v>
      </c>
      <c r="H4148" s="4" t="n">
        <v>1969</v>
      </c>
      <c r="I4148" s="4" t="s">
        <v>3467</v>
      </c>
      <c r="J4148" s="25" t="str">
        <f aca="false">IF(M4148=1,"✓","")</f>
        <v/>
      </c>
      <c r="K4148" s="4" t="str">
        <f aca="false">IF(AND(M4148=0,P4148=0),"▶ NEXT","")</f>
        <v/>
      </c>
      <c r="L4148" s="4" t="n">
        <f aca="false">INDEX('Master List'!$F$2:$F$2594,O4148)</f>
        <v>1</v>
      </c>
      <c r="M4148" s="4" t="n">
        <f aca="false">INDEX('Master List'!$G$2:$G$2594,O4148)</f>
        <v>0</v>
      </c>
      <c r="N4148" s="4" t="str">
        <f aca="false">IF(K4148="","",A4148)</f>
        <v/>
      </c>
      <c r="O4148" s="4" t="n">
        <v>932</v>
      </c>
      <c r="P4148" s="4" t="n">
        <f aca="false">IF(A4148=A4147,P4147+1-M4147,0)</f>
        <v>4</v>
      </c>
    </row>
    <row r="4149" customFormat="false" ht="15" hidden="false" customHeight="false" outlineLevel="0" collapsed="false">
      <c r="A4149" s="35" t="s">
        <v>4471</v>
      </c>
      <c r="B4149" s="35" t="s">
        <v>58</v>
      </c>
      <c r="C4149" s="35" t="s">
        <v>129</v>
      </c>
      <c r="D4149" s="35" t="s">
        <v>4472</v>
      </c>
      <c r="E4149" s="4" t="n">
        <v>1</v>
      </c>
      <c r="F4149" s="4" t="s">
        <v>144</v>
      </c>
      <c r="G4149" s="7" t="s">
        <v>288</v>
      </c>
      <c r="H4149" s="4" t="n">
        <v>1963</v>
      </c>
      <c r="I4149" s="4" t="s">
        <v>170</v>
      </c>
      <c r="J4149" s="25" t="str">
        <f aca="false">IF(M4149=1,"✓","")</f>
        <v/>
      </c>
      <c r="K4149" s="4" t="str">
        <f aca="false">IF(AND(M4149=0,P4149=0),"▶ NEXT","")</f>
        <v>▶ NEXT</v>
      </c>
      <c r="L4149" s="4" t="n">
        <f aca="false">INDEX('Master List'!$F$2:$F$2594,O4149)</f>
        <v>4</v>
      </c>
      <c r="M4149" s="4" t="n">
        <f aca="false">INDEX('Master List'!$G$2:$G$2594,O4149)</f>
        <v>0</v>
      </c>
      <c r="N4149" s="4" t="str">
        <f aca="false">IF(K4149="","",A4149)</f>
        <v>N324</v>
      </c>
      <c r="O4149" s="4" t="n">
        <v>2529</v>
      </c>
      <c r="P4149" s="4" t="n">
        <f aca="false">IF(A4149=A4148,P4148+1-M4148,0)</f>
        <v>0</v>
      </c>
    </row>
    <row r="4150" customFormat="false" ht="15" hidden="false" customHeight="false" outlineLevel="0" collapsed="false">
      <c r="A4150" s="35" t="s">
        <v>4471</v>
      </c>
      <c r="B4150" s="35" t="s">
        <v>58</v>
      </c>
      <c r="C4150" s="35" t="s">
        <v>129</v>
      </c>
      <c r="D4150" s="35" t="s">
        <v>4472</v>
      </c>
      <c r="E4150" s="4" t="n">
        <v>2</v>
      </c>
      <c r="F4150" s="4" t="s">
        <v>144</v>
      </c>
      <c r="G4150" s="7" t="s">
        <v>229</v>
      </c>
      <c r="H4150" s="4" t="n">
        <v>1975</v>
      </c>
      <c r="I4150" s="4" t="s">
        <v>210</v>
      </c>
      <c r="J4150" s="25" t="str">
        <f aca="false">IF(M4150=1,"✓","")</f>
        <v/>
      </c>
      <c r="K4150" s="4" t="str">
        <f aca="false">IF(AND(M4150=0,P4150=0),"▶ NEXT","")</f>
        <v/>
      </c>
      <c r="L4150" s="4" t="n">
        <f aca="false">INDEX('Master List'!$F$2:$F$2594,O4150)</f>
        <v>6</v>
      </c>
      <c r="M4150" s="4" t="n">
        <f aca="false">INDEX('Master List'!$G$2:$G$2594,O4150)</f>
        <v>0</v>
      </c>
      <c r="N4150" s="4" t="str">
        <f aca="false">IF(K4150="","",A4150)</f>
        <v/>
      </c>
      <c r="O4150" s="4" t="n">
        <v>1512</v>
      </c>
      <c r="P4150" s="4" t="n">
        <f aca="false">IF(A4150=A4149,P4149+1-M4149,0)</f>
        <v>1</v>
      </c>
    </row>
    <row r="4151" customFormat="false" ht="15" hidden="false" customHeight="false" outlineLevel="0" collapsed="false">
      <c r="A4151" s="35" t="s">
        <v>4471</v>
      </c>
      <c r="B4151" s="35" t="s">
        <v>58</v>
      </c>
      <c r="C4151" s="35" t="s">
        <v>129</v>
      </c>
      <c r="D4151" s="35" t="s">
        <v>4472</v>
      </c>
      <c r="E4151" s="4" t="n">
        <v>3</v>
      </c>
      <c r="F4151" s="4" t="s">
        <v>213</v>
      </c>
      <c r="G4151" s="4" t="s">
        <v>214</v>
      </c>
      <c r="H4151" s="4" t="n">
        <v>1951</v>
      </c>
      <c r="I4151" s="4" t="s">
        <v>215</v>
      </c>
      <c r="J4151" s="25" t="str">
        <f aca="false">IF(M4151=1,"✓","")</f>
        <v/>
      </c>
      <c r="K4151" s="4" t="str">
        <f aca="false">IF(AND(M4151=0,P4151=0),"▶ NEXT","")</f>
        <v/>
      </c>
      <c r="L4151" s="4" t="n">
        <f aca="false">INDEX('Master List'!$F$2:$F$2594,O4151)</f>
        <v>6</v>
      </c>
      <c r="M4151" s="4" t="n">
        <f aca="false">INDEX('Master List'!$G$2:$G$2594,O4151)</f>
        <v>0</v>
      </c>
      <c r="N4151" s="4" t="str">
        <f aca="false">IF(K4151="","",A4151)</f>
        <v/>
      </c>
      <c r="O4151" s="4" t="n">
        <v>628</v>
      </c>
      <c r="P4151" s="4" t="n">
        <f aca="false">IF(A4151=A4150,P4150+1-M4150,0)</f>
        <v>2</v>
      </c>
    </row>
    <row r="4152" customFormat="false" ht="15" hidden="false" customHeight="false" outlineLevel="0" collapsed="false">
      <c r="A4152" s="35" t="s">
        <v>4471</v>
      </c>
      <c r="B4152" s="35" t="s">
        <v>58</v>
      </c>
      <c r="C4152" s="35" t="s">
        <v>129</v>
      </c>
      <c r="D4152" s="35" t="s">
        <v>4472</v>
      </c>
      <c r="E4152" s="4" t="n">
        <v>4</v>
      </c>
      <c r="F4152" s="4" t="s">
        <v>213</v>
      </c>
      <c r="G4152" s="4" t="s">
        <v>385</v>
      </c>
      <c r="H4152" s="4" t="n">
        <v>1955</v>
      </c>
      <c r="I4152" s="4" t="s">
        <v>246</v>
      </c>
      <c r="J4152" s="25" t="str">
        <f aca="false">IF(M4152=1,"✓","")</f>
        <v/>
      </c>
      <c r="K4152" s="4" t="str">
        <f aca="false">IF(AND(M4152=0,P4152=0),"▶ NEXT","")</f>
        <v/>
      </c>
      <c r="L4152" s="4" t="n">
        <f aca="false">INDEX('Master List'!$F$2:$F$2594,O4152)</f>
        <v>4</v>
      </c>
      <c r="M4152" s="4" t="n">
        <f aca="false">INDEX('Master List'!$G$2:$G$2594,O4152)</f>
        <v>0</v>
      </c>
      <c r="N4152" s="4" t="str">
        <f aca="false">IF(K4152="","",A4152)</f>
        <v/>
      </c>
      <c r="O4152" s="4" t="n">
        <v>1690</v>
      </c>
      <c r="P4152" s="4" t="n">
        <f aca="false">IF(A4152=A4151,P4151+1-M4151,0)</f>
        <v>3</v>
      </c>
    </row>
    <row r="4153" customFormat="false" ht="15" hidden="false" customHeight="false" outlineLevel="0" collapsed="false">
      <c r="A4153" s="35" t="s">
        <v>4471</v>
      </c>
      <c r="B4153" s="35" t="s">
        <v>58</v>
      </c>
      <c r="C4153" s="35" t="s">
        <v>129</v>
      </c>
      <c r="D4153" s="35" t="s">
        <v>4472</v>
      </c>
      <c r="E4153" s="4" t="n">
        <v>5</v>
      </c>
      <c r="F4153" s="4" t="s">
        <v>213</v>
      </c>
      <c r="G4153" s="4" t="s">
        <v>360</v>
      </c>
      <c r="H4153" s="4" t="n">
        <v>1978</v>
      </c>
      <c r="I4153" s="4" t="s">
        <v>361</v>
      </c>
      <c r="J4153" s="25" t="str">
        <f aca="false">IF(M4153=1,"✓","")</f>
        <v>✓</v>
      </c>
      <c r="K4153" s="4" t="str">
        <f aca="false">IF(AND(M4153=0,P4153=0),"▶ NEXT","")</f>
        <v/>
      </c>
      <c r="L4153" s="4" t="n">
        <f aca="false">INDEX('Master List'!$F$2:$F$2594,O4153)</f>
        <v>4</v>
      </c>
      <c r="M4153" s="4" t="n">
        <f aca="false">INDEX('Master List'!$G$2:$G$2594,O4153)</f>
        <v>1</v>
      </c>
      <c r="N4153" s="4" t="str">
        <f aca="false">IF(K4153="","",A4153)</f>
        <v/>
      </c>
      <c r="O4153" s="4" t="n">
        <v>580</v>
      </c>
      <c r="P4153" s="4" t="n">
        <f aca="false">IF(A4153=A4152,P4152+1-M4152,0)</f>
        <v>4</v>
      </c>
    </row>
    <row r="4154" customFormat="false" ht="15" hidden="false" customHeight="false" outlineLevel="0" collapsed="false">
      <c r="A4154" s="35" t="s">
        <v>4471</v>
      </c>
      <c r="B4154" s="35" t="s">
        <v>58</v>
      </c>
      <c r="C4154" s="35" t="s">
        <v>129</v>
      </c>
      <c r="D4154" s="35" t="s">
        <v>4472</v>
      </c>
      <c r="E4154" s="4" t="n">
        <v>6</v>
      </c>
      <c r="F4154" s="4" t="s">
        <v>213</v>
      </c>
      <c r="G4154" s="4" t="s">
        <v>163</v>
      </c>
      <c r="H4154" s="4" t="n">
        <v>1976</v>
      </c>
      <c r="I4154" s="4" t="s">
        <v>164</v>
      </c>
      <c r="J4154" s="25" t="str">
        <f aca="false">IF(M4154=1,"✓","")</f>
        <v>✓</v>
      </c>
      <c r="K4154" s="4" t="str">
        <f aca="false">IF(AND(M4154=0,P4154=0),"▶ NEXT","")</f>
        <v/>
      </c>
      <c r="L4154" s="4" t="n">
        <f aca="false">INDEX('Master List'!$F$2:$F$2594,O4154)</f>
        <v>8</v>
      </c>
      <c r="M4154" s="4" t="n">
        <f aca="false">INDEX('Master List'!$G$2:$G$2594,O4154)</f>
        <v>1</v>
      </c>
      <c r="N4154" s="4" t="str">
        <f aca="false">IF(K4154="","",A4154)</f>
        <v/>
      </c>
      <c r="O4154" s="4" t="n">
        <v>2248</v>
      </c>
      <c r="P4154" s="4" t="n">
        <f aca="false">IF(A4154=A4153,P4153+1-M4153,0)</f>
        <v>4</v>
      </c>
    </row>
    <row r="4155" customFormat="false" ht="15" hidden="false" customHeight="false" outlineLevel="0" collapsed="false">
      <c r="A4155" s="35" t="s">
        <v>4471</v>
      </c>
      <c r="B4155" s="35" t="s">
        <v>58</v>
      </c>
      <c r="C4155" s="35" t="s">
        <v>129</v>
      </c>
      <c r="D4155" s="35" t="s">
        <v>4472</v>
      </c>
      <c r="E4155" s="4" t="n">
        <v>7</v>
      </c>
      <c r="F4155" s="4" t="s">
        <v>213</v>
      </c>
      <c r="G4155" s="4" t="s">
        <v>1080</v>
      </c>
      <c r="H4155" s="4" t="n">
        <v>1986</v>
      </c>
      <c r="I4155" s="4" t="s">
        <v>210</v>
      </c>
      <c r="J4155" s="25" t="str">
        <f aca="false">IF(M4155=1,"✓","")</f>
        <v/>
      </c>
      <c r="K4155" s="4" t="str">
        <f aca="false">IF(AND(M4155=0,P4155=0),"▶ NEXT","")</f>
        <v/>
      </c>
      <c r="L4155" s="4" t="n">
        <f aca="false">INDEX('Master List'!$F$2:$F$2594,O4155)</f>
        <v>2</v>
      </c>
      <c r="M4155" s="4" t="n">
        <f aca="false">INDEX('Master List'!$G$2:$G$2594,O4155)</f>
        <v>0</v>
      </c>
      <c r="N4155" s="4" t="str">
        <f aca="false">IF(K4155="","",A4155)</f>
        <v/>
      </c>
      <c r="O4155" s="4" t="n">
        <v>1953</v>
      </c>
      <c r="P4155" s="4" t="n">
        <f aca="false">IF(A4155=A4154,P4154+1-M4154,0)</f>
        <v>4</v>
      </c>
    </row>
    <row r="4156" customFormat="false" ht="15" hidden="false" customHeight="false" outlineLevel="0" collapsed="false">
      <c r="A4156" s="35" t="s">
        <v>4471</v>
      </c>
      <c r="B4156" s="35" t="s">
        <v>58</v>
      </c>
      <c r="C4156" s="35" t="s">
        <v>129</v>
      </c>
      <c r="D4156" s="35" t="s">
        <v>4472</v>
      </c>
      <c r="E4156" s="4" t="n">
        <v>8</v>
      </c>
      <c r="F4156" s="4" t="s">
        <v>213</v>
      </c>
      <c r="G4156" s="4" t="s">
        <v>2560</v>
      </c>
      <c r="H4156" s="4" t="n">
        <v>1992</v>
      </c>
      <c r="I4156" s="4" t="s">
        <v>1417</v>
      </c>
      <c r="J4156" s="25" t="str">
        <f aca="false">IF(M4156=1,"✓","")</f>
        <v/>
      </c>
      <c r="K4156" s="4" t="str">
        <f aca="false">IF(AND(M4156=0,P4156=0),"▶ NEXT","")</f>
        <v/>
      </c>
      <c r="L4156" s="4" t="n">
        <f aca="false">INDEX('Master List'!$F$2:$F$2594,O4156)</f>
        <v>1</v>
      </c>
      <c r="M4156" s="4" t="n">
        <f aca="false">INDEX('Master List'!$G$2:$G$2594,O4156)</f>
        <v>0</v>
      </c>
      <c r="N4156" s="4" t="str">
        <f aca="false">IF(K4156="","",A4156)</f>
        <v/>
      </c>
      <c r="O4156" s="4" t="n">
        <v>1336</v>
      </c>
      <c r="P4156" s="4" t="n">
        <f aca="false">IF(A4156=A4155,P4155+1-M4155,0)</f>
        <v>5</v>
      </c>
    </row>
    <row r="4157" customFormat="false" ht="15" hidden="false" customHeight="false" outlineLevel="0" collapsed="false">
      <c r="A4157" s="35" t="s">
        <v>4471</v>
      </c>
      <c r="B4157" s="35" t="s">
        <v>58</v>
      </c>
      <c r="C4157" s="35" t="s">
        <v>129</v>
      </c>
      <c r="D4157" s="35" t="s">
        <v>4472</v>
      </c>
      <c r="E4157" s="4" t="n">
        <v>9</v>
      </c>
      <c r="F4157" s="4" t="s">
        <v>213</v>
      </c>
      <c r="G4157" s="4" t="s">
        <v>651</v>
      </c>
      <c r="H4157" s="4" t="n">
        <v>2019</v>
      </c>
      <c r="I4157" s="4" t="s">
        <v>361</v>
      </c>
      <c r="J4157" s="25" t="str">
        <f aca="false">IF(M4157=1,"✓","")</f>
        <v/>
      </c>
      <c r="K4157" s="4" t="str">
        <f aca="false">IF(AND(M4157=0,P4157=0),"▶ NEXT","")</f>
        <v/>
      </c>
      <c r="L4157" s="4" t="n">
        <f aca="false">INDEX('Master List'!$F$2:$F$2594,O4157)</f>
        <v>3</v>
      </c>
      <c r="M4157" s="4" t="n">
        <f aca="false">INDEX('Master List'!$G$2:$G$2594,O4157)</f>
        <v>0</v>
      </c>
      <c r="N4157" s="4" t="str">
        <f aca="false">IF(K4157="","",A4157)</f>
        <v/>
      </c>
      <c r="O4157" s="4" t="n">
        <v>1031</v>
      </c>
      <c r="P4157" s="4" t="n">
        <f aca="false">IF(A4157=A4156,P4156+1-M4156,0)</f>
        <v>6</v>
      </c>
    </row>
    <row r="4158" customFormat="false" ht="15" hidden="false" customHeight="false" outlineLevel="0" collapsed="false">
      <c r="A4158" s="35" t="s">
        <v>4471</v>
      </c>
      <c r="B4158" s="35" t="s">
        <v>58</v>
      </c>
      <c r="C4158" s="35" t="s">
        <v>129</v>
      </c>
      <c r="D4158" s="35" t="s">
        <v>4472</v>
      </c>
      <c r="E4158" s="4" t="n">
        <v>10</v>
      </c>
      <c r="F4158" s="4" t="s">
        <v>1327</v>
      </c>
      <c r="G4158" s="4" t="s">
        <v>186</v>
      </c>
      <c r="H4158" s="4" t="n">
        <v>1968</v>
      </c>
      <c r="I4158" s="4" t="s">
        <v>187</v>
      </c>
      <c r="J4158" s="25" t="str">
        <f aca="false">IF(M4158=1,"✓","")</f>
        <v>✓</v>
      </c>
      <c r="K4158" s="4" t="str">
        <f aca="false">IF(AND(M4158=0,P4158=0),"▶ NEXT","")</f>
        <v/>
      </c>
      <c r="L4158" s="4" t="n">
        <f aca="false">INDEX('Master List'!$F$2:$F$2594,O4158)</f>
        <v>7</v>
      </c>
      <c r="M4158" s="4" t="n">
        <f aca="false">INDEX('Master List'!$G$2:$G$2594,O4158)</f>
        <v>1</v>
      </c>
      <c r="N4158" s="4" t="str">
        <f aca="false">IF(K4158="","",A4158)</f>
        <v/>
      </c>
      <c r="O4158" s="4" t="n">
        <v>12</v>
      </c>
      <c r="P4158" s="4" t="n">
        <f aca="false">IF(A4158=A4157,P4157+1-M4157,0)</f>
        <v>7</v>
      </c>
    </row>
    <row r="4159" customFormat="false" ht="15" hidden="false" customHeight="false" outlineLevel="0" collapsed="false">
      <c r="A4159" s="35" t="s">
        <v>4473</v>
      </c>
      <c r="B4159" s="35" t="s">
        <v>58</v>
      </c>
      <c r="C4159" s="35" t="s">
        <v>130</v>
      </c>
      <c r="D4159" s="35" t="s">
        <v>4474</v>
      </c>
      <c r="E4159" s="4" t="n">
        <v>1</v>
      </c>
      <c r="F4159" s="4" t="s">
        <v>144</v>
      </c>
      <c r="G4159" s="7" t="s">
        <v>351</v>
      </c>
      <c r="H4159" s="4" t="n">
        <v>1949</v>
      </c>
      <c r="I4159" s="4" t="s">
        <v>156</v>
      </c>
      <c r="J4159" s="25" t="str">
        <f aca="false">IF(M4159=1,"✓","")</f>
        <v/>
      </c>
      <c r="K4159" s="4" t="str">
        <f aca="false">IF(AND(M4159=0,P4159=0),"▶ NEXT","")</f>
        <v>▶ NEXT</v>
      </c>
      <c r="L4159" s="4" t="n">
        <f aca="false">INDEX('Master List'!$F$2:$F$2594,O4159)</f>
        <v>4</v>
      </c>
      <c r="M4159" s="4" t="n">
        <f aca="false">INDEX('Master List'!$G$2:$G$2594,O4159)</f>
        <v>0</v>
      </c>
      <c r="N4159" s="4" t="str">
        <f aca="false">IF(K4159="","",A4159)</f>
        <v>N325</v>
      </c>
      <c r="O4159" s="4" t="n">
        <v>2179</v>
      </c>
      <c r="P4159" s="4" t="n">
        <f aca="false">IF(A4159=A4158,P4158+1-M4158,0)</f>
        <v>0</v>
      </c>
    </row>
    <row r="4160" customFormat="false" ht="15" hidden="false" customHeight="false" outlineLevel="0" collapsed="false">
      <c r="A4160" s="35" t="s">
        <v>4473</v>
      </c>
      <c r="B4160" s="35" t="s">
        <v>58</v>
      </c>
      <c r="C4160" s="35" t="s">
        <v>130</v>
      </c>
      <c r="D4160" s="35" t="s">
        <v>4474</v>
      </c>
      <c r="E4160" s="4" t="n">
        <v>2</v>
      </c>
      <c r="F4160" s="4" t="s">
        <v>144</v>
      </c>
      <c r="G4160" s="7" t="s">
        <v>289</v>
      </c>
      <c r="H4160" s="4" t="n">
        <v>1967</v>
      </c>
      <c r="I4160" s="4" t="s">
        <v>290</v>
      </c>
      <c r="J4160" s="25" t="str">
        <f aca="false">IF(M4160=1,"✓","")</f>
        <v/>
      </c>
      <c r="K4160" s="4" t="str">
        <f aca="false">IF(AND(M4160=0,P4160=0),"▶ NEXT","")</f>
        <v/>
      </c>
      <c r="L4160" s="4" t="n">
        <f aca="false">INDEX('Master List'!$F$2:$F$2594,O4160)</f>
        <v>4</v>
      </c>
      <c r="M4160" s="4" t="n">
        <f aca="false">INDEX('Master List'!$G$2:$G$2594,O4160)</f>
        <v>0</v>
      </c>
      <c r="N4160" s="4" t="str">
        <f aca="false">IF(K4160="","",A4160)</f>
        <v/>
      </c>
      <c r="O4160" s="4" t="n">
        <v>1964</v>
      </c>
      <c r="P4160" s="4" t="n">
        <f aca="false">IF(A4160=A4159,P4159+1-M4159,0)</f>
        <v>1</v>
      </c>
    </row>
    <row r="4161" customFormat="false" ht="15" hidden="false" customHeight="false" outlineLevel="0" collapsed="false">
      <c r="A4161" s="35" t="s">
        <v>4473</v>
      </c>
      <c r="B4161" s="35" t="s">
        <v>58</v>
      </c>
      <c r="C4161" s="35" t="s">
        <v>130</v>
      </c>
      <c r="D4161" s="35" t="s">
        <v>4474</v>
      </c>
      <c r="E4161" s="4" t="n">
        <v>3</v>
      </c>
      <c r="F4161" s="4" t="s">
        <v>213</v>
      </c>
      <c r="G4161" s="4" t="s">
        <v>955</v>
      </c>
      <c r="H4161" s="4" t="n">
        <v>1960</v>
      </c>
      <c r="I4161" s="4" t="s">
        <v>156</v>
      </c>
      <c r="J4161" s="25" t="str">
        <f aca="false">IF(M4161=1,"✓","")</f>
        <v/>
      </c>
      <c r="K4161" s="4" t="str">
        <f aca="false">IF(AND(M4161=0,P4161=0),"▶ NEXT","")</f>
        <v/>
      </c>
      <c r="L4161" s="4" t="n">
        <f aca="false">INDEX('Master List'!$F$2:$F$2594,O4161)</f>
        <v>2</v>
      </c>
      <c r="M4161" s="4" t="n">
        <f aca="false">INDEX('Master List'!$G$2:$G$2594,O4161)</f>
        <v>0</v>
      </c>
      <c r="N4161" s="4" t="str">
        <f aca="false">IF(K4161="","",A4161)</f>
        <v/>
      </c>
      <c r="O4161" s="4" t="n">
        <v>171</v>
      </c>
      <c r="P4161" s="4" t="n">
        <f aca="false">IF(A4161=A4160,P4160+1-M4160,0)</f>
        <v>2</v>
      </c>
    </row>
    <row r="4162" customFormat="false" ht="15" hidden="false" customHeight="false" outlineLevel="0" collapsed="false">
      <c r="A4162" s="35" t="s">
        <v>4473</v>
      </c>
      <c r="B4162" s="35" t="s">
        <v>58</v>
      </c>
      <c r="C4162" s="35" t="s">
        <v>130</v>
      </c>
      <c r="D4162" s="35" t="s">
        <v>4474</v>
      </c>
      <c r="E4162" s="4" t="n">
        <v>4</v>
      </c>
      <c r="F4162" s="4" t="s">
        <v>213</v>
      </c>
      <c r="G4162" s="4" t="s">
        <v>471</v>
      </c>
      <c r="H4162" s="4" t="n">
        <v>1967</v>
      </c>
      <c r="I4162" s="4" t="s">
        <v>472</v>
      </c>
      <c r="J4162" s="25" t="str">
        <f aca="false">IF(M4162=1,"✓","")</f>
        <v/>
      </c>
      <c r="K4162" s="4" t="str">
        <f aca="false">IF(AND(M4162=0,P4162=0),"▶ NEXT","")</f>
        <v/>
      </c>
      <c r="L4162" s="4" t="n">
        <f aca="false">INDEX('Master List'!$F$2:$F$2594,O4162)</f>
        <v>3</v>
      </c>
      <c r="M4162" s="4" t="n">
        <f aca="false">INDEX('Master List'!$G$2:$G$2594,O4162)</f>
        <v>0</v>
      </c>
      <c r="N4162" s="4" t="str">
        <f aca="false">IF(K4162="","",A4162)</f>
        <v/>
      </c>
      <c r="O4162" s="4" t="n">
        <v>336</v>
      </c>
      <c r="P4162" s="4" t="n">
        <f aca="false">IF(A4162=A4161,P4161+1-M4161,0)</f>
        <v>3</v>
      </c>
    </row>
    <row r="4163" customFormat="false" ht="15" hidden="false" customHeight="false" outlineLevel="0" collapsed="false">
      <c r="A4163" s="35" t="s">
        <v>4473</v>
      </c>
      <c r="B4163" s="35" t="s">
        <v>58</v>
      </c>
      <c r="C4163" s="35" t="s">
        <v>130</v>
      </c>
      <c r="D4163" s="35" t="s">
        <v>4474</v>
      </c>
      <c r="E4163" s="4" t="n">
        <v>5</v>
      </c>
      <c r="F4163" s="4" t="s">
        <v>213</v>
      </c>
      <c r="G4163" s="4" t="s">
        <v>774</v>
      </c>
      <c r="H4163" s="4" t="n">
        <v>1967</v>
      </c>
      <c r="I4163" s="4" t="s">
        <v>775</v>
      </c>
      <c r="J4163" s="25" t="str">
        <f aca="false">IF(M4163=1,"✓","")</f>
        <v/>
      </c>
      <c r="K4163" s="4" t="str">
        <f aca="false">IF(AND(M4163=0,P4163=0),"▶ NEXT","")</f>
        <v/>
      </c>
      <c r="L4163" s="4" t="n">
        <f aca="false">INDEX('Master List'!$F$2:$F$2594,O4163)</f>
        <v>3</v>
      </c>
      <c r="M4163" s="4" t="n">
        <f aca="false">INDEX('Master List'!$G$2:$G$2594,O4163)</f>
        <v>0</v>
      </c>
      <c r="N4163" s="4" t="str">
        <f aca="false">IF(K4163="","",A4163)</f>
        <v/>
      </c>
      <c r="O4163" s="4" t="n">
        <v>1783</v>
      </c>
      <c r="P4163" s="4" t="n">
        <f aca="false">IF(A4163=A4162,P4162+1-M4162,0)</f>
        <v>4</v>
      </c>
    </row>
    <row r="4164" customFormat="false" ht="15" hidden="false" customHeight="false" outlineLevel="0" collapsed="false">
      <c r="A4164" s="35" t="s">
        <v>4473</v>
      </c>
      <c r="B4164" s="35" t="s">
        <v>58</v>
      </c>
      <c r="C4164" s="35" t="s">
        <v>130</v>
      </c>
      <c r="D4164" s="35" t="s">
        <v>4474</v>
      </c>
      <c r="E4164" s="4" t="n">
        <v>6</v>
      </c>
      <c r="F4164" s="4" t="s">
        <v>213</v>
      </c>
      <c r="G4164" s="4" t="s">
        <v>386</v>
      </c>
      <c r="H4164" s="4" t="n">
        <v>1970</v>
      </c>
      <c r="I4164" s="4" t="s">
        <v>290</v>
      </c>
      <c r="J4164" s="25" t="str">
        <f aca="false">IF(M4164=1,"✓","")</f>
        <v/>
      </c>
      <c r="K4164" s="4" t="str">
        <f aca="false">IF(AND(M4164=0,P4164=0),"▶ NEXT","")</f>
        <v/>
      </c>
      <c r="L4164" s="4" t="n">
        <f aca="false">INDEX('Master List'!$F$2:$F$2594,O4164)</f>
        <v>4</v>
      </c>
      <c r="M4164" s="4" t="n">
        <f aca="false">INDEX('Master List'!$G$2:$G$2594,O4164)</f>
        <v>0</v>
      </c>
      <c r="N4164" s="4" t="str">
        <f aca="false">IF(K4164="","",A4164)</f>
        <v/>
      </c>
      <c r="O4164" s="4" t="n">
        <v>422</v>
      </c>
      <c r="P4164" s="4" t="n">
        <f aca="false">IF(A4164=A4163,P4163+1-M4163,0)</f>
        <v>5</v>
      </c>
    </row>
    <row r="4165" customFormat="false" ht="15" hidden="false" customHeight="false" outlineLevel="0" collapsed="false">
      <c r="A4165" s="35" t="s">
        <v>4473</v>
      </c>
      <c r="B4165" s="35" t="s">
        <v>58</v>
      </c>
      <c r="C4165" s="35" t="s">
        <v>130</v>
      </c>
      <c r="D4165" s="35" t="s">
        <v>4474</v>
      </c>
      <c r="E4165" s="4" t="n">
        <v>7</v>
      </c>
      <c r="F4165" s="4" t="s">
        <v>213</v>
      </c>
      <c r="G4165" s="4" t="s">
        <v>830</v>
      </c>
      <c r="H4165" s="4" t="n">
        <v>1993</v>
      </c>
      <c r="I4165" s="4" t="s">
        <v>831</v>
      </c>
      <c r="J4165" s="25" t="str">
        <f aca="false">IF(M4165=1,"✓","")</f>
        <v/>
      </c>
      <c r="K4165" s="4" t="str">
        <f aca="false">IF(AND(M4165=0,P4165=0),"▶ NEXT","")</f>
        <v/>
      </c>
      <c r="L4165" s="4" t="n">
        <f aca="false">INDEX('Master List'!$F$2:$F$2594,O4165)</f>
        <v>2</v>
      </c>
      <c r="M4165" s="4" t="n">
        <f aca="false">INDEX('Master List'!$G$2:$G$2594,O4165)</f>
        <v>0</v>
      </c>
      <c r="N4165" s="4" t="str">
        <f aca="false">IF(K4165="","",A4165)</f>
        <v/>
      </c>
      <c r="O4165" s="4" t="n">
        <v>2112</v>
      </c>
      <c r="P4165" s="4" t="n">
        <f aca="false">IF(A4165=A4164,P4164+1-M4164,0)</f>
        <v>6</v>
      </c>
    </row>
    <row r="4166" customFormat="false" ht="15" hidden="false" customHeight="false" outlineLevel="0" collapsed="false">
      <c r="A4166" s="35" t="s">
        <v>4473</v>
      </c>
      <c r="B4166" s="35" t="s">
        <v>58</v>
      </c>
      <c r="C4166" s="35" t="s">
        <v>130</v>
      </c>
      <c r="D4166" s="35" t="s">
        <v>4474</v>
      </c>
      <c r="E4166" s="4" t="n">
        <v>8</v>
      </c>
      <c r="F4166" s="4" t="s">
        <v>213</v>
      </c>
      <c r="G4166" s="4" t="s">
        <v>1116</v>
      </c>
      <c r="H4166" s="4" t="n">
        <v>1997</v>
      </c>
      <c r="I4166" s="4" t="s">
        <v>831</v>
      </c>
      <c r="J4166" s="25" t="str">
        <f aca="false">IF(M4166=1,"✓","")</f>
        <v/>
      </c>
      <c r="K4166" s="4" t="str">
        <f aca="false">IF(AND(M4166=0,P4166=0),"▶ NEXT","")</f>
        <v/>
      </c>
      <c r="L4166" s="4" t="n">
        <f aca="false">INDEX('Master List'!$F$2:$F$2594,O4166)</f>
        <v>2</v>
      </c>
      <c r="M4166" s="4" t="n">
        <f aca="false">INDEX('Master List'!$G$2:$G$2594,O4166)</f>
        <v>0</v>
      </c>
      <c r="N4166" s="4" t="str">
        <f aca="false">IF(K4166="","",A4166)</f>
        <v/>
      </c>
      <c r="O4166" s="4" t="n">
        <v>982</v>
      </c>
      <c r="P4166" s="4" t="n">
        <f aca="false">IF(A4166=A4165,P4165+1-M4165,0)</f>
        <v>7</v>
      </c>
    </row>
    <row r="4167" customFormat="false" ht="15" hidden="false" customHeight="false" outlineLevel="0" collapsed="false">
      <c r="A4167" s="35" t="s">
        <v>4473</v>
      </c>
      <c r="B4167" s="35" t="s">
        <v>58</v>
      </c>
      <c r="C4167" s="35" t="s">
        <v>130</v>
      </c>
      <c r="D4167" s="35" t="s">
        <v>4474</v>
      </c>
      <c r="E4167" s="4" t="n">
        <v>9</v>
      </c>
      <c r="F4167" s="4" t="s">
        <v>213</v>
      </c>
      <c r="G4167" s="4" t="s">
        <v>275</v>
      </c>
      <c r="H4167" s="4" t="n">
        <v>2003</v>
      </c>
      <c r="I4167" s="4" t="s">
        <v>276</v>
      </c>
      <c r="J4167" s="25" t="str">
        <f aca="false">IF(M4167=1,"✓","")</f>
        <v/>
      </c>
      <c r="K4167" s="4" t="str">
        <f aca="false">IF(AND(M4167=0,P4167=0),"▶ NEXT","")</f>
        <v/>
      </c>
      <c r="L4167" s="4" t="n">
        <f aca="false">INDEX('Master List'!$F$2:$F$2594,O4167)</f>
        <v>5</v>
      </c>
      <c r="M4167" s="4" t="n">
        <f aca="false">INDEX('Master List'!$G$2:$G$2594,O4167)</f>
        <v>0</v>
      </c>
      <c r="N4167" s="4" t="str">
        <f aca="false">IF(K4167="","",A4167)</f>
        <v/>
      </c>
      <c r="O4167" s="4" t="n">
        <v>1478</v>
      </c>
      <c r="P4167" s="4" t="n">
        <f aca="false">IF(A4167=A4166,P4166+1-M4166,0)</f>
        <v>8</v>
      </c>
    </row>
    <row r="4168" customFormat="false" ht="15" hidden="false" customHeight="false" outlineLevel="0" collapsed="false">
      <c r="A4168" s="35" t="s">
        <v>4473</v>
      </c>
      <c r="B4168" s="35" t="s">
        <v>58</v>
      </c>
      <c r="C4168" s="35" t="s">
        <v>130</v>
      </c>
      <c r="D4168" s="35" t="s">
        <v>4474</v>
      </c>
      <c r="E4168" s="4" t="n">
        <v>10</v>
      </c>
      <c r="F4168" s="4" t="s">
        <v>1327</v>
      </c>
      <c r="G4168" s="4" t="s">
        <v>1325</v>
      </c>
      <c r="H4168" s="4" t="n">
        <v>1964</v>
      </c>
      <c r="I4168" s="4" t="s">
        <v>1326</v>
      </c>
      <c r="J4168" s="25" t="str">
        <f aca="false">IF(M4168=1,"✓","")</f>
        <v/>
      </c>
      <c r="K4168" s="4" t="str">
        <f aca="false">IF(AND(M4168=0,P4168=0),"▶ NEXT","")</f>
        <v/>
      </c>
      <c r="L4168" s="4" t="n">
        <f aca="false">INDEX('Master List'!$F$2:$F$2594,O4168)</f>
        <v>3</v>
      </c>
      <c r="M4168" s="4" t="n">
        <f aca="false">INDEX('Master List'!$G$2:$G$2594,O4168)</f>
        <v>0</v>
      </c>
      <c r="N4168" s="4" t="str">
        <f aca="false">IF(K4168="","",A4168)</f>
        <v/>
      </c>
      <c r="O4168" s="4" t="n">
        <v>1708</v>
      </c>
      <c r="P4168" s="4" t="n">
        <f aca="false">IF(A4168=A4167,P4167+1-M4167,0)</f>
        <v>9</v>
      </c>
    </row>
    <row r="4169" customFormat="false" ht="15" hidden="false" customHeight="false" outlineLevel="0" collapsed="false">
      <c r="A4169" s="35" t="s">
        <v>4475</v>
      </c>
      <c r="B4169" s="35" t="s">
        <v>58</v>
      </c>
      <c r="C4169" s="35" t="s">
        <v>130</v>
      </c>
      <c r="D4169" s="35" t="s">
        <v>4476</v>
      </c>
      <c r="E4169" s="4" t="n">
        <v>1</v>
      </c>
      <c r="F4169" s="4" t="s">
        <v>144</v>
      </c>
      <c r="G4169" s="7" t="s">
        <v>743</v>
      </c>
      <c r="H4169" s="4" t="n">
        <v>1951</v>
      </c>
      <c r="I4169" s="4" t="s">
        <v>744</v>
      </c>
      <c r="J4169" s="25" t="str">
        <f aca="false">IF(M4169=1,"✓","")</f>
        <v/>
      </c>
      <c r="K4169" s="4" t="str">
        <f aca="false">IF(AND(M4169=0,P4169=0),"▶ NEXT","")</f>
        <v>▶ NEXT</v>
      </c>
      <c r="L4169" s="4" t="n">
        <f aca="false">INDEX('Master List'!$F$2:$F$2594,O4169)</f>
        <v>2</v>
      </c>
      <c r="M4169" s="4" t="n">
        <f aca="false">INDEX('Master List'!$G$2:$G$2594,O4169)</f>
        <v>0</v>
      </c>
      <c r="N4169" s="4" t="str">
        <f aca="false">IF(K4169="","",A4169)</f>
        <v>N326</v>
      </c>
      <c r="O4169" s="4" t="n">
        <v>2279</v>
      </c>
      <c r="P4169" s="4" t="n">
        <f aca="false">IF(A4169=A4168,P4168+1-M4168,0)</f>
        <v>0</v>
      </c>
    </row>
    <row r="4170" customFormat="false" ht="15" hidden="false" customHeight="false" outlineLevel="0" collapsed="false">
      <c r="A4170" s="35" t="s">
        <v>4475</v>
      </c>
      <c r="B4170" s="35" t="s">
        <v>58</v>
      </c>
      <c r="C4170" s="35" t="s">
        <v>130</v>
      </c>
      <c r="D4170" s="35" t="s">
        <v>4476</v>
      </c>
      <c r="E4170" s="4" t="n">
        <v>2</v>
      </c>
      <c r="F4170" s="4" t="s">
        <v>144</v>
      </c>
      <c r="G4170" s="7" t="s">
        <v>408</v>
      </c>
      <c r="H4170" s="4" t="n">
        <v>1956</v>
      </c>
      <c r="I4170" s="4" t="s">
        <v>409</v>
      </c>
      <c r="J4170" s="25" t="str">
        <f aca="false">IF(M4170=1,"✓","")</f>
        <v/>
      </c>
      <c r="K4170" s="4" t="str">
        <f aca="false">IF(AND(M4170=0,P4170=0),"▶ NEXT","")</f>
        <v/>
      </c>
      <c r="L4170" s="4" t="n">
        <f aca="false">INDEX('Master List'!$F$2:$F$2594,O4170)</f>
        <v>3</v>
      </c>
      <c r="M4170" s="4" t="n">
        <f aca="false">INDEX('Master List'!$G$2:$G$2594,O4170)</f>
        <v>0</v>
      </c>
      <c r="N4170" s="4" t="str">
        <f aca="false">IF(K4170="","",A4170)</f>
        <v/>
      </c>
      <c r="O4170" s="4" t="n">
        <v>1160</v>
      </c>
      <c r="P4170" s="4" t="n">
        <f aca="false">IF(A4170=A4169,P4169+1-M4169,0)</f>
        <v>1</v>
      </c>
    </row>
    <row r="4171" customFormat="false" ht="15" hidden="false" customHeight="false" outlineLevel="0" collapsed="false">
      <c r="A4171" s="35" t="s">
        <v>4475</v>
      </c>
      <c r="B4171" s="35" t="s">
        <v>58</v>
      </c>
      <c r="C4171" s="35" t="s">
        <v>130</v>
      </c>
      <c r="D4171" s="35" t="s">
        <v>4476</v>
      </c>
      <c r="E4171" s="4" t="n">
        <v>3</v>
      </c>
      <c r="F4171" s="4" t="s">
        <v>213</v>
      </c>
      <c r="G4171" s="4" t="s">
        <v>362</v>
      </c>
      <c r="H4171" s="4" t="n">
        <v>1979</v>
      </c>
      <c r="I4171" s="4" t="s">
        <v>174</v>
      </c>
      <c r="J4171" s="25" t="str">
        <f aca="false">IF(M4171=1,"✓","")</f>
        <v>✓</v>
      </c>
      <c r="K4171" s="4" t="str">
        <f aca="false">IF(AND(M4171=0,P4171=0),"▶ NEXT","")</f>
        <v/>
      </c>
      <c r="L4171" s="4" t="n">
        <f aca="false">INDEX('Master List'!$F$2:$F$2594,O4171)</f>
        <v>4</v>
      </c>
      <c r="M4171" s="4" t="n">
        <f aca="false">INDEX('Master List'!$G$2:$G$2594,O4171)</f>
        <v>1</v>
      </c>
      <c r="N4171" s="4" t="str">
        <f aca="false">IF(K4171="","",A4171)</f>
        <v/>
      </c>
      <c r="O4171" s="4" t="n">
        <v>66</v>
      </c>
      <c r="P4171" s="4" t="n">
        <f aca="false">IF(A4171=A4170,P4170+1-M4170,0)</f>
        <v>2</v>
      </c>
    </row>
    <row r="4172" customFormat="false" ht="15" hidden="false" customHeight="false" outlineLevel="0" collapsed="false">
      <c r="A4172" s="35" t="s">
        <v>4475</v>
      </c>
      <c r="B4172" s="35" t="s">
        <v>58</v>
      </c>
      <c r="C4172" s="35" t="s">
        <v>130</v>
      </c>
      <c r="D4172" s="35" t="s">
        <v>4476</v>
      </c>
      <c r="E4172" s="4" t="n">
        <v>4</v>
      </c>
      <c r="F4172" s="4" t="s">
        <v>213</v>
      </c>
      <c r="G4172" s="4" t="s">
        <v>788</v>
      </c>
      <c r="H4172" s="4" t="n">
        <v>1971</v>
      </c>
      <c r="I4172" s="4" t="s">
        <v>789</v>
      </c>
      <c r="J4172" s="25" t="str">
        <f aca="false">IF(M4172=1,"✓","")</f>
        <v/>
      </c>
      <c r="K4172" s="4" t="str">
        <f aca="false">IF(AND(M4172=0,P4172=0),"▶ NEXT","")</f>
        <v/>
      </c>
      <c r="L4172" s="4" t="n">
        <f aca="false">INDEX('Master List'!$F$2:$F$2594,O4172)</f>
        <v>2</v>
      </c>
      <c r="M4172" s="4" t="n">
        <f aca="false">INDEX('Master List'!$G$2:$G$2594,O4172)</f>
        <v>0</v>
      </c>
      <c r="N4172" s="4" t="str">
        <f aca="false">IF(K4172="","",A4172)</f>
        <v/>
      </c>
      <c r="O4172" s="4" t="n">
        <v>103</v>
      </c>
      <c r="P4172" s="4" t="n">
        <f aca="false">IF(A4172=A4171,P4171+1-M4171,0)</f>
        <v>2</v>
      </c>
    </row>
    <row r="4173" customFormat="false" ht="15" hidden="false" customHeight="false" outlineLevel="0" collapsed="false">
      <c r="A4173" s="35" t="s">
        <v>4475</v>
      </c>
      <c r="B4173" s="35" t="s">
        <v>58</v>
      </c>
      <c r="C4173" s="35" t="s">
        <v>130</v>
      </c>
      <c r="D4173" s="35" t="s">
        <v>4476</v>
      </c>
      <c r="E4173" s="4" t="n">
        <v>5</v>
      </c>
      <c r="F4173" s="4" t="s">
        <v>213</v>
      </c>
      <c r="G4173" s="4" t="s">
        <v>1065</v>
      </c>
      <c r="H4173" s="4" t="n">
        <v>1984</v>
      </c>
      <c r="I4173" s="4" t="s">
        <v>1066</v>
      </c>
      <c r="J4173" s="25" t="str">
        <f aca="false">IF(M4173=1,"✓","")</f>
        <v>✓</v>
      </c>
      <c r="K4173" s="4" t="str">
        <f aca="false">IF(AND(M4173=0,P4173=0),"▶ NEXT","")</f>
        <v/>
      </c>
      <c r="L4173" s="4" t="n">
        <f aca="false">INDEX('Master List'!$F$2:$F$2594,O4173)</f>
        <v>2</v>
      </c>
      <c r="M4173" s="4" t="n">
        <f aca="false">INDEX('Master List'!$G$2:$G$2594,O4173)</f>
        <v>1</v>
      </c>
      <c r="N4173" s="4" t="str">
        <f aca="false">IF(K4173="","",A4173)</f>
        <v/>
      </c>
      <c r="O4173" s="4" t="n">
        <v>2288</v>
      </c>
      <c r="P4173" s="4" t="n">
        <f aca="false">IF(A4173=A4172,P4172+1-M4172,0)</f>
        <v>3</v>
      </c>
    </row>
    <row r="4174" customFormat="false" ht="15" hidden="false" customHeight="false" outlineLevel="0" collapsed="false">
      <c r="A4174" s="35" t="s">
        <v>4475</v>
      </c>
      <c r="B4174" s="35" t="s">
        <v>58</v>
      </c>
      <c r="C4174" s="35" t="s">
        <v>130</v>
      </c>
      <c r="D4174" s="35" t="s">
        <v>4476</v>
      </c>
      <c r="E4174" s="4" t="n">
        <v>6</v>
      </c>
      <c r="F4174" s="4" t="s">
        <v>213</v>
      </c>
      <c r="G4174" s="4" t="s">
        <v>1160</v>
      </c>
      <c r="H4174" s="4" t="n">
        <v>2002</v>
      </c>
      <c r="I4174" s="4" t="s">
        <v>1161</v>
      </c>
      <c r="J4174" s="25" t="str">
        <f aca="false">IF(M4174=1,"✓","")</f>
        <v/>
      </c>
      <c r="K4174" s="4" t="str">
        <f aca="false">IF(AND(M4174=0,P4174=0),"▶ NEXT","")</f>
        <v/>
      </c>
      <c r="L4174" s="4" t="n">
        <f aca="false">INDEX('Master List'!$F$2:$F$2594,O4174)</f>
        <v>2</v>
      </c>
      <c r="M4174" s="4" t="n">
        <f aca="false">INDEX('Master List'!$G$2:$G$2594,O4174)</f>
        <v>0</v>
      </c>
      <c r="N4174" s="4" t="str">
        <f aca="false">IF(K4174="","",A4174)</f>
        <v/>
      </c>
      <c r="O4174" s="4" t="n">
        <v>17</v>
      </c>
      <c r="P4174" s="4" t="n">
        <f aca="false">IF(A4174=A4173,P4173+1-M4173,0)</f>
        <v>3</v>
      </c>
    </row>
    <row r="4175" customFormat="false" ht="15" hidden="false" customHeight="false" outlineLevel="0" collapsed="false">
      <c r="A4175" s="35" t="s">
        <v>4475</v>
      </c>
      <c r="B4175" s="35" t="s">
        <v>58</v>
      </c>
      <c r="C4175" s="35" t="s">
        <v>130</v>
      </c>
      <c r="D4175" s="35" t="s">
        <v>4476</v>
      </c>
      <c r="E4175" s="4" t="n">
        <v>7</v>
      </c>
      <c r="F4175" s="4" t="s">
        <v>213</v>
      </c>
      <c r="G4175" s="4" t="s">
        <v>209</v>
      </c>
      <c r="H4175" s="4" t="n">
        <v>1979</v>
      </c>
      <c r="I4175" s="4" t="s">
        <v>210</v>
      </c>
      <c r="J4175" s="25" t="str">
        <f aca="false">IF(M4175=1,"✓","")</f>
        <v>✓</v>
      </c>
      <c r="K4175" s="4" t="str">
        <f aca="false">IF(AND(M4175=0,P4175=0),"▶ NEXT","")</f>
        <v/>
      </c>
      <c r="L4175" s="4" t="n">
        <f aca="false">INDEX('Master List'!$F$2:$F$2594,O4175)</f>
        <v>7</v>
      </c>
      <c r="M4175" s="4" t="n">
        <f aca="false">INDEX('Master List'!$G$2:$G$2594,O4175)</f>
        <v>1</v>
      </c>
      <c r="N4175" s="4" t="str">
        <f aca="false">IF(K4175="","",A4175)</f>
        <v/>
      </c>
      <c r="O4175" s="4" t="n">
        <v>2145</v>
      </c>
      <c r="P4175" s="4" t="n">
        <f aca="false">IF(A4175=A4174,P4174+1-M4174,0)</f>
        <v>4</v>
      </c>
    </row>
    <row r="4176" customFormat="false" ht="15" hidden="false" customHeight="false" outlineLevel="0" collapsed="false">
      <c r="A4176" s="35" t="s">
        <v>4475</v>
      </c>
      <c r="B4176" s="35" t="s">
        <v>58</v>
      </c>
      <c r="C4176" s="35" t="s">
        <v>130</v>
      </c>
      <c r="D4176" s="35" t="s">
        <v>4476</v>
      </c>
      <c r="E4176" s="4" t="n">
        <v>8</v>
      </c>
      <c r="F4176" s="4" t="s">
        <v>213</v>
      </c>
      <c r="G4176" s="4" t="s">
        <v>1244</v>
      </c>
      <c r="H4176" s="4" t="n">
        <v>2018</v>
      </c>
      <c r="I4176" s="4" t="s">
        <v>646</v>
      </c>
      <c r="J4176" s="25" t="str">
        <f aca="false">IF(M4176=1,"✓","")</f>
        <v/>
      </c>
      <c r="K4176" s="4" t="str">
        <f aca="false">IF(AND(M4176=0,P4176=0),"▶ NEXT","")</f>
        <v/>
      </c>
      <c r="L4176" s="4" t="n">
        <f aca="false">INDEX('Master List'!$F$2:$F$2594,O4176)</f>
        <v>2</v>
      </c>
      <c r="M4176" s="4" t="n">
        <f aca="false">INDEX('Master List'!$G$2:$G$2594,O4176)</f>
        <v>0</v>
      </c>
      <c r="N4176" s="4" t="str">
        <f aca="false">IF(K4176="","",A4176)</f>
        <v/>
      </c>
      <c r="O4176" s="4" t="n">
        <v>113</v>
      </c>
      <c r="P4176" s="4" t="n">
        <f aca="false">IF(A4176=A4175,P4175+1-M4175,0)</f>
        <v>4</v>
      </c>
    </row>
    <row r="4177" customFormat="false" ht="15" hidden="false" customHeight="false" outlineLevel="0" collapsed="false">
      <c r="A4177" s="35" t="s">
        <v>4475</v>
      </c>
      <c r="B4177" s="35" t="s">
        <v>58</v>
      </c>
      <c r="C4177" s="35" t="s">
        <v>130</v>
      </c>
      <c r="D4177" s="35" t="s">
        <v>4476</v>
      </c>
      <c r="E4177" s="4" t="n">
        <v>9</v>
      </c>
      <c r="F4177" s="4" t="s">
        <v>213</v>
      </c>
      <c r="G4177" s="4" t="s">
        <v>326</v>
      </c>
      <c r="H4177" s="4" t="n">
        <v>2016</v>
      </c>
      <c r="I4177" s="4" t="s">
        <v>327</v>
      </c>
      <c r="J4177" s="25" t="str">
        <f aca="false">IF(M4177=1,"✓","")</f>
        <v>✓</v>
      </c>
      <c r="K4177" s="4" t="str">
        <f aca="false">IF(AND(M4177=0,P4177=0),"▶ NEXT","")</f>
        <v/>
      </c>
      <c r="L4177" s="4" t="n">
        <f aca="false">INDEX('Master List'!$F$2:$F$2594,O4177)</f>
        <v>4</v>
      </c>
      <c r="M4177" s="4" t="n">
        <f aca="false">INDEX('Master List'!$G$2:$G$2594,O4177)</f>
        <v>1</v>
      </c>
      <c r="N4177" s="4" t="str">
        <f aca="false">IF(K4177="","",A4177)</f>
        <v/>
      </c>
      <c r="O4177" s="4" t="n">
        <v>130</v>
      </c>
      <c r="P4177" s="4" t="n">
        <f aca="false">IF(A4177=A4176,P4176+1-M4176,0)</f>
        <v>5</v>
      </c>
    </row>
    <row r="4178" customFormat="false" ht="15" hidden="false" customHeight="false" outlineLevel="0" collapsed="false">
      <c r="A4178" s="35" t="s">
        <v>4475</v>
      </c>
      <c r="B4178" s="35" t="s">
        <v>58</v>
      </c>
      <c r="C4178" s="35" t="s">
        <v>130</v>
      </c>
      <c r="D4178" s="35" t="s">
        <v>4476</v>
      </c>
      <c r="E4178" s="4" t="n">
        <v>10</v>
      </c>
      <c r="F4178" s="4" t="s">
        <v>1327</v>
      </c>
      <c r="G4178" s="4" t="s">
        <v>3632</v>
      </c>
      <c r="H4178" s="4" t="n">
        <v>1985</v>
      </c>
      <c r="I4178" s="4" t="s">
        <v>3633</v>
      </c>
      <c r="J4178" s="25" t="str">
        <f aca="false">IF(M4178=1,"✓","")</f>
        <v/>
      </c>
      <c r="K4178" s="4" t="str">
        <f aca="false">IF(AND(M4178=0,P4178=0),"▶ NEXT","")</f>
        <v/>
      </c>
      <c r="L4178" s="4" t="n">
        <f aca="false">INDEX('Master List'!$F$2:$F$2594,O4178)</f>
        <v>1</v>
      </c>
      <c r="M4178" s="4" t="n">
        <f aca="false">INDEX('Master List'!$G$2:$G$2594,O4178)</f>
        <v>0</v>
      </c>
      <c r="N4178" s="4" t="str">
        <f aca="false">IF(K4178="","",A4178)</f>
        <v/>
      </c>
      <c r="O4178" s="4" t="n">
        <v>1843</v>
      </c>
      <c r="P4178" s="4" t="n">
        <f aca="false">IF(A4178=A4177,P4177+1-M4177,0)</f>
        <v>5</v>
      </c>
    </row>
    <row r="4179" customFormat="false" ht="15" hidden="false" customHeight="false" outlineLevel="0" collapsed="false">
      <c r="A4179" s="35" t="s">
        <v>4475</v>
      </c>
      <c r="B4179" s="35" t="s">
        <v>58</v>
      </c>
      <c r="C4179" s="35" t="s">
        <v>130</v>
      </c>
      <c r="D4179" s="35" t="s">
        <v>4476</v>
      </c>
      <c r="E4179" s="4" t="n">
        <v>11</v>
      </c>
      <c r="F4179" s="4" t="s">
        <v>1327</v>
      </c>
      <c r="G4179" s="4" t="s">
        <v>1411</v>
      </c>
      <c r="H4179" s="4" t="n">
        <v>2011</v>
      </c>
      <c r="I4179" s="4" t="s">
        <v>1412</v>
      </c>
      <c r="J4179" s="25" t="str">
        <f aca="false">IF(M4179=1,"✓","")</f>
        <v/>
      </c>
      <c r="K4179" s="4" t="str">
        <f aca="false">IF(AND(M4179=0,P4179=0),"▶ NEXT","")</f>
        <v/>
      </c>
      <c r="L4179" s="4" t="n">
        <f aca="false">INDEX('Master List'!$F$2:$F$2594,O4179)</f>
        <v>2</v>
      </c>
      <c r="M4179" s="4" t="n">
        <f aca="false">INDEX('Master List'!$G$2:$G$2594,O4179)</f>
        <v>0</v>
      </c>
      <c r="N4179" s="4" t="str">
        <f aca="false">IF(K4179="","",A4179)</f>
        <v/>
      </c>
      <c r="O4179" s="4" t="n">
        <v>2230</v>
      </c>
      <c r="P4179" s="4" t="n">
        <f aca="false">IF(A4179=A4178,P4178+1-M4178,0)</f>
        <v>6</v>
      </c>
    </row>
    <row r="4180" customFormat="false" ht="15" hidden="false" customHeight="false" outlineLevel="0" collapsed="false">
      <c r="A4180" s="35" t="s">
        <v>4477</v>
      </c>
      <c r="B4180" s="35" t="s">
        <v>58</v>
      </c>
      <c r="C4180" s="35" t="s">
        <v>130</v>
      </c>
      <c r="D4180" s="35" t="s">
        <v>4478</v>
      </c>
      <c r="E4180" s="4" t="n">
        <v>1</v>
      </c>
      <c r="F4180" s="4" t="s">
        <v>144</v>
      </c>
      <c r="G4180" s="7" t="s">
        <v>1512</v>
      </c>
      <c r="H4180" s="4" t="n">
        <v>1978</v>
      </c>
      <c r="I4180" s="4" t="s">
        <v>1513</v>
      </c>
      <c r="J4180" s="25" t="str">
        <f aca="false">IF(M4180=1,"✓","")</f>
        <v/>
      </c>
      <c r="K4180" s="4" t="str">
        <f aca="false">IF(AND(M4180=0,P4180=0),"▶ NEXT","")</f>
        <v>▶ NEXT</v>
      </c>
      <c r="L4180" s="4" t="n">
        <f aca="false">INDEX('Master List'!$F$2:$F$2594,O4180)</f>
        <v>1</v>
      </c>
      <c r="M4180" s="4" t="n">
        <f aca="false">INDEX('Master List'!$G$2:$G$2594,O4180)</f>
        <v>0</v>
      </c>
      <c r="N4180" s="4" t="str">
        <f aca="false">IF(K4180="","",A4180)</f>
        <v>N327</v>
      </c>
      <c r="O4180" s="4" t="n">
        <v>682</v>
      </c>
      <c r="P4180" s="4" t="n">
        <f aca="false">IF(A4180=A4179,P4179+1-M4179,0)</f>
        <v>0</v>
      </c>
    </row>
    <row r="4181" customFormat="false" ht="15" hidden="false" customHeight="false" outlineLevel="0" collapsed="false">
      <c r="A4181" s="35" t="s">
        <v>4477</v>
      </c>
      <c r="B4181" s="35" t="s">
        <v>58</v>
      </c>
      <c r="C4181" s="35" t="s">
        <v>130</v>
      </c>
      <c r="D4181" s="35" t="s">
        <v>4478</v>
      </c>
      <c r="E4181" s="4" t="n">
        <v>2</v>
      </c>
      <c r="F4181" s="4" t="s">
        <v>144</v>
      </c>
      <c r="G4181" s="7" t="s">
        <v>506</v>
      </c>
      <c r="H4181" s="4" t="n">
        <v>1998</v>
      </c>
      <c r="I4181" s="4" t="s">
        <v>490</v>
      </c>
      <c r="J4181" s="25" t="str">
        <f aca="false">IF(M4181=1,"✓","")</f>
        <v/>
      </c>
      <c r="K4181" s="4" t="str">
        <f aca="false">IF(AND(M4181=0,P4181=0),"▶ NEXT","")</f>
        <v/>
      </c>
      <c r="L4181" s="4" t="n">
        <f aca="false">INDEX('Master List'!$F$2:$F$2594,O4181)</f>
        <v>3</v>
      </c>
      <c r="M4181" s="4" t="n">
        <f aca="false">INDEX('Master List'!$G$2:$G$2594,O4181)</f>
        <v>0</v>
      </c>
      <c r="N4181" s="4" t="str">
        <f aca="false">IF(K4181="","",A4181)</f>
        <v/>
      </c>
      <c r="O4181" s="4" t="n">
        <v>1699</v>
      </c>
      <c r="P4181" s="4" t="n">
        <f aca="false">IF(A4181=A4180,P4180+1-M4180,0)</f>
        <v>1</v>
      </c>
    </row>
    <row r="4182" customFormat="false" ht="15" hidden="false" customHeight="false" outlineLevel="0" collapsed="false">
      <c r="A4182" s="35" t="s">
        <v>4477</v>
      </c>
      <c r="B4182" s="35" t="s">
        <v>58</v>
      </c>
      <c r="C4182" s="35" t="s">
        <v>130</v>
      </c>
      <c r="D4182" s="35" t="s">
        <v>4478</v>
      </c>
      <c r="E4182" s="4" t="n">
        <v>3</v>
      </c>
      <c r="F4182" s="4" t="s">
        <v>213</v>
      </c>
      <c r="G4182" s="4" t="s">
        <v>586</v>
      </c>
      <c r="H4182" s="4" t="n">
        <v>1968</v>
      </c>
      <c r="I4182" s="4" t="s">
        <v>587</v>
      </c>
      <c r="J4182" s="25" t="str">
        <f aca="false">IF(M4182=1,"✓","")</f>
        <v/>
      </c>
      <c r="K4182" s="4" t="str">
        <f aca="false">IF(AND(M4182=0,P4182=0),"▶ NEXT","")</f>
        <v/>
      </c>
      <c r="L4182" s="4" t="n">
        <f aca="false">INDEX('Master List'!$F$2:$F$2594,O4182)</f>
        <v>3</v>
      </c>
      <c r="M4182" s="4" t="n">
        <f aca="false">INDEX('Master List'!$G$2:$G$2594,O4182)</f>
        <v>0</v>
      </c>
      <c r="N4182" s="4" t="str">
        <f aca="false">IF(K4182="","",A4182)</f>
        <v/>
      </c>
      <c r="O4182" s="4" t="n">
        <v>367</v>
      </c>
      <c r="P4182" s="4" t="n">
        <f aca="false">IF(A4182=A4181,P4181+1-M4181,0)</f>
        <v>2</v>
      </c>
    </row>
    <row r="4183" customFormat="false" ht="15" hidden="false" customHeight="false" outlineLevel="0" collapsed="false">
      <c r="A4183" s="35" t="s">
        <v>4477</v>
      </c>
      <c r="B4183" s="35" t="s">
        <v>58</v>
      </c>
      <c r="C4183" s="35" t="s">
        <v>130</v>
      </c>
      <c r="D4183" s="35" t="s">
        <v>4478</v>
      </c>
      <c r="E4183" s="4" t="n">
        <v>4</v>
      </c>
      <c r="F4183" s="4" t="s">
        <v>213</v>
      </c>
      <c r="G4183" s="4" t="s">
        <v>598</v>
      </c>
      <c r="H4183" s="4" t="n">
        <v>1971</v>
      </c>
      <c r="I4183" s="4" t="s">
        <v>599</v>
      </c>
      <c r="J4183" s="25" t="str">
        <f aca="false">IF(M4183=1,"✓","")</f>
        <v/>
      </c>
      <c r="K4183" s="4" t="str">
        <f aca="false">IF(AND(M4183=0,P4183=0),"▶ NEXT","")</f>
        <v/>
      </c>
      <c r="L4183" s="4" t="n">
        <f aca="false">INDEX('Master List'!$F$2:$F$2594,O4183)</f>
        <v>3</v>
      </c>
      <c r="M4183" s="4" t="n">
        <f aca="false">INDEX('Master List'!$G$2:$G$2594,O4183)</f>
        <v>0</v>
      </c>
      <c r="N4183" s="4" t="str">
        <f aca="false">IF(K4183="","",A4183)</f>
        <v/>
      </c>
      <c r="O4183" s="4" t="n">
        <v>2422</v>
      </c>
      <c r="P4183" s="4" t="n">
        <f aca="false">IF(A4183=A4182,P4182+1-M4182,0)</f>
        <v>3</v>
      </c>
    </row>
    <row r="4184" customFormat="false" ht="15" hidden="false" customHeight="false" outlineLevel="0" collapsed="false">
      <c r="A4184" s="35" t="s">
        <v>4477</v>
      </c>
      <c r="B4184" s="35" t="s">
        <v>58</v>
      </c>
      <c r="C4184" s="35" t="s">
        <v>130</v>
      </c>
      <c r="D4184" s="35" t="s">
        <v>4478</v>
      </c>
      <c r="E4184" s="4" t="n">
        <v>5</v>
      </c>
      <c r="F4184" s="4" t="s">
        <v>213</v>
      </c>
      <c r="G4184" s="4" t="s">
        <v>968</v>
      </c>
      <c r="H4184" s="4" t="n">
        <v>1963</v>
      </c>
      <c r="I4184" s="4" t="s">
        <v>969</v>
      </c>
      <c r="J4184" s="25" t="str">
        <f aca="false">IF(M4184=1,"✓","")</f>
        <v/>
      </c>
      <c r="K4184" s="4" t="str">
        <f aca="false">IF(AND(M4184=0,P4184=0),"▶ NEXT","")</f>
        <v/>
      </c>
      <c r="L4184" s="4" t="n">
        <f aca="false">INDEX('Master List'!$F$2:$F$2594,O4184)</f>
        <v>2</v>
      </c>
      <c r="M4184" s="4" t="n">
        <f aca="false">INDEX('Master List'!$G$2:$G$2594,O4184)</f>
        <v>0</v>
      </c>
      <c r="N4184" s="4" t="str">
        <f aca="false">IF(K4184="","",A4184)</f>
        <v/>
      </c>
      <c r="O4184" s="4" t="n">
        <v>430</v>
      </c>
      <c r="P4184" s="4" t="n">
        <f aca="false">IF(A4184=A4183,P4183+1-M4183,0)</f>
        <v>4</v>
      </c>
    </row>
    <row r="4185" customFormat="false" ht="15" hidden="false" customHeight="false" outlineLevel="0" collapsed="false">
      <c r="A4185" s="35" t="s">
        <v>4477</v>
      </c>
      <c r="B4185" s="35" t="s">
        <v>58</v>
      </c>
      <c r="C4185" s="35" t="s">
        <v>130</v>
      </c>
      <c r="D4185" s="35" t="s">
        <v>4478</v>
      </c>
      <c r="E4185" s="4" t="n">
        <v>6</v>
      </c>
      <c r="F4185" s="4" t="s">
        <v>213</v>
      </c>
      <c r="G4185" s="4" t="s">
        <v>2133</v>
      </c>
      <c r="H4185" s="4" t="n">
        <v>1968</v>
      </c>
      <c r="I4185" s="4" t="s">
        <v>2116</v>
      </c>
      <c r="J4185" s="25" t="str">
        <f aca="false">IF(M4185=1,"✓","")</f>
        <v/>
      </c>
      <c r="K4185" s="4" t="str">
        <f aca="false">IF(AND(M4185=0,P4185=0),"▶ NEXT","")</f>
        <v/>
      </c>
      <c r="L4185" s="4" t="n">
        <f aca="false">INDEX('Master List'!$F$2:$F$2594,O4185)</f>
        <v>1</v>
      </c>
      <c r="M4185" s="4" t="n">
        <f aca="false">INDEX('Master List'!$G$2:$G$2594,O4185)</f>
        <v>0</v>
      </c>
      <c r="N4185" s="4" t="str">
        <f aca="false">IF(K4185="","",A4185)</f>
        <v/>
      </c>
      <c r="O4185" s="4" t="n">
        <v>2287</v>
      </c>
      <c r="P4185" s="4" t="n">
        <f aca="false">IF(A4185=A4184,P4184+1-M4184,0)</f>
        <v>5</v>
      </c>
    </row>
    <row r="4186" customFormat="false" ht="15" hidden="false" customHeight="false" outlineLevel="0" collapsed="false">
      <c r="A4186" s="35" t="s">
        <v>4477</v>
      </c>
      <c r="B4186" s="35" t="s">
        <v>58</v>
      </c>
      <c r="C4186" s="35" t="s">
        <v>130</v>
      </c>
      <c r="D4186" s="35" t="s">
        <v>4478</v>
      </c>
      <c r="E4186" s="4" t="n">
        <v>7</v>
      </c>
      <c r="F4186" s="4" t="s">
        <v>213</v>
      </c>
      <c r="G4186" s="4" t="s">
        <v>796</v>
      </c>
      <c r="H4186" s="4" t="n">
        <v>1973</v>
      </c>
      <c r="I4186" s="4" t="s">
        <v>797</v>
      </c>
      <c r="J4186" s="25" t="str">
        <f aca="false">IF(M4186=1,"✓","")</f>
        <v/>
      </c>
      <c r="K4186" s="4" t="str">
        <f aca="false">IF(AND(M4186=0,P4186=0),"▶ NEXT","")</f>
        <v/>
      </c>
      <c r="L4186" s="4" t="n">
        <f aca="false">INDEX('Master List'!$F$2:$F$2594,O4186)</f>
        <v>2</v>
      </c>
      <c r="M4186" s="4" t="n">
        <f aca="false">INDEX('Master List'!$G$2:$G$2594,O4186)</f>
        <v>0</v>
      </c>
      <c r="N4186" s="4" t="str">
        <f aca="false">IF(K4186="","",A4186)</f>
        <v/>
      </c>
      <c r="O4186" s="4" t="n">
        <v>2159</v>
      </c>
      <c r="P4186" s="4" t="n">
        <f aca="false">IF(A4186=A4185,P4185+1-M4185,0)</f>
        <v>6</v>
      </c>
    </row>
    <row r="4187" customFormat="false" ht="15" hidden="false" customHeight="false" outlineLevel="0" collapsed="false">
      <c r="A4187" s="35" t="s">
        <v>4477</v>
      </c>
      <c r="B4187" s="35" t="s">
        <v>58</v>
      </c>
      <c r="C4187" s="35" t="s">
        <v>130</v>
      </c>
      <c r="D4187" s="35" t="s">
        <v>4478</v>
      </c>
      <c r="E4187" s="4" t="n">
        <v>8</v>
      </c>
      <c r="F4187" s="4" t="s">
        <v>213</v>
      </c>
      <c r="G4187" s="4" t="s">
        <v>632</v>
      </c>
      <c r="H4187" s="4" t="n">
        <v>2001</v>
      </c>
      <c r="I4187" s="4" t="s">
        <v>490</v>
      </c>
      <c r="J4187" s="25" t="str">
        <f aca="false">IF(M4187=1,"✓","")</f>
        <v>✓</v>
      </c>
      <c r="K4187" s="4" t="str">
        <f aca="false">IF(AND(M4187=0,P4187=0),"▶ NEXT","")</f>
        <v/>
      </c>
      <c r="L4187" s="4" t="n">
        <f aca="false">INDEX('Master List'!$F$2:$F$2594,O4187)</f>
        <v>3</v>
      </c>
      <c r="M4187" s="4" t="n">
        <f aca="false">INDEX('Master List'!$G$2:$G$2594,O4187)</f>
        <v>1</v>
      </c>
      <c r="N4187" s="4" t="str">
        <f aca="false">IF(K4187="","",A4187)</f>
        <v/>
      </c>
      <c r="O4187" s="4" t="n">
        <v>1646</v>
      </c>
      <c r="P4187" s="4" t="n">
        <f aca="false">IF(A4187=A4186,P4186+1-M4186,0)</f>
        <v>7</v>
      </c>
    </row>
    <row r="4188" customFormat="false" ht="15" hidden="false" customHeight="false" outlineLevel="0" collapsed="false">
      <c r="A4188" s="35" t="s">
        <v>4477</v>
      </c>
      <c r="B4188" s="35" t="s">
        <v>58</v>
      </c>
      <c r="C4188" s="35" t="s">
        <v>130</v>
      </c>
      <c r="D4188" s="35" t="s">
        <v>4478</v>
      </c>
      <c r="E4188" s="4" t="n">
        <v>9</v>
      </c>
      <c r="F4188" s="4" t="s">
        <v>213</v>
      </c>
      <c r="G4188" s="4" t="s">
        <v>520</v>
      </c>
      <c r="H4188" s="4" t="n">
        <v>2011</v>
      </c>
      <c r="I4188" s="4" t="s">
        <v>521</v>
      </c>
      <c r="J4188" s="25" t="str">
        <f aca="false">IF(M4188=1,"✓","")</f>
        <v/>
      </c>
      <c r="K4188" s="4" t="str">
        <f aca="false">IF(AND(M4188=0,P4188=0),"▶ NEXT","")</f>
        <v/>
      </c>
      <c r="L4188" s="4" t="n">
        <f aca="false">INDEX('Master List'!$F$2:$F$2594,O4188)</f>
        <v>3</v>
      </c>
      <c r="M4188" s="4" t="n">
        <f aca="false">INDEX('Master List'!$G$2:$G$2594,O4188)</f>
        <v>0</v>
      </c>
      <c r="N4188" s="4" t="str">
        <f aca="false">IF(K4188="","",A4188)</f>
        <v/>
      </c>
      <c r="O4188" s="4" t="n">
        <v>680</v>
      </c>
      <c r="P4188" s="4" t="n">
        <f aca="false">IF(A4188=A4187,P4187+1-M4187,0)</f>
        <v>7</v>
      </c>
    </row>
    <row r="4189" customFormat="false" ht="15" hidden="false" customHeight="false" outlineLevel="0" collapsed="false">
      <c r="A4189" s="35" t="s">
        <v>4477</v>
      </c>
      <c r="B4189" s="35" t="s">
        <v>58</v>
      </c>
      <c r="C4189" s="35" t="s">
        <v>130</v>
      </c>
      <c r="D4189" s="35" t="s">
        <v>4478</v>
      </c>
      <c r="E4189" s="4" t="n">
        <v>10</v>
      </c>
      <c r="F4189" s="4" t="s">
        <v>1327</v>
      </c>
      <c r="G4189" s="4" t="s">
        <v>1656</v>
      </c>
      <c r="H4189" s="4" t="n">
        <v>1998</v>
      </c>
      <c r="I4189" s="4" t="s">
        <v>1657</v>
      </c>
      <c r="J4189" s="25" t="str">
        <f aca="false">IF(M4189=1,"✓","")</f>
        <v/>
      </c>
      <c r="K4189" s="4" t="str">
        <f aca="false">IF(AND(M4189=0,P4189=0),"▶ NEXT","")</f>
        <v/>
      </c>
      <c r="L4189" s="4" t="n">
        <f aca="false">INDEX('Master List'!$F$2:$F$2594,O4189)</f>
        <v>2</v>
      </c>
      <c r="M4189" s="4" t="n">
        <f aca="false">INDEX('Master List'!$G$2:$G$2594,O4189)</f>
        <v>0</v>
      </c>
      <c r="N4189" s="4" t="str">
        <f aca="false">IF(K4189="","",A4189)</f>
        <v/>
      </c>
      <c r="O4189" s="4" t="n">
        <v>1945</v>
      </c>
      <c r="P4189" s="4" t="n">
        <f aca="false">IF(A4189=A4188,P4188+1-M4188,0)</f>
        <v>8</v>
      </c>
    </row>
    <row r="4190" customFormat="false" ht="15" hidden="false" customHeight="false" outlineLevel="0" collapsed="false">
      <c r="A4190" s="35" t="s">
        <v>4477</v>
      </c>
      <c r="B4190" s="35" t="s">
        <v>58</v>
      </c>
      <c r="C4190" s="35" t="s">
        <v>130</v>
      </c>
      <c r="D4190" s="35" t="s">
        <v>4478</v>
      </c>
      <c r="E4190" s="4" t="n">
        <v>11</v>
      </c>
      <c r="F4190" s="4" t="s">
        <v>1327</v>
      </c>
      <c r="G4190" s="4" t="s">
        <v>774</v>
      </c>
      <c r="H4190" s="4" t="n">
        <v>1967</v>
      </c>
      <c r="I4190" s="4" t="s">
        <v>775</v>
      </c>
      <c r="J4190" s="25" t="str">
        <f aca="false">IF(M4190=1,"✓","")</f>
        <v/>
      </c>
      <c r="K4190" s="4" t="str">
        <f aca="false">IF(AND(M4190=0,P4190=0),"▶ NEXT","")</f>
        <v/>
      </c>
      <c r="L4190" s="4" t="n">
        <f aca="false">INDEX('Master List'!$F$2:$F$2594,O4190)</f>
        <v>3</v>
      </c>
      <c r="M4190" s="4" t="n">
        <f aca="false">INDEX('Master List'!$G$2:$G$2594,O4190)</f>
        <v>0</v>
      </c>
      <c r="N4190" s="4" t="str">
        <f aca="false">IF(K4190="","",A4190)</f>
        <v/>
      </c>
      <c r="O4190" s="4" t="n">
        <v>1783</v>
      </c>
      <c r="P4190" s="4" t="n">
        <f aca="false">IF(A4190=A4189,P4189+1-M4189,0)</f>
        <v>9</v>
      </c>
    </row>
    <row r="4191" customFormat="false" ht="15" hidden="false" customHeight="false" outlineLevel="0" collapsed="false">
      <c r="A4191" s="35" t="s">
        <v>4479</v>
      </c>
      <c r="B4191" s="35" t="s">
        <v>58</v>
      </c>
      <c r="C4191" s="35" t="s">
        <v>130</v>
      </c>
      <c r="D4191" s="35" t="s">
        <v>4480</v>
      </c>
      <c r="E4191" s="4" t="n">
        <v>1</v>
      </c>
      <c r="F4191" s="4" t="s">
        <v>144</v>
      </c>
      <c r="G4191" s="7" t="s">
        <v>238</v>
      </c>
      <c r="H4191" s="4" t="n">
        <v>1978</v>
      </c>
      <c r="I4191" s="4" t="s">
        <v>239</v>
      </c>
      <c r="J4191" s="25" t="str">
        <f aca="false">IF(M4191=1,"✓","")</f>
        <v/>
      </c>
      <c r="K4191" s="4" t="str">
        <f aca="false">IF(AND(M4191=0,P4191=0),"▶ NEXT","")</f>
        <v>▶ NEXT</v>
      </c>
      <c r="L4191" s="4" t="n">
        <f aca="false">INDEX('Master List'!$F$2:$F$2594,O4191)</f>
        <v>6</v>
      </c>
      <c r="M4191" s="4" t="n">
        <f aca="false">INDEX('Master List'!$G$2:$G$2594,O4191)</f>
        <v>0</v>
      </c>
      <c r="N4191" s="4" t="str">
        <f aca="false">IF(K4191="","",A4191)</f>
        <v>N328</v>
      </c>
      <c r="O4191" s="4" t="n">
        <v>1248</v>
      </c>
      <c r="P4191" s="4" t="n">
        <f aca="false">IF(A4191=A4190,P4190+1-M4190,0)</f>
        <v>0</v>
      </c>
    </row>
    <row r="4192" customFormat="false" ht="15" hidden="false" customHeight="false" outlineLevel="0" collapsed="false">
      <c r="A4192" s="35" t="s">
        <v>4479</v>
      </c>
      <c r="B4192" s="35" t="s">
        <v>58</v>
      </c>
      <c r="C4192" s="35" t="s">
        <v>130</v>
      </c>
      <c r="D4192" s="35" t="s">
        <v>4480</v>
      </c>
      <c r="E4192" s="4" t="n">
        <v>2</v>
      </c>
      <c r="F4192" s="4" t="s">
        <v>144</v>
      </c>
      <c r="G4192" s="7" t="s">
        <v>425</v>
      </c>
      <c r="H4192" s="4" t="n">
        <v>1995</v>
      </c>
      <c r="I4192" s="4" t="s">
        <v>426</v>
      </c>
      <c r="J4192" s="25" t="str">
        <f aca="false">IF(M4192=1,"✓","")</f>
        <v>✓</v>
      </c>
      <c r="K4192" s="4" t="str">
        <f aca="false">IF(AND(M4192=0,P4192=0),"▶ NEXT","")</f>
        <v/>
      </c>
      <c r="L4192" s="4" t="n">
        <f aca="false">INDEX('Master List'!$F$2:$F$2594,O4192)</f>
        <v>3</v>
      </c>
      <c r="M4192" s="4" t="n">
        <f aca="false">INDEX('Master List'!$G$2:$G$2594,O4192)</f>
        <v>1</v>
      </c>
      <c r="N4192" s="4" t="str">
        <f aca="false">IF(K4192="","",A4192)</f>
        <v/>
      </c>
      <c r="O4192" s="4" t="n">
        <v>978</v>
      </c>
      <c r="P4192" s="4" t="n">
        <f aca="false">IF(A4192=A4191,P4191+1-M4191,0)</f>
        <v>1</v>
      </c>
    </row>
    <row r="4193" customFormat="false" ht="15" hidden="false" customHeight="false" outlineLevel="0" collapsed="false">
      <c r="A4193" s="35" t="s">
        <v>4479</v>
      </c>
      <c r="B4193" s="35" t="s">
        <v>58</v>
      </c>
      <c r="C4193" s="35" t="s">
        <v>130</v>
      </c>
      <c r="D4193" s="35" t="s">
        <v>4480</v>
      </c>
      <c r="E4193" s="4" t="n">
        <v>3</v>
      </c>
      <c r="F4193" s="4" t="s">
        <v>213</v>
      </c>
      <c r="G4193" s="4" t="s">
        <v>1331</v>
      </c>
      <c r="H4193" s="4" t="n">
        <v>1964</v>
      </c>
      <c r="I4193" s="4" t="s">
        <v>1332</v>
      </c>
      <c r="J4193" s="25" t="str">
        <f aca="false">IF(M4193=1,"✓","")</f>
        <v/>
      </c>
      <c r="K4193" s="4" t="str">
        <f aca="false">IF(AND(M4193=0,P4193=0),"▶ NEXT","")</f>
        <v/>
      </c>
      <c r="L4193" s="4" t="n">
        <f aca="false">INDEX('Master List'!$F$2:$F$2594,O4193)</f>
        <v>2</v>
      </c>
      <c r="M4193" s="4" t="n">
        <f aca="false">INDEX('Master List'!$G$2:$G$2594,O4193)</f>
        <v>0</v>
      </c>
      <c r="N4193" s="4" t="str">
        <f aca="false">IF(K4193="","",A4193)</f>
        <v/>
      </c>
      <c r="O4193" s="4" t="n">
        <v>1636</v>
      </c>
      <c r="P4193" s="4" t="n">
        <f aca="false">IF(A4193=A4192,P4192+1-M4192,0)</f>
        <v>1</v>
      </c>
    </row>
    <row r="4194" customFormat="false" ht="15" hidden="false" customHeight="false" outlineLevel="0" collapsed="false">
      <c r="A4194" s="35" t="s">
        <v>4479</v>
      </c>
      <c r="B4194" s="35" t="s">
        <v>58</v>
      </c>
      <c r="C4194" s="35" t="s">
        <v>130</v>
      </c>
      <c r="D4194" s="35" t="s">
        <v>4480</v>
      </c>
      <c r="E4194" s="4" t="n">
        <v>4</v>
      </c>
      <c r="F4194" s="4" t="s">
        <v>213</v>
      </c>
      <c r="G4194" s="4" t="s">
        <v>371</v>
      </c>
      <c r="H4194" s="4" t="n">
        <v>1991</v>
      </c>
      <c r="I4194" s="4" t="s">
        <v>372</v>
      </c>
      <c r="J4194" s="25" t="str">
        <f aca="false">IF(M4194=1,"✓","")</f>
        <v/>
      </c>
      <c r="K4194" s="4" t="str">
        <f aca="false">IF(AND(M4194=0,P4194=0),"▶ NEXT","")</f>
        <v/>
      </c>
      <c r="L4194" s="4" t="n">
        <f aca="false">INDEX('Master List'!$F$2:$F$2594,O4194)</f>
        <v>4</v>
      </c>
      <c r="M4194" s="4" t="n">
        <f aca="false">INDEX('Master List'!$G$2:$G$2594,O4194)</f>
        <v>0</v>
      </c>
      <c r="N4194" s="4" t="str">
        <f aca="false">IF(K4194="","",A4194)</f>
        <v/>
      </c>
      <c r="O4194" s="4" t="n">
        <v>333</v>
      </c>
      <c r="P4194" s="4" t="n">
        <f aca="false">IF(A4194=A4193,P4193+1-M4193,0)</f>
        <v>2</v>
      </c>
    </row>
    <row r="4195" customFormat="false" ht="15" hidden="false" customHeight="false" outlineLevel="0" collapsed="false">
      <c r="A4195" s="35" t="s">
        <v>4479</v>
      </c>
      <c r="B4195" s="35" t="s">
        <v>58</v>
      </c>
      <c r="C4195" s="35" t="s">
        <v>130</v>
      </c>
      <c r="D4195" s="35" t="s">
        <v>4480</v>
      </c>
      <c r="E4195" s="4" t="n">
        <v>5</v>
      </c>
      <c r="F4195" s="4" t="s">
        <v>213</v>
      </c>
      <c r="G4195" s="4" t="s">
        <v>497</v>
      </c>
      <c r="H4195" s="4" t="n">
        <v>1992</v>
      </c>
      <c r="I4195" s="4" t="s">
        <v>148</v>
      </c>
      <c r="J4195" s="25" t="str">
        <f aca="false">IF(M4195=1,"✓","")</f>
        <v/>
      </c>
      <c r="K4195" s="4" t="str">
        <f aca="false">IF(AND(M4195=0,P4195=0),"▶ NEXT","")</f>
        <v/>
      </c>
      <c r="L4195" s="4" t="n">
        <f aca="false">INDEX('Master List'!$F$2:$F$2594,O4195)</f>
        <v>3</v>
      </c>
      <c r="M4195" s="4" t="n">
        <f aca="false">INDEX('Master List'!$G$2:$G$2594,O4195)</f>
        <v>0</v>
      </c>
      <c r="N4195" s="4" t="str">
        <f aca="false">IF(K4195="","",A4195)</f>
        <v/>
      </c>
      <c r="O4195" s="4" t="n">
        <v>1418</v>
      </c>
      <c r="P4195" s="4" t="n">
        <f aca="false">IF(A4195=A4194,P4194+1-M4194,0)</f>
        <v>3</v>
      </c>
    </row>
    <row r="4196" customFormat="false" ht="15" hidden="false" customHeight="false" outlineLevel="0" collapsed="false">
      <c r="A4196" s="35" t="s">
        <v>4479</v>
      </c>
      <c r="B4196" s="35" t="s">
        <v>58</v>
      </c>
      <c r="C4196" s="35" t="s">
        <v>130</v>
      </c>
      <c r="D4196" s="35" t="s">
        <v>4480</v>
      </c>
      <c r="E4196" s="4" t="n">
        <v>6</v>
      </c>
      <c r="F4196" s="4" t="s">
        <v>213</v>
      </c>
      <c r="G4196" s="4" t="s">
        <v>499</v>
      </c>
      <c r="H4196" s="4" t="n">
        <v>1993</v>
      </c>
      <c r="I4196" s="4" t="s">
        <v>500</v>
      </c>
      <c r="J4196" s="25" t="str">
        <f aca="false">IF(M4196=1,"✓","")</f>
        <v/>
      </c>
      <c r="K4196" s="4" t="str">
        <f aca="false">IF(AND(M4196=0,P4196=0),"▶ NEXT","")</f>
        <v/>
      </c>
      <c r="L4196" s="4" t="n">
        <f aca="false">INDEX('Master List'!$F$2:$F$2594,O4196)</f>
        <v>3</v>
      </c>
      <c r="M4196" s="4" t="n">
        <f aca="false">INDEX('Master List'!$G$2:$G$2594,O4196)</f>
        <v>0</v>
      </c>
      <c r="N4196" s="4" t="str">
        <f aca="false">IF(K4196="","",A4196)</f>
        <v/>
      </c>
      <c r="O4196" s="4" t="n">
        <v>1480</v>
      </c>
      <c r="P4196" s="4" t="n">
        <f aca="false">IF(A4196=A4195,P4195+1-M4195,0)</f>
        <v>4</v>
      </c>
    </row>
    <row r="4197" customFormat="false" ht="15" hidden="false" customHeight="false" outlineLevel="0" collapsed="false">
      <c r="A4197" s="35" t="s">
        <v>4479</v>
      </c>
      <c r="B4197" s="35" t="s">
        <v>58</v>
      </c>
      <c r="C4197" s="35" t="s">
        <v>130</v>
      </c>
      <c r="D4197" s="35" t="s">
        <v>4480</v>
      </c>
      <c r="E4197" s="4" t="n">
        <v>7</v>
      </c>
      <c r="F4197" s="4" t="s">
        <v>213</v>
      </c>
      <c r="G4197" s="4" t="s">
        <v>165</v>
      </c>
      <c r="H4197" s="4" t="n">
        <v>2016</v>
      </c>
      <c r="I4197" s="4" t="s">
        <v>166</v>
      </c>
      <c r="J4197" s="25" t="str">
        <f aca="false">IF(M4197=1,"✓","")</f>
        <v>✓</v>
      </c>
      <c r="K4197" s="4" t="str">
        <f aca="false">IF(AND(M4197=0,P4197=0),"▶ NEXT","")</f>
        <v/>
      </c>
      <c r="L4197" s="4" t="n">
        <f aca="false">INDEX('Master List'!$F$2:$F$2594,O4197)</f>
        <v>8</v>
      </c>
      <c r="M4197" s="4" t="n">
        <f aca="false">INDEX('Master List'!$G$2:$G$2594,O4197)</f>
        <v>1</v>
      </c>
      <c r="N4197" s="4" t="str">
        <f aca="false">IF(K4197="","",A4197)</f>
        <v/>
      </c>
      <c r="O4197" s="4" t="n">
        <v>1532</v>
      </c>
      <c r="P4197" s="4" t="n">
        <f aca="false">IF(A4197=A4196,P4196+1-M4196,0)</f>
        <v>5</v>
      </c>
    </row>
    <row r="4198" customFormat="false" ht="15" hidden="false" customHeight="false" outlineLevel="0" collapsed="false">
      <c r="A4198" s="35" t="s">
        <v>4479</v>
      </c>
      <c r="B4198" s="35" t="s">
        <v>58</v>
      </c>
      <c r="C4198" s="35" t="s">
        <v>130</v>
      </c>
      <c r="D4198" s="35" t="s">
        <v>4480</v>
      </c>
      <c r="E4198" s="4" t="n">
        <v>8</v>
      </c>
      <c r="F4198" s="4" t="s">
        <v>213</v>
      </c>
      <c r="G4198" s="4" t="s">
        <v>3164</v>
      </c>
      <c r="H4198" s="4" t="n">
        <v>2018</v>
      </c>
      <c r="I4198" s="4" t="s">
        <v>3165</v>
      </c>
      <c r="J4198" s="25" t="str">
        <f aca="false">IF(M4198=1,"✓","")</f>
        <v/>
      </c>
      <c r="K4198" s="4" t="str">
        <f aca="false">IF(AND(M4198=0,P4198=0),"▶ NEXT","")</f>
        <v/>
      </c>
      <c r="L4198" s="4" t="n">
        <f aca="false">INDEX('Master List'!$F$2:$F$2594,O4198)</f>
        <v>1</v>
      </c>
      <c r="M4198" s="4" t="n">
        <f aca="false">INDEX('Master List'!$G$2:$G$2594,O4198)</f>
        <v>0</v>
      </c>
      <c r="N4198" s="4" t="str">
        <f aca="false">IF(K4198="","",A4198)</f>
        <v/>
      </c>
      <c r="O4198" s="4" t="n">
        <v>286</v>
      </c>
      <c r="P4198" s="4" t="n">
        <f aca="false">IF(A4198=A4197,P4197+1-M4197,0)</f>
        <v>5</v>
      </c>
    </row>
    <row r="4199" customFormat="false" ht="15" hidden="false" customHeight="false" outlineLevel="0" collapsed="false">
      <c r="A4199" s="35" t="s">
        <v>4479</v>
      </c>
      <c r="B4199" s="35" t="s">
        <v>58</v>
      </c>
      <c r="C4199" s="35" t="s">
        <v>130</v>
      </c>
      <c r="D4199" s="35" t="s">
        <v>4480</v>
      </c>
      <c r="E4199" s="4" t="n">
        <v>9</v>
      </c>
      <c r="F4199" s="4" t="s">
        <v>213</v>
      </c>
      <c r="G4199" s="4" t="s">
        <v>3166</v>
      </c>
      <c r="H4199" s="4" t="n">
        <v>2018</v>
      </c>
      <c r="I4199" s="4" t="s">
        <v>166</v>
      </c>
      <c r="J4199" s="25" t="str">
        <f aca="false">IF(M4199=1,"✓","")</f>
        <v/>
      </c>
      <c r="K4199" s="4" t="str">
        <f aca="false">IF(AND(M4199=0,P4199=0),"▶ NEXT","")</f>
        <v/>
      </c>
      <c r="L4199" s="4" t="n">
        <f aca="false">INDEX('Master List'!$F$2:$F$2594,O4199)</f>
        <v>1</v>
      </c>
      <c r="M4199" s="4" t="n">
        <f aca="false">INDEX('Master List'!$G$2:$G$2594,O4199)</f>
        <v>0</v>
      </c>
      <c r="N4199" s="4" t="str">
        <f aca="false">IF(K4199="","",A4199)</f>
        <v/>
      </c>
      <c r="O4199" s="4" t="n">
        <v>1117</v>
      </c>
      <c r="P4199" s="4" t="n">
        <f aca="false">IF(A4199=A4198,P4198+1-M4198,0)</f>
        <v>6</v>
      </c>
    </row>
    <row r="4200" customFormat="false" ht="15" hidden="false" customHeight="false" outlineLevel="0" collapsed="false">
      <c r="A4200" s="35" t="s">
        <v>4479</v>
      </c>
      <c r="B4200" s="35" t="s">
        <v>58</v>
      </c>
      <c r="C4200" s="35" t="s">
        <v>130</v>
      </c>
      <c r="D4200" s="35" t="s">
        <v>4480</v>
      </c>
      <c r="E4200" s="4" t="n">
        <v>10</v>
      </c>
      <c r="F4200" s="4" t="s">
        <v>1327</v>
      </c>
      <c r="G4200" s="4" t="s">
        <v>1341</v>
      </c>
      <c r="H4200" s="4" t="n">
        <v>1969</v>
      </c>
      <c r="I4200" s="4" t="s">
        <v>1342</v>
      </c>
      <c r="J4200" s="25" t="str">
        <f aca="false">IF(M4200=1,"✓","")</f>
        <v/>
      </c>
      <c r="K4200" s="4" t="str">
        <f aca="false">IF(AND(M4200=0,P4200=0),"▶ NEXT","")</f>
        <v/>
      </c>
      <c r="L4200" s="4" t="n">
        <f aca="false">INDEX('Master List'!$F$2:$F$2594,O4200)</f>
        <v>2</v>
      </c>
      <c r="M4200" s="4" t="n">
        <f aca="false">INDEX('Master List'!$G$2:$G$2594,O4200)</f>
        <v>0</v>
      </c>
      <c r="N4200" s="4" t="str">
        <f aca="false">IF(K4200="","",A4200)</f>
        <v/>
      </c>
      <c r="O4200" s="4" t="n">
        <v>1470</v>
      </c>
      <c r="P4200" s="4" t="n">
        <f aca="false">IF(A4200=A4199,P4199+1-M4199,0)</f>
        <v>7</v>
      </c>
    </row>
    <row r="4201" customFormat="false" ht="15" hidden="false" customHeight="false" outlineLevel="0" collapsed="false">
      <c r="A4201" s="35" t="s">
        <v>4481</v>
      </c>
      <c r="B4201" s="35" t="s">
        <v>58</v>
      </c>
      <c r="C4201" s="35" t="s">
        <v>130</v>
      </c>
      <c r="D4201" s="35" t="s">
        <v>4482</v>
      </c>
      <c r="E4201" s="4" t="n">
        <v>1</v>
      </c>
      <c r="F4201" s="4" t="s">
        <v>144</v>
      </c>
      <c r="G4201" s="7" t="s">
        <v>226</v>
      </c>
      <c r="H4201" s="4" t="n">
        <v>1952</v>
      </c>
      <c r="I4201" s="4" t="s">
        <v>160</v>
      </c>
      <c r="J4201" s="25" t="str">
        <f aca="false">IF(M4201=1,"✓","")</f>
        <v/>
      </c>
      <c r="K4201" s="4" t="str">
        <f aca="false">IF(AND(M4201=0,P4201=0),"▶ NEXT","")</f>
        <v>▶ NEXT</v>
      </c>
      <c r="L4201" s="4" t="n">
        <f aca="false">INDEX('Master List'!$F$2:$F$2594,O4201)</f>
        <v>6</v>
      </c>
      <c r="M4201" s="4" t="n">
        <f aca="false">INDEX('Master List'!$G$2:$G$2594,O4201)</f>
        <v>0</v>
      </c>
      <c r="N4201" s="4" t="str">
        <f aca="false">IF(K4201="","",A4201)</f>
        <v>N329</v>
      </c>
      <c r="O4201" s="4" t="n">
        <v>2395</v>
      </c>
      <c r="P4201" s="4" t="n">
        <f aca="false">IF(A4201=A4200,P4200+1-M4200,0)</f>
        <v>0</v>
      </c>
    </row>
    <row r="4202" customFormat="false" ht="15" hidden="false" customHeight="false" outlineLevel="0" collapsed="false">
      <c r="A4202" s="35" t="s">
        <v>4481</v>
      </c>
      <c r="B4202" s="35" t="s">
        <v>58</v>
      </c>
      <c r="C4202" s="35" t="s">
        <v>130</v>
      </c>
      <c r="D4202" s="35" t="s">
        <v>4482</v>
      </c>
      <c r="E4202" s="4" t="n">
        <v>2</v>
      </c>
      <c r="F4202" s="4" t="s">
        <v>144</v>
      </c>
      <c r="G4202" s="7" t="s">
        <v>159</v>
      </c>
      <c r="H4202" s="4" t="n">
        <v>1948</v>
      </c>
      <c r="I4202" s="4" t="s">
        <v>160</v>
      </c>
      <c r="J4202" s="25" t="str">
        <f aca="false">IF(M4202=1,"✓","")</f>
        <v/>
      </c>
      <c r="K4202" s="4" t="str">
        <f aca="false">IF(AND(M4202=0,P4202=0),"▶ NEXT","")</f>
        <v/>
      </c>
      <c r="L4202" s="4" t="n">
        <f aca="false">INDEX('Master List'!$F$2:$F$2594,O4202)</f>
        <v>7</v>
      </c>
      <c r="M4202" s="4" t="n">
        <f aca="false">INDEX('Master List'!$G$2:$G$2594,O4202)</f>
        <v>0</v>
      </c>
      <c r="N4202" s="4" t="str">
        <f aca="false">IF(K4202="","",A4202)</f>
        <v/>
      </c>
      <c r="O4202" s="4" t="n">
        <v>238</v>
      </c>
      <c r="P4202" s="4" t="n">
        <f aca="false">IF(A4202=A4201,P4201+1-M4201,0)</f>
        <v>1</v>
      </c>
    </row>
    <row r="4203" customFormat="false" ht="15" hidden="false" customHeight="false" outlineLevel="0" collapsed="false">
      <c r="A4203" s="35" t="s">
        <v>4481</v>
      </c>
      <c r="B4203" s="35" t="s">
        <v>58</v>
      </c>
      <c r="C4203" s="35" t="s">
        <v>130</v>
      </c>
      <c r="D4203" s="35" t="s">
        <v>4482</v>
      </c>
      <c r="E4203" s="4" t="n">
        <v>3</v>
      </c>
      <c r="F4203" s="4" t="s">
        <v>213</v>
      </c>
      <c r="G4203" s="4" t="s">
        <v>358</v>
      </c>
      <c r="H4203" s="4" t="n">
        <v>1969</v>
      </c>
      <c r="I4203" s="4" t="s">
        <v>359</v>
      </c>
      <c r="J4203" s="25" t="str">
        <f aca="false">IF(M4203=1,"✓","")</f>
        <v/>
      </c>
      <c r="K4203" s="4" t="str">
        <f aca="false">IF(AND(M4203=0,P4203=0),"▶ NEXT","")</f>
        <v/>
      </c>
      <c r="L4203" s="4" t="n">
        <f aca="false">INDEX('Master List'!$F$2:$F$2594,O4203)</f>
        <v>4</v>
      </c>
      <c r="M4203" s="4" t="n">
        <f aca="false">INDEX('Master List'!$G$2:$G$2594,O4203)</f>
        <v>0</v>
      </c>
      <c r="N4203" s="4" t="str">
        <f aca="false">IF(K4203="","",A4203)</f>
        <v/>
      </c>
      <c r="O4203" s="4" t="n">
        <v>1236</v>
      </c>
      <c r="P4203" s="4" t="n">
        <f aca="false">IF(A4203=A4202,P4202+1-M4202,0)</f>
        <v>2</v>
      </c>
    </row>
    <row r="4204" customFormat="false" ht="15" hidden="false" customHeight="false" outlineLevel="0" collapsed="false">
      <c r="A4204" s="35" t="s">
        <v>4481</v>
      </c>
      <c r="B4204" s="35" t="s">
        <v>58</v>
      </c>
      <c r="C4204" s="35" t="s">
        <v>130</v>
      </c>
      <c r="D4204" s="35" t="s">
        <v>4482</v>
      </c>
      <c r="E4204" s="4" t="n">
        <v>4</v>
      </c>
      <c r="F4204" s="4" t="s">
        <v>213</v>
      </c>
      <c r="G4204" s="4" t="s">
        <v>866</v>
      </c>
      <c r="H4204" s="4" t="n">
        <v>2008</v>
      </c>
      <c r="I4204" s="4" t="s">
        <v>867</v>
      </c>
      <c r="J4204" s="25" t="str">
        <f aca="false">IF(M4204=1,"✓","")</f>
        <v/>
      </c>
      <c r="K4204" s="4" t="str">
        <f aca="false">IF(AND(M4204=0,P4204=0),"▶ NEXT","")</f>
        <v/>
      </c>
      <c r="L4204" s="4" t="n">
        <f aca="false">INDEX('Master List'!$F$2:$F$2594,O4204)</f>
        <v>2</v>
      </c>
      <c r="M4204" s="4" t="n">
        <f aca="false">INDEX('Master List'!$G$2:$G$2594,O4204)</f>
        <v>0</v>
      </c>
      <c r="N4204" s="4" t="str">
        <f aca="false">IF(K4204="","",A4204)</f>
        <v/>
      </c>
      <c r="O4204" s="4" t="n">
        <v>2482</v>
      </c>
      <c r="P4204" s="4" t="n">
        <f aca="false">IF(A4204=A4203,P4203+1-M4203,0)</f>
        <v>3</v>
      </c>
    </row>
    <row r="4205" customFormat="false" ht="15" hidden="false" customHeight="false" outlineLevel="0" collapsed="false">
      <c r="A4205" s="35" t="s">
        <v>4481</v>
      </c>
      <c r="B4205" s="35" t="s">
        <v>58</v>
      </c>
      <c r="C4205" s="35" t="s">
        <v>130</v>
      </c>
      <c r="D4205" s="35" t="s">
        <v>4482</v>
      </c>
      <c r="E4205" s="4" t="n">
        <v>5</v>
      </c>
      <c r="F4205" s="4" t="s">
        <v>213</v>
      </c>
      <c r="G4205" s="4" t="s">
        <v>627</v>
      </c>
      <c r="H4205" s="4" t="n">
        <v>1999</v>
      </c>
      <c r="I4205" s="4" t="s">
        <v>628</v>
      </c>
      <c r="J4205" s="25" t="str">
        <f aca="false">IF(M4205=1,"✓","")</f>
        <v/>
      </c>
      <c r="K4205" s="4" t="str">
        <f aca="false">IF(AND(M4205=0,P4205=0),"▶ NEXT","")</f>
        <v/>
      </c>
      <c r="L4205" s="4" t="n">
        <f aca="false">INDEX('Master List'!$F$2:$F$2594,O4205)</f>
        <v>3</v>
      </c>
      <c r="M4205" s="4" t="n">
        <f aca="false">INDEX('Master List'!$G$2:$G$2594,O4205)</f>
        <v>0</v>
      </c>
      <c r="N4205" s="4" t="str">
        <f aca="false">IF(K4205="","",A4205)</f>
        <v/>
      </c>
      <c r="O4205" s="4" t="n">
        <v>1935</v>
      </c>
      <c r="P4205" s="4" t="n">
        <f aca="false">IF(A4205=A4204,P4204+1-M4204,0)</f>
        <v>4</v>
      </c>
    </row>
    <row r="4206" customFormat="false" ht="15" hidden="false" customHeight="false" outlineLevel="0" collapsed="false">
      <c r="A4206" s="35" t="s">
        <v>4481</v>
      </c>
      <c r="B4206" s="35" t="s">
        <v>58</v>
      </c>
      <c r="C4206" s="35" t="s">
        <v>130</v>
      </c>
      <c r="D4206" s="35" t="s">
        <v>4482</v>
      </c>
      <c r="E4206" s="4" t="n">
        <v>6</v>
      </c>
      <c r="F4206" s="4" t="s">
        <v>213</v>
      </c>
      <c r="G4206" s="4" t="s">
        <v>1220</v>
      </c>
      <c r="H4206" s="4" t="n">
        <v>2014</v>
      </c>
      <c r="I4206" s="4" t="s">
        <v>628</v>
      </c>
      <c r="J4206" s="25" t="str">
        <f aca="false">IF(M4206=1,"✓","")</f>
        <v/>
      </c>
      <c r="K4206" s="4" t="str">
        <f aca="false">IF(AND(M4206=0,P4206=0),"▶ NEXT","")</f>
        <v/>
      </c>
      <c r="L4206" s="4" t="n">
        <f aca="false">INDEX('Master List'!$F$2:$F$2594,O4206)</f>
        <v>2</v>
      </c>
      <c r="M4206" s="4" t="n">
        <f aca="false">INDEX('Master List'!$G$2:$G$2594,O4206)</f>
        <v>0</v>
      </c>
      <c r="N4206" s="4" t="str">
        <f aca="false">IF(K4206="","",A4206)</f>
        <v/>
      </c>
      <c r="O4206" s="4" t="n">
        <v>2389</v>
      </c>
      <c r="P4206" s="4" t="n">
        <f aca="false">IF(A4206=A4205,P4205+1-M4205,0)</f>
        <v>5</v>
      </c>
    </row>
    <row r="4207" customFormat="false" ht="15" hidden="false" customHeight="false" outlineLevel="0" collapsed="false">
      <c r="A4207" s="35" t="s">
        <v>4481</v>
      </c>
      <c r="B4207" s="35" t="s">
        <v>58</v>
      </c>
      <c r="C4207" s="35" t="s">
        <v>130</v>
      </c>
      <c r="D4207" s="35" t="s">
        <v>4482</v>
      </c>
      <c r="E4207" s="4" t="n">
        <v>7</v>
      </c>
      <c r="F4207" s="4" t="s">
        <v>213</v>
      </c>
      <c r="G4207" s="4" t="s">
        <v>1252</v>
      </c>
      <c r="H4207" s="4" t="n">
        <v>2019</v>
      </c>
      <c r="I4207" s="4" t="s">
        <v>359</v>
      </c>
      <c r="J4207" s="25" t="str">
        <f aca="false">IF(M4207=1,"✓","")</f>
        <v/>
      </c>
      <c r="K4207" s="4" t="str">
        <f aca="false">IF(AND(M4207=0,P4207=0),"▶ NEXT","")</f>
        <v/>
      </c>
      <c r="L4207" s="4" t="n">
        <f aca="false">INDEX('Master List'!$F$2:$F$2594,O4207)</f>
        <v>2</v>
      </c>
      <c r="M4207" s="4" t="n">
        <f aca="false">INDEX('Master List'!$G$2:$G$2594,O4207)</f>
        <v>0</v>
      </c>
      <c r="N4207" s="4" t="str">
        <f aca="false">IF(K4207="","",A4207)</f>
        <v/>
      </c>
      <c r="O4207" s="4" t="n">
        <v>2120</v>
      </c>
      <c r="P4207" s="4" t="n">
        <f aca="false">IF(A4207=A4206,P4206+1-M4206,0)</f>
        <v>6</v>
      </c>
    </row>
    <row r="4208" customFormat="false" ht="15" hidden="false" customHeight="false" outlineLevel="0" collapsed="false">
      <c r="A4208" s="35" t="s">
        <v>4481</v>
      </c>
      <c r="B4208" s="35" t="s">
        <v>58</v>
      </c>
      <c r="C4208" s="35" t="s">
        <v>130</v>
      </c>
      <c r="D4208" s="35" t="s">
        <v>4482</v>
      </c>
      <c r="E4208" s="4" t="n">
        <v>8</v>
      </c>
      <c r="F4208" s="4" t="s">
        <v>213</v>
      </c>
      <c r="G4208" s="4" t="s">
        <v>1257</v>
      </c>
      <c r="H4208" s="4" t="n">
        <v>2020</v>
      </c>
      <c r="I4208" s="4" t="s">
        <v>1258</v>
      </c>
      <c r="J4208" s="25" t="str">
        <f aca="false">IF(M4208=1,"✓","")</f>
        <v>✓</v>
      </c>
      <c r="K4208" s="4" t="str">
        <f aca="false">IF(AND(M4208=0,P4208=0),"▶ NEXT","")</f>
        <v/>
      </c>
      <c r="L4208" s="4" t="n">
        <f aca="false">INDEX('Master List'!$F$2:$F$2594,O4208)</f>
        <v>2</v>
      </c>
      <c r="M4208" s="4" t="n">
        <f aca="false">INDEX('Master List'!$G$2:$G$2594,O4208)</f>
        <v>1</v>
      </c>
      <c r="N4208" s="4" t="str">
        <f aca="false">IF(K4208="","",A4208)</f>
        <v/>
      </c>
      <c r="O4208" s="4" t="n">
        <v>1625</v>
      </c>
      <c r="P4208" s="4" t="n">
        <f aca="false">IF(A4208=A4207,P4207+1-M4207,0)</f>
        <v>7</v>
      </c>
    </row>
    <row r="4209" customFormat="false" ht="15" hidden="false" customHeight="false" outlineLevel="0" collapsed="false">
      <c r="A4209" s="35" t="s">
        <v>4481</v>
      </c>
      <c r="B4209" s="35" t="s">
        <v>58</v>
      </c>
      <c r="C4209" s="35" t="s">
        <v>130</v>
      </c>
      <c r="D4209" s="35" t="s">
        <v>4482</v>
      </c>
      <c r="E4209" s="4" t="n">
        <v>9</v>
      </c>
      <c r="F4209" s="4" t="s">
        <v>1327</v>
      </c>
      <c r="G4209" s="4" t="s">
        <v>3685</v>
      </c>
      <c r="H4209" s="4" t="n">
        <v>1994</v>
      </c>
      <c r="I4209" s="4" t="s">
        <v>359</v>
      </c>
      <c r="J4209" s="25" t="str">
        <f aca="false">IF(M4209=1,"✓","")</f>
        <v/>
      </c>
      <c r="K4209" s="4" t="str">
        <f aca="false">IF(AND(M4209=0,P4209=0),"▶ NEXT","")</f>
        <v/>
      </c>
      <c r="L4209" s="4" t="n">
        <f aca="false">INDEX('Master List'!$F$2:$F$2594,O4209)</f>
        <v>1</v>
      </c>
      <c r="M4209" s="4" t="n">
        <f aca="false">INDEX('Master List'!$G$2:$G$2594,O4209)</f>
        <v>0</v>
      </c>
      <c r="N4209" s="4" t="str">
        <f aca="false">IF(K4209="","",A4209)</f>
        <v/>
      </c>
      <c r="O4209" s="4" t="n">
        <v>1284</v>
      </c>
      <c r="P4209" s="4" t="n">
        <f aca="false">IF(A4209=A4208,P4208+1-M4208,0)</f>
        <v>7</v>
      </c>
    </row>
    <row r="4210" customFormat="false" ht="15" hidden="false" customHeight="false" outlineLevel="0" collapsed="false">
      <c r="A4210" s="35" t="s">
        <v>4483</v>
      </c>
      <c r="B4210" s="35" t="s">
        <v>58</v>
      </c>
      <c r="C4210" s="35" t="s">
        <v>130</v>
      </c>
      <c r="D4210" s="35" t="s">
        <v>4484</v>
      </c>
      <c r="E4210" s="4" t="n">
        <v>1</v>
      </c>
      <c r="F4210" s="4" t="s">
        <v>144</v>
      </c>
      <c r="G4210" s="7" t="s">
        <v>798</v>
      </c>
      <c r="H4210" s="4" t="n">
        <v>1973</v>
      </c>
      <c r="I4210" s="4" t="s">
        <v>421</v>
      </c>
      <c r="J4210" s="25" t="str">
        <f aca="false">IF(M4210=1,"✓","")</f>
        <v/>
      </c>
      <c r="K4210" s="4" t="str">
        <f aca="false">IF(AND(M4210=0,P4210=0),"▶ NEXT","")</f>
        <v>▶ NEXT</v>
      </c>
      <c r="L4210" s="4" t="n">
        <f aca="false">INDEX('Master List'!$F$2:$F$2594,O4210)</f>
        <v>2</v>
      </c>
      <c r="M4210" s="4" t="n">
        <f aca="false">INDEX('Master List'!$G$2:$G$2594,O4210)</f>
        <v>0</v>
      </c>
      <c r="N4210" s="4" t="str">
        <f aca="false">IF(K4210="","",A4210)</f>
        <v>N330</v>
      </c>
      <c r="O4210" s="4" t="n">
        <v>1056</v>
      </c>
      <c r="P4210" s="4" t="n">
        <f aca="false">IF(A4210=A4209,P4209+1-M4209,0)</f>
        <v>0</v>
      </c>
    </row>
    <row r="4211" customFormat="false" ht="15" hidden="false" customHeight="false" outlineLevel="0" collapsed="false">
      <c r="A4211" s="35" t="s">
        <v>4483</v>
      </c>
      <c r="B4211" s="35" t="s">
        <v>58</v>
      </c>
      <c r="C4211" s="35" t="s">
        <v>130</v>
      </c>
      <c r="D4211" s="35" t="s">
        <v>4484</v>
      </c>
      <c r="E4211" s="4" t="n">
        <v>2</v>
      </c>
      <c r="F4211" s="4" t="s">
        <v>144</v>
      </c>
      <c r="G4211" s="7" t="s">
        <v>337</v>
      </c>
      <c r="H4211" s="4" t="n">
        <v>1967</v>
      </c>
      <c r="I4211" s="4" t="s">
        <v>338</v>
      </c>
      <c r="J4211" s="25" t="str">
        <f aca="false">IF(M4211=1,"✓","")</f>
        <v/>
      </c>
      <c r="K4211" s="4" t="str">
        <f aca="false">IF(AND(M4211=0,P4211=0),"▶ NEXT","")</f>
        <v/>
      </c>
      <c r="L4211" s="4" t="n">
        <f aca="false">INDEX('Master List'!$F$2:$F$2594,O4211)</f>
        <v>4</v>
      </c>
      <c r="M4211" s="4" t="n">
        <f aca="false">INDEX('Master List'!$G$2:$G$2594,O4211)</f>
        <v>0</v>
      </c>
      <c r="N4211" s="4" t="str">
        <f aca="false">IF(K4211="","",A4211)</f>
        <v/>
      </c>
      <c r="O4211" s="4" t="n">
        <v>1780</v>
      </c>
      <c r="P4211" s="4" t="n">
        <f aca="false">IF(A4211=A4210,P4210+1-M4210,0)</f>
        <v>1</v>
      </c>
    </row>
    <row r="4212" customFormat="false" ht="15" hidden="false" customHeight="false" outlineLevel="0" collapsed="false">
      <c r="A4212" s="35" t="s">
        <v>4483</v>
      </c>
      <c r="B4212" s="35" t="s">
        <v>58</v>
      </c>
      <c r="C4212" s="35" t="s">
        <v>130</v>
      </c>
      <c r="D4212" s="35" t="s">
        <v>4484</v>
      </c>
      <c r="E4212" s="4" t="n">
        <v>3</v>
      </c>
      <c r="F4212" s="4" t="s">
        <v>213</v>
      </c>
      <c r="G4212" s="4" t="s">
        <v>227</v>
      </c>
      <c r="H4212" s="4" t="n">
        <v>1966</v>
      </c>
      <c r="I4212" s="4" t="s">
        <v>228</v>
      </c>
      <c r="J4212" s="25" t="str">
        <f aca="false">IF(M4212=1,"✓","")</f>
        <v/>
      </c>
      <c r="K4212" s="4" t="str">
        <f aca="false">IF(AND(M4212=0,P4212=0),"▶ NEXT","")</f>
        <v/>
      </c>
      <c r="L4212" s="4" t="n">
        <f aca="false">INDEX('Master List'!$F$2:$F$2594,O4212)</f>
        <v>6</v>
      </c>
      <c r="M4212" s="4" t="n">
        <f aca="false">INDEX('Master List'!$G$2:$G$2594,O4212)</f>
        <v>0</v>
      </c>
      <c r="N4212" s="4" t="str">
        <f aca="false">IF(K4212="","",A4212)</f>
        <v/>
      </c>
      <c r="O4212" s="4" t="n">
        <v>554</v>
      </c>
      <c r="P4212" s="4" t="n">
        <f aca="false">IF(A4212=A4211,P4211+1-M4211,0)</f>
        <v>2</v>
      </c>
    </row>
    <row r="4213" customFormat="false" ht="15" hidden="false" customHeight="false" outlineLevel="0" collapsed="false">
      <c r="A4213" s="35" t="s">
        <v>4483</v>
      </c>
      <c r="B4213" s="35" t="s">
        <v>58</v>
      </c>
      <c r="C4213" s="35" t="s">
        <v>130</v>
      </c>
      <c r="D4213" s="35" t="s">
        <v>4484</v>
      </c>
      <c r="E4213" s="4" t="n">
        <v>4</v>
      </c>
      <c r="F4213" s="4" t="s">
        <v>213</v>
      </c>
      <c r="G4213" s="4" t="s">
        <v>485</v>
      </c>
      <c r="H4213" s="4" t="n">
        <v>1977</v>
      </c>
      <c r="I4213" s="4" t="s">
        <v>486</v>
      </c>
      <c r="J4213" s="25" t="str">
        <f aca="false">IF(M4213=1,"✓","")</f>
        <v/>
      </c>
      <c r="K4213" s="4" t="str">
        <f aca="false">IF(AND(M4213=0,P4213=0),"▶ NEXT","")</f>
        <v/>
      </c>
      <c r="L4213" s="4" t="n">
        <f aca="false">INDEX('Master List'!$F$2:$F$2594,O4213)</f>
        <v>3</v>
      </c>
      <c r="M4213" s="4" t="n">
        <f aca="false">INDEX('Master List'!$G$2:$G$2594,O4213)</f>
        <v>0</v>
      </c>
      <c r="N4213" s="4" t="str">
        <f aca="false">IF(K4213="","",A4213)</f>
        <v/>
      </c>
      <c r="O4213" s="4" t="n">
        <v>1072</v>
      </c>
      <c r="P4213" s="4" t="n">
        <f aca="false">IF(A4213=A4212,P4212+1-M4212,0)</f>
        <v>3</v>
      </c>
    </row>
    <row r="4214" customFormat="false" ht="15" hidden="false" customHeight="false" outlineLevel="0" collapsed="false">
      <c r="A4214" s="35" t="s">
        <v>4483</v>
      </c>
      <c r="B4214" s="35" t="s">
        <v>58</v>
      </c>
      <c r="C4214" s="35" t="s">
        <v>130</v>
      </c>
      <c r="D4214" s="35" t="s">
        <v>4484</v>
      </c>
      <c r="E4214" s="4" t="n">
        <v>5</v>
      </c>
      <c r="F4214" s="4" t="s">
        <v>213</v>
      </c>
      <c r="G4214" s="4" t="s">
        <v>345</v>
      </c>
      <c r="H4214" s="4" t="n">
        <v>1939</v>
      </c>
      <c r="I4214" s="4" t="s">
        <v>346</v>
      </c>
      <c r="J4214" s="25" t="str">
        <f aca="false">IF(M4214=1,"✓","")</f>
        <v/>
      </c>
      <c r="K4214" s="4" t="str">
        <f aca="false">IF(AND(M4214=0,P4214=0),"▶ NEXT","")</f>
        <v/>
      </c>
      <c r="L4214" s="4" t="n">
        <f aca="false">INDEX('Master List'!$F$2:$F$2594,O4214)</f>
        <v>4</v>
      </c>
      <c r="M4214" s="4" t="n">
        <f aca="false">INDEX('Master List'!$G$2:$G$2594,O4214)</f>
        <v>0</v>
      </c>
      <c r="N4214" s="4" t="str">
        <f aca="false">IF(K4214="","",A4214)</f>
        <v/>
      </c>
      <c r="O4214" s="4" t="n">
        <v>2540</v>
      </c>
      <c r="P4214" s="4" t="n">
        <f aca="false">IF(A4214=A4213,P4213+1-M4213,0)</f>
        <v>4</v>
      </c>
    </row>
    <row r="4215" customFormat="false" ht="15" hidden="false" customHeight="false" outlineLevel="0" collapsed="false">
      <c r="A4215" s="35" t="s">
        <v>4483</v>
      </c>
      <c r="B4215" s="35" t="s">
        <v>58</v>
      </c>
      <c r="C4215" s="35" t="s">
        <v>130</v>
      </c>
      <c r="D4215" s="35" t="s">
        <v>4484</v>
      </c>
      <c r="E4215" s="4" t="n">
        <v>6</v>
      </c>
      <c r="F4215" s="4" t="s">
        <v>213</v>
      </c>
      <c r="G4215" s="4" t="s">
        <v>776</v>
      </c>
      <c r="H4215" s="4" t="n">
        <v>1967</v>
      </c>
      <c r="I4215" s="4" t="s">
        <v>777</v>
      </c>
      <c r="J4215" s="25" t="str">
        <f aca="false">IF(M4215=1,"✓","")</f>
        <v/>
      </c>
      <c r="K4215" s="4" t="str">
        <f aca="false">IF(AND(M4215=0,P4215=0),"▶ NEXT","")</f>
        <v/>
      </c>
      <c r="L4215" s="4" t="n">
        <f aca="false">INDEX('Master List'!$F$2:$F$2594,O4215)</f>
        <v>2</v>
      </c>
      <c r="M4215" s="4" t="n">
        <f aca="false">INDEX('Master List'!$G$2:$G$2594,O4215)</f>
        <v>0</v>
      </c>
      <c r="N4215" s="4" t="str">
        <f aca="false">IF(K4215="","",A4215)</f>
        <v/>
      </c>
      <c r="O4215" s="4" t="n">
        <v>2575</v>
      </c>
      <c r="P4215" s="4" t="n">
        <f aca="false">IF(A4215=A4214,P4214+1-M4214,0)</f>
        <v>5</v>
      </c>
    </row>
    <row r="4216" customFormat="false" ht="15" hidden="false" customHeight="false" outlineLevel="0" collapsed="false">
      <c r="A4216" s="35" t="s">
        <v>4483</v>
      </c>
      <c r="B4216" s="35" t="s">
        <v>58</v>
      </c>
      <c r="C4216" s="35" t="s">
        <v>130</v>
      </c>
      <c r="D4216" s="35" t="s">
        <v>4484</v>
      </c>
      <c r="E4216" s="4" t="n">
        <v>7</v>
      </c>
      <c r="F4216" s="4" t="s">
        <v>213</v>
      </c>
      <c r="G4216" s="4" t="s">
        <v>1171</v>
      </c>
      <c r="H4216" s="4" t="n">
        <v>2006</v>
      </c>
      <c r="I4216" s="4" t="s">
        <v>635</v>
      </c>
      <c r="J4216" s="25" t="str">
        <f aca="false">IF(M4216=1,"✓","")</f>
        <v/>
      </c>
      <c r="K4216" s="4" t="str">
        <f aca="false">IF(AND(M4216=0,P4216=0),"▶ NEXT","")</f>
        <v/>
      </c>
      <c r="L4216" s="4" t="n">
        <f aca="false">INDEX('Master List'!$F$2:$F$2594,O4216)</f>
        <v>2</v>
      </c>
      <c r="M4216" s="4" t="n">
        <f aca="false">INDEX('Master List'!$G$2:$G$2594,O4216)</f>
        <v>0</v>
      </c>
      <c r="N4216" s="4" t="str">
        <f aca="false">IF(K4216="","",A4216)</f>
        <v/>
      </c>
      <c r="O4216" s="4" t="n">
        <v>1717</v>
      </c>
      <c r="P4216" s="4" t="n">
        <f aca="false">IF(A4216=A4215,P4215+1-M4215,0)</f>
        <v>6</v>
      </c>
    </row>
    <row r="4217" customFormat="false" ht="15" hidden="false" customHeight="false" outlineLevel="0" collapsed="false">
      <c r="A4217" s="35" t="s">
        <v>4483</v>
      </c>
      <c r="B4217" s="35" t="s">
        <v>58</v>
      </c>
      <c r="C4217" s="35" t="s">
        <v>130</v>
      </c>
      <c r="D4217" s="35" t="s">
        <v>4484</v>
      </c>
      <c r="E4217" s="4" t="n">
        <v>8</v>
      </c>
      <c r="F4217" s="4" t="s">
        <v>213</v>
      </c>
      <c r="G4217" s="4" t="s">
        <v>2965</v>
      </c>
      <c r="H4217" s="4" t="n">
        <v>2010</v>
      </c>
      <c r="I4217" s="4" t="s">
        <v>2816</v>
      </c>
      <c r="J4217" s="25" t="str">
        <f aca="false">IF(M4217=1,"✓","")</f>
        <v>✓</v>
      </c>
      <c r="K4217" s="4" t="str">
        <f aca="false">IF(AND(M4217=0,P4217=0),"▶ NEXT","")</f>
        <v/>
      </c>
      <c r="L4217" s="4" t="n">
        <f aca="false">INDEX('Master List'!$F$2:$F$2594,O4217)</f>
        <v>1</v>
      </c>
      <c r="M4217" s="4" t="n">
        <f aca="false">INDEX('Master List'!$G$2:$G$2594,O4217)</f>
        <v>1</v>
      </c>
      <c r="N4217" s="4" t="str">
        <f aca="false">IF(K4217="","",A4217)</f>
        <v/>
      </c>
      <c r="O4217" s="4" t="n">
        <v>1993</v>
      </c>
      <c r="P4217" s="4" t="n">
        <f aca="false">IF(A4217=A4216,P4216+1-M4216,0)</f>
        <v>7</v>
      </c>
    </row>
    <row r="4218" customFormat="false" ht="15" hidden="false" customHeight="false" outlineLevel="0" collapsed="false">
      <c r="A4218" s="35" t="s">
        <v>4483</v>
      </c>
      <c r="B4218" s="35" t="s">
        <v>58</v>
      </c>
      <c r="C4218" s="35" t="s">
        <v>130</v>
      </c>
      <c r="D4218" s="35" t="s">
        <v>4484</v>
      </c>
      <c r="E4218" s="4" t="n">
        <v>9</v>
      </c>
      <c r="F4218" s="4" t="s">
        <v>213</v>
      </c>
      <c r="G4218" s="4" t="s">
        <v>1246</v>
      </c>
      <c r="H4218" s="4" t="n">
        <v>2018</v>
      </c>
      <c r="I4218" s="4" t="s">
        <v>1247</v>
      </c>
      <c r="J4218" s="25" t="str">
        <f aca="false">IF(M4218=1,"✓","")</f>
        <v>✓</v>
      </c>
      <c r="K4218" s="4" t="str">
        <f aca="false">IF(AND(M4218=0,P4218=0),"▶ NEXT","")</f>
        <v/>
      </c>
      <c r="L4218" s="4" t="n">
        <f aca="false">INDEX('Master List'!$F$2:$F$2594,O4218)</f>
        <v>2</v>
      </c>
      <c r="M4218" s="4" t="n">
        <f aca="false">INDEX('Master List'!$G$2:$G$2594,O4218)</f>
        <v>1</v>
      </c>
      <c r="N4218" s="4" t="str">
        <f aca="false">IF(K4218="","",A4218)</f>
        <v/>
      </c>
      <c r="O4218" s="4" t="n">
        <v>2119</v>
      </c>
      <c r="P4218" s="4" t="n">
        <f aca="false">IF(A4218=A4217,P4217+1-M4217,0)</f>
        <v>7</v>
      </c>
    </row>
    <row r="4219" customFormat="false" ht="15" hidden="false" customHeight="false" outlineLevel="0" collapsed="false">
      <c r="A4219" s="35" t="s">
        <v>4483</v>
      </c>
      <c r="B4219" s="35" t="s">
        <v>58</v>
      </c>
      <c r="C4219" s="35" t="s">
        <v>130</v>
      </c>
      <c r="D4219" s="35" t="s">
        <v>4484</v>
      </c>
      <c r="E4219" s="4" t="n">
        <v>10</v>
      </c>
      <c r="F4219" s="4" t="s">
        <v>1327</v>
      </c>
      <c r="G4219" s="4" t="s">
        <v>981</v>
      </c>
      <c r="H4219" s="4" t="n">
        <v>1964</v>
      </c>
      <c r="I4219" s="4" t="s">
        <v>777</v>
      </c>
      <c r="J4219" s="25" t="str">
        <f aca="false">IF(M4219=1,"✓","")</f>
        <v/>
      </c>
      <c r="K4219" s="4" t="str">
        <f aca="false">IF(AND(M4219=0,P4219=0),"▶ NEXT","")</f>
        <v/>
      </c>
      <c r="L4219" s="4" t="n">
        <f aca="false">INDEX('Master List'!$F$2:$F$2594,O4219)</f>
        <v>2</v>
      </c>
      <c r="M4219" s="4" t="n">
        <f aca="false">INDEX('Master List'!$G$2:$G$2594,O4219)</f>
        <v>0</v>
      </c>
      <c r="N4219" s="4" t="str">
        <f aca="false">IF(K4219="","",A4219)</f>
        <v/>
      </c>
      <c r="O4219" s="4" t="n">
        <v>2396</v>
      </c>
      <c r="P4219" s="4" t="n">
        <f aca="false">IF(A4219=A4218,P4218+1-M4218,0)</f>
        <v>7</v>
      </c>
    </row>
    <row r="4220" customFormat="false" ht="15" hidden="false" customHeight="false" outlineLevel="0" collapsed="false">
      <c r="A4220" s="35" t="s">
        <v>4483</v>
      </c>
      <c r="B4220" s="35" t="s">
        <v>58</v>
      </c>
      <c r="C4220" s="35" t="s">
        <v>130</v>
      </c>
      <c r="D4220" s="35" t="s">
        <v>4484</v>
      </c>
      <c r="E4220" s="4" t="n">
        <v>11</v>
      </c>
      <c r="F4220" s="4" t="s">
        <v>1327</v>
      </c>
      <c r="G4220" s="4" t="s">
        <v>3835</v>
      </c>
      <c r="H4220" s="4" t="n">
        <v>2016</v>
      </c>
      <c r="I4220" s="4" t="s">
        <v>1643</v>
      </c>
      <c r="J4220" s="25" t="str">
        <f aca="false">IF(M4220=1,"✓","")</f>
        <v/>
      </c>
      <c r="K4220" s="4" t="str">
        <f aca="false">IF(AND(M4220=0,P4220=0),"▶ NEXT","")</f>
        <v/>
      </c>
      <c r="L4220" s="4" t="n">
        <f aca="false">INDEX('Master List'!$F$2:$F$2594,O4220)</f>
        <v>1</v>
      </c>
      <c r="M4220" s="4" t="n">
        <f aca="false">INDEX('Master List'!$G$2:$G$2594,O4220)</f>
        <v>0</v>
      </c>
      <c r="N4220" s="4" t="str">
        <f aca="false">IF(K4220="","",A4220)</f>
        <v/>
      </c>
      <c r="O4220" s="4" t="n">
        <v>2218</v>
      </c>
      <c r="P4220" s="4" t="n">
        <f aca="false">IF(A4220=A4219,P4219+1-M4219,0)</f>
        <v>8</v>
      </c>
    </row>
  </sheetData>
  <autoFilter ref="A1:L4220"/>
  <conditionalFormatting sqref="E2:L4220">
    <cfRule type="expression" priority="2" aboveAverage="0" equalAverage="0" bottom="0" percent="0" rank="0" text="" dxfId="4">
      <formula>$M2=1</formula>
    </cfRule>
  </conditionalFormatting>
  <conditionalFormatting sqref="K2:K4220">
    <cfRule type="cellIs" priority="3" operator="equal" aboveAverage="0" equalAverage="0" bottom="0" percent="0" rank="0" text="" dxfId="16">
      <formula>"▶ NEXT"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J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8" min="8" style="0" width="36"/>
    <col collapsed="false" customWidth="true" hidden="false" outlineLevel="0" max="9" min="9" style="0" width="60"/>
    <col collapsed="false" customWidth="true" hidden="false" outlineLevel="0" max="10" min="10" style="0" width="70"/>
  </cols>
  <sheetData>
    <row r="1" customFormat="false" ht="30" hidden="false" customHeight="true" outlineLevel="0" collapsed="false">
      <c r="A1" s="24" t="s">
        <v>3869</v>
      </c>
      <c r="B1" s="24" t="s">
        <v>43</v>
      </c>
      <c r="C1" s="24" t="s">
        <v>61</v>
      </c>
      <c r="D1" s="24" t="s">
        <v>3870</v>
      </c>
      <c r="E1" s="24" t="s">
        <v>4485</v>
      </c>
      <c r="F1" s="24" t="s">
        <v>45</v>
      </c>
      <c r="G1" s="24" t="s">
        <v>46</v>
      </c>
      <c r="H1" s="24" t="s">
        <v>3872</v>
      </c>
      <c r="I1" s="24" t="s">
        <v>4486</v>
      </c>
      <c r="J1" s="24" t="s">
        <v>4487</v>
      </c>
    </row>
    <row r="2" customFormat="false" ht="23.85" hidden="false" customHeight="false" outlineLevel="0" collapsed="false">
      <c r="A2" s="36" t="s">
        <v>3875</v>
      </c>
      <c r="B2" s="36" t="s">
        <v>49</v>
      </c>
      <c r="C2" s="36" t="s">
        <v>63</v>
      </c>
      <c r="D2" s="36" t="s">
        <v>3876</v>
      </c>
      <c r="E2" s="37" t="n">
        <f aca="false">COUNTIF('Watch Paths'!$A$2:$A$4220,A2)</f>
        <v>12</v>
      </c>
      <c r="F2" s="37" t="n">
        <f aca="false">COUNTIFS('Watch Paths'!$A$2:$A$4220,A2,'Watch Paths'!$M$2:$M$4220,1)</f>
        <v>3</v>
      </c>
      <c r="G2" s="38" t="n">
        <f aca="false">IF(E2=0,0,F2/E2)</f>
        <v>0.25</v>
      </c>
      <c r="H2" s="37" t="str">
        <f aca="false">IFERROR(INDEX('Watch Paths'!$G$2:$G$4220,MATCH(A2,'Watch Paths'!$N$2:$N$4220,0)),"✓ complete")</f>
        <v>North by Northwest</v>
      </c>
      <c r="I2" s="8" t="s">
        <v>4488</v>
      </c>
      <c r="J2" s="8" t="s">
        <v>4489</v>
      </c>
    </row>
    <row r="3" customFormat="false" ht="23.85" hidden="false" customHeight="false" outlineLevel="0" collapsed="false">
      <c r="A3" s="36" t="s">
        <v>3877</v>
      </c>
      <c r="B3" s="36" t="s">
        <v>49</v>
      </c>
      <c r="C3" s="36" t="s">
        <v>63</v>
      </c>
      <c r="D3" s="36" t="s">
        <v>3878</v>
      </c>
      <c r="E3" s="37" t="n">
        <f aca="false">COUNTIF('Watch Paths'!$A$2:$A$4220,A3)</f>
        <v>11</v>
      </c>
      <c r="F3" s="37" t="n">
        <f aca="false">COUNTIFS('Watch Paths'!$A$2:$A$4220,A3,'Watch Paths'!$M$2:$M$4220,1)</f>
        <v>4</v>
      </c>
      <c r="G3" s="38" t="n">
        <f aca="false">IF(E3=0,0,F3/E3)</f>
        <v>0.363636363636364</v>
      </c>
      <c r="H3" s="37" t="str">
        <f aca="false">IFERROR(INDEX('Watch Paths'!$G$2:$G$4220,MATCH(A3,'Watch Paths'!$N$2:$N$4220,0)),"✓ complete")</f>
        <v>The Cabinet of Dr. Caligari</v>
      </c>
      <c r="I3" s="8" t="s">
        <v>4490</v>
      </c>
      <c r="J3" s="8" t="s">
        <v>4491</v>
      </c>
    </row>
    <row r="4" customFormat="false" ht="15" hidden="false" customHeight="false" outlineLevel="0" collapsed="false">
      <c r="A4" s="36" t="s">
        <v>3879</v>
      </c>
      <c r="B4" s="36" t="s">
        <v>49</v>
      </c>
      <c r="C4" s="36" t="s">
        <v>63</v>
      </c>
      <c r="D4" s="36" t="s">
        <v>3880</v>
      </c>
      <c r="E4" s="37" t="n">
        <f aca="false">COUNTIF('Watch Paths'!$A$2:$A$4220,A4)</f>
        <v>13</v>
      </c>
      <c r="F4" s="37" t="n">
        <f aca="false">COUNTIFS('Watch Paths'!$A$2:$A$4220,A4,'Watch Paths'!$M$2:$M$4220,1)</f>
        <v>5</v>
      </c>
      <c r="G4" s="38" t="n">
        <f aca="false">IF(E4=0,0,F4/E4)</f>
        <v>0.384615384615385</v>
      </c>
      <c r="H4" s="37" t="str">
        <f aca="false">IFERROR(INDEX('Watch Paths'!$G$2:$G$4220,MATCH(A4,'Watch Paths'!$N$2:$N$4220,0)),"✓ complete")</f>
        <v>Citizen Kane</v>
      </c>
      <c r="I4" s="8" t="s">
        <v>4492</v>
      </c>
      <c r="J4" s="8" t="s">
        <v>4493</v>
      </c>
    </row>
    <row r="5" customFormat="false" ht="15" hidden="false" customHeight="false" outlineLevel="0" collapsed="false">
      <c r="A5" s="36" t="s">
        <v>3881</v>
      </c>
      <c r="B5" s="36" t="s">
        <v>49</v>
      </c>
      <c r="C5" s="36" t="s">
        <v>63</v>
      </c>
      <c r="D5" s="36" t="s">
        <v>3882</v>
      </c>
      <c r="E5" s="37" t="n">
        <f aca="false">COUNTIF('Watch Paths'!$A$2:$A$4220,A5)</f>
        <v>12</v>
      </c>
      <c r="F5" s="37" t="n">
        <f aca="false">COUNTIFS('Watch Paths'!$A$2:$A$4220,A5,'Watch Paths'!$M$2:$M$4220,1)</f>
        <v>6</v>
      </c>
      <c r="G5" s="38" t="n">
        <f aca="false">IF(E5=0,0,F5/E5)</f>
        <v>0.5</v>
      </c>
      <c r="H5" s="37" t="str">
        <f aca="false">IFERROR(INDEX('Watch Paths'!$G$2:$G$4220,MATCH(A5,'Watch Paths'!$N$2:$N$4220,0)),"✓ complete")</f>
        <v>Battleship Potemkin</v>
      </c>
      <c r="I5" s="8" t="s">
        <v>4494</v>
      </c>
      <c r="J5" s="8" t="s">
        <v>4495</v>
      </c>
    </row>
    <row r="6" customFormat="false" ht="15" hidden="false" customHeight="false" outlineLevel="0" collapsed="false">
      <c r="A6" s="36" t="s">
        <v>3883</v>
      </c>
      <c r="B6" s="36" t="s">
        <v>49</v>
      </c>
      <c r="C6" s="36" t="s">
        <v>63</v>
      </c>
      <c r="D6" s="36" t="s">
        <v>3884</v>
      </c>
      <c r="E6" s="37" t="n">
        <f aca="false">COUNTIF('Watch Paths'!$A$2:$A$4220,A6)</f>
        <v>10</v>
      </c>
      <c r="F6" s="37" t="n">
        <f aca="false">COUNTIFS('Watch Paths'!$A$2:$A$4220,A6,'Watch Paths'!$M$2:$M$4220,1)</f>
        <v>8</v>
      </c>
      <c r="G6" s="38" t="n">
        <f aca="false">IF(E6=0,0,F6/E6)</f>
        <v>0.8</v>
      </c>
      <c r="H6" s="37" t="str">
        <f aca="false">IFERROR(INDEX('Watch Paths'!$G$2:$G$4220,MATCH(A6,'Watch Paths'!$N$2:$N$4220,0)),"✓ complete")</f>
        <v>Berberian Sound Studio</v>
      </c>
      <c r="I6" s="8" t="s">
        <v>4496</v>
      </c>
      <c r="J6" s="8" t="s">
        <v>4497</v>
      </c>
    </row>
    <row r="7" customFormat="false" ht="15" hidden="false" customHeight="false" outlineLevel="0" collapsed="false">
      <c r="A7" s="36" t="s">
        <v>3885</v>
      </c>
      <c r="B7" s="36" t="s">
        <v>49</v>
      </c>
      <c r="C7" s="36" t="s">
        <v>63</v>
      </c>
      <c r="D7" s="36" t="s">
        <v>3886</v>
      </c>
      <c r="E7" s="37" t="n">
        <f aca="false">COUNTIF('Watch Paths'!$A$2:$A$4220,A7)</f>
        <v>12</v>
      </c>
      <c r="F7" s="37" t="n">
        <f aca="false">COUNTIFS('Watch Paths'!$A$2:$A$4220,A7,'Watch Paths'!$M$2:$M$4220,1)</f>
        <v>6</v>
      </c>
      <c r="G7" s="38" t="n">
        <f aca="false">IF(E7=0,0,F7/E7)</f>
        <v>0.5</v>
      </c>
      <c r="H7" s="37" t="str">
        <f aca="false">IFERROR(INDEX('Watch Paths'!$G$2:$G$4220,MATCH(A7,'Watch Paths'!$N$2:$N$4220,0)),"✓ complete")</f>
        <v>Touch of Evil</v>
      </c>
      <c r="I7" s="8" t="s">
        <v>4498</v>
      </c>
      <c r="J7" s="8" t="s">
        <v>4499</v>
      </c>
    </row>
    <row r="8" customFormat="false" ht="15" hidden="false" customHeight="false" outlineLevel="0" collapsed="false">
      <c r="A8" s="36" t="s">
        <v>3887</v>
      </c>
      <c r="B8" s="36" t="s">
        <v>49</v>
      </c>
      <c r="C8" s="36" t="s">
        <v>64</v>
      </c>
      <c r="D8" s="36" t="s">
        <v>3888</v>
      </c>
      <c r="E8" s="37" t="n">
        <f aca="false">COUNTIF('Watch Paths'!$A$2:$A$4220,A8)</f>
        <v>11</v>
      </c>
      <c r="F8" s="37" t="n">
        <f aca="false">COUNTIFS('Watch Paths'!$A$2:$A$4220,A8,'Watch Paths'!$M$2:$M$4220,1)</f>
        <v>6</v>
      </c>
      <c r="G8" s="38" t="n">
        <f aca="false">IF(E8=0,0,F8/E8)</f>
        <v>0.545454545454545</v>
      </c>
      <c r="H8" s="37" t="str">
        <f aca="false">IFERROR(INDEX('Watch Paths'!$G$2:$G$4220,MATCH(A8,'Watch Paths'!$N$2:$N$4220,0)),"✓ complete")</f>
        <v>Citizen Kane</v>
      </c>
      <c r="I8" s="8" t="s">
        <v>4500</v>
      </c>
      <c r="J8" s="8" t="s">
        <v>4501</v>
      </c>
    </row>
    <row r="9" customFormat="false" ht="15" hidden="false" customHeight="false" outlineLevel="0" collapsed="false">
      <c r="A9" s="36" t="s">
        <v>3889</v>
      </c>
      <c r="B9" s="36" t="s">
        <v>49</v>
      </c>
      <c r="C9" s="36" t="s">
        <v>64</v>
      </c>
      <c r="D9" s="36" t="s">
        <v>3890</v>
      </c>
      <c r="E9" s="37" t="n">
        <f aca="false">COUNTIF('Watch Paths'!$A$2:$A$4220,A9)</f>
        <v>9</v>
      </c>
      <c r="F9" s="37" t="n">
        <f aca="false">COUNTIFS('Watch Paths'!$A$2:$A$4220,A9,'Watch Paths'!$M$2:$M$4220,1)</f>
        <v>6</v>
      </c>
      <c r="G9" s="38" t="n">
        <f aca="false">IF(E9=0,0,F9/E9)</f>
        <v>0.666666666666667</v>
      </c>
      <c r="H9" s="37" t="str">
        <f aca="false">IFERROR(INDEX('Watch Paths'!$G$2:$G$4220,MATCH(A9,'Watch Paths'!$N$2:$N$4220,0)),"✓ complete")</f>
        <v>Casablanca</v>
      </c>
      <c r="I9" s="8" t="s">
        <v>4502</v>
      </c>
      <c r="J9" s="8" t="s">
        <v>4503</v>
      </c>
    </row>
    <row r="10" customFormat="false" ht="23.85" hidden="false" customHeight="false" outlineLevel="0" collapsed="false">
      <c r="A10" s="39" t="s">
        <v>3891</v>
      </c>
      <c r="B10" s="39" t="s">
        <v>50</v>
      </c>
      <c r="C10" s="39" t="s">
        <v>65</v>
      </c>
      <c r="D10" s="39" t="s">
        <v>3892</v>
      </c>
      <c r="E10" s="37" t="n">
        <f aca="false">COUNTIF('Watch Paths'!$A$2:$A$4220,A10)</f>
        <v>11</v>
      </c>
      <c r="F10" s="37" t="n">
        <f aca="false">COUNTIFS('Watch Paths'!$A$2:$A$4220,A10,'Watch Paths'!$M$2:$M$4220,1)</f>
        <v>4</v>
      </c>
      <c r="G10" s="38" t="n">
        <f aca="false">IF(E10=0,0,F10/E10)</f>
        <v>0.363636363636364</v>
      </c>
      <c r="H10" s="37" t="str">
        <f aca="false">IFERROR(INDEX('Watch Paths'!$G$2:$G$4220,MATCH(A10,'Watch Paths'!$N$2:$N$4220,0)),"✓ complete")</f>
        <v>Workers Leaving the Lumière Factory</v>
      </c>
      <c r="I10" s="8" t="s">
        <v>4504</v>
      </c>
      <c r="J10" s="8" t="s">
        <v>4505</v>
      </c>
    </row>
    <row r="11" customFormat="false" ht="23.85" hidden="false" customHeight="false" outlineLevel="0" collapsed="false">
      <c r="A11" s="39" t="s">
        <v>3893</v>
      </c>
      <c r="B11" s="39" t="s">
        <v>50</v>
      </c>
      <c r="C11" s="39" t="s">
        <v>65</v>
      </c>
      <c r="D11" s="39" t="s">
        <v>3894</v>
      </c>
      <c r="E11" s="37" t="n">
        <f aca="false">COUNTIF('Watch Paths'!$A$2:$A$4220,A11)</f>
        <v>10</v>
      </c>
      <c r="F11" s="37" t="n">
        <f aca="false">COUNTIFS('Watch Paths'!$A$2:$A$4220,A11,'Watch Paths'!$M$2:$M$4220,1)</f>
        <v>0</v>
      </c>
      <c r="G11" s="38" t="n">
        <f aca="false">IF(E11=0,0,F11/E11)</f>
        <v>0</v>
      </c>
      <c r="H11" s="37" t="str">
        <f aca="false">IFERROR(INDEX('Watch Paths'!$G$2:$G$4220,MATCH(A11,'Watch Paths'!$N$2:$N$4220,0)),"✓ complete")</f>
        <v>The Birth of a Nation</v>
      </c>
      <c r="I11" s="8" t="s">
        <v>4506</v>
      </c>
      <c r="J11" s="8" t="s">
        <v>4507</v>
      </c>
    </row>
    <row r="12" customFormat="false" ht="23.85" hidden="false" customHeight="false" outlineLevel="0" collapsed="false">
      <c r="A12" s="39" t="s">
        <v>3895</v>
      </c>
      <c r="B12" s="39" t="s">
        <v>50</v>
      </c>
      <c r="C12" s="39" t="s">
        <v>65</v>
      </c>
      <c r="D12" s="39" t="s">
        <v>3896</v>
      </c>
      <c r="E12" s="37" t="n">
        <f aca="false">COUNTIF('Watch Paths'!$A$2:$A$4220,A12)</f>
        <v>11</v>
      </c>
      <c r="F12" s="37" t="n">
        <f aca="false">COUNTIFS('Watch Paths'!$A$2:$A$4220,A12,'Watch Paths'!$M$2:$M$4220,1)</f>
        <v>1</v>
      </c>
      <c r="G12" s="38" t="n">
        <f aca="false">IF(E12=0,0,F12/E12)</f>
        <v>0.0909090909090909</v>
      </c>
      <c r="H12" s="37" t="str">
        <f aca="false">IFERROR(INDEX('Watch Paths'!$G$2:$G$4220,MATCH(A12,'Watch Paths'!$N$2:$N$4220,0)),"✓ complete")</f>
        <v>Sherlock Jr.</v>
      </c>
      <c r="I12" s="8" t="s">
        <v>4508</v>
      </c>
      <c r="J12" s="8" t="s">
        <v>4509</v>
      </c>
    </row>
    <row r="13" customFormat="false" ht="23.85" hidden="false" customHeight="false" outlineLevel="0" collapsed="false">
      <c r="A13" s="39" t="s">
        <v>3897</v>
      </c>
      <c r="B13" s="39" t="s">
        <v>50</v>
      </c>
      <c r="C13" s="39" t="s">
        <v>65</v>
      </c>
      <c r="D13" s="39" t="s">
        <v>3898</v>
      </c>
      <c r="E13" s="37" t="n">
        <f aca="false">COUNTIF('Watch Paths'!$A$2:$A$4220,A13)</f>
        <v>12</v>
      </c>
      <c r="F13" s="37" t="n">
        <f aca="false">COUNTIFS('Watch Paths'!$A$2:$A$4220,A13,'Watch Paths'!$M$2:$M$4220,1)</f>
        <v>1</v>
      </c>
      <c r="G13" s="38" t="n">
        <f aca="false">IF(E13=0,0,F13/E13)</f>
        <v>0.0833333333333333</v>
      </c>
      <c r="H13" s="37" t="str">
        <f aca="false">IFERROR(INDEX('Watch Paths'!$G$2:$G$4220,MATCH(A13,'Watch Paths'!$N$2:$N$4220,0)),"✓ complete")</f>
        <v>The Cabinet of Dr. Caligari</v>
      </c>
      <c r="I13" s="8" t="s">
        <v>4510</v>
      </c>
      <c r="J13" s="8" t="s">
        <v>4511</v>
      </c>
    </row>
    <row r="14" customFormat="false" ht="23.85" hidden="false" customHeight="false" outlineLevel="0" collapsed="false">
      <c r="A14" s="39" t="s">
        <v>3899</v>
      </c>
      <c r="B14" s="39" t="s">
        <v>50</v>
      </c>
      <c r="C14" s="39" t="s">
        <v>65</v>
      </c>
      <c r="D14" s="39" t="s">
        <v>3900</v>
      </c>
      <c r="E14" s="37" t="n">
        <f aca="false">COUNTIF('Watch Paths'!$A$2:$A$4220,A14)</f>
        <v>9</v>
      </c>
      <c r="F14" s="37" t="n">
        <f aca="false">COUNTIFS('Watch Paths'!$A$2:$A$4220,A14,'Watch Paths'!$M$2:$M$4220,1)</f>
        <v>0</v>
      </c>
      <c r="G14" s="38" t="n">
        <f aca="false">IF(E14=0,0,F14/E14)</f>
        <v>0</v>
      </c>
      <c r="H14" s="37" t="str">
        <f aca="false">IFERROR(INDEX('Watch Paths'!$G$2:$G$4220,MATCH(A14,'Watch Paths'!$N$2:$N$4220,0)),"✓ complete")</f>
        <v>Battleship Potemkin</v>
      </c>
      <c r="I14" s="8" t="s">
        <v>4512</v>
      </c>
      <c r="J14" s="8" t="s">
        <v>4513</v>
      </c>
    </row>
    <row r="15" customFormat="false" ht="23.85" hidden="false" customHeight="false" outlineLevel="0" collapsed="false">
      <c r="A15" s="39" t="s">
        <v>3901</v>
      </c>
      <c r="B15" s="39" t="s">
        <v>50</v>
      </c>
      <c r="C15" s="39" t="s">
        <v>65</v>
      </c>
      <c r="D15" s="39" t="s">
        <v>3902</v>
      </c>
      <c r="E15" s="37" t="n">
        <f aca="false">COUNTIF('Watch Paths'!$A$2:$A$4220,A15)</f>
        <v>10</v>
      </c>
      <c r="F15" s="37" t="n">
        <f aca="false">COUNTIFS('Watch Paths'!$A$2:$A$4220,A15,'Watch Paths'!$M$2:$M$4220,1)</f>
        <v>0</v>
      </c>
      <c r="G15" s="38" t="n">
        <f aca="false">IF(E15=0,0,F15/E15)</f>
        <v>0</v>
      </c>
      <c r="H15" s="37" t="str">
        <f aca="false">IFERROR(INDEX('Watch Paths'!$G$2:$G$4220,MATCH(A15,'Watch Paths'!$N$2:$N$4220,0)),"✓ complete")</f>
        <v>The Passion of Joan of Arc</v>
      </c>
      <c r="I15" s="8" t="s">
        <v>4514</v>
      </c>
      <c r="J15" s="8" t="s">
        <v>4515</v>
      </c>
    </row>
    <row r="16" customFormat="false" ht="23.85" hidden="false" customHeight="false" outlineLevel="0" collapsed="false">
      <c r="A16" s="39" t="s">
        <v>3903</v>
      </c>
      <c r="B16" s="39" t="s">
        <v>50</v>
      </c>
      <c r="C16" s="39" t="s">
        <v>65</v>
      </c>
      <c r="D16" s="39" t="s">
        <v>3904</v>
      </c>
      <c r="E16" s="37" t="n">
        <f aca="false">COUNTIF('Watch Paths'!$A$2:$A$4220,A16)</f>
        <v>10</v>
      </c>
      <c r="F16" s="37" t="n">
        <f aca="false">COUNTIFS('Watch Paths'!$A$2:$A$4220,A16,'Watch Paths'!$M$2:$M$4220,1)</f>
        <v>0</v>
      </c>
      <c r="G16" s="38" t="n">
        <f aca="false">IF(E16=0,0,F16/E16)</f>
        <v>0</v>
      </c>
      <c r="H16" s="37" t="str">
        <f aca="false">IFERROR(INDEX('Watch Paths'!$G$2:$G$4220,MATCH(A16,'Watch Paths'!$N$2:$N$4220,0)),"✓ complete")</f>
        <v>Sunrise: A Song of Two Humans</v>
      </c>
      <c r="I16" s="8" t="s">
        <v>4516</v>
      </c>
      <c r="J16" s="8" t="s">
        <v>4517</v>
      </c>
    </row>
    <row r="17" customFormat="false" ht="23.85" hidden="false" customHeight="false" outlineLevel="0" collapsed="false">
      <c r="A17" s="39" t="s">
        <v>3905</v>
      </c>
      <c r="B17" s="39" t="s">
        <v>50</v>
      </c>
      <c r="C17" s="39" t="s">
        <v>66</v>
      </c>
      <c r="D17" s="39" t="s">
        <v>3906</v>
      </c>
      <c r="E17" s="37" t="n">
        <f aca="false">COUNTIF('Watch Paths'!$A$2:$A$4220,A17)</f>
        <v>9</v>
      </c>
      <c r="F17" s="37" t="n">
        <f aca="false">COUNTIFS('Watch Paths'!$A$2:$A$4220,A17,'Watch Paths'!$M$2:$M$4220,1)</f>
        <v>1</v>
      </c>
      <c r="G17" s="38" t="n">
        <f aca="false">IF(E17=0,0,F17/E17)</f>
        <v>0.111111111111111</v>
      </c>
      <c r="H17" s="37" t="str">
        <f aca="false">IFERROR(INDEX('Watch Paths'!$G$2:$G$4220,MATCH(A17,'Watch Paths'!$N$2:$N$4220,0)),"✓ complete")</f>
        <v>The Jazz Singer</v>
      </c>
      <c r="I17" s="8" t="s">
        <v>4518</v>
      </c>
      <c r="J17" s="8" t="s">
        <v>4519</v>
      </c>
    </row>
    <row r="18" customFormat="false" ht="23.85" hidden="false" customHeight="false" outlineLevel="0" collapsed="false">
      <c r="A18" s="39" t="s">
        <v>3907</v>
      </c>
      <c r="B18" s="39" t="s">
        <v>50</v>
      </c>
      <c r="C18" s="39" t="s">
        <v>66</v>
      </c>
      <c r="D18" s="39" t="s">
        <v>3908</v>
      </c>
      <c r="E18" s="37" t="n">
        <f aca="false">COUNTIF('Watch Paths'!$A$2:$A$4220,A18)</f>
        <v>15</v>
      </c>
      <c r="F18" s="37" t="n">
        <f aca="false">COUNTIFS('Watch Paths'!$A$2:$A$4220,A18,'Watch Paths'!$M$2:$M$4220,1)</f>
        <v>0</v>
      </c>
      <c r="G18" s="38" t="n">
        <f aca="false">IF(E18=0,0,F18/E18)</f>
        <v>0</v>
      </c>
      <c r="H18" s="37" t="str">
        <f aca="false">IFERROR(INDEX('Watch Paths'!$G$2:$G$4220,MATCH(A18,'Watch Paths'!$N$2:$N$4220,0)),"✓ complete")</f>
        <v>Baby Face</v>
      </c>
      <c r="I18" s="8" t="s">
        <v>4520</v>
      </c>
      <c r="J18" s="8" t="s">
        <v>4521</v>
      </c>
    </row>
    <row r="19" customFormat="false" ht="23.85" hidden="false" customHeight="false" outlineLevel="0" collapsed="false">
      <c r="A19" s="39" t="s">
        <v>3909</v>
      </c>
      <c r="B19" s="39" t="s">
        <v>50</v>
      </c>
      <c r="C19" s="39" t="s">
        <v>67</v>
      </c>
      <c r="D19" s="39" t="s">
        <v>3910</v>
      </c>
      <c r="E19" s="37" t="n">
        <f aca="false">COUNTIF('Watch Paths'!$A$2:$A$4220,A19)</f>
        <v>16</v>
      </c>
      <c r="F19" s="37" t="n">
        <f aca="false">COUNTIFS('Watch Paths'!$A$2:$A$4220,A19,'Watch Paths'!$M$2:$M$4220,1)</f>
        <v>3</v>
      </c>
      <c r="G19" s="38" t="n">
        <f aca="false">IF(E19=0,0,F19/E19)</f>
        <v>0.1875</v>
      </c>
      <c r="H19" s="37" t="str">
        <f aca="false">IFERROR(INDEX('Watch Paths'!$G$2:$G$4220,MATCH(A19,'Watch Paths'!$N$2:$N$4220,0)),"✓ complete")</f>
        <v>It Happened One Night</v>
      </c>
      <c r="I19" s="8" t="s">
        <v>4522</v>
      </c>
      <c r="J19" s="8" t="s">
        <v>4523</v>
      </c>
    </row>
    <row r="20" customFormat="false" ht="23.85" hidden="false" customHeight="false" outlineLevel="0" collapsed="false">
      <c r="A20" s="39" t="s">
        <v>3911</v>
      </c>
      <c r="B20" s="39" t="s">
        <v>50</v>
      </c>
      <c r="C20" s="39" t="s">
        <v>67</v>
      </c>
      <c r="D20" s="39" t="s">
        <v>3912</v>
      </c>
      <c r="E20" s="37" t="n">
        <f aca="false">COUNTIF('Watch Paths'!$A$2:$A$4220,A20)</f>
        <v>14</v>
      </c>
      <c r="F20" s="37" t="n">
        <f aca="false">COUNTIFS('Watch Paths'!$A$2:$A$4220,A20,'Watch Paths'!$M$2:$M$4220,1)</f>
        <v>3</v>
      </c>
      <c r="G20" s="38" t="n">
        <f aca="false">IF(E20=0,0,F20/E20)</f>
        <v>0.214285714285714</v>
      </c>
      <c r="H20" s="37" t="str">
        <f aca="false">IFERROR(INDEX('Watch Paths'!$G$2:$G$4220,MATCH(A20,'Watch Paths'!$N$2:$N$4220,0)),"✓ complete")</f>
        <v>On the Waterfront</v>
      </c>
      <c r="I20" s="8" t="s">
        <v>4524</v>
      </c>
      <c r="J20" s="8" t="s">
        <v>4525</v>
      </c>
    </row>
    <row r="21" customFormat="false" ht="23.85" hidden="false" customHeight="false" outlineLevel="0" collapsed="false">
      <c r="A21" s="39" t="s">
        <v>3913</v>
      </c>
      <c r="B21" s="39" t="s">
        <v>50</v>
      </c>
      <c r="C21" s="39" t="s">
        <v>68</v>
      </c>
      <c r="D21" s="39" t="s">
        <v>3914</v>
      </c>
      <c r="E21" s="37" t="n">
        <f aca="false">COUNTIF('Watch Paths'!$A$2:$A$4220,A21)</f>
        <v>14</v>
      </c>
      <c r="F21" s="37" t="n">
        <f aca="false">COUNTIFS('Watch Paths'!$A$2:$A$4220,A21,'Watch Paths'!$M$2:$M$4220,1)</f>
        <v>3</v>
      </c>
      <c r="G21" s="38" t="n">
        <f aca="false">IF(E21=0,0,F21/E21)</f>
        <v>0.214285714285714</v>
      </c>
      <c r="H21" s="37" t="str">
        <f aca="false">IFERROR(INDEX('Watch Paths'!$G$2:$G$4220,MATCH(A21,'Watch Paths'!$N$2:$N$4220,0)),"✓ complete")</f>
        <v>Bicycle Thieves</v>
      </c>
      <c r="I21" s="8" t="s">
        <v>4526</v>
      </c>
      <c r="J21" s="8" t="s">
        <v>4527</v>
      </c>
    </row>
    <row r="22" customFormat="false" ht="23.85" hidden="false" customHeight="false" outlineLevel="0" collapsed="false">
      <c r="A22" s="39" t="s">
        <v>3915</v>
      </c>
      <c r="B22" s="39" t="s">
        <v>50</v>
      </c>
      <c r="C22" s="39" t="s">
        <v>69</v>
      </c>
      <c r="D22" s="39" t="s">
        <v>3916</v>
      </c>
      <c r="E22" s="37" t="n">
        <f aca="false">COUNTIF('Watch Paths'!$A$2:$A$4220,A22)</f>
        <v>16</v>
      </c>
      <c r="F22" s="37" t="n">
        <f aca="false">COUNTIFS('Watch Paths'!$A$2:$A$4220,A22,'Watch Paths'!$M$2:$M$4220,1)</f>
        <v>1</v>
      </c>
      <c r="G22" s="38" t="n">
        <f aca="false">IF(E22=0,0,F22/E22)</f>
        <v>0.0625</v>
      </c>
      <c r="H22" s="37" t="str">
        <f aca="false">IFERROR(INDEX('Watch Paths'!$G$2:$G$4220,MATCH(A22,'Watch Paths'!$N$2:$N$4220,0)),"✓ complete")</f>
        <v>The 400 Blows</v>
      </c>
      <c r="I22" s="8" t="s">
        <v>4528</v>
      </c>
      <c r="J22" s="8" t="s">
        <v>4529</v>
      </c>
    </row>
    <row r="23" customFormat="false" ht="23.85" hidden="false" customHeight="false" outlineLevel="0" collapsed="false">
      <c r="A23" s="39" t="s">
        <v>3917</v>
      </c>
      <c r="B23" s="39" t="s">
        <v>50</v>
      </c>
      <c r="C23" s="39" t="s">
        <v>70</v>
      </c>
      <c r="D23" s="39" t="s">
        <v>3918</v>
      </c>
      <c r="E23" s="37" t="n">
        <f aca="false">COUNTIF('Watch Paths'!$A$2:$A$4220,A23)</f>
        <v>22</v>
      </c>
      <c r="F23" s="37" t="n">
        <f aca="false">COUNTIFS('Watch Paths'!$A$2:$A$4220,A23,'Watch Paths'!$M$2:$M$4220,1)</f>
        <v>14</v>
      </c>
      <c r="G23" s="38" t="n">
        <f aca="false">IF(E23=0,0,F23/E23)</f>
        <v>0.636363636363636</v>
      </c>
      <c r="H23" s="37" t="str">
        <f aca="false">IFERROR(INDEX('Watch Paths'!$G$2:$G$4220,MATCH(A23,'Watch Paths'!$N$2:$N$4220,0)),"✓ complete")</f>
        <v>Easy Rider</v>
      </c>
      <c r="I23" s="8" t="s">
        <v>4530</v>
      </c>
      <c r="J23" s="8" t="s">
        <v>4531</v>
      </c>
    </row>
    <row r="24" customFormat="false" ht="15" hidden="false" customHeight="false" outlineLevel="0" collapsed="false">
      <c r="A24" s="39" t="s">
        <v>3919</v>
      </c>
      <c r="B24" s="39" t="s">
        <v>50</v>
      </c>
      <c r="C24" s="39" t="s">
        <v>71</v>
      </c>
      <c r="D24" s="39" t="s">
        <v>3920</v>
      </c>
      <c r="E24" s="37" t="n">
        <f aca="false">COUNTIF('Watch Paths'!$A$2:$A$4220,A24)</f>
        <v>12</v>
      </c>
      <c r="F24" s="37" t="n">
        <f aca="false">COUNTIFS('Watch Paths'!$A$2:$A$4220,A24,'Watch Paths'!$M$2:$M$4220,1)</f>
        <v>8</v>
      </c>
      <c r="G24" s="38" t="n">
        <f aca="false">IF(E24=0,0,F24/E24)</f>
        <v>0.666666666666667</v>
      </c>
      <c r="H24" s="37" t="str">
        <f aca="false">IFERROR(INDEX('Watch Paths'!$G$2:$G$4220,MATCH(A24,'Watch Paths'!$N$2:$N$4220,0)),"✓ complete")</f>
        <v>Superman</v>
      </c>
      <c r="I24" s="8" t="s">
        <v>4532</v>
      </c>
      <c r="J24" s="8" t="s">
        <v>4533</v>
      </c>
    </row>
    <row r="25" customFormat="false" ht="15" hidden="false" customHeight="false" outlineLevel="0" collapsed="false">
      <c r="A25" s="39" t="s">
        <v>3921</v>
      </c>
      <c r="B25" s="39" t="s">
        <v>50</v>
      </c>
      <c r="C25" s="39" t="s">
        <v>71</v>
      </c>
      <c r="D25" s="39" t="s">
        <v>3922</v>
      </c>
      <c r="E25" s="37" t="n">
        <f aca="false">COUNTIF('Watch Paths'!$A$2:$A$4220,A25)</f>
        <v>12</v>
      </c>
      <c r="F25" s="37" t="n">
        <f aca="false">COUNTIFS('Watch Paths'!$A$2:$A$4220,A25,'Watch Paths'!$M$2:$M$4220,1)</f>
        <v>9</v>
      </c>
      <c r="G25" s="38" t="n">
        <f aca="false">IF(E25=0,0,F25/E25)</f>
        <v>0.75</v>
      </c>
      <c r="H25" s="37" t="str">
        <f aca="false">IFERROR(INDEX('Watch Paths'!$G$2:$G$4220,MATCH(A25,'Watch Paths'!$N$2:$N$4220,0)),"✓ complete")</f>
        <v>Once Upon a Time in America</v>
      </c>
      <c r="I25" s="8" t="s">
        <v>4534</v>
      </c>
      <c r="J25" s="8" t="s">
        <v>4535</v>
      </c>
    </row>
    <row r="26" customFormat="false" ht="23.85" hidden="false" customHeight="false" outlineLevel="0" collapsed="false">
      <c r="A26" s="39" t="s">
        <v>3923</v>
      </c>
      <c r="B26" s="39" t="s">
        <v>50</v>
      </c>
      <c r="C26" s="39" t="s">
        <v>72</v>
      </c>
      <c r="D26" s="39" t="s">
        <v>3924</v>
      </c>
      <c r="E26" s="37" t="n">
        <f aca="false">COUNTIF('Watch Paths'!$A$2:$A$4220,A26)</f>
        <v>17</v>
      </c>
      <c r="F26" s="37" t="n">
        <f aca="false">COUNTIFS('Watch Paths'!$A$2:$A$4220,A26,'Watch Paths'!$M$2:$M$4220,1)</f>
        <v>7</v>
      </c>
      <c r="G26" s="38" t="n">
        <f aca="false">IF(E26=0,0,F26/E26)</f>
        <v>0.411764705882353</v>
      </c>
      <c r="H26" s="37" t="str">
        <f aca="false">IFERROR(INDEX('Watch Paths'!$G$2:$G$4220,MATCH(A26,'Watch Paths'!$N$2:$N$4220,0)),"✓ complete")</f>
        <v>Stranger Than Paradise</v>
      </c>
      <c r="I26" s="8" t="s">
        <v>4536</v>
      </c>
      <c r="J26" s="8" t="s">
        <v>4537</v>
      </c>
    </row>
    <row r="27" customFormat="false" ht="15" hidden="false" customHeight="false" outlineLevel="0" collapsed="false">
      <c r="A27" s="39" t="s">
        <v>3925</v>
      </c>
      <c r="B27" s="39" t="s">
        <v>50</v>
      </c>
      <c r="C27" s="39" t="s">
        <v>73</v>
      </c>
      <c r="D27" s="39" t="s">
        <v>3926</v>
      </c>
      <c r="E27" s="37" t="n">
        <f aca="false">COUNTIF('Watch Paths'!$A$2:$A$4220,A27)</f>
        <v>17</v>
      </c>
      <c r="F27" s="37" t="n">
        <f aca="false">COUNTIFS('Watch Paths'!$A$2:$A$4220,A27,'Watch Paths'!$M$2:$M$4220,1)</f>
        <v>8</v>
      </c>
      <c r="G27" s="38" t="n">
        <f aca="false">IF(E27=0,0,F27/E27)</f>
        <v>0.470588235294118</v>
      </c>
      <c r="H27" s="37" t="str">
        <f aca="false">IFERROR(INDEX('Watch Paths'!$G$2:$G$4220,MATCH(A27,'Watch Paths'!$N$2:$N$4220,0)),"✓ complete")</f>
        <v>Spirited Away</v>
      </c>
      <c r="I27" s="8" t="s">
        <v>4538</v>
      </c>
      <c r="J27" s="8" t="s">
        <v>4539</v>
      </c>
    </row>
    <row r="28" customFormat="false" ht="15" hidden="false" customHeight="false" outlineLevel="0" collapsed="false">
      <c r="A28" s="39" t="s">
        <v>3927</v>
      </c>
      <c r="B28" s="39" t="s">
        <v>50</v>
      </c>
      <c r="C28" s="39" t="s">
        <v>74</v>
      </c>
      <c r="D28" s="39" t="s">
        <v>3928</v>
      </c>
      <c r="E28" s="37" t="n">
        <f aca="false">COUNTIF('Watch Paths'!$A$2:$A$4220,A28)</f>
        <v>18</v>
      </c>
      <c r="F28" s="37" t="n">
        <f aca="false">COUNTIFS('Watch Paths'!$A$2:$A$4220,A28,'Watch Paths'!$M$2:$M$4220,1)</f>
        <v>5</v>
      </c>
      <c r="G28" s="38" t="n">
        <f aca="false">IF(E28=0,0,F28/E28)</f>
        <v>0.277777777777778</v>
      </c>
      <c r="H28" s="37" t="str">
        <f aca="false">IFERROR(INDEX('Watch Paths'!$G$2:$G$4220,MATCH(A28,'Watch Paths'!$N$2:$N$4220,0)),"✓ complete")</f>
        <v>Burning</v>
      </c>
      <c r="I28" s="8" t="s">
        <v>4540</v>
      </c>
      <c r="J28" s="8" t="s">
        <v>4541</v>
      </c>
    </row>
    <row r="29" customFormat="false" ht="23.85" hidden="false" customHeight="false" outlineLevel="0" collapsed="false">
      <c r="A29" s="40" t="s">
        <v>3929</v>
      </c>
      <c r="B29" s="40" t="s">
        <v>51</v>
      </c>
      <c r="C29" s="40" t="s">
        <v>75</v>
      </c>
      <c r="D29" s="40" t="s">
        <v>3930</v>
      </c>
      <c r="E29" s="37" t="n">
        <f aca="false">COUNTIF('Watch Paths'!$A$2:$A$4220,A29)</f>
        <v>15</v>
      </c>
      <c r="F29" s="37" t="n">
        <f aca="false">COUNTIFS('Watch Paths'!$A$2:$A$4220,A29,'Watch Paths'!$M$2:$M$4220,1)</f>
        <v>1</v>
      </c>
      <c r="G29" s="38" t="n">
        <f aca="false">IF(E29=0,0,F29/E29)</f>
        <v>0.0666666666666667</v>
      </c>
      <c r="H29" s="37" t="str">
        <f aca="false">IFERROR(INDEX('Watch Paths'!$G$2:$G$4220,MATCH(A29,'Watch Paths'!$N$2:$N$4220,0)),"✓ complete")</f>
        <v>Tokyo Story</v>
      </c>
      <c r="I29" s="8" t="s">
        <v>4542</v>
      </c>
      <c r="J29" s="8" t="s">
        <v>4543</v>
      </c>
    </row>
    <row r="30" customFormat="false" ht="23.85" hidden="false" customHeight="false" outlineLevel="0" collapsed="false">
      <c r="A30" s="40" t="s">
        <v>3931</v>
      </c>
      <c r="B30" s="40" t="s">
        <v>51</v>
      </c>
      <c r="C30" s="40" t="s">
        <v>75</v>
      </c>
      <c r="D30" s="40" t="s">
        <v>3932</v>
      </c>
      <c r="E30" s="37" t="n">
        <f aca="false">COUNTIF('Watch Paths'!$A$2:$A$4220,A30)</f>
        <v>13</v>
      </c>
      <c r="F30" s="37" t="n">
        <f aca="false">COUNTIFS('Watch Paths'!$A$2:$A$4220,A30,'Watch Paths'!$M$2:$M$4220,1)</f>
        <v>0</v>
      </c>
      <c r="G30" s="38" t="n">
        <f aca="false">IF(E30=0,0,F30/E30)</f>
        <v>0</v>
      </c>
      <c r="H30" s="37" t="str">
        <f aca="false">IFERROR(INDEX('Watch Paths'!$G$2:$G$4220,MATCH(A30,'Watch Paths'!$N$2:$N$4220,0)),"✓ complete")</f>
        <v>Woman in the Dunes</v>
      </c>
      <c r="I30" s="8" t="s">
        <v>4544</v>
      </c>
      <c r="J30" s="8" t="s">
        <v>4545</v>
      </c>
    </row>
    <row r="31" customFormat="false" ht="23.85" hidden="false" customHeight="false" outlineLevel="0" collapsed="false">
      <c r="A31" s="40" t="s">
        <v>3933</v>
      </c>
      <c r="B31" s="40" t="s">
        <v>51</v>
      </c>
      <c r="C31" s="40" t="s">
        <v>75</v>
      </c>
      <c r="D31" s="40" t="s">
        <v>3934</v>
      </c>
      <c r="E31" s="37" t="n">
        <f aca="false">COUNTIF('Watch Paths'!$A$2:$A$4220,A31)</f>
        <v>15</v>
      </c>
      <c r="F31" s="37" t="n">
        <f aca="false">COUNTIFS('Watch Paths'!$A$2:$A$4220,A31,'Watch Paths'!$M$2:$M$4220,1)</f>
        <v>1</v>
      </c>
      <c r="G31" s="38" t="n">
        <f aca="false">IF(E31=0,0,F31/E31)</f>
        <v>0.0666666666666667</v>
      </c>
      <c r="H31" s="37" t="str">
        <f aca="false">IFERROR(INDEX('Watch Paths'!$G$2:$G$4220,MATCH(A31,'Watch Paths'!$N$2:$N$4220,0)),"✓ complete")</f>
        <v>Yojimbo</v>
      </c>
      <c r="I31" s="8" t="s">
        <v>4546</v>
      </c>
      <c r="J31" s="8" t="s">
        <v>4547</v>
      </c>
    </row>
    <row r="32" customFormat="false" ht="15" hidden="false" customHeight="false" outlineLevel="0" collapsed="false">
      <c r="A32" s="40" t="s">
        <v>3935</v>
      </c>
      <c r="B32" s="40" t="s">
        <v>51</v>
      </c>
      <c r="C32" s="40" t="s">
        <v>75</v>
      </c>
      <c r="D32" s="40" t="s">
        <v>3936</v>
      </c>
      <c r="E32" s="37" t="n">
        <f aca="false">COUNTIF('Watch Paths'!$A$2:$A$4220,A32)</f>
        <v>11</v>
      </c>
      <c r="F32" s="37" t="n">
        <f aca="false">COUNTIFS('Watch Paths'!$A$2:$A$4220,A32,'Watch Paths'!$M$2:$M$4220,1)</f>
        <v>1</v>
      </c>
      <c r="G32" s="38" t="n">
        <f aca="false">IF(E32=0,0,F32/E32)</f>
        <v>0.0909090909090909</v>
      </c>
      <c r="H32" s="37" t="str">
        <f aca="false">IFERROR(INDEX('Watch Paths'!$G$2:$G$4220,MATCH(A32,'Watch Paths'!$N$2:$N$4220,0)),"✓ complete")</f>
        <v>Battles Without Honor and Humanity</v>
      </c>
      <c r="I32" s="8" t="s">
        <v>4548</v>
      </c>
      <c r="J32" s="8" t="s">
        <v>4549</v>
      </c>
    </row>
    <row r="33" customFormat="false" ht="15" hidden="false" customHeight="false" outlineLevel="0" collapsed="false">
      <c r="A33" s="40" t="s">
        <v>3937</v>
      </c>
      <c r="B33" s="40" t="s">
        <v>51</v>
      </c>
      <c r="C33" s="40" t="s">
        <v>75</v>
      </c>
      <c r="D33" s="40" t="s">
        <v>3938</v>
      </c>
      <c r="E33" s="37" t="n">
        <f aca="false">COUNTIF('Watch Paths'!$A$2:$A$4220,A33)</f>
        <v>13</v>
      </c>
      <c r="F33" s="37" t="n">
        <f aca="false">COUNTIFS('Watch Paths'!$A$2:$A$4220,A33,'Watch Paths'!$M$2:$M$4220,1)</f>
        <v>1</v>
      </c>
      <c r="G33" s="38" t="n">
        <f aca="false">IF(E33=0,0,F33/E33)</f>
        <v>0.0769230769230769</v>
      </c>
      <c r="H33" s="37" t="str">
        <f aca="false">IFERROR(INDEX('Watch Paths'!$G$2:$G$4220,MATCH(A33,'Watch Paths'!$N$2:$N$4220,0)),"✓ complete")</f>
        <v>Akira</v>
      </c>
      <c r="I33" s="8" t="s">
        <v>4550</v>
      </c>
      <c r="J33" s="8" t="s">
        <v>4551</v>
      </c>
    </row>
    <row r="34" customFormat="false" ht="15" hidden="false" customHeight="false" outlineLevel="0" collapsed="false">
      <c r="A34" s="40" t="s">
        <v>3939</v>
      </c>
      <c r="B34" s="40" t="s">
        <v>51</v>
      </c>
      <c r="C34" s="40" t="s">
        <v>75</v>
      </c>
      <c r="D34" s="40" t="s">
        <v>3940</v>
      </c>
      <c r="E34" s="37" t="n">
        <f aca="false">COUNTIF('Watch Paths'!$A$2:$A$4220,A34)</f>
        <v>13</v>
      </c>
      <c r="F34" s="37" t="n">
        <f aca="false">COUNTIFS('Watch Paths'!$A$2:$A$4220,A34,'Watch Paths'!$M$2:$M$4220,1)</f>
        <v>0</v>
      </c>
      <c r="G34" s="38" t="n">
        <f aca="false">IF(E34=0,0,F34/E34)</f>
        <v>0</v>
      </c>
      <c r="H34" s="37" t="str">
        <f aca="false">IFERROR(INDEX('Watch Paths'!$G$2:$G$4220,MATCH(A34,'Watch Paths'!$N$2:$N$4220,0)),"✓ complete")</f>
        <v>Shoplifters</v>
      </c>
      <c r="I34" s="8" t="s">
        <v>4552</v>
      </c>
      <c r="J34" s="8" t="s">
        <v>4553</v>
      </c>
    </row>
    <row r="35" customFormat="false" ht="23.85" hidden="false" customHeight="false" outlineLevel="0" collapsed="false">
      <c r="A35" s="40" t="s">
        <v>3941</v>
      </c>
      <c r="B35" s="40" t="s">
        <v>51</v>
      </c>
      <c r="C35" s="40" t="s">
        <v>76</v>
      </c>
      <c r="D35" s="40" t="s">
        <v>3942</v>
      </c>
      <c r="E35" s="37" t="n">
        <f aca="false">COUNTIF('Watch Paths'!$A$2:$A$4220,A35)</f>
        <v>11</v>
      </c>
      <c r="F35" s="37" t="n">
        <f aca="false">COUNTIFS('Watch Paths'!$A$2:$A$4220,A35,'Watch Paths'!$M$2:$M$4220,1)</f>
        <v>0</v>
      </c>
      <c r="G35" s="38" t="n">
        <f aca="false">IF(E35=0,0,F35/E35)</f>
        <v>0</v>
      </c>
      <c r="H35" s="37" t="str">
        <f aca="false">IFERROR(INDEX('Watch Paths'!$G$2:$G$4220,MATCH(A35,'Watch Paths'!$N$2:$N$4220,0)),"✓ complete")</f>
        <v>Rome, Open City</v>
      </c>
      <c r="I35" s="8" t="s">
        <v>4554</v>
      </c>
      <c r="J35" s="8" t="s">
        <v>4555</v>
      </c>
    </row>
    <row r="36" customFormat="false" ht="15" hidden="false" customHeight="false" outlineLevel="0" collapsed="false">
      <c r="A36" s="40" t="s">
        <v>3943</v>
      </c>
      <c r="B36" s="40" t="s">
        <v>51</v>
      </c>
      <c r="C36" s="40" t="s">
        <v>76</v>
      </c>
      <c r="D36" s="40" t="s">
        <v>3944</v>
      </c>
      <c r="E36" s="37" t="n">
        <f aca="false">COUNTIF('Watch Paths'!$A$2:$A$4220,A36)</f>
        <v>15</v>
      </c>
      <c r="F36" s="37" t="n">
        <f aca="false">COUNTIFS('Watch Paths'!$A$2:$A$4220,A36,'Watch Paths'!$M$2:$M$4220,1)</f>
        <v>1</v>
      </c>
      <c r="G36" s="38" t="n">
        <f aca="false">IF(E36=0,0,F36/E36)</f>
        <v>0.0666666666666667</v>
      </c>
      <c r="H36" s="37" t="str">
        <f aca="false">IFERROR(INDEX('Watch Paths'!$G$2:$G$4220,MATCH(A36,'Watch Paths'!$N$2:$N$4220,0)),"✓ complete")</f>
        <v>L'Avventura</v>
      </c>
      <c r="I36" s="8" t="s">
        <v>4556</v>
      </c>
      <c r="J36" s="8" t="s">
        <v>4557</v>
      </c>
    </row>
    <row r="37" customFormat="false" ht="15" hidden="false" customHeight="false" outlineLevel="0" collapsed="false">
      <c r="A37" s="40" t="s">
        <v>3945</v>
      </c>
      <c r="B37" s="40" t="s">
        <v>51</v>
      </c>
      <c r="C37" s="40" t="s">
        <v>76</v>
      </c>
      <c r="D37" s="40" t="s">
        <v>3946</v>
      </c>
      <c r="E37" s="37" t="n">
        <f aca="false">COUNTIF('Watch Paths'!$A$2:$A$4220,A37)</f>
        <v>9</v>
      </c>
      <c r="F37" s="37" t="n">
        <f aca="false">COUNTIFS('Watch Paths'!$A$2:$A$4220,A37,'Watch Paths'!$M$2:$M$4220,1)</f>
        <v>0</v>
      </c>
      <c r="G37" s="38" t="n">
        <f aca="false">IF(E37=0,0,F37/E37)</f>
        <v>0</v>
      </c>
      <c r="H37" s="37" t="str">
        <f aca="false">IFERROR(INDEX('Watch Paths'!$G$2:$G$4220,MATCH(A37,'Watch Paths'!$N$2:$N$4220,0)),"✓ complete")</f>
        <v>Big Deal on Madonna Street</v>
      </c>
      <c r="I37" s="8" t="s">
        <v>4558</v>
      </c>
      <c r="J37" s="8" t="s">
        <v>4559</v>
      </c>
    </row>
    <row r="38" customFormat="false" ht="15" hidden="false" customHeight="false" outlineLevel="0" collapsed="false">
      <c r="A38" s="40" t="s">
        <v>3947</v>
      </c>
      <c r="B38" s="40" t="s">
        <v>51</v>
      </c>
      <c r="C38" s="40" t="s">
        <v>76</v>
      </c>
      <c r="D38" s="40" t="s">
        <v>3948</v>
      </c>
      <c r="E38" s="37" t="n">
        <f aca="false">COUNTIF('Watch Paths'!$A$2:$A$4220,A38)</f>
        <v>12</v>
      </c>
      <c r="F38" s="37" t="n">
        <f aca="false">COUNTIFS('Watch Paths'!$A$2:$A$4220,A38,'Watch Paths'!$M$2:$M$4220,1)</f>
        <v>3</v>
      </c>
      <c r="G38" s="38" t="n">
        <f aca="false">IF(E38=0,0,F38/E38)</f>
        <v>0.25</v>
      </c>
      <c r="H38" s="37" t="str">
        <f aca="false">IFERROR(INDEX('Watch Paths'!$G$2:$G$4220,MATCH(A38,'Watch Paths'!$N$2:$N$4220,0)),"✓ complete")</f>
        <v>The Good, the Bad and the Ugly</v>
      </c>
      <c r="I38" s="8" t="s">
        <v>4560</v>
      </c>
      <c r="J38" s="8" t="s">
        <v>4561</v>
      </c>
    </row>
    <row r="39" customFormat="false" ht="23.85" hidden="false" customHeight="false" outlineLevel="0" collapsed="false">
      <c r="A39" s="40" t="s">
        <v>3949</v>
      </c>
      <c r="B39" s="40" t="s">
        <v>51</v>
      </c>
      <c r="C39" s="40" t="s">
        <v>76</v>
      </c>
      <c r="D39" s="40" t="s">
        <v>3950</v>
      </c>
      <c r="E39" s="37" t="n">
        <f aca="false">COUNTIF('Watch Paths'!$A$2:$A$4220,A39)</f>
        <v>14</v>
      </c>
      <c r="F39" s="37" t="n">
        <f aca="false">COUNTIFS('Watch Paths'!$A$2:$A$4220,A39,'Watch Paths'!$M$2:$M$4220,1)</f>
        <v>0</v>
      </c>
      <c r="G39" s="38" t="n">
        <f aca="false">IF(E39=0,0,F39/E39)</f>
        <v>0</v>
      </c>
      <c r="H39" s="37" t="str">
        <f aca="false">IFERROR(INDEX('Watch Paths'!$G$2:$G$4220,MATCH(A39,'Watch Paths'!$N$2:$N$4220,0)),"✓ complete")</f>
        <v>The Bird with the Crystal Plumage</v>
      </c>
      <c r="I39" s="8" t="s">
        <v>4562</v>
      </c>
      <c r="J39" s="8" t="s">
        <v>4563</v>
      </c>
    </row>
    <row r="40" customFormat="false" ht="15" hidden="false" customHeight="false" outlineLevel="0" collapsed="false">
      <c r="A40" s="40" t="s">
        <v>3951</v>
      </c>
      <c r="B40" s="40" t="s">
        <v>51</v>
      </c>
      <c r="C40" s="40" t="s">
        <v>76</v>
      </c>
      <c r="D40" s="40" t="s">
        <v>3952</v>
      </c>
      <c r="E40" s="37" t="n">
        <f aca="false">COUNTIF('Watch Paths'!$A$2:$A$4220,A40)</f>
        <v>11</v>
      </c>
      <c r="F40" s="37" t="n">
        <f aca="false">COUNTIFS('Watch Paths'!$A$2:$A$4220,A40,'Watch Paths'!$M$2:$M$4220,1)</f>
        <v>0</v>
      </c>
      <c r="G40" s="38" t="n">
        <f aca="false">IF(E40=0,0,F40/E40)</f>
        <v>0</v>
      </c>
      <c r="H40" s="37" t="str">
        <f aca="false">IFERROR(INDEX('Watch Paths'!$G$2:$G$4220,MATCH(A40,'Watch Paths'!$N$2:$N$4220,0)),"✓ complete")</f>
        <v>Black Sunday</v>
      </c>
      <c r="I40" s="8" t="s">
        <v>4564</v>
      </c>
      <c r="J40" s="8" t="s">
        <v>4565</v>
      </c>
    </row>
    <row r="41" customFormat="false" ht="15" hidden="false" customHeight="false" outlineLevel="0" collapsed="false">
      <c r="A41" s="40" t="s">
        <v>3953</v>
      </c>
      <c r="B41" s="40" t="s">
        <v>51</v>
      </c>
      <c r="C41" s="40" t="s">
        <v>76</v>
      </c>
      <c r="D41" s="40" t="s">
        <v>3954</v>
      </c>
      <c r="E41" s="37" t="n">
        <f aca="false">COUNTIF('Watch Paths'!$A$2:$A$4220,A41)</f>
        <v>8</v>
      </c>
      <c r="F41" s="37" t="n">
        <f aca="false">COUNTIFS('Watch Paths'!$A$2:$A$4220,A41,'Watch Paths'!$M$2:$M$4220,1)</f>
        <v>0</v>
      </c>
      <c r="G41" s="38" t="n">
        <f aca="false">IF(E41=0,0,F41/E41)</f>
        <v>0</v>
      </c>
      <c r="H41" s="37" t="str">
        <f aca="false">IFERROR(INDEX('Watch Paths'!$G$2:$G$4220,MATCH(A41,'Watch Paths'!$N$2:$N$4220,0)),"✓ complete")</f>
        <v>Milano Calibro 9</v>
      </c>
      <c r="I41" s="8" t="s">
        <v>4566</v>
      </c>
      <c r="J41" s="8" t="s">
        <v>4567</v>
      </c>
    </row>
    <row r="42" customFormat="false" ht="15" hidden="false" customHeight="false" outlineLevel="0" collapsed="false">
      <c r="A42" s="40" t="s">
        <v>3955</v>
      </c>
      <c r="B42" s="40" t="s">
        <v>51</v>
      </c>
      <c r="C42" s="40" t="s">
        <v>76</v>
      </c>
      <c r="D42" s="40" t="s">
        <v>3956</v>
      </c>
      <c r="E42" s="37" t="n">
        <f aca="false">COUNTIF('Watch Paths'!$A$2:$A$4220,A42)</f>
        <v>10</v>
      </c>
      <c r="F42" s="37" t="n">
        <f aca="false">COUNTIFS('Watch Paths'!$A$2:$A$4220,A42,'Watch Paths'!$M$2:$M$4220,1)</f>
        <v>1</v>
      </c>
      <c r="G42" s="38" t="n">
        <f aca="false">IF(E42=0,0,F42/E42)</f>
        <v>0.1</v>
      </c>
      <c r="H42" s="37" t="str">
        <f aca="false">IFERROR(INDEX('Watch Paths'!$G$2:$G$4220,MATCH(A42,'Watch Paths'!$N$2:$N$4220,0)),"✓ complete")</f>
        <v>The Great Beauty</v>
      </c>
      <c r="I42" s="8" t="s">
        <v>4568</v>
      </c>
      <c r="J42" s="8" t="s">
        <v>4569</v>
      </c>
    </row>
    <row r="43" customFormat="false" ht="15" hidden="false" customHeight="false" outlineLevel="0" collapsed="false">
      <c r="A43" s="40" t="s">
        <v>3957</v>
      </c>
      <c r="B43" s="40" t="s">
        <v>51</v>
      </c>
      <c r="C43" s="40" t="s">
        <v>77</v>
      </c>
      <c r="D43" s="40" t="s">
        <v>3958</v>
      </c>
      <c r="E43" s="37" t="n">
        <f aca="false">COUNTIF('Watch Paths'!$A$2:$A$4220,A43)</f>
        <v>10</v>
      </c>
      <c r="F43" s="37" t="n">
        <f aca="false">COUNTIFS('Watch Paths'!$A$2:$A$4220,A43,'Watch Paths'!$M$2:$M$4220,1)</f>
        <v>0</v>
      </c>
      <c r="G43" s="38" t="n">
        <f aca="false">IF(E43=0,0,F43/E43)</f>
        <v>0</v>
      </c>
      <c r="H43" s="37" t="str">
        <f aca="false">IFERROR(INDEX('Watch Paths'!$G$2:$G$4220,MATCH(A43,'Watch Paths'!$N$2:$N$4220,0)),"✓ complete")</f>
        <v>The Rules of the Game</v>
      </c>
      <c r="I43" s="8" t="s">
        <v>4570</v>
      </c>
      <c r="J43" s="8" t="s">
        <v>4571</v>
      </c>
    </row>
    <row r="44" customFormat="false" ht="23.85" hidden="false" customHeight="false" outlineLevel="0" collapsed="false">
      <c r="A44" s="40" t="s">
        <v>3959</v>
      </c>
      <c r="B44" s="40" t="s">
        <v>51</v>
      </c>
      <c r="C44" s="40" t="s">
        <v>77</v>
      </c>
      <c r="D44" s="40" t="s">
        <v>3960</v>
      </c>
      <c r="E44" s="37" t="n">
        <f aca="false">COUNTIF('Watch Paths'!$A$2:$A$4220,A44)</f>
        <v>14</v>
      </c>
      <c r="F44" s="37" t="n">
        <f aca="false">COUNTIFS('Watch Paths'!$A$2:$A$4220,A44,'Watch Paths'!$M$2:$M$4220,1)</f>
        <v>0</v>
      </c>
      <c r="G44" s="38" t="n">
        <f aca="false">IF(E44=0,0,F44/E44)</f>
        <v>0</v>
      </c>
      <c r="H44" s="37" t="str">
        <f aca="false">IFERROR(INDEX('Watch Paths'!$G$2:$G$4220,MATCH(A44,'Watch Paths'!$N$2:$N$4220,0)),"✓ complete")</f>
        <v>The 400 Blows</v>
      </c>
      <c r="I44" s="8" t="s">
        <v>4572</v>
      </c>
      <c r="J44" s="8" t="s">
        <v>4573</v>
      </c>
    </row>
    <row r="45" customFormat="false" ht="15" hidden="false" customHeight="false" outlineLevel="0" collapsed="false">
      <c r="A45" s="40" t="s">
        <v>3961</v>
      </c>
      <c r="B45" s="40" t="s">
        <v>51</v>
      </c>
      <c r="C45" s="40" t="s">
        <v>77</v>
      </c>
      <c r="D45" s="40" t="s">
        <v>3962</v>
      </c>
      <c r="E45" s="37" t="n">
        <f aca="false">COUNTIF('Watch Paths'!$A$2:$A$4220,A45)</f>
        <v>10</v>
      </c>
      <c r="F45" s="37" t="n">
        <f aca="false">COUNTIFS('Watch Paths'!$A$2:$A$4220,A45,'Watch Paths'!$M$2:$M$4220,1)</f>
        <v>0</v>
      </c>
      <c r="G45" s="38" t="n">
        <f aca="false">IF(E45=0,0,F45/E45)</f>
        <v>0</v>
      </c>
      <c r="H45" s="37" t="str">
        <f aca="false">IFERROR(INDEX('Watch Paths'!$G$2:$G$4220,MATCH(A45,'Watch Paths'!$N$2:$N$4220,0)),"✓ complete")</f>
        <v>Cléo from 5 to 7</v>
      </c>
      <c r="I45" s="8" t="s">
        <v>4574</v>
      </c>
      <c r="J45" s="8" t="s">
        <v>4575</v>
      </c>
    </row>
    <row r="46" customFormat="false" ht="15" hidden="false" customHeight="false" outlineLevel="0" collapsed="false">
      <c r="A46" s="40" t="s">
        <v>3963</v>
      </c>
      <c r="B46" s="40" t="s">
        <v>51</v>
      </c>
      <c r="C46" s="40" t="s">
        <v>77</v>
      </c>
      <c r="D46" s="40" t="s">
        <v>3964</v>
      </c>
      <c r="E46" s="37" t="n">
        <f aca="false">COUNTIF('Watch Paths'!$A$2:$A$4220,A46)</f>
        <v>11</v>
      </c>
      <c r="F46" s="37" t="n">
        <f aca="false">COUNTIFS('Watch Paths'!$A$2:$A$4220,A46,'Watch Paths'!$M$2:$M$4220,1)</f>
        <v>0</v>
      </c>
      <c r="G46" s="38" t="n">
        <f aca="false">IF(E46=0,0,F46/E46)</f>
        <v>0</v>
      </c>
      <c r="H46" s="37" t="str">
        <f aca="false">IFERROR(INDEX('Watch Paths'!$G$2:$G$4220,MATCH(A46,'Watch Paths'!$N$2:$N$4220,0)),"✓ complete")</f>
        <v>Le Samouraï</v>
      </c>
      <c r="I46" s="8" t="s">
        <v>4576</v>
      </c>
      <c r="J46" s="8" t="s">
        <v>4577</v>
      </c>
    </row>
    <row r="47" customFormat="false" ht="15" hidden="false" customHeight="false" outlineLevel="0" collapsed="false">
      <c r="A47" s="40" t="s">
        <v>3965</v>
      </c>
      <c r="B47" s="40" t="s">
        <v>51</v>
      </c>
      <c r="C47" s="40" t="s">
        <v>77</v>
      </c>
      <c r="D47" s="40" t="s">
        <v>3966</v>
      </c>
      <c r="E47" s="37" t="n">
        <f aca="false">COUNTIF('Watch Paths'!$A$2:$A$4220,A47)</f>
        <v>8</v>
      </c>
      <c r="F47" s="37" t="n">
        <f aca="false">COUNTIFS('Watch Paths'!$A$2:$A$4220,A47,'Watch Paths'!$M$2:$M$4220,1)</f>
        <v>1</v>
      </c>
      <c r="G47" s="38" t="n">
        <f aca="false">IF(E47=0,0,F47/E47)</f>
        <v>0.125</v>
      </c>
      <c r="H47" s="37" t="str">
        <f aca="false">IFERROR(INDEX('Watch Paths'!$G$2:$G$4220,MATCH(A47,'Watch Paths'!$N$2:$N$4220,0)),"✓ complete")</f>
        <v>Diva</v>
      </c>
      <c r="I47" s="8" t="s">
        <v>4578</v>
      </c>
      <c r="J47" s="8" t="s">
        <v>4579</v>
      </c>
    </row>
    <row r="48" customFormat="false" ht="15" hidden="false" customHeight="false" outlineLevel="0" collapsed="false">
      <c r="A48" s="40" t="s">
        <v>3967</v>
      </c>
      <c r="B48" s="40" t="s">
        <v>51</v>
      </c>
      <c r="C48" s="40" t="s">
        <v>77</v>
      </c>
      <c r="D48" s="40" t="s">
        <v>3968</v>
      </c>
      <c r="E48" s="37" t="n">
        <f aca="false">COUNTIF('Watch Paths'!$A$2:$A$4220,A48)</f>
        <v>9</v>
      </c>
      <c r="F48" s="37" t="n">
        <f aca="false">COUNTIFS('Watch Paths'!$A$2:$A$4220,A48,'Watch Paths'!$M$2:$M$4220,1)</f>
        <v>0</v>
      </c>
      <c r="G48" s="38" t="n">
        <f aca="false">IF(E48=0,0,F48/E48)</f>
        <v>0</v>
      </c>
      <c r="H48" s="37" t="str">
        <f aca="false">IFERROR(INDEX('Watch Paths'!$G$2:$G$4220,MATCH(A48,'Watch Paths'!$N$2:$N$4220,0)),"✓ complete")</f>
        <v>Raw</v>
      </c>
      <c r="I48" s="8" t="s">
        <v>4580</v>
      </c>
      <c r="J48" s="8" t="s">
        <v>4581</v>
      </c>
    </row>
    <row r="49" customFormat="false" ht="15" hidden="false" customHeight="false" outlineLevel="0" collapsed="false">
      <c r="A49" s="40" t="s">
        <v>3969</v>
      </c>
      <c r="B49" s="40" t="s">
        <v>51</v>
      </c>
      <c r="C49" s="40" t="s">
        <v>77</v>
      </c>
      <c r="D49" s="40" t="s">
        <v>3970</v>
      </c>
      <c r="E49" s="37" t="n">
        <f aca="false">COUNTIF('Watch Paths'!$A$2:$A$4220,A49)</f>
        <v>12</v>
      </c>
      <c r="F49" s="37" t="n">
        <f aca="false">COUNTIFS('Watch Paths'!$A$2:$A$4220,A49,'Watch Paths'!$M$2:$M$4220,1)</f>
        <v>0</v>
      </c>
      <c r="G49" s="38" t="n">
        <f aca="false">IF(E49=0,0,F49/E49)</f>
        <v>0</v>
      </c>
      <c r="H49" s="37" t="str">
        <f aca="false">IFERROR(INDEX('Watch Paths'!$G$2:$G$4220,MATCH(A49,'Watch Paths'!$N$2:$N$4220,0)),"✓ complete")</f>
        <v>Beau Travail</v>
      </c>
      <c r="I49" s="8" t="s">
        <v>4582</v>
      </c>
      <c r="J49" s="8" t="s">
        <v>4583</v>
      </c>
    </row>
    <row r="50" customFormat="false" ht="23.85" hidden="false" customHeight="false" outlineLevel="0" collapsed="false">
      <c r="A50" s="40" t="s">
        <v>3971</v>
      </c>
      <c r="B50" s="40" t="s">
        <v>51</v>
      </c>
      <c r="C50" s="40" t="s">
        <v>78</v>
      </c>
      <c r="D50" s="40" t="s">
        <v>3972</v>
      </c>
      <c r="E50" s="37" t="n">
        <f aca="false">COUNTIF('Watch Paths'!$A$2:$A$4220,A50)</f>
        <v>15</v>
      </c>
      <c r="F50" s="37" t="n">
        <f aca="false">COUNTIFS('Watch Paths'!$A$2:$A$4220,A50,'Watch Paths'!$M$2:$M$4220,1)</f>
        <v>1</v>
      </c>
      <c r="G50" s="38" t="n">
        <f aca="false">IF(E50=0,0,F50/E50)</f>
        <v>0.0666666666666667</v>
      </c>
      <c r="H50" s="37" t="str">
        <f aca="false">IFERROR(INDEX('Watch Paths'!$G$2:$G$4220,MATCH(A50,'Watch Paths'!$N$2:$N$4220,0)),"✓ complete")</f>
        <v>Aguirre, the Wrath of God</v>
      </c>
      <c r="I50" s="8" t="s">
        <v>4584</v>
      </c>
      <c r="J50" s="8" t="s">
        <v>4585</v>
      </c>
    </row>
    <row r="51" customFormat="false" ht="15" hidden="false" customHeight="false" outlineLevel="0" collapsed="false">
      <c r="A51" s="40" t="s">
        <v>3973</v>
      </c>
      <c r="B51" s="40" t="s">
        <v>51</v>
      </c>
      <c r="C51" s="40" t="s">
        <v>78</v>
      </c>
      <c r="D51" s="40" t="s">
        <v>3974</v>
      </c>
      <c r="E51" s="37" t="n">
        <f aca="false">COUNTIF('Watch Paths'!$A$2:$A$4220,A51)</f>
        <v>13</v>
      </c>
      <c r="F51" s="37" t="n">
        <f aca="false">COUNTIFS('Watch Paths'!$A$2:$A$4220,A51,'Watch Paths'!$M$2:$M$4220,1)</f>
        <v>1</v>
      </c>
      <c r="G51" s="38" t="n">
        <f aca="false">IF(E51=0,0,F51/E51)</f>
        <v>0.0769230769230769</v>
      </c>
      <c r="H51" s="37" t="str">
        <f aca="false">IFERROR(INDEX('Watch Paths'!$G$2:$G$4220,MATCH(A51,'Watch Paths'!$N$2:$N$4220,0)),"✓ complete")</f>
        <v>The Lives of Others</v>
      </c>
      <c r="I51" s="8" t="s">
        <v>4586</v>
      </c>
      <c r="J51" s="8" t="s">
        <v>4587</v>
      </c>
    </row>
    <row r="52" customFormat="false" ht="15" hidden="false" customHeight="false" outlineLevel="0" collapsed="false">
      <c r="A52" s="40" t="s">
        <v>3975</v>
      </c>
      <c r="B52" s="40" t="s">
        <v>51</v>
      </c>
      <c r="C52" s="40" t="s">
        <v>79</v>
      </c>
      <c r="D52" s="40" t="s">
        <v>3976</v>
      </c>
      <c r="E52" s="37" t="n">
        <f aca="false">COUNTIF('Watch Paths'!$A$2:$A$4220,A52)</f>
        <v>10</v>
      </c>
      <c r="F52" s="37" t="n">
        <f aca="false">COUNTIFS('Watch Paths'!$A$2:$A$4220,A52,'Watch Paths'!$M$2:$M$4220,1)</f>
        <v>0</v>
      </c>
      <c r="G52" s="38" t="n">
        <f aca="false">IF(E52=0,0,F52/E52)</f>
        <v>0</v>
      </c>
      <c r="H52" s="37" t="str">
        <f aca="false">IFERROR(INDEX('Watch Paths'!$G$2:$G$4220,MATCH(A52,'Watch Paths'!$N$2:$N$4220,0)),"✓ complete")</f>
        <v>The Red Shoes</v>
      </c>
      <c r="I52" s="8" t="s">
        <v>4588</v>
      </c>
      <c r="J52" s="8" t="s">
        <v>4589</v>
      </c>
    </row>
    <row r="53" customFormat="false" ht="15" hidden="false" customHeight="false" outlineLevel="0" collapsed="false">
      <c r="A53" s="40" t="s">
        <v>3977</v>
      </c>
      <c r="B53" s="40" t="s">
        <v>51</v>
      </c>
      <c r="C53" s="40" t="s">
        <v>79</v>
      </c>
      <c r="D53" s="40" t="s">
        <v>3978</v>
      </c>
      <c r="E53" s="37" t="n">
        <f aca="false">COUNTIF('Watch Paths'!$A$2:$A$4220,A53)</f>
        <v>8</v>
      </c>
      <c r="F53" s="37" t="n">
        <f aca="false">COUNTIFS('Watch Paths'!$A$2:$A$4220,A53,'Watch Paths'!$M$2:$M$4220,1)</f>
        <v>0</v>
      </c>
      <c r="G53" s="38" t="n">
        <f aca="false">IF(E53=0,0,F53/E53)</f>
        <v>0</v>
      </c>
      <c r="H53" s="37" t="str">
        <f aca="false">IFERROR(INDEX('Watch Paths'!$G$2:$G$4220,MATCH(A53,'Watch Paths'!$N$2:$N$4220,0)),"✓ complete")</f>
        <v>Kind Hearts and Coronets</v>
      </c>
      <c r="I53" s="8" t="s">
        <v>4590</v>
      </c>
      <c r="J53" s="8" t="s">
        <v>4591</v>
      </c>
    </row>
    <row r="54" customFormat="false" ht="15" hidden="false" customHeight="false" outlineLevel="0" collapsed="false">
      <c r="A54" s="40" t="s">
        <v>3979</v>
      </c>
      <c r="B54" s="40" t="s">
        <v>51</v>
      </c>
      <c r="C54" s="40" t="s">
        <v>79</v>
      </c>
      <c r="D54" s="40" t="s">
        <v>3980</v>
      </c>
      <c r="E54" s="37" t="n">
        <f aca="false">COUNTIF('Watch Paths'!$A$2:$A$4220,A54)</f>
        <v>10</v>
      </c>
      <c r="F54" s="37" t="n">
        <f aca="false">COUNTIFS('Watch Paths'!$A$2:$A$4220,A54,'Watch Paths'!$M$2:$M$4220,1)</f>
        <v>0</v>
      </c>
      <c r="G54" s="38" t="n">
        <f aca="false">IF(E54=0,0,F54/E54)</f>
        <v>0</v>
      </c>
      <c r="H54" s="37" t="str">
        <f aca="false">IFERROR(INDEX('Watch Paths'!$G$2:$G$4220,MATCH(A54,'Watch Paths'!$N$2:$N$4220,0)),"✓ complete")</f>
        <v>Saturday Night and Sunday Morning</v>
      </c>
      <c r="I54" s="8" t="s">
        <v>4592</v>
      </c>
      <c r="J54" s="8" t="s">
        <v>4593</v>
      </c>
    </row>
    <row r="55" customFormat="false" ht="23.85" hidden="false" customHeight="false" outlineLevel="0" collapsed="false">
      <c r="A55" s="40" t="s">
        <v>3981</v>
      </c>
      <c r="B55" s="40" t="s">
        <v>51</v>
      </c>
      <c r="C55" s="40" t="s">
        <v>79</v>
      </c>
      <c r="D55" s="40" t="s">
        <v>3982</v>
      </c>
      <c r="E55" s="37" t="n">
        <f aca="false">COUNTIF('Watch Paths'!$A$2:$A$4220,A55)</f>
        <v>16</v>
      </c>
      <c r="F55" s="37" t="n">
        <f aca="false">COUNTIFS('Watch Paths'!$A$2:$A$4220,A55,'Watch Paths'!$M$2:$M$4220,1)</f>
        <v>1</v>
      </c>
      <c r="G55" s="38" t="n">
        <f aca="false">IF(E55=0,0,F55/E55)</f>
        <v>0.0625</v>
      </c>
      <c r="H55" s="37" t="str">
        <f aca="false">IFERROR(INDEX('Watch Paths'!$G$2:$G$4220,MATCH(A55,'Watch Paths'!$N$2:$N$4220,0)),"✓ complete")</f>
        <v>Naked</v>
      </c>
      <c r="I55" s="8" t="s">
        <v>4594</v>
      </c>
      <c r="J55" s="8" t="s">
        <v>4595</v>
      </c>
    </row>
    <row r="56" customFormat="false" ht="15" hidden="false" customHeight="false" outlineLevel="0" collapsed="false">
      <c r="A56" s="40" t="s">
        <v>3983</v>
      </c>
      <c r="B56" s="40" t="s">
        <v>51</v>
      </c>
      <c r="C56" s="40" t="s">
        <v>79</v>
      </c>
      <c r="D56" s="40" t="s">
        <v>3984</v>
      </c>
      <c r="E56" s="37" t="n">
        <f aca="false">COUNTIF('Watch Paths'!$A$2:$A$4220,A56)</f>
        <v>11</v>
      </c>
      <c r="F56" s="37" t="n">
        <f aca="false">COUNTIFS('Watch Paths'!$A$2:$A$4220,A56,'Watch Paths'!$M$2:$M$4220,1)</f>
        <v>0</v>
      </c>
      <c r="G56" s="38" t="n">
        <f aca="false">IF(E56=0,0,F56/E56)</f>
        <v>0</v>
      </c>
      <c r="H56" s="37" t="str">
        <f aca="false">IFERROR(INDEX('Watch Paths'!$G$2:$G$4220,MATCH(A56,'Watch Paths'!$N$2:$N$4220,0)),"✓ complete")</f>
        <v>Blow-Up</v>
      </c>
      <c r="I56" s="8" t="s">
        <v>4596</v>
      </c>
      <c r="J56" s="8" t="s">
        <v>4597</v>
      </c>
    </row>
    <row r="57" customFormat="false" ht="15" hidden="false" customHeight="false" outlineLevel="0" collapsed="false">
      <c r="A57" s="40" t="s">
        <v>3985</v>
      </c>
      <c r="B57" s="40" t="s">
        <v>51</v>
      </c>
      <c r="C57" s="40" t="s">
        <v>80</v>
      </c>
      <c r="D57" s="40" t="s">
        <v>3986</v>
      </c>
      <c r="E57" s="37" t="n">
        <f aca="false">COUNTIF('Watch Paths'!$A$2:$A$4220,A57)</f>
        <v>11</v>
      </c>
      <c r="F57" s="37" t="n">
        <f aca="false">COUNTIFS('Watch Paths'!$A$2:$A$4220,A57,'Watch Paths'!$M$2:$M$4220,1)</f>
        <v>1</v>
      </c>
      <c r="G57" s="38" t="n">
        <f aca="false">IF(E57=0,0,F57/E57)</f>
        <v>0.0909090909090909</v>
      </c>
      <c r="H57" s="37" t="str">
        <f aca="false">IFERROR(INDEX('Watch Paths'!$G$2:$G$4220,MATCH(A57,'Watch Paths'!$N$2:$N$4220,0)),"✓ complete")</f>
        <v>The Passion of Joan of Arc</v>
      </c>
      <c r="I57" s="8" t="s">
        <v>4598</v>
      </c>
      <c r="J57" s="8" t="s">
        <v>4599</v>
      </c>
    </row>
    <row r="58" customFormat="false" ht="15" hidden="false" customHeight="false" outlineLevel="0" collapsed="false">
      <c r="A58" s="40" t="s">
        <v>3987</v>
      </c>
      <c r="B58" s="40" t="s">
        <v>51</v>
      </c>
      <c r="C58" s="40" t="s">
        <v>80</v>
      </c>
      <c r="D58" s="40" t="s">
        <v>3988</v>
      </c>
      <c r="E58" s="37" t="n">
        <f aca="false">COUNTIF('Watch Paths'!$A$2:$A$4220,A58)</f>
        <v>13</v>
      </c>
      <c r="F58" s="37" t="n">
        <f aca="false">COUNTIFS('Watch Paths'!$A$2:$A$4220,A58,'Watch Paths'!$M$2:$M$4220,1)</f>
        <v>1</v>
      </c>
      <c r="G58" s="38" t="n">
        <f aca="false">IF(E58=0,0,F58/E58)</f>
        <v>0.0769230769230769</v>
      </c>
      <c r="H58" s="37" t="str">
        <f aca="false">IFERROR(INDEX('Watch Paths'!$G$2:$G$4220,MATCH(A58,'Watch Paths'!$N$2:$N$4220,0)),"✓ complete")</f>
        <v>The Celebration</v>
      </c>
      <c r="I58" s="8" t="s">
        <v>4600</v>
      </c>
      <c r="J58" s="8" t="s">
        <v>4601</v>
      </c>
    </row>
    <row r="59" customFormat="false" ht="15" hidden="false" customHeight="false" outlineLevel="0" collapsed="false">
      <c r="A59" s="40" t="s">
        <v>3989</v>
      </c>
      <c r="B59" s="40" t="s">
        <v>51</v>
      </c>
      <c r="C59" s="40" t="s">
        <v>81</v>
      </c>
      <c r="D59" s="40" t="s">
        <v>3990</v>
      </c>
      <c r="E59" s="37" t="n">
        <f aca="false">COUNTIF('Watch Paths'!$A$2:$A$4220,A59)</f>
        <v>12</v>
      </c>
      <c r="F59" s="37" t="n">
        <f aca="false">COUNTIFS('Watch Paths'!$A$2:$A$4220,A59,'Watch Paths'!$M$2:$M$4220,1)</f>
        <v>1</v>
      </c>
      <c r="G59" s="38" t="n">
        <f aca="false">IF(E59=0,0,F59/E59)</f>
        <v>0.0833333333333333</v>
      </c>
      <c r="H59" s="37" t="str">
        <f aca="false">IFERROR(INDEX('Watch Paths'!$G$2:$G$4220,MATCH(A59,'Watch Paths'!$N$2:$N$4220,0)),"✓ complete")</f>
        <v>The Cranes Are Flying</v>
      </c>
      <c r="I59" s="8" t="s">
        <v>4602</v>
      </c>
      <c r="J59" s="8" t="s">
        <v>4603</v>
      </c>
    </row>
    <row r="60" customFormat="false" ht="15" hidden="false" customHeight="false" outlineLevel="0" collapsed="false">
      <c r="A60" s="40" t="s">
        <v>3991</v>
      </c>
      <c r="B60" s="40" t="s">
        <v>51</v>
      </c>
      <c r="C60" s="40" t="s">
        <v>81</v>
      </c>
      <c r="D60" s="40" t="s">
        <v>3992</v>
      </c>
      <c r="E60" s="37" t="n">
        <f aca="false">COUNTIF('Watch Paths'!$A$2:$A$4220,A60)</f>
        <v>11</v>
      </c>
      <c r="F60" s="37" t="n">
        <f aca="false">COUNTIFS('Watch Paths'!$A$2:$A$4220,A60,'Watch Paths'!$M$2:$M$4220,1)</f>
        <v>0</v>
      </c>
      <c r="G60" s="38" t="n">
        <f aca="false">IF(E60=0,0,F60/E60)</f>
        <v>0</v>
      </c>
      <c r="H60" s="37" t="str">
        <f aca="false">IFERROR(INDEX('Watch Paths'!$G$2:$G$4220,MATCH(A60,'Watch Paths'!$N$2:$N$4220,0)),"✓ complete")</f>
        <v>Closely Watched Trains</v>
      </c>
      <c r="I60" s="8" t="s">
        <v>4604</v>
      </c>
      <c r="J60" s="8" t="s">
        <v>4605</v>
      </c>
    </row>
    <row r="61" customFormat="false" ht="15" hidden="false" customHeight="false" outlineLevel="0" collapsed="false">
      <c r="A61" s="40" t="s">
        <v>3993</v>
      </c>
      <c r="B61" s="40" t="s">
        <v>51</v>
      </c>
      <c r="C61" s="40" t="s">
        <v>81</v>
      </c>
      <c r="D61" s="40" t="s">
        <v>3994</v>
      </c>
      <c r="E61" s="37" t="n">
        <f aca="false">COUNTIF('Watch Paths'!$A$2:$A$4220,A61)</f>
        <v>11</v>
      </c>
      <c r="F61" s="37" t="n">
        <f aca="false">COUNTIFS('Watch Paths'!$A$2:$A$4220,A61,'Watch Paths'!$M$2:$M$4220,1)</f>
        <v>0</v>
      </c>
      <c r="G61" s="38" t="n">
        <f aca="false">IF(E61=0,0,F61/E61)</f>
        <v>0</v>
      </c>
      <c r="H61" s="37" t="str">
        <f aca="false">IFERROR(INDEX('Watch Paths'!$G$2:$G$4220,MATCH(A61,'Watch Paths'!$N$2:$N$4220,0)),"✓ complete")</f>
        <v>Ashes and Diamonds</v>
      </c>
      <c r="I61" s="8" t="s">
        <v>4606</v>
      </c>
      <c r="J61" s="8" t="s">
        <v>4607</v>
      </c>
    </row>
    <row r="62" customFormat="false" ht="15" hidden="false" customHeight="false" outlineLevel="0" collapsed="false">
      <c r="A62" s="40" t="s">
        <v>3995</v>
      </c>
      <c r="B62" s="40" t="s">
        <v>51</v>
      </c>
      <c r="C62" s="40" t="s">
        <v>81</v>
      </c>
      <c r="D62" s="40" t="s">
        <v>3996</v>
      </c>
      <c r="E62" s="37" t="n">
        <f aca="false">COUNTIF('Watch Paths'!$A$2:$A$4220,A62)</f>
        <v>8</v>
      </c>
      <c r="F62" s="37" t="n">
        <f aca="false">COUNTIFS('Watch Paths'!$A$2:$A$4220,A62,'Watch Paths'!$M$2:$M$4220,1)</f>
        <v>0</v>
      </c>
      <c r="G62" s="38" t="n">
        <f aca="false">IF(E62=0,0,F62/E62)</f>
        <v>0</v>
      </c>
      <c r="H62" s="37" t="str">
        <f aca="false">IFERROR(INDEX('Watch Paths'!$G$2:$G$4220,MATCH(A62,'Watch Paths'!$N$2:$N$4220,0)),"✓ complete")</f>
        <v>W.R.: Mysteries of the Organism</v>
      </c>
      <c r="I62" s="8" t="s">
        <v>4608</v>
      </c>
      <c r="J62" s="8" t="s">
        <v>4609</v>
      </c>
    </row>
    <row r="63" customFormat="false" ht="15" hidden="false" customHeight="false" outlineLevel="0" collapsed="false">
      <c r="A63" s="40" t="s">
        <v>3997</v>
      </c>
      <c r="B63" s="40" t="s">
        <v>51</v>
      </c>
      <c r="C63" s="40" t="s">
        <v>81</v>
      </c>
      <c r="D63" s="40" t="s">
        <v>3998</v>
      </c>
      <c r="E63" s="37" t="n">
        <f aca="false">COUNTIF('Watch Paths'!$A$2:$A$4220,A63)</f>
        <v>9</v>
      </c>
      <c r="F63" s="37" t="n">
        <f aca="false">COUNTIFS('Watch Paths'!$A$2:$A$4220,A63,'Watch Paths'!$M$2:$M$4220,1)</f>
        <v>0</v>
      </c>
      <c r="G63" s="38" t="n">
        <f aca="false">IF(E63=0,0,F63/E63)</f>
        <v>0</v>
      </c>
      <c r="H63" s="37" t="str">
        <f aca="false">IFERROR(INDEX('Watch Paths'!$G$2:$G$4220,MATCH(A63,'Watch Paths'!$N$2:$N$4220,0)),"✓ complete")</f>
        <v>The Round-Up</v>
      </c>
      <c r="I63" s="8" t="s">
        <v>4610</v>
      </c>
      <c r="J63" s="8" t="s">
        <v>4611</v>
      </c>
    </row>
    <row r="64" customFormat="false" ht="15" hidden="false" customHeight="false" outlineLevel="0" collapsed="false">
      <c r="A64" s="40" t="s">
        <v>3999</v>
      </c>
      <c r="B64" s="40" t="s">
        <v>51</v>
      </c>
      <c r="C64" s="40" t="s">
        <v>81</v>
      </c>
      <c r="D64" s="40" t="s">
        <v>4000</v>
      </c>
      <c r="E64" s="37" t="n">
        <f aca="false">COUNTIF('Watch Paths'!$A$2:$A$4220,A64)</f>
        <v>10</v>
      </c>
      <c r="F64" s="37" t="n">
        <f aca="false">COUNTIFS('Watch Paths'!$A$2:$A$4220,A64,'Watch Paths'!$M$2:$M$4220,1)</f>
        <v>0</v>
      </c>
      <c r="G64" s="38" t="n">
        <f aca="false">IF(E64=0,0,F64/E64)</f>
        <v>0</v>
      </c>
      <c r="H64" s="37" t="str">
        <f aca="false">IFERROR(INDEX('Watch Paths'!$G$2:$G$4220,MATCH(A64,'Watch Paths'!$N$2:$N$4220,0)),"✓ complete")</f>
        <v>4 Months, 3 Weeks and 2 Days</v>
      </c>
      <c r="I64" s="8" t="s">
        <v>4612</v>
      </c>
      <c r="J64" s="8" t="s">
        <v>4613</v>
      </c>
    </row>
    <row r="65" customFormat="false" ht="15" hidden="false" customHeight="false" outlineLevel="0" collapsed="false">
      <c r="A65" s="40" t="s">
        <v>4001</v>
      </c>
      <c r="B65" s="40" t="s">
        <v>51</v>
      </c>
      <c r="C65" s="40" t="s">
        <v>82</v>
      </c>
      <c r="D65" s="40" t="s">
        <v>4002</v>
      </c>
      <c r="E65" s="37" t="n">
        <f aca="false">COUNTIF('Watch Paths'!$A$2:$A$4220,A65)</f>
        <v>11</v>
      </c>
      <c r="F65" s="37" t="n">
        <f aca="false">COUNTIFS('Watch Paths'!$A$2:$A$4220,A65,'Watch Paths'!$M$2:$M$4220,1)</f>
        <v>0</v>
      </c>
      <c r="G65" s="38" t="n">
        <f aca="false">IF(E65=0,0,F65/E65)</f>
        <v>0</v>
      </c>
      <c r="H65" s="37" t="str">
        <f aca="false">IFERROR(INDEX('Watch Paths'!$G$2:$G$4220,MATCH(A65,'Watch Paths'!$N$2:$N$4220,0)),"✓ complete")</f>
        <v>Viridiana</v>
      </c>
      <c r="I65" s="8" t="s">
        <v>4614</v>
      </c>
      <c r="J65" s="8" t="s">
        <v>4615</v>
      </c>
    </row>
    <row r="66" customFormat="false" ht="15" hidden="false" customHeight="false" outlineLevel="0" collapsed="false">
      <c r="A66" s="40" t="s">
        <v>4003</v>
      </c>
      <c r="B66" s="40" t="s">
        <v>51</v>
      </c>
      <c r="C66" s="40" t="s">
        <v>82</v>
      </c>
      <c r="D66" s="40" t="s">
        <v>4004</v>
      </c>
      <c r="E66" s="37" t="n">
        <f aca="false">COUNTIF('Watch Paths'!$A$2:$A$4220,A66)</f>
        <v>10</v>
      </c>
      <c r="F66" s="37" t="n">
        <f aca="false">COUNTIFS('Watch Paths'!$A$2:$A$4220,A66,'Watch Paths'!$M$2:$M$4220,1)</f>
        <v>0</v>
      </c>
      <c r="G66" s="38" t="n">
        <f aca="false">IF(E66=0,0,F66/E66)</f>
        <v>0</v>
      </c>
      <c r="H66" s="37" t="str">
        <f aca="false">IFERROR(INDEX('Watch Paths'!$G$2:$G$4220,MATCH(A66,'Watch Paths'!$N$2:$N$4220,0)),"✓ complete")</f>
        <v>Los Olvidados</v>
      </c>
      <c r="I66" s="8" t="s">
        <v>4616</v>
      </c>
      <c r="J66" s="8" t="s">
        <v>4617</v>
      </c>
    </row>
    <row r="67" customFormat="false" ht="15" hidden="false" customHeight="false" outlineLevel="0" collapsed="false">
      <c r="A67" s="40" t="s">
        <v>4005</v>
      </c>
      <c r="B67" s="40" t="s">
        <v>51</v>
      </c>
      <c r="C67" s="40" t="s">
        <v>82</v>
      </c>
      <c r="D67" s="40" t="s">
        <v>4006</v>
      </c>
      <c r="E67" s="37" t="n">
        <f aca="false">COUNTIF('Watch Paths'!$A$2:$A$4220,A67)</f>
        <v>11</v>
      </c>
      <c r="F67" s="37" t="n">
        <f aca="false">COUNTIFS('Watch Paths'!$A$2:$A$4220,A67,'Watch Paths'!$M$2:$M$4220,1)</f>
        <v>0</v>
      </c>
      <c r="G67" s="38" t="n">
        <f aca="false">IF(E67=0,0,F67/E67)</f>
        <v>0</v>
      </c>
      <c r="H67" s="37" t="str">
        <f aca="false">IFERROR(INDEX('Watch Paths'!$G$2:$G$4220,MATCH(A67,'Watch Paths'!$N$2:$N$4220,0)),"✓ complete")</f>
        <v>Black God, White Devil</v>
      </c>
      <c r="I67" s="8" t="s">
        <v>4618</v>
      </c>
      <c r="J67" s="8" t="s">
        <v>4619</v>
      </c>
    </row>
    <row r="68" customFormat="false" ht="23.85" hidden="false" customHeight="false" outlineLevel="0" collapsed="false">
      <c r="A68" s="40" t="s">
        <v>4007</v>
      </c>
      <c r="B68" s="40" t="s">
        <v>51</v>
      </c>
      <c r="C68" s="40" t="s">
        <v>82</v>
      </c>
      <c r="D68" s="40" t="s">
        <v>4008</v>
      </c>
      <c r="E68" s="37" t="n">
        <f aca="false">COUNTIF('Watch Paths'!$A$2:$A$4220,A68)</f>
        <v>9</v>
      </c>
      <c r="F68" s="37" t="n">
        <f aca="false">COUNTIFS('Watch Paths'!$A$2:$A$4220,A68,'Watch Paths'!$M$2:$M$4220,1)</f>
        <v>0</v>
      </c>
      <c r="G68" s="38" t="n">
        <f aca="false">IF(E68=0,0,F68/E68)</f>
        <v>0</v>
      </c>
      <c r="H68" s="37" t="str">
        <f aca="false">IFERROR(INDEX('Watch Paths'!$G$2:$G$4220,MATCH(A68,'Watch Paths'!$N$2:$N$4220,0)),"✓ complete")</f>
        <v>Memories of Underdevelopment</v>
      </c>
      <c r="I68" s="8" t="s">
        <v>4620</v>
      </c>
      <c r="J68" s="8" t="s">
        <v>4621</v>
      </c>
    </row>
    <row r="69" customFormat="false" ht="15" hidden="false" customHeight="false" outlineLevel="0" collapsed="false">
      <c r="A69" s="40" t="s">
        <v>4009</v>
      </c>
      <c r="B69" s="40" t="s">
        <v>51</v>
      </c>
      <c r="C69" s="40" t="s">
        <v>82</v>
      </c>
      <c r="D69" s="40" t="s">
        <v>4010</v>
      </c>
      <c r="E69" s="37" t="n">
        <f aca="false">COUNTIF('Watch Paths'!$A$2:$A$4220,A69)</f>
        <v>10</v>
      </c>
      <c r="F69" s="37" t="n">
        <f aca="false">COUNTIFS('Watch Paths'!$A$2:$A$4220,A69,'Watch Paths'!$M$2:$M$4220,1)</f>
        <v>0</v>
      </c>
      <c r="G69" s="38" t="n">
        <f aca="false">IF(E69=0,0,F69/E69)</f>
        <v>0</v>
      </c>
      <c r="H69" s="37" t="str">
        <f aca="false">IFERROR(INDEX('Watch Paths'!$G$2:$G$4220,MATCH(A69,'Watch Paths'!$N$2:$N$4220,0)),"✓ complete")</f>
        <v>The Secret in Their Eyes</v>
      </c>
      <c r="I69" s="8" t="s">
        <v>4622</v>
      </c>
      <c r="J69" s="8" t="s">
        <v>4623</v>
      </c>
    </row>
    <row r="70" customFormat="false" ht="15" hidden="false" customHeight="false" outlineLevel="0" collapsed="false">
      <c r="A70" s="40" t="s">
        <v>4011</v>
      </c>
      <c r="B70" s="40" t="s">
        <v>51</v>
      </c>
      <c r="C70" s="40" t="s">
        <v>83</v>
      </c>
      <c r="D70" s="40" t="s">
        <v>4012</v>
      </c>
      <c r="E70" s="37" t="n">
        <f aca="false">COUNTIF('Watch Paths'!$A$2:$A$4220,A70)</f>
        <v>14</v>
      </c>
      <c r="F70" s="37" t="n">
        <f aca="false">COUNTIFS('Watch Paths'!$A$2:$A$4220,A70,'Watch Paths'!$M$2:$M$4220,1)</f>
        <v>1</v>
      </c>
      <c r="G70" s="38" t="n">
        <f aca="false">IF(E70=0,0,F70/E70)</f>
        <v>0.0714285714285714</v>
      </c>
      <c r="H70" s="37" t="str">
        <f aca="false">IFERROR(INDEX('Watch Paths'!$G$2:$G$4220,MATCH(A70,'Watch Paths'!$N$2:$N$4220,0)),"✓ complete")</f>
        <v>Police Story</v>
      </c>
      <c r="I70" s="8" t="s">
        <v>4624</v>
      </c>
      <c r="J70" s="8" t="s">
        <v>4625</v>
      </c>
    </row>
    <row r="71" customFormat="false" ht="15" hidden="false" customHeight="false" outlineLevel="0" collapsed="false">
      <c r="A71" s="40" t="s">
        <v>4013</v>
      </c>
      <c r="B71" s="40" t="s">
        <v>51</v>
      </c>
      <c r="C71" s="40" t="s">
        <v>83</v>
      </c>
      <c r="D71" s="40" t="s">
        <v>4014</v>
      </c>
      <c r="E71" s="37" t="n">
        <f aca="false">COUNTIF('Watch Paths'!$A$2:$A$4220,A71)</f>
        <v>10</v>
      </c>
      <c r="F71" s="37" t="n">
        <f aca="false">COUNTIFS('Watch Paths'!$A$2:$A$4220,A71,'Watch Paths'!$M$2:$M$4220,1)</f>
        <v>0</v>
      </c>
      <c r="G71" s="38" t="n">
        <f aca="false">IF(E71=0,0,F71/E71)</f>
        <v>0</v>
      </c>
      <c r="H71" s="37" t="str">
        <f aca="false">IFERROR(INDEX('Watch Paths'!$G$2:$G$4220,MATCH(A71,'Watch Paths'!$N$2:$N$4220,0)),"✓ complete")</f>
        <v>Crouching Tiger, Hidden Dragon</v>
      </c>
      <c r="I71" s="8" t="s">
        <v>4626</v>
      </c>
      <c r="J71" s="8" t="s">
        <v>4627</v>
      </c>
    </row>
    <row r="72" customFormat="false" ht="15" hidden="false" customHeight="false" outlineLevel="0" collapsed="false">
      <c r="A72" s="40" t="s">
        <v>4015</v>
      </c>
      <c r="B72" s="40" t="s">
        <v>51</v>
      </c>
      <c r="C72" s="40" t="s">
        <v>83</v>
      </c>
      <c r="D72" s="40" t="s">
        <v>4016</v>
      </c>
      <c r="E72" s="37" t="n">
        <f aca="false">COUNTIF('Watch Paths'!$A$2:$A$4220,A72)</f>
        <v>11</v>
      </c>
      <c r="F72" s="37" t="n">
        <f aca="false">COUNTIFS('Watch Paths'!$A$2:$A$4220,A72,'Watch Paths'!$M$2:$M$4220,1)</f>
        <v>1</v>
      </c>
      <c r="G72" s="38" t="n">
        <f aca="false">IF(E72=0,0,F72/E72)</f>
        <v>0.0909090909090909</v>
      </c>
      <c r="H72" s="37" t="str">
        <f aca="false">IFERROR(INDEX('Watch Paths'!$G$2:$G$4220,MATCH(A72,'Watch Paths'!$N$2:$N$4220,0)),"✓ complete")</f>
        <v>Chungking Express</v>
      </c>
      <c r="I72" s="8" t="s">
        <v>4628</v>
      </c>
      <c r="J72" s="8" t="s">
        <v>4629</v>
      </c>
    </row>
    <row r="73" customFormat="false" ht="15" hidden="false" customHeight="false" outlineLevel="0" collapsed="false">
      <c r="A73" s="40" t="s">
        <v>4017</v>
      </c>
      <c r="B73" s="40" t="s">
        <v>51</v>
      </c>
      <c r="C73" s="40" t="s">
        <v>83</v>
      </c>
      <c r="D73" s="40" t="s">
        <v>4018</v>
      </c>
      <c r="E73" s="37" t="n">
        <f aca="false">COUNTIF('Watch Paths'!$A$2:$A$4220,A73)</f>
        <v>12</v>
      </c>
      <c r="F73" s="37" t="n">
        <f aca="false">COUNTIFS('Watch Paths'!$A$2:$A$4220,A73,'Watch Paths'!$M$2:$M$4220,1)</f>
        <v>0</v>
      </c>
      <c r="G73" s="38" t="n">
        <f aca="false">IF(E73=0,0,F73/E73)</f>
        <v>0</v>
      </c>
      <c r="H73" s="37" t="str">
        <f aca="false">IFERROR(INDEX('Watch Paths'!$G$2:$G$4220,MATCH(A73,'Watch Paths'!$N$2:$N$4220,0)),"✓ complete")</f>
        <v>Yi Yi</v>
      </c>
      <c r="I73" s="8" t="s">
        <v>4630</v>
      </c>
      <c r="J73" s="8" t="s">
        <v>4631</v>
      </c>
    </row>
    <row r="74" customFormat="false" ht="15" hidden="false" customHeight="false" outlineLevel="0" collapsed="false">
      <c r="A74" s="40" t="s">
        <v>4019</v>
      </c>
      <c r="B74" s="40" t="s">
        <v>51</v>
      </c>
      <c r="C74" s="40" t="s">
        <v>83</v>
      </c>
      <c r="D74" s="40" t="s">
        <v>4020</v>
      </c>
      <c r="E74" s="37" t="n">
        <f aca="false">COUNTIF('Watch Paths'!$A$2:$A$4220,A74)</f>
        <v>14</v>
      </c>
      <c r="F74" s="37" t="n">
        <f aca="false">COUNTIFS('Watch Paths'!$A$2:$A$4220,A74,'Watch Paths'!$M$2:$M$4220,1)</f>
        <v>0</v>
      </c>
      <c r="G74" s="38" t="n">
        <f aca="false">IF(E74=0,0,F74/E74)</f>
        <v>0</v>
      </c>
      <c r="H74" s="37" t="str">
        <f aca="false">IFERROR(INDEX('Watch Paths'!$G$2:$G$4220,MATCH(A74,'Watch Paths'!$N$2:$N$4220,0)),"✓ complete")</f>
        <v>Raise the Red Lantern</v>
      </c>
      <c r="I74" s="8" t="s">
        <v>4632</v>
      </c>
      <c r="J74" s="8" t="s">
        <v>4633</v>
      </c>
    </row>
    <row r="75" customFormat="false" ht="23.85" hidden="false" customHeight="false" outlineLevel="0" collapsed="false">
      <c r="A75" s="40" t="s">
        <v>4021</v>
      </c>
      <c r="B75" s="40" t="s">
        <v>51</v>
      </c>
      <c r="C75" s="40" t="s">
        <v>84</v>
      </c>
      <c r="D75" s="40" t="s">
        <v>4022</v>
      </c>
      <c r="E75" s="37" t="n">
        <f aca="false">COUNTIF('Watch Paths'!$A$2:$A$4220,A75)</f>
        <v>11</v>
      </c>
      <c r="F75" s="37" t="n">
        <f aca="false">COUNTIFS('Watch Paths'!$A$2:$A$4220,A75,'Watch Paths'!$M$2:$M$4220,1)</f>
        <v>0</v>
      </c>
      <c r="G75" s="38" t="n">
        <f aca="false">IF(E75=0,0,F75/E75)</f>
        <v>0</v>
      </c>
      <c r="H75" s="37" t="str">
        <f aca="false">IFERROR(INDEX('Watch Paths'!$G$2:$G$4220,MATCH(A75,'Watch Paths'!$N$2:$N$4220,0)),"✓ complete")</f>
        <v>The Housemaid</v>
      </c>
      <c r="I75" s="8" t="s">
        <v>4634</v>
      </c>
      <c r="J75" s="8" t="s">
        <v>4635</v>
      </c>
    </row>
    <row r="76" customFormat="false" ht="15" hidden="false" customHeight="false" outlineLevel="0" collapsed="false">
      <c r="A76" s="40" t="s">
        <v>4023</v>
      </c>
      <c r="B76" s="40" t="s">
        <v>51</v>
      </c>
      <c r="C76" s="40" t="s">
        <v>84</v>
      </c>
      <c r="D76" s="40" t="s">
        <v>4024</v>
      </c>
      <c r="E76" s="37" t="n">
        <f aca="false">COUNTIF('Watch Paths'!$A$2:$A$4220,A76)</f>
        <v>13</v>
      </c>
      <c r="F76" s="37" t="n">
        <f aca="false">COUNTIFS('Watch Paths'!$A$2:$A$4220,A76,'Watch Paths'!$M$2:$M$4220,1)</f>
        <v>0</v>
      </c>
      <c r="G76" s="38" t="n">
        <f aca="false">IF(E76=0,0,F76/E76)</f>
        <v>0</v>
      </c>
      <c r="H76" s="37" t="str">
        <f aca="false">IFERROR(INDEX('Watch Paths'!$G$2:$G$4220,MATCH(A76,'Watch Paths'!$N$2:$N$4220,0)),"✓ complete")</f>
        <v>The Chaser</v>
      </c>
      <c r="I76" s="8" t="s">
        <v>4636</v>
      </c>
      <c r="J76" s="8" t="s">
        <v>4637</v>
      </c>
    </row>
    <row r="77" customFormat="false" ht="23.85" hidden="false" customHeight="false" outlineLevel="0" collapsed="false">
      <c r="A77" s="40" t="s">
        <v>4025</v>
      </c>
      <c r="B77" s="40" t="s">
        <v>51</v>
      </c>
      <c r="C77" s="40" t="s">
        <v>85</v>
      </c>
      <c r="D77" s="40" t="s">
        <v>4026</v>
      </c>
      <c r="E77" s="37" t="n">
        <f aca="false">COUNTIF('Watch Paths'!$A$2:$A$4220,A77)</f>
        <v>12</v>
      </c>
      <c r="F77" s="37" t="n">
        <f aca="false">COUNTIFS('Watch Paths'!$A$2:$A$4220,A77,'Watch Paths'!$M$2:$M$4220,1)</f>
        <v>0</v>
      </c>
      <c r="G77" s="38" t="n">
        <f aca="false">IF(E77=0,0,F77/E77)</f>
        <v>0</v>
      </c>
      <c r="H77" s="37" t="str">
        <f aca="false">IFERROR(INDEX('Watch Paths'!$G$2:$G$4220,MATCH(A77,'Watch Paths'!$N$2:$N$4220,0)),"✓ complete")</f>
        <v>Pather Panchali</v>
      </c>
      <c r="I77" s="8" t="s">
        <v>4638</v>
      </c>
      <c r="J77" s="8" t="s">
        <v>4639</v>
      </c>
    </row>
    <row r="78" customFormat="false" ht="15" hidden="false" customHeight="false" outlineLevel="0" collapsed="false">
      <c r="A78" s="40" t="s">
        <v>4027</v>
      </c>
      <c r="B78" s="40" t="s">
        <v>51</v>
      </c>
      <c r="C78" s="40" t="s">
        <v>85</v>
      </c>
      <c r="D78" s="40" t="s">
        <v>4028</v>
      </c>
      <c r="E78" s="37" t="n">
        <f aca="false">COUNTIF('Watch Paths'!$A$2:$A$4220,A78)</f>
        <v>13</v>
      </c>
      <c r="F78" s="37" t="n">
        <f aca="false">COUNTIFS('Watch Paths'!$A$2:$A$4220,A78,'Watch Paths'!$M$2:$M$4220,1)</f>
        <v>0</v>
      </c>
      <c r="G78" s="38" t="n">
        <f aca="false">IF(E78=0,0,F78/E78)</f>
        <v>0</v>
      </c>
      <c r="H78" s="37" t="str">
        <f aca="false">IFERROR(INDEX('Watch Paths'!$G$2:$G$4220,MATCH(A78,'Watch Paths'!$N$2:$N$4220,0)),"✓ complete")</f>
        <v>Pyaasa</v>
      </c>
      <c r="I78" s="8" t="s">
        <v>4640</v>
      </c>
      <c r="J78" s="8" t="s">
        <v>4641</v>
      </c>
    </row>
    <row r="79" customFormat="false" ht="15" hidden="false" customHeight="false" outlineLevel="0" collapsed="false">
      <c r="A79" s="40" t="s">
        <v>4029</v>
      </c>
      <c r="B79" s="40" t="s">
        <v>51</v>
      </c>
      <c r="C79" s="40" t="s">
        <v>85</v>
      </c>
      <c r="D79" s="40" t="s">
        <v>4030</v>
      </c>
      <c r="E79" s="37" t="n">
        <f aca="false">COUNTIF('Watch Paths'!$A$2:$A$4220,A79)</f>
        <v>11</v>
      </c>
      <c r="F79" s="37" t="n">
        <f aca="false">COUNTIFS('Watch Paths'!$A$2:$A$4220,A79,'Watch Paths'!$M$2:$M$4220,1)</f>
        <v>0</v>
      </c>
      <c r="G79" s="38" t="n">
        <f aca="false">IF(E79=0,0,F79/E79)</f>
        <v>0</v>
      </c>
      <c r="H79" s="37" t="str">
        <f aca="false">IFERROR(INDEX('Watch Paths'!$G$2:$G$4220,MATCH(A79,'Watch Paths'!$N$2:$N$4220,0)),"✓ complete")</f>
        <v>Uncle Boonmee Who Can Recall His Past Lives</v>
      </c>
      <c r="I79" s="8" t="s">
        <v>4642</v>
      </c>
      <c r="J79" s="8" t="s">
        <v>4643</v>
      </c>
    </row>
    <row r="80" customFormat="false" ht="23.85" hidden="false" customHeight="false" outlineLevel="0" collapsed="false">
      <c r="A80" s="40" t="s">
        <v>4031</v>
      </c>
      <c r="B80" s="40" t="s">
        <v>51</v>
      </c>
      <c r="C80" s="40" t="s">
        <v>86</v>
      </c>
      <c r="D80" s="40" t="s">
        <v>4032</v>
      </c>
      <c r="E80" s="37" t="n">
        <f aca="false">COUNTIF('Watch Paths'!$A$2:$A$4220,A80)</f>
        <v>14</v>
      </c>
      <c r="F80" s="37" t="n">
        <f aca="false">COUNTIFS('Watch Paths'!$A$2:$A$4220,A80,'Watch Paths'!$M$2:$M$4220,1)</f>
        <v>1</v>
      </c>
      <c r="G80" s="38" t="n">
        <f aca="false">IF(E80=0,0,F80/E80)</f>
        <v>0.0714285714285714</v>
      </c>
      <c r="H80" s="37" t="str">
        <f aca="false">IFERROR(INDEX('Watch Paths'!$G$2:$G$4220,MATCH(A80,'Watch Paths'!$N$2:$N$4220,0)),"✓ complete")</f>
        <v>Close-Up</v>
      </c>
      <c r="I80" s="8" t="s">
        <v>4644</v>
      </c>
      <c r="J80" s="8" t="s">
        <v>4645</v>
      </c>
    </row>
    <row r="81" customFormat="false" ht="23.85" hidden="false" customHeight="false" outlineLevel="0" collapsed="false">
      <c r="A81" s="40" t="s">
        <v>4033</v>
      </c>
      <c r="B81" s="40" t="s">
        <v>51</v>
      </c>
      <c r="C81" s="40" t="s">
        <v>86</v>
      </c>
      <c r="D81" s="40" t="s">
        <v>4034</v>
      </c>
      <c r="E81" s="37" t="n">
        <f aca="false">COUNTIF('Watch Paths'!$A$2:$A$4220,A81)</f>
        <v>13</v>
      </c>
      <c r="F81" s="37" t="n">
        <f aca="false">COUNTIFS('Watch Paths'!$A$2:$A$4220,A81,'Watch Paths'!$M$2:$M$4220,1)</f>
        <v>0</v>
      </c>
      <c r="G81" s="38" t="n">
        <f aca="false">IF(E81=0,0,F81/E81)</f>
        <v>0</v>
      </c>
      <c r="H81" s="37" t="str">
        <f aca="false">IFERROR(INDEX('Watch Paths'!$G$2:$G$4220,MATCH(A81,'Watch Paths'!$N$2:$N$4220,0)),"✓ complete")</f>
        <v>A Separation</v>
      </c>
      <c r="I81" s="8" t="s">
        <v>4646</v>
      </c>
      <c r="J81" s="8" t="s">
        <v>4647</v>
      </c>
    </row>
    <row r="82" customFormat="false" ht="23.85" hidden="false" customHeight="false" outlineLevel="0" collapsed="false">
      <c r="A82" s="40" t="s">
        <v>4035</v>
      </c>
      <c r="B82" s="40" t="s">
        <v>51</v>
      </c>
      <c r="C82" s="40" t="s">
        <v>87</v>
      </c>
      <c r="D82" s="40" t="s">
        <v>4036</v>
      </c>
      <c r="E82" s="37" t="n">
        <f aca="false">COUNTIF('Watch Paths'!$A$2:$A$4220,A82)</f>
        <v>14</v>
      </c>
      <c r="F82" s="37" t="n">
        <f aca="false">COUNTIFS('Watch Paths'!$A$2:$A$4220,A82,'Watch Paths'!$M$2:$M$4220,1)</f>
        <v>0</v>
      </c>
      <c r="G82" s="38" t="n">
        <f aca="false">IF(E82=0,0,F82/E82)</f>
        <v>0</v>
      </c>
      <c r="H82" s="37" t="str">
        <f aca="false">IFERROR(INDEX('Watch Paths'!$G$2:$G$4220,MATCH(A82,'Watch Paths'!$N$2:$N$4220,0)),"✓ complete")</f>
        <v>Black Girl</v>
      </c>
      <c r="I82" s="8" t="s">
        <v>4648</v>
      </c>
      <c r="J82" s="8" t="s">
        <v>4649</v>
      </c>
    </row>
    <row r="83" customFormat="false" ht="15" hidden="false" customHeight="false" outlineLevel="0" collapsed="false">
      <c r="A83" s="40" t="s">
        <v>4037</v>
      </c>
      <c r="B83" s="40" t="s">
        <v>51</v>
      </c>
      <c r="C83" s="40" t="s">
        <v>88</v>
      </c>
      <c r="D83" s="40" t="s">
        <v>4038</v>
      </c>
      <c r="E83" s="37" t="n">
        <f aca="false">COUNTIF('Watch Paths'!$A$2:$A$4220,A83)</f>
        <v>13</v>
      </c>
      <c r="F83" s="37" t="n">
        <f aca="false">COUNTIFS('Watch Paths'!$A$2:$A$4220,A83,'Watch Paths'!$M$2:$M$4220,1)</f>
        <v>4</v>
      </c>
      <c r="G83" s="38" t="n">
        <f aca="false">IF(E83=0,0,F83/E83)</f>
        <v>0.307692307692308</v>
      </c>
      <c r="H83" s="37" t="str">
        <f aca="false">IFERROR(INDEX('Watch Paths'!$G$2:$G$4220,MATCH(A83,'Watch Paths'!$N$2:$N$4220,0)),"✓ complete")</f>
        <v>Wake in Fright</v>
      </c>
      <c r="I83" s="8" t="s">
        <v>4650</v>
      </c>
      <c r="J83" s="8" t="s">
        <v>4651</v>
      </c>
    </row>
    <row r="84" customFormat="false" ht="23.85" hidden="false" customHeight="false" outlineLevel="0" collapsed="false">
      <c r="A84" s="40" t="s">
        <v>4039</v>
      </c>
      <c r="B84" s="40" t="s">
        <v>51</v>
      </c>
      <c r="C84" s="40" t="s">
        <v>88</v>
      </c>
      <c r="D84" s="40" t="s">
        <v>4040</v>
      </c>
      <c r="E84" s="37" t="n">
        <f aca="false">COUNTIF('Watch Paths'!$A$2:$A$4220,A84)</f>
        <v>12</v>
      </c>
      <c r="F84" s="37" t="n">
        <f aca="false">COUNTIFS('Watch Paths'!$A$2:$A$4220,A84,'Watch Paths'!$M$2:$M$4220,1)</f>
        <v>1</v>
      </c>
      <c r="G84" s="38" t="n">
        <f aca="false">IF(E84=0,0,F84/E84)</f>
        <v>0.0833333333333333</v>
      </c>
      <c r="H84" s="37" t="str">
        <f aca="false">IFERROR(INDEX('Watch Paths'!$G$2:$G$4220,MATCH(A84,'Watch Paths'!$N$2:$N$4220,0)),"✓ complete")</f>
        <v>The Piano</v>
      </c>
      <c r="I84" s="8" t="s">
        <v>4652</v>
      </c>
      <c r="J84" s="8" t="s">
        <v>4653</v>
      </c>
    </row>
    <row r="85" customFormat="false" ht="23.85" hidden="false" customHeight="false" outlineLevel="0" collapsed="false">
      <c r="A85" s="41" t="s">
        <v>4041</v>
      </c>
      <c r="B85" s="41" t="s">
        <v>52</v>
      </c>
      <c r="C85" s="41" t="s">
        <v>89</v>
      </c>
      <c r="D85" s="41" t="s">
        <v>4042</v>
      </c>
      <c r="E85" s="37" t="n">
        <f aca="false">COUNTIF('Watch Paths'!$A$2:$A$4220,A85)</f>
        <v>27</v>
      </c>
      <c r="F85" s="37" t="n">
        <f aca="false">COUNTIFS('Watch Paths'!$A$2:$A$4220,A85,'Watch Paths'!$M$2:$M$4220,1)</f>
        <v>2</v>
      </c>
      <c r="G85" s="38" t="n">
        <f aca="false">IF(E85=0,0,F85/E85)</f>
        <v>0.0740740740740741</v>
      </c>
      <c r="H85" s="37" t="str">
        <f aca="false">IFERROR(INDEX('Watch Paths'!$G$2:$G$4220,MATCH(A85,'Watch Paths'!$N$2:$N$4220,0)),"✓ complete")</f>
        <v>The Maltese Falcon</v>
      </c>
      <c r="I85" s="8" t="s">
        <v>4654</v>
      </c>
      <c r="J85" s="8" t="s">
        <v>4655</v>
      </c>
    </row>
    <row r="86" customFormat="false" ht="15" hidden="false" customHeight="false" outlineLevel="0" collapsed="false">
      <c r="A86" s="41" t="s">
        <v>4043</v>
      </c>
      <c r="B86" s="41" t="s">
        <v>52</v>
      </c>
      <c r="C86" s="41" t="s">
        <v>89</v>
      </c>
      <c r="D86" s="41" t="s">
        <v>4044</v>
      </c>
      <c r="E86" s="37" t="n">
        <f aca="false">COUNTIF('Watch Paths'!$A$2:$A$4220,A86)</f>
        <v>20</v>
      </c>
      <c r="F86" s="37" t="n">
        <f aca="false">COUNTIFS('Watch Paths'!$A$2:$A$4220,A86,'Watch Paths'!$M$2:$M$4220,1)</f>
        <v>7</v>
      </c>
      <c r="G86" s="38" t="n">
        <f aca="false">IF(E86=0,0,F86/E86)</f>
        <v>0.35</v>
      </c>
      <c r="H86" s="37" t="str">
        <f aca="false">IFERROR(INDEX('Watch Paths'!$G$2:$G$4220,MATCH(A86,'Watch Paths'!$N$2:$N$4220,0)),"✓ complete")</f>
        <v>L.A. Confidential</v>
      </c>
      <c r="I86" s="8" t="s">
        <v>4656</v>
      </c>
      <c r="J86" s="8" t="s">
        <v>4657</v>
      </c>
    </row>
    <row r="87" customFormat="false" ht="23.85" hidden="false" customHeight="false" outlineLevel="0" collapsed="false">
      <c r="A87" s="41" t="s">
        <v>4045</v>
      </c>
      <c r="B87" s="41" t="s">
        <v>52</v>
      </c>
      <c r="C87" s="41" t="s">
        <v>89</v>
      </c>
      <c r="D87" s="41" t="s">
        <v>4046</v>
      </c>
      <c r="E87" s="37" t="n">
        <f aca="false">COUNTIF('Watch Paths'!$A$2:$A$4220,A87)</f>
        <v>9</v>
      </c>
      <c r="F87" s="37" t="n">
        <f aca="false">COUNTIFS('Watch Paths'!$A$2:$A$4220,A87,'Watch Paths'!$M$2:$M$4220,1)</f>
        <v>4</v>
      </c>
      <c r="G87" s="38" t="n">
        <f aca="false">IF(E87=0,0,F87/E87)</f>
        <v>0.444444444444444</v>
      </c>
      <c r="H87" s="37" t="str">
        <f aca="false">IFERROR(INDEX('Watch Paths'!$G$2:$G$4220,MATCH(A87,'Watch Paths'!$N$2:$N$4220,0)),"✓ complete")</f>
        <v>Alphaville</v>
      </c>
      <c r="I87" s="8" t="s">
        <v>4658</v>
      </c>
      <c r="J87" s="8" t="s">
        <v>4659</v>
      </c>
    </row>
    <row r="88" customFormat="false" ht="15" hidden="false" customHeight="false" outlineLevel="0" collapsed="false">
      <c r="A88" s="41" t="s">
        <v>4047</v>
      </c>
      <c r="B88" s="41" t="s">
        <v>52</v>
      </c>
      <c r="C88" s="41" t="s">
        <v>90</v>
      </c>
      <c r="D88" s="41" t="s">
        <v>4048</v>
      </c>
      <c r="E88" s="37" t="n">
        <f aca="false">COUNTIF('Watch Paths'!$A$2:$A$4220,A88)</f>
        <v>14</v>
      </c>
      <c r="F88" s="37" t="n">
        <f aca="false">COUNTIFS('Watch Paths'!$A$2:$A$4220,A88,'Watch Paths'!$M$2:$M$4220,1)</f>
        <v>2</v>
      </c>
      <c r="G88" s="38" t="n">
        <f aca="false">IF(E88=0,0,F88/E88)</f>
        <v>0.142857142857143</v>
      </c>
      <c r="H88" s="37" t="str">
        <f aca="false">IFERROR(INDEX('Watch Paths'!$G$2:$G$4220,MATCH(A88,'Watch Paths'!$N$2:$N$4220,0)),"✓ complete")</f>
        <v>Stagecoach</v>
      </c>
      <c r="I88" s="8" t="s">
        <v>4660</v>
      </c>
      <c r="J88" s="8" t="s">
        <v>4661</v>
      </c>
    </row>
    <row r="89" customFormat="false" ht="23.85" hidden="false" customHeight="false" outlineLevel="0" collapsed="false">
      <c r="A89" s="41" t="s">
        <v>4049</v>
      </c>
      <c r="B89" s="41" t="s">
        <v>52</v>
      </c>
      <c r="C89" s="41" t="s">
        <v>90</v>
      </c>
      <c r="D89" s="41" t="s">
        <v>4050</v>
      </c>
      <c r="E89" s="37" t="n">
        <f aca="false">COUNTIF('Watch Paths'!$A$2:$A$4220,A89)</f>
        <v>11</v>
      </c>
      <c r="F89" s="37" t="n">
        <f aca="false">COUNTIFS('Watch Paths'!$A$2:$A$4220,A89,'Watch Paths'!$M$2:$M$4220,1)</f>
        <v>0</v>
      </c>
      <c r="G89" s="38" t="n">
        <f aca="false">IF(E89=0,0,F89/E89)</f>
        <v>0</v>
      </c>
      <c r="H89" s="37" t="str">
        <f aca="false">IFERROR(INDEX('Watch Paths'!$G$2:$G$4220,MATCH(A89,'Watch Paths'!$N$2:$N$4220,0)),"✓ complete")</f>
        <v>Ride Lonesome</v>
      </c>
      <c r="I89" s="8" t="s">
        <v>4662</v>
      </c>
      <c r="J89" s="8" t="s">
        <v>4663</v>
      </c>
    </row>
    <row r="90" customFormat="false" ht="15" hidden="false" customHeight="false" outlineLevel="0" collapsed="false">
      <c r="A90" s="41" t="s">
        <v>4051</v>
      </c>
      <c r="B90" s="41" t="s">
        <v>52</v>
      </c>
      <c r="C90" s="41" t="s">
        <v>90</v>
      </c>
      <c r="D90" s="41" t="s">
        <v>4052</v>
      </c>
      <c r="E90" s="37" t="n">
        <f aca="false">COUNTIF('Watch Paths'!$A$2:$A$4220,A90)</f>
        <v>14</v>
      </c>
      <c r="F90" s="37" t="n">
        <f aca="false">COUNTIFS('Watch Paths'!$A$2:$A$4220,A90,'Watch Paths'!$M$2:$M$4220,1)</f>
        <v>2</v>
      </c>
      <c r="G90" s="38" t="n">
        <f aca="false">IF(E90=0,0,F90/E90)</f>
        <v>0.142857142857143</v>
      </c>
      <c r="H90" s="37" t="str">
        <f aca="false">IFERROR(INDEX('Watch Paths'!$G$2:$G$4220,MATCH(A90,'Watch Paths'!$N$2:$N$4220,0)),"✓ complete")</f>
        <v>The Wild Bunch</v>
      </c>
      <c r="I90" s="8" t="s">
        <v>4664</v>
      </c>
      <c r="J90" s="8" t="s">
        <v>4665</v>
      </c>
    </row>
    <row r="91" customFormat="false" ht="15" hidden="false" customHeight="false" outlineLevel="0" collapsed="false">
      <c r="A91" s="41" t="s">
        <v>4053</v>
      </c>
      <c r="B91" s="41" t="s">
        <v>52</v>
      </c>
      <c r="C91" s="41" t="s">
        <v>90</v>
      </c>
      <c r="D91" s="41" t="s">
        <v>4054</v>
      </c>
      <c r="E91" s="37" t="n">
        <f aca="false">COUNTIF('Watch Paths'!$A$2:$A$4220,A91)</f>
        <v>9</v>
      </c>
      <c r="F91" s="37" t="n">
        <f aca="false">COUNTIFS('Watch Paths'!$A$2:$A$4220,A91,'Watch Paths'!$M$2:$M$4220,1)</f>
        <v>1</v>
      </c>
      <c r="G91" s="38" t="n">
        <f aca="false">IF(E91=0,0,F91/E91)</f>
        <v>0.111111111111111</v>
      </c>
      <c r="H91" s="37" t="str">
        <f aca="false">IFERROR(INDEX('Watch Paths'!$G$2:$G$4220,MATCH(A91,'Watch Paths'!$N$2:$N$4220,0)),"✓ complete")</f>
        <v>Dead Man</v>
      </c>
      <c r="I91" s="8" t="s">
        <v>4666</v>
      </c>
      <c r="J91" s="8" t="s">
        <v>4667</v>
      </c>
    </row>
    <row r="92" customFormat="false" ht="15" hidden="false" customHeight="false" outlineLevel="0" collapsed="false">
      <c r="A92" s="41" t="s">
        <v>4055</v>
      </c>
      <c r="B92" s="41" t="s">
        <v>52</v>
      </c>
      <c r="C92" s="41" t="s">
        <v>90</v>
      </c>
      <c r="D92" s="41" t="s">
        <v>4056</v>
      </c>
      <c r="E92" s="37" t="n">
        <f aca="false">COUNTIF('Watch Paths'!$A$2:$A$4220,A92)</f>
        <v>14</v>
      </c>
      <c r="F92" s="37" t="n">
        <f aca="false">COUNTIFS('Watch Paths'!$A$2:$A$4220,A92,'Watch Paths'!$M$2:$M$4220,1)</f>
        <v>4</v>
      </c>
      <c r="G92" s="38" t="n">
        <f aca="false">IF(E92=0,0,F92/E92)</f>
        <v>0.285714285714286</v>
      </c>
      <c r="H92" s="37" t="str">
        <f aca="false">IFERROR(INDEX('Watch Paths'!$G$2:$G$4220,MATCH(A92,'Watch Paths'!$N$2:$N$4220,0)),"✓ complete")</f>
        <v>Hell or High Water</v>
      </c>
      <c r="I92" s="8" t="s">
        <v>4668</v>
      </c>
      <c r="J92" s="8" t="s">
        <v>4669</v>
      </c>
    </row>
    <row r="93" customFormat="false" ht="23.85" hidden="false" customHeight="false" outlineLevel="0" collapsed="false">
      <c r="A93" s="41" t="s">
        <v>4057</v>
      </c>
      <c r="B93" s="41" t="s">
        <v>52</v>
      </c>
      <c r="C93" s="41" t="s">
        <v>91</v>
      </c>
      <c r="D93" s="41" t="s">
        <v>4058</v>
      </c>
      <c r="E93" s="37" t="n">
        <f aca="false">COUNTIF('Watch Paths'!$A$2:$A$4220,A93)</f>
        <v>10</v>
      </c>
      <c r="F93" s="37" t="n">
        <f aca="false">COUNTIFS('Watch Paths'!$A$2:$A$4220,A93,'Watch Paths'!$M$2:$M$4220,1)</f>
        <v>0</v>
      </c>
      <c r="G93" s="38" t="n">
        <f aca="false">IF(E93=0,0,F93/E93)</f>
        <v>0</v>
      </c>
      <c r="H93" s="37" t="str">
        <f aca="false">IFERROR(INDEX('Watch Paths'!$G$2:$G$4220,MATCH(A93,'Watch Paths'!$N$2:$N$4220,0)),"✓ complete")</f>
        <v>Frankenstein</v>
      </c>
      <c r="I93" s="8" t="s">
        <v>4670</v>
      </c>
      <c r="J93" s="8" t="s">
        <v>4671</v>
      </c>
    </row>
    <row r="94" customFormat="false" ht="15" hidden="false" customHeight="false" outlineLevel="0" collapsed="false">
      <c r="A94" s="41" t="s">
        <v>4059</v>
      </c>
      <c r="B94" s="41" t="s">
        <v>52</v>
      </c>
      <c r="C94" s="41" t="s">
        <v>91</v>
      </c>
      <c r="D94" s="41" t="s">
        <v>4060</v>
      </c>
      <c r="E94" s="37" t="n">
        <f aca="false">COUNTIF('Watch Paths'!$A$2:$A$4220,A94)</f>
        <v>9</v>
      </c>
      <c r="F94" s="37" t="n">
        <f aca="false">COUNTIFS('Watch Paths'!$A$2:$A$4220,A94,'Watch Paths'!$M$2:$M$4220,1)</f>
        <v>0</v>
      </c>
      <c r="G94" s="38" t="n">
        <f aca="false">IF(E94=0,0,F94/E94)</f>
        <v>0</v>
      </c>
      <c r="H94" s="37" t="str">
        <f aca="false">IFERROR(INDEX('Watch Paths'!$G$2:$G$4220,MATCH(A94,'Watch Paths'!$N$2:$N$4220,0)),"✓ complete")</f>
        <v>Cat People</v>
      </c>
      <c r="I94" s="8" t="s">
        <v>4672</v>
      </c>
      <c r="J94" s="8" t="s">
        <v>4673</v>
      </c>
    </row>
    <row r="95" customFormat="false" ht="15" hidden="false" customHeight="false" outlineLevel="0" collapsed="false">
      <c r="A95" s="41" t="s">
        <v>4061</v>
      </c>
      <c r="B95" s="41" t="s">
        <v>52</v>
      </c>
      <c r="C95" s="41" t="s">
        <v>91</v>
      </c>
      <c r="D95" s="41" t="s">
        <v>4062</v>
      </c>
      <c r="E95" s="37" t="n">
        <f aca="false">COUNTIF('Watch Paths'!$A$2:$A$4220,A95)</f>
        <v>10</v>
      </c>
      <c r="F95" s="37" t="n">
        <f aca="false">COUNTIFS('Watch Paths'!$A$2:$A$4220,A95,'Watch Paths'!$M$2:$M$4220,1)</f>
        <v>0</v>
      </c>
      <c r="G95" s="38" t="n">
        <f aca="false">IF(E95=0,0,F95/E95)</f>
        <v>0</v>
      </c>
      <c r="H95" s="37" t="str">
        <f aca="false">IFERROR(INDEX('Watch Paths'!$G$2:$G$4220,MATCH(A95,'Watch Paths'!$N$2:$N$4220,0)),"✓ complete")</f>
        <v>Dracula</v>
      </c>
      <c r="I95" s="8" t="s">
        <v>4674</v>
      </c>
      <c r="J95" s="8" t="s">
        <v>4675</v>
      </c>
    </row>
    <row r="96" customFormat="false" ht="23.85" hidden="false" customHeight="false" outlineLevel="0" collapsed="false">
      <c r="A96" s="41" t="s">
        <v>4063</v>
      </c>
      <c r="B96" s="41" t="s">
        <v>52</v>
      </c>
      <c r="C96" s="41" t="s">
        <v>91</v>
      </c>
      <c r="D96" s="41" t="s">
        <v>4064</v>
      </c>
      <c r="E96" s="37" t="n">
        <f aca="false">COUNTIF('Watch Paths'!$A$2:$A$4220,A96)</f>
        <v>13</v>
      </c>
      <c r="F96" s="37" t="n">
        <f aca="false">COUNTIFS('Watch Paths'!$A$2:$A$4220,A96,'Watch Paths'!$M$2:$M$4220,1)</f>
        <v>1</v>
      </c>
      <c r="G96" s="38" t="n">
        <f aca="false">IF(E96=0,0,F96/E96)</f>
        <v>0.0769230769230769</v>
      </c>
      <c r="H96" s="37" t="str">
        <f aca="false">IFERROR(INDEX('Watch Paths'!$G$2:$G$4220,MATCH(A96,'Watch Paths'!$N$2:$N$4220,0)),"✓ complete")</f>
        <v>The Wicker Man</v>
      </c>
      <c r="I96" s="8" t="s">
        <v>4676</v>
      </c>
      <c r="J96" s="8" t="s">
        <v>4677</v>
      </c>
    </row>
    <row r="97" customFormat="false" ht="15" hidden="false" customHeight="false" outlineLevel="0" collapsed="false">
      <c r="A97" s="41" t="s">
        <v>4065</v>
      </c>
      <c r="B97" s="41" t="s">
        <v>52</v>
      </c>
      <c r="C97" s="41" t="s">
        <v>91</v>
      </c>
      <c r="D97" s="41" t="s">
        <v>4066</v>
      </c>
      <c r="E97" s="37" t="n">
        <f aca="false">COUNTIF('Watch Paths'!$A$2:$A$4220,A97)</f>
        <v>11</v>
      </c>
      <c r="F97" s="37" t="n">
        <f aca="false">COUNTIFS('Watch Paths'!$A$2:$A$4220,A97,'Watch Paths'!$M$2:$M$4220,1)</f>
        <v>3</v>
      </c>
      <c r="G97" s="38" t="n">
        <f aca="false">IF(E97=0,0,F97/E97)</f>
        <v>0.272727272727273</v>
      </c>
      <c r="H97" s="37" t="str">
        <f aca="false">IFERROR(INDEX('Watch Paths'!$G$2:$G$4220,MATCH(A97,'Watch Paths'!$N$2:$N$4220,0)),"✓ complete")</f>
        <v>Rosemary's Baby</v>
      </c>
      <c r="I97" s="8" t="s">
        <v>4678</v>
      </c>
      <c r="J97" s="8" t="s">
        <v>4679</v>
      </c>
    </row>
    <row r="98" customFormat="false" ht="15" hidden="false" customHeight="false" outlineLevel="0" collapsed="false">
      <c r="A98" s="41" t="s">
        <v>4067</v>
      </c>
      <c r="B98" s="41" t="s">
        <v>52</v>
      </c>
      <c r="C98" s="41" t="s">
        <v>91</v>
      </c>
      <c r="D98" s="41" t="s">
        <v>4068</v>
      </c>
      <c r="E98" s="37" t="n">
        <f aca="false">COUNTIF('Watch Paths'!$A$2:$A$4220,A98)</f>
        <v>13</v>
      </c>
      <c r="F98" s="37" t="n">
        <f aca="false">COUNTIFS('Watch Paths'!$A$2:$A$4220,A98,'Watch Paths'!$M$2:$M$4220,1)</f>
        <v>1</v>
      </c>
      <c r="G98" s="38" t="n">
        <f aca="false">IF(E98=0,0,F98/E98)</f>
        <v>0.0769230769230769</v>
      </c>
      <c r="H98" s="37" t="str">
        <f aca="false">IFERROR(INDEX('Watch Paths'!$G$2:$G$4220,MATCH(A98,'Watch Paths'!$N$2:$N$4220,0)),"✓ complete")</f>
        <v>Night of the Living Dead</v>
      </c>
      <c r="I98" s="8" t="s">
        <v>4680</v>
      </c>
      <c r="J98" s="8" t="s">
        <v>4681</v>
      </c>
    </row>
    <row r="99" customFormat="false" ht="15" hidden="false" customHeight="false" outlineLevel="0" collapsed="false">
      <c r="A99" s="41" t="s">
        <v>4069</v>
      </c>
      <c r="B99" s="41" t="s">
        <v>52</v>
      </c>
      <c r="C99" s="41" t="s">
        <v>91</v>
      </c>
      <c r="D99" s="41" t="s">
        <v>4070</v>
      </c>
      <c r="E99" s="37" t="n">
        <f aca="false">COUNTIF('Watch Paths'!$A$2:$A$4220,A99)</f>
        <v>14</v>
      </c>
      <c r="F99" s="37" t="n">
        <f aca="false">COUNTIFS('Watch Paths'!$A$2:$A$4220,A99,'Watch Paths'!$M$2:$M$4220,1)</f>
        <v>3</v>
      </c>
      <c r="G99" s="38" t="n">
        <f aca="false">IF(E99=0,0,F99/E99)</f>
        <v>0.214285714285714</v>
      </c>
      <c r="H99" s="37" t="str">
        <f aca="false">IFERROR(INDEX('Watch Paths'!$G$2:$G$4220,MATCH(A99,'Watch Paths'!$N$2:$N$4220,0)),"✓ complete")</f>
        <v>The Texas Chain Saw Massacre</v>
      </c>
      <c r="I99" s="8" t="s">
        <v>4682</v>
      </c>
      <c r="J99" s="8" t="s">
        <v>4683</v>
      </c>
    </row>
    <row r="100" customFormat="false" ht="23.85" hidden="false" customHeight="false" outlineLevel="0" collapsed="false">
      <c r="A100" s="41" t="s">
        <v>4071</v>
      </c>
      <c r="B100" s="41" t="s">
        <v>52</v>
      </c>
      <c r="C100" s="41" t="s">
        <v>91</v>
      </c>
      <c r="D100" s="41" t="s">
        <v>4072</v>
      </c>
      <c r="E100" s="37" t="n">
        <f aca="false">COUNTIF('Watch Paths'!$A$2:$A$4220,A100)</f>
        <v>14</v>
      </c>
      <c r="F100" s="37" t="n">
        <f aca="false">COUNTIFS('Watch Paths'!$A$2:$A$4220,A100,'Watch Paths'!$M$2:$M$4220,1)</f>
        <v>4</v>
      </c>
      <c r="G100" s="38" t="n">
        <f aca="false">IF(E100=0,0,F100/E100)</f>
        <v>0.285714285714286</v>
      </c>
      <c r="H100" s="37" t="str">
        <f aca="false">IFERROR(INDEX('Watch Paths'!$G$2:$G$4220,MATCH(A100,'Watch Paths'!$N$2:$N$4220,0)),"✓ complete")</f>
        <v>Shivers</v>
      </c>
      <c r="I100" s="8" t="s">
        <v>4684</v>
      </c>
      <c r="J100" s="8" t="s">
        <v>4685</v>
      </c>
    </row>
    <row r="101" customFormat="false" ht="15" hidden="false" customHeight="false" outlineLevel="0" collapsed="false">
      <c r="A101" s="41" t="s">
        <v>4073</v>
      </c>
      <c r="B101" s="41" t="s">
        <v>52</v>
      </c>
      <c r="C101" s="41" t="s">
        <v>91</v>
      </c>
      <c r="D101" s="41" t="s">
        <v>4074</v>
      </c>
      <c r="E101" s="37" t="n">
        <f aca="false">COUNTIF('Watch Paths'!$A$2:$A$4220,A101)</f>
        <v>15</v>
      </c>
      <c r="F101" s="37" t="n">
        <f aca="false">COUNTIFS('Watch Paths'!$A$2:$A$4220,A101,'Watch Paths'!$M$2:$M$4220,1)</f>
        <v>0</v>
      </c>
      <c r="G101" s="38" t="n">
        <f aca="false">IF(E101=0,0,F101/E101)</f>
        <v>0</v>
      </c>
      <c r="H101" s="37" t="str">
        <f aca="false">IFERROR(INDEX('Watch Paths'!$G$2:$G$4220,MATCH(A101,'Watch Paths'!$N$2:$N$4220,0)),"✓ complete")</f>
        <v>Ring</v>
      </c>
      <c r="I101" s="8" t="s">
        <v>4686</v>
      </c>
      <c r="J101" s="8" t="s">
        <v>4687</v>
      </c>
    </row>
    <row r="102" customFormat="false" ht="15" hidden="false" customHeight="false" outlineLevel="0" collapsed="false">
      <c r="A102" s="41" t="s">
        <v>4075</v>
      </c>
      <c r="B102" s="41" t="s">
        <v>52</v>
      </c>
      <c r="C102" s="41" t="s">
        <v>91</v>
      </c>
      <c r="D102" s="41" t="s">
        <v>4076</v>
      </c>
      <c r="E102" s="37" t="n">
        <f aca="false">COUNTIF('Watch Paths'!$A$2:$A$4220,A102)</f>
        <v>12</v>
      </c>
      <c r="F102" s="37" t="n">
        <f aca="false">COUNTIFS('Watch Paths'!$A$2:$A$4220,A102,'Watch Paths'!$M$2:$M$4220,1)</f>
        <v>1</v>
      </c>
      <c r="G102" s="38" t="n">
        <f aca="false">IF(E102=0,0,F102/E102)</f>
        <v>0.0833333333333333</v>
      </c>
      <c r="H102" s="37" t="str">
        <f aca="false">IFERROR(INDEX('Watch Paths'!$G$2:$G$4220,MATCH(A102,'Watch Paths'!$N$2:$N$4220,0)),"✓ complete")</f>
        <v>The Blair Witch Project</v>
      </c>
      <c r="I102" s="8" t="s">
        <v>4688</v>
      </c>
      <c r="J102" s="8" t="s">
        <v>4689</v>
      </c>
    </row>
    <row r="103" customFormat="false" ht="15" hidden="false" customHeight="false" outlineLevel="0" collapsed="false">
      <c r="A103" s="41" t="s">
        <v>4077</v>
      </c>
      <c r="B103" s="41" t="s">
        <v>52</v>
      </c>
      <c r="C103" s="41" t="s">
        <v>91</v>
      </c>
      <c r="D103" s="41" t="s">
        <v>4078</v>
      </c>
      <c r="E103" s="37" t="n">
        <f aca="false">COUNTIF('Watch Paths'!$A$2:$A$4220,A103)</f>
        <v>13</v>
      </c>
      <c r="F103" s="37" t="n">
        <f aca="false">COUNTIFS('Watch Paths'!$A$2:$A$4220,A103,'Watch Paths'!$M$2:$M$4220,1)</f>
        <v>5</v>
      </c>
      <c r="G103" s="38" t="n">
        <f aca="false">IF(E103=0,0,F103/E103)</f>
        <v>0.384615384615385</v>
      </c>
      <c r="H103" s="37" t="str">
        <f aca="false">IFERROR(INDEX('Watch Paths'!$G$2:$G$4220,MATCH(A103,'Watch Paths'!$N$2:$N$4220,0)),"✓ complete")</f>
        <v>The Babadook</v>
      </c>
      <c r="I103" s="8" t="s">
        <v>4690</v>
      </c>
      <c r="J103" s="8" t="s">
        <v>4691</v>
      </c>
    </row>
    <row r="104" customFormat="false" ht="15" hidden="false" customHeight="false" outlineLevel="0" collapsed="false">
      <c r="A104" s="41" t="s">
        <v>4079</v>
      </c>
      <c r="B104" s="41" t="s">
        <v>52</v>
      </c>
      <c r="C104" s="41" t="s">
        <v>91</v>
      </c>
      <c r="D104" s="41" t="s">
        <v>4080</v>
      </c>
      <c r="E104" s="37" t="n">
        <f aca="false">COUNTIF('Watch Paths'!$A$2:$A$4220,A104)</f>
        <v>10</v>
      </c>
      <c r="F104" s="37" t="n">
        <f aca="false">COUNTIFS('Watch Paths'!$A$2:$A$4220,A104,'Watch Paths'!$M$2:$M$4220,1)</f>
        <v>2</v>
      </c>
      <c r="G104" s="38" t="n">
        <f aca="false">IF(E104=0,0,F104/E104)</f>
        <v>0.2</v>
      </c>
      <c r="H104" s="37" t="str">
        <f aca="false">IFERROR(INDEX('Watch Paths'!$G$2:$G$4220,MATCH(A104,'Watch Paths'!$N$2:$N$4220,0)),"✓ complete")</f>
        <v>Event Horizon</v>
      </c>
      <c r="I104" s="8" t="s">
        <v>4692</v>
      </c>
      <c r="J104" s="8" t="s">
        <v>4693</v>
      </c>
    </row>
    <row r="105" customFormat="false" ht="15" hidden="false" customHeight="false" outlineLevel="0" collapsed="false">
      <c r="A105" s="41" t="s">
        <v>4081</v>
      </c>
      <c r="B105" s="41" t="s">
        <v>52</v>
      </c>
      <c r="C105" s="41" t="s">
        <v>91</v>
      </c>
      <c r="D105" s="41" t="s">
        <v>4082</v>
      </c>
      <c r="E105" s="37" t="n">
        <f aca="false">COUNTIF('Watch Paths'!$A$2:$A$4220,A105)</f>
        <v>11</v>
      </c>
      <c r="F105" s="37" t="n">
        <f aca="false">COUNTIFS('Watch Paths'!$A$2:$A$4220,A105,'Watch Paths'!$M$2:$M$4220,1)</f>
        <v>1</v>
      </c>
      <c r="G105" s="38" t="n">
        <f aca="false">IF(E105=0,0,F105/E105)</f>
        <v>0.0909090909090909</v>
      </c>
      <c r="H105" s="37" t="str">
        <f aca="false">IFERROR(INDEX('Watch Paths'!$G$2:$G$4220,MATCH(A105,'Watch Paths'!$N$2:$N$4220,0)),"✓ complete")</f>
        <v>The Haunting</v>
      </c>
      <c r="I105" s="8" t="s">
        <v>4694</v>
      </c>
      <c r="J105" s="8" t="s">
        <v>4695</v>
      </c>
    </row>
    <row r="106" customFormat="false" ht="23.85" hidden="false" customHeight="false" outlineLevel="0" collapsed="false">
      <c r="A106" s="41" t="s">
        <v>4083</v>
      </c>
      <c r="B106" s="41" t="s">
        <v>52</v>
      </c>
      <c r="C106" s="41" t="s">
        <v>92</v>
      </c>
      <c r="D106" s="41" t="s">
        <v>4084</v>
      </c>
      <c r="E106" s="37" t="n">
        <f aca="false">COUNTIF('Watch Paths'!$A$2:$A$4220,A106)</f>
        <v>12</v>
      </c>
      <c r="F106" s="37" t="n">
        <f aca="false">COUNTIFS('Watch Paths'!$A$2:$A$4220,A106,'Watch Paths'!$M$2:$M$4220,1)</f>
        <v>1</v>
      </c>
      <c r="G106" s="38" t="n">
        <f aca="false">IF(E106=0,0,F106/E106)</f>
        <v>0.0833333333333333</v>
      </c>
      <c r="H106" s="37" t="str">
        <f aca="false">IFERROR(INDEX('Watch Paths'!$G$2:$G$4220,MATCH(A106,'Watch Paths'!$N$2:$N$4220,0)),"✓ complete")</f>
        <v>The Day the Earth Stood Still</v>
      </c>
      <c r="I106" s="8" t="s">
        <v>4696</v>
      </c>
      <c r="J106" s="8" t="s">
        <v>4697</v>
      </c>
    </row>
    <row r="107" customFormat="false" ht="15" hidden="false" customHeight="false" outlineLevel="0" collapsed="false">
      <c r="A107" s="41" t="s">
        <v>4085</v>
      </c>
      <c r="B107" s="41" t="s">
        <v>52</v>
      </c>
      <c r="C107" s="41" t="s">
        <v>92</v>
      </c>
      <c r="D107" s="41" t="s">
        <v>4086</v>
      </c>
      <c r="E107" s="37" t="n">
        <f aca="false">COUNTIF('Watch Paths'!$A$2:$A$4220,A107)</f>
        <v>14</v>
      </c>
      <c r="F107" s="37" t="n">
        <f aca="false">COUNTIFS('Watch Paths'!$A$2:$A$4220,A107,'Watch Paths'!$M$2:$M$4220,1)</f>
        <v>4</v>
      </c>
      <c r="G107" s="38" t="n">
        <f aca="false">IF(E107=0,0,F107/E107)</f>
        <v>0.285714285714286</v>
      </c>
      <c r="H107" s="37" t="str">
        <f aca="false">IFERROR(INDEX('Watch Paths'!$G$2:$G$4220,MATCH(A107,'Watch Paths'!$N$2:$N$4220,0)),"✓ complete")</f>
        <v>Planet of the Apes</v>
      </c>
      <c r="I107" s="8" t="s">
        <v>4698</v>
      </c>
      <c r="J107" s="8" t="s">
        <v>4699</v>
      </c>
    </row>
    <row r="108" customFormat="false" ht="15" hidden="false" customHeight="false" outlineLevel="0" collapsed="false">
      <c r="A108" s="41" t="s">
        <v>4087</v>
      </c>
      <c r="B108" s="41" t="s">
        <v>52</v>
      </c>
      <c r="C108" s="41" t="s">
        <v>92</v>
      </c>
      <c r="D108" s="41" t="s">
        <v>4088</v>
      </c>
      <c r="E108" s="37" t="n">
        <f aca="false">COUNTIF('Watch Paths'!$A$2:$A$4220,A108)</f>
        <v>10</v>
      </c>
      <c r="F108" s="37" t="n">
        <f aca="false">COUNTIFS('Watch Paths'!$A$2:$A$4220,A108,'Watch Paths'!$M$2:$M$4220,1)</f>
        <v>4</v>
      </c>
      <c r="G108" s="38" t="n">
        <f aca="false">IF(E108=0,0,F108/E108)</f>
        <v>0.4</v>
      </c>
      <c r="H108" s="37" t="str">
        <f aca="false">IFERROR(INDEX('Watch Paths'!$G$2:$G$4220,MATCH(A108,'Watch Paths'!$N$2:$N$4220,0)),"✓ complete")</f>
        <v>Tron</v>
      </c>
      <c r="I108" s="8" t="s">
        <v>4700</v>
      </c>
      <c r="J108" s="8" t="s">
        <v>4701</v>
      </c>
    </row>
    <row r="109" customFormat="false" ht="23.85" hidden="false" customHeight="false" outlineLevel="0" collapsed="false">
      <c r="A109" s="41" t="s">
        <v>4089</v>
      </c>
      <c r="B109" s="41" t="s">
        <v>52</v>
      </c>
      <c r="C109" s="41" t="s">
        <v>92</v>
      </c>
      <c r="D109" s="41" t="s">
        <v>4090</v>
      </c>
      <c r="E109" s="37" t="n">
        <f aca="false">COUNTIF('Watch Paths'!$A$2:$A$4220,A109)</f>
        <v>12</v>
      </c>
      <c r="F109" s="37" t="n">
        <f aca="false">COUNTIFS('Watch Paths'!$A$2:$A$4220,A109,'Watch Paths'!$M$2:$M$4220,1)</f>
        <v>3</v>
      </c>
      <c r="G109" s="38" t="n">
        <f aca="false">IF(E109=0,0,F109/E109)</f>
        <v>0.25</v>
      </c>
      <c r="H109" s="37" t="str">
        <f aca="false">IFERROR(INDEX('Watch Paths'!$G$2:$G$4220,MATCH(A109,'Watch Paths'!$N$2:$N$4220,0)),"✓ complete")</f>
        <v>Primer</v>
      </c>
      <c r="I109" s="8" t="s">
        <v>4702</v>
      </c>
      <c r="J109" s="8" t="s">
        <v>4699</v>
      </c>
    </row>
    <row r="110" customFormat="false" ht="15" hidden="false" customHeight="false" outlineLevel="0" collapsed="false">
      <c r="A110" s="41" t="s">
        <v>4091</v>
      </c>
      <c r="B110" s="41" t="s">
        <v>52</v>
      </c>
      <c r="C110" s="41" t="s">
        <v>92</v>
      </c>
      <c r="D110" s="41" t="s">
        <v>4092</v>
      </c>
      <c r="E110" s="37" t="n">
        <f aca="false">COUNTIF('Watch Paths'!$A$2:$A$4220,A110)</f>
        <v>13</v>
      </c>
      <c r="F110" s="37" t="n">
        <f aca="false">COUNTIFS('Watch Paths'!$A$2:$A$4220,A110,'Watch Paths'!$M$2:$M$4220,1)</f>
        <v>9</v>
      </c>
      <c r="G110" s="38" t="n">
        <f aca="false">IF(E110=0,0,F110/E110)</f>
        <v>0.692307692307692</v>
      </c>
      <c r="H110" s="37" t="str">
        <f aca="false">IFERROR(INDEX('Watch Paths'!$G$2:$G$4220,MATCH(A110,'Watch Paths'!$N$2:$N$4220,0)),"✓ complete")</f>
        <v>Brazil</v>
      </c>
      <c r="I110" s="8" t="s">
        <v>4703</v>
      </c>
      <c r="J110" s="8" t="s">
        <v>4704</v>
      </c>
    </row>
    <row r="111" customFormat="false" ht="15" hidden="false" customHeight="false" outlineLevel="0" collapsed="false">
      <c r="A111" s="41" t="s">
        <v>4093</v>
      </c>
      <c r="B111" s="41" t="s">
        <v>52</v>
      </c>
      <c r="C111" s="41" t="s">
        <v>92</v>
      </c>
      <c r="D111" s="41" t="s">
        <v>4094</v>
      </c>
      <c r="E111" s="37" t="n">
        <f aca="false">COUNTIF('Watch Paths'!$A$2:$A$4220,A111)</f>
        <v>9</v>
      </c>
      <c r="F111" s="37" t="n">
        <f aca="false">COUNTIFS('Watch Paths'!$A$2:$A$4220,A111,'Watch Paths'!$M$2:$M$4220,1)</f>
        <v>4</v>
      </c>
      <c r="G111" s="38" t="n">
        <f aca="false">IF(E111=0,0,F111/E111)</f>
        <v>0.444444444444444</v>
      </c>
      <c r="H111" s="37" t="str">
        <f aca="false">IFERROR(INDEX('Watch Paths'!$G$2:$G$4220,MATCH(A111,'Watch Paths'!$N$2:$N$4220,0)),"✓ complete")</f>
        <v>Terminator 2: Judgment Day</v>
      </c>
      <c r="I111" s="8" t="s">
        <v>4705</v>
      </c>
      <c r="J111" s="8" t="s">
        <v>4699</v>
      </c>
    </row>
    <row r="112" customFormat="false" ht="23.85" hidden="false" customHeight="false" outlineLevel="0" collapsed="false">
      <c r="A112" s="41" t="s">
        <v>4095</v>
      </c>
      <c r="B112" s="41" t="s">
        <v>52</v>
      </c>
      <c r="C112" s="41" t="s">
        <v>93</v>
      </c>
      <c r="D112" s="41" t="s">
        <v>4096</v>
      </c>
      <c r="E112" s="37" t="n">
        <f aca="false">COUNTIF('Watch Paths'!$A$2:$A$4220,A112)</f>
        <v>14</v>
      </c>
      <c r="F112" s="37" t="n">
        <f aca="false">COUNTIFS('Watch Paths'!$A$2:$A$4220,A112,'Watch Paths'!$M$2:$M$4220,1)</f>
        <v>1</v>
      </c>
      <c r="G112" s="38" t="n">
        <f aca="false">IF(E112=0,0,F112/E112)</f>
        <v>0.0714285714285714</v>
      </c>
      <c r="H112" s="37" t="str">
        <f aca="false">IFERROR(INDEX('Watch Paths'!$G$2:$G$4220,MATCH(A112,'Watch Paths'!$N$2:$N$4220,0)),"✓ complete")</f>
        <v>It Happened One Night</v>
      </c>
      <c r="I112" s="8" t="s">
        <v>4706</v>
      </c>
      <c r="J112" s="8" t="s">
        <v>4707</v>
      </c>
    </row>
    <row r="113" customFormat="false" ht="15" hidden="false" customHeight="false" outlineLevel="0" collapsed="false">
      <c r="A113" s="41" t="s">
        <v>4097</v>
      </c>
      <c r="B113" s="41" t="s">
        <v>52</v>
      </c>
      <c r="C113" s="41" t="s">
        <v>93</v>
      </c>
      <c r="D113" s="41" t="s">
        <v>4098</v>
      </c>
      <c r="E113" s="37" t="n">
        <f aca="false">COUNTIF('Watch Paths'!$A$2:$A$4220,A113)</f>
        <v>9</v>
      </c>
      <c r="F113" s="37" t="n">
        <f aca="false">COUNTIFS('Watch Paths'!$A$2:$A$4220,A113,'Watch Paths'!$M$2:$M$4220,1)</f>
        <v>0</v>
      </c>
      <c r="G113" s="38" t="n">
        <f aca="false">IF(E113=0,0,F113/E113)</f>
        <v>0</v>
      </c>
      <c r="H113" s="37" t="str">
        <f aca="false">IFERROR(INDEX('Watch Paths'!$G$2:$G$4220,MATCH(A113,'Watch Paths'!$N$2:$N$4220,0)),"✓ complete")</f>
        <v>Duck Soup</v>
      </c>
      <c r="I113" s="8" t="s">
        <v>4708</v>
      </c>
      <c r="J113" s="8" t="s">
        <v>4709</v>
      </c>
    </row>
    <row r="114" customFormat="false" ht="15" hidden="false" customHeight="false" outlineLevel="0" collapsed="false">
      <c r="A114" s="41" t="s">
        <v>4099</v>
      </c>
      <c r="B114" s="41" t="s">
        <v>52</v>
      </c>
      <c r="C114" s="41" t="s">
        <v>93</v>
      </c>
      <c r="D114" s="41" t="s">
        <v>4100</v>
      </c>
      <c r="E114" s="37" t="n">
        <f aca="false">COUNTIF('Watch Paths'!$A$2:$A$4220,A114)</f>
        <v>15</v>
      </c>
      <c r="F114" s="37" t="n">
        <f aca="false">COUNTIFS('Watch Paths'!$A$2:$A$4220,A114,'Watch Paths'!$M$2:$M$4220,1)</f>
        <v>6</v>
      </c>
      <c r="G114" s="38" t="n">
        <f aca="false">IF(E114=0,0,F114/E114)</f>
        <v>0.4</v>
      </c>
      <c r="H114" s="37" t="str">
        <f aca="false">IFERROR(INDEX('Watch Paths'!$G$2:$G$4220,MATCH(A114,'Watch Paths'!$N$2:$N$4220,0)),"✓ complete")</f>
        <v>Kind Hearts and Coronets</v>
      </c>
      <c r="I114" s="8" t="s">
        <v>4710</v>
      </c>
      <c r="J114" s="8" t="s">
        <v>4711</v>
      </c>
    </row>
    <row r="115" customFormat="false" ht="15" hidden="false" customHeight="false" outlineLevel="0" collapsed="false">
      <c r="A115" s="41" t="s">
        <v>4101</v>
      </c>
      <c r="B115" s="41" t="s">
        <v>52</v>
      </c>
      <c r="C115" s="41" t="s">
        <v>93</v>
      </c>
      <c r="D115" s="41" t="s">
        <v>4102</v>
      </c>
      <c r="E115" s="37" t="n">
        <f aca="false">COUNTIF('Watch Paths'!$A$2:$A$4220,A115)</f>
        <v>12</v>
      </c>
      <c r="F115" s="37" t="n">
        <f aca="false">COUNTIFS('Watch Paths'!$A$2:$A$4220,A115,'Watch Paths'!$M$2:$M$4220,1)</f>
        <v>5</v>
      </c>
      <c r="G115" s="38" t="n">
        <f aca="false">IF(E115=0,0,F115/E115)</f>
        <v>0.416666666666667</v>
      </c>
      <c r="H115" s="37" t="str">
        <f aca="false">IFERROR(INDEX('Watch Paths'!$G$2:$G$4220,MATCH(A115,'Watch Paths'!$N$2:$N$4220,0)),"✓ complete")</f>
        <v>Young Frankenstein</v>
      </c>
      <c r="I115" s="8" t="s">
        <v>4712</v>
      </c>
      <c r="J115" s="8" t="s">
        <v>4711</v>
      </c>
    </row>
    <row r="116" customFormat="false" ht="15" hidden="false" customHeight="false" outlineLevel="0" collapsed="false">
      <c r="A116" s="41" t="s">
        <v>4103</v>
      </c>
      <c r="B116" s="41" t="s">
        <v>52</v>
      </c>
      <c r="C116" s="41" t="s">
        <v>93</v>
      </c>
      <c r="D116" s="41" t="s">
        <v>4104</v>
      </c>
      <c r="E116" s="37" t="n">
        <f aca="false">COUNTIF('Watch Paths'!$A$2:$A$4220,A116)</f>
        <v>12</v>
      </c>
      <c r="F116" s="37" t="n">
        <f aca="false">COUNTIFS('Watch Paths'!$A$2:$A$4220,A116,'Watch Paths'!$M$2:$M$4220,1)</f>
        <v>1</v>
      </c>
      <c r="G116" s="38" t="n">
        <f aca="false">IF(E116=0,0,F116/E116)</f>
        <v>0.0833333333333333</v>
      </c>
      <c r="H116" s="37" t="str">
        <f aca="false">IFERROR(INDEX('Watch Paths'!$G$2:$G$4220,MATCH(A116,'Watch Paths'!$N$2:$N$4220,0)),"✓ complete")</f>
        <v>This Is Spinal Tap</v>
      </c>
      <c r="I116" s="8" t="s">
        <v>4713</v>
      </c>
      <c r="J116" s="8" t="s">
        <v>4714</v>
      </c>
    </row>
    <row r="117" customFormat="false" ht="15" hidden="false" customHeight="false" outlineLevel="0" collapsed="false">
      <c r="A117" s="41" t="s">
        <v>4105</v>
      </c>
      <c r="B117" s="41" t="s">
        <v>52</v>
      </c>
      <c r="C117" s="41" t="s">
        <v>93</v>
      </c>
      <c r="D117" s="41" t="s">
        <v>4106</v>
      </c>
      <c r="E117" s="37" t="n">
        <f aca="false">COUNTIF('Watch Paths'!$A$2:$A$4220,A117)</f>
        <v>10</v>
      </c>
      <c r="F117" s="37" t="n">
        <f aca="false">COUNTIFS('Watch Paths'!$A$2:$A$4220,A117,'Watch Paths'!$M$2:$M$4220,1)</f>
        <v>3</v>
      </c>
      <c r="G117" s="38" t="n">
        <f aca="false">IF(E117=0,0,F117/E117)</f>
        <v>0.3</v>
      </c>
      <c r="H117" s="37" t="str">
        <f aca="false">IFERROR(INDEX('Watch Paths'!$G$2:$G$4220,MATCH(A117,'Watch Paths'!$N$2:$N$4220,0)),"✓ complete")</f>
        <v>The Heartbreak Kid</v>
      </c>
      <c r="I117" s="8" t="s">
        <v>4715</v>
      </c>
      <c r="J117" s="8" t="s">
        <v>4716</v>
      </c>
    </row>
    <row r="118" customFormat="false" ht="15" hidden="false" customHeight="false" outlineLevel="0" collapsed="false">
      <c r="A118" s="41" t="s">
        <v>4107</v>
      </c>
      <c r="B118" s="41" t="s">
        <v>52</v>
      </c>
      <c r="C118" s="41" t="s">
        <v>93</v>
      </c>
      <c r="D118" s="41" t="s">
        <v>4108</v>
      </c>
      <c r="E118" s="37" t="n">
        <f aca="false">COUNTIF('Watch Paths'!$A$2:$A$4220,A118)</f>
        <v>16</v>
      </c>
      <c r="F118" s="37" t="n">
        <f aca="false">COUNTIFS('Watch Paths'!$A$2:$A$4220,A118,'Watch Paths'!$M$2:$M$4220,1)</f>
        <v>11</v>
      </c>
      <c r="G118" s="38" t="n">
        <f aca="false">IF(E118=0,0,F118/E118)</f>
        <v>0.6875</v>
      </c>
      <c r="H118" s="37" t="str">
        <f aca="false">IFERROR(INDEX('Watch Paths'!$G$2:$G$4220,MATCH(A118,'Watch Paths'!$N$2:$N$4220,0)),"✓ complete")</f>
        <v>The Blues Brothers</v>
      </c>
      <c r="I118" s="8" t="s">
        <v>4717</v>
      </c>
      <c r="J118" s="8" t="s">
        <v>4718</v>
      </c>
    </row>
    <row r="119" customFormat="false" ht="23.85" hidden="false" customHeight="false" outlineLevel="0" collapsed="false">
      <c r="A119" s="41" t="s">
        <v>4109</v>
      </c>
      <c r="B119" s="41" t="s">
        <v>52</v>
      </c>
      <c r="C119" s="41" t="s">
        <v>94</v>
      </c>
      <c r="D119" s="41" t="s">
        <v>4110</v>
      </c>
      <c r="E119" s="37" t="n">
        <f aca="false">COUNTIF('Watch Paths'!$A$2:$A$4220,A119)</f>
        <v>16</v>
      </c>
      <c r="F119" s="37" t="n">
        <f aca="false">COUNTIFS('Watch Paths'!$A$2:$A$4220,A119,'Watch Paths'!$M$2:$M$4220,1)</f>
        <v>0</v>
      </c>
      <c r="G119" s="38" t="n">
        <f aca="false">IF(E119=0,0,F119/E119)</f>
        <v>0</v>
      </c>
      <c r="H119" s="37" t="str">
        <f aca="false">IFERROR(INDEX('Watch Paths'!$G$2:$G$4220,MATCH(A119,'Watch Paths'!$N$2:$N$4220,0)),"✓ complete")</f>
        <v>Singin' in the Rain</v>
      </c>
      <c r="I119" s="8" t="s">
        <v>4719</v>
      </c>
      <c r="J119" s="8" t="s">
        <v>4720</v>
      </c>
    </row>
    <row r="120" customFormat="false" ht="15" hidden="false" customHeight="false" outlineLevel="0" collapsed="false">
      <c r="A120" s="41" t="s">
        <v>4111</v>
      </c>
      <c r="B120" s="41" t="s">
        <v>52</v>
      </c>
      <c r="C120" s="41" t="s">
        <v>94</v>
      </c>
      <c r="D120" s="41" t="s">
        <v>4112</v>
      </c>
      <c r="E120" s="37" t="n">
        <f aca="false">COUNTIF('Watch Paths'!$A$2:$A$4220,A120)</f>
        <v>13</v>
      </c>
      <c r="F120" s="37" t="n">
        <f aca="false">COUNTIFS('Watch Paths'!$A$2:$A$4220,A120,'Watch Paths'!$M$2:$M$4220,1)</f>
        <v>3</v>
      </c>
      <c r="G120" s="38" t="n">
        <f aca="false">IF(E120=0,0,F120/E120)</f>
        <v>0.230769230769231</v>
      </c>
      <c r="H120" s="37" t="str">
        <f aca="false">IFERROR(INDEX('Watch Paths'!$G$2:$G$4220,MATCH(A120,'Watch Paths'!$N$2:$N$4220,0)),"✓ complete")</f>
        <v>West Side Story</v>
      </c>
      <c r="I120" s="8" t="s">
        <v>4721</v>
      </c>
      <c r="J120" s="8" t="s">
        <v>4722</v>
      </c>
    </row>
    <row r="121" customFormat="false" ht="15" hidden="false" customHeight="false" outlineLevel="0" collapsed="false">
      <c r="A121" s="41" t="s">
        <v>4113</v>
      </c>
      <c r="B121" s="41" t="s">
        <v>52</v>
      </c>
      <c r="C121" s="41" t="s">
        <v>94</v>
      </c>
      <c r="D121" s="41" t="s">
        <v>4114</v>
      </c>
      <c r="E121" s="37" t="n">
        <f aca="false">COUNTIF('Watch Paths'!$A$2:$A$4220,A121)</f>
        <v>10</v>
      </c>
      <c r="F121" s="37" t="n">
        <f aca="false">COUNTIFS('Watch Paths'!$A$2:$A$4220,A121,'Watch Paths'!$M$2:$M$4220,1)</f>
        <v>0</v>
      </c>
      <c r="G121" s="38" t="n">
        <f aca="false">IF(E121=0,0,F121/E121)</f>
        <v>0</v>
      </c>
      <c r="H121" s="37" t="str">
        <f aca="false">IFERROR(INDEX('Watch Paths'!$G$2:$G$4220,MATCH(A121,'Watch Paths'!$N$2:$N$4220,0)),"✓ complete")</f>
        <v>The Umbrellas of Cherbourg</v>
      </c>
      <c r="I121" s="8" t="s">
        <v>4723</v>
      </c>
      <c r="J121" s="8" t="s">
        <v>4724</v>
      </c>
    </row>
    <row r="122" customFormat="false" ht="15" hidden="false" customHeight="false" outlineLevel="0" collapsed="false">
      <c r="A122" s="41" t="s">
        <v>4115</v>
      </c>
      <c r="B122" s="41" t="s">
        <v>52</v>
      </c>
      <c r="C122" s="41" t="s">
        <v>95</v>
      </c>
      <c r="D122" s="41" t="s">
        <v>4116</v>
      </c>
      <c r="E122" s="37" t="n">
        <f aca="false">COUNTIF('Watch Paths'!$A$2:$A$4220,A122)</f>
        <v>15</v>
      </c>
      <c r="F122" s="37" t="n">
        <f aca="false">COUNTIFS('Watch Paths'!$A$2:$A$4220,A122,'Watch Paths'!$M$2:$M$4220,1)</f>
        <v>3</v>
      </c>
      <c r="G122" s="38" t="n">
        <f aca="false">IF(E122=0,0,F122/E122)</f>
        <v>0.2</v>
      </c>
      <c r="H122" s="37" t="str">
        <f aca="false">IFERROR(INDEX('Watch Paths'!$G$2:$G$4220,MATCH(A122,'Watch Paths'!$N$2:$N$4220,0)),"✓ complete")</f>
        <v>Little Caesar</v>
      </c>
      <c r="I122" s="8" t="s">
        <v>4725</v>
      </c>
      <c r="J122" s="8" t="s">
        <v>4726</v>
      </c>
    </row>
    <row r="123" customFormat="false" ht="15" hidden="false" customHeight="false" outlineLevel="0" collapsed="false">
      <c r="A123" s="41" t="s">
        <v>4117</v>
      </c>
      <c r="B123" s="41" t="s">
        <v>52</v>
      </c>
      <c r="C123" s="41" t="s">
        <v>95</v>
      </c>
      <c r="D123" s="41" t="s">
        <v>4118</v>
      </c>
      <c r="E123" s="37" t="n">
        <f aca="false">COUNTIF('Watch Paths'!$A$2:$A$4220,A123)</f>
        <v>15</v>
      </c>
      <c r="F123" s="37" t="n">
        <f aca="false">COUNTIFS('Watch Paths'!$A$2:$A$4220,A123,'Watch Paths'!$M$2:$M$4220,1)</f>
        <v>5</v>
      </c>
      <c r="G123" s="38" t="n">
        <f aca="false">IF(E123=0,0,F123/E123)</f>
        <v>0.333333333333333</v>
      </c>
      <c r="H123" s="37" t="str">
        <f aca="false">IFERROR(INDEX('Watch Paths'!$G$2:$G$4220,MATCH(A123,'Watch Paths'!$N$2:$N$4220,0)),"✓ complete")</f>
        <v>Rififi</v>
      </c>
      <c r="I123" s="8" t="s">
        <v>4727</v>
      </c>
      <c r="J123" s="8" t="s">
        <v>4728</v>
      </c>
    </row>
    <row r="124" customFormat="false" ht="15" hidden="false" customHeight="false" outlineLevel="0" collapsed="false">
      <c r="A124" s="41" t="s">
        <v>4119</v>
      </c>
      <c r="B124" s="41" t="s">
        <v>52</v>
      </c>
      <c r="C124" s="41" t="s">
        <v>95</v>
      </c>
      <c r="D124" s="41" t="s">
        <v>4120</v>
      </c>
      <c r="E124" s="37" t="n">
        <f aca="false">COUNTIF('Watch Paths'!$A$2:$A$4220,A124)</f>
        <v>10</v>
      </c>
      <c r="F124" s="37" t="n">
        <f aca="false">COUNTIFS('Watch Paths'!$A$2:$A$4220,A124,'Watch Paths'!$M$2:$M$4220,1)</f>
        <v>3</v>
      </c>
      <c r="G124" s="38" t="n">
        <f aca="false">IF(E124=0,0,F124/E124)</f>
        <v>0.3</v>
      </c>
      <c r="H124" s="37" t="str">
        <f aca="false">IFERROR(INDEX('Watch Paths'!$G$2:$G$4220,MATCH(A124,'Watch Paths'!$N$2:$N$4220,0)),"✓ complete")</f>
        <v>Serpico</v>
      </c>
      <c r="I124" s="8" t="s">
        <v>4729</v>
      </c>
      <c r="J124" s="8" t="s">
        <v>4730</v>
      </c>
    </row>
    <row r="125" customFormat="false" ht="15" hidden="false" customHeight="false" outlineLevel="0" collapsed="false">
      <c r="A125" s="41" t="s">
        <v>4121</v>
      </c>
      <c r="B125" s="41" t="s">
        <v>52</v>
      </c>
      <c r="C125" s="41" t="s">
        <v>95</v>
      </c>
      <c r="D125" s="41" t="s">
        <v>4122</v>
      </c>
      <c r="E125" s="37" t="n">
        <f aca="false">COUNTIF('Watch Paths'!$A$2:$A$4220,A125)</f>
        <v>12</v>
      </c>
      <c r="F125" s="37" t="n">
        <f aca="false">COUNTIFS('Watch Paths'!$A$2:$A$4220,A125,'Watch Paths'!$M$2:$M$4220,1)</f>
        <v>3</v>
      </c>
      <c r="G125" s="38" t="n">
        <f aca="false">IF(E125=0,0,F125/E125)</f>
        <v>0.25</v>
      </c>
      <c r="H125" s="37" t="str">
        <f aca="false">IFERROR(INDEX('Watch Paths'!$G$2:$G$4220,MATCH(A125,'Watch Paths'!$N$2:$N$4220,0)),"✓ complete")</f>
        <v>The Sting</v>
      </c>
      <c r="I125" s="8" t="s">
        <v>4731</v>
      </c>
      <c r="J125" s="8" t="s">
        <v>4732</v>
      </c>
    </row>
    <row r="126" customFormat="false" ht="15" hidden="false" customHeight="false" outlineLevel="0" collapsed="false">
      <c r="A126" s="41" t="s">
        <v>4123</v>
      </c>
      <c r="B126" s="41" t="s">
        <v>52</v>
      </c>
      <c r="C126" s="41" t="s">
        <v>96</v>
      </c>
      <c r="D126" s="41" t="s">
        <v>4124</v>
      </c>
      <c r="E126" s="37" t="n">
        <f aca="false">COUNTIF('Watch Paths'!$A$2:$A$4220,A126)</f>
        <v>11</v>
      </c>
      <c r="F126" s="37" t="n">
        <f aca="false">COUNTIFS('Watch Paths'!$A$2:$A$4220,A126,'Watch Paths'!$M$2:$M$4220,1)</f>
        <v>3</v>
      </c>
      <c r="G126" s="38" t="n">
        <f aca="false">IF(E126=0,0,F126/E126)</f>
        <v>0.272727272727273</v>
      </c>
      <c r="H126" s="37" t="str">
        <f aca="false">IFERROR(INDEX('Watch Paths'!$G$2:$G$4220,MATCH(A126,'Watch Paths'!$N$2:$N$4220,0)),"✓ complete")</f>
        <v>Vertigo</v>
      </c>
      <c r="I126" s="8" t="s">
        <v>4733</v>
      </c>
      <c r="J126" s="8" t="s">
        <v>4734</v>
      </c>
    </row>
    <row r="127" customFormat="false" ht="15" hidden="false" customHeight="false" outlineLevel="0" collapsed="false">
      <c r="A127" s="41" t="s">
        <v>4125</v>
      </c>
      <c r="B127" s="41" t="s">
        <v>52</v>
      </c>
      <c r="C127" s="41" t="s">
        <v>96</v>
      </c>
      <c r="D127" s="41" t="s">
        <v>4126</v>
      </c>
      <c r="E127" s="37" t="n">
        <f aca="false">COUNTIF('Watch Paths'!$A$2:$A$4220,A127)</f>
        <v>11</v>
      </c>
      <c r="F127" s="37" t="n">
        <f aca="false">COUNTIFS('Watch Paths'!$A$2:$A$4220,A127,'Watch Paths'!$M$2:$M$4220,1)</f>
        <v>5</v>
      </c>
      <c r="G127" s="38" t="n">
        <f aca="false">IF(E127=0,0,F127/E127)</f>
        <v>0.454545454545455</v>
      </c>
      <c r="H127" s="37" t="str">
        <f aca="false">IFERROR(INDEX('Watch Paths'!$G$2:$G$4220,MATCH(A127,'Watch Paths'!$N$2:$N$4220,0)),"✓ complete")</f>
        <v>The Parallax View</v>
      </c>
      <c r="I127" s="8" t="s">
        <v>4735</v>
      </c>
      <c r="J127" s="8" t="s">
        <v>4736</v>
      </c>
    </row>
    <row r="128" customFormat="false" ht="15" hidden="false" customHeight="false" outlineLevel="0" collapsed="false">
      <c r="A128" s="41" t="s">
        <v>4127</v>
      </c>
      <c r="B128" s="41" t="s">
        <v>52</v>
      </c>
      <c r="C128" s="41" t="s">
        <v>96</v>
      </c>
      <c r="D128" s="41" t="s">
        <v>4128</v>
      </c>
      <c r="E128" s="37" t="n">
        <f aca="false">COUNTIF('Watch Paths'!$A$2:$A$4220,A128)</f>
        <v>11</v>
      </c>
      <c r="F128" s="37" t="n">
        <f aca="false">COUNTIFS('Watch Paths'!$A$2:$A$4220,A128,'Watch Paths'!$M$2:$M$4220,1)</f>
        <v>1</v>
      </c>
      <c r="G128" s="38" t="n">
        <f aca="false">IF(E128=0,0,F128/E128)</f>
        <v>0.0909090909090909</v>
      </c>
      <c r="H128" s="37" t="str">
        <f aca="false">IFERROR(INDEX('Watch Paths'!$G$2:$G$4220,MATCH(A128,'Watch Paths'!$N$2:$N$4220,0)),"✓ complete")</f>
        <v>Body Heat</v>
      </c>
      <c r="I128" s="8" t="s">
        <v>4737</v>
      </c>
      <c r="J128" s="8" t="s">
        <v>4738</v>
      </c>
    </row>
    <row r="129" customFormat="false" ht="15" hidden="false" customHeight="false" outlineLevel="0" collapsed="false">
      <c r="A129" s="41" t="s">
        <v>4129</v>
      </c>
      <c r="B129" s="41" t="s">
        <v>52</v>
      </c>
      <c r="C129" s="41" t="s">
        <v>96</v>
      </c>
      <c r="D129" s="41" t="s">
        <v>4130</v>
      </c>
      <c r="E129" s="37" t="n">
        <f aca="false">COUNTIF('Watch Paths'!$A$2:$A$4220,A129)</f>
        <v>11</v>
      </c>
      <c r="F129" s="37" t="n">
        <f aca="false">COUNTIFS('Watch Paths'!$A$2:$A$4220,A129,'Watch Paths'!$M$2:$M$4220,1)</f>
        <v>5</v>
      </c>
      <c r="G129" s="38" t="n">
        <f aca="false">IF(E129=0,0,F129/E129)</f>
        <v>0.454545454545455</v>
      </c>
      <c r="H129" s="37" t="str">
        <f aca="false">IFERROR(INDEX('Watch Paths'!$G$2:$G$4220,MATCH(A129,'Watch Paths'!$N$2:$N$4220,0)),"✓ complete")</f>
        <v>Zodiac</v>
      </c>
      <c r="I129" s="8" t="s">
        <v>4739</v>
      </c>
      <c r="J129" s="8" t="s">
        <v>4740</v>
      </c>
    </row>
    <row r="130" customFormat="false" ht="15" hidden="false" customHeight="false" outlineLevel="0" collapsed="false">
      <c r="A130" s="41" t="s">
        <v>4131</v>
      </c>
      <c r="B130" s="41" t="s">
        <v>52</v>
      </c>
      <c r="C130" s="41" t="s">
        <v>96</v>
      </c>
      <c r="D130" s="41" t="s">
        <v>4132</v>
      </c>
      <c r="E130" s="37" t="n">
        <f aca="false">COUNTIF('Watch Paths'!$A$2:$A$4220,A130)</f>
        <v>14</v>
      </c>
      <c r="F130" s="37" t="n">
        <f aca="false">COUNTIFS('Watch Paths'!$A$2:$A$4220,A130,'Watch Paths'!$M$2:$M$4220,1)</f>
        <v>3</v>
      </c>
      <c r="G130" s="38" t="n">
        <f aca="false">IF(E130=0,0,F130/E130)</f>
        <v>0.214285714285714</v>
      </c>
      <c r="H130" s="37" t="str">
        <f aca="false">IFERROR(INDEX('Watch Paths'!$G$2:$G$4220,MATCH(A130,'Watch Paths'!$N$2:$N$4220,0)),"✓ complete")</f>
        <v>Tinker Tailor Soldier Spy</v>
      </c>
      <c r="I130" s="8" t="s">
        <v>4741</v>
      </c>
      <c r="J130" s="8" t="s">
        <v>4742</v>
      </c>
    </row>
    <row r="131" customFormat="false" ht="15" hidden="false" customHeight="false" outlineLevel="0" collapsed="false">
      <c r="A131" s="41" t="s">
        <v>4133</v>
      </c>
      <c r="B131" s="41" t="s">
        <v>52</v>
      </c>
      <c r="C131" s="41" t="s">
        <v>96</v>
      </c>
      <c r="D131" s="41" t="s">
        <v>4134</v>
      </c>
      <c r="E131" s="37" t="n">
        <f aca="false">COUNTIF('Watch Paths'!$A$2:$A$4220,A131)</f>
        <v>11</v>
      </c>
      <c r="F131" s="37" t="n">
        <f aca="false">COUNTIFS('Watch Paths'!$A$2:$A$4220,A131,'Watch Paths'!$M$2:$M$4220,1)</f>
        <v>3</v>
      </c>
      <c r="G131" s="38" t="n">
        <f aca="false">IF(E131=0,0,F131/E131)</f>
        <v>0.272727272727273</v>
      </c>
      <c r="H131" s="37" t="str">
        <f aca="false">IFERROR(INDEX('Watch Paths'!$G$2:$G$4220,MATCH(A131,'Watch Paths'!$N$2:$N$4220,0)),"✓ complete")</f>
        <v>Deliverance</v>
      </c>
      <c r="I131" s="8" t="s">
        <v>4743</v>
      </c>
      <c r="J131" s="8" t="s">
        <v>4744</v>
      </c>
    </row>
    <row r="132" customFormat="false" ht="15" hidden="false" customHeight="false" outlineLevel="0" collapsed="false">
      <c r="A132" s="41" t="s">
        <v>4135</v>
      </c>
      <c r="B132" s="41" t="s">
        <v>52</v>
      </c>
      <c r="C132" s="41" t="s">
        <v>97</v>
      </c>
      <c r="D132" s="41" t="s">
        <v>4136</v>
      </c>
      <c r="E132" s="37" t="n">
        <f aca="false">COUNTIF('Watch Paths'!$A$2:$A$4220,A132)</f>
        <v>11</v>
      </c>
      <c r="F132" s="37" t="n">
        <f aca="false">COUNTIFS('Watch Paths'!$A$2:$A$4220,A132,'Watch Paths'!$M$2:$M$4220,1)</f>
        <v>4</v>
      </c>
      <c r="G132" s="38" t="n">
        <f aca="false">IF(E132=0,0,F132/E132)</f>
        <v>0.363636363636364</v>
      </c>
      <c r="H132" s="37" t="str">
        <f aca="false">IFERROR(INDEX('Watch Paths'!$G$2:$G$4220,MATCH(A132,'Watch Paths'!$N$2:$N$4220,0)),"✓ complete")</f>
        <v>All Quiet on the Western Front</v>
      </c>
      <c r="I132" s="8" t="s">
        <v>4745</v>
      </c>
      <c r="J132" s="8" t="s">
        <v>4746</v>
      </c>
    </row>
    <row r="133" customFormat="false" ht="15" hidden="false" customHeight="false" outlineLevel="0" collapsed="false">
      <c r="A133" s="41" t="s">
        <v>4137</v>
      </c>
      <c r="B133" s="41" t="s">
        <v>52</v>
      </c>
      <c r="C133" s="41" t="s">
        <v>97</v>
      </c>
      <c r="D133" s="41" t="s">
        <v>4138</v>
      </c>
      <c r="E133" s="37" t="n">
        <f aca="false">COUNTIF('Watch Paths'!$A$2:$A$4220,A133)</f>
        <v>18</v>
      </c>
      <c r="F133" s="37" t="n">
        <f aca="false">COUNTIFS('Watch Paths'!$A$2:$A$4220,A133,'Watch Paths'!$M$2:$M$4220,1)</f>
        <v>2</v>
      </c>
      <c r="G133" s="38" t="n">
        <f aca="false">IF(E133=0,0,F133/E133)</f>
        <v>0.111111111111111</v>
      </c>
      <c r="H133" s="37" t="str">
        <f aca="false">IFERROR(INDEX('Watch Paths'!$G$2:$G$4220,MATCH(A133,'Watch Paths'!$N$2:$N$4220,0)),"✓ complete")</f>
        <v>Schindler's List</v>
      </c>
      <c r="I133" s="8" t="s">
        <v>4747</v>
      </c>
      <c r="J133" s="8" t="s">
        <v>4748</v>
      </c>
    </row>
    <row r="134" customFormat="false" ht="15" hidden="false" customHeight="false" outlineLevel="0" collapsed="false">
      <c r="A134" s="41" t="s">
        <v>4139</v>
      </c>
      <c r="B134" s="41" t="s">
        <v>52</v>
      </c>
      <c r="C134" s="41" t="s">
        <v>97</v>
      </c>
      <c r="D134" s="41" t="s">
        <v>4140</v>
      </c>
      <c r="E134" s="37" t="n">
        <f aca="false">COUNTIF('Watch Paths'!$A$2:$A$4220,A134)</f>
        <v>11</v>
      </c>
      <c r="F134" s="37" t="n">
        <f aca="false">COUNTIFS('Watch Paths'!$A$2:$A$4220,A134,'Watch Paths'!$M$2:$M$4220,1)</f>
        <v>3</v>
      </c>
      <c r="G134" s="38" t="n">
        <f aca="false">IF(E134=0,0,F134/E134)</f>
        <v>0.272727272727273</v>
      </c>
      <c r="H134" s="37" t="str">
        <f aca="false">IFERROR(INDEX('Watch Paths'!$G$2:$G$4220,MATCH(A134,'Watch Paths'!$N$2:$N$4220,0)),"✓ complete")</f>
        <v>The Deer Hunter</v>
      </c>
      <c r="I134" s="8" t="s">
        <v>4749</v>
      </c>
      <c r="J134" s="8" t="s">
        <v>4750</v>
      </c>
    </row>
    <row r="135" customFormat="false" ht="15" hidden="false" customHeight="false" outlineLevel="0" collapsed="false">
      <c r="A135" s="41" t="s">
        <v>4141</v>
      </c>
      <c r="B135" s="41" t="s">
        <v>52</v>
      </c>
      <c r="C135" s="41" t="s">
        <v>97</v>
      </c>
      <c r="D135" s="41" t="s">
        <v>4142</v>
      </c>
      <c r="E135" s="37" t="n">
        <f aca="false">COUNTIF('Watch Paths'!$A$2:$A$4220,A135)</f>
        <v>12</v>
      </c>
      <c r="F135" s="37" t="n">
        <f aca="false">COUNTIFS('Watch Paths'!$A$2:$A$4220,A135,'Watch Paths'!$M$2:$M$4220,1)</f>
        <v>4</v>
      </c>
      <c r="G135" s="38" t="n">
        <f aca="false">IF(E135=0,0,F135/E135)</f>
        <v>0.333333333333333</v>
      </c>
      <c r="H135" s="37" t="str">
        <f aca="false">IFERROR(INDEX('Watch Paths'!$G$2:$G$4220,MATCH(A135,'Watch Paths'!$N$2:$N$4220,0)),"✓ complete")</f>
        <v>Come and See</v>
      </c>
      <c r="I135" s="8" t="s">
        <v>4751</v>
      </c>
      <c r="J135" s="8" t="s">
        <v>4752</v>
      </c>
    </row>
    <row r="136" customFormat="false" ht="15" hidden="false" customHeight="false" outlineLevel="0" collapsed="false">
      <c r="A136" s="41" t="s">
        <v>4143</v>
      </c>
      <c r="B136" s="41" t="s">
        <v>52</v>
      </c>
      <c r="C136" s="41" t="s">
        <v>97</v>
      </c>
      <c r="D136" s="41" t="s">
        <v>4144</v>
      </c>
      <c r="E136" s="37" t="n">
        <f aca="false">COUNTIF('Watch Paths'!$A$2:$A$4220,A136)</f>
        <v>9</v>
      </c>
      <c r="F136" s="37" t="n">
        <f aca="false">COUNTIFS('Watch Paths'!$A$2:$A$4220,A136,'Watch Paths'!$M$2:$M$4220,1)</f>
        <v>1</v>
      </c>
      <c r="G136" s="38" t="n">
        <f aca="false">IF(E136=0,0,F136/E136)</f>
        <v>0.111111111111111</v>
      </c>
      <c r="H136" s="37" t="str">
        <f aca="false">IFERROR(INDEX('Watch Paths'!$G$2:$G$4220,MATCH(A136,'Watch Paths'!$N$2:$N$4220,0)),"✓ complete")</f>
        <v>The Hurt Locker</v>
      </c>
      <c r="I136" s="8" t="s">
        <v>4753</v>
      </c>
      <c r="J136" s="8" t="s">
        <v>4754</v>
      </c>
    </row>
    <row r="137" customFormat="false" ht="23.85" hidden="false" customHeight="false" outlineLevel="0" collapsed="false">
      <c r="A137" s="41" t="s">
        <v>4145</v>
      </c>
      <c r="B137" s="41" t="s">
        <v>52</v>
      </c>
      <c r="C137" s="41" t="s">
        <v>98</v>
      </c>
      <c r="D137" s="41" t="s">
        <v>4146</v>
      </c>
      <c r="E137" s="37" t="n">
        <f aca="false">COUNTIF('Watch Paths'!$A$2:$A$4220,A137)</f>
        <v>11</v>
      </c>
      <c r="F137" s="37" t="n">
        <f aca="false">COUNTIFS('Watch Paths'!$A$2:$A$4220,A137,'Watch Paths'!$M$2:$M$4220,1)</f>
        <v>0</v>
      </c>
      <c r="G137" s="38" t="n">
        <f aca="false">IF(E137=0,0,F137/E137)</f>
        <v>0</v>
      </c>
      <c r="H137" s="37" t="str">
        <f aca="false">IFERROR(INDEX('Watch Paths'!$G$2:$G$4220,MATCH(A137,'Watch Paths'!$N$2:$N$4220,0)),"✓ complete")</f>
        <v>All That Heaven Allows</v>
      </c>
      <c r="I137" s="8" t="s">
        <v>4755</v>
      </c>
      <c r="J137" s="8" t="s">
        <v>4756</v>
      </c>
    </row>
    <row r="138" customFormat="false" ht="23.85" hidden="false" customHeight="false" outlineLevel="0" collapsed="false">
      <c r="A138" s="41" t="s">
        <v>4147</v>
      </c>
      <c r="B138" s="41" t="s">
        <v>52</v>
      </c>
      <c r="C138" s="41" t="s">
        <v>98</v>
      </c>
      <c r="D138" s="41" t="s">
        <v>4148</v>
      </c>
      <c r="E138" s="37" t="n">
        <f aca="false">COUNTIF('Watch Paths'!$A$2:$A$4220,A138)</f>
        <v>10</v>
      </c>
      <c r="F138" s="37" t="n">
        <f aca="false">COUNTIFS('Watch Paths'!$A$2:$A$4220,A138,'Watch Paths'!$M$2:$M$4220,1)</f>
        <v>0</v>
      </c>
      <c r="G138" s="38" t="n">
        <f aca="false">IF(E138=0,0,F138/E138)</f>
        <v>0</v>
      </c>
      <c r="H138" s="37" t="str">
        <f aca="false">IFERROR(INDEX('Watch Paths'!$G$2:$G$4220,MATCH(A138,'Watch Paths'!$N$2:$N$4220,0)),"✓ complete")</f>
        <v>Stella Dallas</v>
      </c>
      <c r="I138" s="8" t="s">
        <v>4757</v>
      </c>
      <c r="J138" s="8" t="s">
        <v>4758</v>
      </c>
    </row>
    <row r="139" customFormat="false" ht="23.85" hidden="false" customHeight="false" outlineLevel="0" collapsed="false">
      <c r="A139" s="41" t="s">
        <v>4149</v>
      </c>
      <c r="B139" s="41" t="s">
        <v>52</v>
      </c>
      <c r="C139" s="41" t="s">
        <v>98</v>
      </c>
      <c r="D139" s="41" t="s">
        <v>4150</v>
      </c>
      <c r="E139" s="37" t="n">
        <f aca="false">COUNTIF('Watch Paths'!$A$2:$A$4220,A139)</f>
        <v>9</v>
      </c>
      <c r="F139" s="37" t="n">
        <f aca="false">COUNTIFS('Watch Paths'!$A$2:$A$4220,A139,'Watch Paths'!$M$2:$M$4220,1)</f>
        <v>2</v>
      </c>
      <c r="G139" s="38" t="n">
        <f aca="false">IF(E139=0,0,F139/E139)</f>
        <v>0.222222222222222</v>
      </c>
      <c r="H139" s="37" t="str">
        <f aca="false">IFERROR(INDEX('Watch Paths'!$G$2:$G$4220,MATCH(A139,'Watch Paths'!$N$2:$N$4220,0)),"✓ complete")</f>
        <v>The Philadelphia Story</v>
      </c>
      <c r="I139" s="8" t="s">
        <v>4759</v>
      </c>
      <c r="J139" s="8" t="s">
        <v>4760</v>
      </c>
    </row>
    <row r="140" customFormat="false" ht="15" hidden="false" customHeight="false" outlineLevel="0" collapsed="false">
      <c r="A140" s="41" t="s">
        <v>4151</v>
      </c>
      <c r="B140" s="41" t="s">
        <v>52</v>
      </c>
      <c r="C140" s="41" t="s">
        <v>98</v>
      </c>
      <c r="D140" s="41" t="s">
        <v>4152</v>
      </c>
      <c r="E140" s="37" t="n">
        <f aca="false">COUNTIF('Watch Paths'!$A$2:$A$4220,A140)</f>
        <v>14</v>
      </c>
      <c r="F140" s="37" t="n">
        <f aca="false">COUNTIFS('Watch Paths'!$A$2:$A$4220,A140,'Watch Paths'!$M$2:$M$4220,1)</f>
        <v>3</v>
      </c>
      <c r="G140" s="38" t="n">
        <f aca="false">IF(E140=0,0,F140/E140)</f>
        <v>0.214285714285714</v>
      </c>
      <c r="H140" s="37" t="str">
        <f aca="false">IFERROR(INDEX('Watch Paths'!$G$2:$G$4220,MATCH(A140,'Watch Paths'!$N$2:$N$4220,0)),"✓ complete")</f>
        <v>The Shop Around the Corner</v>
      </c>
      <c r="I140" s="8" t="s">
        <v>4761</v>
      </c>
      <c r="J140" s="8" t="s">
        <v>4762</v>
      </c>
    </row>
    <row r="141" customFormat="false" ht="15" hidden="false" customHeight="false" outlineLevel="0" collapsed="false">
      <c r="A141" s="41" t="s">
        <v>4153</v>
      </c>
      <c r="B141" s="41" t="s">
        <v>52</v>
      </c>
      <c r="C141" s="41" t="s">
        <v>98</v>
      </c>
      <c r="D141" s="41" t="s">
        <v>4154</v>
      </c>
      <c r="E141" s="37" t="n">
        <f aca="false">COUNTIF('Watch Paths'!$A$2:$A$4220,A141)</f>
        <v>12</v>
      </c>
      <c r="F141" s="37" t="n">
        <f aca="false">COUNTIFS('Watch Paths'!$A$2:$A$4220,A141,'Watch Paths'!$M$2:$M$4220,1)</f>
        <v>3</v>
      </c>
      <c r="G141" s="38" t="n">
        <f aca="false">IF(E141=0,0,F141/E141)</f>
        <v>0.25</v>
      </c>
      <c r="H141" s="37" t="str">
        <f aca="false">IFERROR(INDEX('Watch Paths'!$G$2:$G$4220,MATCH(A141,'Watch Paths'!$N$2:$N$4220,0)),"✓ complete")</f>
        <v>My Night at Maud's</v>
      </c>
      <c r="I141" s="8" t="s">
        <v>4763</v>
      </c>
      <c r="J141" s="8" t="s">
        <v>4764</v>
      </c>
    </row>
    <row r="142" customFormat="false" ht="15" hidden="false" customHeight="false" outlineLevel="0" collapsed="false">
      <c r="A142" s="41" t="s">
        <v>4155</v>
      </c>
      <c r="B142" s="41" t="s">
        <v>52</v>
      </c>
      <c r="C142" s="41" t="s">
        <v>99</v>
      </c>
      <c r="D142" s="41" t="s">
        <v>4156</v>
      </c>
      <c r="E142" s="37" t="n">
        <f aca="false">COUNTIF('Watch Paths'!$A$2:$A$4220,A142)</f>
        <v>10</v>
      </c>
      <c r="F142" s="37" t="n">
        <f aca="false">COUNTIFS('Watch Paths'!$A$2:$A$4220,A142,'Watch Paths'!$M$2:$M$4220,1)</f>
        <v>1</v>
      </c>
      <c r="G142" s="38" t="n">
        <f aca="false">IF(E142=0,0,F142/E142)</f>
        <v>0.1</v>
      </c>
      <c r="H142" s="37" t="str">
        <f aca="false">IFERROR(INDEX('Watch Paths'!$G$2:$G$4220,MATCH(A142,'Watch Paths'!$N$2:$N$4220,0)),"✓ complete")</f>
        <v>The Adventures of Robin Hood</v>
      </c>
      <c r="I142" s="8" t="s">
        <v>4765</v>
      </c>
      <c r="J142" s="8" t="s">
        <v>4766</v>
      </c>
    </row>
    <row r="143" customFormat="false" ht="15" hidden="false" customHeight="false" outlineLevel="0" collapsed="false">
      <c r="A143" s="41" t="s">
        <v>4157</v>
      </c>
      <c r="B143" s="41" t="s">
        <v>52</v>
      </c>
      <c r="C143" s="41" t="s">
        <v>99</v>
      </c>
      <c r="D143" s="41" t="s">
        <v>4158</v>
      </c>
      <c r="E143" s="37" t="n">
        <f aca="false">COUNTIF('Watch Paths'!$A$2:$A$4220,A143)</f>
        <v>11</v>
      </c>
      <c r="F143" s="37" t="n">
        <f aca="false">COUNTIFS('Watch Paths'!$A$2:$A$4220,A143,'Watch Paths'!$M$2:$M$4220,1)</f>
        <v>4</v>
      </c>
      <c r="G143" s="38" t="n">
        <f aca="false">IF(E143=0,0,F143/E143)</f>
        <v>0.363636363636364</v>
      </c>
      <c r="H143" s="37" t="str">
        <f aca="false">IFERROR(INDEX('Watch Paths'!$G$2:$G$4220,MATCH(A143,'Watch Paths'!$N$2:$N$4220,0)),"✓ complete")</f>
        <v>Die Hard</v>
      </c>
      <c r="I143" s="8" t="s">
        <v>4767</v>
      </c>
      <c r="J143" s="8" t="s">
        <v>4768</v>
      </c>
    </row>
    <row r="144" customFormat="false" ht="15" hidden="false" customHeight="false" outlineLevel="0" collapsed="false">
      <c r="A144" s="41" t="s">
        <v>4159</v>
      </c>
      <c r="B144" s="41" t="s">
        <v>52</v>
      </c>
      <c r="C144" s="41" t="s">
        <v>99</v>
      </c>
      <c r="D144" s="41" t="s">
        <v>4160</v>
      </c>
      <c r="E144" s="37" t="n">
        <f aca="false">COUNTIF('Watch Paths'!$A$2:$A$4220,A144)</f>
        <v>10</v>
      </c>
      <c r="F144" s="37" t="n">
        <f aca="false">COUNTIFS('Watch Paths'!$A$2:$A$4220,A144,'Watch Paths'!$M$2:$M$4220,1)</f>
        <v>1</v>
      </c>
      <c r="G144" s="38" t="n">
        <f aca="false">IF(E144=0,0,F144/E144)</f>
        <v>0.1</v>
      </c>
      <c r="H144" s="37" t="str">
        <f aca="false">IFERROR(INDEX('Watch Paths'!$G$2:$G$4220,MATCH(A144,'Watch Paths'!$N$2:$N$4220,0)),"✓ complete")</f>
        <v>Mad Max: Fury Road</v>
      </c>
      <c r="I144" s="8" t="s">
        <v>4769</v>
      </c>
      <c r="J144" s="8" t="s">
        <v>4770</v>
      </c>
    </row>
    <row r="145" customFormat="false" ht="15" hidden="false" customHeight="false" outlineLevel="0" collapsed="false">
      <c r="A145" s="41" t="s">
        <v>4161</v>
      </c>
      <c r="B145" s="41" t="s">
        <v>52</v>
      </c>
      <c r="C145" s="41" t="s">
        <v>100</v>
      </c>
      <c r="D145" s="41" t="s">
        <v>4162</v>
      </c>
      <c r="E145" s="37" t="n">
        <f aca="false">COUNTIF('Watch Paths'!$A$2:$A$4220,A145)</f>
        <v>11</v>
      </c>
      <c r="F145" s="37" t="n">
        <f aca="false">COUNTIFS('Watch Paths'!$A$2:$A$4220,A145,'Watch Paths'!$M$2:$M$4220,1)</f>
        <v>1</v>
      </c>
      <c r="G145" s="38" t="n">
        <f aca="false">IF(E145=0,0,F145/E145)</f>
        <v>0.0909090909090909</v>
      </c>
      <c r="H145" s="37" t="str">
        <f aca="false">IFERROR(INDEX('Watch Paths'!$G$2:$G$4220,MATCH(A145,'Watch Paths'!$N$2:$N$4220,0)),"✓ complete")</f>
        <v>Snow White and the Seven Dwarfs</v>
      </c>
      <c r="I145" s="8" t="s">
        <v>4771</v>
      </c>
      <c r="J145" s="8" t="s">
        <v>4772</v>
      </c>
    </row>
    <row r="146" customFormat="false" ht="23.85" hidden="false" customHeight="false" outlineLevel="0" collapsed="false">
      <c r="A146" s="41" t="s">
        <v>4163</v>
      </c>
      <c r="B146" s="41" t="s">
        <v>52</v>
      </c>
      <c r="C146" s="41" t="s">
        <v>100</v>
      </c>
      <c r="D146" s="41" t="s">
        <v>4164</v>
      </c>
      <c r="E146" s="37" t="n">
        <f aca="false">COUNTIF('Watch Paths'!$A$2:$A$4220,A146)</f>
        <v>16</v>
      </c>
      <c r="F146" s="37" t="n">
        <f aca="false">COUNTIFS('Watch Paths'!$A$2:$A$4220,A146,'Watch Paths'!$M$2:$M$4220,1)</f>
        <v>5</v>
      </c>
      <c r="G146" s="38" t="n">
        <f aca="false">IF(E146=0,0,F146/E146)</f>
        <v>0.3125</v>
      </c>
      <c r="H146" s="37" t="str">
        <f aca="false">IFERROR(INDEX('Watch Paths'!$G$2:$G$4220,MATCH(A146,'Watch Paths'!$N$2:$N$4220,0)),"✓ complete")</f>
        <v>King Kong</v>
      </c>
      <c r="I146" s="8" t="s">
        <v>4773</v>
      </c>
      <c r="J146" s="8" t="s">
        <v>4774</v>
      </c>
    </row>
    <row r="147" customFormat="false" ht="15" hidden="false" customHeight="false" outlineLevel="0" collapsed="false">
      <c r="A147" s="41" t="s">
        <v>4165</v>
      </c>
      <c r="B147" s="41" t="s">
        <v>52</v>
      </c>
      <c r="C147" s="41" t="s">
        <v>100</v>
      </c>
      <c r="D147" s="41" t="s">
        <v>4166</v>
      </c>
      <c r="E147" s="37" t="n">
        <f aca="false">COUNTIF('Watch Paths'!$A$2:$A$4220,A147)</f>
        <v>13</v>
      </c>
      <c r="F147" s="37" t="n">
        <f aca="false">COUNTIFS('Watch Paths'!$A$2:$A$4220,A147,'Watch Paths'!$M$2:$M$4220,1)</f>
        <v>2</v>
      </c>
      <c r="G147" s="38" t="n">
        <f aca="false">IF(E147=0,0,F147/E147)</f>
        <v>0.153846153846154</v>
      </c>
      <c r="H147" s="37" t="str">
        <f aca="false">IFERROR(INDEX('Watch Paths'!$G$2:$G$4220,MATCH(A147,'Watch Paths'!$N$2:$N$4220,0)),"✓ complete")</f>
        <v>Persepolis</v>
      </c>
      <c r="I147" s="8" t="s">
        <v>4775</v>
      </c>
      <c r="J147" s="8" t="s">
        <v>4776</v>
      </c>
    </row>
    <row r="148" customFormat="false" ht="15" hidden="false" customHeight="false" outlineLevel="0" collapsed="false">
      <c r="A148" s="41" t="s">
        <v>4167</v>
      </c>
      <c r="B148" s="41" t="s">
        <v>52</v>
      </c>
      <c r="C148" s="41" t="s">
        <v>100</v>
      </c>
      <c r="D148" s="41" t="s">
        <v>4168</v>
      </c>
      <c r="E148" s="37" t="n">
        <f aca="false">COUNTIF('Watch Paths'!$A$2:$A$4220,A148)</f>
        <v>11</v>
      </c>
      <c r="F148" s="37" t="n">
        <f aca="false">COUNTIFS('Watch Paths'!$A$2:$A$4220,A148,'Watch Paths'!$M$2:$M$4220,1)</f>
        <v>8</v>
      </c>
      <c r="G148" s="38" t="n">
        <f aca="false">IF(E148=0,0,F148/E148)</f>
        <v>0.727272727272727</v>
      </c>
      <c r="H148" s="37" t="str">
        <f aca="false">IFERROR(INDEX('Watch Paths'!$G$2:$G$4220,MATCH(A148,'Watch Paths'!$N$2:$N$4220,0)),"✓ complete")</f>
        <v>Finding Nemo</v>
      </c>
      <c r="I148" s="8" t="s">
        <v>4777</v>
      </c>
      <c r="J148" s="8" t="s">
        <v>4778</v>
      </c>
    </row>
    <row r="149" customFormat="false" ht="23.85" hidden="false" customHeight="false" outlineLevel="0" collapsed="false">
      <c r="A149" s="41" t="s">
        <v>4169</v>
      </c>
      <c r="B149" s="41" t="s">
        <v>52</v>
      </c>
      <c r="C149" s="41" t="s">
        <v>101</v>
      </c>
      <c r="D149" s="41" t="s">
        <v>4170</v>
      </c>
      <c r="E149" s="37" t="n">
        <f aca="false">COUNTIF('Watch Paths'!$A$2:$A$4220,A149)</f>
        <v>11</v>
      </c>
      <c r="F149" s="37" t="n">
        <f aca="false">COUNTIFS('Watch Paths'!$A$2:$A$4220,A149,'Watch Paths'!$M$2:$M$4220,1)</f>
        <v>1</v>
      </c>
      <c r="G149" s="38" t="n">
        <f aca="false">IF(E149=0,0,F149/E149)</f>
        <v>0.0909090909090909</v>
      </c>
      <c r="H149" s="37" t="str">
        <f aca="false">IFERROR(INDEX('Watch Paths'!$G$2:$G$4220,MATCH(A149,'Watch Paths'!$N$2:$N$4220,0)),"✓ complete")</f>
        <v>Nanook of the North</v>
      </c>
      <c r="I149" s="8" t="s">
        <v>4779</v>
      </c>
      <c r="J149" s="8" t="s">
        <v>4780</v>
      </c>
    </row>
    <row r="150" customFormat="false" ht="23.85" hidden="false" customHeight="false" outlineLevel="0" collapsed="false">
      <c r="A150" s="41" t="s">
        <v>4171</v>
      </c>
      <c r="B150" s="41" t="s">
        <v>52</v>
      </c>
      <c r="C150" s="41" t="s">
        <v>101</v>
      </c>
      <c r="D150" s="41" t="s">
        <v>4172</v>
      </c>
      <c r="E150" s="37" t="n">
        <f aca="false">COUNTIF('Watch Paths'!$A$2:$A$4220,A150)</f>
        <v>12</v>
      </c>
      <c r="F150" s="37" t="n">
        <f aca="false">COUNTIFS('Watch Paths'!$A$2:$A$4220,A150,'Watch Paths'!$M$2:$M$4220,1)</f>
        <v>0</v>
      </c>
      <c r="G150" s="38" t="n">
        <f aca="false">IF(E150=0,0,F150/E150)</f>
        <v>0</v>
      </c>
      <c r="H150" s="37" t="str">
        <f aca="false">IFERROR(INDEX('Watch Paths'!$G$2:$G$4220,MATCH(A150,'Watch Paths'!$N$2:$N$4220,0)),"✓ complete")</f>
        <v>Salesman</v>
      </c>
      <c r="I150" s="8" t="s">
        <v>4781</v>
      </c>
      <c r="J150" s="8" t="s">
        <v>4782</v>
      </c>
    </row>
    <row r="151" customFormat="false" ht="23.85" hidden="false" customHeight="false" outlineLevel="0" collapsed="false">
      <c r="A151" s="41" t="s">
        <v>4173</v>
      </c>
      <c r="B151" s="41" t="s">
        <v>52</v>
      </c>
      <c r="C151" s="41" t="s">
        <v>101</v>
      </c>
      <c r="D151" s="41" t="s">
        <v>4174</v>
      </c>
      <c r="E151" s="37" t="n">
        <f aca="false">COUNTIF('Watch Paths'!$A$2:$A$4220,A151)</f>
        <v>13</v>
      </c>
      <c r="F151" s="37" t="n">
        <f aca="false">COUNTIFS('Watch Paths'!$A$2:$A$4220,A151,'Watch Paths'!$M$2:$M$4220,1)</f>
        <v>1</v>
      </c>
      <c r="G151" s="38" t="n">
        <f aca="false">IF(E151=0,0,F151/E151)</f>
        <v>0.0769230769230769</v>
      </c>
      <c r="H151" s="37" t="str">
        <f aca="false">IFERROR(INDEX('Watch Paths'!$G$2:$G$4220,MATCH(A151,'Watch Paths'!$N$2:$N$4220,0)),"✓ complete")</f>
        <v>The Thin Blue Line</v>
      </c>
      <c r="I151" s="8" t="s">
        <v>4783</v>
      </c>
      <c r="J151" s="8" t="s">
        <v>4784</v>
      </c>
    </row>
    <row r="152" customFormat="false" ht="23.85" hidden="false" customHeight="false" outlineLevel="0" collapsed="false">
      <c r="A152" s="41" t="s">
        <v>4175</v>
      </c>
      <c r="B152" s="41" t="s">
        <v>52</v>
      </c>
      <c r="C152" s="41" t="s">
        <v>101</v>
      </c>
      <c r="D152" s="41" t="s">
        <v>4176</v>
      </c>
      <c r="E152" s="37" t="n">
        <f aca="false">COUNTIF('Watch Paths'!$A$2:$A$4220,A152)</f>
        <v>11</v>
      </c>
      <c r="F152" s="37" t="n">
        <f aca="false">COUNTIFS('Watch Paths'!$A$2:$A$4220,A152,'Watch Paths'!$M$2:$M$4220,1)</f>
        <v>0</v>
      </c>
      <c r="G152" s="38" t="n">
        <f aca="false">IF(E152=0,0,F152/E152)</f>
        <v>0</v>
      </c>
      <c r="H152" s="37" t="str">
        <f aca="false">IFERROR(INDEX('Watch Paths'!$G$2:$G$4220,MATCH(A152,'Watch Paths'!$N$2:$N$4220,0)),"✓ complete")</f>
        <v>Crumb</v>
      </c>
      <c r="I152" s="8" t="s">
        <v>4785</v>
      </c>
      <c r="J152" s="8" t="s">
        <v>4780</v>
      </c>
    </row>
    <row r="153" customFormat="false" ht="15" hidden="false" customHeight="false" outlineLevel="0" collapsed="false">
      <c r="A153" s="41" t="s">
        <v>4177</v>
      </c>
      <c r="B153" s="41" t="s">
        <v>52</v>
      </c>
      <c r="C153" s="41" t="s">
        <v>101</v>
      </c>
      <c r="D153" s="41" t="s">
        <v>4178</v>
      </c>
      <c r="E153" s="37" t="n">
        <f aca="false">COUNTIF('Watch Paths'!$A$2:$A$4220,A153)</f>
        <v>9</v>
      </c>
      <c r="F153" s="37" t="n">
        <f aca="false">COUNTIFS('Watch Paths'!$A$2:$A$4220,A153,'Watch Paths'!$M$2:$M$4220,1)</f>
        <v>0</v>
      </c>
      <c r="G153" s="38" t="n">
        <f aca="false">IF(E153=0,0,F153/E153)</f>
        <v>0</v>
      </c>
      <c r="H153" s="37" t="str">
        <f aca="false">IFERROR(INDEX('Watch Paths'!$G$2:$G$4220,MATCH(A153,'Watch Paths'!$N$2:$N$4220,0)),"✓ complete")</f>
        <v>Stop Making Sense</v>
      </c>
      <c r="I153" s="8" t="s">
        <v>4786</v>
      </c>
      <c r="J153" s="8" t="s">
        <v>4787</v>
      </c>
    </row>
    <row r="154" customFormat="false" ht="15" hidden="false" customHeight="false" outlineLevel="0" collapsed="false">
      <c r="A154" s="41" t="s">
        <v>4179</v>
      </c>
      <c r="B154" s="41" t="s">
        <v>52</v>
      </c>
      <c r="C154" s="41" t="s">
        <v>102</v>
      </c>
      <c r="D154" s="41" t="s">
        <v>4180</v>
      </c>
      <c r="E154" s="37" t="n">
        <f aca="false">COUNTIF('Watch Paths'!$A$2:$A$4220,A154)</f>
        <v>9</v>
      </c>
      <c r="F154" s="37" t="n">
        <f aca="false">COUNTIFS('Watch Paths'!$A$2:$A$4220,A154,'Watch Paths'!$M$2:$M$4220,1)</f>
        <v>0</v>
      </c>
      <c r="G154" s="38" t="n">
        <f aca="false">IF(E154=0,0,F154/E154)</f>
        <v>0</v>
      </c>
      <c r="H154" s="37" t="str">
        <f aca="false">IFERROR(INDEX('Watch Paths'!$G$2:$G$4220,MATCH(A154,'Watch Paths'!$N$2:$N$4220,0)),"✓ complete")</f>
        <v>Un Chien Andalou</v>
      </c>
      <c r="I154" s="8" t="s">
        <v>4788</v>
      </c>
      <c r="J154" s="8" t="s">
        <v>4789</v>
      </c>
    </row>
    <row r="155" customFormat="false" ht="15" hidden="false" customHeight="false" outlineLevel="0" collapsed="false">
      <c r="A155" s="41" t="s">
        <v>4181</v>
      </c>
      <c r="B155" s="41" t="s">
        <v>52</v>
      </c>
      <c r="C155" s="41" t="s">
        <v>102</v>
      </c>
      <c r="D155" s="41" t="s">
        <v>4182</v>
      </c>
      <c r="E155" s="37" t="n">
        <f aca="false">COUNTIF('Watch Paths'!$A$2:$A$4220,A155)</f>
        <v>13</v>
      </c>
      <c r="F155" s="37" t="n">
        <f aca="false">COUNTIFS('Watch Paths'!$A$2:$A$4220,A155,'Watch Paths'!$M$2:$M$4220,1)</f>
        <v>0</v>
      </c>
      <c r="G155" s="38" t="n">
        <f aca="false">IF(E155=0,0,F155/E155)</f>
        <v>0</v>
      </c>
      <c r="H155" s="37" t="str">
        <f aca="false">IFERROR(INDEX('Watch Paths'!$G$2:$G$4220,MATCH(A155,'Watch Paths'!$N$2:$N$4220,0)),"✓ complete")</f>
        <v>Meshes of the Afternoon</v>
      </c>
      <c r="I155" s="8" t="s">
        <v>4790</v>
      </c>
      <c r="J155" s="8" t="s">
        <v>4791</v>
      </c>
    </row>
    <row r="156" customFormat="false" ht="15" hidden="false" customHeight="false" outlineLevel="0" collapsed="false">
      <c r="A156" s="41" t="s">
        <v>4183</v>
      </c>
      <c r="B156" s="41" t="s">
        <v>52</v>
      </c>
      <c r="C156" s="41" t="s">
        <v>102</v>
      </c>
      <c r="D156" s="41" t="s">
        <v>4184</v>
      </c>
      <c r="E156" s="37" t="n">
        <f aca="false">COUNTIF('Watch Paths'!$A$2:$A$4220,A156)</f>
        <v>10</v>
      </c>
      <c r="F156" s="37" t="n">
        <f aca="false">COUNTIFS('Watch Paths'!$A$2:$A$4220,A156,'Watch Paths'!$M$2:$M$4220,1)</f>
        <v>1</v>
      </c>
      <c r="G156" s="38" t="n">
        <f aca="false">IF(E156=0,0,F156/E156)</f>
        <v>0.1</v>
      </c>
      <c r="H156" s="37" t="str">
        <f aca="false">IFERROR(INDEX('Watch Paths'!$G$2:$G$4220,MATCH(A156,'Watch Paths'!$N$2:$N$4220,0)),"✓ complete")</f>
        <v>Sans Soleil</v>
      </c>
      <c r="I156" s="8" t="s">
        <v>4792</v>
      </c>
      <c r="J156" s="8" t="s">
        <v>4793</v>
      </c>
    </row>
    <row r="157" customFormat="false" ht="23.85" hidden="false" customHeight="false" outlineLevel="0" collapsed="false">
      <c r="A157" s="42" t="s">
        <v>4185</v>
      </c>
      <c r="B157" s="42" t="s">
        <v>53</v>
      </c>
      <c r="C157" s="42" t="s">
        <v>103</v>
      </c>
      <c r="D157" s="42" t="s">
        <v>162</v>
      </c>
      <c r="E157" s="37" t="n">
        <f aca="false">COUNTIF('Watch Paths'!$A$2:$A$4220,A157)</f>
        <v>18</v>
      </c>
      <c r="F157" s="37" t="n">
        <f aca="false">COUNTIFS('Watch Paths'!$A$2:$A$4220,A157,'Watch Paths'!$M$2:$M$4220,1)</f>
        <v>3</v>
      </c>
      <c r="G157" s="38" t="n">
        <f aca="false">IF(E157=0,0,F157/E157)</f>
        <v>0.166666666666667</v>
      </c>
      <c r="H157" s="37" t="str">
        <f aca="false">IFERROR(INDEX('Watch Paths'!$G$2:$G$4220,MATCH(A157,'Watch Paths'!$N$2:$N$4220,0)),"✓ complete")</f>
        <v>Vertigo</v>
      </c>
      <c r="I157" s="8" t="s">
        <v>4794</v>
      </c>
      <c r="J157" s="8" t="s">
        <v>4795</v>
      </c>
    </row>
    <row r="158" customFormat="false" ht="23.85" hidden="false" customHeight="false" outlineLevel="0" collapsed="false">
      <c r="A158" s="42" t="s">
        <v>4186</v>
      </c>
      <c r="B158" s="42" t="s">
        <v>53</v>
      </c>
      <c r="C158" s="42" t="s">
        <v>103</v>
      </c>
      <c r="D158" s="42" t="s">
        <v>200</v>
      </c>
      <c r="E158" s="37" t="n">
        <f aca="false">COUNTIF('Watch Paths'!$A$2:$A$4220,A158)</f>
        <v>12</v>
      </c>
      <c r="F158" s="37" t="n">
        <f aca="false">COUNTIFS('Watch Paths'!$A$2:$A$4220,A158,'Watch Paths'!$M$2:$M$4220,1)</f>
        <v>2</v>
      </c>
      <c r="G158" s="38" t="n">
        <f aca="false">IF(E158=0,0,F158/E158)</f>
        <v>0.166666666666667</v>
      </c>
      <c r="H158" s="37" t="str">
        <f aca="false">IFERROR(INDEX('Watch Paths'!$G$2:$G$4220,MATCH(A158,'Watch Paths'!$N$2:$N$4220,0)),"✓ complete")</f>
        <v>The Apartment</v>
      </c>
      <c r="I158" s="8" t="s">
        <v>4796</v>
      </c>
      <c r="J158" s="8" t="s">
        <v>4797</v>
      </c>
    </row>
    <row r="159" customFormat="false" ht="15" hidden="false" customHeight="false" outlineLevel="0" collapsed="false">
      <c r="A159" s="42" t="s">
        <v>4187</v>
      </c>
      <c r="B159" s="42" t="s">
        <v>53</v>
      </c>
      <c r="C159" s="42" t="s">
        <v>103</v>
      </c>
      <c r="D159" s="42" t="s">
        <v>205</v>
      </c>
      <c r="E159" s="37" t="n">
        <f aca="false">COUNTIF('Watch Paths'!$A$2:$A$4220,A159)</f>
        <v>12</v>
      </c>
      <c r="F159" s="37" t="n">
        <f aca="false">COUNTIFS('Watch Paths'!$A$2:$A$4220,A159,'Watch Paths'!$M$2:$M$4220,1)</f>
        <v>1</v>
      </c>
      <c r="G159" s="38" t="n">
        <f aca="false">IF(E159=0,0,F159/E159)</f>
        <v>0.0833333333333333</v>
      </c>
      <c r="H159" s="37" t="str">
        <f aca="false">IFERROR(INDEX('Watch Paths'!$G$2:$G$4220,MATCH(A159,'Watch Paths'!$N$2:$N$4220,0)),"✓ complete")</f>
        <v>Stagecoach</v>
      </c>
      <c r="I159" s="8" t="s">
        <v>4798</v>
      </c>
      <c r="J159" s="8" t="s">
        <v>4799</v>
      </c>
    </row>
    <row r="160" customFormat="false" ht="15" hidden="false" customHeight="false" outlineLevel="0" collapsed="false">
      <c r="A160" s="42" t="s">
        <v>4188</v>
      </c>
      <c r="B160" s="42" t="s">
        <v>53</v>
      </c>
      <c r="C160" s="42" t="s">
        <v>103</v>
      </c>
      <c r="D160" s="42" t="s">
        <v>168</v>
      </c>
      <c r="E160" s="37" t="n">
        <f aca="false">COUNTIF('Watch Paths'!$A$2:$A$4220,A160)</f>
        <v>11</v>
      </c>
      <c r="F160" s="37" t="n">
        <f aca="false">COUNTIFS('Watch Paths'!$A$2:$A$4220,A160,'Watch Paths'!$M$2:$M$4220,1)</f>
        <v>2</v>
      </c>
      <c r="G160" s="38" t="n">
        <f aca="false">IF(E160=0,0,F160/E160)</f>
        <v>0.181818181818182</v>
      </c>
      <c r="H160" s="37" t="str">
        <f aca="false">IFERROR(INDEX('Watch Paths'!$G$2:$G$4220,MATCH(A160,'Watch Paths'!$N$2:$N$4220,0)),"✓ complete")</f>
        <v>Rio Bravo</v>
      </c>
      <c r="I160" s="8" t="s">
        <v>4800</v>
      </c>
      <c r="J160" s="8" t="s">
        <v>4801</v>
      </c>
    </row>
    <row r="161" customFormat="false" ht="15" hidden="false" customHeight="false" outlineLevel="0" collapsed="false">
      <c r="A161" s="42" t="s">
        <v>4189</v>
      </c>
      <c r="B161" s="42" t="s">
        <v>53</v>
      </c>
      <c r="C161" s="42" t="s">
        <v>103</v>
      </c>
      <c r="D161" s="42" t="s">
        <v>143</v>
      </c>
      <c r="E161" s="37" t="n">
        <f aca="false">COUNTIF('Watch Paths'!$A$2:$A$4220,A161)</f>
        <v>11</v>
      </c>
      <c r="F161" s="37" t="n">
        <f aca="false">COUNTIFS('Watch Paths'!$A$2:$A$4220,A161,'Watch Paths'!$M$2:$M$4220,1)</f>
        <v>2</v>
      </c>
      <c r="G161" s="38" t="n">
        <f aca="false">IF(E161=0,0,F161/E161)</f>
        <v>0.181818181818182</v>
      </c>
      <c r="H161" s="37" t="str">
        <f aca="false">IFERROR(INDEX('Watch Paths'!$G$2:$G$4220,MATCH(A161,'Watch Paths'!$N$2:$N$4220,0)),"✓ complete")</f>
        <v>Citizen Kane</v>
      </c>
      <c r="I161" s="8" t="s">
        <v>4802</v>
      </c>
      <c r="J161" s="8" t="s">
        <v>4803</v>
      </c>
    </row>
    <row r="162" customFormat="false" ht="23.85" hidden="false" customHeight="false" outlineLevel="0" collapsed="false">
      <c r="A162" s="42" t="s">
        <v>4190</v>
      </c>
      <c r="B162" s="42" t="s">
        <v>53</v>
      </c>
      <c r="C162" s="42" t="s">
        <v>103</v>
      </c>
      <c r="D162" s="42" t="s">
        <v>4191</v>
      </c>
      <c r="E162" s="37" t="n">
        <f aca="false">COUNTIF('Watch Paths'!$A$2:$A$4220,A162)</f>
        <v>12</v>
      </c>
      <c r="F162" s="37" t="n">
        <f aca="false">COUNTIFS('Watch Paths'!$A$2:$A$4220,A162,'Watch Paths'!$M$2:$M$4220,1)</f>
        <v>0</v>
      </c>
      <c r="G162" s="38" t="n">
        <f aca="false">IF(E162=0,0,F162/E162)</f>
        <v>0</v>
      </c>
      <c r="H162" s="37" t="str">
        <f aca="false">IFERROR(INDEX('Watch Paths'!$G$2:$G$4220,MATCH(A162,'Watch Paths'!$N$2:$N$4220,0)),"✓ complete")</f>
        <v>Trouble in Paradise</v>
      </c>
      <c r="I162" s="8" t="s">
        <v>4804</v>
      </c>
      <c r="J162" s="8" t="s">
        <v>4805</v>
      </c>
    </row>
    <row r="163" customFormat="false" ht="15" hidden="false" customHeight="false" outlineLevel="0" collapsed="false">
      <c r="A163" s="42" t="s">
        <v>4192</v>
      </c>
      <c r="B163" s="42" t="s">
        <v>53</v>
      </c>
      <c r="C163" s="42" t="s">
        <v>103</v>
      </c>
      <c r="D163" s="42" t="s">
        <v>176</v>
      </c>
      <c r="E163" s="37" t="n">
        <f aca="false">COUNTIF('Watch Paths'!$A$2:$A$4220,A163)</f>
        <v>8</v>
      </c>
      <c r="F163" s="37" t="n">
        <f aca="false">COUNTIFS('Watch Paths'!$A$2:$A$4220,A163,'Watch Paths'!$M$2:$M$4220,1)</f>
        <v>1</v>
      </c>
      <c r="G163" s="38" t="n">
        <f aca="false">IF(E163=0,0,F163/E163)</f>
        <v>0.125</v>
      </c>
      <c r="H163" s="37" t="str">
        <f aca="false">IFERROR(INDEX('Watch Paths'!$G$2:$G$4220,MATCH(A163,'Watch Paths'!$N$2:$N$4220,0)),"✓ complete")</f>
        <v>Mr. Smith Goes to Washington</v>
      </c>
      <c r="I163" s="8" t="s">
        <v>4806</v>
      </c>
      <c r="J163" s="8" t="s">
        <v>4807</v>
      </c>
    </row>
    <row r="164" customFormat="false" ht="23.85" hidden="false" customHeight="false" outlineLevel="0" collapsed="false">
      <c r="A164" s="42" t="s">
        <v>4193</v>
      </c>
      <c r="B164" s="42" t="s">
        <v>53</v>
      </c>
      <c r="C164" s="42" t="s">
        <v>103</v>
      </c>
      <c r="D164" s="42" t="s">
        <v>4194</v>
      </c>
      <c r="E164" s="37" t="n">
        <f aca="false">COUNTIF('Watch Paths'!$A$2:$A$4220,A164)</f>
        <v>11</v>
      </c>
      <c r="F164" s="37" t="n">
        <f aca="false">COUNTIFS('Watch Paths'!$A$2:$A$4220,A164,'Watch Paths'!$M$2:$M$4220,1)</f>
        <v>0</v>
      </c>
      <c r="G164" s="38" t="n">
        <f aca="false">IF(E164=0,0,F164/E164)</f>
        <v>0</v>
      </c>
      <c r="H164" s="37" t="str">
        <f aca="false">IFERROR(INDEX('Watch Paths'!$G$2:$G$4220,MATCH(A164,'Watch Paths'!$N$2:$N$4220,0)),"✓ complete")</f>
        <v>In a Lonely Place</v>
      </c>
      <c r="I164" s="8" t="s">
        <v>4808</v>
      </c>
      <c r="J164" s="8" t="s">
        <v>4809</v>
      </c>
    </row>
    <row r="165" customFormat="false" ht="15" hidden="false" customHeight="false" outlineLevel="0" collapsed="false">
      <c r="A165" s="42" t="s">
        <v>4195</v>
      </c>
      <c r="B165" s="42" t="s">
        <v>53</v>
      </c>
      <c r="C165" s="42" t="s">
        <v>104</v>
      </c>
      <c r="D165" s="42" t="s">
        <v>187</v>
      </c>
      <c r="E165" s="37" t="n">
        <f aca="false">COUNTIF('Watch Paths'!$A$2:$A$4220,A165)</f>
        <v>13</v>
      </c>
      <c r="F165" s="37" t="n">
        <f aca="false">COUNTIFS('Watch Paths'!$A$2:$A$4220,A165,'Watch Paths'!$M$2:$M$4220,1)</f>
        <v>11</v>
      </c>
      <c r="G165" s="38" t="n">
        <f aca="false">IF(E165=0,0,F165/E165)</f>
        <v>0.846153846153846</v>
      </c>
      <c r="H165" s="37" t="str">
        <f aca="false">IFERROR(INDEX('Watch Paths'!$G$2:$G$4220,MATCH(A165,'Watch Paths'!$N$2:$N$4220,0)),"✓ complete")</f>
        <v>Lolita</v>
      </c>
      <c r="I165" s="8" t="s">
        <v>4810</v>
      </c>
      <c r="J165" s="8" t="s">
        <v>4811</v>
      </c>
    </row>
    <row r="166" customFormat="false" ht="15" hidden="false" customHeight="false" outlineLevel="0" collapsed="false">
      <c r="A166" s="42" t="s">
        <v>4196</v>
      </c>
      <c r="B166" s="42" t="s">
        <v>53</v>
      </c>
      <c r="C166" s="42" t="s">
        <v>104</v>
      </c>
      <c r="D166" s="42" t="s">
        <v>164</v>
      </c>
      <c r="E166" s="37" t="n">
        <f aca="false">COUNTIF('Watch Paths'!$A$2:$A$4220,A166)</f>
        <v>18</v>
      </c>
      <c r="F166" s="37" t="n">
        <f aca="false">COUNTIFS('Watch Paths'!$A$2:$A$4220,A166,'Watch Paths'!$M$2:$M$4220,1)</f>
        <v>10</v>
      </c>
      <c r="G166" s="38" t="n">
        <f aca="false">IF(E166=0,0,F166/E166)</f>
        <v>0.555555555555556</v>
      </c>
      <c r="H166" s="37" t="str">
        <f aca="false">IFERROR(INDEX('Watch Paths'!$G$2:$G$4220,MATCH(A166,'Watch Paths'!$N$2:$N$4220,0)),"✓ complete")</f>
        <v>Alice Doesn't Live Here Anymore</v>
      </c>
      <c r="I166" s="8" t="s">
        <v>4812</v>
      </c>
      <c r="J166" s="8" t="s">
        <v>4813</v>
      </c>
    </row>
    <row r="167" customFormat="false" ht="15" hidden="false" customHeight="false" outlineLevel="0" collapsed="false">
      <c r="A167" s="42" t="s">
        <v>4197</v>
      </c>
      <c r="B167" s="42" t="s">
        <v>53</v>
      </c>
      <c r="C167" s="42" t="s">
        <v>104</v>
      </c>
      <c r="D167" s="42" t="s">
        <v>172</v>
      </c>
      <c r="E167" s="37" t="n">
        <f aca="false">COUNTIF('Watch Paths'!$A$2:$A$4220,A167)</f>
        <v>11</v>
      </c>
      <c r="F167" s="37" t="n">
        <f aca="false">COUNTIFS('Watch Paths'!$A$2:$A$4220,A167,'Watch Paths'!$M$2:$M$4220,1)</f>
        <v>7</v>
      </c>
      <c r="G167" s="38" t="n">
        <f aca="false">IF(E167=0,0,F167/E167)</f>
        <v>0.636363636363636</v>
      </c>
      <c r="H167" s="37" t="str">
        <f aca="false">IFERROR(INDEX('Watch Paths'!$G$2:$G$4220,MATCH(A167,'Watch Paths'!$N$2:$N$4220,0)),"✓ complete")</f>
        <v>The Godfather Part II</v>
      </c>
      <c r="I167" s="8" t="s">
        <v>4814</v>
      </c>
      <c r="J167" s="8" t="s">
        <v>4815</v>
      </c>
    </row>
    <row r="168" customFormat="false" ht="23.85" hidden="false" customHeight="false" outlineLevel="0" collapsed="false">
      <c r="A168" s="42" t="s">
        <v>4198</v>
      </c>
      <c r="B168" s="42" t="s">
        <v>53</v>
      </c>
      <c r="C168" s="42" t="s">
        <v>104</v>
      </c>
      <c r="D168" s="42" t="s">
        <v>197</v>
      </c>
      <c r="E168" s="37" t="n">
        <f aca="false">COUNTIF('Watch Paths'!$A$2:$A$4220,A168)</f>
        <v>12</v>
      </c>
      <c r="F168" s="37" t="n">
        <f aca="false">COUNTIFS('Watch Paths'!$A$2:$A$4220,A168,'Watch Paths'!$M$2:$M$4220,1)</f>
        <v>8</v>
      </c>
      <c r="G168" s="38" t="n">
        <f aca="false">IF(E168=0,0,F168/E168)</f>
        <v>0.666666666666667</v>
      </c>
      <c r="H168" s="37" t="str">
        <f aca="false">IFERROR(INDEX('Watch Paths'!$G$2:$G$4220,MATCH(A168,'Watch Paths'!$N$2:$N$4220,0)),"✓ complete")</f>
        <v>McCabe &amp; Mrs. Miller</v>
      </c>
      <c r="I168" s="8" t="s">
        <v>4816</v>
      </c>
      <c r="J168" s="8" t="s">
        <v>4817</v>
      </c>
    </row>
    <row r="169" customFormat="false" ht="23.85" hidden="false" customHeight="false" outlineLevel="0" collapsed="false">
      <c r="A169" s="42" t="s">
        <v>4199</v>
      </c>
      <c r="B169" s="42" t="s">
        <v>53</v>
      </c>
      <c r="C169" s="42" t="s">
        <v>104</v>
      </c>
      <c r="D169" s="42" t="s">
        <v>4200</v>
      </c>
      <c r="E169" s="37" t="n">
        <f aca="false">COUNTIF('Watch Paths'!$A$2:$A$4220,A169)</f>
        <v>10</v>
      </c>
      <c r="F169" s="37" t="n">
        <f aca="false">COUNTIFS('Watch Paths'!$A$2:$A$4220,A169,'Watch Paths'!$M$2:$M$4220,1)</f>
        <v>2</v>
      </c>
      <c r="G169" s="38" t="n">
        <f aca="false">IF(E169=0,0,F169/E169)</f>
        <v>0.2</v>
      </c>
      <c r="H169" s="37" t="str">
        <f aca="false">IFERROR(INDEX('Watch Paths'!$G$2:$G$4220,MATCH(A169,'Watch Paths'!$N$2:$N$4220,0)),"✓ complete")</f>
        <v>Harold and Maude</v>
      </c>
      <c r="I169" s="8" t="s">
        <v>4818</v>
      </c>
      <c r="J169" s="8" t="s">
        <v>4819</v>
      </c>
    </row>
    <row r="170" customFormat="false" ht="15" hidden="false" customHeight="false" outlineLevel="0" collapsed="false">
      <c r="A170" s="42" t="s">
        <v>4201</v>
      </c>
      <c r="B170" s="42" t="s">
        <v>53</v>
      </c>
      <c r="C170" s="42" t="s">
        <v>104</v>
      </c>
      <c r="D170" s="42" t="s">
        <v>189</v>
      </c>
      <c r="E170" s="37" t="n">
        <f aca="false">COUNTIF('Watch Paths'!$A$2:$A$4220,A170)</f>
        <v>13</v>
      </c>
      <c r="F170" s="37" t="n">
        <f aca="false">COUNTIFS('Watch Paths'!$A$2:$A$4220,A170,'Watch Paths'!$M$2:$M$4220,1)</f>
        <v>5</v>
      </c>
      <c r="G170" s="38" t="n">
        <f aca="false">IF(E170=0,0,F170/E170)</f>
        <v>0.384615384615385</v>
      </c>
      <c r="H170" s="37" t="str">
        <f aca="false">IFERROR(INDEX('Watch Paths'!$G$2:$G$4220,MATCH(A170,'Watch Paths'!$N$2:$N$4220,0)),"✓ complete")</f>
        <v>The Pawnbroker</v>
      </c>
      <c r="I170" s="8" t="s">
        <v>4820</v>
      </c>
      <c r="J170" s="8" t="s">
        <v>4821</v>
      </c>
    </row>
    <row r="171" customFormat="false" ht="15" hidden="false" customHeight="false" outlineLevel="0" collapsed="false">
      <c r="A171" s="42" t="s">
        <v>4202</v>
      </c>
      <c r="B171" s="42" t="s">
        <v>53</v>
      </c>
      <c r="C171" s="42" t="s">
        <v>104</v>
      </c>
      <c r="D171" s="42" t="s">
        <v>183</v>
      </c>
      <c r="E171" s="37" t="n">
        <f aca="false">COUNTIF('Watch Paths'!$A$2:$A$4220,A171)</f>
        <v>15</v>
      </c>
      <c r="F171" s="37" t="n">
        <f aca="false">COUNTIFS('Watch Paths'!$A$2:$A$4220,A171,'Watch Paths'!$M$2:$M$4220,1)</f>
        <v>8</v>
      </c>
      <c r="G171" s="38" t="n">
        <f aca="false">IF(E171=0,0,F171/E171)</f>
        <v>0.533333333333333</v>
      </c>
      <c r="H171" s="37" t="str">
        <f aca="false">IFERROR(INDEX('Watch Paths'!$G$2:$G$4220,MATCH(A171,'Watch Paths'!$N$2:$N$4220,0)),"✓ complete")</f>
        <v>Duel</v>
      </c>
      <c r="I171" s="8" t="s">
        <v>4822</v>
      </c>
      <c r="J171" s="8" t="s">
        <v>4823</v>
      </c>
    </row>
    <row r="172" customFormat="false" ht="15" hidden="false" customHeight="false" outlineLevel="0" collapsed="false">
      <c r="A172" s="42" t="s">
        <v>4203</v>
      </c>
      <c r="B172" s="42" t="s">
        <v>53</v>
      </c>
      <c r="C172" s="42" t="s">
        <v>104</v>
      </c>
      <c r="D172" s="42" t="s">
        <v>488</v>
      </c>
      <c r="E172" s="37" t="n">
        <f aca="false">COUNTIF('Watch Paths'!$A$2:$A$4220,A172)</f>
        <v>14</v>
      </c>
      <c r="F172" s="37" t="n">
        <f aca="false">COUNTIFS('Watch Paths'!$A$2:$A$4220,A172,'Watch Paths'!$M$2:$M$4220,1)</f>
        <v>2</v>
      </c>
      <c r="G172" s="38" t="n">
        <f aca="false">IF(E172=0,0,F172/E172)</f>
        <v>0.142857142857143</v>
      </c>
      <c r="H172" s="37" t="str">
        <f aca="false">IFERROR(INDEX('Watch Paths'!$G$2:$G$4220,MATCH(A172,'Watch Paths'!$N$2:$N$4220,0)),"✓ complete")</f>
        <v>Greetings</v>
      </c>
      <c r="I172" s="8" t="s">
        <v>4824</v>
      </c>
      <c r="J172" s="8" t="s">
        <v>4825</v>
      </c>
    </row>
    <row r="173" customFormat="false" ht="15" hidden="false" customHeight="false" outlineLevel="0" collapsed="false">
      <c r="A173" s="42" t="s">
        <v>4204</v>
      </c>
      <c r="B173" s="42" t="s">
        <v>53</v>
      </c>
      <c r="C173" s="42" t="s">
        <v>104</v>
      </c>
      <c r="D173" s="42" t="s">
        <v>266</v>
      </c>
      <c r="E173" s="37" t="n">
        <f aca="false">COUNTIF('Watch Paths'!$A$2:$A$4220,A173)</f>
        <v>12</v>
      </c>
      <c r="F173" s="37" t="n">
        <f aca="false">COUNTIFS('Watch Paths'!$A$2:$A$4220,A173,'Watch Paths'!$M$2:$M$4220,1)</f>
        <v>11</v>
      </c>
      <c r="G173" s="38" t="n">
        <f aca="false">IF(E173=0,0,F173/E173)</f>
        <v>0.916666666666667</v>
      </c>
      <c r="H173" s="37" t="str">
        <f aca="false">IFERROR(INDEX('Watch Paths'!$G$2:$G$4220,MATCH(A173,'Watch Paths'!$N$2:$N$4220,0)),"✓ complete")</f>
        <v>Christine</v>
      </c>
      <c r="I173" s="8" t="s">
        <v>4826</v>
      </c>
      <c r="J173" s="8" t="s">
        <v>4827</v>
      </c>
    </row>
    <row r="174" customFormat="false" ht="15" hidden="false" customHeight="false" outlineLevel="0" collapsed="false">
      <c r="A174" s="42" t="s">
        <v>4205</v>
      </c>
      <c r="B174" s="42" t="s">
        <v>53</v>
      </c>
      <c r="C174" s="42" t="s">
        <v>104</v>
      </c>
      <c r="D174" s="42" t="s">
        <v>154</v>
      </c>
      <c r="E174" s="37" t="n">
        <f aca="false">COUNTIF('Watch Paths'!$A$2:$A$4220,A174)</f>
        <v>11</v>
      </c>
      <c r="F174" s="37" t="n">
        <f aca="false">COUNTIFS('Watch Paths'!$A$2:$A$4220,A174,'Watch Paths'!$M$2:$M$4220,1)</f>
        <v>6</v>
      </c>
      <c r="G174" s="38" t="n">
        <f aca="false">IF(E174=0,0,F174/E174)</f>
        <v>0.545454545454545</v>
      </c>
      <c r="H174" s="37" t="str">
        <f aca="false">IFERROR(INDEX('Watch Paths'!$G$2:$G$4220,MATCH(A174,'Watch Paths'!$N$2:$N$4220,0)),"✓ complete")</f>
        <v>Wild at Heart</v>
      </c>
      <c r="I174" s="8" t="s">
        <v>4828</v>
      </c>
      <c r="J174" s="8" t="s">
        <v>4829</v>
      </c>
    </row>
    <row r="175" customFormat="false" ht="15" hidden="false" customHeight="false" outlineLevel="0" collapsed="false">
      <c r="A175" s="42" t="s">
        <v>4206</v>
      </c>
      <c r="B175" s="42" t="s">
        <v>53</v>
      </c>
      <c r="C175" s="42" t="s">
        <v>104</v>
      </c>
      <c r="D175" s="42" t="s">
        <v>316</v>
      </c>
      <c r="E175" s="37" t="n">
        <f aca="false">COUNTIF('Watch Paths'!$A$2:$A$4220,A175)</f>
        <v>13</v>
      </c>
      <c r="F175" s="37" t="n">
        <f aca="false">COUNTIFS('Watch Paths'!$A$2:$A$4220,A175,'Watch Paths'!$M$2:$M$4220,1)</f>
        <v>6</v>
      </c>
      <c r="G175" s="38" t="n">
        <f aca="false">IF(E175=0,0,F175/E175)</f>
        <v>0.461538461538462</v>
      </c>
      <c r="H175" s="37" t="str">
        <f aca="false">IFERROR(INDEX('Watch Paths'!$G$2:$G$4220,MATCH(A175,'Watch Paths'!$N$2:$N$4220,0)),"✓ complete")</f>
        <v>Shivers</v>
      </c>
      <c r="I175" s="8" t="s">
        <v>4830</v>
      </c>
      <c r="J175" s="8" t="s">
        <v>4831</v>
      </c>
    </row>
    <row r="176" customFormat="false" ht="15" hidden="false" customHeight="false" outlineLevel="0" collapsed="false">
      <c r="A176" s="42" t="s">
        <v>4207</v>
      </c>
      <c r="B176" s="42" t="s">
        <v>53</v>
      </c>
      <c r="C176" s="42" t="s">
        <v>104</v>
      </c>
      <c r="D176" s="42" t="s">
        <v>4208</v>
      </c>
      <c r="E176" s="37" t="n">
        <f aca="false">COUNTIF('Watch Paths'!$A$2:$A$4220,A176)</f>
        <v>16</v>
      </c>
      <c r="F176" s="37" t="n">
        <f aca="false">COUNTIFS('Watch Paths'!$A$2:$A$4220,A176,'Watch Paths'!$M$2:$M$4220,1)</f>
        <v>13</v>
      </c>
      <c r="G176" s="38" t="n">
        <f aca="false">IF(E176=0,0,F176/E176)</f>
        <v>0.8125</v>
      </c>
      <c r="H176" s="37" t="str">
        <f aca="false">IFERROR(INDEX('Watch Paths'!$G$2:$G$4220,MATCH(A176,'Watch Paths'!$N$2:$N$4220,0)),"✓ complete")</f>
        <v>The Man Who Wasn't There</v>
      </c>
      <c r="I176" s="8" t="s">
        <v>4832</v>
      </c>
      <c r="J176" s="8" t="s">
        <v>4833</v>
      </c>
    </row>
    <row r="177" customFormat="false" ht="15" hidden="false" customHeight="false" outlineLevel="0" collapsed="false">
      <c r="A177" s="42" t="s">
        <v>4209</v>
      </c>
      <c r="B177" s="42" t="s">
        <v>53</v>
      </c>
      <c r="C177" s="42" t="s">
        <v>104</v>
      </c>
      <c r="D177" s="42" t="s">
        <v>148</v>
      </c>
      <c r="E177" s="37" t="n">
        <f aca="false">COUNTIF('Watch Paths'!$A$2:$A$4220,A177)</f>
        <v>14</v>
      </c>
      <c r="F177" s="37" t="n">
        <f aca="false">COUNTIFS('Watch Paths'!$A$2:$A$4220,A177,'Watch Paths'!$M$2:$M$4220,1)</f>
        <v>2</v>
      </c>
      <c r="G177" s="38" t="n">
        <f aca="false">IF(E177=0,0,F177/E177)</f>
        <v>0.142857142857143</v>
      </c>
      <c r="H177" s="37" t="str">
        <f aca="false">IFERROR(INDEX('Watch Paths'!$G$2:$G$4220,MATCH(A177,'Watch Paths'!$N$2:$N$4220,0)),"✓ complete")</f>
        <v>Malcolm X</v>
      </c>
      <c r="I177" s="8" t="s">
        <v>4834</v>
      </c>
      <c r="J177" s="8" t="s">
        <v>4835</v>
      </c>
    </row>
    <row r="178" customFormat="false" ht="15" hidden="false" customHeight="false" outlineLevel="0" collapsed="false">
      <c r="A178" s="42" t="s">
        <v>4210</v>
      </c>
      <c r="B178" s="42" t="s">
        <v>53</v>
      </c>
      <c r="C178" s="42" t="s">
        <v>104</v>
      </c>
      <c r="D178" s="42" t="s">
        <v>615</v>
      </c>
      <c r="E178" s="37" t="n">
        <f aca="false">COUNTIF('Watch Paths'!$A$2:$A$4220,A178)</f>
        <v>11</v>
      </c>
      <c r="F178" s="37" t="n">
        <f aca="false">COUNTIFS('Watch Paths'!$A$2:$A$4220,A178,'Watch Paths'!$M$2:$M$4220,1)</f>
        <v>4</v>
      </c>
      <c r="G178" s="38" t="n">
        <f aca="false">IF(E178=0,0,F178/E178)</f>
        <v>0.363636363636364</v>
      </c>
      <c r="H178" s="37" t="str">
        <f aca="false">IFERROR(INDEX('Watch Paths'!$G$2:$G$4220,MATCH(A178,'Watch Paths'!$N$2:$N$4220,0)),"✓ complete")</f>
        <v>Stranger Than Paradise</v>
      </c>
      <c r="I178" s="8" t="s">
        <v>4836</v>
      </c>
      <c r="J178" s="8" t="s">
        <v>4837</v>
      </c>
    </row>
    <row r="179" customFormat="false" ht="15" hidden="false" customHeight="false" outlineLevel="0" collapsed="false">
      <c r="A179" s="42" t="s">
        <v>4211</v>
      </c>
      <c r="B179" s="42" t="s">
        <v>53</v>
      </c>
      <c r="C179" s="42" t="s">
        <v>104</v>
      </c>
      <c r="D179" s="42" t="s">
        <v>320</v>
      </c>
      <c r="E179" s="37" t="n">
        <f aca="false">COUNTIF('Watch Paths'!$A$2:$A$4220,A179)</f>
        <v>16</v>
      </c>
      <c r="F179" s="37" t="n">
        <f aca="false">COUNTIFS('Watch Paths'!$A$2:$A$4220,A179,'Watch Paths'!$M$2:$M$4220,1)</f>
        <v>8</v>
      </c>
      <c r="G179" s="38" t="n">
        <f aca="false">IF(E179=0,0,F179/E179)</f>
        <v>0.5</v>
      </c>
      <c r="H179" s="37" t="str">
        <f aca="false">IFERROR(INDEX('Watch Paths'!$G$2:$G$4220,MATCH(A179,'Watch Paths'!$N$2:$N$4220,0)),"✓ complete")</f>
        <v>Slacker</v>
      </c>
      <c r="I179" s="8" t="s">
        <v>4838</v>
      </c>
      <c r="J179" s="8" t="s">
        <v>4839</v>
      </c>
    </row>
    <row r="180" customFormat="false" ht="23.85" hidden="false" customHeight="false" outlineLevel="0" collapsed="false">
      <c r="A180" s="42" t="s">
        <v>4212</v>
      </c>
      <c r="B180" s="42" t="s">
        <v>53</v>
      </c>
      <c r="C180" s="42" t="s">
        <v>104</v>
      </c>
      <c r="D180" s="42" t="s">
        <v>490</v>
      </c>
      <c r="E180" s="37" t="n">
        <f aca="false">COUNTIF('Watch Paths'!$A$2:$A$4220,A180)</f>
        <v>14</v>
      </c>
      <c r="F180" s="37" t="n">
        <f aca="false">COUNTIFS('Watch Paths'!$A$2:$A$4220,A180,'Watch Paths'!$M$2:$M$4220,1)</f>
        <v>6</v>
      </c>
      <c r="G180" s="38" t="n">
        <f aca="false">IF(E180=0,0,F180/E180)</f>
        <v>0.428571428571429</v>
      </c>
      <c r="H180" s="37" t="str">
        <f aca="false">IFERROR(INDEX('Watch Paths'!$G$2:$G$4220,MATCH(A180,'Watch Paths'!$N$2:$N$4220,0)),"✓ complete")</f>
        <v>Out of Sight</v>
      </c>
      <c r="I180" s="8" t="s">
        <v>4840</v>
      </c>
      <c r="J180" s="8" t="s">
        <v>4841</v>
      </c>
    </row>
    <row r="181" customFormat="false" ht="23.85" hidden="false" customHeight="false" outlineLevel="0" collapsed="false">
      <c r="A181" s="42" t="s">
        <v>4213</v>
      </c>
      <c r="B181" s="42" t="s">
        <v>53</v>
      </c>
      <c r="C181" s="42" t="s">
        <v>104</v>
      </c>
      <c r="D181" s="42" t="s">
        <v>278</v>
      </c>
      <c r="E181" s="37" t="n">
        <f aca="false">COUNTIF('Watch Paths'!$A$2:$A$4220,A181)</f>
        <v>10</v>
      </c>
      <c r="F181" s="37" t="n">
        <f aca="false">COUNTIFS('Watch Paths'!$A$2:$A$4220,A181,'Watch Paths'!$M$2:$M$4220,1)</f>
        <v>10</v>
      </c>
      <c r="G181" s="38" t="n">
        <f aca="false">IF(E181=0,0,F181/E181)</f>
        <v>1</v>
      </c>
      <c r="H181" s="37" t="str">
        <f aca="false">IFERROR(INDEX('Watch Paths'!$G$2:$G$4220,MATCH(A181,'Watch Paths'!$N$2:$N$4220,0)),"✓ complete")</f>
        <v>✓ complete</v>
      </c>
      <c r="I181" s="8" t="s">
        <v>4842</v>
      </c>
      <c r="J181" s="8" t="s">
        <v>4843</v>
      </c>
    </row>
    <row r="182" customFormat="false" ht="23.85" hidden="false" customHeight="false" outlineLevel="0" collapsed="false">
      <c r="A182" s="42" t="s">
        <v>4214</v>
      </c>
      <c r="B182" s="42" t="s">
        <v>53</v>
      </c>
      <c r="C182" s="42" t="s">
        <v>104</v>
      </c>
      <c r="D182" s="42" t="s">
        <v>361</v>
      </c>
      <c r="E182" s="37" t="n">
        <f aca="false">COUNTIF('Watch Paths'!$A$2:$A$4220,A182)</f>
        <v>9</v>
      </c>
      <c r="F182" s="37" t="n">
        <f aca="false">COUNTIFS('Watch Paths'!$A$2:$A$4220,A182,'Watch Paths'!$M$2:$M$4220,1)</f>
        <v>4</v>
      </c>
      <c r="G182" s="38" t="n">
        <f aca="false">IF(E182=0,0,F182/E182)</f>
        <v>0.444444444444444</v>
      </c>
      <c r="H182" s="37" t="str">
        <f aca="false">IFERROR(INDEX('Watch Paths'!$G$2:$G$4220,MATCH(A182,'Watch Paths'!$N$2:$N$4220,0)),"✓ complete")</f>
        <v>The New World</v>
      </c>
      <c r="I182" s="8" t="s">
        <v>4844</v>
      </c>
      <c r="J182" s="8" t="s">
        <v>4845</v>
      </c>
    </row>
    <row r="183" customFormat="false" ht="23.85" hidden="false" customHeight="false" outlineLevel="0" collapsed="false">
      <c r="A183" s="42" t="s">
        <v>4215</v>
      </c>
      <c r="B183" s="42" t="s">
        <v>53</v>
      </c>
      <c r="C183" s="42" t="s">
        <v>104</v>
      </c>
      <c r="D183" s="42" t="s">
        <v>4216</v>
      </c>
      <c r="E183" s="37" t="n">
        <f aca="false">COUNTIF('Watch Paths'!$A$2:$A$4220,A183)</f>
        <v>8</v>
      </c>
      <c r="F183" s="37" t="n">
        <f aca="false">COUNTIFS('Watch Paths'!$A$2:$A$4220,A183,'Watch Paths'!$M$2:$M$4220,1)</f>
        <v>5</v>
      </c>
      <c r="G183" s="38" t="n">
        <f aca="false">IF(E183=0,0,F183/E183)</f>
        <v>0.625</v>
      </c>
      <c r="H183" s="37" t="str">
        <f aca="false">IFERROR(INDEX('Watch Paths'!$G$2:$G$4220,MATCH(A183,'Watch Paths'!$N$2:$N$4220,0)),"✓ complete")</f>
        <v>Confessions of a Dangerous Mind</v>
      </c>
      <c r="I183" s="8" t="s">
        <v>4846</v>
      </c>
      <c r="J183" s="8" t="s">
        <v>4847</v>
      </c>
    </row>
    <row r="184" customFormat="false" ht="15" hidden="false" customHeight="false" outlineLevel="0" collapsed="false">
      <c r="A184" s="42" t="s">
        <v>4217</v>
      </c>
      <c r="B184" s="42" t="s">
        <v>53</v>
      </c>
      <c r="C184" s="42" t="s">
        <v>104</v>
      </c>
      <c r="D184" s="42" t="s">
        <v>325</v>
      </c>
      <c r="E184" s="37" t="n">
        <f aca="false">COUNTIF('Watch Paths'!$A$2:$A$4220,A184)</f>
        <v>10</v>
      </c>
      <c r="F184" s="37" t="n">
        <f aca="false">COUNTIFS('Watch Paths'!$A$2:$A$4220,A184,'Watch Paths'!$M$2:$M$4220,1)</f>
        <v>5</v>
      </c>
      <c r="G184" s="38" t="n">
        <f aca="false">IF(E184=0,0,F184/E184)</f>
        <v>0.5</v>
      </c>
      <c r="H184" s="37" t="str">
        <f aca="false">IFERROR(INDEX('Watch Paths'!$G$2:$G$4220,MATCH(A184,'Watch Paths'!$N$2:$N$4220,0)),"✓ complete")</f>
        <v>Zodiac</v>
      </c>
      <c r="I184" s="8" t="s">
        <v>4848</v>
      </c>
      <c r="J184" s="8" t="s">
        <v>4849</v>
      </c>
    </row>
    <row r="185" customFormat="false" ht="15" hidden="false" customHeight="false" outlineLevel="0" collapsed="false">
      <c r="A185" s="42" t="s">
        <v>4218</v>
      </c>
      <c r="B185" s="42" t="s">
        <v>53</v>
      </c>
      <c r="C185" s="42" t="s">
        <v>104</v>
      </c>
      <c r="D185" s="42" t="s">
        <v>4219</v>
      </c>
      <c r="E185" s="37" t="n">
        <f aca="false">COUNTIF('Watch Paths'!$A$2:$A$4220,A185)</f>
        <v>10</v>
      </c>
      <c r="F185" s="37" t="n">
        <f aca="false">COUNTIFS('Watch Paths'!$A$2:$A$4220,A185,'Watch Paths'!$M$2:$M$4220,1)</f>
        <v>1</v>
      </c>
      <c r="G185" s="38" t="n">
        <f aca="false">IF(E185=0,0,F185/E185)</f>
        <v>0.1</v>
      </c>
      <c r="H185" s="37" t="str">
        <f aca="false">IFERROR(INDEX('Watch Paths'!$G$2:$G$4220,MATCH(A185,'Watch Paths'!$N$2:$N$4220,0)),"✓ complete")</f>
        <v>Wendy and Lucy</v>
      </c>
      <c r="I185" s="8" t="s">
        <v>4850</v>
      </c>
      <c r="J185" s="8" t="s">
        <v>4851</v>
      </c>
    </row>
    <row r="186" customFormat="false" ht="15" hidden="false" customHeight="false" outlineLevel="0" collapsed="false">
      <c r="A186" s="42" t="s">
        <v>4220</v>
      </c>
      <c r="B186" s="42" t="s">
        <v>53</v>
      </c>
      <c r="C186" s="42" t="s">
        <v>104</v>
      </c>
      <c r="D186" s="42" t="s">
        <v>274</v>
      </c>
      <c r="E186" s="37" t="n">
        <f aca="false">COUNTIF('Watch Paths'!$A$2:$A$4220,A186)</f>
        <v>11</v>
      </c>
      <c r="F186" s="37" t="n">
        <f aca="false">COUNTIFS('Watch Paths'!$A$2:$A$4220,A186,'Watch Paths'!$M$2:$M$4220,1)</f>
        <v>10</v>
      </c>
      <c r="G186" s="38" t="n">
        <f aca="false">IF(E186=0,0,F186/E186)</f>
        <v>0.909090909090909</v>
      </c>
      <c r="H186" s="37" t="str">
        <f aca="false">IFERROR(INDEX('Watch Paths'!$G$2:$G$4220,MATCH(A186,'Watch Paths'!$N$2:$N$4220,0)),"✓ complete")</f>
        <v>The French Dispatch</v>
      </c>
      <c r="I186" s="8" t="s">
        <v>4852</v>
      </c>
      <c r="J186" s="8" t="s">
        <v>4853</v>
      </c>
    </row>
    <row r="187" customFormat="false" ht="23.85" hidden="false" customHeight="false" outlineLevel="0" collapsed="false">
      <c r="A187" s="42" t="s">
        <v>4221</v>
      </c>
      <c r="B187" s="42" t="s">
        <v>53</v>
      </c>
      <c r="C187" s="42" t="s">
        <v>105</v>
      </c>
      <c r="D187" s="42" t="s">
        <v>170</v>
      </c>
      <c r="E187" s="37" t="n">
        <f aca="false">COUNTIF('Watch Paths'!$A$2:$A$4220,A187)</f>
        <v>16</v>
      </c>
      <c r="F187" s="37" t="n">
        <f aca="false">COUNTIFS('Watch Paths'!$A$2:$A$4220,A187,'Watch Paths'!$M$2:$M$4220,1)</f>
        <v>1</v>
      </c>
      <c r="G187" s="38" t="n">
        <f aca="false">IF(E187=0,0,F187/E187)</f>
        <v>0.0625</v>
      </c>
      <c r="H187" s="37" t="str">
        <f aca="false">IFERROR(INDEX('Watch Paths'!$G$2:$G$4220,MATCH(A187,'Watch Paths'!$N$2:$N$4220,0)),"✓ complete")</f>
        <v>Wild Strawberries</v>
      </c>
      <c r="I187" s="8" t="s">
        <v>4854</v>
      </c>
      <c r="J187" s="8" t="s">
        <v>4855</v>
      </c>
    </row>
    <row r="188" customFormat="false" ht="15" hidden="false" customHeight="false" outlineLevel="0" collapsed="false">
      <c r="A188" s="42" t="s">
        <v>4222</v>
      </c>
      <c r="B188" s="42" t="s">
        <v>53</v>
      </c>
      <c r="C188" s="42" t="s">
        <v>105</v>
      </c>
      <c r="D188" s="42" t="s">
        <v>179</v>
      </c>
      <c r="E188" s="37" t="n">
        <f aca="false">COUNTIF('Watch Paths'!$A$2:$A$4220,A188)</f>
        <v>9</v>
      </c>
      <c r="F188" s="37" t="n">
        <f aca="false">COUNTIFS('Watch Paths'!$A$2:$A$4220,A188,'Watch Paths'!$M$2:$M$4220,1)</f>
        <v>1</v>
      </c>
      <c r="G188" s="38" t="n">
        <f aca="false">IF(E188=0,0,F188/E188)</f>
        <v>0.111111111111111</v>
      </c>
      <c r="H188" s="37" t="str">
        <f aca="false">IFERROR(INDEX('Watch Paths'!$G$2:$G$4220,MATCH(A188,'Watch Paths'!$N$2:$N$4220,0)),"✓ complete")</f>
        <v>La Strada</v>
      </c>
      <c r="I188" s="8" t="s">
        <v>4856</v>
      </c>
      <c r="J188" s="8" t="s">
        <v>4857</v>
      </c>
    </row>
    <row r="189" customFormat="false" ht="15" hidden="false" customHeight="false" outlineLevel="0" collapsed="false">
      <c r="A189" s="42" t="s">
        <v>4223</v>
      </c>
      <c r="B189" s="42" t="s">
        <v>53</v>
      </c>
      <c r="C189" s="42" t="s">
        <v>105</v>
      </c>
      <c r="D189" s="42" t="s">
        <v>217</v>
      </c>
      <c r="E189" s="37" t="n">
        <f aca="false">COUNTIF('Watch Paths'!$A$2:$A$4220,A189)</f>
        <v>10</v>
      </c>
      <c r="F189" s="37" t="n">
        <f aca="false">COUNTIFS('Watch Paths'!$A$2:$A$4220,A189,'Watch Paths'!$M$2:$M$4220,1)</f>
        <v>0</v>
      </c>
      <c r="G189" s="38" t="n">
        <f aca="false">IF(E189=0,0,F189/E189)</f>
        <v>0</v>
      </c>
      <c r="H189" s="37" t="str">
        <f aca="false">IFERROR(INDEX('Watch Paths'!$G$2:$G$4220,MATCH(A189,'Watch Paths'!$N$2:$N$4220,0)),"✓ complete")</f>
        <v>L'Avventura</v>
      </c>
      <c r="I189" s="8" t="s">
        <v>4858</v>
      </c>
      <c r="J189" s="8" t="s">
        <v>4859</v>
      </c>
    </row>
    <row r="190" customFormat="false" ht="15" hidden="false" customHeight="false" outlineLevel="0" collapsed="false">
      <c r="A190" s="42" t="s">
        <v>4224</v>
      </c>
      <c r="B190" s="42" t="s">
        <v>53</v>
      </c>
      <c r="C190" s="42" t="s">
        <v>105</v>
      </c>
      <c r="D190" s="42" t="s">
        <v>152</v>
      </c>
      <c r="E190" s="37" t="n">
        <f aca="false">COUNTIF('Watch Paths'!$A$2:$A$4220,A190)</f>
        <v>12</v>
      </c>
      <c r="F190" s="37" t="n">
        <f aca="false">COUNTIFS('Watch Paths'!$A$2:$A$4220,A190,'Watch Paths'!$M$2:$M$4220,1)</f>
        <v>0</v>
      </c>
      <c r="G190" s="38" t="n">
        <f aca="false">IF(E190=0,0,F190/E190)</f>
        <v>0</v>
      </c>
      <c r="H190" s="37" t="str">
        <f aca="false">IFERROR(INDEX('Watch Paths'!$G$2:$G$4220,MATCH(A190,'Watch Paths'!$N$2:$N$4220,0)),"✓ complete")</f>
        <v>Breathless</v>
      </c>
      <c r="I190" s="8" t="s">
        <v>4860</v>
      </c>
      <c r="J190" s="8" t="s">
        <v>4861</v>
      </c>
    </row>
    <row r="191" customFormat="false" ht="15" hidden="false" customHeight="false" outlineLevel="0" collapsed="false">
      <c r="A191" s="42" t="s">
        <v>4225</v>
      </c>
      <c r="B191" s="42" t="s">
        <v>53</v>
      </c>
      <c r="C191" s="42" t="s">
        <v>105</v>
      </c>
      <c r="D191" s="42" t="s">
        <v>4226</v>
      </c>
      <c r="E191" s="37" t="n">
        <f aca="false">COUNTIF('Watch Paths'!$A$2:$A$4220,A191)</f>
        <v>15</v>
      </c>
      <c r="F191" s="37" t="n">
        <f aca="false">COUNTIFS('Watch Paths'!$A$2:$A$4220,A191,'Watch Paths'!$M$2:$M$4220,1)</f>
        <v>0</v>
      </c>
      <c r="G191" s="38" t="n">
        <f aca="false">IF(E191=0,0,F191/E191)</f>
        <v>0</v>
      </c>
      <c r="H191" s="37" t="str">
        <f aca="false">IFERROR(INDEX('Watch Paths'!$G$2:$G$4220,MATCH(A191,'Watch Paths'!$N$2:$N$4220,0)),"✓ complete")</f>
        <v>The 400 Blows</v>
      </c>
      <c r="I191" s="8" t="s">
        <v>4862</v>
      </c>
      <c r="J191" s="8" t="s">
        <v>4863</v>
      </c>
    </row>
    <row r="192" customFormat="false" ht="15" hidden="false" customHeight="false" outlineLevel="0" collapsed="false">
      <c r="A192" s="42" t="s">
        <v>4227</v>
      </c>
      <c r="B192" s="42" t="s">
        <v>53</v>
      </c>
      <c r="C192" s="42" t="s">
        <v>105</v>
      </c>
      <c r="D192" s="42" t="s">
        <v>158</v>
      </c>
      <c r="E192" s="37" t="n">
        <f aca="false">COUNTIF('Watch Paths'!$A$2:$A$4220,A192)</f>
        <v>10</v>
      </c>
      <c r="F192" s="37" t="n">
        <f aca="false">COUNTIFS('Watch Paths'!$A$2:$A$4220,A192,'Watch Paths'!$M$2:$M$4220,1)</f>
        <v>0</v>
      </c>
      <c r="G192" s="38" t="n">
        <f aca="false">IF(E192=0,0,F192/E192)</f>
        <v>0</v>
      </c>
      <c r="H192" s="37" t="str">
        <f aca="false">IFERROR(INDEX('Watch Paths'!$G$2:$G$4220,MATCH(A192,'Watch Paths'!$N$2:$N$4220,0)),"✓ complete")</f>
        <v>Cléo from 5 to 7</v>
      </c>
      <c r="I192" s="8" t="s">
        <v>4864</v>
      </c>
      <c r="J192" s="8" t="s">
        <v>4865</v>
      </c>
    </row>
    <row r="193" customFormat="false" ht="23.85" hidden="false" customHeight="false" outlineLevel="0" collapsed="false">
      <c r="A193" s="42" t="s">
        <v>4228</v>
      </c>
      <c r="B193" s="42" t="s">
        <v>53</v>
      </c>
      <c r="C193" s="42" t="s">
        <v>105</v>
      </c>
      <c r="D193" s="42" t="s">
        <v>215</v>
      </c>
      <c r="E193" s="37" t="n">
        <f aca="false">COUNTIF('Watch Paths'!$A$2:$A$4220,A193)</f>
        <v>9</v>
      </c>
      <c r="F193" s="37" t="n">
        <f aca="false">COUNTIFS('Watch Paths'!$A$2:$A$4220,A193,'Watch Paths'!$M$2:$M$4220,1)</f>
        <v>2</v>
      </c>
      <c r="G193" s="38" t="n">
        <f aca="false">IF(E193=0,0,F193/E193)</f>
        <v>0.222222222222222</v>
      </c>
      <c r="H193" s="37" t="str">
        <f aca="false">IFERROR(INDEX('Watch Paths'!$G$2:$G$4220,MATCH(A193,'Watch Paths'!$N$2:$N$4220,0)),"✓ complete")</f>
        <v>Diary of a Country Priest</v>
      </c>
      <c r="I193" s="8" t="s">
        <v>4866</v>
      </c>
      <c r="J193" s="8" t="s">
        <v>4867</v>
      </c>
    </row>
    <row r="194" customFormat="false" ht="15" hidden="false" customHeight="false" outlineLevel="0" collapsed="false">
      <c r="A194" s="42" t="s">
        <v>4229</v>
      </c>
      <c r="B194" s="42" t="s">
        <v>53</v>
      </c>
      <c r="C194" s="42" t="s">
        <v>105</v>
      </c>
      <c r="D194" s="42" t="s">
        <v>234</v>
      </c>
      <c r="E194" s="37" t="n">
        <f aca="false">COUNTIF('Watch Paths'!$A$2:$A$4220,A194)</f>
        <v>10</v>
      </c>
      <c r="F194" s="37" t="n">
        <f aca="false">COUNTIFS('Watch Paths'!$A$2:$A$4220,A194,'Watch Paths'!$M$2:$M$4220,1)</f>
        <v>0</v>
      </c>
      <c r="G194" s="38" t="n">
        <f aca="false">IF(E194=0,0,F194/E194)</f>
        <v>0</v>
      </c>
      <c r="H194" s="37" t="str">
        <f aca="false">IFERROR(INDEX('Watch Paths'!$G$2:$G$4220,MATCH(A194,'Watch Paths'!$N$2:$N$4220,0)),"✓ complete")</f>
        <v>The Rules of the Game</v>
      </c>
      <c r="I194" s="8" t="s">
        <v>4868</v>
      </c>
      <c r="J194" s="8" t="s">
        <v>4869</v>
      </c>
    </row>
    <row r="195" customFormat="false" ht="23.85" hidden="false" customHeight="false" outlineLevel="0" collapsed="false">
      <c r="A195" s="42" t="s">
        <v>4230</v>
      </c>
      <c r="B195" s="42" t="s">
        <v>53</v>
      </c>
      <c r="C195" s="42" t="s">
        <v>105</v>
      </c>
      <c r="D195" s="42" t="s">
        <v>210</v>
      </c>
      <c r="E195" s="37" t="n">
        <f aca="false">COUNTIF('Watch Paths'!$A$2:$A$4220,A195)</f>
        <v>7</v>
      </c>
      <c r="F195" s="37" t="n">
        <f aca="false">COUNTIFS('Watch Paths'!$A$2:$A$4220,A195,'Watch Paths'!$M$2:$M$4220,1)</f>
        <v>1</v>
      </c>
      <c r="G195" s="38" t="n">
        <f aca="false">IF(E195=0,0,F195/E195)</f>
        <v>0.142857142857143</v>
      </c>
      <c r="H195" s="37" t="str">
        <f aca="false">IFERROR(INDEX('Watch Paths'!$G$2:$G$4220,MATCH(A195,'Watch Paths'!$N$2:$N$4220,0)),"✓ complete")</f>
        <v>Ivan's Childhood</v>
      </c>
      <c r="I195" s="8" t="s">
        <v>4870</v>
      </c>
      <c r="J195" s="8" t="s">
        <v>4871</v>
      </c>
    </row>
    <row r="196" customFormat="false" ht="15" hidden="false" customHeight="false" outlineLevel="0" collapsed="false">
      <c r="A196" s="42" t="s">
        <v>4231</v>
      </c>
      <c r="B196" s="42" t="s">
        <v>53</v>
      </c>
      <c r="C196" s="42" t="s">
        <v>105</v>
      </c>
      <c r="D196" s="42" t="s">
        <v>1042</v>
      </c>
      <c r="E196" s="37" t="n">
        <f aca="false">COUNTIF('Watch Paths'!$A$2:$A$4220,A196)</f>
        <v>9</v>
      </c>
      <c r="F196" s="37" t="n">
        <f aca="false">COUNTIFS('Watch Paths'!$A$2:$A$4220,A196,'Watch Paths'!$M$2:$M$4220,1)</f>
        <v>0</v>
      </c>
      <c r="G196" s="38" t="n">
        <f aca="false">IF(E196=0,0,F196/E196)</f>
        <v>0</v>
      </c>
      <c r="H196" s="37" t="str">
        <f aca="false">IFERROR(INDEX('Watch Paths'!$G$2:$G$4220,MATCH(A196,'Watch Paths'!$N$2:$N$4220,0)),"✓ complete")</f>
        <v>Three Colors: Blue</v>
      </c>
      <c r="I196" s="8" t="s">
        <v>4872</v>
      </c>
      <c r="J196" s="8" t="s">
        <v>4873</v>
      </c>
    </row>
    <row r="197" customFormat="false" ht="15" hidden="false" customHeight="false" outlineLevel="0" collapsed="false">
      <c r="A197" s="42" t="s">
        <v>4232</v>
      </c>
      <c r="B197" s="42" t="s">
        <v>53</v>
      </c>
      <c r="C197" s="42" t="s">
        <v>105</v>
      </c>
      <c r="D197" s="42" t="s">
        <v>292</v>
      </c>
      <c r="E197" s="37" t="n">
        <f aca="false">COUNTIF('Watch Paths'!$A$2:$A$4220,A197)</f>
        <v>14</v>
      </c>
      <c r="F197" s="37" t="n">
        <f aca="false">COUNTIFS('Watch Paths'!$A$2:$A$4220,A197,'Watch Paths'!$M$2:$M$4220,1)</f>
        <v>1</v>
      </c>
      <c r="G197" s="38" t="n">
        <f aca="false">IF(E197=0,0,F197/E197)</f>
        <v>0.0714285714285714</v>
      </c>
      <c r="H197" s="37" t="str">
        <f aca="false">IFERROR(INDEX('Watch Paths'!$G$2:$G$4220,MATCH(A197,'Watch Paths'!$N$2:$N$4220,0)),"✓ complete")</f>
        <v>Aguirre, the Wrath of God</v>
      </c>
      <c r="I197" s="8" t="s">
        <v>4874</v>
      </c>
      <c r="J197" s="8" t="s">
        <v>4875</v>
      </c>
    </row>
    <row r="198" customFormat="false" ht="15" hidden="false" customHeight="false" outlineLevel="0" collapsed="false">
      <c r="A198" s="42" t="s">
        <v>4233</v>
      </c>
      <c r="B198" s="42" t="s">
        <v>53</v>
      </c>
      <c r="C198" s="42" t="s">
        <v>105</v>
      </c>
      <c r="D198" s="42" t="s">
        <v>312</v>
      </c>
      <c r="E198" s="37" t="n">
        <f aca="false">COUNTIF('Watch Paths'!$A$2:$A$4220,A198)</f>
        <v>11</v>
      </c>
      <c r="F198" s="37" t="n">
        <f aca="false">COUNTIFS('Watch Paths'!$A$2:$A$4220,A198,'Watch Paths'!$M$2:$M$4220,1)</f>
        <v>0</v>
      </c>
      <c r="G198" s="38" t="n">
        <f aca="false">IF(E198=0,0,F198/E198)</f>
        <v>0</v>
      </c>
      <c r="H198" s="37" t="str">
        <f aca="false">IFERROR(INDEX('Watch Paths'!$G$2:$G$4220,MATCH(A198,'Watch Paths'!$N$2:$N$4220,0)),"✓ complete")</f>
        <v>Ali: Fear Eats the Soul</v>
      </c>
      <c r="I198" s="8" t="s">
        <v>4876</v>
      </c>
      <c r="J198" s="8" t="s">
        <v>4877</v>
      </c>
    </row>
    <row r="199" customFormat="false" ht="15" hidden="false" customHeight="false" outlineLevel="0" collapsed="false">
      <c r="A199" s="42" t="s">
        <v>4234</v>
      </c>
      <c r="B199" s="42" t="s">
        <v>53</v>
      </c>
      <c r="C199" s="42" t="s">
        <v>105</v>
      </c>
      <c r="D199" s="42" t="s">
        <v>402</v>
      </c>
      <c r="E199" s="37" t="n">
        <f aca="false">COUNTIF('Watch Paths'!$A$2:$A$4220,A199)</f>
        <v>12</v>
      </c>
      <c r="F199" s="37" t="n">
        <f aca="false">COUNTIFS('Watch Paths'!$A$2:$A$4220,A199,'Watch Paths'!$M$2:$M$4220,1)</f>
        <v>0</v>
      </c>
      <c r="G199" s="38" t="n">
        <f aca="false">IF(E199=0,0,F199/E199)</f>
        <v>0</v>
      </c>
      <c r="H199" s="37" t="str">
        <f aca="false">IFERROR(INDEX('Watch Paths'!$G$2:$G$4220,MATCH(A199,'Watch Paths'!$N$2:$N$4220,0)),"✓ complete")</f>
        <v>The Discreet Charm of the Bourgeoisie</v>
      </c>
      <c r="I199" s="8" t="s">
        <v>4878</v>
      </c>
      <c r="J199" s="8" t="s">
        <v>4879</v>
      </c>
    </row>
    <row r="200" customFormat="false" ht="15" hidden="false" customHeight="false" outlineLevel="0" collapsed="false">
      <c r="A200" s="42" t="s">
        <v>4235</v>
      </c>
      <c r="B200" s="42" t="s">
        <v>53</v>
      </c>
      <c r="C200" s="42" t="s">
        <v>105</v>
      </c>
      <c r="D200" s="42" t="s">
        <v>1087</v>
      </c>
      <c r="E200" s="37" t="n">
        <f aca="false">COUNTIF('Watch Paths'!$A$2:$A$4220,A200)</f>
        <v>10</v>
      </c>
      <c r="F200" s="37" t="n">
        <f aca="false">COUNTIFS('Watch Paths'!$A$2:$A$4220,A200,'Watch Paths'!$M$2:$M$4220,1)</f>
        <v>0</v>
      </c>
      <c r="G200" s="38" t="n">
        <f aca="false">IF(E200=0,0,F200/E200)</f>
        <v>0</v>
      </c>
      <c r="H200" s="37" t="str">
        <f aca="false">IFERROR(INDEX('Watch Paths'!$G$2:$G$4220,MATCH(A200,'Watch Paths'!$N$2:$N$4220,0)),"✓ complete")</f>
        <v>All About My Mother</v>
      </c>
      <c r="I200" s="8" t="s">
        <v>4880</v>
      </c>
      <c r="J200" s="8" t="s">
        <v>4881</v>
      </c>
    </row>
    <row r="201" customFormat="false" ht="15" hidden="false" customHeight="false" outlineLevel="0" collapsed="false">
      <c r="A201" s="42" t="s">
        <v>4236</v>
      </c>
      <c r="B201" s="42" t="s">
        <v>53</v>
      </c>
      <c r="C201" s="42" t="s">
        <v>105</v>
      </c>
      <c r="D201" s="42" t="s">
        <v>185</v>
      </c>
      <c r="E201" s="37" t="n">
        <f aca="false">COUNTIF('Watch Paths'!$A$2:$A$4220,A201)</f>
        <v>11</v>
      </c>
      <c r="F201" s="37" t="n">
        <f aca="false">COUNTIFS('Watch Paths'!$A$2:$A$4220,A201,'Watch Paths'!$M$2:$M$4220,1)</f>
        <v>0</v>
      </c>
      <c r="G201" s="38" t="n">
        <f aca="false">IF(E201=0,0,F201/E201)</f>
        <v>0</v>
      </c>
      <c r="H201" s="37" t="str">
        <f aca="false">IFERROR(INDEX('Watch Paths'!$G$2:$G$4220,MATCH(A201,'Watch Paths'!$N$2:$N$4220,0)),"✓ complete")</f>
        <v>Jeanne Dielman, 23, quai du Commerce, 1080 Bruxelles</v>
      </c>
      <c r="I201" s="8" t="s">
        <v>4882</v>
      </c>
      <c r="J201" s="8" t="s">
        <v>4883</v>
      </c>
    </row>
    <row r="202" customFormat="false" ht="15" hidden="false" customHeight="false" outlineLevel="0" collapsed="false">
      <c r="A202" s="42" t="s">
        <v>4237</v>
      </c>
      <c r="B202" s="42" t="s">
        <v>53</v>
      </c>
      <c r="C202" s="42" t="s">
        <v>105</v>
      </c>
      <c r="D202" s="42" t="s">
        <v>262</v>
      </c>
      <c r="E202" s="37" t="n">
        <f aca="false">COUNTIF('Watch Paths'!$A$2:$A$4220,A202)</f>
        <v>11</v>
      </c>
      <c r="F202" s="37" t="n">
        <f aca="false">COUNTIFS('Watch Paths'!$A$2:$A$4220,A202,'Watch Paths'!$M$2:$M$4220,1)</f>
        <v>0</v>
      </c>
      <c r="G202" s="38" t="n">
        <f aca="false">IF(E202=0,0,F202/E202)</f>
        <v>0</v>
      </c>
      <c r="H202" s="37" t="str">
        <f aca="false">IFERROR(INDEX('Watch Paths'!$G$2:$G$4220,MATCH(A202,'Watch Paths'!$N$2:$N$4220,0)),"✓ complete")</f>
        <v>Beau Travail</v>
      </c>
      <c r="I202" s="8" t="s">
        <v>4884</v>
      </c>
      <c r="J202" s="8" t="s">
        <v>4885</v>
      </c>
    </row>
    <row r="203" customFormat="false" ht="23.85" hidden="false" customHeight="false" outlineLevel="0" collapsed="false">
      <c r="A203" s="42" t="s">
        <v>4238</v>
      </c>
      <c r="B203" s="42" t="s">
        <v>53</v>
      </c>
      <c r="C203" s="42" t="s">
        <v>105</v>
      </c>
      <c r="D203" s="42" t="s">
        <v>516</v>
      </c>
      <c r="E203" s="37" t="n">
        <f aca="false">COUNTIF('Watch Paths'!$A$2:$A$4220,A203)</f>
        <v>10</v>
      </c>
      <c r="F203" s="37" t="n">
        <f aca="false">COUNTIFS('Watch Paths'!$A$2:$A$4220,A203,'Watch Paths'!$M$2:$M$4220,1)</f>
        <v>1</v>
      </c>
      <c r="G203" s="38" t="n">
        <f aca="false">IF(E203=0,0,F203/E203)</f>
        <v>0.1</v>
      </c>
      <c r="H203" s="37" t="str">
        <f aca="false">IFERROR(INDEX('Watch Paths'!$G$2:$G$4220,MATCH(A203,'Watch Paths'!$N$2:$N$4220,0)),"✓ complete")</f>
        <v>Caché</v>
      </c>
      <c r="I203" s="8" t="s">
        <v>4886</v>
      </c>
      <c r="J203" s="8" t="s">
        <v>4887</v>
      </c>
    </row>
    <row r="204" customFormat="false" ht="15" hidden="false" customHeight="false" outlineLevel="0" collapsed="false">
      <c r="A204" s="42" t="s">
        <v>4239</v>
      </c>
      <c r="B204" s="42" t="s">
        <v>53</v>
      </c>
      <c r="C204" s="42" t="s">
        <v>105</v>
      </c>
      <c r="D204" s="42" t="s">
        <v>4240</v>
      </c>
      <c r="E204" s="37" t="n">
        <f aca="false">COUNTIF('Watch Paths'!$A$2:$A$4220,A204)</f>
        <v>11</v>
      </c>
      <c r="F204" s="37" t="n">
        <f aca="false">COUNTIFS('Watch Paths'!$A$2:$A$4220,A204,'Watch Paths'!$M$2:$M$4220,1)</f>
        <v>0</v>
      </c>
      <c r="G204" s="38" t="n">
        <f aca="false">IF(E204=0,0,F204/E204)</f>
        <v>0</v>
      </c>
      <c r="H204" s="37" t="str">
        <f aca="false">IFERROR(INDEX('Watch Paths'!$G$2:$G$4220,MATCH(A204,'Watch Paths'!$N$2:$N$4220,0)),"✓ complete")</f>
        <v>The Man Without a Past</v>
      </c>
      <c r="I204" s="8" t="s">
        <v>4888</v>
      </c>
      <c r="J204" s="8" t="s">
        <v>4889</v>
      </c>
    </row>
    <row r="205" customFormat="false" ht="15" hidden="false" customHeight="false" outlineLevel="0" collapsed="false">
      <c r="A205" s="42" t="s">
        <v>4241</v>
      </c>
      <c r="B205" s="42" t="s">
        <v>53</v>
      </c>
      <c r="C205" s="42" t="s">
        <v>105</v>
      </c>
      <c r="D205" s="42" t="s">
        <v>4242</v>
      </c>
      <c r="E205" s="37" t="n">
        <f aca="false">COUNTIF('Watch Paths'!$A$2:$A$4220,A205)</f>
        <v>8</v>
      </c>
      <c r="F205" s="37" t="n">
        <f aca="false">COUNTIFS('Watch Paths'!$A$2:$A$4220,A205,'Watch Paths'!$M$2:$M$4220,1)</f>
        <v>3</v>
      </c>
      <c r="G205" s="38" t="n">
        <f aca="false">IF(E205=0,0,F205/E205)</f>
        <v>0.375</v>
      </c>
      <c r="H205" s="37" t="str">
        <f aca="false">IFERROR(INDEX('Watch Paths'!$G$2:$G$4220,MATCH(A205,'Watch Paths'!$N$2:$N$4220,0)),"✓ complete")</f>
        <v>Attenberg</v>
      </c>
      <c r="I205" s="8" t="s">
        <v>4890</v>
      </c>
      <c r="J205" s="8" t="s">
        <v>4891</v>
      </c>
    </row>
    <row r="206" customFormat="false" ht="15" hidden="false" customHeight="false" outlineLevel="0" collapsed="false">
      <c r="A206" s="42" t="s">
        <v>4243</v>
      </c>
      <c r="B206" s="42" t="s">
        <v>53</v>
      </c>
      <c r="C206" s="42" t="s">
        <v>106</v>
      </c>
      <c r="D206" s="42" t="s">
        <v>156</v>
      </c>
      <c r="E206" s="37" t="n">
        <f aca="false">COUNTIF('Watch Paths'!$A$2:$A$4220,A206)</f>
        <v>16</v>
      </c>
      <c r="F206" s="37" t="n">
        <f aca="false">COUNTIFS('Watch Paths'!$A$2:$A$4220,A206,'Watch Paths'!$M$2:$M$4220,1)</f>
        <v>6</v>
      </c>
      <c r="G206" s="38" t="n">
        <f aca="false">IF(E206=0,0,F206/E206)</f>
        <v>0.375</v>
      </c>
      <c r="H206" s="37" t="str">
        <f aca="false">IFERROR(INDEX('Watch Paths'!$G$2:$G$4220,MATCH(A206,'Watch Paths'!$N$2:$N$4220,0)),"✓ complete")</f>
        <v>Seven Samurai</v>
      </c>
      <c r="I206" s="8" t="s">
        <v>4892</v>
      </c>
      <c r="J206" s="8" t="s">
        <v>4893</v>
      </c>
    </row>
    <row r="207" customFormat="false" ht="15" hidden="false" customHeight="false" outlineLevel="0" collapsed="false">
      <c r="A207" s="42" t="s">
        <v>4244</v>
      </c>
      <c r="B207" s="42" t="s">
        <v>53</v>
      </c>
      <c r="C207" s="42" t="s">
        <v>106</v>
      </c>
      <c r="D207" s="42" t="s">
        <v>146</v>
      </c>
      <c r="E207" s="37" t="n">
        <f aca="false">COUNTIF('Watch Paths'!$A$2:$A$4220,A207)</f>
        <v>11</v>
      </c>
      <c r="F207" s="37" t="n">
        <f aca="false">COUNTIFS('Watch Paths'!$A$2:$A$4220,A207,'Watch Paths'!$M$2:$M$4220,1)</f>
        <v>0</v>
      </c>
      <c r="G207" s="38" t="n">
        <f aca="false">IF(E207=0,0,F207/E207)</f>
        <v>0</v>
      </c>
      <c r="H207" s="37" t="str">
        <f aca="false">IFERROR(INDEX('Watch Paths'!$G$2:$G$4220,MATCH(A207,'Watch Paths'!$N$2:$N$4220,0)),"✓ complete")</f>
        <v>Tokyo Story</v>
      </c>
      <c r="I207" s="8" t="s">
        <v>4894</v>
      </c>
      <c r="J207" s="8" t="s">
        <v>4895</v>
      </c>
    </row>
    <row r="208" customFormat="false" ht="23.85" hidden="false" customHeight="false" outlineLevel="0" collapsed="false">
      <c r="A208" s="42" t="s">
        <v>4245</v>
      </c>
      <c r="B208" s="42" t="s">
        <v>53</v>
      </c>
      <c r="C208" s="42" t="s">
        <v>106</v>
      </c>
      <c r="D208" s="42" t="s">
        <v>4246</v>
      </c>
      <c r="E208" s="37" t="n">
        <f aca="false">COUNTIF('Watch Paths'!$A$2:$A$4220,A208)</f>
        <v>12</v>
      </c>
      <c r="F208" s="37" t="n">
        <f aca="false">COUNTIFS('Watch Paths'!$A$2:$A$4220,A208,'Watch Paths'!$M$2:$M$4220,1)</f>
        <v>0</v>
      </c>
      <c r="G208" s="38" t="n">
        <f aca="false">IF(E208=0,0,F208/E208)</f>
        <v>0</v>
      </c>
      <c r="H208" s="37" t="str">
        <f aca="false">IFERROR(INDEX('Watch Paths'!$G$2:$G$4220,MATCH(A208,'Watch Paths'!$N$2:$N$4220,0)),"✓ complete")</f>
        <v>Ugetsu</v>
      </c>
      <c r="I208" s="8" t="s">
        <v>4896</v>
      </c>
      <c r="J208" s="8" t="s">
        <v>4897</v>
      </c>
    </row>
    <row r="209" customFormat="false" ht="15" hidden="false" customHeight="false" outlineLevel="0" collapsed="false">
      <c r="A209" s="42" t="s">
        <v>4247</v>
      </c>
      <c r="B209" s="42" t="s">
        <v>53</v>
      </c>
      <c r="C209" s="42" t="s">
        <v>106</v>
      </c>
      <c r="D209" s="42" t="s">
        <v>4248</v>
      </c>
      <c r="E209" s="37" t="n">
        <f aca="false">COUNTIF('Watch Paths'!$A$2:$A$4220,A209)</f>
        <v>14</v>
      </c>
      <c r="F209" s="37" t="n">
        <f aca="false">COUNTIFS('Watch Paths'!$A$2:$A$4220,A209,'Watch Paths'!$M$2:$M$4220,1)</f>
        <v>0</v>
      </c>
      <c r="G209" s="38" t="n">
        <f aca="false">IF(E209=0,0,F209/E209)</f>
        <v>0</v>
      </c>
      <c r="H209" s="37" t="str">
        <f aca="false">IFERROR(INDEX('Watch Paths'!$G$2:$G$4220,MATCH(A209,'Watch Paths'!$N$2:$N$4220,0)),"✓ complete")</f>
        <v>Spirited Away</v>
      </c>
      <c r="I209" s="8" t="s">
        <v>4898</v>
      </c>
      <c r="J209" s="8" t="s">
        <v>4899</v>
      </c>
    </row>
    <row r="210" customFormat="false" ht="15" hidden="false" customHeight="false" outlineLevel="0" collapsed="false">
      <c r="A210" s="42" t="s">
        <v>4249</v>
      </c>
      <c r="B210" s="42" t="s">
        <v>53</v>
      </c>
      <c r="C210" s="42" t="s">
        <v>106</v>
      </c>
      <c r="D210" s="42" t="s">
        <v>193</v>
      </c>
      <c r="E210" s="37" t="n">
        <f aca="false">COUNTIF('Watch Paths'!$A$2:$A$4220,A210)</f>
        <v>10</v>
      </c>
      <c r="F210" s="37" t="n">
        <f aca="false">COUNTIFS('Watch Paths'!$A$2:$A$4220,A210,'Watch Paths'!$M$2:$M$4220,1)</f>
        <v>2</v>
      </c>
      <c r="G210" s="38" t="n">
        <f aca="false">IF(E210=0,0,F210/E210)</f>
        <v>0.2</v>
      </c>
      <c r="H210" s="37" t="str">
        <f aca="false">IFERROR(INDEX('Watch Paths'!$G$2:$G$4220,MATCH(A210,'Watch Paths'!$N$2:$N$4220,0)),"✓ complete")</f>
        <v>Chungking Express</v>
      </c>
      <c r="I210" s="8" t="s">
        <v>4900</v>
      </c>
      <c r="J210" s="8" t="s">
        <v>4901</v>
      </c>
    </row>
    <row r="211" customFormat="false" ht="15" hidden="false" customHeight="false" outlineLevel="0" collapsed="false">
      <c r="A211" s="42" t="s">
        <v>4250</v>
      </c>
      <c r="B211" s="42" t="s">
        <v>53</v>
      </c>
      <c r="C211" s="42" t="s">
        <v>106</v>
      </c>
      <c r="D211" s="42" t="s">
        <v>4251</v>
      </c>
      <c r="E211" s="37" t="n">
        <f aca="false">COUNTIF('Watch Paths'!$A$2:$A$4220,A211)</f>
        <v>14</v>
      </c>
      <c r="F211" s="37" t="n">
        <f aca="false">COUNTIFS('Watch Paths'!$A$2:$A$4220,A211,'Watch Paths'!$M$2:$M$4220,1)</f>
        <v>3</v>
      </c>
      <c r="G211" s="38" t="n">
        <f aca="false">IF(E211=0,0,F211/E211)</f>
        <v>0.214285714285714</v>
      </c>
      <c r="H211" s="37" t="str">
        <f aca="false">IFERROR(INDEX('Watch Paths'!$G$2:$G$4220,MATCH(A211,'Watch Paths'!$N$2:$N$4220,0)),"✓ complete")</f>
        <v>Memories of Murder</v>
      </c>
      <c r="I211" s="8" t="s">
        <v>4902</v>
      </c>
      <c r="J211" s="8" t="s">
        <v>4903</v>
      </c>
    </row>
    <row r="212" customFormat="false" ht="15" hidden="false" customHeight="false" outlineLevel="0" collapsed="false">
      <c r="A212" s="42" t="s">
        <v>4252</v>
      </c>
      <c r="B212" s="42" t="s">
        <v>53</v>
      </c>
      <c r="C212" s="42" t="s">
        <v>106</v>
      </c>
      <c r="D212" s="42" t="s">
        <v>1628</v>
      </c>
      <c r="E212" s="37" t="n">
        <f aca="false">COUNTIF('Watch Paths'!$A$2:$A$4220,A212)</f>
        <v>9</v>
      </c>
      <c r="F212" s="37" t="n">
        <f aca="false">COUNTIFS('Watch Paths'!$A$2:$A$4220,A212,'Watch Paths'!$M$2:$M$4220,1)</f>
        <v>0</v>
      </c>
      <c r="G212" s="38" t="n">
        <f aca="false">IF(E212=0,0,F212/E212)</f>
        <v>0</v>
      </c>
      <c r="H212" s="37" t="str">
        <f aca="false">IFERROR(INDEX('Watch Paths'!$G$2:$G$4220,MATCH(A212,'Watch Paths'!$N$2:$N$4220,0)),"✓ complete")</f>
        <v>Right Now, Wrong Then</v>
      </c>
      <c r="I212" s="8" t="s">
        <v>4904</v>
      </c>
      <c r="J212" s="8" t="s">
        <v>4905</v>
      </c>
    </row>
    <row r="213" customFormat="false" ht="15" hidden="false" customHeight="false" outlineLevel="0" collapsed="false">
      <c r="A213" s="42" t="s">
        <v>4253</v>
      </c>
      <c r="B213" s="42" t="s">
        <v>53</v>
      </c>
      <c r="C213" s="42" t="s">
        <v>106</v>
      </c>
      <c r="D213" s="42" t="s">
        <v>203</v>
      </c>
      <c r="E213" s="37" t="n">
        <f aca="false">COUNTIF('Watch Paths'!$A$2:$A$4220,A213)</f>
        <v>11</v>
      </c>
      <c r="F213" s="37" t="n">
        <f aca="false">COUNTIFS('Watch Paths'!$A$2:$A$4220,A213,'Watch Paths'!$M$2:$M$4220,1)</f>
        <v>1</v>
      </c>
      <c r="G213" s="38" t="n">
        <f aca="false">IF(E213=0,0,F213/E213)</f>
        <v>0.0909090909090909</v>
      </c>
      <c r="H213" s="37" t="str">
        <f aca="false">IFERROR(INDEX('Watch Paths'!$G$2:$G$4220,MATCH(A213,'Watch Paths'!$N$2:$N$4220,0)),"✓ complete")</f>
        <v>Close-Up</v>
      </c>
      <c r="I213" s="8" t="s">
        <v>4906</v>
      </c>
      <c r="J213" s="8" t="s">
        <v>4907</v>
      </c>
    </row>
    <row r="214" customFormat="false" ht="15" hidden="false" customHeight="false" outlineLevel="0" collapsed="false">
      <c r="A214" s="42" t="s">
        <v>4254</v>
      </c>
      <c r="B214" s="42" t="s">
        <v>53</v>
      </c>
      <c r="C214" s="42" t="s">
        <v>106</v>
      </c>
      <c r="D214" s="42" t="s">
        <v>4255</v>
      </c>
      <c r="E214" s="37" t="n">
        <f aca="false">COUNTIF('Watch Paths'!$A$2:$A$4220,A214)</f>
        <v>12</v>
      </c>
      <c r="F214" s="37" t="n">
        <f aca="false">COUNTIFS('Watch Paths'!$A$2:$A$4220,A214,'Watch Paths'!$M$2:$M$4220,1)</f>
        <v>0</v>
      </c>
      <c r="G214" s="38" t="n">
        <f aca="false">IF(E214=0,0,F214/E214)</f>
        <v>0</v>
      </c>
      <c r="H214" s="37" t="str">
        <f aca="false">IFERROR(INDEX('Watch Paths'!$G$2:$G$4220,MATCH(A214,'Watch Paths'!$N$2:$N$4220,0)),"✓ complete")</f>
        <v>Yi Yi</v>
      </c>
      <c r="I214" s="8" t="s">
        <v>4908</v>
      </c>
      <c r="J214" s="8" t="s">
        <v>4909</v>
      </c>
    </row>
    <row r="215" customFormat="false" ht="15" hidden="false" customHeight="false" outlineLevel="0" collapsed="false">
      <c r="A215" s="42" t="s">
        <v>4256</v>
      </c>
      <c r="B215" s="42" t="s">
        <v>53</v>
      </c>
      <c r="C215" s="42" t="s">
        <v>106</v>
      </c>
      <c r="D215" s="42" t="s">
        <v>253</v>
      </c>
      <c r="E215" s="37" t="n">
        <f aca="false">COUNTIF('Watch Paths'!$A$2:$A$4220,A215)</f>
        <v>13</v>
      </c>
      <c r="F215" s="37" t="n">
        <f aca="false">COUNTIFS('Watch Paths'!$A$2:$A$4220,A215,'Watch Paths'!$M$2:$M$4220,1)</f>
        <v>0</v>
      </c>
      <c r="G215" s="38" t="n">
        <f aca="false">IF(E215=0,0,F215/E215)</f>
        <v>0</v>
      </c>
      <c r="H215" s="37" t="str">
        <f aca="false">IFERROR(INDEX('Watch Paths'!$G$2:$G$4220,MATCH(A215,'Watch Paths'!$N$2:$N$4220,0)),"✓ complete")</f>
        <v>Pather Panchali</v>
      </c>
      <c r="I215" s="8" t="s">
        <v>4910</v>
      </c>
      <c r="J215" s="8" t="s">
        <v>4911</v>
      </c>
    </row>
    <row r="216" customFormat="false" ht="15" hidden="false" customHeight="false" outlineLevel="0" collapsed="false">
      <c r="A216" s="42" t="s">
        <v>4257</v>
      </c>
      <c r="B216" s="42" t="s">
        <v>53</v>
      </c>
      <c r="C216" s="42" t="s">
        <v>106</v>
      </c>
      <c r="D216" s="42" t="s">
        <v>4258</v>
      </c>
      <c r="E216" s="37" t="n">
        <f aca="false">COUNTIF('Watch Paths'!$A$2:$A$4220,A216)</f>
        <v>14</v>
      </c>
      <c r="F216" s="37" t="n">
        <f aca="false">COUNTIFS('Watch Paths'!$A$2:$A$4220,A216,'Watch Paths'!$M$2:$M$4220,1)</f>
        <v>0</v>
      </c>
      <c r="G216" s="38" t="n">
        <f aca="false">IF(E216=0,0,F216/E216)</f>
        <v>0</v>
      </c>
      <c r="H216" s="37" t="str">
        <f aca="false">IFERROR(INDEX('Watch Paths'!$G$2:$G$4220,MATCH(A216,'Watch Paths'!$N$2:$N$4220,0)),"✓ complete")</f>
        <v>Uncle Boonmee Who Can Recall His Past Lives</v>
      </c>
      <c r="I216" s="8" t="s">
        <v>4912</v>
      </c>
      <c r="J216" s="8" t="s">
        <v>4913</v>
      </c>
    </row>
    <row r="217" customFormat="false" ht="15" hidden="false" customHeight="false" outlineLevel="0" collapsed="false">
      <c r="A217" s="42" t="s">
        <v>4259</v>
      </c>
      <c r="B217" s="42" t="s">
        <v>53</v>
      </c>
      <c r="C217" s="42" t="s">
        <v>107</v>
      </c>
      <c r="D217" s="42" t="s">
        <v>395</v>
      </c>
      <c r="E217" s="37" t="n">
        <f aca="false">COUNTIF('Watch Paths'!$A$2:$A$4220,A217)</f>
        <v>6</v>
      </c>
      <c r="F217" s="37" t="n">
        <f aca="false">COUNTIFS('Watch Paths'!$A$2:$A$4220,A217,'Watch Paths'!$M$2:$M$4220,1)</f>
        <v>3</v>
      </c>
      <c r="G217" s="38" t="n">
        <f aca="false">IF(E217=0,0,F217/E217)</f>
        <v>0.5</v>
      </c>
      <c r="H217" s="37" t="str">
        <f aca="false">IFERROR(INDEX('Watch Paths'!$G$2:$G$4220,MATCH(A217,'Watch Paths'!$N$2:$N$4220,0)),"✓ complete")</f>
        <v>The Good, the Bad and the Ugly</v>
      </c>
      <c r="I217" s="8" t="s">
        <v>4914</v>
      </c>
      <c r="J217" s="8" t="s">
        <v>4915</v>
      </c>
    </row>
    <row r="218" customFormat="false" ht="15" hidden="false" customHeight="false" outlineLevel="0" collapsed="false">
      <c r="A218" s="42" t="s">
        <v>4260</v>
      </c>
      <c r="B218" s="42" t="s">
        <v>53</v>
      </c>
      <c r="C218" s="42" t="s">
        <v>107</v>
      </c>
      <c r="D218" s="42" t="s">
        <v>255</v>
      </c>
      <c r="E218" s="37" t="n">
        <f aca="false">COUNTIF('Watch Paths'!$A$2:$A$4220,A218)</f>
        <v>9</v>
      </c>
      <c r="F218" s="37" t="n">
        <f aca="false">COUNTIFS('Watch Paths'!$A$2:$A$4220,A218,'Watch Paths'!$M$2:$M$4220,1)</f>
        <v>0</v>
      </c>
      <c r="G218" s="38" t="n">
        <f aca="false">IF(E218=0,0,F218/E218)</f>
        <v>0</v>
      </c>
      <c r="H218" s="37" t="str">
        <f aca="false">IFERROR(INDEX('Watch Paths'!$G$2:$G$4220,MATCH(A218,'Watch Paths'!$N$2:$N$4220,0)),"✓ complete")</f>
        <v>Lawrence of Arabia</v>
      </c>
      <c r="I218" s="8" t="s">
        <v>4916</v>
      </c>
      <c r="J218" s="8" t="s">
        <v>4917</v>
      </c>
    </row>
    <row r="219" customFormat="false" ht="15" hidden="false" customHeight="false" outlineLevel="0" collapsed="false">
      <c r="A219" s="42" t="s">
        <v>4261</v>
      </c>
      <c r="B219" s="42" t="s">
        <v>53</v>
      </c>
      <c r="C219" s="42" t="s">
        <v>107</v>
      </c>
      <c r="D219" s="42" t="s">
        <v>4262</v>
      </c>
      <c r="E219" s="37" t="n">
        <f aca="false">COUNTIF('Watch Paths'!$A$2:$A$4220,A219)</f>
        <v>16</v>
      </c>
      <c r="F219" s="37" t="n">
        <f aca="false">COUNTIFS('Watch Paths'!$A$2:$A$4220,A219,'Watch Paths'!$M$2:$M$4220,1)</f>
        <v>9</v>
      </c>
      <c r="G219" s="38" t="n">
        <f aca="false">IF(E219=0,0,F219/E219)</f>
        <v>0.5625</v>
      </c>
      <c r="H219" s="37" t="str">
        <f aca="false">IFERROR(INDEX('Watch Paths'!$G$2:$G$4220,MATCH(A219,'Watch Paths'!$N$2:$N$4220,0)),"✓ complete")</f>
        <v>The Dark Knight</v>
      </c>
      <c r="I219" s="8" t="s">
        <v>4918</v>
      </c>
      <c r="J219" s="8" t="s">
        <v>4919</v>
      </c>
    </row>
    <row r="220" customFormat="false" ht="15" hidden="false" customHeight="false" outlineLevel="0" collapsed="false">
      <c r="A220" s="42" t="s">
        <v>4263</v>
      </c>
      <c r="B220" s="42" t="s">
        <v>53</v>
      </c>
      <c r="C220" s="42" t="s">
        <v>107</v>
      </c>
      <c r="D220" s="42" t="s">
        <v>208</v>
      </c>
      <c r="E220" s="37" t="n">
        <f aca="false">COUNTIF('Watch Paths'!$A$2:$A$4220,A220)</f>
        <v>10</v>
      </c>
      <c r="F220" s="37" t="n">
        <f aca="false">COUNTIFS('Watch Paths'!$A$2:$A$4220,A220,'Watch Paths'!$M$2:$M$4220,1)</f>
        <v>10</v>
      </c>
      <c r="G220" s="38" t="n">
        <f aca="false">IF(E220=0,0,F220/E220)</f>
        <v>1</v>
      </c>
      <c r="H220" s="37" t="str">
        <f aca="false">IFERROR(INDEX('Watch Paths'!$G$2:$G$4220,MATCH(A220,'Watch Paths'!$N$2:$N$4220,0)),"✓ complete")</f>
        <v>✓ complete</v>
      </c>
      <c r="I220" s="8" t="s">
        <v>4920</v>
      </c>
      <c r="J220" s="8" t="s">
        <v>4921</v>
      </c>
    </row>
    <row r="221" customFormat="false" ht="23.85" hidden="false" customHeight="false" outlineLevel="0" collapsed="false">
      <c r="A221" s="42" t="s">
        <v>4264</v>
      </c>
      <c r="B221" s="42" t="s">
        <v>53</v>
      </c>
      <c r="C221" s="42" t="s">
        <v>107</v>
      </c>
      <c r="D221" s="42" t="s">
        <v>4265</v>
      </c>
      <c r="E221" s="37" t="n">
        <f aca="false">COUNTIF('Watch Paths'!$A$2:$A$4220,A221)</f>
        <v>12</v>
      </c>
      <c r="F221" s="37" t="n">
        <f aca="false">COUNTIFS('Watch Paths'!$A$2:$A$4220,A221,'Watch Paths'!$M$2:$M$4220,1)</f>
        <v>3</v>
      </c>
      <c r="G221" s="38" t="n">
        <f aca="false">IF(E221=0,0,F221/E221)</f>
        <v>0.25</v>
      </c>
      <c r="H221" s="37" t="str">
        <f aca="false">IFERROR(INDEX('Watch Paths'!$G$2:$G$4220,MATCH(A221,'Watch Paths'!$N$2:$N$4220,0)),"✓ complete")</f>
        <v>Le Samouraï</v>
      </c>
      <c r="I221" s="8" t="s">
        <v>4922</v>
      </c>
      <c r="J221" s="8" t="s">
        <v>4923</v>
      </c>
    </row>
    <row r="222" customFormat="false" ht="15" hidden="false" customHeight="false" outlineLevel="0" collapsed="false">
      <c r="A222" s="42" t="s">
        <v>4266</v>
      </c>
      <c r="B222" s="42" t="s">
        <v>53</v>
      </c>
      <c r="C222" s="42" t="s">
        <v>107</v>
      </c>
      <c r="D222" s="42" t="s">
        <v>4267</v>
      </c>
      <c r="E222" s="37" t="n">
        <f aca="false">COUNTIF('Watch Paths'!$A$2:$A$4220,A222)</f>
        <v>12</v>
      </c>
      <c r="F222" s="37" t="n">
        <f aca="false">COUNTIFS('Watch Paths'!$A$2:$A$4220,A222,'Watch Paths'!$M$2:$M$4220,1)</f>
        <v>3</v>
      </c>
      <c r="G222" s="38" t="n">
        <f aca="false">IF(E222=0,0,F222/E222)</f>
        <v>0.25</v>
      </c>
      <c r="H222" s="37" t="str">
        <f aca="false">IFERROR(INDEX('Watch Paths'!$G$2:$G$4220,MATCH(A222,'Watch Paths'!$N$2:$N$4220,0)),"✓ complete")</f>
        <v>Who's Afraid of Virginia Woolf?</v>
      </c>
      <c r="I222" s="8" t="s">
        <v>4924</v>
      </c>
      <c r="J222" s="8" t="s">
        <v>4925</v>
      </c>
    </row>
    <row r="223" customFormat="false" ht="15" hidden="false" customHeight="false" outlineLevel="0" collapsed="false">
      <c r="A223" s="42" t="s">
        <v>4268</v>
      </c>
      <c r="B223" s="42" t="s">
        <v>53</v>
      </c>
      <c r="C223" s="42" t="s">
        <v>107</v>
      </c>
      <c r="D223" s="42" t="s">
        <v>801</v>
      </c>
      <c r="E223" s="37" t="n">
        <f aca="false">COUNTIF('Watch Paths'!$A$2:$A$4220,A223)</f>
        <v>9</v>
      </c>
      <c r="F223" s="37" t="n">
        <f aca="false">COUNTIFS('Watch Paths'!$A$2:$A$4220,A223,'Watch Paths'!$M$2:$M$4220,1)</f>
        <v>0</v>
      </c>
      <c r="G223" s="38" t="n">
        <f aca="false">IF(E223=0,0,F223/E223)</f>
        <v>0</v>
      </c>
      <c r="H223" s="37" t="str">
        <f aca="false">IFERROR(INDEX('Watch Paths'!$G$2:$G$4220,MATCH(A223,'Watch Paths'!$N$2:$N$4220,0)),"✓ complete")</f>
        <v>A Woman Under the Influence</v>
      </c>
      <c r="I223" s="8" t="s">
        <v>4926</v>
      </c>
      <c r="J223" s="8" t="s">
        <v>4927</v>
      </c>
    </row>
    <row r="224" customFormat="false" ht="15" hidden="false" customHeight="false" outlineLevel="0" collapsed="false">
      <c r="A224" s="43" t="s">
        <v>4269</v>
      </c>
      <c r="B224" s="43" t="s">
        <v>54</v>
      </c>
      <c r="C224" s="43" t="s">
        <v>108</v>
      </c>
      <c r="D224" s="43" t="s">
        <v>4270</v>
      </c>
      <c r="E224" s="37" t="n">
        <f aca="false">COUNTIF('Watch Paths'!$A$2:$A$4220,A224)</f>
        <v>10</v>
      </c>
      <c r="F224" s="37" t="n">
        <f aca="false">COUNTIFS('Watch Paths'!$A$2:$A$4220,A224,'Watch Paths'!$M$2:$M$4220,1)</f>
        <v>0</v>
      </c>
      <c r="G224" s="38" t="n">
        <f aca="false">IF(E224=0,0,F224/E224)</f>
        <v>0</v>
      </c>
      <c r="H224" s="37" t="str">
        <f aca="false">IFERROR(INDEX('Watch Paths'!$G$2:$G$4220,MATCH(A224,'Watch Paths'!$N$2:$N$4220,0)),"✓ complete")</f>
        <v>The Rules of the Game</v>
      </c>
      <c r="I224" s="8" t="s">
        <v>4928</v>
      </c>
      <c r="J224" s="8" t="s">
        <v>4929</v>
      </c>
    </row>
    <row r="225" customFormat="false" ht="15" hidden="false" customHeight="false" outlineLevel="0" collapsed="false">
      <c r="A225" s="43" t="s">
        <v>4271</v>
      </c>
      <c r="B225" s="43" t="s">
        <v>54</v>
      </c>
      <c r="C225" s="43" t="s">
        <v>108</v>
      </c>
      <c r="D225" s="43" t="s">
        <v>4272</v>
      </c>
      <c r="E225" s="37" t="n">
        <f aca="false">COUNTIF('Watch Paths'!$A$2:$A$4220,A225)</f>
        <v>8</v>
      </c>
      <c r="F225" s="37" t="n">
        <f aca="false">COUNTIFS('Watch Paths'!$A$2:$A$4220,A225,'Watch Paths'!$M$2:$M$4220,1)</f>
        <v>1</v>
      </c>
      <c r="G225" s="38" t="n">
        <f aca="false">IF(E225=0,0,F225/E225)</f>
        <v>0.125</v>
      </c>
      <c r="H225" s="37" t="str">
        <f aca="false">IFERROR(INDEX('Watch Paths'!$G$2:$G$4220,MATCH(A225,'Watch Paths'!$N$2:$N$4220,0)),"✓ complete")</f>
        <v>Battleship Potemkin</v>
      </c>
      <c r="I225" s="8" t="s">
        <v>4930</v>
      </c>
      <c r="J225" s="8" t="s">
        <v>4931</v>
      </c>
    </row>
    <row r="226" customFormat="false" ht="15" hidden="false" customHeight="false" outlineLevel="0" collapsed="false">
      <c r="A226" s="43" t="s">
        <v>4273</v>
      </c>
      <c r="B226" s="43" t="s">
        <v>54</v>
      </c>
      <c r="C226" s="43" t="s">
        <v>108</v>
      </c>
      <c r="D226" s="43" t="s">
        <v>4274</v>
      </c>
      <c r="E226" s="37" t="n">
        <f aca="false">COUNTIF('Watch Paths'!$A$2:$A$4220,A226)</f>
        <v>11</v>
      </c>
      <c r="F226" s="37" t="n">
        <f aca="false">COUNTIFS('Watch Paths'!$A$2:$A$4220,A226,'Watch Paths'!$M$2:$M$4220,1)</f>
        <v>0</v>
      </c>
      <c r="G226" s="38" t="n">
        <f aca="false">IF(E226=0,0,F226/E226)</f>
        <v>0</v>
      </c>
      <c r="H226" s="37" t="str">
        <f aca="false">IFERROR(INDEX('Watch Paths'!$G$2:$G$4220,MATCH(A226,'Watch Paths'!$N$2:$N$4220,0)),"✓ complete")</f>
        <v>Journey to Italy</v>
      </c>
      <c r="I226" s="8" t="s">
        <v>4932</v>
      </c>
      <c r="J226" s="8" t="s">
        <v>4933</v>
      </c>
    </row>
    <row r="227" customFormat="false" ht="23.85" hidden="false" customHeight="false" outlineLevel="0" collapsed="false">
      <c r="A227" s="43" t="s">
        <v>4275</v>
      </c>
      <c r="B227" s="43" t="s">
        <v>54</v>
      </c>
      <c r="C227" s="43" t="s">
        <v>108</v>
      </c>
      <c r="D227" s="43" t="s">
        <v>4276</v>
      </c>
      <c r="E227" s="37" t="n">
        <f aca="false">COUNTIF('Watch Paths'!$A$2:$A$4220,A227)</f>
        <v>13</v>
      </c>
      <c r="F227" s="37" t="n">
        <f aca="false">COUNTIFS('Watch Paths'!$A$2:$A$4220,A227,'Watch Paths'!$M$2:$M$4220,1)</f>
        <v>3</v>
      </c>
      <c r="G227" s="38" t="n">
        <f aca="false">IF(E227=0,0,F227/E227)</f>
        <v>0.230769230769231</v>
      </c>
      <c r="H227" s="37" t="str">
        <f aca="false">IFERROR(INDEX('Watch Paths'!$G$2:$G$4220,MATCH(A227,'Watch Paths'!$N$2:$N$4220,0)),"✓ complete")</f>
        <v>Tokyo Story</v>
      </c>
      <c r="I227" s="8" t="s">
        <v>4934</v>
      </c>
      <c r="J227" s="8" t="s">
        <v>4935</v>
      </c>
    </row>
    <row r="228" customFormat="false" ht="23.85" hidden="false" customHeight="false" outlineLevel="0" collapsed="false">
      <c r="A228" s="43" t="s">
        <v>4277</v>
      </c>
      <c r="B228" s="43" t="s">
        <v>54</v>
      </c>
      <c r="C228" s="43" t="s">
        <v>109</v>
      </c>
      <c r="D228" s="43" t="s">
        <v>4278</v>
      </c>
      <c r="E228" s="37" t="n">
        <f aca="false">COUNTIF('Watch Paths'!$A$2:$A$4220,A228)</f>
        <v>11</v>
      </c>
      <c r="F228" s="37" t="n">
        <f aca="false">COUNTIFS('Watch Paths'!$A$2:$A$4220,A228,'Watch Paths'!$M$2:$M$4220,1)</f>
        <v>1</v>
      </c>
      <c r="G228" s="38" t="n">
        <f aca="false">IF(E228=0,0,F228/E228)</f>
        <v>0.0909090909090909</v>
      </c>
      <c r="H228" s="37" t="str">
        <f aca="false">IFERROR(INDEX('Watch Paths'!$G$2:$G$4220,MATCH(A228,'Watch Paths'!$N$2:$N$4220,0)),"✓ complete")</f>
        <v>Vertigo</v>
      </c>
      <c r="I228" s="8" t="s">
        <v>4936</v>
      </c>
      <c r="J228" s="8" t="s">
        <v>4937</v>
      </c>
    </row>
    <row r="229" customFormat="false" ht="23.85" hidden="false" customHeight="false" outlineLevel="0" collapsed="false">
      <c r="A229" s="43" t="s">
        <v>4279</v>
      </c>
      <c r="B229" s="43" t="s">
        <v>54</v>
      </c>
      <c r="C229" s="43" t="s">
        <v>109</v>
      </c>
      <c r="D229" s="43" t="s">
        <v>4280</v>
      </c>
      <c r="E229" s="37" t="n">
        <f aca="false">COUNTIF('Watch Paths'!$A$2:$A$4220,A229)</f>
        <v>20</v>
      </c>
      <c r="F229" s="37" t="n">
        <f aca="false">COUNTIFS('Watch Paths'!$A$2:$A$4220,A229,'Watch Paths'!$M$2:$M$4220,1)</f>
        <v>1</v>
      </c>
      <c r="G229" s="38" t="n">
        <f aca="false">IF(E229=0,0,F229/E229)</f>
        <v>0.05</v>
      </c>
      <c r="H229" s="37" t="str">
        <f aca="false">IFERROR(INDEX('Watch Paths'!$G$2:$G$4220,MATCH(A229,'Watch Paths'!$N$2:$N$4220,0)),"✓ complete")</f>
        <v>Cléo from 5 to 7</v>
      </c>
      <c r="I229" s="8" t="s">
        <v>4938</v>
      </c>
      <c r="J229" s="8" t="s">
        <v>4939</v>
      </c>
    </row>
    <row r="230" customFormat="false" ht="23.85" hidden="false" customHeight="false" outlineLevel="0" collapsed="false">
      <c r="A230" s="43" t="s">
        <v>4281</v>
      </c>
      <c r="B230" s="43" t="s">
        <v>54</v>
      </c>
      <c r="C230" s="43" t="s">
        <v>109</v>
      </c>
      <c r="D230" s="43" t="s">
        <v>4282</v>
      </c>
      <c r="E230" s="37" t="n">
        <f aca="false">COUNTIF('Watch Paths'!$A$2:$A$4220,A230)</f>
        <v>12</v>
      </c>
      <c r="F230" s="37" t="n">
        <f aca="false">COUNTIFS('Watch Paths'!$A$2:$A$4220,A230,'Watch Paths'!$M$2:$M$4220,1)</f>
        <v>6</v>
      </c>
      <c r="G230" s="38" t="n">
        <f aca="false">IF(E230=0,0,F230/E230)</f>
        <v>0.5</v>
      </c>
      <c r="H230" s="37" t="str">
        <f aca="false">IFERROR(INDEX('Watch Paths'!$G$2:$G$4220,MATCH(A230,'Watch Paths'!$N$2:$N$4220,0)),"✓ complete")</f>
        <v>The Texas Chain Saw Massacre</v>
      </c>
      <c r="I230" s="8" t="s">
        <v>4940</v>
      </c>
      <c r="J230" s="8" t="s">
        <v>4941</v>
      </c>
    </row>
    <row r="231" customFormat="false" ht="23.85" hidden="false" customHeight="false" outlineLevel="0" collapsed="false">
      <c r="A231" s="43" t="s">
        <v>4283</v>
      </c>
      <c r="B231" s="43" t="s">
        <v>54</v>
      </c>
      <c r="C231" s="43" t="s">
        <v>110</v>
      </c>
      <c r="D231" s="43" t="s">
        <v>4284</v>
      </c>
      <c r="E231" s="37" t="n">
        <f aca="false">COUNTIF('Watch Paths'!$A$2:$A$4220,A231)</f>
        <v>9</v>
      </c>
      <c r="F231" s="37" t="n">
        <f aca="false">COUNTIFS('Watch Paths'!$A$2:$A$4220,A231,'Watch Paths'!$M$2:$M$4220,1)</f>
        <v>0</v>
      </c>
      <c r="G231" s="38" t="n">
        <f aca="false">IF(E231=0,0,F231/E231)</f>
        <v>0</v>
      </c>
      <c r="H231" s="37" t="str">
        <f aca="false">IFERROR(INDEX('Watch Paths'!$G$2:$G$4220,MATCH(A231,'Watch Paths'!$N$2:$N$4220,0)),"✓ complete")</f>
        <v>Within Our Gates</v>
      </c>
      <c r="I231" s="8" t="s">
        <v>4942</v>
      </c>
      <c r="J231" s="8" t="s">
        <v>4943</v>
      </c>
    </row>
    <row r="232" customFormat="false" ht="23.85" hidden="false" customHeight="false" outlineLevel="0" collapsed="false">
      <c r="A232" s="43" t="s">
        <v>4285</v>
      </c>
      <c r="B232" s="43" t="s">
        <v>54</v>
      </c>
      <c r="C232" s="43" t="s">
        <v>110</v>
      </c>
      <c r="D232" s="43" t="s">
        <v>4286</v>
      </c>
      <c r="E232" s="37" t="n">
        <f aca="false">COUNTIF('Watch Paths'!$A$2:$A$4220,A232)</f>
        <v>10</v>
      </c>
      <c r="F232" s="37" t="n">
        <f aca="false">COUNTIFS('Watch Paths'!$A$2:$A$4220,A232,'Watch Paths'!$M$2:$M$4220,1)</f>
        <v>0</v>
      </c>
      <c r="G232" s="38" t="n">
        <f aca="false">IF(E232=0,0,F232/E232)</f>
        <v>0</v>
      </c>
      <c r="H232" s="37" t="str">
        <f aca="false">IFERROR(INDEX('Watch Paths'!$G$2:$G$4220,MATCH(A232,'Watch Paths'!$N$2:$N$4220,0)),"✓ complete")</f>
        <v>Killer of Sheep</v>
      </c>
      <c r="I232" s="8" t="s">
        <v>4944</v>
      </c>
      <c r="J232" s="8" t="s">
        <v>4945</v>
      </c>
    </row>
    <row r="233" customFormat="false" ht="23.85" hidden="false" customHeight="false" outlineLevel="0" collapsed="false">
      <c r="A233" s="43" t="s">
        <v>4287</v>
      </c>
      <c r="B233" s="43" t="s">
        <v>54</v>
      </c>
      <c r="C233" s="43" t="s">
        <v>110</v>
      </c>
      <c r="D233" s="43" t="s">
        <v>4288</v>
      </c>
      <c r="E233" s="37" t="n">
        <f aca="false">COUNTIF('Watch Paths'!$A$2:$A$4220,A233)</f>
        <v>12</v>
      </c>
      <c r="F233" s="37" t="n">
        <f aca="false">COUNTIFS('Watch Paths'!$A$2:$A$4220,A233,'Watch Paths'!$M$2:$M$4220,1)</f>
        <v>1</v>
      </c>
      <c r="G233" s="38" t="n">
        <f aca="false">IF(E233=0,0,F233/E233)</f>
        <v>0.0833333333333333</v>
      </c>
      <c r="H233" s="37" t="str">
        <f aca="false">IFERROR(INDEX('Watch Paths'!$G$2:$G$4220,MATCH(A233,'Watch Paths'!$N$2:$N$4220,0)),"✓ complete")</f>
        <v>Sweet Sweetback's Baadasssss Song</v>
      </c>
      <c r="I233" s="8" t="s">
        <v>4946</v>
      </c>
      <c r="J233" s="8" t="s">
        <v>4947</v>
      </c>
    </row>
    <row r="234" customFormat="false" ht="15" hidden="false" customHeight="false" outlineLevel="0" collapsed="false">
      <c r="A234" s="43" t="s">
        <v>4289</v>
      </c>
      <c r="B234" s="43" t="s">
        <v>54</v>
      </c>
      <c r="C234" s="43" t="s">
        <v>110</v>
      </c>
      <c r="D234" s="43" t="s">
        <v>4290</v>
      </c>
      <c r="E234" s="37" t="n">
        <f aca="false">COUNTIF('Watch Paths'!$A$2:$A$4220,A234)</f>
        <v>16</v>
      </c>
      <c r="F234" s="37" t="n">
        <f aca="false">COUNTIFS('Watch Paths'!$A$2:$A$4220,A234,'Watch Paths'!$M$2:$M$4220,1)</f>
        <v>5</v>
      </c>
      <c r="G234" s="38" t="n">
        <f aca="false">IF(E234=0,0,F234/E234)</f>
        <v>0.3125</v>
      </c>
      <c r="H234" s="37" t="str">
        <f aca="false">IFERROR(INDEX('Watch Paths'!$G$2:$G$4220,MATCH(A234,'Watch Paths'!$N$2:$N$4220,0)),"✓ complete")</f>
        <v>Hollywood Shuffle</v>
      </c>
      <c r="I234" s="8" t="s">
        <v>4948</v>
      </c>
      <c r="J234" s="8" t="s">
        <v>4949</v>
      </c>
    </row>
    <row r="235" customFormat="false" ht="15" hidden="false" customHeight="false" outlineLevel="0" collapsed="false">
      <c r="A235" s="43" t="s">
        <v>4291</v>
      </c>
      <c r="B235" s="43" t="s">
        <v>54</v>
      </c>
      <c r="C235" s="43" t="s">
        <v>110</v>
      </c>
      <c r="D235" s="43" t="s">
        <v>4292</v>
      </c>
      <c r="E235" s="37" t="n">
        <f aca="false">COUNTIF('Watch Paths'!$A$2:$A$4220,A235)</f>
        <v>11</v>
      </c>
      <c r="F235" s="37" t="n">
        <f aca="false">COUNTIFS('Watch Paths'!$A$2:$A$4220,A235,'Watch Paths'!$M$2:$M$4220,1)</f>
        <v>2</v>
      </c>
      <c r="G235" s="38" t="n">
        <f aca="false">IF(E235=0,0,F235/E235)</f>
        <v>0.181818181818182</v>
      </c>
      <c r="H235" s="37" t="str">
        <f aca="false">IFERROR(INDEX('Watch Paths'!$G$2:$G$4220,MATCH(A235,'Watch Paths'!$N$2:$N$4220,0)),"✓ complete")</f>
        <v>Black Girl</v>
      </c>
      <c r="I235" s="8" t="s">
        <v>4950</v>
      </c>
      <c r="J235" s="8" t="s">
        <v>4951</v>
      </c>
    </row>
    <row r="236" customFormat="false" ht="15" hidden="false" customHeight="false" outlineLevel="0" collapsed="false">
      <c r="A236" s="43" t="s">
        <v>4293</v>
      </c>
      <c r="B236" s="43" t="s">
        <v>54</v>
      </c>
      <c r="C236" s="43" t="s">
        <v>110</v>
      </c>
      <c r="D236" s="43" t="s">
        <v>4294</v>
      </c>
      <c r="E236" s="37" t="n">
        <f aca="false">COUNTIF('Watch Paths'!$A$2:$A$4220,A236)</f>
        <v>10</v>
      </c>
      <c r="F236" s="37" t="n">
        <f aca="false">COUNTIFS('Watch Paths'!$A$2:$A$4220,A236,'Watch Paths'!$M$2:$M$4220,1)</f>
        <v>0</v>
      </c>
      <c r="G236" s="38" t="n">
        <f aca="false">IF(E236=0,0,F236/E236)</f>
        <v>0</v>
      </c>
      <c r="H236" s="37" t="str">
        <f aca="false">IFERROR(INDEX('Watch Paths'!$G$2:$G$4220,MATCH(A236,'Watch Paths'!$N$2:$N$4220,0)),"✓ complete")</f>
        <v>Smoke Signals</v>
      </c>
      <c r="I236" s="8" t="s">
        <v>4952</v>
      </c>
      <c r="J236" s="8" t="s">
        <v>4953</v>
      </c>
    </row>
    <row r="237" customFormat="false" ht="15" hidden="false" customHeight="false" outlineLevel="0" collapsed="false">
      <c r="A237" s="43" t="s">
        <v>4295</v>
      </c>
      <c r="B237" s="43" t="s">
        <v>54</v>
      </c>
      <c r="C237" s="43" t="s">
        <v>111</v>
      </c>
      <c r="D237" s="43" t="s">
        <v>4296</v>
      </c>
      <c r="E237" s="37" t="n">
        <f aca="false">COUNTIF('Watch Paths'!$A$2:$A$4220,A237)</f>
        <v>10</v>
      </c>
      <c r="F237" s="37" t="n">
        <f aca="false">COUNTIFS('Watch Paths'!$A$2:$A$4220,A237,'Watch Paths'!$M$2:$M$4220,1)</f>
        <v>0</v>
      </c>
      <c r="G237" s="38" t="n">
        <f aca="false">IF(E237=0,0,F237/E237)</f>
        <v>0</v>
      </c>
      <c r="H237" s="37" t="str">
        <f aca="false">IFERROR(INDEX('Watch Paths'!$G$2:$G$4220,MATCH(A237,'Watch Paths'!$N$2:$N$4220,0)),"✓ complete")</f>
        <v>Rebecca</v>
      </c>
      <c r="I237" s="8" t="s">
        <v>4954</v>
      </c>
      <c r="J237" s="8" t="s">
        <v>4955</v>
      </c>
    </row>
    <row r="238" customFormat="false" ht="23.85" hidden="false" customHeight="false" outlineLevel="0" collapsed="false">
      <c r="A238" s="43" t="s">
        <v>4297</v>
      </c>
      <c r="B238" s="43" t="s">
        <v>54</v>
      </c>
      <c r="C238" s="43" t="s">
        <v>111</v>
      </c>
      <c r="D238" s="43" t="s">
        <v>4298</v>
      </c>
      <c r="E238" s="37" t="n">
        <f aca="false">COUNTIF('Watch Paths'!$A$2:$A$4220,A238)</f>
        <v>20</v>
      </c>
      <c r="F238" s="37" t="n">
        <f aca="false">COUNTIFS('Watch Paths'!$A$2:$A$4220,A238,'Watch Paths'!$M$2:$M$4220,1)</f>
        <v>3</v>
      </c>
      <c r="G238" s="38" t="n">
        <f aca="false">IF(E238=0,0,F238/E238)</f>
        <v>0.15</v>
      </c>
      <c r="H238" s="37" t="str">
        <f aca="false">IFERROR(INDEX('Watch Paths'!$G$2:$G$4220,MATCH(A238,'Watch Paths'!$N$2:$N$4220,0)),"✓ complete")</f>
        <v>Paris Is Burning</v>
      </c>
      <c r="I238" s="8" t="s">
        <v>4956</v>
      </c>
      <c r="J238" s="8" t="s">
        <v>4957</v>
      </c>
    </row>
    <row r="239" customFormat="false" ht="23.85" hidden="false" customHeight="false" outlineLevel="0" collapsed="false">
      <c r="A239" s="43" t="s">
        <v>4299</v>
      </c>
      <c r="B239" s="43" t="s">
        <v>54</v>
      </c>
      <c r="C239" s="43" t="s">
        <v>112</v>
      </c>
      <c r="D239" s="43" t="s">
        <v>4300</v>
      </c>
      <c r="E239" s="37" t="n">
        <f aca="false">COUNTIF('Watch Paths'!$A$2:$A$4220,A239)</f>
        <v>17</v>
      </c>
      <c r="F239" s="37" t="n">
        <f aca="false">COUNTIFS('Watch Paths'!$A$2:$A$4220,A239,'Watch Paths'!$M$2:$M$4220,1)</f>
        <v>12</v>
      </c>
      <c r="G239" s="38" t="n">
        <f aca="false">IF(E239=0,0,F239/E239)</f>
        <v>0.705882352941177</v>
      </c>
      <c r="H239" s="37" t="str">
        <f aca="false">IFERROR(INDEX('Watch Paths'!$G$2:$G$4220,MATCH(A239,'Watch Paths'!$N$2:$N$4220,0)),"✓ complete")</f>
        <v>The Sixth Sense</v>
      </c>
      <c r="I239" s="8" t="s">
        <v>4958</v>
      </c>
      <c r="J239" s="8" t="s">
        <v>4959</v>
      </c>
    </row>
    <row r="240" customFormat="false" ht="23.85" hidden="false" customHeight="false" outlineLevel="0" collapsed="false">
      <c r="A240" s="43" t="s">
        <v>4301</v>
      </c>
      <c r="B240" s="43" t="s">
        <v>54</v>
      </c>
      <c r="C240" s="43" t="s">
        <v>112</v>
      </c>
      <c r="D240" s="43" t="s">
        <v>4302</v>
      </c>
      <c r="E240" s="37" t="n">
        <f aca="false">COUNTIF('Watch Paths'!$A$2:$A$4220,A240)</f>
        <v>11</v>
      </c>
      <c r="F240" s="37" t="n">
        <f aca="false">COUNTIFS('Watch Paths'!$A$2:$A$4220,A240,'Watch Paths'!$M$2:$M$4220,1)</f>
        <v>5</v>
      </c>
      <c r="G240" s="38" t="n">
        <f aca="false">IF(E240=0,0,F240/E240)</f>
        <v>0.454545454545455</v>
      </c>
      <c r="H240" s="37" t="str">
        <f aca="false">IFERROR(INDEX('Watch Paths'!$G$2:$G$4220,MATCH(A240,'Watch Paths'!$N$2:$N$4220,0)),"✓ complete")</f>
        <v>American Graffiti</v>
      </c>
      <c r="I240" s="8" t="s">
        <v>4960</v>
      </c>
      <c r="J240" s="8" t="s">
        <v>4961</v>
      </c>
    </row>
    <row r="241" customFormat="false" ht="23.85" hidden="false" customHeight="false" outlineLevel="0" collapsed="false">
      <c r="A241" s="43" t="s">
        <v>4303</v>
      </c>
      <c r="B241" s="43" t="s">
        <v>54</v>
      </c>
      <c r="C241" s="43" t="s">
        <v>112</v>
      </c>
      <c r="D241" s="43" t="s">
        <v>4304</v>
      </c>
      <c r="E241" s="37" t="n">
        <f aca="false">COUNTIF('Watch Paths'!$A$2:$A$4220,A241)</f>
        <v>13</v>
      </c>
      <c r="F241" s="37" t="n">
        <f aca="false">COUNTIFS('Watch Paths'!$A$2:$A$4220,A241,'Watch Paths'!$M$2:$M$4220,1)</f>
        <v>4</v>
      </c>
      <c r="G241" s="38" t="n">
        <f aca="false">IF(E241=0,0,F241/E241)</f>
        <v>0.307692307692308</v>
      </c>
      <c r="H241" s="37" t="str">
        <f aca="false">IFERROR(INDEX('Watch Paths'!$G$2:$G$4220,MATCH(A241,'Watch Paths'!$N$2:$N$4220,0)),"✓ complete")</f>
        <v>Chungking Express</v>
      </c>
      <c r="I241" s="8" t="s">
        <v>4962</v>
      </c>
      <c r="J241" s="8" t="s">
        <v>4963</v>
      </c>
    </row>
    <row r="242" customFormat="false" ht="23.85" hidden="false" customHeight="false" outlineLevel="0" collapsed="false">
      <c r="A242" s="43" t="s">
        <v>4305</v>
      </c>
      <c r="B242" s="43" t="s">
        <v>54</v>
      </c>
      <c r="C242" s="43" t="s">
        <v>112</v>
      </c>
      <c r="D242" s="43" t="s">
        <v>4306</v>
      </c>
      <c r="E242" s="37" t="n">
        <f aca="false">COUNTIF('Watch Paths'!$A$2:$A$4220,A242)</f>
        <v>14</v>
      </c>
      <c r="F242" s="37" t="n">
        <f aca="false">COUNTIFS('Watch Paths'!$A$2:$A$4220,A242,'Watch Paths'!$M$2:$M$4220,1)</f>
        <v>2</v>
      </c>
      <c r="G242" s="38" t="n">
        <f aca="false">IF(E242=0,0,F242/E242)</f>
        <v>0.142857142857143</v>
      </c>
      <c r="H242" s="37" t="str">
        <f aca="false">IFERROR(INDEX('Watch Paths'!$G$2:$G$4220,MATCH(A242,'Watch Paths'!$N$2:$N$4220,0)),"✓ complete")</f>
        <v>The Room</v>
      </c>
      <c r="I242" s="8" t="s">
        <v>4964</v>
      </c>
      <c r="J242" s="8" t="s">
        <v>4965</v>
      </c>
    </row>
    <row r="243" customFormat="false" ht="23.85" hidden="false" customHeight="false" outlineLevel="0" collapsed="false">
      <c r="A243" s="43" t="s">
        <v>4307</v>
      </c>
      <c r="B243" s="43" t="s">
        <v>54</v>
      </c>
      <c r="C243" s="43" t="s">
        <v>112</v>
      </c>
      <c r="D243" s="43" t="s">
        <v>4308</v>
      </c>
      <c r="E243" s="37" t="n">
        <f aca="false">COUNTIF('Watch Paths'!$A$2:$A$4220,A243)</f>
        <v>12</v>
      </c>
      <c r="F243" s="37" t="n">
        <f aca="false">COUNTIFS('Watch Paths'!$A$2:$A$4220,A243,'Watch Paths'!$M$2:$M$4220,1)</f>
        <v>0</v>
      </c>
      <c r="G243" s="38" t="n">
        <f aca="false">IF(E243=0,0,F243/E243)</f>
        <v>0</v>
      </c>
      <c r="H243" s="37" t="str">
        <f aca="false">IFERROR(INDEX('Watch Paths'!$G$2:$G$4220,MATCH(A243,'Watch Paths'!$N$2:$N$4220,0)),"✓ complete")</f>
        <v>The Texas Chain Saw Massacre</v>
      </c>
      <c r="I243" s="8" t="s">
        <v>4966</v>
      </c>
      <c r="J243" s="8" t="s">
        <v>4967</v>
      </c>
    </row>
    <row r="244" customFormat="false" ht="15" hidden="false" customHeight="false" outlineLevel="0" collapsed="false">
      <c r="A244" s="43" t="s">
        <v>4309</v>
      </c>
      <c r="B244" s="43" t="s">
        <v>54</v>
      </c>
      <c r="C244" s="43" t="s">
        <v>112</v>
      </c>
      <c r="D244" s="43" t="s">
        <v>4310</v>
      </c>
      <c r="E244" s="37" t="n">
        <f aca="false">COUNTIF('Watch Paths'!$A$2:$A$4220,A244)</f>
        <v>9</v>
      </c>
      <c r="F244" s="37" t="n">
        <f aca="false">COUNTIFS('Watch Paths'!$A$2:$A$4220,A244,'Watch Paths'!$M$2:$M$4220,1)</f>
        <v>3</v>
      </c>
      <c r="G244" s="38" t="n">
        <f aca="false">IF(E244=0,0,F244/E244)</f>
        <v>0.333333333333333</v>
      </c>
      <c r="H244" s="37" t="str">
        <f aca="false">IFERROR(INDEX('Watch Paths'!$G$2:$G$4220,MATCH(A244,'Watch Paths'!$N$2:$N$4220,0)),"✓ complete")</f>
        <v>Hard Target</v>
      </c>
      <c r="I244" s="8" t="s">
        <v>4968</v>
      </c>
      <c r="J244" s="8" t="s">
        <v>4969</v>
      </c>
    </row>
    <row r="245" customFormat="false" ht="15" hidden="false" customHeight="false" outlineLevel="0" collapsed="false">
      <c r="A245" s="43" t="s">
        <v>4311</v>
      </c>
      <c r="B245" s="43" t="s">
        <v>54</v>
      </c>
      <c r="C245" s="43" t="s">
        <v>112</v>
      </c>
      <c r="D245" s="43" t="s">
        <v>4312</v>
      </c>
      <c r="E245" s="37" t="n">
        <f aca="false">COUNTIF('Watch Paths'!$A$2:$A$4220,A245)</f>
        <v>11</v>
      </c>
      <c r="F245" s="37" t="n">
        <f aca="false">COUNTIFS('Watch Paths'!$A$2:$A$4220,A245,'Watch Paths'!$M$2:$M$4220,1)</f>
        <v>2</v>
      </c>
      <c r="G245" s="38" t="n">
        <f aca="false">IF(E245=0,0,F245/E245)</f>
        <v>0.181818181818182</v>
      </c>
      <c r="H245" s="37" t="str">
        <f aca="false">IFERROR(INDEX('Watch Paths'!$G$2:$G$4220,MATCH(A245,'Watch Paths'!$N$2:$N$4220,0)),"✓ complete")</f>
        <v>Funny Ha Ha</v>
      </c>
      <c r="I245" s="8" t="s">
        <v>4970</v>
      </c>
      <c r="J245" s="8" t="s">
        <v>4971</v>
      </c>
    </row>
    <row r="246" customFormat="false" ht="23.85" hidden="false" customHeight="false" outlineLevel="0" collapsed="false">
      <c r="A246" s="44" t="s">
        <v>4313</v>
      </c>
      <c r="B246" s="44" t="s">
        <v>55</v>
      </c>
      <c r="C246" s="44" t="s">
        <v>113</v>
      </c>
      <c r="D246" s="44" t="s">
        <v>4314</v>
      </c>
      <c r="E246" s="37" t="n">
        <f aca="false">COUNTIF('Watch Paths'!$A$2:$A$4220,A246)</f>
        <v>15</v>
      </c>
      <c r="F246" s="37" t="n">
        <f aca="false">COUNTIFS('Watch Paths'!$A$2:$A$4220,A246,'Watch Paths'!$M$2:$M$4220,1)</f>
        <v>3</v>
      </c>
      <c r="G246" s="38" t="n">
        <f aca="false">IF(E246=0,0,F246/E246)</f>
        <v>0.2</v>
      </c>
      <c r="H246" s="37" t="str">
        <f aca="false">IFERROR(INDEX('Watch Paths'!$G$2:$G$4220,MATCH(A246,'Watch Paths'!$N$2:$N$4220,0)),"✓ complete")</f>
        <v>Margin Call</v>
      </c>
      <c r="I246" s="8" t="s">
        <v>4972</v>
      </c>
      <c r="J246" s="8" t="s">
        <v>4973</v>
      </c>
    </row>
    <row r="247" customFormat="false" ht="15" hidden="false" customHeight="false" outlineLevel="0" collapsed="false">
      <c r="A247" s="44" t="s">
        <v>4315</v>
      </c>
      <c r="B247" s="44" t="s">
        <v>55</v>
      </c>
      <c r="C247" s="44" t="s">
        <v>113</v>
      </c>
      <c r="D247" s="44" t="s">
        <v>4316</v>
      </c>
      <c r="E247" s="37" t="n">
        <f aca="false">COUNTIF('Watch Paths'!$A$2:$A$4220,A247)</f>
        <v>15</v>
      </c>
      <c r="F247" s="37" t="n">
        <f aca="false">COUNTIFS('Watch Paths'!$A$2:$A$4220,A247,'Watch Paths'!$M$2:$M$4220,1)</f>
        <v>2</v>
      </c>
      <c r="G247" s="38" t="n">
        <f aca="false">IF(E247=0,0,F247/E247)</f>
        <v>0.133333333333333</v>
      </c>
      <c r="H247" s="37" t="str">
        <f aca="false">IFERROR(INDEX('Watch Paths'!$G$2:$G$4220,MATCH(A247,'Watch Paths'!$N$2:$N$4220,0)),"✓ complete")</f>
        <v>Norma Rae</v>
      </c>
      <c r="I247" s="8" t="s">
        <v>4974</v>
      </c>
      <c r="J247" s="8" t="s">
        <v>4975</v>
      </c>
    </row>
    <row r="248" customFormat="false" ht="23.85" hidden="false" customHeight="false" outlineLevel="0" collapsed="false">
      <c r="A248" s="44" t="s">
        <v>4317</v>
      </c>
      <c r="B248" s="44" t="s">
        <v>55</v>
      </c>
      <c r="C248" s="44" t="s">
        <v>113</v>
      </c>
      <c r="D248" s="44" t="s">
        <v>4318</v>
      </c>
      <c r="E248" s="37" t="n">
        <f aca="false">COUNTIF('Watch Paths'!$A$2:$A$4220,A248)</f>
        <v>18</v>
      </c>
      <c r="F248" s="37" t="n">
        <f aca="false">COUNTIFS('Watch Paths'!$A$2:$A$4220,A248,'Watch Paths'!$M$2:$M$4220,1)</f>
        <v>3</v>
      </c>
      <c r="G248" s="38" t="n">
        <f aca="false">IF(E248=0,0,F248/E248)</f>
        <v>0.166666666666667</v>
      </c>
      <c r="H248" s="37" t="str">
        <f aca="false">IFERROR(INDEX('Watch Paths'!$G$2:$G$4220,MATCH(A248,'Watch Paths'!$N$2:$N$4220,0)),"✓ complete")</f>
        <v>Mr. Smith Goes to Washington</v>
      </c>
      <c r="I248" s="8" t="s">
        <v>4976</v>
      </c>
      <c r="J248" s="8" t="s">
        <v>4977</v>
      </c>
    </row>
    <row r="249" customFormat="false" ht="15" hidden="false" customHeight="false" outlineLevel="0" collapsed="false">
      <c r="A249" s="44" t="s">
        <v>4319</v>
      </c>
      <c r="B249" s="44" t="s">
        <v>55</v>
      </c>
      <c r="C249" s="44" t="s">
        <v>113</v>
      </c>
      <c r="D249" s="44" t="s">
        <v>4320</v>
      </c>
      <c r="E249" s="37" t="n">
        <f aca="false">COUNTIF('Watch Paths'!$A$2:$A$4220,A249)</f>
        <v>16</v>
      </c>
      <c r="F249" s="37" t="n">
        <f aca="false">COUNTIFS('Watch Paths'!$A$2:$A$4220,A249,'Watch Paths'!$M$2:$M$4220,1)</f>
        <v>6</v>
      </c>
      <c r="G249" s="38" t="n">
        <f aca="false">IF(E249=0,0,F249/E249)</f>
        <v>0.375</v>
      </c>
      <c r="H249" s="37" t="str">
        <f aca="false">IFERROR(INDEX('Watch Paths'!$G$2:$G$4220,MATCH(A249,'Watch Paths'!$N$2:$N$4220,0)),"✓ complete")</f>
        <v>The Front Page</v>
      </c>
      <c r="I249" s="8" t="s">
        <v>4978</v>
      </c>
      <c r="J249" s="8" t="s">
        <v>4979</v>
      </c>
    </row>
    <row r="250" customFormat="false" ht="15" hidden="false" customHeight="false" outlineLevel="0" collapsed="false">
      <c r="A250" s="44" t="s">
        <v>4321</v>
      </c>
      <c r="B250" s="44" t="s">
        <v>55</v>
      </c>
      <c r="C250" s="44" t="s">
        <v>113</v>
      </c>
      <c r="D250" s="44" t="s">
        <v>4322</v>
      </c>
      <c r="E250" s="37" t="n">
        <f aca="false">COUNTIF('Watch Paths'!$A$2:$A$4220,A250)</f>
        <v>14</v>
      </c>
      <c r="F250" s="37" t="n">
        <f aca="false">COUNTIFS('Watch Paths'!$A$2:$A$4220,A250,'Watch Paths'!$M$2:$M$4220,1)</f>
        <v>8</v>
      </c>
      <c r="G250" s="38" t="n">
        <f aca="false">IF(E250=0,0,F250/E250)</f>
        <v>0.571428571428571</v>
      </c>
      <c r="H250" s="37" t="str">
        <f aca="false">IFERROR(INDEX('Watch Paths'!$G$2:$G$4220,MATCH(A250,'Watch Paths'!$N$2:$N$4220,0)),"✓ complete")</f>
        <v>A Face in the Crowd</v>
      </c>
      <c r="I250" s="8" t="s">
        <v>4980</v>
      </c>
      <c r="J250" s="8" t="s">
        <v>4981</v>
      </c>
    </row>
    <row r="251" customFormat="false" ht="23.85" hidden="false" customHeight="false" outlineLevel="0" collapsed="false">
      <c r="A251" s="44" t="s">
        <v>4323</v>
      </c>
      <c r="B251" s="44" t="s">
        <v>55</v>
      </c>
      <c r="C251" s="44" t="s">
        <v>113</v>
      </c>
      <c r="D251" s="44" t="s">
        <v>4324</v>
      </c>
      <c r="E251" s="37" t="n">
        <f aca="false">COUNTIF('Watch Paths'!$A$2:$A$4220,A251)</f>
        <v>17</v>
      </c>
      <c r="F251" s="37" t="n">
        <f aca="false">COUNTIFS('Watch Paths'!$A$2:$A$4220,A251,'Watch Paths'!$M$2:$M$4220,1)</f>
        <v>3</v>
      </c>
      <c r="G251" s="38" t="n">
        <f aca="false">IF(E251=0,0,F251/E251)</f>
        <v>0.176470588235294</v>
      </c>
      <c r="H251" s="37" t="str">
        <f aca="false">IFERROR(INDEX('Watch Paths'!$G$2:$G$4220,MATCH(A251,'Watch Paths'!$N$2:$N$4220,0)),"✓ complete")</f>
        <v>To Kill a Mockingbird</v>
      </c>
      <c r="I251" s="8" t="s">
        <v>4982</v>
      </c>
      <c r="J251" s="8" t="s">
        <v>4983</v>
      </c>
    </row>
    <row r="252" customFormat="false" ht="15" hidden="false" customHeight="false" outlineLevel="0" collapsed="false">
      <c r="A252" s="44" t="s">
        <v>4325</v>
      </c>
      <c r="B252" s="44" t="s">
        <v>55</v>
      </c>
      <c r="C252" s="44" t="s">
        <v>113</v>
      </c>
      <c r="D252" s="44" t="s">
        <v>4326</v>
      </c>
      <c r="E252" s="37" t="n">
        <f aca="false">COUNTIF('Watch Paths'!$A$2:$A$4220,A252)</f>
        <v>13</v>
      </c>
      <c r="F252" s="37" t="n">
        <f aca="false">COUNTIFS('Watch Paths'!$A$2:$A$4220,A252,'Watch Paths'!$M$2:$M$4220,1)</f>
        <v>1</v>
      </c>
      <c r="G252" s="38" t="n">
        <f aca="false">IF(E252=0,0,F252/E252)</f>
        <v>0.0769230769230769</v>
      </c>
      <c r="H252" s="37" t="str">
        <f aca="false">IFERROR(INDEX('Watch Paths'!$G$2:$G$4220,MATCH(A252,'Watch Paths'!$N$2:$N$4220,0)),"✓ complete")</f>
        <v>Escape from Alcatraz</v>
      </c>
      <c r="I252" s="8" t="s">
        <v>4984</v>
      </c>
      <c r="J252" s="8" t="s">
        <v>4985</v>
      </c>
    </row>
    <row r="253" customFormat="false" ht="23.85" hidden="false" customHeight="false" outlineLevel="0" collapsed="false">
      <c r="A253" s="44" t="s">
        <v>4327</v>
      </c>
      <c r="B253" s="44" t="s">
        <v>55</v>
      </c>
      <c r="C253" s="44" t="s">
        <v>114</v>
      </c>
      <c r="D253" s="44" t="s">
        <v>4328</v>
      </c>
      <c r="E253" s="37" t="n">
        <f aca="false">COUNTIF('Watch Paths'!$A$2:$A$4220,A253)</f>
        <v>15</v>
      </c>
      <c r="F253" s="37" t="n">
        <f aca="false">COUNTIFS('Watch Paths'!$A$2:$A$4220,A253,'Watch Paths'!$M$2:$M$4220,1)</f>
        <v>9</v>
      </c>
      <c r="G253" s="38" t="n">
        <f aca="false">IF(E253=0,0,F253/E253)</f>
        <v>0.6</v>
      </c>
      <c r="H253" s="37" t="str">
        <f aca="false">IFERROR(INDEX('Watch Paths'!$G$2:$G$4220,MATCH(A253,'Watch Paths'!$N$2:$N$4220,0)),"✓ complete")</f>
        <v>Wild Strawberries</v>
      </c>
      <c r="I253" s="8" t="s">
        <v>4986</v>
      </c>
      <c r="J253" s="8" t="s">
        <v>4987</v>
      </c>
    </row>
    <row r="254" customFormat="false" ht="15" hidden="false" customHeight="false" outlineLevel="0" collapsed="false">
      <c r="A254" s="44" t="s">
        <v>4329</v>
      </c>
      <c r="B254" s="44" t="s">
        <v>55</v>
      </c>
      <c r="C254" s="44" t="s">
        <v>114</v>
      </c>
      <c r="D254" s="44" t="s">
        <v>4330</v>
      </c>
      <c r="E254" s="37" t="n">
        <f aca="false">COUNTIF('Watch Paths'!$A$2:$A$4220,A254)</f>
        <v>14</v>
      </c>
      <c r="F254" s="37" t="n">
        <f aca="false">COUNTIFS('Watch Paths'!$A$2:$A$4220,A254,'Watch Paths'!$M$2:$M$4220,1)</f>
        <v>1</v>
      </c>
      <c r="G254" s="38" t="n">
        <f aca="false">IF(E254=0,0,F254/E254)</f>
        <v>0.0714285714285714</v>
      </c>
      <c r="H254" s="37" t="str">
        <f aca="false">IFERROR(INDEX('Watch Paths'!$G$2:$G$4220,MATCH(A254,'Watch Paths'!$N$2:$N$4220,0)),"✓ complete")</f>
        <v>Winter Light</v>
      </c>
      <c r="I254" s="8" t="s">
        <v>4988</v>
      </c>
      <c r="J254" s="8" t="s">
        <v>4989</v>
      </c>
    </row>
    <row r="255" customFormat="false" ht="15" hidden="false" customHeight="false" outlineLevel="0" collapsed="false">
      <c r="A255" s="44" t="s">
        <v>4331</v>
      </c>
      <c r="B255" s="44" t="s">
        <v>55</v>
      </c>
      <c r="C255" s="44" t="s">
        <v>114</v>
      </c>
      <c r="D255" s="44" t="s">
        <v>4332</v>
      </c>
      <c r="E255" s="37" t="n">
        <f aca="false">COUNTIF('Watch Paths'!$A$2:$A$4220,A255)</f>
        <v>14</v>
      </c>
      <c r="F255" s="37" t="n">
        <f aca="false">COUNTIFS('Watch Paths'!$A$2:$A$4220,A255,'Watch Paths'!$M$2:$M$4220,1)</f>
        <v>4</v>
      </c>
      <c r="G255" s="38" t="n">
        <f aca="false">IF(E255=0,0,F255/E255)</f>
        <v>0.285714285714286</v>
      </c>
      <c r="H255" s="37" t="str">
        <f aca="false">IFERROR(INDEX('Watch Paths'!$G$2:$G$4220,MATCH(A255,'Watch Paths'!$N$2:$N$4220,0)),"✓ complete")</f>
        <v>Ordinary People</v>
      </c>
      <c r="I255" s="8" t="s">
        <v>4990</v>
      </c>
      <c r="J255" s="8" t="s">
        <v>4991</v>
      </c>
    </row>
    <row r="256" customFormat="false" ht="15" hidden="false" customHeight="false" outlineLevel="0" collapsed="false">
      <c r="A256" s="44" t="s">
        <v>4333</v>
      </c>
      <c r="B256" s="44" t="s">
        <v>55</v>
      </c>
      <c r="C256" s="44" t="s">
        <v>114</v>
      </c>
      <c r="D256" s="44" t="s">
        <v>4334</v>
      </c>
      <c r="E256" s="37" t="n">
        <f aca="false">COUNTIF('Watch Paths'!$A$2:$A$4220,A256)</f>
        <v>13</v>
      </c>
      <c r="F256" s="37" t="n">
        <f aca="false">COUNTIFS('Watch Paths'!$A$2:$A$4220,A256,'Watch Paths'!$M$2:$M$4220,1)</f>
        <v>7</v>
      </c>
      <c r="G256" s="38" t="n">
        <f aca="false">IF(E256=0,0,F256/E256)</f>
        <v>0.538461538461538</v>
      </c>
      <c r="H256" s="37" t="str">
        <f aca="false">IFERROR(INDEX('Watch Paths'!$G$2:$G$4220,MATCH(A256,'Watch Paths'!$N$2:$N$4220,0)),"✓ complete")</f>
        <v>Robinson Crusoe</v>
      </c>
      <c r="I256" s="8" t="s">
        <v>4992</v>
      </c>
      <c r="J256" s="8" t="s">
        <v>4993</v>
      </c>
    </row>
    <row r="257" customFormat="false" ht="15" hidden="false" customHeight="false" outlineLevel="0" collapsed="false">
      <c r="A257" s="44" t="s">
        <v>4335</v>
      </c>
      <c r="B257" s="44" t="s">
        <v>55</v>
      </c>
      <c r="C257" s="44" t="s">
        <v>114</v>
      </c>
      <c r="D257" s="44" t="s">
        <v>4336</v>
      </c>
      <c r="E257" s="37" t="n">
        <f aca="false">COUNTIF('Watch Paths'!$A$2:$A$4220,A257)</f>
        <v>16</v>
      </c>
      <c r="F257" s="37" t="n">
        <f aca="false">COUNTIFS('Watch Paths'!$A$2:$A$4220,A257,'Watch Paths'!$M$2:$M$4220,1)</f>
        <v>3</v>
      </c>
      <c r="G257" s="38" t="n">
        <f aca="false">IF(E257=0,0,F257/E257)</f>
        <v>0.1875</v>
      </c>
      <c r="H257" s="37" t="str">
        <f aca="false">IFERROR(INDEX('Watch Paths'!$G$2:$G$4220,MATCH(A257,'Watch Paths'!$N$2:$N$4220,0)),"✓ complete")</f>
        <v>La Jetée</v>
      </c>
      <c r="I257" s="8" t="s">
        <v>4994</v>
      </c>
      <c r="J257" s="8" t="s">
        <v>4995</v>
      </c>
    </row>
    <row r="258" customFormat="false" ht="15" hidden="false" customHeight="false" outlineLevel="0" collapsed="false">
      <c r="A258" s="44" t="s">
        <v>4337</v>
      </c>
      <c r="B258" s="44" t="s">
        <v>55</v>
      </c>
      <c r="C258" s="44" t="s">
        <v>115</v>
      </c>
      <c r="D258" s="44" t="s">
        <v>4338</v>
      </c>
      <c r="E258" s="37" t="n">
        <f aca="false">COUNTIF('Watch Paths'!$A$2:$A$4220,A258)</f>
        <v>14</v>
      </c>
      <c r="F258" s="37" t="n">
        <f aca="false">COUNTIFS('Watch Paths'!$A$2:$A$4220,A258,'Watch Paths'!$M$2:$M$4220,1)</f>
        <v>1</v>
      </c>
      <c r="G258" s="38" t="n">
        <f aca="false">IF(E258=0,0,F258/E258)</f>
        <v>0.0714285714285714</v>
      </c>
      <c r="H258" s="37" t="str">
        <f aca="false">IFERROR(INDEX('Watch Paths'!$G$2:$G$4220,MATCH(A258,'Watch Paths'!$N$2:$N$4220,0)),"✓ complete")</f>
        <v>The Andromeda Strain</v>
      </c>
      <c r="I258" s="8" t="s">
        <v>4996</v>
      </c>
      <c r="J258" s="8" t="s">
        <v>4997</v>
      </c>
    </row>
    <row r="259" customFormat="false" ht="15" hidden="false" customHeight="false" outlineLevel="0" collapsed="false">
      <c r="A259" s="44" t="s">
        <v>4339</v>
      </c>
      <c r="B259" s="44" t="s">
        <v>55</v>
      </c>
      <c r="C259" s="44" t="s">
        <v>115</v>
      </c>
      <c r="D259" s="44" t="s">
        <v>4340</v>
      </c>
      <c r="E259" s="37" t="n">
        <f aca="false">COUNTIF('Watch Paths'!$A$2:$A$4220,A259)</f>
        <v>12</v>
      </c>
      <c r="F259" s="37" t="n">
        <f aca="false">COUNTIFS('Watch Paths'!$A$2:$A$4220,A259,'Watch Paths'!$M$2:$M$4220,1)</f>
        <v>4</v>
      </c>
      <c r="G259" s="38" t="n">
        <f aca="false">IF(E259=0,0,F259/E259)</f>
        <v>0.333333333333333</v>
      </c>
      <c r="H259" s="37" t="str">
        <f aca="false">IFERROR(INDEX('Watch Paths'!$G$2:$G$4220,MATCH(A259,'Watch Paths'!$N$2:$N$4220,0)),"✓ complete")</f>
        <v>Colossus: The Forbin Project</v>
      </c>
      <c r="I259" s="8" t="s">
        <v>4998</v>
      </c>
      <c r="J259" s="8" t="s">
        <v>4999</v>
      </c>
    </row>
    <row r="260" customFormat="false" ht="15" hidden="false" customHeight="false" outlineLevel="0" collapsed="false">
      <c r="A260" s="44" t="s">
        <v>4341</v>
      </c>
      <c r="B260" s="44" t="s">
        <v>55</v>
      </c>
      <c r="C260" s="44" t="s">
        <v>115</v>
      </c>
      <c r="D260" s="44" t="s">
        <v>4342</v>
      </c>
      <c r="E260" s="37" t="n">
        <f aca="false">COUNTIF('Watch Paths'!$A$2:$A$4220,A260)</f>
        <v>14</v>
      </c>
      <c r="F260" s="37" t="n">
        <f aca="false">COUNTIFS('Watch Paths'!$A$2:$A$4220,A260,'Watch Paths'!$M$2:$M$4220,1)</f>
        <v>4</v>
      </c>
      <c r="G260" s="38" t="n">
        <f aca="false">IF(E260=0,0,F260/E260)</f>
        <v>0.285714285714286</v>
      </c>
      <c r="H260" s="37" t="str">
        <f aca="false">IFERROR(INDEX('Watch Paths'!$G$2:$G$4220,MATCH(A260,'Watch Paths'!$N$2:$N$4220,0)),"✓ complete")</f>
        <v>Godzilla</v>
      </c>
      <c r="I260" s="8" t="s">
        <v>5000</v>
      </c>
      <c r="J260" s="8" t="s">
        <v>5001</v>
      </c>
    </row>
    <row r="261" customFormat="false" ht="15" hidden="false" customHeight="false" outlineLevel="0" collapsed="false">
      <c r="A261" s="44" t="s">
        <v>4343</v>
      </c>
      <c r="B261" s="44" t="s">
        <v>55</v>
      </c>
      <c r="C261" s="44" t="s">
        <v>116</v>
      </c>
      <c r="D261" s="44" t="s">
        <v>4344</v>
      </c>
      <c r="E261" s="37" t="n">
        <f aca="false">COUNTIF('Watch Paths'!$A$2:$A$4220,A261)</f>
        <v>17</v>
      </c>
      <c r="F261" s="37" t="n">
        <f aca="false">COUNTIFS('Watch Paths'!$A$2:$A$4220,A261,'Watch Paths'!$M$2:$M$4220,1)</f>
        <v>5</v>
      </c>
      <c r="G261" s="38" t="n">
        <f aca="false">IF(E261=0,0,F261/E261)</f>
        <v>0.294117647058824</v>
      </c>
      <c r="H261" s="37" t="str">
        <f aca="false">IFERROR(INDEX('Watch Paths'!$G$2:$G$4220,MATCH(A261,'Watch Paths'!$N$2:$N$4220,0)),"✓ complete")</f>
        <v>The 400 Blows</v>
      </c>
      <c r="I261" s="8" t="s">
        <v>5002</v>
      </c>
      <c r="J261" s="8" t="s">
        <v>5003</v>
      </c>
    </row>
    <row r="262" customFormat="false" ht="23.85" hidden="false" customHeight="false" outlineLevel="0" collapsed="false">
      <c r="A262" s="44" t="s">
        <v>4345</v>
      </c>
      <c r="B262" s="44" t="s">
        <v>55</v>
      </c>
      <c r="C262" s="44" t="s">
        <v>116</v>
      </c>
      <c r="D262" s="44" t="s">
        <v>4346</v>
      </c>
      <c r="E262" s="37" t="n">
        <f aca="false">COUNTIF('Watch Paths'!$A$2:$A$4220,A262)</f>
        <v>15</v>
      </c>
      <c r="F262" s="37" t="n">
        <f aca="false">COUNTIFS('Watch Paths'!$A$2:$A$4220,A262,'Watch Paths'!$M$2:$M$4220,1)</f>
        <v>5</v>
      </c>
      <c r="G262" s="38" t="n">
        <f aca="false">IF(E262=0,0,F262/E262)</f>
        <v>0.333333333333333</v>
      </c>
      <c r="H262" s="37" t="str">
        <f aca="false">IFERROR(INDEX('Watch Paths'!$G$2:$G$4220,MATCH(A262,'Watch Paths'!$N$2:$N$4220,0)),"✓ complete")</f>
        <v>Goodbye, Mr. Chips</v>
      </c>
      <c r="I262" s="8" t="s">
        <v>5004</v>
      </c>
      <c r="J262" s="8" t="s">
        <v>5005</v>
      </c>
    </row>
    <row r="263" customFormat="false" ht="15" hidden="false" customHeight="false" outlineLevel="0" collapsed="false">
      <c r="A263" s="44" t="s">
        <v>4347</v>
      </c>
      <c r="B263" s="44" t="s">
        <v>55</v>
      </c>
      <c r="C263" s="44" t="s">
        <v>116</v>
      </c>
      <c r="D263" s="44" t="s">
        <v>4348</v>
      </c>
      <c r="E263" s="37" t="n">
        <f aca="false">COUNTIF('Watch Paths'!$A$2:$A$4220,A263)</f>
        <v>15</v>
      </c>
      <c r="F263" s="37" t="n">
        <f aca="false">COUNTIFS('Watch Paths'!$A$2:$A$4220,A263,'Watch Paths'!$M$2:$M$4220,1)</f>
        <v>2</v>
      </c>
      <c r="G263" s="38" t="n">
        <f aca="false">IF(E263=0,0,F263/E263)</f>
        <v>0.133333333333333</v>
      </c>
      <c r="H263" s="37" t="str">
        <f aca="false">IFERROR(INDEX('Watch Paths'!$G$2:$G$4220,MATCH(A263,'Watch Paths'!$N$2:$N$4220,0)),"✓ complete")</f>
        <v>Scenes from a Marriage</v>
      </c>
      <c r="I263" s="8" t="s">
        <v>5006</v>
      </c>
      <c r="J263" s="8" t="s">
        <v>5007</v>
      </c>
    </row>
    <row r="264" customFormat="false" ht="15" hidden="false" customHeight="false" outlineLevel="0" collapsed="false">
      <c r="A264" s="44" t="s">
        <v>4349</v>
      </c>
      <c r="B264" s="44" t="s">
        <v>55</v>
      </c>
      <c r="C264" s="44" t="s">
        <v>116</v>
      </c>
      <c r="D264" s="44" t="s">
        <v>4350</v>
      </c>
      <c r="E264" s="37" t="n">
        <f aca="false">COUNTIF('Watch Paths'!$A$2:$A$4220,A264)</f>
        <v>15</v>
      </c>
      <c r="F264" s="37" t="n">
        <f aca="false">COUNTIFS('Watch Paths'!$A$2:$A$4220,A264,'Watch Paths'!$M$2:$M$4220,1)</f>
        <v>3</v>
      </c>
      <c r="G264" s="38" t="n">
        <f aca="false">IF(E264=0,0,F264/E264)</f>
        <v>0.2</v>
      </c>
      <c r="H264" s="37" t="str">
        <f aca="false">IFERROR(INDEX('Watch Paths'!$G$2:$G$4220,MATCH(A264,'Watch Paths'!$N$2:$N$4220,0)),"✓ complete")</f>
        <v>Tokyo Story</v>
      </c>
      <c r="I264" s="8" t="s">
        <v>5008</v>
      </c>
      <c r="J264" s="8" t="s">
        <v>5009</v>
      </c>
    </row>
    <row r="265" customFormat="false" ht="15" hidden="false" customHeight="false" outlineLevel="0" collapsed="false">
      <c r="A265" s="44" t="s">
        <v>4351</v>
      </c>
      <c r="B265" s="44" t="s">
        <v>55</v>
      </c>
      <c r="C265" s="44" t="s">
        <v>116</v>
      </c>
      <c r="D265" s="44" t="s">
        <v>4352</v>
      </c>
      <c r="E265" s="37" t="n">
        <f aca="false">COUNTIF('Watch Paths'!$A$2:$A$4220,A265)</f>
        <v>13</v>
      </c>
      <c r="F265" s="37" t="n">
        <f aca="false">COUNTIFS('Watch Paths'!$A$2:$A$4220,A265,'Watch Paths'!$M$2:$M$4220,1)</f>
        <v>5</v>
      </c>
      <c r="G265" s="38" t="n">
        <f aca="false">IF(E265=0,0,F265/E265)</f>
        <v>0.384615384615385</v>
      </c>
      <c r="H265" s="37" t="str">
        <f aca="false">IFERROR(INDEX('Watch Paths'!$G$2:$G$4220,MATCH(A265,'Watch Paths'!$N$2:$N$4220,0)),"✓ complete")</f>
        <v>Bicycle Thieves</v>
      </c>
      <c r="I265" s="8" t="s">
        <v>5010</v>
      </c>
      <c r="J265" s="8" t="s">
        <v>5011</v>
      </c>
    </row>
    <row r="266" customFormat="false" ht="23.85" hidden="false" customHeight="false" outlineLevel="0" collapsed="false">
      <c r="A266" s="44" t="s">
        <v>4353</v>
      </c>
      <c r="B266" s="44" t="s">
        <v>55</v>
      </c>
      <c r="C266" s="44" t="s">
        <v>117</v>
      </c>
      <c r="D266" s="44" t="s">
        <v>4354</v>
      </c>
      <c r="E266" s="37" t="n">
        <f aca="false">COUNTIF('Watch Paths'!$A$2:$A$4220,A266)</f>
        <v>16</v>
      </c>
      <c r="F266" s="37" t="n">
        <f aca="false">COUNTIFS('Watch Paths'!$A$2:$A$4220,A266,'Watch Paths'!$M$2:$M$4220,1)</f>
        <v>6</v>
      </c>
      <c r="G266" s="38" t="n">
        <f aca="false">IF(E266=0,0,F266/E266)</f>
        <v>0.375</v>
      </c>
      <c r="H266" s="37" t="str">
        <f aca="false">IFERROR(INDEX('Watch Paths'!$G$2:$G$4220,MATCH(A266,'Watch Paths'!$N$2:$N$4220,0)),"✓ complete")</f>
        <v>It Happened One Night</v>
      </c>
      <c r="I266" s="8" t="s">
        <v>5012</v>
      </c>
      <c r="J266" s="8" t="s">
        <v>5013</v>
      </c>
    </row>
    <row r="267" customFormat="false" ht="15" hidden="false" customHeight="false" outlineLevel="0" collapsed="false">
      <c r="A267" s="44" t="s">
        <v>4355</v>
      </c>
      <c r="B267" s="44" t="s">
        <v>55</v>
      </c>
      <c r="C267" s="44" t="s">
        <v>117</v>
      </c>
      <c r="D267" s="44" t="s">
        <v>4356</v>
      </c>
      <c r="E267" s="37" t="n">
        <f aca="false">COUNTIF('Watch Paths'!$A$2:$A$4220,A267)</f>
        <v>15</v>
      </c>
      <c r="F267" s="37" t="n">
        <f aca="false">COUNTIFS('Watch Paths'!$A$2:$A$4220,A267,'Watch Paths'!$M$2:$M$4220,1)</f>
        <v>8</v>
      </c>
      <c r="G267" s="38" t="n">
        <f aca="false">IF(E267=0,0,F267/E267)</f>
        <v>0.533333333333333</v>
      </c>
      <c r="H267" s="37" t="str">
        <f aca="false">IFERROR(INDEX('Watch Paths'!$G$2:$G$4220,MATCH(A267,'Watch Paths'!$N$2:$N$4220,0)),"✓ complete")</f>
        <v>The Crowd</v>
      </c>
      <c r="I267" s="8" t="s">
        <v>5014</v>
      </c>
      <c r="J267" s="8" t="s">
        <v>5015</v>
      </c>
    </row>
    <row r="268" customFormat="false" ht="15" hidden="false" customHeight="false" outlineLevel="0" collapsed="false">
      <c r="A268" s="44" t="s">
        <v>4357</v>
      </c>
      <c r="B268" s="44" t="s">
        <v>55</v>
      </c>
      <c r="C268" s="44" t="s">
        <v>117</v>
      </c>
      <c r="D268" s="44" t="s">
        <v>4358</v>
      </c>
      <c r="E268" s="37" t="n">
        <f aca="false">COUNTIF('Watch Paths'!$A$2:$A$4220,A268)</f>
        <v>16</v>
      </c>
      <c r="F268" s="37" t="n">
        <f aca="false">COUNTIFS('Watch Paths'!$A$2:$A$4220,A268,'Watch Paths'!$M$2:$M$4220,1)</f>
        <v>9</v>
      </c>
      <c r="G268" s="38" t="n">
        <f aca="false">IF(E268=0,0,F268/E268)</f>
        <v>0.5625</v>
      </c>
      <c r="H268" s="37" t="str">
        <f aca="false">IFERROR(INDEX('Watch Paths'!$G$2:$G$4220,MATCH(A268,'Watch Paths'!$N$2:$N$4220,0)),"✓ complete")</f>
        <v>Los Angeles Plays Itself</v>
      </c>
      <c r="I268" s="8" t="s">
        <v>5016</v>
      </c>
      <c r="J268" s="8" t="s">
        <v>5017</v>
      </c>
    </row>
    <row r="269" customFormat="false" ht="15" hidden="false" customHeight="false" outlineLevel="0" collapsed="false">
      <c r="A269" s="44" t="s">
        <v>4359</v>
      </c>
      <c r="B269" s="44" t="s">
        <v>55</v>
      </c>
      <c r="C269" s="44" t="s">
        <v>117</v>
      </c>
      <c r="D269" s="44" t="s">
        <v>4360</v>
      </c>
      <c r="E269" s="37" t="n">
        <f aca="false">COUNTIF('Watch Paths'!$A$2:$A$4220,A269)</f>
        <v>13</v>
      </c>
      <c r="F269" s="37" t="n">
        <f aca="false">COUNTIFS('Watch Paths'!$A$2:$A$4220,A269,'Watch Paths'!$M$2:$M$4220,1)</f>
        <v>3</v>
      </c>
      <c r="G269" s="38" t="n">
        <f aca="false">IF(E269=0,0,F269/E269)</f>
        <v>0.230769230769231</v>
      </c>
      <c r="H269" s="37" t="str">
        <f aca="false">IFERROR(INDEX('Watch Paths'!$G$2:$G$4220,MATCH(A269,'Watch Paths'!$N$2:$N$4220,0)),"✓ complete")</f>
        <v>Vertigo</v>
      </c>
      <c r="I269" s="8" t="s">
        <v>5018</v>
      </c>
      <c r="J269" s="8" t="s">
        <v>5019</v>
      </c>
    </row>
    <row r="270" customFormat="false" ht="15" hidden="false" customHeight="false" outlineLevel="0" collapsed="false">
      <c r="A270" s="44" t="s">
        <v>4361</v>
      </c>
      <c r="B270" s="44" t="s">
        <v>55</v>
      </c>
      <c r="C270" s="44" t="s">
        <v>117</v>
      </c>
      <c r="D270" s="44" t="s">
        <v>4362</v>
      </c>
      <c r="E270" s="37" t="n">
        <f aca="false">COUNTIF('Watch Paths'!$A$2:$A$4220,A270)</f>
        <v>14</v>
      </c>
      <c r="F270" s="37" t="n">
        <f aca="false">COUNTIFS('Watch Paths'!$A$2:$A$4220,A270,'Watch Paths'!$M$2:$M$4220,1)</f>
        <v>3</v>
      </c>
      <c r="G270" s="38" t="n">
        <f aca="false">IF(E270=0,0,F270/E270)</f>
        <v>0.214285714285714</v>
      </c>
      <c r="H270" s="37" t="str">
        <f aca="false">IFERROR(INDEX('Watch Paths'!$G$2:$G$4220,MATCH(A270,'Watch Paths'!$N$2:$N$4220,0)),"✓ complete")</f>
        <v>Cléo from 5 to 7</v>
      </c>
      <c r="I270" s="8" t="s">
        <v>5020</v>
      </c>
      <c r="J270" s="8" t="s">
        <v>5021</v>
      </c>
    </row>
    <row r="271" customFormat="false" ht="15" hidden="false" customHeight="false" outlineLevel="0" collapsed="false">
      <c r="A271" s="44" t="s">
        <v>4363</v>
      </c>
      <c r="B271" s="44" t="s">
        <v>55</v>
      </c>
      <c r="C271" s="44" t="s">
        <v>118</v>
      </c>
      <c r="D271" s="44" t="s">
        <v>4364</v>
      </c>
      <c r="E271" s="37" t="n">
        <f aca="false">COUNTIF('Watch Paths'!$A$2:$A$4220,A271)</f>
        <v>18</v>
      </c>
      <c r="F271" s="37" t="n">
        <f aca="false">COUNTIFS('Watch Paths'!$A$2:$A$4220,A271,'Watch Paths'!$M$2:$M$4220,1)</f>
        <v>6</v>
      </c>
      <c r="G271" s="38" t="n">
        <f aca="false">IF(E271=0,0,F271/E271)</f>
        <v>0.333333333333333</v>
      </c>
      <c r="H271" s="37" t="str">
        <f aca="false">IFERROR(INDEX('Watch Paths'!$G$2:$G$4220,MATCH(A271,'Watch Paths'!$N$2:$N$4220,0)),"✓ complete")</f>
        <v>Hoop Dreams</v>
      </c>
      <c r="I271" s="8" t="s">
        <v>5022</v>
      </c>
      <c r="J271" s="8" t="s">
        <v>5023</v>
      </c>
    </row>
    <row r="272" customFormat="false" ht="15" hidden="false" customHeight="false" outlineLevel="0" collapsed="false">
      <c r="A272" s="44" t="s">
        <v>4365</v>
      </c>
      <c r="B272" s="44" t="s">
        <v>55</v>
      </c>
      <c r="C272" s="44" t="s">
        <v>118</v>
      </c>
      <c r="D272" s="44" t="s">
        <v>4366</v>
      </c>
      <c r="E272" s="37" t="n">
        <f aca="false">COUNTIF('Watch Paths'!$A$2:$A$4220,A272)</f>
        <v>17</v>
      </c>
      <c r="F272" s="37" t="n">
        <f aca="false">COUNTIFS('Watch Paths'!$A$2:$A$4220,A272,'Watch Paths'!$M$2:$M$4220,1)</f>
        <v>6</v>
      </c>
      <c r="G272" s="38" t="n">
        <f aca="false">IF(E272=0,0,F272/E272)</f>
        <v>0.352941176470588</v>
      </c>
      <c r="H272" s="37" t="str">
        <f aca="false">IFERROR(INDEX('Watch Paths'!$G$2:$G$4220,MATCH(A272,'Watch Paths'!$N$2:$N$4220,0)),"✓ complete")</f>
        <v>Almost Famous</v>
      </c>
      <c r="I272" s="8" t="s">
        <v>5024</v>
      </c>
      <c r="J272" s="8" t="s">
        <v>5025</v>
      </c>
    </row>
    <row r="273" customFormat="false" ht="15" hidden="false" customHeight="false" outlineLevel="0" collapsed="false">
      <c r="A273" s="44" t="s">
        <v>4367</v>
      </c>
      <c r="B273" s="44" t="s">
        <v>55</v>
      </c>
      <c r="C273" s="44" t="s">
        <v>118</v>
      </c>
      <c r="D273" s="44" t="s">
        <v>4368</v>
      </c>
      <c r="E273" s="37" t="n">
        <f aca="false">COUNTIF('Watch Paths'!$A$2:$A$4220,A273)</f>
        <v>12</v>
      </c>
      <c r="F273" s="37" t="n">
        <f aca="false">COUNTIFS('Watch Paths'!$A$2:$A$4220,A273,'Watch Paths'!$M$2:$M$4220,1)</f>
        <v>3</v>
      </c>
      <c r="G273" s="38" t="n">
        <f aca="false">IF(E273=0,0,F273/E273)</f>
        <v>0.25</v>
      </c>
      <c r="H273" s="37" t="str">
        <f aca="false">IFERROR(INDEX('Watch Paths'!$G$2:$G$4220,MATCH(A273,'Watch Paths'!$N$2:$N$4220,0)),"✓ complete")</f>
        <v>Tampopo</v>
      </c>
      <c r="I273" s="8" t="s">
        <v>5026</v>
      </c>
      <c r="J273" s="8" t="s">
        <v>5027</v>
      </c>
    </row>
    <row r="274" customFormat="false" ht="15" hidden="false" customHeight="false" outlineLevel="0" collapsed="false">
      <c r="A274" s="44" t="s">
        <v>4369</v>
      </c>
      <c r="B274" s="44" t="s">
        <v>55</v>
      </c>
      <c r="C274" s="44" t="s">
        <v>118</v>
      </c>
      <c r="D274" s="44" t="s">
        <v>4370</v>
      </c>
      <c r="E274" s="37" t="n">
        <f aca="false">COUNTIF('Watch Paths'!$A$2:$A$4220,A274)</f>
        <v>17</v>
      </c>
      <c r="F274" s="37" t="n">
        <f aca="false">COUNTIFS('Watch Paths'!$A$2:$A$4220,A274,'Watch Paths'!$M$2:$M$4220,1)</f>
        <v>3</v>
      </c>
      <c r="G274" s="38" t="n">
        <f aca="false">IF(E274=0,0,F274/E274)</f>
        <v>0.176470588235294</v>
      </c>
      <c r="H274" s="37" t="str">
        <f aca="false">IFERROR(INDEX('Watch Paths'!$G$2:$G$4220,MATCH(A274,'Watch Paths'!$N$2:$N$4220,0)),"✓ complete")</f>
        <v>8½</v>
      </c>
      <c r="I274" s="8" t="s">
        <v>5028</v>
      </c>
      <c r="J274" s="8" t="s">
        <v>5029</v>
      </c>
    </row>
    <row r="275" customFormat="false" ht="15" hidden="false" customHeight="false" outlineLevel="0" collapsed="false">
      <c r="A275" s="44" t="s">
        <v>4371</v>
      </c>
      <c r="B275" s="44" t="s">
        <v>55</v>
      </c>
      <c r="C275" s="44" t="s">
        <v>118</v>
      </c>
      <c r="D275" s="44" t="s">
        <v>4372</v>
      </c>
      <c r="E275" s="37" t="n">
        <f aca="false">COUNTIF('Watch Paths'!$A$2:$A$4220,A275)</f>
        <v>16</v>
      </c>
      <c r="F275" s="37" t="n">
        <f aca="false">COUNTIFS('Watch Paths'!$A$2:$A$4220,A275,'Watch Paths'!$M$2:$M$4220,1)</f>
        <v>6</v>
      </c>
      <c r="G275" s="38" t="n">
        <f aca="false">IF(E275=0,0,F275/E275)</f>
        <v>0.375</v>
      </c>
      <c r="H275" s="37" t="str">
        <f aca="false">IFERROR(INDEX('Watch Paths'!$G$2:$G$4220,MATCH(A275,'Watch Paths'!$N$2:$N$4220,0)),"✓ complete")</f>
        <v>The Grapes of Wrath</v>
      </c>
      <c r="I275" s="8" t="s">
        <v>5030</v>
      </c>
      <c r="J275" s="8" t="s">
        <v>5031</v>
      </c>
    </row>
    <row r="276" customFormat="false" ht="23.85" hidden="false" customHeight="false" outlineLevel="0" collapsed="false">
      <c r="A276" s="44" t="s">
        <v>4373</v>
      </c>
      <c r="B276" s="44" t="s">
        <v>55</v>
      </c>
      <c r="C276" s="44" t="s">
        <v>118</v>
      </c>
      <c r="D276" s="44" t="s">
        <v>4374</v>
      </c>
      <c r="E276" s="37" t="n">
        <f aca="false">COUNTIF('Watch Paths'!$A$2:$A$4220,A276)</f>
        <v>16</v>
      </c>
      <c r="F276" s="37" t="n">
        <f aca="false">COUNTIFS('Watch Paths'!$A$2:$A$4220,A276,'Watch Paths'!$M$2:$M$4220,1)</f>
        <v>3</v>
      </c>
      <c r="G276" s="38" t="n">
        <f aca="false">IF(E276=0,0,F276/E276)</f>
        <v>0.1875</v>
      </c>
      <c r="H276" s="37" t="str">
        <f aca="false">IFERROR(INDEX('Watch Paths'!$G$2:$G$4220,MATCH(A276,'Watch Paths'!$N$2:$N$4220,0)),"✓ complete")</f>
        <v>The Last of the Mohicans</v>
      </c>
      <c r="I276" s="8" t="s">
        <v>5032</v>
      </c>
      <c r="J276" s="8" t="s">
        <v>5033</v>
      </c>
    </row>
    <row r="277" customFormat="false" ht="15" hidden="false" customHeight="false" outlineLevel="0" collapsed="false">
      <c r="A277" s="45" t="s">
        <v>4375</v>
      </c>
      <c r="B277" s="45" t="s">
        <v>56</v>
      </c>
      <c r="C277" s="45" t="s">
        <v>119</v>
      </c>
      <c r="D277" s="45" t="s">
        <v>4376</v>
      </c>
      <c r="E277" s="37" t="n">
        <f aca="false">COUNTIF('Watch Paths'!$A$2:$A$4220,A277)</f>
        <v>10</v>
      </c>
      <c r="F277" s="37" t="n">
        <f aca="false">COUNTIFS('Watch Paths'!$A$2:$A$4220,A277,'Watch Paths'!$M$2:$M$4220,1)</f>
        <v>1</v>
      </c>
      <c r="G277" s="38" t="n">
        <f aca="false">IF(E277=0,0,F277/E277)</f>
        <v>0.1</v>
      </c>
      <c r="H277" s="37" t="str">
        <f aca="false">IFERROR(INDEX('Watch Paths'!$G$2:$G$4220,MATCH(A277,'Watch Paths'!$N$2:$N$4220,0)),"✓ complete")</f>
        <v>High Noon</v>
      </c>
      <c r="I277" s="8" t="s">
        <v>5034</v>
      </c>
      <c r="J277" s="8" t="s">
        <v>5035</v>
      </c>
    </row>
    <row r="278" customFormat="false" ht="15" hidden="false" customHeight="false" outlineLevel="0" collapsed="false">
      <c r="A278" s="45" t="s">
        <v>4377</v>
      </c>
      <c r="B278" s="45" t="s">
        <v>56</v>
      </c>
      <c r="C278" s="45" t="s">
        <v>119</v>
      </c>
      <c r="D278" s="45" t="s">
        <v>4378</v>
      </c>
      <c r="E278" s="37" t="n">
        <f aca="false">COUNTIF('Watch Paths'!$A$2:$A$4220,A278)</f>
        <v>17</v>
      </c>
      <c r="F278" s="37" t="n">
        <f aca="false">COUNTIFS('Watch Paths'!$A$2:$A$4220,A278,'Watch Paths'!$M$2:$M$4220,1)</f>
        <v>6</v>
      </c>
      <c r="G278" s="38" t="n">
        <f aca="false">IF(E278=0,0,F278/E278)</f>
        <v>0.352941176470588</v>
      </c>
      <c r="H278" s="37" t="str">
        <f aca="false">IFERROR(INDEX('Watch Paths'!$G$2:$G$4220,MATCH(A278,'Watch Paths'!$N$2:$N$4220,0)),"✓ complete")</f>
        <v>Lifeboat</v>
      </c>
      <c r="I278" s="8" t="s">
        <v>5036</v>
      </c>
      <c r="J278" s="8" t="s">
        <v>5037</v>
      </c>
    </row>
    <row r="279" customFormat="false" ht="15" hidden="false" customHeight="false" outlineLevel="0" collapsed="false">
      <c r="A279" s="45" t="s">
        <v>4379</v>
      </c>
      <c r="B279" s="45" t="s">
        <v>56</v>
      </c>
      <c r="C279" s="45" t="s">
        <v>119</v>
      </c>
      <c r="D279" s="45" t="s">
        <v>4380</v>
      </c>
      <c r="E279" s="37" t="n">
        <f aca="false">COUNTIF('Watch Paths'!$A$2:$A$4220,A279)</f>
        <v>14</v>
      </c>
      <c r="F279" s="37" t="n">
        <f aca="false">COUNTIFS('Watch Paths'!$A$2:$A$4220,A279,'Watch Paths'!$M$2:$M$4220,1)</f>
        <v>2</v>
      </c>
      <c r="G279" s="38" t="n">
        <f aca="false">IF(E279=0,0,F279/E279)</f>
        <v>0.142857142857143</v>
      </c>
      <c r="H279" s="37" t="str">
        <f aca="false">IFERROR(INDEX('Watch Paths'!$G$2:$G$4220,MATCH(A279,'Watch Paths'!$N$2:$N$4220,0)),"✓ complete")</f>
        <v>Kwaidan</v>
      </c>
      <c r="I279" s="8" t="s">
        <v>5038</v>
      </c>
      <c r="J279" s="8" t="s">
        <v>5039</v>
      </c>
    </row>
    <row r="280" customFormat="false" ht="15" hidden="false" customHeight="false" outlineLevel="0" collapsed="false">
      <c r="A280" s="45" t="s">
        <v>4381</v>
      </c>
      <c r="B280" s="45" t="s">
        <v>56</v>
      </c>
      <c r="C280" s="45" t="s">
        <v>119</v>
      </c>
      <c r="D280" s="45" t="s">
        <v>4382</v>
      </c>
      <c r="E280" s="37" t="n">
        <f aca="false">COUNTIF('Watch Paths'!$A$2:$A$4220,A280)</f>
        <v>10</v>
      </c>
      <c r="F280" s="37" t="n">
        <f aca="false">COUNTIFS('Watch Paths'!$A$2:$A$4220,A280,'Watch Paths'!$M$2:$M$4220,1)</f>
        <v>3</v>
      </c>
      <c r="G280" s="38" t="n">
        <f aca="false">IF(E280=0,0,F280/E280)</f>
        <v>0.3</v>
      </c>
      <c r="H280" s="37" t="str">
        <f aca="false">IFERROR(INDEX('Watch Paths'!$G$2:$G$4220,MATCH(A280,'Watch Paths'!$N$2:$N$4220,0)),"✓ complete")</f>
        <v>Boyhood</v>
      </c>
      <c r="I280" s="8" t="s">
        <v>5040</v>
      </c>
      <c r="J280" s="8" t="s">
        <v>5041</v>
      </c>
    </row>
    <row r="281" customFormat="false" ht="15" hidden="false" customHeight="false" outlineLevel="0" collapsed="false">
      <c r="A281" s="45" t="s">
        <v>4383</v>
      </c>
      <c r="B281" s="45" t="s">
        <v>56</v>
      </c>
      <c r="C281" s="45" t="s">
        <v>120</v>
      </c>
      <c r="D281" s="45" t="s">
        <v>4384</v>
      </c>
      <c r="E281" s="37" t="n">
        <f aca="false">COUNTIF('Watch Paths'!$A$2:$A$4220,A281)</f>
        <v>8</v>
      </c>
      <c r="F281" s="37" t="n">
        <f aca="false">COUNTIFS('Watch Paths'!$A$2:$A$4220,A281,'Watch Paths'!$M$2:$M$4220,1)</f>
        <v>0</v>
      </c>
      <c r="G281" s="38" t="n">
        <f aca="false">IF(E281=0,0,F281/E281)</f>
        <v>0</v>
      </c>
      <c r="H281" s="37" t="str">
        <f aca="false">IFERROR(INDEX('Watch Paths'!$G$2:$G$4220,MATCH(A281,'Watch Paths'!$N$2:$N$4220,0)),"✓ complete")</f>
        <v>Das Boot</v>
      </c>
      <c r="I281" s="8" t="s">
        <v>5042</v>
      </c>
      <c r="J281" s="8" t="s">
        <v>5043</v>
      </c>
    </row>
    <row r="282" customFormat="false" ht="15" hidden="false" customHeight="false" outlineLevel="0" collapsed="false">
      <c r="A282" s="45" t="s">
        <v>4385</v>
      </c>
      <c r="B282" s="45" t="s">
        <v>56</v>
      </c>
      <c r="C282" s="45" t="s">
        <v>120</v>
      </c>
      <c r="D282" s="45" t="s">
        <v>4386</v>
      </c>
      <c r="E282" s="37" t="n">
        <f aca="false">COUNTIF('Watch Paths'!$A$2:$A$4220,A282)</f>
        <v>9</v>
      </c>
      <c r="F282" s="37" t="n">
        <f aca="false">COUNTIFS('Watch Paths'!$A$2:$A$4220,A282,'Watch Paths'!$M$2:$M$4220,1)</f>
        <v>0</v>
      </c>
      <c r="G282" s="38" t="n">
        <f aca="false">IF(E282=0,0,F282/E282)</f>
        <v>0</v>
      </c>
      <c r="H282" s="37" t="str">
        <f aca="false">IFERROR(INDEX('Watch Paths'!$G$2:$G$4220,MATCH(A282,'Watch Paths'!$N$2:$N$4220,0)),"✓ complete")</f>
        <v>The Holy Mountain</v>
      </c>
      <c r="I282" s="8" t="s">
        <v>5044</v>
      </c>
      <c r="J282" s="8" t="s">
        <v>5045</v>
      </c>
    </row>
    <row r="283" customFormat="false" ht="15" hidden="false" customHeight="false" outlineLevel="0" collapsed="false">
      <c r="A283" s="45" t="s">
        <v>4387</v>
      </c>
      <c r="B283" s="45" t="s">
        <v>56</v>
      </c>
      <c r="C283" s="45" t="s">
        <v>120</v>
      </c>
      <c r="D283" s="45" t="s">
        <v>4388</v>
      </c>
      <c r="E283" s="37" t="n">
        <f aca="false">COUNTIF('Watch Paths'!$A$2:$A$4220,A283)</f>
        <v>10</v>
      </c>
      <c r="F283" s="37" t="n">
        <f aca="false">COUNTIFS('Watch Paths'!$A$2:$A$4220,A283,'Watch Paths'!$M$2:$M$4220,1)</f>
        <v>3</v>
      </c>
      <c r="G283" s="38" t="n">
        <f aca="false">IF(E283=0,0,F283/E283)</f>
        <v>0.3</v>
      </c>
      <c r="H283" s="37" t="str">
        <f aca="false">IFERROR(INDEX('Watch Paths'!$G$2:$G$4220,MATCH(A283,'Watch Paths'!$N$2:$N$4220,0)),"✓ complete")</f>
        <v>The Poseidon Adventure</v>
      </c>
      <c r="I283" s="8" t="s">
        <v>5046</v>
      </c>
      <c r="J283" s="8" t="s">
        <v>5047</v>
      </c>
    </row>
    <row r="284" customFormat="false" ht="15" hidden="false" customHeight="false" outlineLevel="0" collapsed="false">
      <c r="A284" s="45" t="s">
        <v>4389</v>
      </c>
      <c r="B284" s="45" t="s">
        <v>56</v>
      </c>
      <c r="C284" s="45" t="s">
        <v>120</v>
      </c>
      <c r="D284" s="45" t="s">
        <v>4390</v>
      </c>
      <c r="E284" s="37" t="n">
        <f aca="false">COUNTIF('Watch Paths'!$A$2:$A$4220,A284)</f>
        <v>10</v>
      </c>
      <c r="F284" s="37" t="n">
        <f aca="false">COUNTIFS('Watch Paths'!$A$2:$A$4220,A284,'Watch Paths'!$M$2:$M$4220,1)</f>
        <v>0</v>
      </c>
      <c r="G284" s="38" t="n">
        <f aca="false">IF(E284=0,0,F284/E284)</f>
        <v>0</v>
      </c>
      <c r="H284" s="37" t="str">
        <f aca="false">IFERROR(INDEX('Watch Paths'!$G$2:$G$4220,MATCH(A284,'Watch Paths'!$N$2:$N$4220,0)),"✓ complete")</f>
        <v>Godzilla</v>
      </c>
      <c r="I284" s="8" t="s">
        <v>5048</v>
      </c>
      <c r="J284" s="8" t="s">
        <v>5049</v>
      </c>
    </row>
    <row r="285" customFormat="false" ht="15" hidden="false" customHeight="false" outlineLevel="0" collapsed="false">
      <c r="A285" s="45" t="s">
        <v>4391</v>
      </c>
      <c r="B285" s="45" t="s">
        <v>56</v>
      </c>
      <c r="C285" s="45" t="s">
        <v>120</v>
      </c>
      <c r="D285" s="45" t="s">
        <v>4392</v>
      </c>
      <c r="E285" s="37" t="n">
        <f aca="false">COUNTIF('Watch Paths'!$A$2:$A$4220,A285)</f>
        <v>12</v>
      </c>
      <c r="F285" s="37" t="n">
        <f aca="false">COUNTIFS('Watch Paths'!$A$2:$A$4220,A285,'Watch Paths'!$M$2:$M$4220,1)</f>
        <v>1</v>
      </c>
      <c r="G285" s="38" t="n">
        <f aca="false">IF(E285=0,0,F285/E285)</f>
        <v>0.0833333333333333</v>
      </c>
      <c r="H285" s="37" t="str">
        <f aca="false">IFERROR(INDEX('Watch Paths'!$G$2:$G$4220,MATCH(A285,'Watch Paths'!$N$2:$N$4220,0)),"✓ complete")</f>
        <v>Eve's Bayou</v>
      </c>
      <c r="I285" s="8" t="s">
        <v>5050</v>
      </c>
      <c r="J285" s="8" t="s">
        <v>5051</v>
      </c>
    </row>
    <row r="286" customFormat="false" ht="23.85" hidden="false" customHeight="false" outlineLevel="0" collapsed="false">
      <c r="A286" s="45" t="s">
        <v>4393</v>
      </c>
      <c r="B286" s="45" t="s">
        <v>56</v>
      </c>
      <c r="C286" s="45" t="s">
        <v>120</v>
      </c>
      <c r="D286" s="45" t="s">
        <v>4394</v>
      </c>
      <c r="E286" s="37" t="n">
        <f aca="false">COUNTIF('Watch Paths'!$A$2:$A$4220,A286)</f>
        <v>9</v>
      </c>
      <c r="F286" s="37" t="n">
        <f aca="false">COUNTIFS('Watch Paths'!$A$2:$A$4220,A286,'Watch Paths'!$M$2:$M$4220,1)</f>
        <v>2</v>
      </c>
      <c r="G286" s="38" t="n">
        <f aca="false">IF(E286=0,0,F286/E286)</f>
        <v>0.222222222222222</v>
      </c>
      <c r="H286" s="37" t="str">
        <f aca="false">IFERROR(INDEX('Watch Paths'!$G$2:$G$4220,MATCH(A286,'Watch Paths'!$N$2:$N$4220,0)),"✓ complete")</f>
        <v>Boyz n the Hood</v>
      </c>
      <c r="I286" s="8" t="s">
        <v>5052</v>
      </c>
      <c r="J286" s="8" t="s">
        <v>5053</v>
      </c>
    </row>
    <row r="287" customFormat="false" ht="15" hidden="false" customHeight="false" outlineLevel="0" collapsed="false">
      <c r="A287" s="45" t="s">
        <v>4395</v>
      </c>
      <c r="B287" s="45" t="s">
        <v>56</v>
      </c>
      <c r="C287" s="45" t="s">
        <v>120</v>
      </c>
      <c r="D287" s="45" t="s">
        <v>4396</v>
      </c>
      <c r="E287" s="37" t="n">
        <f aca="false">COUNTIF('Watch Paths'!$A$2:$A$4220,A287)</f>
        <v>11</v>
      </c>
      <c r="F287" s="37" t="n">
        <f aca="false">COUNTIFS('Watch Paths'!$A$2:$A$4220,A287,'Watch Paths'!$M$2:$M$4220,1)</f>
        <v>1</v>
      </c>
      <c r="G287" s="38" t="n">
        <f aca="false">IF(E287=0,0,F287/E287)</f>
        <v>0.0909090909090909</v>
      </c>
      <c r="H287" s="37" t="str">
        <f aca="false">IFERROR(INDEX('Watch Paths'!$G$2:$G$4220,MATCH(A287,'Watch Paths'!$N$2:$N$4220,0)),"✓ complete")</f>
        <v>Quadrophenia</v>
      </c>
      <c r="I287" s="8" t="s">
        <v>5054</v>
      </c>
      <c r="J287" s="8" t="s">
        <v>5055</v>
      </c>
    </row>
    <row r="288" customFormat="false" ht="15" hidden="false" customHeight="false" outlineLevel="0" collapsed="false">
      <c r="A288" s="45" t="s">
        <v>4397</v>
      </c>
      <c r="B288" s="45" t="s">
        <v>56</v>
      </c>
      <c r="C288" s="45" t="s">
        <v>120</v>
      </c>
      <c r="D288" s="45" t="s">
        <v>4398</v>
      </c>
      <c r="E288" s="37" t="n">
        <f aca="false">COUNTIF('Watch Paths'!$A$2:$A$4220,A288)</f>
        <v>14</v>
      </c>
      <c r="F288" s="37" t="n">
        <f aca="false">COUNTIFS('Watch Paths'!$A$2:$A$4220,A288,'Watch Paths'!$M$2:$M$4220,1)</f>
        <v>6</v>
      </c>
      <c r="G288" s="38" t="n">
        <f aca="false">IF(E288=0,0,F288/E288)</f>
        <v>0.428571428571429</v>
      </c>
      <c r="H288" s="37" t="str">
        <f aca="false">IFERROR(INDEX('Watch Paths'!$G$2:$G$4220,MATCH(A288,'Watch Paths'!$N$2:$N$4220,0)),"✓ complete")</f>
        <v>Rio Bravo</v>
      </c>
      <c r="I288" s="8" t="s">
        <v>5056</v>
      </c>
      <c r="J288" s="8" t="s">
        <v>5057</v>
      </c>
    </row>
    <row r="289" customFormat="false" ht="15" hidden="false" customHeight="false" outlineLevel="0" collapsed="false">
      <c r="A289" s="45" t="s">
        <v>4399</v>
      </c>
      <c r="B289" s="45" t="s">
        <v>56</v>
      </c>
      <c r="C289" s="45" t="s">
        <v>120</v>
      </c>
      <c r="D289" s="45" t="s">
        <v>4400</v>
      </c>
      <c r="E289" s="37" t="n">
        <f aca="false">COUNTIF('Watch Paths'!$A$2:$A$4220,A289)</f>
        <v>12</v>
      </c>
      <c r="F289" s="37" t="n">
        <f aca="false">COUNTIFS('Watch Paths'!$A$2:$A$4220,A289,'Watch Paths'!$M$2:$M$4220,1)</f>
        <v>4</v>
      </c>
      <c r="G289" s="38" t="n">
        <f aca="false">IF(E289=0,0,F289/E289)</f>
        <v>0.333333333333333</v>
      </c>
      <c r="H289" s="37" t="str">
        <f aca="false">IFERROR(INDEX('Watch Paths'!$G$2:$G$4220,MATCH(A289,'Watch Paths'!$N$2:$N$4220,0)),"✓ complete")</f>
        <v>The Great Escape</v>
      </c>
      <c r="I289" s="8" t="s">
        <v>5058</v>
      </c>
      <c r="J289" s="8" t="s">
        <v>5059</v>
      </c>
    </row>
    <row r="290" customFormat="false" ht="15" hidden="false" customHeight="false" outlineLevel="0" collapsed="false">
      <c r="A290" s="45" t="s">
        <v>4401</v>
      </c>
      <c r="B290" s="45" t="s">
        <v>56</v>
      </c>
      <c r="C290" s="45" t="s">
        <v>120</v>
      </c>
      <c r="D290" s="45" t="s">
        <v>4402</v>
      </c>
      <c r="E290" s="37" t="n">
        <f aca="false">COUNTIF('Watch Paths'!$A$2:$A$4220,A290)</f>
        <v>10</v>
      </c>
      <c r="F290" s="37" t="n">
        <f aca="false">COUNTIFS('Watch Paths'!$A$2:$A$4220,A290,'Watch Paths'!$M$2:$M$4220,1)</f>
        <v>5</v>
      </c>
      <c r="G290" s="38" t="n">
        <f aca="false">IF(E290=0,0,F290/E290)</f>
        <v>0.5</v>
      </c>
      <c r="H290" s="37" t="str">
        <f aca="false">IFERROR(INDEX('Watch Paths'!$G$2:$G$4220,MATCH(A290,'Watch Paths'!$N$2:$N$4220,0)),"✓ complete")</f>
        <v>Drive</v>
      </c>
      <c r="I290" s="8" t="s">
        <v>5060</v>
      </c>
      <c r="J290" s="8" t="s">
        <v>5061</v>
      </c>
    </row>
    <row r="291" customFormat="false" ht="15" hidden="false" customHeight="false" outlineLevel="0" collapsed="false">
      <c r="A291" s="45" t="s">
        <v>4403</v>
      </c>
      <c r="B291" s="45" t="s">
        <v>56</v>
      </c>
      <c r="C291" s="45" t="s">
        <v>121</v>
      </c>
      <c r="D291" s="45" t="s">
        <v>4404</v>
      </c>
      <c r="E291" s="37" t="n">
        <f aca="false">COUNTIF('Watch Paths'!$A$2:$A$4220,A291)</f>
        <v>10</v>
      </c>
      <c r="F291" s="37" t="n">
        <f aca="false">COUNTIFS('Watch Paths'!$A$2:$A$4220,A291,'Watch Paths'!$M$2:$M$4220,1)</f>
        <v>1</v>
      </c>
      <c r="G291" s="38" t="n">
        <f aca="false">IF(E291=0,0,F291/E291)</f>
        <v>0.1</v>
      </c>
      <c r="H291" s="37" t="str">
        <f aca="false">IFERROR(INDEX('Watch Paths'!$G$2:$G$4220,MATCH(A291,'Watch Paths'!$N$2:$N$4220,0)),"✓ complete")</f>
        <v>El Topo</v>
      </c>
      <c r="I291" s="8" t="s">
        <v>5062</v>
      </c>
      <c r="J291" s="8" t="s">
        <v>5063</v>
      </c>
    </row>
    <row r="292" customFormat="false" ht="23.85" hidden="false" customHeight="false" outlineLevel="0" collapsed="false">
      <c r="A292" s="45" t="s">
        <v>4405</v>
      </c>
      <c r="B292" s="45" t="s">
        <v>56</v>
      </c>
      <c r="C292" s="45" t="s">
        <v>121</v>
      </c>
      <c r="D292" s="45" t="s">
        <v>4406</v>
      </c>
      <c r="E292" s="37" t="n">
        <f aca="false">COUNTIF('Watch Paths'!$A$2:$A$4220,A292)</f>
        <v>10</v>
      </c>
      <c r="F292" s="37" t="n">
        <f aca="false">COUNTIFS('Watch Paths'!$A$2:$A$4220,A292,'Watch Paths'!$M$2:$M$4220,1)</f>
        <v>0</v>
      </c>
      <c r="G292" s="38" t="n">
        <f aca="false">IF(E292=0,0,F292/E292)</f>
        <v>0</v>
      </c>
      <c r="H292" s="37" t="str">
        <f aca="false">IFERROR(INDEX('Watch Paths'!$G$2:$G$4220,MATCH(A292,'Watch Paths'!$N$2:$N$4220,0)),"✓ complete")</f>
        <v>The Evil Dead</v>
      </c>
      <c r="I292" s="8" t="s">
        <v>5064</v>
      </c>
      <c r="J292" s="8" t="s">
        <v>5065</v>
      </c>
    </row>
    <row r="293" customFormat="false" ht="15" hidden="false" customHeight="false" outlineLevel="0" collapsed="false">
      <c r="A293" s="45" t="s">
        <v>4407</v>
      </c>
      <c r="B293" s="45" t="s">
        <v>56</v>
      </c>
      <c r="C293" s="45" t="s">
        <v>121</v>
      </c>
      <c r="D293" s="45" t="s">
        <v>4408</v>
      </c>
      <c r="E293" s="37" t="n">
        <f aca="false">COUNTIF('Watch Paths'!$A$2:$A$4220,A293)</f>
        <v>10</v>
      </c>
      <c r="F293" s="37" t="n">
        <f aca="false">COUNTIFS('Watch Paths'!$A$2:$A$4220,A293,'Watch Paths'!$M$2:$M$4220,1)</f>
        <v>2</v>
      </c>
      <c r="G293" s="38" t="n">
        <f aca="false">IF(E293=0,0,F293/E293)</f>
        <v>0.2</v>
      </c>
      <c r="H293" s="37" t="str">
        <f aca="false">IFERROR(INDEX('Watch Paths'!$G$2:$G$4220,MATCH(A293,'Watch Paths'!$N$2:$N$4220,0)),"✓ complete")</f>
        <v>Black Christmas</v>
      </c>
      <c r="I293" s="8" t="s">
        <v>5066</v>
      </c>
      <c r="J293" s="8" t="s">
        <v>5067</v>
      </c>
    </row>
    <row r="294" customFormat="false" ht="15" hidden="false" customHeight="false" outlineLevel="0" collapsed="false">
      <c r="A294" s="45" t="s">
        <v>4409</v>
      </c>
      <c r="B294" s="45" t="s">
        <v>56</v>
      </c>
      <c r="C294" s="45" t="s">
        <v>121</v>
      </c>
      <c r="D294" s="45" t="s">
        <v>4410</v>
      </c>
      <c r="E294" s="37" t="n">
        <f aca="false">COUNTIF('Watch Paths'!$A$2:$A$4220,A294)</f>
        <v>11</v>
      </c>
      <c r="F294" s="37" t="n">
        <f aca="false">COUNTIFS('Watch Paths'!$A$2:$A$4220,A294,'Watch Paths'!$M$2:$M$4220,1)</f>
        <v>0</v>
      </c>
      <c r="G294" s="38" t="n">
        <f aca="false">IF(E294=0,0,F294/E294)</f>
        <v>0</v>
      </c>
      <c r="H294" s="37" t="str">
        <f aca="false">IFERROR(INDEX('Watch Paths'!$G$2:$G$4220,MATCH(A294,'Watch Paths'!$N$2:$N$4220,0)),"✓ complete")</f>
        <v>House</v>
      </c>
      <c r="I294" s="8" t="s">
        <v>5068</v>
      </c>
      <c r="J294" s="8" t="s">
        <v>5069</v>
      </c>
    </row>
    <row r="295" customFormat="false" ht="15" hidden="false" customHeight="false" outlineLevel="0" collapsed="false">
      <c r="A295" s="45" t="s">
        <v>4411</v>
      </c>
      <c r="B295" s="45" t="s">
        <v>56</v>
      </c>
      <c r="C295" s="45" t="s">
        <v>122</v>
      </c>
      <c r="D295" s="45" t="s">
        <v>4412</v>
      </c>
      <c r="E295" s="37" t="n">
        <f aca="false">COUNTIF('Watch Paths'!$A$2:$A$4220,A295)</f>
        <v>15</v>
      </c>
      <c r="F295" s="37" t="n">
        <f aca="false">COUNTIFS('Watch Paths'!$A$2:$A$4220,A295,'Watch Paths'!$M$2:$M$4220,1)</f>
        <v>5</v>
      </c>
      <c r="G295" s="38" t="n">
        <f aca="false">IF(E295=0,0,F295/E295)</f>
        <v>0.333333333333333</v>
      </c>
      <c r="H295" s="37" t="str">
        <f aca="false">IFERROR(INDEX('Watch Paths'!$G$2:$G$4220,MATCH(A295,'Watch Paths'!$N$2:$N$4220,0)),"✓ complete")</f>
        <v>Seven Samurai</v>
      </c>
      <c r="I295" s="8" t="s">
        <v>5070</v>
      </c>
      <c r="J295" s="8" t="s">
        <v>5071</v>
      </c>
    </row>
    <row r="296" customFormat="false" ht="15" hidden="false" customHeight="false" outlineLevel="0" collapsed="false">
      <c r="A296" s="45" t="s">
        <v>4413</v>
      </c>
      <c r="B296" s="45" t="s">
        <v>56</v>
      </c>
      <c r="C296" s="45" t="s">
        <v>122</v>
      </c>
      <c r="D296" s="45" t="s">
        <v>4414</v>
      </c>
      <c r="E296" s="37" t="n">
        <f aca="false">COUNTIF('Watch Paths'!$A$2:$A$4220,A296)</f>
        <v>14</v>
      </c>
      <c r="F296" s="37" t="n">
        <f aca="false">COUNTIFS('Watch Paths'!$A$2:$A$4220,A296,'Watch Paths'!$M$2:$M$4220,1)</f>
        <v>0</v>
      </c>
      <c r="G296" s="38" t="n">
        <f aca="false">IF(E296=0,0,F296/E296)</f>
        <v>0</v>
      </c>
      <c r="H296" s="37" t="str">
        <f aca="false">IFERROR(INDEX('Watch Paths'!$G$2:$G$4220,MATCH(A296,'Watch Paths'!$N$2:$N$4220,0)),"✓ complete")</f>
        <v>City on Fire</v>
      </c>
      <c r="I296" s="8" t="s">
        <v>5072</v>
      </c>
      <c r="J296" s="8" t="s">
        <v>5073</v>
      </c>
    </row>
    <row r="297" customFormat="false" ht="15" hidden="false" customHeight="false" outlineLevel="0" collapsed="false">
      <c r="A297" s="45" t="s">
        <v>4415</v>
      </c>
      <c r="B297" s="45" t="s">
        <v>56</v>
      </c>
      <c r="C297" s="45" t="s">
        <v>122</v>
      </c>
      <c r="D297" s="45" t="s">
        <v>4416</v>
      </c>
      <c r="E297" s="37" t="n">
        <f aca="false">COUNTIF('Watch Paths'!$A$2:$A$4220,A297)</f>
        <v>16</v>
      </c>
      <c r="F297" s="37" t="n">
        <f aca="false">COUNTIFS('Watch Paths'!$A$2:$A$4220,A297,'Watch Paths'!$M$2:$M$4220,1)</f>
        <v>7</v>
      </c>
      <c r="G297" s="38" t="n">
        <f aca="false">IF(E297=0,0,F297/E297)</f>
        <v>0.4375</v>
      </c>
      <c r="H297" s="37" t="str">
        <f aca="false">IFERROR(INDEX('Watch Paths'!$G$2:$G$4220,MATCH(A297,'Watch Paths'!$N$2:$N$4220,0)),"✓ complete")</f>
        <v>Citizen Kane</v>
      </c>
      <c r="I297" s="8" t="s">
        <v>5074</v>
      </c>
      <c r="J297" s="8" t="s">
        <v>5075</v>
      </c>
    </row>
    <row r="298" customFormat="false" ht="15" hidden="false" customHeight="false" outlineLevel="0" collapsed="false">
      <c r="A298" s="45" t="s">
        <v>4417</v>
      </c>
      <c r="B298" s="45" t="s">
        <v>56</v>
      </c>
      <c r="C298" s="45" t="s">
        <v>123</v>
      </c>
      <c r="D298" s="45" t="s">
        <v>4418</v>
      </c>
      <c r="E298" s="37" t="n">
        <f aca="false">COUNTIF('Watch Paths'!$A$2:$A$4220,A298)</f>
        <v>12</v>
      </c>
      <c r="F298" s="37" t="n">
        <f aca="false">COUNTIFS('Watch Paths'!$A$2:$A$4220,A298,'Watch Paths'!$M$2:$M$4220,1)</f>
        <v>7</v>
      </c>
      <c r="G298" s="38" t="n">
        <f aca="false">IF(E298=0,0,F298/E298)</f>
        <v>0.583333333333333</v>
      </c>
      <c r="H298" s="37" t="str">
        <f aca="false">IFERROR(INDEX('Watch Paths'!$G$2:$G$4220,MATCH(A298,'Watch Paths'!$N$2:$N$4220,0)),"✓ complete")</f>
        <v>The Trouble with Harry</v>
      </c>
      <c r="I298" s="8" t="s">
        <v>5076</v>
      </c>
      <c r="J298" s="8" t="s">
        <v>5077</v>
      </c>
    </row>
    <row r="299" customFormat="false" ht="15" hidden="false" customHeight="false" outlineLevel="0" collapsed="false">
      <c r="A299" s="45" t="s">
        <v>4419</v>
      </c>
      <c r="B299" s="45" t="s">
        <v>56</v>
      </c>
      <c r="C299" s="45" t="s">
        <v>123</v>
      </c>
      <c r="D299" s="45" t="s">
        <v>4420</v>
      </c>
      <c r="E299" s="37" t="n">
        <f aca="false">COUNTIF('Watch Paths'!$A$2:$A$4220,A299)</f>
        <v>16</v>
      </c>
      <c r="F299" s="37" t="n">
        <f aca="false">COUNTIFS('Watch Paths'!$A$2:$A$4220,A299,'Watch Paths'!$M$2:$M$4220,1)</f>
        <v>6</v>
      </c>
      <c r="G299" s="38" t="n">
        <f aca="false">IF(E299=0,0,F299/E299)</f>
        <v>0.375</v>
      </c>
      <c r="H299" s="37" t="str">
        <f aca="false">IFERROR(INDEX('Watch Paths'!$G$2:$G$4220,MATCH(A299,'Watch Paths'!$N$2:$N$4220,0)),"✓ complete")</f>
        <v>The Shop Around the Corner</v>
      </c>
      <c r="I299" s="8" t="s">
        <v>5078</v>
      </c>
      <c r="J299" s="8" t="s">
        <v>5079</v>
      </c>
    </row>
    <row r="300" customFormat="false" ht="15" hidden="false" customHeight="false" outlineLevel="0" collapsed="false">
      <c r="A300" s="45" t="s">
        <v>4421</v>
      </c>
      <c r="B300" s="45" t="s">
        <v>56</v>
      </c>
      <c r="C300" s="45" t="s">
        <v>123</v>
      </c>
      <c r="D300" s="45" t="s">
        <v>4422</v>
      </c>
      <c r="E300" s="37" t="n">
        <f aca="false">COUNTIF('Watch Paths'!$A$2:$A$4220,A300)</f>
        <v>11</v>
      </c>
      <c r="F300" s="37" t="n">
        <f aca="false">COUNTIFS('Watch Paths'!$A$2:$A$4220,A300,'Watch Paths'!$M$2:$M$4220,1)</f>
        <v>4</v>
      </c>
      <c r="G300" s="38" t="n">
        <f aca="false">IF(E300=0,0,F300/E300)</f>
        <v>0.363636363636364</v>
      </c>
      <c r="H300" s="37" t="str">
        <f aca="false">IFERROR(INDEX('Watch Paths'!$G$2:$G$4220,MATCH(A300,'Watch Paths'!$N$2:$N$4220,0)),"✓ complete")</f>
        <v>McCabe &amp; Mrs. Miller</v>
      </c>
      <c r="I300" s="8" t="s">
        <v>5080</v>
      </c>
      <c r="J300" s="8" t="s">
        <v>5081</v>
      </c>
    </row>
    <row r="301" customFormat="false" ht="15" hidden="false" customHeight="false" outlineLevel="0" collapsed="false">
      <c r="A301" s="45" t="s">
        <v>4423</v>
      </c>
      <c r="B301" s="45" t="s">
        <v>56</v>
      </c>
      <c r="C301" s="45" t="s">
        <v>123</v>
      </c>
      <c r="D301" s="45" t="s">
        <v>4424</v>
      </c>
      <c r="E301" s="37" t="n">
        <f aca="false">COUNTIF('Watch Paths'!$A$2:$A$4220,A301)</f>
        <v>12</v>
      </c>
      <c r="F301" s="37" t="n">
        <f aca="false">COUNTIFS('Watch Paths'!$A$2:$A$4220,A301,'Watch Paths'!$M$2:$M$4220,1)</f>
        <v>2</v>
      </c>
      <c r="G301" s="38" t="n">
        <f aca="false">IF(E301=0,0,F301/E301)</f>
        <v>0.166666666666667</v>
      </c>
      <c r="H301" s="37" t="str">
        <f aca="false">IFERROR(INDEX('Watch Paths'!$G$2:$G$4220,MATCH(A301,'Watch Paths'!$N$2:$N$4220,0)),"✓ complete")</f>
        <v>Paddington 2</v>
      </c>
      <c r="I301" s="8" t="s">
        <v>5082</v>
      </c>
      <c r="J301" s="8" t="s">
        <v>5083</v>
      </c>
    </row>
    <row r="302" customFormat="false" ht="23.85" hidden="false" customHeight="false" outlineLevel="0" collapsed="false">
      <c r="A302" s="46" t="s">
        <v>4425</v>
      </c>
      <c r="B302" s="46" t="s">
        <v>57</v>
      </c>
      <c r="C302" s="46" t="s">
        <v>124</v>
      </c>
      <c r="D302" s="46" t="s">
        <v>4426</v>
      </c>
      <c r="E302" s="37" t="n">
        <f aca="false">COUNTIF('Watch Paths'!$A$2:$A$4220,A302)</f>
        <v>66</v>
      </c>
      <c r="F302" s="37" t="n">
        <f aca="false">COUNTIFS('Watch Paths'!$A$2:$A$4220,A302,'Watch Paths'!$M$2:$M$4220,1)</f>
        <v>20</v>
      </c>
      <c r="G302" s="38" t="n">
        <f aca="false">IF(E302=0,0,F302/E302)</f>
        <v>0.303030303030303</v>
      </c>
      <c r="H302" s="37" t="str">
        <f aca="false">IFERROR(INDEX('Watch Paths'!$G$2:$G$4220,MATCH(A302,'Watch Paths'!$N$2:$N$4220,0)),"✓ complete")</f>
        <v>Vertigo</v>
      </c>
      <c r="I302" s="8" t="s">
        <v>5084</v>
      </c>
      <c r="J302" s="8" t="s">
        <v>5085</v>
      </c>
    </row>
    <row r="303" customFormat="false" ht="23.85" hidden="false" customHeight="false" outlineLevel="0" collapsed="false">
      <c r="A303" s="46" t="s">
        <v>4427</v>
      </c>
      <c r="B303" s="46" t="s">
        <v>57</v>
      </c>
      <c r="C303" s="46" t="s">
        <v>124</v>
      </c>
      <c r="D303" s="46" t="s">
        <v>4428</v>
      </c>
      <c r="E303" s="37" t="n">
        <f aca="false">COUNTIF('Watch Paths'!$A$2:$A$4220,A303)</f>
        <v>99</v>
      </c>
      <c r="F303" s="37" t="n">
        <f aca="false">COUNTIFS('Watch Paths'!$A$2:$A$4220,A303,'Watch Paths'!$M$2:$M$4220,1)</f>
        <v>43</v>
      </c>
      <c r="G303" s="38" t="n">
        <f aca="false">IF(E303=0,0,F303/E303)</f>
        <v>0.434343434343434</v>
      </c>
      <c r="H303" s="37" t="str">
        <f aca="false">IFERROR(INDEX('Watch Paths'!$G$2:$G$4220,MATCH(A303,'Watch Paths'!$N$2:$N$4220,0)),"✓ complete")</f>
        <v>Citizen Kane</v>
      </c>
      <c r="I303" s="8" t="s">
        <v>5086</v>
      </c>
      <c r="J303" s="8" t="s">
        <v>5087</v>
      </c>
    </row>
    <row r="304" customFormat="false" ht="15" hidden="false" customHeight="false" outlineLevel="0" collapsed="false">
      <c r="A304" s="46" t="s">
        <v>4429</v>
      </c>
      <c r="B304" s="46" t="s">
        <v>57</v>
      </c>
      <c r="C304" s="46" t="s">
        <v>124</v>
      </c>
      <c r="D304" s="46" t="s">
        <v>4430</v>
      </c>
      <c r="E304" s="37" t="n">
        <f aca="false">COUNTIF('Watch Paths'!$A$2:$A$4220,A304)</f>
        <v>21</v>
      </c>
      <c r="F304" s="37" t="n">
        <f aca="false">COUNTIFS('Watch Paths'!$A$2:$A$4220,A304,'Watch Paths'!$M$2:$M$4220,1)</f>
        <v>2</v>
      </c>
      <c r="G304" s="38" t="n">
        <f aca="false">IF(E304=0,0,F304/E304)</f>
        <v>0.0952380952380952</v>
      </c>
      <c r="H304" s="37" t="str">
        <f aca="false">IFERROR(INDEX('Watch Paths'!$G$2:$G$4220,MATCH(A304,'Watch Paths'!$N$2:$N$4220,0)),"✓ complete")</f>
        <v>The Third Man</v>
      </c>
      <c r="I304" s="8" t="s">
        <v>5088</v>
      </c>
      <c r="J304" s="8" t="s">
        <v>5089</v>
      </c>
    </row>
    <row r="305" customFormat="false" ht="15" hidden="false" customHeight="false" outlineLevel="0" collapsed="false">
      <c r="A305" s="46" t="s">
        <v>4431</v>
      </c>
      <c r="B305" s="46" t="s">
        <v>57</v>
      </c>
      <c r="C305" s="46" t="s">
        <v>124</v>
      </c>
      <c r="D305" s="46" t="s">
        <v>4432</v>
      </c>
      <c r="E305" s="37" t="n">
        <f aca="false">COUNTIF('Watch Paths'!$A$2:$A$4220,A305)</f>
        <v>14</v>
      </c>
      <c r="F305" s="37" t="n">
        <f aca="false">COUNTIFS('Watch Paths'!$A$2:$A$4220,A305,'Watch Paths'!$M$2:$M$4220,1)</f>
        <v>3</v>
      </c>
      <c r="G305" s="38" t="n">
        <f aca="false">IF(E305=0,0,F305/E305)</f>
        <v>0.214285714285714</v>
      </c>
      <c r="H305" s="37" t="str">
        <f aca="false">IFERROR(INDEX('Watch Paths'!$G$2:$G$4220,MATCH(A305,'Watch Paths'!$N$2:$N$4220,0)),"✓ complete")</f>
        <v>Floating Weeds</v>
      </c>
      <c r="I305" s="8" t="s">
        <v>5090</v>
      </c>
      <c r="J305" s="8" t="s">
        <v>5091</v>
      </c>
    </row>
    <row r="306" customFormat="false" ht="15" hidden="false" customHeight="false" outlineLevel="0" collapsed="false">
      <c r="A306" s="46" t="s">
        <v>4433</v>
      </c>
      <c r="B306" s="46" t="s">
        <v>57</v>
      </c>
      <c r="C306" s="46" t="s">
        <v>125</v>
      </c>
      <c r="D306" s="46" t="s">
        <v>4434</v>
      </c>
      <c r="E306" s="37" t="n">
        <f aca="false">COUNTIF('Watch Paths'!$A$2:$A$4220,A306)</f>
        <v>10</v>
      </c>
      <c r="F306" s="37" t="n">
        <f aca="false">COUNTIFS('Watch Paths'!$A$2:$A$4220,A306,'Watch Paths'!$M$2:$M$4220,1)</f>
        <v>0</v>
      </c>
      <c r="G306" s="38" t="n">
        <f aca="false">IF(E306=0,0,F306/E306)</f>
        <v>0</v>
      </c>
      <c r="H306" s="37" t="str">
        <f aca="false">IFERROR(INDEX('Watch Paths'!$G$2:$G$4220,MATCH(A306,'Watch Paths'!$N$2:$N$4220,0)),"✓ complete")</f>
        <v>I Vitelloni</v>
      </c>
      <c r="I306" s="8" t="s">
        <v>5092</v>
      </c>
      <c r="J306" s="8" t="s">
        <v>5093</v>
      </c>
    </row>
    <row r="307" customFormat="false" ht="23.85" hidden="false" customHeight="false" outlineLevel="0" collapsed="false">
      <c r="A307" s="46" t="s">
        <v>4435</v>
      </c>
      <c r="B307" s="46" t="s">
        <v>57</v>
      </c>
      <c r="C307" s="46" t="s">
        <v>125</v>
      </c>
      <c r="D307" s="46" t="s">
        <v>4436</v>
      </c>
      <c r="E307" s="37" t="n">
        <f aca="false">COUNTIF('Watch Paths'!$A$2:$A$4220,A307)</f>
        <v>10</v>
      </c>
      <c r="F307" s="37" t="n">
        <f aca="false">COUNTIFS('Watch Paths'!$A$2:$A$4220,A307,'Watch Paths'!$M$2:$M$4220,1)</f>
        <v>0</v>
      </c>
      <c r="G307" s="38" t="n">
        <f aca="false">IF(E307=0,0,F307/E307)</f>
        <v>0</v>
      </c>
      <c r="H307" s="37" t="str">
        <f aca="false">IFERROR(INDEX('Watch Paths'!$G$2:$G$4220,MATCH(A307,'Watch Paths'!$N$2:$N$4220,0)),"✓ complete")</f>
        <v>Diary of a Country Priest</v>
      </c>
      <c r="I307" s="8" t="s">
        <v>5094</v>
      </c>
      <c r="J307" s="8" t="s">
        <v>5095</v>
      </c>
    </row>
    <row r="308" customFormat="false" ht="23.85" hidden="false" customHeight="false" outlineLevel="0" collapsed="false">
      <c r="A308" s="46" t="s">
        <v>4437</v>
      </c>
      <c r="B308" s="46" t="s">
        <v>57</v>
      </c>
      <c r="C308" s="46" t="s">
        <v>126</v>
      </c>
      <c r="D308" s="46" t="s">
        <v>4438</v>
      </c>
      <c r="E308" s="37" t="n">
        <f aca="false">COUNTIF('Watch Paths'!$A$2:$A$4220,A308)</f>
        <v>21</v>
      </c>
      <c r="F308" s="37" t="n">
        <f aca="false">COUNTIFS('Watch Paths'!$A$2:$A$4220,A308,'Watch Paths'!$M$2:$M$4220,1)</f>
        <v>8</v>
      </c>
      <c r="G308" s="38" t="n">
        <f aca="false">IF(E308=0,0,F308/E308)</f>
        <v>0.380952380952381</v>
      </c>
      <c r="H308" s="37" t="str">
        <f aca="false">IFERROR(INDEX('Watch Paths'!$G$2:$G$4220,MATCH(A308,'Watch Paths'!$N$2:$N$4220,0)),"✓ complete")</f>
        <v>Seven Samurai</v>
      </c>
      <c r="I308" s="8" t="s">
        <v>5096</v>
      </c>
      <c r="J308" s="8" t="s">
        <v>5097</v>
      </c>
    </row>
    <row r="309" customFormat="false" ht="23.85" hidden="false" customHeight="false" outlineLevel="0" collapsed="false">
      <c r="A309" s="46" t="s">
        <v>4439</v>
      </c>
      <c r="B309" s="46" t="s">
        <v>57</v>
      </c>
      <c r="C309" s="46" t="s">
        <v>126</v>
      </c>
      <c r="D309" s="46" t="s">
        <v>4440</v>
      </c>
      <c r="E309" s="37" t="n">
        <f aca="false">COUNTIF('Watch Paths'!$A$2:$A$4220,A309)</f>
        <v>16</v>
      </c>
      <c r="F309" s="37" t="n">
        <f aca="false">COUNTIFS('Watch Paths'!$A$2:$A$4220,A309,'Watch Paths'!$M$2:$M$4220,1)</f>
        <v>1</v>
      </c>
      <c r="G309" s="38" t="n">
        <f aca="false">IF(E309=0,0,F309/E309)</f>
        <v>0.0625</v>
      </c>
      <c r="H309" s="37" t="str">
        <f aca="false">IFERROR(INDEX('Watch Paths'!$G$2:$G$4220,MATCH(A309,'Watch Paths'!$N$2:$N$4220,0)),"✓ complete")</f>
        <v>Deep Red</v>
      </c>
      <c r="I309" s="8" t="s">
        <v>5098</v>
      </c>
      <c r="J309" s="8" t="s">
        <v>5099</v>
      </c>
    </row>
    <row r="310" customFormat="false" ht="15" hidden="false" customHeight="false" outlineLevel="0" collapsed="false">
      <c r="A310" s="46" t="s">
        <v>4441</v>
      </c>
      <c r="B310" s="46" t="s">
        <v>57</v>
      </c>
      <c r="C310" s="46" t="s">
        <v>126</v>
      </c>
      <c r="D310" s="46" t="s">
        <v>4442</v>
      </c>
      <c r="E310" s="37" t="n">
        <f aca="false">COUNTIF('Watch Paths'!$A$2:$A$4220,A310)</f>
        <v>10</v>
      </c>
      <c r="F310" s="37" t="n">
        <f aca="false">COUNTIFS('Watch Paths'!$A$2:$A$4220,A310,'Watch Paths'!$M$2:$M$4220,1)</f>
        <v>0</v>
      </c>
      <c r="G310" s="38" t="n">
        <f aca="false">IF(E310=0,0,F310/E310)</f>
        <v>0</v>
      </c>
      <c r="H310" s="37" t="str">
        <f aca="false">IFERROR(INDEX('Watch Paths'!$G$2:$G$4220,MATCH(A310,'Watch Paths'!$N$2:$N$4220,0)),"✓ complete")</f>
        <v>Deep End</v>
      </c>
      <c r="I310" s="8" t="s">
        <v>5100</v>
      </c>
      <c r="J310" s="8" t="s">
        <v>5101</v>
      </c>
    </row>
    <row r="311" customFormat="false" ht="23.85" hidden="false" customHeight="false" outlineLevel="0" collapsed="false">
      <c r="A311" s="46" t="s">
        <v>4443</v>
      </c>
      <c r="B311" s="46" t="s">
        <v>57</v>
      </c>
      <c r="C311" s="46" t="s">
        <v>126</v>
      </c>
      <c r="D311" s="46" t="s">
        <v>4444</v>
      </c>
      <c r="E311" s="37" t="n">
        <f aca="false">COUNTIF('Watch Paths'!$A$2:$A$4220,A311)</f>
        <v>12</v>
      </c>
      <c r="F311" s="37" t="n">
        <f aca="false">COUNTIFS('Watch Paths'!$A$2:$A$4220,A311,'Watch Paths'!$M$2:$M$4220,1)</f>
        <v>1</v>
      </c>
      <c r="G311" s="38" t="n">
        <f aca="false">IF(E311=0,0,F311/E311)</f>
        <v>0.0833333333333333</v>
      </c>
      <c r="H311" s="37" t="str">
        <f aca="false">IFERROR(INDEX('Watch Paths'!$G$2:$G$4220,MATCH(A311,'Watch Paths'!$N$2:$N$4220,0)),"✓ complete")</f>
        <v>Nosferatu</v>
      </c>
      <c r="I311" s="8" t="s">
        <v>5102</v>
      </c>
      <c r="J311" s="8" t="s">
        <v>5103</v>
      </c>
    </row>
    <row r="312" customFormat="false" ht="15" hidden="false" customHeight="false" outlineLevel="0" collapsed="false">
      <c r="A312" s="46" t="s">
        <v>4445</v>
      </c>
      <c r="B312" s="46" t="s">
        <v>57</v>
      </c>
      <c r="C312" s="46" t="s">
        <v>126</v>
      </c>
      <c r="D312" s="46" t="s">
        <v>4446</v>
      </c>
      <c r="E312" s="37" t="n">
        <f aca="false">COUNTIF('Watch Paths'!$A$2:$A$4220,A312)</f>
        <v>9</v>
      </c>
      <c r="F312" s="37" t="n">
        <f aca="false">COUNTIFS('Watch Paths'!$A$2:$A$4220,A312,'Watch Paths'!$M$2:$M$4220,1)</f>
        <v>0</v>
      </c>
      <c r="G312" s="38" t="n">
        <f aca="false">IF(E312=0,0,F312/E312)</f>
        <v>0</v>
      </c>
      <c r="H312" s="37" t="str">
        <f aca="false">IFERROR(INDEX('Watch Paths'!$G$2:$G$4220,MATCH(A312,'Watch Paths'!$N$2:$N$4220,0)),"✓ complete")</f>
        <v>The Cremator</v>
      </c>
      <c r="I312" s="8" t="s">
        <v>5104</v>
      </c>
      <c r="J312" s="8" t="s">
        <v>5105</v>
      </c>
    </row>
    <row r="313" customFormat="false" ht="23.85" hidden="false" customHeight="false" outlineLevel="0" collapsed="false">
      <c r="A313" s="46" t="s">
        <v>4447</v>
      </c>
      <c r="B313" s="46" t="s">
        <v>57</v>
      </c>
      <c r="C313" s="46" t="s">
        <v>126</v>
      </c>
      <c r="D313" s="46" t="s">
        <v>4448</v>
      </c>
      <c r="E313" s="37" t="n">
        <f aca="false">COUNTIF('Watch Paths'!$A$2:$A$4220,A313)</f>
        <v>16</v>
      </c>
      <c r="F313" s="37" t="n">
        <f aca="false">COUNTIFS('Watch Paths'!$A$2:$A$4220,A313,'Watch Paths'!$M$2:$M$4220,1)</f>
        <v>0</v>
      </c>
      <c r="G313" s="38" t="n">
        <f aca="false">IF(E313=0,0,F313/E313)</f>
        <v>0</v>
      </c>
      <c r="H313" s="37" t="str">
        <f aca="false">IFERROR(INDEX('Watch Paths'!$G$2:$G$4220,MATCH(A313,'Watch Paths'!$N$2:$N$4220,0)),"✓ complete")</f>
        <v>Touki Bouki</v>
      </c>
      <c r="I313" s="8" t="s">
        <v>5106</v>
      </c>
      <c r="J313" s="8" t="s">
        <v>5107</v>
      </c>
    </row>
    <row r="314" customFormat="false" ht="15" hidden="false" customHeight="false" outlineLevel="0" collapsed="false">
      <c r="A314" s="46" t="s">
        <v>4449</v>
      </c>
      <c r="B314" s="46" t="s">
        <v>57</v>
      </c>
      <c r="C314" s="46" t="s">
        <v>126</v>
      </c>
      <c r="D314" s="46" t="s">
        <v>4450</v>
      </c>
      <c r="E314" s="37" t="n">
        <f aca="false">COUNTIF('Watch Paths'!$A$2:$A$4220,A314)</f>
        <v>17</v>
      </c>
      <c r="F314" s="37" t="n">
        <f aca="false">COUNTIFS('Watch Paths'!$A$2:$A$4220,A314,'Watch Paths'!$M$2:$M$4220,1)</f>
        <v>9</v>
      </c>
      <c r="G314" s="38" t="n">
        <f aca="false">IF(E314=0,0,F314/E314)</f>
        <v>0.529411764705882</v>
      </c>
      <c r="H314" s="37" t="str">
        <f aca="false">IFERROR(INDEX('Watch Paths'!$G$2:$G$4220,MATCH(A314,'Watch Paths'!$N$2:$N$4220,0)),"✓ complete")</f>
        <v>Spring Breakers</v>
      </c>
      <c r="I314" s="8" t="s">
        <v>5108</v>
      </c>
      <c r="J314" s="8" t="s">
        <v>5109</v>
      </c>
    </row>
    <row r="315" customFormat="false" ht="35.05" hidden="false" customHeight="false" outlineLevel="0" collapsed="false">
      <c r="A315" s="46" t="s">
        <v>4451</v>
      </c>
      <c r="B315" s="46" t="s">
        <v>57</v>
      </c>
      <c r="C315" s="46" t="s">
        <v>127</v>
      </c>
      <c r="D315" s="46" t="s">
        <v>4452</v>
      </c>
      <c r="E315" s="37" t="n">
        <f aca="false">COUNTIF('Watch Paths'!$A$2:$A$4220,A315)</f>
        <v>17</v>
      </c>
      <c r="F315" s="37" t="n">
        <f aca="false">COUNTIFS('Watch Paths'!$A$2:$A$4220,A315,'Watch Paths'!$M$2:$M$4220,1)</f>
        <v>8</v>
      </c>
      <c r="G315" s="38" t="n">
        <f aca="false">IF(E315=0,0,F315/E315)</f>
        <v>0.470588235294118</v>
      </c>
      <c r="H315" s="37" t="str">
        <f aca="false">IFERROR(INDEX('Watch Paths'!$G$2:$G$4220,MATCH(A315,'Watch Paths'!$N$2:$N$4220,0)),"✓ complete")</f>
        <v>Sherlock Jr.</v>
      </c>
      <c r="I315" s="8" t="s">
        <v>5110</v>
      </c>
      <c r="J315" s="8" t="s">
        <v>5111</v>
      </c>
    </row>
    <row r="316" customFormat="false" ht="23.85" hidden="false" customHeight="false" outlineLevel="0" collapsed="false">
      <c r="A316" s="46" t="s">
        <v>4453</v>
      </c>
      <c r="B316" s="46" t="s">
        <v>57</v>
      </c>
      <c r="C316" s="46" t="s">
        <v>127</v>
      </c>
      <c r="D316" s="46" t="s">
        <v>4454</v>
      </c>
      <c r="E316" s="37" t="n">
        <f aca="false">COUNTIF('Watch Paths'!$A$2:$A$4220,A316)</f>
        <v>32</v>
      </c>
      <c r="F316" s="37" t="n">
        <f aca="false">COUNTIFS('Watch Paths'!$A$2:$A$4220,A316,'Watch Paths'!$M$2:$M$4220,1)</f>
        <v>7</v>
      </c>
      <c r="G316" s="38" t="n">
        <f aca="false">IF(E316=0,0,F316/E316)</f>
        <v>0.21875</v>
      </c>
      <c r="H316" s="37" t="str">
        <f aca="false">IFERROR(INDEX('Watch Paths'!$G$2:$G$4220,MATCH(A316,'Watch Paths'!$N$2:$N$4220,0)),"✓ complete")</f>
        <v>The Great Train Robbery</v>
      </c>
      <c r="I316" s="8" t="s">
        <v>5112</v>
      </c>
      <c r="J316" s="8" t="s">
        <v>5113</v>
      </c>
    </row>
    <row r="317" customFormat="false" ht="23.85" hidden="false" customHeight="false" outlineLevel="0" collapsed="false">
      <c r="A317" s="46" t="s">
        <v>4455</v>
      </c>
      <c r="B317" s="46" t="s">
        <v>57</v>
      </c>
      <c r="C317" s="46" t="s">
        <v>127</v>
      </c>
      <c r="D317" s="46" t="s">
        <v>4456</v>
      </c>
      <c r="E317" s="37" t="n">
        <f aca="false">COUNTIF('Watch Paths'!$A$2:$A$4220,A317)</f>
        <v>22</v>
      </c>
      <c r="F317" s="37" t="n">
        <f aca="false">COUNTIFS('Watch Paths'!$A$2:$A$4220,A317,'Watch Paths'!$M$2:$M$4220,1)</f>
        <v>12</v>
      </c>
      <c r="G317" s="38" t="n">
        <f aca="false">IF(E317=0,0,F317/E317)</f>
        <v>0.545454545454545</v>
      </c>
      <c r="H317" s="37" t="str">
        <f aca="false">IFERROR(INDEX('Watch Paths'!$G$2:$G$4220,MATCH(A317,'Watch Paths'!$N$2:$N$4220,0)),"✓ complete")</f>
        <v>The Great Train Robbery</v>
      </c>
      <c r="I317" s="8" t="s">
        <v>5114</v>
      </c>
      <c r="J317" s="8" t="s">
        <v>5115</v>
      </c>
    </row>
    <row r="318" customFormat="false" ht="15" hidden="false" customHeight="false" outlineLevel="0" collapsed="false">
      <c r="A318" s="47" t="s">
        <v>4457</v>
      </c>
      <c r="B318" s="47" t="s">
        <v>58</v>
      </c>
      <c r="C318" s="47" t="s">
        <v>128</v>
      </c>
      <c r="D318" s="47" t="s">
        <v>4458</v>
      </c>
      <c r="E318" s="37" t="n">
        <f aca="false">COUNTIF('Watch Paths'!$A$2:$A$4220,A318)</f>
        <v>11</v>
      </c>
      <c r="F318" s="37" t="n">
        <f aca="false">COUNTIFS('Watch Paths'!$A$2:$A$4220,A318,'Watch Paths'!$M$2:$M$4220,1)</f>
        <v>3</v>
      </c>
      <c r="G318" s="38" t="n">
        <f aca="false">IF(E318=0,0,F318/E318)</f>
        <v>0.272727272727273</v>
      </c>
      <c r="H318" s="37" t="str">
        <f aca="false">IFERROR(INDEX('Watch Paths'!$G$2:$G$4220,MATCH(A318,'Watch Paths'!$N$2:$N$4220,0)),"✓ complete")</f>
        <v>Carnival of Souls</v>
      </c>
      <c r="I318" s="8" t="s">
        <v>5116</v>
      </c>
      <c r="J318" s="8" t="s">
        <v>5117</v>
      </c>
    </row>
    <row r="319" customFormat="false" ht="15" hidden="false" customHeight="false" outlineLevel="0" collapsed="false">
      <c r="A319" s="47" t="s">
        <v>4459</v>
      </c>
      <c r="B319" s="47" t="s">
        <v>58</v>
      </c>
      <c r="C319" s="47" t="s">
        <v>128</v>
      </c>
      <c r="D319" s="47" t="s">
        <v>4460</v>
      </c>
      <c r="E319" s="37" t="n">
        <f aca="false">COUNTIF('Watch Paths'!$A$2:$A$4220,A319)</f>
        <v>10</v>
      </c>
      <c r="F319" s="37" t="n">
        <f aca="false">COUNTIFS('Watch Paths'!$A$2:$A$4220,A319,'Watch Paths'!$M$2:$M$4220,1)</f>
        <v>1</v>
      </c>
      <c r="G319" s="38" t="n">
        <f aca="false">IF(E319=0,0,F319/E319)</f>
        <v>0.1</v>
      </c>
      <c r="H319" s="37" t="str">
        <f aca="false">IFERROR(INDEX('Watch Paths'!$G$2:$G$4220,MATCH(A319,'Watch Paths'!$N$2:$N$4220,0)),"✓ complete")</f>
        <v>8½</v>
      </c>
      <c r="I319" s="8" t="s">
        <v>5118</v>
      </c>
      <c r="J319" s="8" t="s">
        <v>5117</v>
      </c>
    </row>
    <row r="320" customFormat="false" ht="15" hidden="false" customHeight="false" outlineLevel="0" collapsed="false">
      <c r="A320" s="47" t="s">
        <v>4461</v>
      </c>
      <c r="B320" s="47" t="s">
        <v>58</v>
      </c>
      <c r="C320" s="47" t="s">
        <v>128</v>
      </c>
      <c r="D320" s="47" t="s">
        <v>4462</v>
      </c>
      <c r="E320" s="37" t="n">
        <f aca="false">COUNTIF('Watch Paths'!$A$2:$A$4220,A320)</f>
        <v>10</v>
      </c>
      <c r="F320" s="37" t="n">
        <f aca="false">COUNTIFS('Watch Paths'!$A$2:$A$4220,A320,'Watch Paths'!$M$2:$M$4220,1)</f>
        <v>3</v>
      </c>
      <c r="G320" s="38" t="n">
        <f aca="false">IF(E320=0,0,F320/E320)</f>
        <v>0.3</v>
      </c>
      <c r="H320" s="37" t="str">
        <f aca="false">IFERROR(INDEX('Watch Paths'!$G$2:$G$4220,MATCH(A320,'Watch Paths'!$N$2:$N$4220,0)),"✓ complete")</f>
        <v>Mon Oncle d'Amérique</v>
      </c>
      <c r="I320" s="8" t="s">
        <v>5119</v>
      </c>
      <c r="J320" s="8" t="s">
        <v>5117</v>
      </c>
    </row>
    <row r="321" customFormat="false" ht="15" hidden="false" customHeight="false" outlineLevel="0" collapsed="false">
      <c r="A321" s="47" t="s">
        <v>4463</v>
      </c>
      <c r="B321" s="47" t="s">
        <v>58</v>
      </c>
      <c r="C321" s="47" t="s">
        <v>129</v>
      </c>
      <c r="D321" s="47" t="s">
        <v>4464</v>
      </c>
      <c r="E321" s="37" t="n">
        <f aca="false">COUNTIF('Watch Paths'!$A$2:$A$4220,A321)</f>
        <v>10</v>
      </c>
      <c r="F321" s="37" t="n">
        <f aca="false">COUNTIFS('Watch Paths'!$A$2:$A$4220,A321,'Watch Paths'!$M$2:$M$4220,1)</f>
        <v>3</v>
      </c>
      <c r="G321" s="38" t="n">
        <f aca="false">IF(E321=0,0,F321/E321)</f>
        <v>0.3</v>
      </c>
      <c r="H321" s="37" t="str">
        <f aca="false">IFERROR(INDEX('Watch Paths'!$G$2:$G$4220,MATCH(A321,'Watch Paths'!$N$2:$N$4220,0)),"✓ complete")</f>
        <v>The Leopard</v>
      </c>
      <c r="I321" s="8" t="s">
        <v>5120</v>
      </c>
      <c r="J321" s="8" t="s">
        <v>5117</v>
      </c>
    </row>
    <row r="322" customFormat="false" ht="15" hidden="false" customHeight="false" outlineLevel="0" collapsed="false">
      <c r="A322" s="47" t="s">
        <v>4465</v>
      </c>
      <c r="B322" s="47" t="s">
        <v>58</v>
      </c>
      <c r="C322" s="47" t="s">
        <v>129</v>
      </c>
      <c r="D322" s="47" t="s">
        <v>4466</v>
      </c>
      <c r="E322" s="37" t="n">
        <f aca="false">COUNTIF('Watch Paths'!$A$2:$A$4220,A322)</f>
        <v>11</v>
      </c>
      <c r="F322" s="37" t="n">
        <f aca="false">COUNTIFS('Watch Paths'!$A$2:$A$4220,A322,'Watch Paths'!$M$2:$M$4220,1)</f>
        <v>8</v>
      </c>
      <c r="G322" s="38" t="n">
        <f aca="false">IF(E322=0,0,F322/E322)</f>
        <v>0.727272727272727</v>
      </c>
      <c r="H322" s="37" t="str">
        <f aca="false">IFERROR(INDEX('Watch Paths'!$G$2:$G$4220,MATCH(A322,'Watch Paths'!$N$2:$N$4220,0)),"✓ complete")</f>
        <v>PlayTime</v>
      </c>
      <c r="I322" s="8" t="s">
        <v>5121</v>
      </c>
      <c r="J322" s="8" t="s">
        <v>5117</v>
      </c>
    </row>
    <row r="323" customFormat="false" ht="15" hidden="false" customHeight="false" outlineLevel="0" collapsed="false">
      <c r="A323" s="47" t="s">
        <v>4467</v>
      </c>
      <c r="B323" s="47" t="s">
        <v>58</v>
      </c>
      <c r="C323" s="47" t="s">
        <v>129</v>
      </c>
      <c r="D323" s="47" t="s">
        <v>4468</v>
      </c>
      <c r="E323" s="37" t="n">
        <f aca="false">COUNTIF('Watch Paths'!$A$2:$A$4220,A323)</f>
        <v>10</v>
      </c>
      <c r="F323" s="37" t="n">
        <f aca="false">COUNTIFS('Watch Paths'!$A$2:$A$4220,A323,'Watch Paths'!$M$2:$M$4220,1)</f>
        <v>4</v>
      </c>
      <c r="G323" s="38" t="n">
        <f aca="false">IF(E323=0,0,F323/E323)</f>
        <v>0.4</v>
      </c>
      <c r="H323" s="37" t="str">
        <f aca="false">IFERROR(INDEX('Watch Paths'!$G$2:$G$4220,MATCH(A323,'Watch Paths'!$N$2:$N$4220,0)),"✓ complete")</f>
        <v>Sullivan's Travels</v>
      </c>
      <c r="I323" s="8" t="s">
        <v>5122</v>
      </c>
      <c r="J323" s="8" t="s">
        <v>5117</v>
      </c>
    </row>
    <row r="324" customFormat="false" ht="15" hidden="false" customHeight="false" outlineLevel="0" collapsed="false">
      <c r="A324" s="47" t="s">
        <v>4469</v>
      </c>
      <c r="B324" s="47" t="s">
        <v>58</v>
      </c>
      <c r="C324" s="47" t="s">
        <v>129</v>
      </c>
      <c r="D324" s="47" t="s">
        <v>4470</v>
      </c>
      <c r="E324" s="37" t="n">
        <f aca="false">COUNTIF('Watch Paths'!$A$2:$A$4220,A324)</f>
        <v>11</v>
      </c>
      <c r="F324" s="37" t="n">
        <f aca="false">COUNTIFS('Watch Paths'!$A$2:$A$4220,A324,'Watch Paths'!$M$2:$M$4220,1)</f>
        <v>6</v>
      </c>
      <c r="G324" s="38" t="n">
        <f aca="false">IF(E324=0,0,F324/E324)</f>
        <v>0.545454545454545</v>
      </c>
      <c r="H324" s="37" t="str">
        <f aca="false">IFERROR(INDEX('Watch Paths'!$G$2:$G$4220,MATCH(A324,'Watch Paths'!$N$2:$N$4220,0)),"✓ complete")</f>
        <v>Harold and Maude</v>
      </c>
      <c r="I324" s="8" t="s">
        <v>5123</v>
      </c>
      <c r="J324" s="8" t="s">
        <v>5117</v>
      </c>
    </row>
    <row r="325" customFormat="false" ht="15" hidden="false" customHeight="false" outlineLevel="0" collapsed="false">
      <c r="A325" s="47" t="s">
        <v>4471</v>
      </c>
      <c r="B325" s="47" t="s">
        <v>58</v>
      </c>
      <c r="C325" s="47" t="s">
        <v>129</v>
      </c>
      <c r="D325" s="47" t="s">
        <v>4472</v>
      </c>
      <c r="E325" s="37" t="n">
        <f aca="false">COUNTIF('Watch Paths'!$A$2:$A$4220,A325)</f>
        <v>10</v>
      </c>
      <c r="F325" s="37" t="n">
        <f aca="false">COUNTIFS('Watch Paths'!$A$2:$A$4220,A325,'Watch Paths'!$M$2:$M$4220,1)</f>
        <v>3</v>
      </c>
      <c r="G325" s="38" t="n">
        <f aca="false">IF(E325=0,0,F325/E325)</f>
        <v>0.3</v>
      </c>
      <c r="H325" s="37" t="str">
        <f aca="false">IFERROR(INDEX('Watch Paths'!$G$2:$G$4220,MATCH(A325,'Watch Paths'!$N$2:$N$4220,0)),"✓ complete")</f>
        <v>Winter Light</v>
      </c>
      <c r="I325" s="8" t="s">
        <v>5124</v>
      </c>
      <c r="J325" s="8" t="s">
        <v>5117</v>
      </c>
    </row>
    <row r="326" customFormat="false" ht="15" hidden="false" customHeight="false" outlineLevel="0" collapsed="false">
      <c r="A326" s="47" t="s">
        <v>4473</v>
      </c>
      <c r="B326" s="47" t="s">
        <v>58</v>
      </c>
      <c r="C326" s="47" t="s">
        <v>130</v>
      </c>
      <c r="D326" s="47" t="s">
        <v>4474</v>
      </c>
      <c r="E326" s="37" t="n">
        <f aca="false">COUNTIF('Watch Paths'!$A$2:$A$4220,A326)</f>
        <v>10</v>
      </c>
      <c r="F326" s="37" t="n">
        <f aca="false">COUNTIFS('Watch Paths'!$A$2:$A$4220,A326,'Watch Paths'!$M$2:$M$4220,1)</f>
        <v>0</v>
      </c>
      <c r="G326" s="38" t="n">
        <f aca="false">IF(E326=0,0,F326/E326)</f>
        <v>0</v>
      </c>
      <c r="H326" s="37" t="str">
        <f aca="false">IFERROR(INDEX('Watch Paths'!$G$2:$G$4220,MATCH(A326,'Watch Paths'!$N$2:$N$4220,0)),"✓ complete")</f>
        <v>Stray Dog</v>
      </c>
      <c r="I326" s="8" t="s">
        <v>5125</v>
      </c>
      <c r="J326" s="8" t="s">
        <v>5117</v>
      </c>
    </row>
    <row r="327" customFormat="false" ht="15" hidden="false" customHeight="false" outlineLevel="0" collapsed="false">
      <c r="A327" s="47" t="s">
        <v>4475</v>
      </c>
      <c r="B327" s="47" t="s">
        <v>58</v>
      </c>
      <c r="C327" s="47" t="s">
        <v>130</v>
      </c>
      <c r="D327" s="47" t="s">
        <v>4476</v>
      </c>
      <c r="E327" s="37" t="n">
        <f aca="false">COUNTIF('Watch Paths'!$A$2:$A$4220,A327)</f>
        <v>11</v>
      </c>
      <c r="F327" s="37" t="n">
        <f aca="false">COUNTIFS('Watch Paths'!$A$2:$A$4220,A327,'Watch Paths'!$M$2:$M$4220,1)</f>
        <v>4</v>
      </c>
      <c r="G327" s="38" t="n">
        <f aca="false">IF(E327=0,0,F327/E327)</f>
        <v>0.363636363636364</v>
      </c>
      <c r="H327" s="37" t="str">
        <f aca="false">IFERROR(INDEX('Watch Paths'!$G$2:$G$4220,MATCH(A327,'Watch Paths'!$N$2:$N$4220,0)),"✓ complete")</f>
        <v>The Thing from Another World</v>
      </c>
      <c r="I327" s="8" t="s">
        <v>5126</v>
      </c>
      <c r="J327" s="8" t="s">
        <v>5117</v>
      </c>
    </row>
    <row r="328" customFormat="false" ht="15" hidden="false" customHeight="false" outlineLevel="0" collapsed="false">
      <c r="A328" s="47" t="s">
        <v>4477</v>
      </c>
      <c r="B328" s="47" t="s">
        <v>58</v>
      </c>
      <c r="C328" s="47" t="s">
        <v>130</v>
      </c>
      <c r="D328" s="47" t="s">
        <v>4478</v>
      </c>
      <c r="E328" s="37" t="n">
        <f aca="false">COUNTIF('Watch Paths'!$A$2:$A$4220,A328)</f>
        <v>11</v>
      </c>
      <c r="F328" s="37" t="n">
        <f aca="false">COUNTIFS('Watch Paths'!$A$2:$A$4220,A328,'Watch Paths'!$M$2:$M$4220,1)</f>
        <v>1</v>
      </c>
      <c r="G328" s="38" t="n">
        <f aca="false">IF(E328=0,0,F328/E328)</f>
        <v>0.0909090909090909</v>
      </c>
      <c r="H328" s="37" t="str">
        <f aca="false">IFERROR(INDEX('Watch Paths'!$G$2:$G$4220,MATCH(A328,'Watch Paths'!$N$2:$N$4220,0)),"✓ complete")</f>
        <v>The Driver</v>
      </c>
      <c r="I328" s="8" t="s">
        <v>5127</v>
      </c>
      <c r="J328" s="8" t="s">
        <v>5117</v>
      </c>
    </row>
    <row r="329" customFormat="false" ht="15" hidden="false" customHeight="false" outlineLevel="0" collapsed="false">
      <c r="A329" s="47" t="s">
        <v>4479</v>
      </c>
      <c r="B329" s="47" t="s">
        <v>58</v>
      </c>
      <c r="C329" s="47" t="s">
        <v>130</v>
      </c>
      <c r="D329" s="47" t="s">
        <v>4480</v>
      </c>
      <c r="E329" s="37" t="n">
        <f aca="false">COUNTIF('Watch Paths'!$A$2:$A$4220,A329)</f>
        <v>10</v>
      </c>
      <c r="F329" s="37" t="n">
        <f aca="false">COUNTIFS('Watch Paths'!$A$2:$A$4220,A329,'Watch Paths'!$M$2:$M$4220,1)</f>
        <v>2</v>
      </c>
      <c r="G329" s="38" t="n">
        <f aca="false">IF(E329=0,0,F329/E329)</f>
        <v>0.2</v>
      </c>
      <c r="H329" s="37" t="str">
        <f aca="false">IFERROR(INDEX('Watch Paths'!$G$2:$G$4220,MATCH(A329,'Watch Paths'!$N$2:$N$4220,0)),"✓ complete")</f>
        <v>Killer of Sheep</v>
      </c>
      <c r="I329" s="8" t="s">
        <v>5128</v>
      </c>
      <c r="J329" s="8" t="s">
        <v>5117</v>
      </c>
    </row>
    <row r="330" customFormat="false" ht="15" hidden="false" customHeight="false" outlineLevel="0" collapsed="false">
      <c r="A330" s="47" t="s">
        <v>4481</v>
      </c>
      <c r="B330" s="47" t="s">
        <v>58</v>
      </c>
      <c r="C330" s="47" t="s">
        <v>130</v>
      </c>
      <c r="D330" s="47" t="s">
        <v>4482</v>
      </c>
      <c r="E330" s="37" t="n">
        <f aca="false">COUNTIF('Watch Paths'!$A$2:$A$4220,A330)</f>
        <v>9</v>
      </c>
      <c r="F330" s="37" t="n">
        <f aca="false">COUNTIFS('Watch Paths'!$A$2:$A$4220,A330,'Watch Paths'!$M$2:$M$4220,1)</f>
        <v>1</v>
      </c>
      <c r="G330" s="38" t="n">
        <f aca="false">IF(E330=0,0,F330/E330)</f>
        <v>0.111111111111111</v>
      </c>
      <c r="H330" s="37" t="str">
        <f aca="false">IFERROR(INDEX('Watch Paths'!$G$2:$G$4220,MATCH(A330,'Watch Paths'!$N$2:$N$4220,0)),"✓ complete")</f>
        <v>Umberto D.</v>
      </c>
      <c r="I330" s="8" t="s">
        <v>5129</v>
      </c>
      <c r="J330" s="8" t="s">
        <v>5117</v>
      </c>
    </row>
    <row r="331" customFormat="false" ht="15" hidden="false" customHeight="false" outlineLevel="0" collapsed="false">
      <c r="A331" s="47" t="s">
        <v>4483</v>
      </c>
      <c r="B331" s="47" t="s">
        <v>58</v>
      </c>
      <c r="C331" s="47" t="s">
        <v>130</v>
      </c>
      <c r="D331" s="47" t="s">
        <v>4484</v>
      </c>
      <c r="E331" s="37" t="n">
        <f aca="false">COUNTIF('Watch Paths'!$A$2:$A$4220,A331)</f>
        <v>11</v>
      </c>
      <c r="F331" s="37" t="n">
        <f aca="false">COUNTIFS('Watch Paths'!$A$2:$A$4220,A331,'Watch Paths'!$M$2:$M$4220,1)</f>
        <v>2</v>
      </c>
      <c r="G331" s="38" t="n">
        <f aca="false">IF(E331=0,0,F331/E331)</f>
        <v>0.181818181818182</v>
      </c>
      <c r="H331" s="37" t="str">
        <f aca="false">IFERROR(INDEX('Watch Paths'!$G$2:$G$4220,MATCH(A331,'Watch Paths'!$N$2:$N$4220,0)),"✓ complete")</f>
        <v>The Holy Mountain</v>
      </c>
      <c r="I331" s="8" t="s">
        <v>5130</v>
      </c>
      <c r="J331" s="8" t="s">
        <v>5117</v>
      </c>
    </row>
  </sheetData>
  <autoFilter ref="A1:J331"/>
  <conditionalFormatting sqref="G2:G331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{CE42892F-1A18-45D7-A4D0-A0813FF711A0}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42892F-1A18-45D7-A4D0-A0813FF711A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G2:G331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W2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tru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36"/>
    <col collapsed="false" customWidth="true" hidden="false" outlineLevel="0" max="11" min="11" style="0" width="80"/>
    <col collapsed="false" customWidth="true" hidden="false" outlineLevel="0" max="12" min="12" style="0" width="10"/>
    <col collapsed="false" customWidth="true" hidden="true" outlineLevel="0" max="13" min="13" style="0" width="40"/>
    <col collapsed="false" customWidth="true" hidden="true" outlineLevel="0" max="23" min="14" style="0" width="8"/>
  </cols>
  <sheetData>
    <row r="1" customFormat="false" ht="42" hidden="false" customHeight="true" outlineLevel="0" collapsed="false">
      <c r="A1" s="24" t="s">
        <v>132</v>
      </c>
      <c r="B1" s="24" t="s">
        <v>133</v>
      </c>
      <c r="C1" s="24" t="s">
        <v>5131</v>
      </c>
      <c r="D1" s="24" t="s">
        <v>134</v>
      </c>
      <c r="E1" s="24" t="s">
        <v>45</v>
      </c>
      <c r="F1" s="24" t="s">
        <v>136</v>
      </c>
      <c r="G1" s="24" t="s">
        <v>139</v>
      </c>
      <c r="H1" s="24" t="s">
        <v>135</v>
      </c>
      <c r="I1" s="24" t="s">
        <v>137</v>
      </c>
      <c r="J1" s="24" t="s">
        <v>138</v>
      </c>
      <c r="K1" s="24" t="s">
        <v>5132</v>
      </c>
      <c r="L1" s="24" t="s">
        <v>5133</v>
      </c>
      <c r="M1" s="24" t="s">
        <v>5134</v>
      </c>
      <c r="N1" s="24" t="s">
        <v>5135</v>
      </c>
      <c r="O1" s="24" t="s">
        <v>5136</v>
      </c>
      <c r="P1" s="24" t="s">
        <v>5137</v>
      </c>
      <c r="Q1" s="24" t="s">
        <v>5138</v>
      </c>
      <c r="R1" s="24" t="s">
        <v>5139</v>
      </c>
      <c r="S1" s="24" t="s">
        <v>5140</v>
      </c>
      <c r="T1" s="24" t="s">
        <v>5141</v>
      </c>
      <c r="U1" s="24" t="s">
        <v>5142</v>
      </c>
      <c r="V1" s="24" t="s">
        <v>5143</v>
      </c>
      <c r="W1" s="24" t="s">
        <v>5144</v>
      </c>
    </row>
    <row r="2" customFormat="false" ht="15" hidden="false" customHeight="false" outlineLevel="0" collapsed="false">
      <c r="A2" s="4" t="s">
        <v>3492</v>
      </c>
      <c r="B2" s="4" t="n">
        <v>1971</v>
      </c>
      <c r="C2" s="4" t="str">
        <f aca="false">FLOOR(B2,10)&amp;"s"</f>
        <v>1970s</v>
      </c>
      <c r="D2" s="4" t="s">
        <v>2223</v>
      </c>
      <c r="E2" s="25" t="str">
        <f aca="false">IF(G2=1,"✓","")</f>
        <v/>
      </c>
      <c r="F2" s="4" t="n">
        <v>1</v>
      </c>
      <c r="G2" s="4" t="n">
        <f aca="false">IF(COUNTIF('Letterboxd Watched'!$E$2:$E$3000,M2)&gt;0,1,0)</f>
        <v>0</v>
      </c>
      <c r="H2" s="4" t="n">
        <v>1</v>
      </c>
      <c r="I2" s="4" t="s">
        <v>1327</v>
      </c>
      <c r="J2" s="4" t="s">
        <v>52</v>
      </c>
      <c r="K2" s="4" t="s">
        <v>4130</v>
      </c>
      <c r="L2" s="48" t="str">
        <f aca="false">HYPERLINK("https://boxd.it/1uig","open")</f>
        <v>open</v>
      </c>
      <c r="M2" s="4" t="str">
        <f aca="false">LOWER(A2)&amp;"|"&amp;B2</f>
        <v>10 rillington place|1971</v>
      </c>
      <c r="N2" s="4" t="n">
        <v>0</v>
      </c>
      <c r="O2" s="4" t="n">
        <v>0</v>
      </c>
      <c r="P2" s="4" t="n">
        <v>0</v>
      </c>
      <c r="Q2" s="4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</row>
    <row r="3" customFormat="false" ht="15" hidden="false" customHeight="false" outlineLevel="0" collapsed="false">
      <c r="A3" s="4" t="s">
        <v>2848</v>
      </c>
      <c r="B3" s="4" t="n">
        <v>2006</v>
      </c>
      <c r="C3" s="4" t="str">
        <f aca="false">FLOOR(B3,10)&amp;"s"</f>
        <v>2000s</v>
      </c>
      <c r="D3" s="4" t="s">
        <v>2849</v>
      </c>
      <c r="E3" s="25" t="str">
        <f aca="false">IF(G3=1,"✓","")</f>
        <v/>
      </c>
      <c r="F3" s="4" t="n">
        <v>1</v>
      </c>
      <c r="G3" s="4" t="n">
        <f aca="false">IF(COUNTIF('Letterboxd Watched'!$E$2:$E$3000,M3)&gt;0,1,0)</f>
        <v>0</v>
      </c>
      <c r="H3" s="4" t="n">
        <v>2</v>
      </c>
      <c r="I3" s="4" t="s">
        <v>213</v>
      </c>
      <c r="J3" s="4" t="s">
        <v>51</v>
      </c>
      <c r="K3" s="4" t="s">
        <v>4000</v>
      </c>
      <c r="L3" s="48" t="str">
        <f aca="false">HYPERLINK("https://letterboxd.com/search/films/1208+East+of+Bucharest+2006/","open")</f>
        <v>open</v>
      </c>
      <c r="M3" s="4" t="str">
        <f aca="false">LOWER(A3)&amp;"|"&amp;B3</f>
        <v>12:08 east of bucharest|2006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</row>
    <row r="4" customFormat="false" ht="15" hidden="false" customHeight="false" outlineLevel="0" collapsed="false">
      <c r="A4" s="4" t="s">
        <v>236</v>
      </c>
      <c r="B4" s="4" t="n">
        <v>1957</v>
      </c>
      <c r="C4" s="4" t="str">
        <f aca="false">FLOOR(B4,10)&amp;"s"</f>
        <v>1950s</v>
      </c>
      <c r="D4" s="4" t="s">
        <v>189</v>
      </c>
      <c r="E4" s="25" t="str">
        <f aca="false">IF(G4=1,"✓","")</f>
        <v>✓</v>
      </c>
      <c r="F4" s="4" t="n">
        <v>5</v>
      </c>
      <c r="G4" s="4" t="n">
        <f aca="false">IF(COUNTIF('Letterboxd Watched'!$E$2:$E$3000,M4)&gt;0,1,0)</f>
        <v>1</v>
      </c>
      <c r="H4" s="4" t="n">
        <v>13</v>
      </c>
      <c r="I4" s="4" t="s">
        <v>144</v>
      </c>
      <c r="J4" s="4" t="s">
        <v>53</v>
      </c>
      <c r="K4" s="4" t="s">
        <v>5145</v>
      </c>
      <c r="L4" s="48" t="str">
        <f aca="false">HYPERLINK("https://boxd.it/2auI","open")</f>
        <v>open</v>
      </c>
      <c r="M4" s="4" t="str">
        <f aca="false">LOWER(A4)&amp;"|"&amp;B4</f>
        <v>12 angry men|1957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1</v>
      </c>
      <c r="U4" s="4" t="n">
        <v>1</v>
      </c>
      <c r="V4" s="4" t="n">
        <v>1</v>
      </c>
      <c r="W4" s="4" t="n">
        <v>0</v>
      </c>
    </row>
    <row r="5" customFormat="false" ht="15" hidden="false" customHeight="false" outlineLevel="0" collapsed="false">
      <c r="A5" s="4" t="s">
        <v>2617</v>
      </c>
      <c r="B5" s="4" t="n">
        <v>1995</v>
      </c>
      <c r="C5" s="4" t="str">
        <f aca="false">FLOOR(B5,10)&amp;"s"</f>
        <v>1990s</v>
      </c>
      <c r="D5" s="4" t="s">
        <v>367</v>
      </c>
      <c r="E5" s="25" t="str">
        <f aca="false">IF(G5=1,"✓","")</f>
        <v/>
      </c>
      <c r="F5" s="4" t="n">
        <v>1</v>
      </c>
      <c r="G5" s="4" t="n">
        <f aca="false">IF(COUNTIF('Letterboxd Watched'!$E$2:$E$3000,M5)&gt;0,1,0)</f>
        <v>0</v>
      </c>
      <c r="H5" s="4" t="n">
        <v>2</v>
      </c>
      <c r="I5" s="4" t="s">
        <v>213</v>
      </c>
      <c r="J5" s="4" t="s">
        <v>55</v>
      </c>
      <c r="K5" s="4" t="s">
        <v>4336</v>
      </c>
      <c r="L5" s="48" t="str">
        <f aca="false">HYPERLINK("https://letterboxd.com/search/films/12+Monkeys+1995/","open")</f>
        <v>open</v>
      </c>
      <c r="M5" s="4" t="str">
        <f aca="false">LOWER(A5)&amp;"|"&amp;B5</f>
        <v>12 monkeys|1995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1</v>
      </c>
      <c r="U5" s="4" t="n">
        <v>0</v>
      </c>
      <c r="V5" s="4" t="n">
        <v>0</v>
      </c>
      <c r="W5" s="4" t="n">
        <v>0</v>
      </c>
    </row>
    <row r="6" customFormat="false" ht="15" hidden="false" customHeight="false" outlineLevel="0" collapsed="false">
      <c r="A6" s="4" t="s">
        <v>3042</v>
      </c>
      <c r="B6" s="4" t="n">
        <v>2013</v>
      </c>
      <c r="C6" s="4" t="str">
        <f aca="false">FLOOR(B6,10)&amp;"s"</f>
        <v>2010s</v>
      </c>
      <c r="D6" s="4" t="s">
        <v>2913</v>
      </c>
      <c r="E6" s="25" t="str">
        <f aca="false">IF(G6=1,"✓","")</f>
        <v/>
      </c>
      <c r="F6" s="4" t="n">
        <v>1</v>
      </c>
      <c r="G6" s="4" t="n">
        <f aca="false">IF(COUNTIF('Letterboxd Watched'!$E$2:$E$3000,M6)&gt;0,1,0)</f>
        <v>0</v>
      </c>
      <c r="H6" s="4" t="n">
        <v>2</v>
      </c>
      <c r="I6" s="4" t="s">
        <v>213</v>
      </c>
      <c r="J6" s="4" t="s">
        <v>55</v>
      </c>
      <c r="K6" s="4" t="s">
        <v>4374</v>
      </c>
      <c r="L6" s="48" t="str">
        <f aca="false">HYPERLINK("https://boxd.it/2D2e","open")</f>
        <v>open</v>
      </c>
      <c r="M6" s="4" t="str">
        <f aca="false">LOWER(A6)&amp;"|"&amp;B6</f>
        <v>12 years a slave|2013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1</v>
      </c>
      <c r="U6" s="4" t="n">
        <v>0</v>
      </c>
      <c r="V6" s="4" t="n">
        <v>0</v>
      </c>
      <c r="W6" s="4" t="n">
        <v>0</v>
      </c>
    </row>
    <row r="7" customFormat="false" ht="15" hidden="false" customHeight="false" outlineLevel="0" collapsed="false">
      <c r="A7" s="4" t="s">
        <v>2945</v>
      </c>
      <c r="B7" s="4" t="n">
        <v>2010</v>
      </c>
      <c r="C7" s="4" t="str">
        <f aca="false">FLOOR(B7,10)&amp;"s"</f>
        <v>2010s</v>
      </c>
      <c r="D7" s="4" t="s">
        <v>1161</v>
      </c>
      <c r="E7" s="25" t="str">
        <f aca="false">IF(G7=1,"✓","")</f>
        <v/>
      </c>
      <c r="F7" s="4" t="n">
        <v>1</v>
      </c>
      <c r="G7" s="4" t="n">
        <f aca="false">IF(COUNTIF('Letterboxd Watched'!$E$2:$E$3000,M7)&gt;0,1,0)</f>
        <v>0</v>
      </c>
      <c r="H7" s="4" t="n">
        <v>2</v>
      </c>
      <c r="I7" s="4" t="s">
        <v>213</v>
      </c>
      <c r="J7" s="4" t="s">
        <v>52</v>
      </c>
      <c r="K7" s="4" t="s">
        <v>4134</v>
      </c>
      <c r="L7" s="48" t="str">
        <f aca="false">HYPERLINK("https://boxd.it/SLa","open")</f>
        <v>open</v>
      </c>
      <c r="M7" s="4" t="str">
        <f aca="false">LOWER(A7)&amp;"|"&amp;B7</f>
        <v>127 hours|2010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</row>
    <row r="8" customFormat="false" ht="15" hidden="false" customHeight="false" outlineLevel="0" collapsed="false">
      <c r="A8" s="4" t="s">
        <v>2940</v>
      </c>
      <c r="B8" s="4" t="n">
        <v>2010</v>
      </c>
      <c r="C8" s="4" t="str">
        <f aca="false">FLOOR(B8,10)&amp;"s"</f>
        <v>2010s</v>
      </c>
      <c r="D8" s="4" t="s">
        <v>1127</v>
      </c>
      <c r="E8" s="25" t="str">
        <f aca="false">IF(G8=1,"✓","")</f>
        <v/>
      </c>
      <c r="F8" s="4" t="n">
        <v>1</v>
      </c>
      <c r="G8" s="4" t="n">
        <f aca="false">IF(COUNTIF('Letterboxd Watched'!$E$2:$E$3000,M8)&gt;0,1,0)</f>
        <v>0</v>
      </c>
      <c r="H8" s="4" t="n">
        <v>2</v>
      </c>
      <c r="I8" s="4" t="s">
        <v>213</v>
      </c>
      <c r="J8" s="4" t="s">
        <v>51</v>
      </c>
      <c r="K8" s="4" t="s">
        <v>3934</v>
      </c>
      <c r="L8" s="48" t="str">
        <f aca="false">HYPERLINK("https://boxd.it/jqc","open")</f>
        <v>open</v>
      </c>
      <c r="M8" s="4" t="str">
        <f aca="false">LOWER(A8)&amp;"|"&amp;B8</f>
        <v>13 assassins|2010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</row>
    <row r="9" customFormat="false" ht="15" hidden="false" customHeight="false" outlineLevel="0" collapsed="false">
      <c r="A9" s="4" t="s">
        <v>3109</v>
      </c>
      <c r="B9" s="4" t="n">
        <v>2016</v>
      </c>
      <c r="C9" s="4" t="str">
        <f aca="false">FLOOR(B9,10)&amp;"s"</f>
        <v>2010s</v>
      </c>
      <c r="D9" s="4" t="s">
        <v>1219</v>
      </c>
      <c r="E9" s="25" t="str">
        <f aca="false">IF(G9=1,"✓","")</f>
        <v/>
      </c>
      <c r="F9" s="4" t="n">
        <v>1</v>
      </c>
      <c r="G9" s="4" t="n">
        <f aca="false">IF(COUNTIF('Letterboxd Watched'!$E$2:$E$3000,M9)&gt;0,1,0)</f>
        <v>0</v>
      </c>
      <c r="H9" s="4" t="n">
        <v>2</v>
      </c>
      <c r="I9" s="4" t="s">
        <v>213</v>
      </c>
      <c r="J9" s="4" t="s">
        <v>54</v>
      </c>
      <c r="K9" s="4" t="s">
        <v>4290</v>
      </c>
      <c r="L9" s="48" t="str">
        <f aca="false">HYPERLINK("https://boxd.it/elNg","open")</f>
        <v>open</v>
      </c>
      <c r="M9" s="4" t="str">
        <f aca="false">LOWER(A9)&amp;"|"&amp;B9</f>
        <v>13th|2016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  <c r="U9" s="4" t="n">
        <v>0</v>
      </c>
      <c r="V9" s="4" t="n">
        <v>0</v>
      </c>
      <c r="W9" s="4" t="n">
        <v>0</v>
      </c>
    </row>
    <row r="10" customFormat="false" ht="15" hidden="false" customHeight="false" outlineLevel="0" collapsed="false">
      <c r="A10" s="4" t="s">
        <v>1250</v>
      </c>
      <c r="B10" s="4" t="n">
        <v>2019</v>
      </c>
      <c r="C10" s="4" t="str">
        <f aca="false">FLOOR(B10,10)&amp;"s"</f>
        <v>2010s</v>
      </c>
      <c r="D10" s="4" t="s">
        <v>1251</v>
      </c>
      <c r="E10" s="25" t="str">
        <f aca="false">IF(G10=1,"✓","")</f>
        <v>✓</v>
      </c>
      <c r="F10" s="4" t="n">
        <v>2</v>
      </c>
      <c r="G10" s="4" t="n">
        <f aca="false">IF(COUNTIF('Letterboxd Watched'!$E$2:$E$3000,M10)&gt;0,1,0)</f>
        <v>1</v>
      </c>
      <c r="H10" s="4" t="n">
        <v>4</v>
      </c>
      <c r="I10" s="4" t="s">
        <v>213</v>
      </c>
      <c r="J10" s="4" t="s">
        <v>49</v>
      </c>
      <c r="K10" s="4" t="s">
        <v>5146</v>
      </c>
      <c r="L10" s="48" t="str">
        <f aca="false">HYPERLINK("https://boxd.it/jj4y","open")</f>
        <v>open</v>
      </c>
      <c r="M10" s="4" t="str">
        <f aca="false">LOWER(A10)&amp;"|"&amp;B10</f>
        <v>1917|2019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</row>
    <row r="11" customFormat="false" ht="15" hidden="false" customHeight="false" outlineLevel="0" collapsed="false">
      <c r="A11" s="4" t="s">
        <v>3579</v>
      </c>
      <c r="B11" s="4" t="n">
        <v>1979</v>
      </c>
      <c r="C11" s="4" t="str">
        <f aca="false">FLOOR(B11,10)&amp;"s"</f>
        <v>1970s</v>
      </c>
      <c r="D11" s="4" t="s">
        <v>183</v>
      </c>
      <c r="E11" s="25" t="str">
        <f aca="false">IF(G11=1,"✓","")</f>
        <v>✓</v>
      </c>
      <c r="F11" s="4" t="n">
        <v>1</v>
      </c>
      <c r="G11" s="4" t="n">
        <f aca="false">IF(COUNTIF('Letterboxd Watched'!$E$2:$E$3000,M11)&gt;0,1,0)</f>
        <v>1</v>
      </c>
      <c r="H11" s="4" t="n">
        <v>1</v>
      </c>
      <c r="I11" s="4" t="s">
        <v>1327</v>
      </c>
      <c r="J11" s="4" t="s">
        <v>53</v>
      </c>
      <c r="K11" s="4" t="s">
        <v>183</v>
      </c>
      <c r="L11" s="48" t="str">
        <f aca="false">HYPERLINK("https://boxd.it/1TF0","open")</f>
        <v>open</v>
      </c>
      <c r="M11" s="4" t="str">
        <f aca="false">LOWER(A11)&amp;"|"&amp;B11</f>
        <v>1941|1979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</row>
    <row r="12" customFormat="false" ht="15" hidden="false" customHeight="false" outlineLevel="0" collapsed="false">
      <c r="A12" s="4" t="s">
        <v>2106</v>
      </c>
      <c r="B12" s="4" t="n">
        <v>1967</v>
      </c>
      <c r="C12" s="4" t="str">
        <f aca="false">FLOOR(B12,10)&amp;"s"</f>
        <v>1960s</v>
      </c>
      <c r="D12" s="4" t="s">
        <v>152</v>
      </c>
      <c r="E12" s="25" t="str">
        <f aca="false">IF(G12=1,"✓","")</f>
        <v/>
      </c>
      <c r="F12" s="4" t="n">
        <v>1</v>
      </c>
      <c r="G12" s="4" t="n">
        <f aca="false">IF(COUNTIF('Letterboxd Watched'!$E$2:$E$3000,M12)&gt;0,1,0)</f>
        <v>0</v>
      </c>
      <c r="H12" s="4" t="n">
        <v>2</v>
      </c>
      <c r="I12" s="4" t="s">
        <v>213</v>
      </c>
      <c r="J12" s="4" t="s">
        <v>53</v>
      </c>
      <c r="K12" s="4" t="s">
        <v>152</v>
      </c>
      <c r="L12" s="48" t="str">
        <f aca="false">HYPERLINK("https://boxd.it/20Am","open")</f>
        <v>open</v>
      </c>
      <c r="M12" s="4" t="str">
        <f aca="false">LOWER(A12)&amp;"|"&amp;B12</f>
        <v>2 or 3 things i know about her|1967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</row>
    <row r="13" customFormat="false" ht="15" hidden="false" customHeight="false" outlineLevel="0" collapsed="false">
      <c r="A13" s="4" t="s">
        <v>186</v>
      </c>
      <c r="B13" s="4" t="n">
        <v>1968</v>
      </c>
      <c r="C13" s="4" t="str">
        <f aca="false">FLOOR(B13,10)&amp;"s"</f>
        <v>1960s</v>
      </c>
      <c r="D13" s="4" t="s">
        <v>187</v>
      </c>
      <c r="E13" s="25" t="str">
        <f aca="false">IF(G13=1,"✓","")</f>
        <v>✓</v>
      </c>
      <c r="F13" s="4" t="n">
        <v>7</v>
      </c>
      <c r="G13" s="4" t="n">
        <f aca="false">IF(COUNTIF('Letterboxd Watched'!$E$2:$E$3000,M13)&gt;0,1,0)</f>
        <v>1</v>
      </c>
      <c r="H13" s="4" t="n">
        <v>16</v>
      </c>
      <c r="I13" s="4" t="s">
        <v>144</v>
      </c>
      <c r="J13" s="4" t="s">
        <v>50</v>
      </c>
      <c r="K13" s="4" t="s">
        <v>5147</v>
      </c>
      <c r="L13" s="48" t="str">
        <f aca="false">HYPERLINK("https://boxd.it/2bf0","open")</f>
        <v>open</v>
      </c>
      <c r="M13" s="4" t="str">
        <f aca="false">LOWER(A13)&amp;"|"&amp;B13</f>
        <v>2001: a space odyssey|1968</v>
      </c>
      <c r="N13" s="4" t="n">
        <v>0</v>
      </c>
      <c r="O13" s="4" t="n">
        <v>1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1</v>
      </c>
      <c r="U13" s="4" t="n">
        <v>0</v>
      </c>
      <c r="V13" s="4" t="n">
        <v>1</v>
      </c>
      <c r="W13" s="4" t="n">
        <v>1</v>
      </c>
    </row>
    <row r="14" customFormat="false" ht="15" hidden="false" customHeight="false" outlineLevel="0" collapsed="false">
      <c r="A14" s="4" t="s">
        <v>2825</v>
      </c>
      <c r="B14" s="4" t="n">
        <v>2004</v>
      </c>
      <c r="C14" s="4" t="str">
        <f aca="false">FLOOR(B14,10)&amp;"s"</f>
        <v>2000s</v>
      </c>
      <c r="D14" s="4" t="s">
        <v>193</v>
      </c>
      <c r="E14" s="25" t="str">
        <f aca="false">IF(G14=1,"✓","")</f>
        <v>✓</v>
      </c>
      <c r="F14" s="4" t="n">
        <v>1</v>
      </c>
      <c r="G14" s="4" t="n">
        <f aca="false">IF(COUNTIF('Letterboxd Watched'!$E$2:$E$3000,M14)&gt;0,1,0)</f>
        <v>1</v>
      </c>
      <c r="H14" s="4" t="n">
        <v>2</v>
      </c>
      <c r="I14" s="4" t="s">
        <v>213</v>
      </c>
      <c r="J14" s="4" t="s">
        <v>53</v>
      </c>
      <c r="K14" s="4" t="s">
        <v>193</v>
      </c>
      <c r="L14" s="48" t="str">
        <f aca="false">HYPERLINK("https://boxd.it/29tu","open")</f>
        <v>open</v>
      </c>
      <c r="M14" s="4" t="str">
        <f aca="false">LOWER(A14)&amp;"|"&amp;B14</f>
        <v>2046|2004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</row>
    <row r="15" customFormat="false" ht="15" hidden="false" customHeight="false" outlineLevel="0" collapsed="false">
      <c r="A15" s="4" t="s">
        <v>3842</v>
      </c>
      <c r="B15" s="4" t="n">
        <v>2017</v>
      </c>
      <c r="C15" s="4" t="str">
        <f aca="false">FLOOR(B15,10)&amp;"s"</f>
        <v>2010s</v>
      </c>
      <c r="D15" s="4" t="s">
        <v>203</v>
      </c>
      <c r="E15" s="25" t="str">
        <f aca="false">IF(G15=1,"✓","")</f>
        <v/>
      </c>
      <c r="F15" s="4" t="n">
        <v>1</v>
      </c>
      <c r="G15" s="4" t="n">
        <f aca="false">IF(COUNTIF('Letterboxd Watched'!$E$2:$E$3000,M15)&gt;0,1,0)</f>
        <v>0</v>
      </c>
      <c r="H15" s="4" t="n">
        <v>1</v>
      </c>
      <c r="I15" s="4" t="s">
        <v>1327</v>
      </c>
      <c r="J15" s="4" t="s">
        <v>53</v>
      </c>
      <c r="K15" s="4" t="s">
        <v>203</v>
      </c>
      <c r="L15" s="48" t="str">
        <f aca="false">HYPERLINK("https://letterboxd.com/search/films/24+Frames+2017/","open")</f>
        <v>open</v>
      </c>
      <c r="M15" s="4" t="str">
        <f aca="false">LOWER(A15)&amp;"|"&amp;B15</f>
        <v>24 frames|2017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</row>
    <row r="16" customFormat="false" ht="15" hidden="false" customHeight="false" outlineLevel="0" collapsed="false">
      <c r="A16" s="4" t="s">
        <v>2789</v>
      </c>
      <c r="B16" s="4" t="n">
        <v>2002</v>
      </c>
      <c r="C16" s="4" t="str">
        <f aca="false">FLOOR(B16,10)&amp;"s"</f>
        <v>2000s</v>
      </c>
      <c r="D16" s="4" t="s">
        <v>2790</v>
      </c>
      <c r="E16" s="25" t="str">
        <f aca="false">IF(G16=1,"✓","")</f>
        <v/>
      </c>
      <c r="F16" s="4" t="n">
        <v>1</v>
      </c>
      <c r="G16" s="4" t="n">
        <f aca="false">IF(COUNTIF('Letterboxd Watched'!$E$2:$E$3000,M16)&gt;0,1,0)</f>
        <v>0</v>
      </c>
      <c r="H16" s="4" t="n">
        <v>2</v>
      </c>
      <c r="I16" s="4" t="s">
        <v>213</v>
      </c>
      <c r="J16" s="4" t="s">
        <v>55</v>
      </c>
      <c r="K16" s="4" t="s">
        <v>4366</v>
      </c>
      <c r="L16" s="48" t="str">
        <f aca="false">HYPERLINK("https://boxd.it/26nI","open")</f>
        <v>open</v>
      </c>
      <c r="M16" s="4" t="str">
        <f aca="false">LOWER(A16)&amp;"|"&amp;B16</f>
        <v>24 hour party people|2002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  <c r="U16" s="4" t="n">
        <v>0</v>
      </c>
      <c r="V16" s="4" t="n">
        <v>0</v>
      </c>
      <c r="W16" s="4" t="n">
        <v>0</v>
      </c>
    </row>
    <row r="17" customFormat="false" ht="15" hidden="false" customHeight="false" outlineLevel="0" collapsed="false">
      <c r="A17" s="4" t="s">
        <v>2779</v>
      </c>
      <c r="B17" s="4" t="n">
        <v>2002</v>
      </c>
      <c r="C17" s="4" t="str">
        <f aca="false">FLOOR(B17,10)&amp;"s"</f>
        <v>2000s</v>
      </c>
      <c r="D17" s="4" t="s">
        <v>148</v>
      </c>
      <c r="E17" s="25" t="str">
        <f aca="false">IF(G17=1,"✓","")</f>
        <v/>
      </c>
      <c r="F17" s="4" t="n">
        <v>1</v>
      </c>
      <c r="G17" s="4" t="n">
        <f aca="false">IF(COUNTIF('Letterboxd Watched'!$E$2:$E$3000,M17)&gt;0,1,0)</f>
        <v>0</v>
      </c>
      <c r="H17" s="4" t="n">
        <v>2</v>
      </c>
      <c r="I17" s="4" t="s">
        <v>213</v>
      </c>
      <c r="J17" s="4" t="s">
        <v>53</v>
      </c>
      <c r="K17" s="4" t="s">
        <v>148</v>
      </c>
      <c r="L17" s="48" t="str">
        <f aca="false">HYPERLINK("https://boxd.it/28LC","open")</f>
        <v>open</v>
      </c>
      <c r="M17" s="4" t="str">
        <f aca="false">LOWER(A17)&amp;"|"&amp;B17</f>
        <v>25th hour|2002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</row>
    <row r="18" customFormat="false" ht="15" hidden="false" customHeight="false" outlineLevel="0" collapsed="false">
      <c r="A18" s="4" t="s">
        <v>1160</v>
      </c>
      <c r="B18" s="4" t="n">
        <v>2002</v>
      </c>
      <c r="C18" s="4" t="str">
        <f aca="false">FLOOR(B18,10)&amp;"s"</f>
        <v>2000s</v>
      </c>
      <c r="D18" s="4" t="s">
        <v>1161</v>
      </c>
      <c r="E18" s="25" t="str">
        <f aca="false">IF(G18=1,"✓","")</f>
        <v/>
      </c>
      <c r="F18" s="4" t="n">
        <v>2</v>
      </c>
      <c r="G18" s="4" t="n">
        <f aca="false">IF(COUNTIF('Letterboxd Watched'!$E$2:$E$3000,M18)&gt;0,1,0)</f>
        <v>0</v>
      </c>
      <c r="H18" s="4" t="n">
        <v>4</v>
      </c>
      <c r="I18" s="4" t="s">
        <v>213</v>
      </c>
      <c r="J18" s="4" t="s">
        <v>52</v>
      </c>
      <c r="K18" s="4" t="s">
        <v>5148</v>
      </c>
      <c r="L18" s="48" t="str">
        <f aca="false">HYPERLINK("https://boxd.it/2aXU","open")</f>
        <v>open</v>
      </c>
      <c r="M18" s="4" t="str">
        <f aca="false">LOWER(A18)&amp;"|"&amp;B18</f>
        <v>28 days later|2002</v>
      </c>
      <c r="N18" s="4" t="n">
        <v>0</v>
      </c>
      <c r="O18" s="4" t="n">
        <v>0</v>
      </c>
      <c r="P18" s="4" t="n">
        <v>0</v>
      </c>
      <c r="Q18" s="4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1</v>
      </c>
    </row>
    <row r="19" customFormat="false" ht="15" hidden="false" customHeight="false" outlineLevel="0" collapsed="false">
      <c r="A19" s="4" t="s">
        <v>1942</v>
      </c>
      <c r="B19" s="4" t="n">
        <v>1957</v>
      </c>
      <c r="C19" s="4" t="str">
        <f aca="false">FLOOR(B19,10)&amp;"s"</f>
        <v>1950s</v>
      </c>
      <c r="D19" s="4" t="s">
        <v>1847</v>
      </c>
      <c r="E19" s="25" t="str">
        <f aca="false">IF(G19=1,"✓","")</f>
        <v/>
      </c>
      <c r="F19" s="4" t="n">
        <v>1</v>
      </c>
      <c r="G19" s="4" t="n">
        <f aca="false">IF(COUNTIF('Letterboxd Watched'!$E$2:$E$3000,M19)&gt;0,1,0)</f>
        <v>0</v>
      </c>
      <c r="H19" s="4" t="n">
        <v>2</v>
      </c>
      <c r="I19" s="4" t="s">
        <v>213</v>
      </c>
      <c r="J19" s="4" t="s">
        <v>52</v>
      </c>
      <c r="K19" s="4" t="s">
        <v>4050</v>
      </c>
      <c r="L19" s="48" t="str">
        <f aca="false">HYPERLINK("https://boxd.it/1OCU","open")</f>
        <v>open</v>
      </c>
      <c r="M19" s="4" t="str">
        <f aca="false">LOWER(A19)&amp;"|"&amp;B19</f>
        <v>3:10 to yuma|1957</v>
      </c>
      <c r="N19" s="4" t="n">
        <v>0</v>
      </c>
      <c r="O19" s="4" t="n">
        <v>0</v>
      </c>
      <c r="P19" s="4" t="n">
        <v>0</v>
      </c>
      <c r="Q19" s="4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</row>
    <row r="20" customFormat="false" ht="15" hidden="false" customHeight="false" outlineLevel="0" collapsed="false">
      <c r="A20" s="4" t="s">
        <v>2298</v>
      </c>
      <c r="B20" s="4" t="n">
        <v>1977</v>
      </c>
      <c r="C20" s="4" t="str">
        <f aca="false">FLOOR(B20,10)&amp;"s"</f>
        <v>1970s</v>
      </c>
      <c r="D20" s="4" t="s">
        <v>197</v>
      </c>
      <c r="E20" s="25" t="str">
        <f aca="false">IF(G20=1,"✓","")</f>
        <v/>
      </c>
      <c r="F20" s="4" t="n">
        <v>1</v>
      </c>
      <c r="G20" s="4" t="n">
        <f aca="false">IF(COUNTIF('Letterboxd Watched'!$E$2:$E$3000,M20)&gt;0,1,0)</f>
        <v>0</v>
      </c>
      <c r="H20" s="4" t="n">
        <v>2</v>
      </c>
      <c r="I20" s="4" t="s">
        <v>213</v>
      </c>
      <c r="J20" s="4" t="s">
        <v>53</v>
      </c>
      <c r="K20" s="4" t="s">
        <v>197</v>
      </c>
      <c r="L20" s="48" t="str">
        <f aca="false">HYPERLINK("https://boxd.it/YPs","open")</f>
        <v>open</v>
      </c>
      <c r="M20" s="4" t="str">
        <f aca="false">LOWER(A20)&amp;"|"&amp;B20</f>
        <v>3 women|1977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</row>
    <row r="21" customFormat="false" ht="15" hidden="false" customHeight="false" outlineLevel="0" collapsed="false">
      <c r="A21" s="4" t="s">
        <v>1606</v>
      </c>
      <c r="B21" s="4" t="n">
        <v>2008</v>
      </c>
      <c r="C21" s="4" t="str">
        <f aca="false">FLOOR(B21,10)&amp;"s"</f>
        <v>2000s</v>
      </c>
      <c r="D21" s="4" t="s">
        <v>262</v>
      </c>
      <c r="E21" s="25" t="str">
        <f aca="false">IF(G21=1,"✓","")</f>
        <v/>
      </c>
      <c r="F21" s="4" t="n">
        <v>1</v>
      </c>
      <c r="G21" s="4" t="n">
        <f aca="false">IF(COUNTIF('Letterboxd Watched'!$E$2:$E$3000,M21)&gt;0,1,0)</f>
        <v>0</v>
      </c>
      <c r="H21" s="4" t="n">
        <v>3</v>
      </c>
      <c r="I21" s="4" t="s">
        <v>144</v>
      </c>
      <c r="J21" s="4" t="s">
        <v>53</v>
      </c>
      <c r="K21" s="4" t="s">
        <v>262</v>
      </c>
      <c r="L21" s="48" t="str">
        <f aca="false">HYPERLINK("https://boxd.it/1unA","open")</f>
        <v>open</v>
      </c>
      <c r="M21" s="4" t="str">
        <f aca="false">LOWER(A21)&amp;"|"&amp;B21</f>
        <v>35 shots of rum|2008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</row>
    <row r="22" customFormat="false" ht="15" hidden="false" customHeight="false" outlineLevel="0" collapsed="false">
      <c r="A22" s="4" t="s">
        <v>2305</v>
      </c>
      <c r="B22" s="4" t="n">
        <v>1978</v>
      </c>
      <c r="C22" s="4" t="str">
        <f aca="false">FLOOR(B22,10)&amp;"s"</f>
        <v>1970s</v>
      </c>
      <c r="D22" s="4" t="s">
        <v>2306</v>
      </c>
      <c r="E22" s="25" t="str">
        <f aca="false">IF(G22=1,"✓","")</f>
        <v/>
      </c>
      <c r="F22" s="4" t="n">
        <v>1</v>
      </c>
      <c r="G22" s="4" t="n">
        <f aca="false">IF(COUNTIF('Letterboxd Watched'!$E$2:$E$3000,M22)&gt;0,1,0)</f>
        <v>0</v>
      </c>
      <c r="H22" s="4" t="n">
        <v>2</v>
      </c>
      <c r="I22" s="4" t="s">
        <v>213</v>
      </c>
      <c r="J22" s="4" t="s">
        <v>51</v>
      </c>
      <c r="K22" s="4" t="s">
        <v>4012</v>
      </c>
      <c r="L22" s="48" t="str">
        <f aca="false">HYPERLINK("https://boxd.it/1SXC","open")</f>
        <v>open</v>
      </c>
      <c r="M22" s="4" t="str">
        <f aca="false">LOWER(A22)&amp;"|"&amp;B22</f>
        <v>the 36th chamber of shaolin|1978</v>
      </c>
      <c r="N22" s="4" t="n">
        <v>0</v>
      </c>
      <c r="O22" s="4" t="n">
        <v>0</v>
      </c>
      <c r="P22" s="4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</row>
    <row r="23" customFormat="false" ht="15" hidden="false" customHeight="false" outlineLevel="0" collapsed="false">
      <c r="A23" s="4" t="s">
        <v>568</v>
      </c>
      <c r="B23" s="4" t="n">
        <v>1935</v>
      </c>
      <c r="C23" s="4" t="str">
        <f aca="false">FLOOR(B23,10)&amp;"s"</f>
        <v>1930s</v>
      </c>
      <c r="D23" s="4" t="s">
        <v>162</v>
      </c>
      <c r="E23" s="25" t="str">
        <f aca="false">IF(G23=1,"✓","")</f>
        <v/>
      </c>
      <c r="F23" s="4" t="n">
        <v>3</v>
      </c>
      <c r="G23" s="4" t="n">
        <f aca="false">IF(COUNTIF('Letterboxd Watched'!$E$2:$E$3000,M23)&gt;0,1,0)</f>
        <v>0</v>
      </c>
      <c r="H23" s="4" t="n">
        <v>6</v>
      </c>
      <c r="I23" s="4" t="s">
        <v>213</v>
      </c>
      <c r="J23" s="4" t="s">
        <v>52</v>
      </c>
      <c r="K23" s="4" t="s">
        <v>5149</v>
      </c>
      <c r="L23" s="48" t="str">
        <f aca="false">HYPERLINK("https://boxd.it/2aKc","open")</f>
        <v>open</v>
      </c>
      <c r="M23" s="4" t="str">
        <f aca="false">LOWER(A23)&amp;"|"&amp;B23</f>
        <v>the 39 steps|1935</v>
      </c>
      <c r="N23" s="4" t="n">
        <v>0</v>
      </c>
      <c r="O23" s="4" t="n">
        <v>0</v>
      </c>
      <c r="P23" s="4" t="n">
        <v>0</v>
      </c>
      <c r="Q23" s="4" t="n">
        <v>1</v>
      </c>
      <c r="R23" s="4" t="n">
        <v>1</v>
      </c>
      <c r="S23" s="4" t="n">
        <v>0</v>
      </c>
      <c r="T23" s="4" t="n">
        <v>0</v>
      </c>
      <c r="U23" s="4" t="n">
        <v>0</v>
      </c>
      <c r="V23" s="4" t="n">
        <v>1</v>
      </c>
      <c r="W23" s="4" t="n">
        <v>0</v>
      </c>
    </row>
    <row r="24" customFormat="false" ht="15" hidden="false" customHeight="false" outlineLevel="0" collapsed="false">
      <c r="A24" s="4" t="s">
        <v>2674</v>
      </c>
      <c r="B24" s="4" t="n">
        <v>1997</v>
      </c>
      <c r="C24" s="4" t="str">
        <f aca="false">FLOOR(B24,10)&amp;"s"</f>
        <v>1990s</v>
      </c>
      <c r="D24" s="4" t="s">
        <v>148</v>
      </c>
      <c r="E24" s="25" t="str">
        <f aca="false">IF(G24=1,"✓","")</f>
        <v/>
      </c>
      <c r="F24" s="4" t="n">
        <v>1</v>
      </c>
      <c r="G24" s="4" t="n">
        <f aca="false">IF(COUNTIF('Letterboxd Watched'!$E$2:$E$3000,M24)&gt;0,1,0)</f>
        <v>0</v>
      </c>
      <c r="H24" s="4" t="n">
        <v>2</v>
      </c>
      <c r="I24" s="4" t="s">
        <v>213</v>
      </c>
      <c r="J24" s="4" t="s">
        <v>53</v>
      </c>
      <c r="K24" s="4" t="s">
        <v>148</v>
      </c>
      <c r="L24" s="48" t="str">
        <f aca="false">HYPERLINK("https://boxd.it/1tAS","open")</f>
        <v>open</v>
      </c>
      <c r="M24" s="4" t="str">
        <f aca="false">LOWER(A24)&amp;"|"&amp;B24</f>
        <v>4 little girls|1997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</row>
    <row r="25" customFormat="false" ht="15" hidden="false" customHeight="false" outlineLevel="0" collapsed="false">
      <c r="A25" s="4" t="s">
        <v>1598</v>
      </c>
      <c r="B25" s="4" t="n">
        <v>2007</v>
      </c>
      <c r="C25" s="4" t="str">
        <f aca="false">FLOOR(B25,10)&amp;"s"</f>
        <v>2000s</v>
      </c>
      <c r="D25" s="4" t="s">
        <v>1599</v>
      </c>
      <c r="E25" s="25" t="str">
        <f aca="false">IF(G25=1,"✓","")</f>
        <v/>
      </c>
      <c r="F25" s="4" t="n">
        <v>1</v>
      </c>
      <c r="G25" s="4" t="n">
        <f aca="false">IF(COUNTIF('Letterboxd Watched'!$E$2:$E$3000,M25)&gt;0,1,0)</f>
        <v>0</v>
      </c>
      <c r="H25" s="4" t="n">
        <v>3</v>
      </c>
      <c r="I25" s="4" t="s">
        <v>144</v>
      </c>
      <c r="J25" s="4" t="s">
        <v>51</v>
      </c>
      <c r="K25" s="4" t="s">
        <v>4000</v>
      </c>
      <c r="L25" s="48" t="str">
        <f aca="false">HYPERLINK("https://boxd.it/27DW","open")</f>
        <v>open</v>
      </c>
      <c r="M25" s="4" t="str">
        <f aca="false">LOWER(A25)&amp;"|"&amp;B25</f>
        <v>4 months, 3 weeks and 2 days|2007</v>
      </c>
      <c r="N25" s="4" t="n">
        <v>0</v>
      </c>
      <c r="O25" s="4" t="n">
        <v>0</v>
      </c>
      <c r="P25" s="4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</row>
    <row r="26" customFormat="false" ht="15" hidden="false" customHeight="false" outlineLevel="0" collapsed="false">
      <c r="A26" s="4" t="s">
        <v>149</v>
      </c>
      <c r="B26" s="4" t="n">
        <v>1959</v>
      </c>
      <c r="C26" s="4" t="str">
        <f aca="false">FLOOR(B26,10)&amp;"s"</f>
        <v>1950s</v>
      </c>
      <c r="D26" s="4" t="s">
        <v>150</v>
      </c>
      <c r="E26" s="25" t="str">
        <f aca="false">IF(G26=1,"✓","")</f>
        <v/>
      </c>
      <c r="F26" s="4" t="n">
        <v>8</v>
      </c>
      <c r="G26" s="4" t="n">
        <f aca="false">IF(COUNTIF('Letterboxd Watched'!$E$2:$E$3000,M26)&gt;0,1,0)</f>
        <v>0</v>
      </c>
      <c r="H26" s="4" t="n">
        <v>22</v>
      </c>
      <c r="I26" s="4" t="s">
        <v>144</v>
      </c>
      <c r="J26" s="4" t="s">
        <v>50</v>
      </c>
      <c r="K26" s="4" t="s">
        <v>5150</v>
      </c>
      <c r="L26" s="48" t="str">
        <f aca="false">HYPERLINK("https://boxd.it/2b1C","open")</f>
        <v>open</v>
      </c>
      <c r="M26" s="4" t="str">
        <f aca="false">LOWER(A26)&amp;"|"&amp;B26</f>
        <v>the 400 blows|1959</v>
      </c>
      <c r="N26" s="4" t="n">
        <v>0</v>
      </c>
      <c r="O26" s="4" t="n">
        <v>1</v>
      </c>
      <c r="P26" s="4" t="n">
        <v>1</v>
      </c>
      <c r="Q26" s="4" t="n">
        <v>0</v>
      </c>
      <c r="R26" s="4" t="n">
        <v>1</v>
      </c>
      <c r="S26" s="4" t="n">
        <v>0</v>
      </c>
      <c r="T26" s="4" t="n">
        <v>1</v>
      </c>
      <c r="U26" s="4" t="n">
        <v>1</v>
      </c>
      <c r="V26" s="4" t="n">
        <v>1</v>
      </c>
      <c r="W26" s="4" t="n">
        <v>0</v>
      </c>
    </row>
    <row r="27" customFormat="false" ht="15" hidden="false" customHeight="false" outlineLevel="0" collapsed="false">
      <c r="A27" s="4" t="s">
        <v>1746</v>
      </c>
      <c r="B27" s="4" t="n">
        <v>1933</v>
      </c>
      <c r="C27" s="4" t="str">
        <f aca="false">FLOOR(B27,10)&amp;"s"</f>
        <v>1930s</v>
      </c>
      <c r="D27" s="4" t="s">
        <v>1747</v>
      </c>
      <c r="E27" s="25" t="str">
        <f aca="false">IF(G27=1,"✓","")</f>
        <v/>
      </c>
      <c r="F27" s="4" t="n">
        <v>1</v>
      </c>
      <c r="G27" s="4" t="n">
        <f aca="false">IF(COUNTIF('Letterboxd Watched'!$E$2:$E$3000,M27)&gt;0,1,0)</f>
        <v>0</v>
      </c>
      <c r="H27" s="4" t="n">
        <v>2</v>
      </c>
      <c r="I27" s="4" t="s">
        <v>213</v>
      </c>
      <c r="J27" s="4" t="s">
        <v>52</v>
      </c>
      <c r="K27" s="4" t="s">
        <v>4110</v>
      </c>
      <c r="L27" s="48" t="str">
        <f aca="false">HYPERLINK("https://boxd.it/25PQ","open")</f>
        <v>open</v>
      </c>
      <c r="M27" s="4" t="str">
        <f aca="false">LOWER(A27)&amp;"|"&amp;B27</f>
        <v>42nd street|1933</v>
      </c>
      <c r="N27" s="4" t="n">
        <v>0</v>
      </c>
      <c r="O27" s="4" t="n">
        <v>0</v>
      </c>
      <c r="P27" s="4" t="n">
        <v>0</v>
      </c>
      <c r="Q27" s="4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</row>
    <row r="28" customFormat="false" ht="15" hidden="false" customHeight="false" outlineLevel="0" collapsed="false">
      <c r="A28" s="4" t="s">
        <v>3753</v>
      </c>
      <c r="B28" s="4" t="n">
        <v>2005</v>
      </c>
      <c r="C28" s="4" t="str">
        <f aca="false">FLOOR(B28,10)&amp;"s"</f>
        <v>2000s</v>
      </c>
      <c r="D28" s="4" t="s">
        <v>3754</v>
      </c>
      <c r="E28" s="25" t="str">
        <f aca="false">IF(G28=1,"✓","")</f>
        <v/>
      </c>
      <c r="F28" s="4" t="n">
        <v>1</v>
      </c>
      <c r="G28" s="4" t="n">
        <f aca="false">IF(COUNTIF('Letterboxd Watched'!$E$2:$E$3000,M28)&gt;0,1,0)</f>
        <v>0</v>
      </c>
      <c r="H28" s="4" t="n">
        <v>1</v>
      </c>
      <c r="I28" s="4" t="s">
        <v>1327</v>
      </c>
      <c r="J28" s="4" t="s">
        <v>56</v>
      </c>
      <c r="K28" s="4" t="s">
        <v>4382</v>
      </c>
      <c r="L28" s="48" t="str">
        <f aca="false">HYPERLINK("https://letterboxd.com/search/films/49+Up+2005/","open")</f>
        <v>open</v>
      </c>
      <c r="M28" s="4" t="str">
        <f aca="false">LOWER(A28)&amp;"|"&amp;B28</f>
        <v>49 up|2005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1</v>
      </c>
      <c r="V28" s="4" t="n">
        <v>0</v>
      </c>
      <c r="W28" s="4" t="n">
        <v>0</v>
      </c>
    </row>
    <row r="29" customFormat="false" ht="15" hidden="false" customHeight="false" outlineLevel="0" collapsed="false">
      <c r="A29" s="4" t="s">
        <v>3336</v>
      </c>
      <c r="B29" s="4" t="n">
        <v>1941</v>
      </c>
      <c r="C29" s="4" t="str">
        <f aca="false">FLOOR(B29,10)&amp;"s"</f>
        <v>1940s</v>
      </c>
      <c r="D29" s="4" t="s">
        <v>581</v>
      </c>
      <c r="E29" s="25" t="str">
        <f aca="false">IF(G29=1,"✓","")</f>
        <v/>
      </c>
      <c r="F29" s="4" t="n">
        <v>1</v>
      </c>
      <c r="G29" s="4" t="n">
        <f aca="false">IF(COUNTIF('Letterboxd Watched'!$E$2:$E$3000,M29)&gt;0,1,0)</f>
        <v>0</v>
      </c>
      <c r="H29" s="4" t="n">
        <v>1</v>
      </c>
      <c r="I29" s="4" t="s">
        <v>1327</v>
      </c>
      <c r="J29" s="4" t="s">
        <v>51</v>
      </c>
      <c r="K29" s="4" t="s">
        <v>3976</v>
      </c>
      <c r="L29" s="48" t="str">
        <f aca="false">HYPERLINK("https://letterboxd.com/search/films/49th+Parallel+1941/","open")</f>
        <v>open</v>
      </c>
      <c r="M29" s="4" t="str">
        <f aca="false">LOWER(A29)&amp;"|"&amp;B29</f>
        <v>49th parallel|1941</v>
      </c>
      <c r="N29" s="4" t="n">
        <v>0</v>
      </c>
      <c r="O29" s="4" t="n">
        <v>0</v>
      </c>
      <c r="P29" s="4" t="n">
        <v>1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</row>
    <row r="30" customFormat="false" ht="15" hidden="false" customHeight="false" outlineLevel="0" collapsed="false">
      <c r="A30" s="4" t="s">
        <v>3851</v>
      </c>
      <c r="B30" s="4" t="n">
        <v>2019</v>
      </c>
      <c r="C30" s="4" t="str">
        <f aca="false">FLOOR(B30,10)&amp;"s"</f>
        <v>2010s</v>
      </c>
      <c r="D30" s="4" t="s">
        <v>3754</v>
      </c>
      <c r="E30" s="25" t="str">
        <f aca="false">IF(G30=1,"✓","")</f>
        <v/>
      </c>
      <c r="F30" s="4" t="n">
        <v>1</v>
      </c>
      <c r="G30" s="4" t="n">
        <f aca="false">IF(COUNTIF('Letterboxd Watched'!$E$2:$E$3000,M30)&gt;0,1,0)</f>
        <v>0</v>
      </c>
      <c r="H30" s="4" t="n">
        <v>1</v>
      </c>
      <c r="I30" s="4" t="s">
        <v>1327</v>
      </c>
      <c r="J30" s="4" t="s">
        <v>56</v>
      </c>
      <c r="K30" s="4" t="s">
        <v>4382</v>
      </c>
      <c r="L30" s="48" t="str">
        <f aca="false">HYPERLINK("https://letterboxd.com/search/films/63+Up+2019/","open")</f>
        <v>open</v>
      </c>
      <c r="M30" s="4" t="str">
        <f aca="false">LOWER(A30)&amp;"|"&amp;B30</f>
        <v>63 up|2019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1</v>
      </c>
      <c r="V30" s="4" t="n">
        <v>0</v>
      </c>
      <c r="W30" s="4" t="n">
        <v>0</v>
      </c>
    </row>
    <row r="31" customFormat="false" ht="15" hidden="false" customHeight="false" outlineLevel="0" collapsed="false">
      <c r="A31" s="4" t="s">
        <v>1389</v>
      </c>
      <c r="B31" s="4" t="n">
        <v>1994</v>
      </c>
      <c r="C31" s="4" t="str">
        <f aca="false">FLOOR(B31,10)&amp;"s"</f>
        <v>1990s</v>
      </c>
      <c r="D31" s="4" t="s">
        <v>516</v>
      </c>
      <c r="E31" s="25" t="str">
        <f aca="false">IF(G31=1,"✓","")</f>
        <v/>
      </c>
      <c r="F31" s="4" t="n">
        <v>2</v>
      </c>
      <c r="G31" s="4" t="n">
        <f aca="false">IF(COUNTIF('Letterboxd Watched'!$E$2:$E$3000,M31)&gt;0,1,0)</f>
        <v>0</v>
      </c>
      <c r="H31" s="4" t="n">
        <v>3</v>
      </c>
      <c r="I31" s="4" t="s">
        <v>213</v>
      </c>
      <c r="J31" s="4" t="s">
        <v>53</v>
      </c>
      <c r="K31" s="4" t="s">
        <v>5151</v>
      </c>
      <c r="L31" s="48" t="str">
        <f aca="false">HYPERLINK("https://boxd.it/1gAU","open")</f>
        <v>open</v>
      </c>
      <c r="M31" s="4" t="str">
        <f aca="false">LOWER(A31)&amp;"|"&amp;B31</f>
        <v>71 fragments of a chronology of chance|1994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0</v>
      </c>
    </row>
    <row r="32" customFormat="false" ht="15" hidden="false" customHeight="false" outlineLevel="0" collapsed="false">
      <c r="A32" s="4" t="s">
        <v>2774</v>
      </c>
      <c r="B32" s="4" t="n">
        <v>2002</v>
      </c>
      <c r="C32" s="4" t="str">
        <f aca="false">FLOOR(B32,10)&amp;"s"</f>
        <v>2000s</v>
      </c>
      <c r="D32" s="4" t="s">
        <v>2775</v>
      </c>
      <c r="E32" s="25" t="str">
        <f aca="false">IF(G32=1,"✓","")</f>
        <v/>
      </c>
      <c r="F32" s="4" t="n">
        <v>1</v>
      </c>
      <c r="G32" s="4" t="n">
        <f aca="false">IF(COUNTIF('Letterboxd Watched'!$E$2:$E$3000,M32)&gt;0,1,0)</f>
        <v>0</v>
      </c>
      <c r="H32" s="4" t="n">
        <v>2</v>
      </c>
      <c r="I32" s="4" t="s">
        <v>213</v>
      </c>
      <c r="J32" s="4" t="s">
        <v>52</v>
      </c>
      <c r="K32" s="4" t="s">
        <v>4114</v>
      </c>
      <c r="L32" s="48" t="str">
        <f aca="false">HYPERLINK("https://letterboxd.com/search/films/8+Women+2002/","open")</f>
        <v>open</v>
      </c>
      <c r="M32" s="4" t="str">
        <f aca="false">LOWER(A32)&amp;"|"&amp;B32</f>
        <v>8 women|2002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</row>
    <row r="33" customFormat="false" ht="15" hidden="false" customHeight="false" outlineLevel="0" collapsed="false">
      <c r="A33" s="4" t="s">
        <v>178</v>
      </c>
      <c r="B33" s="4" t="n">
        <v>1963</v>
      </c>
      <c r="C33" s="4" t="str">
        <f aca="false">FLOOR(B33,10)&amp;"s"</f>
        <v>1960s</v>
      </c>
      <c r="D33" s="4" t="s">
        <v>179</v>
      </c>
      <c r="E33" s="25" t="str">
        <f aca="false">IF(G33=1,"✓","")</f>
        <v/>
      </c>
      <c r="F33" s="4" t="n">
        <v>7</v>
      </c>
      <c r="G33" s="4" t="n">
        <f aca="false">IF(COUNTIF('Letterboxd Watched'!$E$2:$E$3000,M33)&gt;0,1,0)</f>
        <v>0</v>
      </c>
      <c r="H33" s="4" t="n">
        <v>17</v>
      </c>
      <c r="I33" s="4" t="s">
        <v>144</v>
      </c>
      <c r="J33" s="4" t="s">
        <v>50</v>
      </c>
      <c r="K33" s="4" t="s">
        <v>5152</v>
      </c>
      <c r="L33" s="48" t="str">
        <f aca="false">HYPERLINK("https://boxd.it/2aqm","open")</f>
        <v>open</v>
      </c>
      <c r="M33" s="4" t="str">
        <f aca="false">LOWER(A33)&amp;"|"&amp;B33</f>
        <v>8½|1963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1</v>
      </c>
      <c r="S33" s="4" t="n">
        <v>1</v>
      </c>
      <c r="T33" s="4" t="n">
        <v>1</v>
      </c>
      <c r="U33" s="4" t="n">
        <v>0</v>
      </c>
      <c r="V33" s="4" t="n">
        <v>1</v>
      </c>
      <c r="W33" s="4" t="n">
        <v>1</v>
      </c>
    </row>
    <row r="34" customFormat="false" ht="15" hidden="false" customHeight="false" outlineLevel="0" collapsed="false">
      <c r="A34" s="4" t="s">
        <v>1568</v>
      </c>
      <c r="B34" s="4" t="n">
        <v>1997</v>
      </c>
      <c r="C34" s="4" t="str">
        <f aca="false">FLOOR(B34,10)&amp;"s"</f>
        <v>1990s</v>
      </c>
      <c r="D34" s="4" t="s">
        <v>1569</v>
      </c>
      <c r="E34" s="25" t="str">
        <f aca="false">IF(G34=1,"✓","")</f>
        <v/>
      </c>
      <c r="F34" s="4" t="n">
        <v>1</v>
      </c>
      <c r="G34" s="4" t="n">
        <f aca="false">IF(COUNTIF('Letterboxd Watched'!$E$2:$E$3000,M34)&gt;0,1,0)</f>
        <v>0</v>
      </c>
      <c r="H34" s="4" t="n">
        <v>3</v>
      </c>
      <c r="I34" s="4" t="s">
        <v>144</v>
      </c>
      <c r="J34" s="4" t="s">
        <v>52</v>
      </c>
      <c r="K34" s="4" t="s">
        <v>4044</v>
      </c>
      <c r="L34" s="48" t="str">
        <f aca="false">HYPERLINK("https://boxd.it/27oC","open")</f>
        <v>open</v>
      </c>
      <c r="M34" s="4" t="str">
        <f aca="false">LOWER(A34)&amp;"|"&amp;B34</f>
        <v>l.a. confidential|1997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</row>
    <row r="35" customFormat="false" ht="15" hidden="false" customHeight="false" outlineLevel="0" collapsed="false">
      <c r="A35" s="4" t="s">
        <v>2788</v>
      </c>
      <c r="B35" s="4" t="n">
        <v>2002</v>
      </c>
      <c r="C35" s="4" t="str">
        <f aca="false">FLOOR(B35,10)&amp;"s"</f>
        <v>2000s</v>
      </c>
      <c r="D35" s="4" t="s">
        <v>429</v>
      </c>
      <c r="E35" s="25" t="str">
        <f aca="false">IF(G35=1,"✓","")</f>
        <v/>
      </c>
      <c r="F35" s="4" t="n">
        <v>1</v>
      </c>
      <c r="G35" s="4" t="n">
        <f aca="false">IF(COUNTIF('Letterboxd Watched'!$E$2:$E$3000,M35)&gt;0,1,0)</f>
        <v>0</v>
      </c>
      <c r="H35" s="4" t="n">
        <v>2</v>
      </c>
      <c r="I35" s="4" t="s">
        <v>213</v>
      </c>
      <c r="J35" s="4" t="s">
        <v>55</v>
      </c>
      <c r="K35" s="4" t="s">
        <v>4350</v>
      </c>
      <c r="L35" s="48" t="str">
        <f aca="false">HYPERLINK("https://boxd.it/26mU","open")</f>
        <v>open</v>
      </c>
      <c r="M35" s="4" t="str">
        <f aca="false">LOWER(A35)&amp;"|"&amp;B35</f>
        <v>about schmidt|2002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1</v>
      </c>
      <c r="U35" s="4" t="n">
        <v>0</v>
      </c>
      <c r="V35" s="4" t="n">
        <v>0</v>
      </c>
      <c r="W35" s="4" t="n">
        <v>0</v>
      </c>
    </row>
    <row r="36" customFormat="false" ht="15" hidden="false" customHeight="false" outlineLevel="0" collapsed="false">
      <c r="A36" s="4" t="s">
        <v>1655</v>
      </c>
      <c r="B36" s="4" t="n">
        <v>1997</v>
      </c>
      <c r="C36" s="4" t="str">
        <f aca="false">FLOOR(B36,10)&amp;"s"</f>
        <v>1990s</v>
      </c>
      <c r="D36" s="4" t="s">
        <v>1145</v>
      </c>
      <c r="E36" s="25" t="str">
        <f aca="false">IF(G36=1,"✓","")</f>
        <v/>
      </c>
      <c r="F36" s="4" t="n">
        <v>2</v>
      </c>
      <c r="G36" s="4" t="n">
        <f aca="false">IF(COUNTIF('Letterboxd Watched'!$E$2:$E$3000,M36)&gt;0,1,0)</f>
        <v>0</v>
      </c>
      <c r="H36" s="4" t="n">
        <v>2</v>
      </c>
      <c r="I36" s="4" t="s">
        <v>1327</v>
      </c>
      <c r="J36" s="4" t="s">
        <v>54</v>
      </c>
      <c r="K36" s="4" t="s">
        <v>5153</v>
      </c>
      <c r="L36" s="48" t="str">
        <f aca="false">HYPERLINK("https://letterboxd.com/search/films/Abre+los+Ojos+1997/","open")</f>
        <v>open</v>
      </c>
      <c r="M36" s="4" t="str">
        <f aca="false">LOWER(A36)&amp;"|"&amp;B36</f>
        <v>abre los ojos|1997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</v>
      </c>
      <c r="T36" s="4" t="n">
        <v>0</v>
      </c>
      <c r="U36" s="4" t="n">
        <v>1</v>
      </c>
      <c r="V36" s="4" t="n">
        <v>0</v>
      </c>
      <c r="W36" s="4" t="n">
        <v>0</v>
      </c>
    </row>
    <row r="37" customFormat="false" ht="15" hidden="false" customHeight="false" outlineLevel="0" collapsed="false">
      <c r="A37" s="4" t="s">
        <v>3598</v>
      </c>
      <c r="B37" s="4" t="n">
        <v>1981</v>
      </c>
      <c r="C37" s="4" t="str">
        <f aca="false">FLOOR(B37,10)&amp;"s"</f>
        <v>1980s</v>
      </c>
      <c r="D37" s="4" t="s">
        <v>1058</v>
      </c>
      <c r="E37" s="25" t="str">
        <f aca="false">IF(G37=1,"✓","")</f>
        <v/>
      </c>
      <c r="F37" s="4" t="n">
        <v>1</v>
      </c>
      <c r="G37" s="4" t="n">
        <f aca="false">IF(COUNTIF('Letterboxd Watched'!$E$2:$E$3000,M37)&gt;0,1,0)</f>
        <v>0</v>
      </c>
      <c r="H37" s="4" t="n">
        <v>1</v>
      </c>
      <c r="I37" s="4" t="s">
        <v>1327</v>
      </c>
      <c r="J37" s="4" t="s">
        <v>55</v>
      </c>
      <c r="K37" s="4" t="s">
        <v>4320</v>
      </c>
      <c r="L37" s="48" t="str">
        <f aca="false">HYPERLINK("https://boxd.it/1F74","open")</f>
        <v>open</v>
      </c>
      <c r="M37" s="4" t="str">
        <f aca="false">LOWER(A37)&amp;"|"&amp;B37</f>
        <v>absence of malice|1981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1</v>
      </c>
      <c r="U37" s="4" t="n">
        <v>0</v>
      </c>
      <c r="V37" s="4" t="n">
        <v>0</v>
      </c>
      <c r="W37" s="4" t="n">
        <v>0</v>
      </c>
    </row>
    <row r="38" customFormat="false" ht="15" hidden="false" customHeight="false" outlineLevel="0" collapsed="false">
      <c r="A38" s="4" t="s">
        <v>1987</v>
      </c>
      <c r="B38" s="4" t="n">
        <v>1961</v>
      </c>
      <c r="C38" s="4" t="str">
        <f aca="false">FLOOR(B38,10)&amp;"s"</f>
        <v>1960s</v>
      </c>
      <c r="D38" s="4" t="s">
        <v>974</v>
      </c>
      <c r="E38" s="25" t="str">
        <f aca="false">IF(G38=1,"✓","")</f>
        <v/>
      </c>
      <c r="F38" s="4" t="n">
        <v>1</v>
      </c>
      <c r="G38" s="4" t="n">
        <f aca="false">IF(COUNTIF('Letterboxd Watched'!$E$2:$E$3000,M38)&gt;0,1,0)</f>
        <v>0</v>
      </c>
      <c r="H38" s="4" t="n">
        <v>2</v>
      </c>
      <c r="I38" s="4" t="s">
        <v>213</v>
      </c>
      <c r="J38" s="4" t="s">
        <v>51</v>
      </c>
      <c r="K38" s="4" t="s">
        <v>3944</v>
      </c>
      <c r="L38" s="48" t="str">
        <f aca="false">HYPERLINK("https://letterboxd.com/search/films/Accattone+1961/","open")</f>
        <v>open</v>
      </c>
      <c r="M38" s="4" t="str">
        <f aca="false">LOWER(A38)&amp;"|"&amp;B38</f>
        <v>accattone|1961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</row>
    <row r="39" customFormat="false" ht="15" hidden="false" customHeight="false" outlineLevel="0" collapsed="false">
      <c r="A39" s="4" t="s">
        <v>574</v>
      </c>
      <c r="B39" s="4" t="n">
        <v>1951</v>
      </c>
      <c r="C39" s="4" t="str">
        <f aca="false">FLOOR(B39,10)&amp;"s"</f>
        <v>1950s</v>
      </c>
      <c r="D39" s="4" t="s">
        <v>200</v>
      </c>
      <c r="E39" s="25" t="str">
        <f aca="false">IF(G39=1,"✓","")</f>
        <v/>
      </c>
      <c r="F39" s="4" t="n">
        <v>3</v>
      </c>
      <c r="G39" s="4" t="n">
        <f aca="false">IF(COUNTIF('Letterboxd Watched'!$E$2:$E$3000,M39)&gt;0,1,0)</f>
        <v>0</v>
      </c>
      <c r="H39" s="4" t="n">
        <v>6</v>
      </c>
      <c r="I39" s="4" t="s">
        <v>213</v>
      </c>
      <c r="J39" s="4" t="s">
        <v>52</v>
      </c>
      <c r="K39" s="4" t="s">
        <v>5154</v>
      </c>
      <c r="L39" s="48" t="str">
        <f aca="false">HYPERLINK("https://boxd.it/1vXk","open")</f>
        <v>open</v>
      </c>
      <c r="M39" s="4" t="str">
        <f aca="false">LOWER(A39)&amp;"|"&amp;B39</f>
        <v>ace in the hole|1951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1</v>
      </c>
      <c r="U39" s="4" t="n">
        <v>0</v>
      </c>
      <c r="V39" s="4" t="n">
        <v>0</v>
      </c>
      <c r="W39" s="4" t="n">
        <v>0</v>
      </c>
    </row>
    <row r="40" customFormat="false" ht="15" hidden="false" customHeight="false" outlineLevel="0" collapsed="false">
      <c r="A40" s="4" t="s">
        <v>2206</v>
      </c>
      <c r="B40" s="4" t="n">
        <v>1972</v>
      </c>
      <c r="C40" s="4" t="str">
        <f aca="false">FLOOR(B40,10)&amp;"s"</f>
        <v>1970s</v>
      </c>
      <c r="D40" s="4" t="s">
        <v>2207</v>
      </c>
      <c r="E40" s="25" t="str">
        <f aca="false">IF(G40=1,"✓","")</f>
        <v/>
      </c>
      <c r="F40" s="4" t="n">
        <v>1</v>
      </c>
      <c r="G40" s="4" t="n">
        <f aca="false">IF(COUNTIF('Letterboxd Watched'!$E$2:$E$3000,M40)&gt;0,1,0)</f>
        <v>0</v>
      </c>
      <c r="H40" s="4" t="n">
        <v>2</v>
      </c>
      <c r="I40" s="4" t="s">
        <v>213</v>
      </c>
      <c r="J40" s="4" t="s">
        <v>54</v>
      </c>
      <c r="K40" s="4" t="s">
        <v>4288</v>
      </c>
      <c r="L40" s="48" t="str">
        <f aca="false">HYPERLINK("https://boxd.it/1yHO","open")</f>
        <v>open</v>
      </c>
      <c r="M40" s="4" t="str">
        <f aca="false">LOWER(A40)&amp;"|"&amp;B40</f>
        <v>across 110th street|1972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  <c r="U40" s="4" t="n">
        <v>0</v>
      </c>
      <c r="V40" s="4" t="n">
        <v>0</v>
      </c>
      <c r="W40" s="4" t="n">
        <v>0</v>
      </c>
    </row>
    <row r="41" customFormat="false" ht="15" hidden="false" customHeight="false" outlineLevel="0" collapsed="false">
      <c r="A41" s="4" t="s">
        <v>715</v>
      </c>
      <c r="B41" s="4" t="n">
        <v>2012</v>
      </c>
      <c r="C41" s="4" t="str">
        <f aca="false">FLOOR(B41,10)&amp;"s"</f>
        <v>2010s</v>
      </c>
      <c r="D41" s="4" t="s">
        <v>716</v>
      </c>
      <c r="E41" s="25" t="str">
        <f aca="false">IF(G41=1,"✓","")</f>
        <v/>
      </c>
      <c r="F41" s="4" t="n">
        <v>3</v>
      </c>
      <c r="G41" s="4" t="n">
        <f aca="false">IF(COUNTIF('Letterboxd Watched'!$E$2:$E$3000,M41)&gt;0,1,0)</f>
        <v>0</v>
      </c>
      <c r="H41" s="4" t="n">
        <v>5</v>
      </c>
      <c r="I41" s="4" t="s">
        <v>213</v>
      </c>
      <c r="J41" s="4" t="s">
        <v>50</v>
      </c>
      <c r="K41" s="4" t="s">
        <v>5155</v>
      </c>
      <c r="L41" s="48" t="str">
        <f aca="false">HYPERLINK("https://boxd.it/44Cg","open")</f>
        <v>open</v>
      </c>
      <c r="M41" s="4" t="str">
        <f aca="false">LOWER(A41)&amp;"|"&amp;B41</f>
        <v>the act of killing|2012</v>
      </c>
      <c r="N41" s="4" t="n">
        <v>0</v>
      </c>
      <c r="O41" s="4" t="n">
        <v>1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</row>
    <row r="42" customFormat="false" ht="15" hidden="false" customHeight="false" outlineLevel="0" collapsed="false">
      <c r="A42" s="4" t="s">
        <v>1871</v>
      </c>
      <c r="B42" s="4" t="n">
        <v>1949</v>
      </c>
      <c r="C42" s="4" t="str">
        <f aca="false">FLOOR(B42,10)&amp;"s"</f>
        <v>1940s</v>
      </c>
      <c r="D42" s="4" t="s">
        <v>537</v>
      </c>
      <c r="E42" s="25" t="str">
        <f aca="false">IF(G42=1,"✓","")</f>
        <v/>
      </c>
      <c r="F42" s="4" t="n">
        <v>1</v>
      </c>
      <c r="G42" s="4" t="n">
        <f aca="false">IF(COUNTIF('Letterboxd Watched'!$E$2:$E$3000,M42)&gt;0,1,0)</f>
        <v>0</v>
      </c>
      <c r="H42" s="4" t="n">
        <v>2</v>
      </c>
      <c r="I42" s="4" t="s">
        <v>213</v>
      </c>
      <c r="J42" s="4" t="s">
        <v>52</v>
      </c>
      <c r="K42" s="4" t="s">
        <v>4150</v>
      </c>
      <c r="L42" s="48" t="str">
        <f aca="false">HYPERLINK("https://boxd.it/1vQy","open")</f>
        <v>open</v>
      </c>
      <c r="M42" s="4" t="str">
        <f aca="false">LOWER(A42)&amp;"|"&amp;B42</f>
        <v>adam's rib|1949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</row>
    <row r="43" customFormat="false" ht="15" hidden="false" customHeight="false" outlineLevel="0" collapsed="false">
      <c r="A43" s="4" t="s">
        <v>1163</v>
      </c>
      <c r="B43" s="4" t="n">
        <v>2002</v>
      </c>
      <c r="C43" s="4" t="str">
        <f aca="false">FLOOR(B43,10)&amp;"s"</f>
        <v>2000s</v>
      </c>
      <c r="D43" s="4" t="s">
        <v>508</v>
      </c>
      <c r="E43" s="25" t="str">
        <f aca="false">IF(G43=1,"✓","")</f>
        <v>✓</v>
      </c>
      <c r="F43" s="4" t="n">
        <v>2</v>
      </c>
      <c r="G43" s="4" t="n">
        <f aca="false">IF(COUNTIF('Letterboxd Watched'!$E$2:$E$3000,M43)&gt;0,1,0)</f>
        <v>1</v>
      </c>
      <c r="H43" s="4" t="n">
        <v>4</v>
      </c>
      <c r="I43" s="4" t="s">
        <v>213</v>
      </c>
      <c r="J43" s="4" t="s">
        <v>53</v>
      </c>
      <c r="K43" s="4" t="s">
        <v>5156</v>
      </c>
      <c r="L43" s="48" t="str">
        <f aca="false">HYPERLINK("https://boxd.it/26mA","open")</f>
        <v>open</v>
      </c>
      <c r="M43" s="4" t="str">
        <f aca="false">LOWER(A43)&amp;"|"&amp;B43</f>
        <v>adaptation.|2002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1</v>
      </c>
    </row>
    <row r="44" customFormat="false" ht="15" hidden="false" customHeight="false" outlineLevel="0" collapsed="false">
      <c r="A44" s="4" t="s">
        <v>3412</v>
      </c>
      <c r="B44" s="4" t="n">
        <v>1962</v>
      </c>
      <c r="C44" s="4" t="str">
        <f aca="false">FLOOR(B44,10)&amp;"s"</f>
        <v>1960s</v>
      </c>
      <c r="D44" s="4" t="s">
        <v>3413</v>
      </c>
      <c r="E44" s="25" t="str">
        <f aca="false">IF(G44=1,"✓","")</f>
        <v/>
      </c>
      <c r="F44" s="4" t="n">
        <v>1</v>
      </c>
      <c r="G44" s="4" t="n">
        <f aca="false">IF(COUNTIF('Letterboxd Watched'!$E$2:$E$3000,M44)&gt;0,1,0)</f>
        <v>0</v>
      </c>
      <c r="H44" s="4" t="n">
        <v>1</v>
      </c>
      <c r="I44" s="4" t="s">
        <v>1327</v>
      </c>
      <c r="J44" s="4" t="s">
        <v>51</v>
      </c>
      <c r="K44" s="4" t="s">
        <v>3960</v>
      </c>
      <c r="L44" s="48" t="str">
        <f aca="false">HYPERLINK("https://letterboxd.com/search/films/Adieu+Philippine+1962/","open")</f>
        <v>open</v>
      </c>
      <c r="M44" s="4" t="str">
        <f aca="false">LOWER(A44)&amp;"|"&amp;B44</f>
        <v>adieu philippine|1962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</row>
    <row r="45" customFormat="false" ht="15" hidden="false" customHeight="false" outlineLevel="0" collapsed="false">
      <c r="A45" s="4" t="s">
        <v>3293</v>
      </c>
      <c r="B45" s="4" t="n">
        <v>1926</v>
      </c>
      <c r="C45" s="4" t="str">
        <f aca="false">FLOOR(B45,10)&amp;"s"</f>
        <v>1920s</v>
      </c>
      <c r="D45" s="4" t="s">
        <v>3294</v>
      </c>
      <c r="E45" s="25" t="str">
        <f aca="false">IF(G45=1,"✓","")</f>
        <v/>
      </c>
      <c r="F45" s="4" t="n">
        <v>1</v>
      </c>
      <c r="G45" s="4" t="n">
        <f aca="false">IF(COUNTIF('Letterboxd Watched'!$E$2:$E$3000,M45)&gt;0,1,0)</f>
        <v>0</v>
      </c>
      <c r="H45" s="4" t="n">
        <v>1</v>
      </c>
      <c r="I45" s="4" t="s">
        <v>1327</v>
      </c>
      <c r="J45" s="4" t="s">
        <v>52</v>
      </c>
      <c r="K45" s="4" t="s">
        <v>4162</v>
      </c>
      <c r="L45" s="48" t="str">
        <f aca="false">HYPERLINK("https://letterboxd.com/search/films/The+Adventures+of+Prince+Achmed+1926/","open")</f>
        <v>open</v>
      </c>
      <c r="M45" s="4" t="str">
        <f aca="false">LOWER(A45)&amp;"|"&amp;B45</f>
        <v>the adventures of prince achmed|1926</v>
      </c>
      <c r="N45" s="4" t="n">
        <v>0</v>
      </c>
      <c r="O45" s="4" t="n">
        <v>0</v>
      </c>
      <c r="P45" s="4" t="n">
        <v>0</v>
      </c>
      <c r="Q45" s="4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</row>
    <row r="46" customFormat="false" ht="15" hidden="false" customHeight="false" outlineLevel="0" collapsed="false">
      <c r="A46" s="4" t="s">
        <v>737</v>
      </c>
      <c r="B46" s="4" t="n">
        <v>1938</v>
      </c>
      <c r="C46" s="4" t="str">
        <f aca="false">FLOOR(B46,10)&amp;"s"</f>
        <v>1930s</v>
      </c>
      <c r="D46" s="4" t="s">
        <v>738</v>
      </c>
      <c r="E46" s="25" t="str">
        <f aca="false">IF(G46=1,"✓","")</f>
        <v/>
      </c>
      <c r="F46" s="4" t="n">
        <v>2</v>
      </c>
      <c r="G46" s="4" t="n">
        <f aca="false">IF(COUNTIF('Letterboxd Watched'!$E$2:$E$3000,M46)&gt;0,1,0)</f>
        <v>0</v>
      </c>
      <c r="H46" s="4" t="n">
        <v>5</v>
      </c>
      <c r="I46" s="4" t="s">
        <v>144</v>
      </c>
      <c r="J46" s="4" t="s">
        <v>50</v>
      </c>
      <c r="K46" s="4" t="s">
        <v>5157</v>
      </c>
      <c r="L46" s="48" t="str">
        <f aca="false">HYPERLINK("https://boxd.it/1V6G","open")</f>
        <v>open</v>
      </c>
      <c r="M46" s="4" t="str">
        <f aca="false">LOWER(A46)&amp;"|"&amp;B46</f>
        <v>the adventures of robin hood|1938</v>
      </c>
      <c r="N46" s="4" t="n">
        <v>0</v>
      </c>
      <c r="O46" s="4" t="n">
        <v>1</v>
      </c>
      <c r="P46" s="4" t="n">
        <v>0</v>
      </c>
      <c r="Q46" s="4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</row>
    <row r="47" customFormat="false" ht="15" hidden="false" customHeight="false" outlineLevel="0" collapsed="false">
      <c r="A47" s="4" t="s">
        <v>2163</v>
      </c>
      <c r="B47" s="4" t="n">
        <v>1970</v>
      </c>
      <c r="C47" s="4" t="str">
        <f aca="false">FLOOR(B47,10)&amp;"s"</f>
        <v>1970s</v>
      </c>
      <c r="D47" s="4" t="s">
        <v>253</v>
      </c>
      <c r="E47" s="25" t="str">
        <f aca="false">IF(G47=1,"✓","")</f>
        <v/>
      </c>
      <c r="F47" s="4" t="n">
        <v>1</v>
      </c>
      <c r="G47" s="4" t="n">
        <f aca="false">IF(COUNTIF('Letterboxd Watched'!$E$2:$E$3000,M47)&gt;0,1,0)</f>
        <v>0</v>
      </c>
      <c r="H47" s="4" t="n">
        <v>2</v>
      </c>
      <c r="I47" s="4" t="s">
        <v>213</v>
      </c>
      <c r="J47" s="4" t="s">
        <v>53</v>
      </c>
      <c r="K47" s="4" t="s">
        <v>253</v>
      </c>
      <c r="L47" s="48" t="str">
        <f aca="false">HYPERLINK("https://letterboxd.com/search/films/The+Adversary+1970/","open")</f>
        <v>open</v>
      </c>
      <c r="M47" s="4" t="str">
        <f aca="false">LOWER(A47)&amp;"|"&amp;B47</f>
        <v>the adversary|1970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</row>
    <row r="48" customFormat="false" ht="15" hidden="false" customHeight="false" outlineLevel="0" collapsed="false">
      <c r="A48" s="4" t="s">
        <v>2015</v>
      </c>
      <c r="B48" s="4" t="n">
        <v>1962</v>
      </c>
      <c r="C48" s="4" t="str">
        <f aca="false">FLOOR(B48,10)&amp;"s"</f>
        <v>1960s</v>
      </c>
      <c r="D48" s="4" t="s">
        <v>951</v>
      </c>
      <c r="E48" s="25" t="str">
        <f aca="false">IF(G48=1,"✓","")</f>
        <v/>
      </c>
      <c r="F48" s="4" t="n">
        <v>1</v>
      </c>
      <c r="G48" s="4" t="n">
        <f aca="false">IF(COUNTIF('Letterboxd Watched'!$E$2:$E$3000,M48)&gt;0,1,0)</f>
        <v>0</v>
      </c>
      <c r="H48" s="4" t="n">
        <v>2</v>
      </c>
      <c r="I48" s="4" t="s">
        <v>213</v>
      </c>
      <c r="J48" s="4" t="s">
        <v>55</v>
      </c>
      <c r="K48" s="4" t="s">
        <v>4318</v>
      </c>
      <c r="L48" s="48" t="str">
        <f aca="false">HYPERLINK("https://boxd.it/1J2M","open")</f>
        <v>open</v>
      </c>
      <c r="M48" s="4" t="str">
        <f aca="false">LOWER(A48)&amp;"|"&amp;B48</f>
        <v>advise &amp; consent|1962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1</v>
      </c>
      <c r="U48" s="4" t="n">
        <v>0</v>
      </c>
      <c r="V48" s="4" t="n">
        <v>0</v>
      </c>
      <c r="W48" s="4" t="n">
        <v>0</v>
      </c>
    </row>
    <row r="49" customFormat="false" ht="15" hidden="false" customHeight="false" outlineLevel="0" collapsed="false">
      <c r="A49" s="4" t="s">
        <v>938</v>
      </c>
      <c r="B49" s="4" t="n">
        <v>1951</v>
      </c>
      <c r="C49" s="4" t="str">
        <f aca="false">FLOOR(B49,10)&amp;"s"</f>
        <v>1950s</v>
      </c>
      <c r="D49" s="4" t="s">
        <v>283</v>
      </c>
      <c r="E49" s="25" t="str">
        <f aca="false">IF(G49=1,"✓","")</f>
        <v/>
      </c>
      <c r="F49" s="4" t="n">
        <v>2</v>
      </c>
      <c r="G49" s="4" t="n">
        <f aca="false">IF(COUNTIF('Letterboxd Watched'!$E$2:$E$3000,M49)&gt;0,1,0)</f>
        <v>0</v>
      </c>
      <c r="H49" s="4" t="n">
        <v>4</v>
      </c>
      <c r="I49" s="4" t="s">
        <v>213</v>
      </c>
      <c r="J49" s="4" t="s">
        <v>52</v>
      </c>
      <c r="K49" s="4" t="s">
        <v>5158</v>
      </c>
      <c r="L49" s="48" t="str">
        <f aca="false">HYPERLINK("https://boxd.it/2ai8","open")</f>
        <v>open</v>
      </c>
      <c r="M49" s="4" t="str">
        <f aca="false">LOWER(A49)&amp;"|"&amp;B49</f>
        <v>the african queen|1951</v>
      </c>
      <c r="N49" s="4" t="n">
        <v>0</v>
      </c>
      <c r="O49" s="4" t="n">
        <v>0</v>
      </c>
      <c r="P49" s="4" t="n">
        <v>0</v>
      </c>
      <c r="Q49" s="4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1</v>
      </c>
      <c r="W49" s="4" t="n">
        <v>0</v>
      </c>
    </row>
    <row r="50" customFormat="false" ht="15" hidden="false" customHeight="false" outlineLevel="0" collapsed="false">
      <c r="A50" s="4" t="s">
        <v>398</v>
      </c>
      <c r="B50" s="4" t="n">
        <v>1985</v>
      </c>
      <c r="C50" s="4" t="str">
        <f aca="false">FLOOR(B50,10)&amp;"s"</f>
        <v>1980s</v>
      </c>
      <c r="D50" s="4" t="s">
        <v>164</v>
      </c>
      <c r="E50" s="25" t="str">
        <f aca="false">IF(G50=1,"✓","")</f>
        <v>✓</v>
      </c>
      <c r="F50" s="4" t="n">
        <v>4</v>
      </c>
      <c r="G50" s="4" t="n">
        <f aca="false">IF(COUNTIF('Letterboxd Watched'!$E$2:$E$3000,M50)&gt;0,1,0)</f>
        <v>1</v>
      </c>
      <c r="H50" s="4" t="n">
        <v>8</v>
      </c>
      <c r="I50" s="4" t="s">
        <v>213</v>
      </c>
      <c r="J50" s="4" t="s">
        <v>50</v>
      </c>
      <c r="K50" s="4" t="s">
        <v>5159</v>
      </c>
      <c r="L50" s="48" t="str">
        <f aca="false">HYPERLINK("https://boxd.it/1VfS","open")</f>
        <v>open</v>
      </c>
      <c r="M50" s="4" t="str">
        <f aca="false">LOWER(A50)&amp;"|"&amp;B50</f>
        <v>after hours|1985</v>
      </c>
      <c r="N50" s="4" t="n">
        <v>0</v>
      </c>
      <c r="O50" s="4" t="n">
        <v>1</v>
      </c>
      <c r="P50" s="4" t="n">
        <v>0</v>
      </c>
      <c r="Q50" s="4" t="n">
        <v>0</v>
      </c>
      <c r="R50" s="4" t="n">
        <v>1</v>
      </c>
      <c r="S50" s="4" t="n">
        <v>0</v>
      </c>
      <c r="T50" s="4" t="n">
        <v>1</v>
      </c>
      <c r="U50" s="4" t="n">
        <v>1</v>
      </c>
      <c r="V50" s="4" t="n">
        <v>0</v>
      </c>
      <c r="W50" s="4" t="n">
        <v>0</v>
      </c>
    </row>
    <row r="51" customFormat="false" ht="15" hidden="false" customHeight="false" outlineLevel="0" collapsed="false">
      <c r="A51" s="4" t="s">
        <v>2681</v>
      </c>
      <c r="B51" s="4" t="n">
        <v>1998</v>
      </c>
      <c r="C51" s="4" t="str">
        <f aca="false">FLOOR(B51,10)&amp;"s"</f>
        <v>1990s</v>
      </c>
      <c r="D51" s="4" t="s">
        <v>1205</v>
      </c>
      <c r="E51" s="25" t="str">
        <f aca="false">IF(G51=1,"✓","")</f>
        <v/>
      </c>
      <c r="F51" s="4" t="n">
        <v>1</v>
      </c>
      <c r="G51" s="4" t="n">
        <f aca="false">IF(COUNTIF('Letterboxd Watched'!$E$2:$E$3000,M51)&gt;0,1,0)</f>
        <v>0</v>
      </c>
      <c r="H51" s="4" t="n">
        <v>2</v>
      </c>
      <c r="I51" s="4" t="s">
        <v>213</v>
      </c>
      <c r="J51" s="4" t="s">
        <v>51</v>
      </c>
      <c r="K51" s="4" t="s">
        <v>3940</v>
      </c>
      <c r="L51" s="48" t="str">
        <f aca="false">HYPERLINK("https://boxd.it/1HMI","open")</f>
        <v>open</v>
      </c>
      <c r="M51" s="4" t="str">
        <f aca="false">LOWER(A51)&amp;"|"&amp;B51</f>
        <v>after life|1998</v>
      </c>
      <c r="N51" s="4" t="n">
        <v>0</v>
      </c>
      <c r="O51" s="4" t="n">
        <v>0</v>
      </c>
      <c r="P51" s="4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</row>
    <row r="52" customFormat="false" ht="15" hidden="false" customHeight="false" outlineLevel="0" collapsed="false">
      <c r="A52" s="4" t="s">
        <v>1318</v>
      </c>
      <c r="B52" s="4" t="n">
        <v>1954</v>
      </c>
      <c r="C52" s="4" t="str">
        <f aca="false">FLOOR(B52,10)&amp;"s"</f>
        <v>1950s</v>
      </c>
      <c r="D52" s="4" t="s">
        <v>1319</v>
      </c>
      <c r="E52" s="25" t="str">
        <f aca="false">IF(G52=1,"✓","")</f>
        <v/>
      </c>
      <c r="F52" s="4" t="n">
        <v>2</v>
      </c>
      <c r="G52" s="4" t="n">
        <f aca="false">IF(COUNTIF('Letterboxd Watched'!$E$2:$E$3000,M52)&gt;0,1,0)</f>
        <v>0</v>
      </c>
      <c r="H52" s="4" t="n">
        <v>3</v>
      </c>
      <c r="I52" s="4" t="s">
        <v>213</v>
      </c>
      <c r="J52" s="4" t="s">
        <v>51</v>
      </c>
      <c r="K52" s="4" t="s">
        <v>5160</v>
      </c>
      <c r="L52" s="48" t="str">
        <f aca="false">HYPERLINK("https://boxd.it/5joA","open")</f>
        <v>open</v>
      </c>
      <c r="M52" s="4" t="str">
        <f aca="false">LOWER(A52)&amp;"|"&amp;B52</f>
        <v>after the curfew|1954</v>
      </c>
      <c r="N52" s="4" t="n">
        <v>0</v>
      </c>
      <c r="O52" s="4" t="n">
        <v>0</v>
      </c>
      <c r="P52" s="4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1</v>
      </c>
      <c r="W52" s="4" t="n">
        <v>0</v>
      </c>
    </row>
    <row r="53" customFormat="false" ht="15" hidden="false" customHeight="false" outlineLevel="0" collapsed="false">
      <c r="A53" s="4" t="s">
        <v>3216</v>
      </c>
      <c r="B53" s="4" t="n">
        <v>2021</v>
      </c>
      <c r="C53" s="4" t="str">
        <f aca="false">FLOOR(B53,10)&amp;"s"</f>
        <v>2020s</v>
      </c>
      <c r="D53" s="4" t="s">
        <v>1237</v>
      </c>
      <c r="E53" s="25" t="str">
        <f aca="false">IF(G53=1,"✓","")</f>
        <v/>
      </c>
      <c r="F53" s="4" t="n">
        <v>1</v>
      </c>
      <c r="G53" s="4" t="n">
        <f aca="false">IF(COUNTIF('Letterboxd Watched'!$E$2:$E$3000,M53)&gt;0,1,0)</f>
        <v>0</v>
      </c>
      <c r="H53" s="4" t="n">
        <v>2</v>
      </c>
      <c r="I53" s="4" t="s">
        <v>213</v>
      </c>
      <c r="J53" s="4" t="s">
        <v>55</v>
      </c>
      <c r="K53" s="4" t="s">
        <v>4340</v>
      </c>
      <c r="L53" s="48" t="str">
        <f aca="false">HYPERLINK("https://boxd.it/lx5a","open")</f>
        <v>open</v>
      </c>
      <c r="M53" s="4" t="str">
        <f aca="false">LOWER(A53)&amp;"|"&amp;B53</f>
        <v>after yang|2021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1</v>
      </c>
      <c r="U53" s="4" t="n">
        <v>0</v>
      </c>
      <c r="V53" s="4" t="n">
        <v>0</v>
      </c>
      <c r="W53" s="4" t="n">
        <v>0</v>
      </c>
    </row>
    <row r="54" customFormat="false" ht="15" hidden="false" customHeight="false" outlineLevel="0" collapsed="false">
      <c r="A54" s="4" t="s">
        <v>211</v>
      </c>
      <c r="B54" s="4" t="n">
        <v>2022</v>
      </c>
      <c r="C54" s="4" t="str">
        <f aca="false">FLOOR(B54,10)&amp;"s"</f>
        <v>2020s</v>
      </c>
      <c r="D54" s="4" t="s">
        <v>212</v>
      </c>
      <c r="E54" s="25" t="str">
        <f aca="false">IF(G54=1,"✓","")</f>
        <v/>
      </c>
      <c r="F54" s="4" t="n">
        <v>7</v>
      </c>
      <c r="G54" s="4" t="n">
        <f aca="false">IF(COUNTIF('Letterboxd Watched'!$E$2:$E$3000,M54)&gt;0,1,0)</f>
        <v>0</v>
      </c>
      <c r="H54" s="4" t="n">
        <v>14</v>
      </c>
      <c r="I54" s="4" t="s">
        <v>213</v>
      </c>
      <c r="J54" s="4" t="s">
        <v>50</v>
      </c>
      <c r="K54" s="4" t="s">
        <v>5161</v>
      </c>
      <c r="L54" s="48" t="str">
        <f aca="false">HYPERLINK("https://boxd.it/Arw0","open")</f>
        <v>open</v>
      </c>
      <c r="M54" s="4" t="str">
        <f aca="false">LOWER(A54)&amp;"|"&amp;B54</f>
        <v>aftersun|2022</v>
      </c>
      <c r="N54" s="4" t="n">
        <v>0</v>
      </c>
      <c r="O54" s="4" t="n">
        <v>1</v>
      </c>
      <c r="P54" s="4" t="n">
        <v>1</v>
      </c>
      <c r="Q54" s="4" t="n">
        <v>0</v>
      </c>
      <c r="R54" s="4" t="n">
        <v>0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0</v>
      </c>
    </row>
    <row r="55" customFormat="false" ht="15" hidden="false" customHeight="false" outlineLevel="0" collapsed="false">
      <c r="A55" s="4" t="s">
        <v>905</v>
      </c>
      <c r="B55" s="4" t="n">
        <v>1930</v>
      </c>
      <c r="C55" s="4" t="str">
        <f aca="false">FLOOR(B55,10)&amp;"s"</f>
        <v>1930s</v>
      </c>
      <c r="D55" s="4" t="s">
        <v>402</v>
      </c>
      <c r="E55" s="25" t="str">
        <f aca="false">IF(G55=1,"✓","")</f>
        <v/>
      </c>
      <c r="F55" s="4" t="n">
        <v>2</v>
      </c>
      <c r="G55" s="4" t="n">
        <f aca="false">IF(COUNTIF('Letterboxd Watched'!$E$2:$E$3000,M55)&gt;0,1,0)</f>
        <v>0</v>
      </c>
      <c r="H55" s="4" t="n">
        <v>4</v>
      </c>
      <c r="I55" s="4" t="s">
        <v>213</v>
      </c>
      <c r="J55" s="4" t="s">
        <v>52</v>
      </c>
      <c r="K55" s="4" t="s">
        <v>5162</v>
      </c>
      <c r="L55" s="48" t="str">
        <f aca="false">HYPERLINK("https://boxd.it/22FI","open")</f>
        <v>open</v>
      </c>
      <c r="M55" s="4" t="str">
        <f aca="false">LOWER(A55)&amp;"|"&amp;B55</f>
        <v>l'âge d'or|1930</v>
      </c>
      <c r="N55" s="4" t="n">
        <v>0</v>
      </c>
      <c r="O55" s="4" t="n">
        <v>0</v>
      </c>
      <c r="P55" s="4" t="n">
        <v>0</v>
      </c>
      <c r="Q55" s="4" t="n">
        <v>1</v>
      </c>
      <c r="R55" s="4" t="n">
        <v>1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</row>
    <row r="56" customFormat="false" ht="15" hidden="false" customHeight="false" outlineLevel="0" collapsed="false">
      <c r="A56" s="4" t="s">
        <v>1103</v>
      </c>
      <c r="B56" s="4" t="n">
        <v>1993</v>
      </c>
      <c r="C56" s="4" t="str">
        <f aca="false">FLOOR(B56,10)&amp;"s"</f>
        <v>1990s</v>
      </c>
      <c r="D56" s="4" t="s">
        <v>164</v>
      </c>
      <c r="E56" s="25" t="str">
        <f aca="false">IF(G56=1,"✓","")</f>
        <v/>
      </c>
      <c r="F56" s="4" t="n">
        <v>2</v>
      </c>
      <c r="G56" s="4" t="n">
        <f aca="false">IF(COUNTIF('Letterboxd Watched'!$E$2:$E$3000,M56)&gt;0,1,0)</f>
        <v>0</v>
      </c>
      <c r="H56" s="4" t="n">
        <v>4</v>
      </c>
      <c r="I56" s="4" t="s">
        <v>213</v>
      </c>
      <c r="J56" s="4" t="s">
        <v>53</v>
      </c>
      <c r="K56" s="4" t="s">
        <v>5163</v>
      </c>
      <c r="L56" s="48" t="str">
        <f aca="false">HYPERLINK("https://boxd.it/1WgM","open")</f>
        <v>open</v>
      </c>
      <c r="M56" s="4" t="str">
        <f aca="false">LOWER(A56)&amp;"|"&amp;B56</f>
        <v>the age of innocence|1993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1</v>
      </c>
      <c r="S56" s="4" t="n">
        <v>0</v>
      </c>
      <c r="T56" s="4" t="n">
        <v>1</v>
      </c>
      <c r="U56" s="4" t="n">
        <v>0</v>
      </c>
      <c r="V56" s="4" t="n">
        <v>0</v>
      </c>
      <c r="W56" s="4" t="n">
        <v>0</v>
      </c>
    </row>
    <row r="57" customFormat="false" ht="15" hidden="false" customHeight="false" outlineLevel="0" collapsed="false">
      <c r="A57" s="4" t="s">
        <v>291</v>
      </c>
      <c r="B57" s="4" t="n">
        <v>1972</v>
      </c>
      <c r="C57" s="4" t="str">
        <f aca="false">FLOOR(B57,10)&amp;"s"</f>
        <v>1970s</v>
      </c>
      <c r="D57" s="4" t="s">
        <v>292</v>
      </c>
      <c r="E57" s="25" t="str">
        <f aca="false">IF(G57=1,"✓","")</f>
        <v/>
      </c>
      <c r="F57" s="4" t="n">
        <v>4</v>
      </c>
      <c r="G57" s="4" t="n">
        <f aca="false">IF(COUNTIF('Letterboxd Watched'!$E$2:$E$3000,M57)&gt;0,1,0)</f>
        <v>0</v>
      </c>
      <c r="H57" s="4" t="n">
        <v>11</v>
      </c>
      <c r="I57" s="4" t="s">
        <v>144</v>
      </c>
      <c r="J57" s="4" t="s">
        <v>51</v>
      </c>
      <c r="K57" s="4" t="s">
        <v>5164</v>
      </c>
      <c r="L57" s="48" t="str">
        <f aca="false">HYPERLINK("https://boxd.it/27Fe","open")</f>
        <v>open</v>
      </c>
      <c r="M57" s="4" t="str">
        <f aca="false">LOWER(A57)&amp;"|"&amp;B57</f>
        <v>aguirre, the wrath of god|1972</v>
      </c>
      <c r="N57" s="4" t="n">
        <v>0</v>
      </c>
      <c r="O57" s="4" t="n">
        <v>0</v>
      </c>
      <c r="P57" s="4" t="n">
        <v>1</v>
      </c>
      <c r="Q57" s="4" t="n">
        <v>0</v>
      </c>
      <c r="R57" s="4" t="n">
        <v>1</v>
      </c>
      <c r="S57" s="4" t="n">
        <v>0</v>
      </c>
      <c r="T57" s="4" t="n">
        <v>0</v>
      </c>
      <c r="U57" s="4" t="n">
        <v>0</v>
      </c>
      <c r="V57" s="4" t="n">
        <v>1</v>
      </c>
      <c r="W57" s="4" t="n">
        <v>1</v>
      </c>
    </row>
    <row r="58" customFormat="false" ht="15" hidden="false" customHeight="false" outlineLevel="0" collapsed="false">
      <c r="A58" s="4" t="s">
        <v>1992</v>
      </c>
      <c r="B58" s="4" t="n">
        <v>1961</v>
      </c>
      <c r="C58" s="4" t="str">
        <f aca="false">FLOOR(B58,10)&amp;"s"</f>
        <v>1960s</v>
      </c>
      <c r="D58" s="4" t="s">
        <v>1993</v>
      </c>
      <c r="E58" s="25" t="str">
        <f aca="false">IF(G58=1,"✓","")</f>
        <v/>
      </c>
      <c r="F58" s="4" t="n">
        <v>1</v>
      </c>
      <c r="G58" s="4" t="n">
        <f aca="false">IF(COUNTIF('Letterboxd Watched'!$E$2:$E$3000,M58)&gt;0,1,0)</f>
        <v>0</v>
      </c>
      <c r="H58" s="4" t="n">
        <v>2</v>
      </c>
      <c r="I58" s="4" t="s">
        <v>213</v>
      </c>
      <c r="J58" s="4" t="s">
        <v>51</v>
      </c>
      <c r="K58" s="4" t="s">
        <v>4022</v>
      </c>
      <c r="L58" s="48" t="str">
        <f aca="false">HYPERLINK("https://letterboxd.com/search/films/Aimless+Bullet+1961/","open")</f>
        <v>open</v>
      </c>
      <c r="M58" s="4" t="str">
        <f aca="false">LOWER(A58)&amp;"|"&amp;B58</f>
        <v>aimless bullet|1961</v>
      </c>
      <c r="N58" s="4" t="n">
        <v>0</v>
      </c>
      <c r="O58" s="4" t="n">
        <v>0</v>
      </c>
      <c r="P58" s="4" t="n">
        <v>1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</row>
    <row r="59" customFormat="false" ht="15" hidden="false" customHeight="false" outlineLevel="0" collapsed="false">
      <c r="A59" s="4" t="s">
        <v>1520</v>
      </c>
      <c r="B59" s="4" t="n">
        <v>1980</v>
      </c>
      <c r="C59" s="4" t="str">
        <f aca="false">FLOOR(B59,10)&amp;"s"</f>
        <v>1980s</v>
      </c>
      <c r="D59" s="4" t="s">
        <v>1521</v>
      </c>
      <c r="E59" s="25" t="str">
        <f aca="false">IF(G59=1,"✓","")</f>
        <v>✓</v>
      </c>
      <c r="F59" s="4" t="n">
        <v>1</v>
      </c>
      <c r="G59" s="4" t="n">
        <f aca="false">IF(COUNTIF('Letterboxd Watched'!$E$2:$E$3000,M59)&gt;0,1,0)</f>
        <v>1</v>
      </c>
      <c r="H59" s="4" t="n">
        <v>3</v>
      </c>
      <c r="I59" s="4" t="s">
        <v>144</v>
      </c>
      <c r="J59" s="4" t="s">
        <v>52</v>
      </c>
      <c r="K59" s="4" t="s">
        <v>4102</v>
      </c>
      <c r="L59" s="48" t="str">
        <f aca="false">HYPERLINK("https://boxd.it/29yu","open")</f>
        <v>open</v>
      </c>
      <c r="M59" s="4" t="str">
        <f aca="false">LOWER(A59)&amp;"|"&amp;B59</f>
        <v>airplane!|1980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</row>
    <row r="60" customFormat="false" ht="15" hidden="false" customHeight="false" outlineLevel="0" collapsed="false">
      <c r="A60" s="4" t="s">
        <v>2166</v>
      </c>
      <c r="B60" s="4" t="n">
        <v>1970</v>
      </c>
      <c r="C60" s="4" t="str">
        <f aca="false">FLOOR(B60,10)&amp;"s"</f>
        <v>1970s</v>
      </c>
      <c r="D60" s="4" t="s">
        <v>1849</v>
      </c>
      <c r="E60" s="25" t="str">
        <f aca="false">IF(G60=1,"✓","")</f>
        <v/>
      </c>
      <c r="F60" s="4" t="n">
        <v>1</v>
      </c>
      <c r="G60" s="4" t="n">
        <f aca="false">IF(COUNTIF('Letterboxd Watched'!$E$2:$E$3000,M60)&gt;0,1,0)</f>
        <v>0</v>
      </c>
      <c r="H60" s="4" t="n">
        <v>2</v>
      </c>
      <c r="I60" s="4" t="s">
        <v>213</v>
      </c>
      <c r="J60" s="4" t="s">
        <v>56</v>
      </c>
      <c r="K60" s="4" t="s">
        <v>4388</v>
      </c>
      <c r="L60" s="48" t="str">
        <f aca="false">HYPERLINK("https://boxd.it/1VG0","open")</f>
        <v>open</v>
      </c>
      <c r="M60" s="4" t="str">
        <f aca="false">LOWER(A60)&amp;"|"&amp;B60</f>
        <v>airport|1970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</v>
      </c>
      <c r="V60" s="4" t="n">
        <v>0</v>
      </c>
      <c r="W60" s="4" t="n">
        <v>0</v>
      </c>
    </row>
    <row r="61" customFormat="false" ht="15" hidden="false" customHeight="false" outlineLevel="0" collapsed="false">
      <c r="A61" s="4" t="s">
        <v>819</v>
      </c>
      <c r="B61" s="4" t="n">
        <v>1988</v>
      </c>
      <c r="C61" s="4" t="str">
        <f aca="false">FLOOR(B61,10)&amp;"s"</f>
        <v>1980s</v>
      </c>
      <c r="D61" s="4" t="s">
        <v>820</v>
      </c>
      <c r="E61" s="25" t="str">
        <f aca="false">IF(G61=1,"✓","")</f>
        <v/>
      </c>
      <c r="F61" s="4" t="n">
        <v>2</v>
      </c>
      <c r="G61" s="4" t="n">
        <f aca="false">IF(COUNTIF('Letterboxd Watched'!$E$2:$E$3000,M61)&gt;0,1,0)</f>
        <v>0</v>
      </c>
      <c r="H61" s="4" t="n">
        <v>5</v>
      </c>
      <c r="I61" s="4" t="s">
        <v>144</v>
      </c>
      <c r="J61" s="4" t="s">
        <v>51</v>
      </c>
      <c r="K61" s="4" t="s">
        <v>5165</v>
      </c>
      <c r="L61" s="48" t="str">
        <f aca="false">HYPERLINK("https://boxd.it/2b1i","open")</f>
        <v>open</v>
      </c>
      <c r="M61" s="4" t="str">
        <f aca="false">LOWER(A61)&amp;"|"&amp;B61</f>
        <v>akira|1988</v>
      </c>
      <c r="N61" s="4" t="n">
        <v>0</v>
      </c>
      <c r="O61" s="4" t="n">
        <v>0</v>
      </c>
      <c r="P61" s="4" t="n">
        <v>1</v>
      </c>
      <c r="Q61" s="4" t="n">
        <v>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</row>
    <row r="62" customFormat="false" ht="15" hidden="false" customHeight="false" outlineLevel="0" collapsed="false">
      <c r="A62" s="4" t="s">
        <v>1780</v>
      </c>
      <c r="B62" s="4" t="n">
        <v>1938</v>
      </c>
      <c r="C62" s="4" t="str">
        <f aca="false">FLOOR(B62,10)&amp;"s"</f>
        <v>1930s</v>
      </c>
      <c r="D62" s="4" t="s">
        <v>232</v>
      </c>
      <c r="E62" s="25" t="str">
        <f aca="false">IF(G62=1,"✓","")</f>
        <v/>
      </c>
      <c r="F62" s="4" t="n">
        <v>1</v>
      </c>
      <c r="G62" s="4" t="n">
        <f aca="false">IF(COUNTIF('Letterboxd Watched'!$E$2:$E$3000,M62)&gt;0,1,0)</f>
        <v>0</v>
      </c>
      <c r="H62" s="4" t="n">
        <v>2</v>
      </c>
      <c r="I62" s="4" t="s">
        <v>213</v>
      </c>
      <c r="J62" s="4" t="s">
        <v>54</v>
      </c>
      <c r="K62" s="4" t="s">
        <v>4272</v>
      </c>
      <c r="L62" s="48" t="str">
        <f aca="false">HYPERLINK("https://boxd.it/1WKC","open")</f>
        <v>open</v>
      </c>
      <c r="M62" s="4" t="str">
        <f aca="false">LOWER(A62)&amp;"|"&amp;B62</f>
        <v>alexander nevsky|1938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0</v>
      </c>
    </row>
    <row r="63" customFormat="false" ht="15" hidden="false" customHeight="false" outlineLevel="0" collapsed="false">
      <c r="A63" s="4" t="s">
        <v>311</v>
      </c>
      <c r="B63" s="4" t="n">
        <v>1974</v>
      </c>
      <c r="C63" s="4" t="str">
        <f aca="false">FLOOR(B63,10)&amp;"s"</f>
        <v>1970s</v>
      </c>
      <c r="D63" s="4" t="s">
        <v>312</v>
      </c>
      <c r="E63" s="25" t="str">
        <f aca="false">IF(G63=1,"✓","")</f>
        <v/>
      </c>
      <c r="F63" s="4" t="n">
        <v>4</v>
      </c>
      <c r="G63" s="4" t="n">
        <f aca="false">IF(COUNTIF('Letterboxd Watched'!$E$2:$E$3000,M63)&gt;0,1,0)</f>
        <v>0</v>
      </c>
      <c r="H63" s="4" t="n">
        <v>10</v>
      </c>
      <c r="I63" s="4" t="s">
        <v>144</v>
      </c>
      <c r="J63" s="4" t="s">
        <v>51</v>
      </c>
      <c r="K63" s="4" t="s">
        <v>5166</v>
      </c>
      <c r="L63" s="48" t="str">
        <f aca="false">HYPERLINK("https://boxd.it/2aRi","open")</f>
        <v>open</v>
      </c>
      <c r="M63" s="4" t="str">
        <f aca="false">LOWER(A63)&amp;"|"&amp;B63</f>
        <v>ali: fear eats the soul|1974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  <c r="U63" s="4" t="n">
        <v>0</v>
      </c>
      <c r="V63" s="4" t="n">
        <v>1</v>
      </c>
      <c r="W63" s="4" t="n">
        <v>0</v>
      </c>
    </row>
    <row r="64" customFormat="false" ht="15" hidden="false" customHeight="false" outlineLevel="0" collapsed="false">
      <c r="A64" s="4" t="s">
        <v>2471</v>
      </c>
      <c r="B64" s="4" t="n">
        <v>1988</v>
      </c>
      <c r="C64" s="4" t="str">
        <f aca="false">FLOOR(B64,10)&amp;"s"</f>
        <v>1980s</v>
      </c>
      <c r="D64" s="4" t="s">
        <v>2472</v>
      </c>
      <c r="E64" s="25" t="str">
        <f aca="false">IF(G64=1,"✓","")</f>
        <v/>
      </c>
      <c r="F64" s="4" t="n">
        <v>1</v>
      </c>
      <c r="G64" s="4" t="n">
        <f aca="false">IF(COUNTIF('Letterboxd Watched'!$E$2:$E$3000,M64)&gt;0,1,0)</f>
        <v>0</v>
      </c>
      <c r="H64" s="4" t="n">
        <v>2</v>
      </c>
      <c r="I64" s="4" t="s">
        <v>213</v>
      </c>
      <c r="J64" s="4" t="s">
        <v>52</v>
      </c>
      <c r="K64" s="4" t="s">
        <v>4164</v>
      </c>
      <c r="L64" s="48" t="str">
        <f aca="false">HYPERLINK("https://boxd.it/1G3C","open")</f>
        <v>open</v>
      </c>
      <c r="M64" s="4" t="str">
        <f aca="false">LOWER(A64)&amp;"|"&amp;B64</f>
        <v>alice|1988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</row>
    <row r="65" customFormat="false" ht="15" hidden="false" customHeight="false" outlineLevel="0" collapsed="false">
      <c r="A65" s="4" t="s">
        <v>2246</v>
      </c>
      <c r="B65" s="4" t="n">
        <v>1974</v>
      </c>
      <c r="C65" s="4" t="str">
        <f aca="false">FLOOR(B65,10)&amp;"s"</f>
        <v>1970s</v>
      </c>
      <c r="D65" s="4" t="s">
        <v>164</v>
      </c>
      <c r="E65" s="25" t="str">
        <f aca="false">IF(G65=1,"✓","")</f>
        <v/>
      </c>
      <c r="F65" s="4" t="n">
        <v>1</v>
      </c>
      <c r="G65" s="4" t="n">
        <f aca="false">IF(COUNTIF('Letterboxd Watched'!$E$2:$E$3000,M65)&gt;0,1,0)</f>
        <v>0</v>
      </c>
      <c r="H65" s="4" t="n">
        <v>2</v>
      </c>
      <c r="I65" s="4" t="s">
        <v>213</v>
      </c>
      <c r="J65" s="4" t="s">
        <v>53</v>
      </c>
      <c r="K65" s="4" t="s">
        <v>164</v>
      </c>
      <c r="L65" s="48" t="str">
        <f aca="false">HYPERLINK("https://boxd.it/1KIa","open")</f>
        <v>open</v>
      </c>
      <c r="M65" s="4" t="str">
        <f aca="false">LOWER(A65)&amp;"|"&amp;B65</f>
        <v>alice doesn't live here anymore|1974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</row>
    <row r="66" customFormat="false" ht="15" hidden="false" customHeight="false" outlineLevel="0" collapsed="false">
      <c r="A66" s="4" t="s">
        <v>1023</v>
      </c>
      <c r="B66" s="4" t="n">
        <v>1974</v>
      </c>
      <c r="C66" s="4" t="str">
        <f aca="false">FLOOR(B66,10)&amp;"s"</f>
        <v>1970s</v>
      </c>
      <c r="D66" s="4" t="s">
        <v>365</v>
      </c>
      <c r="E66" s="25" t="str">
        <f aca="false">IF(G66=1,"✓","")</f>
        <v/>
      </c>
      <c r="F66" s="4" t="n">
        <v>2</v>
      </c>
      <c r="G66" s="4" t="n">
        <f aca="false">IF(COUNTIF('Letterboxd Watched'!$E$2:$E$3000,M66)&gt;0,1,0)</f>
        <v>0</v>
      </c>
      <c r="H66" s="4" t="n">
        <v>4</v>
      </c>
      <c r="I66" s="4" t="s">
        <v>213</v>
      </c>
      <c r="J66" s="4" t="s">
        <v>51</v>
      </c>
      <c r="K66" s="4" t="s">
        <v>5167</v>
      </c>
      <c r="L66" s="48" t="str">
        <f aca="false">HYPERLINK("https://letterboxd.com/search/films/Alice+in+the+Cities+1974/","open")</f>
        <v>open</v>
      </c>
      <c r="M66" s="4" t="str">
        <f aca="false">LOWER(A66)&amp;"|"&amp;B66</f>
        <v>alice in the cities|1974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1</v>
      </c>
      <c r="U66" s="4" t="n">
        <v>0</v>
      </c>
      <c r="V66" s="4" t="n">
        <v>0</v>
      </c>
      <c r="W66" s="4" t="n">
        <v>0</v>
      </c>
    </row>
    <row r="67" customFormat="false" ht="15" hidden="false" customHeight="false" outlineLevel="0" collapsed="false">
      <c r="A67" s="4" t="s">
        <v>362</v>
      </c>
      <c r="B67" s="4" t="n">
        <v>1979</v>
      </c>
      <c r="C67" s="4" t="str">
        <f aca="false">FLOOR(B67,10)&amp;"s"</f>
        <v>1970s</v>
      </c>
      <c r="D67" s="4" t="s">
        <v>174</v>
      </c>
      <c r="E67" s="25" t="str">
        <f aca="false">IF(G67=1,"✓","")</f>
        <v>✓</v>
      </c>
      <c r="F67" s="4" t="n">
        <v>4</v>
      </c>
      <c r="G67" s="4" t="n">
        <f aca="false">IF(COUNTIF('Letterboxd Watched'!$E$2:$E$3000,M67)&gt;0,1,0)</f>
        <v>1</v>
      </c>
      <c r="H67" s="4" t="n">
        <v>9</v>
      </c>
      <c r="I67" s="4" t="s">
        <v>144</v>
      </c>
      <c r="J67" s="4" t="s">
        <v>50</v>
      </c>
      <c r="K67" s="4" t="s">
        <v>5168</v>
      </c>
      <c r="L67" s="48" t="str">
        <f aca="false">HYPERLINK("https://boxd.it/2awY","open")</f>
        <v>open</v>
      </c>
      <c r="M67" s="4" t="str">
        <f aca="false">LOWER(A67)&amp;"|"&amp;B67</f>
        <v>alien|1979</v>
      </c>
      <c r="N67" s="4" t="n">
        <v>0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  <c r="U67" s="4" t="n">
        <v>0</v>
      </c>
      <c r="V67" s="4" t="n">
        <v>0</v>
      </c>
      <c r="W67" s="4" t="n">
        <v>1</v>
      </c>
    </row>
    <row r="68" customFormat="false" ht="15" hidden="false" customHeight="false" outlineLevel="0" collapsed="false">
      <c r="A68" s="4" t="s">
        <v>1278</v>
      </c>
      <c r="B68" s="4" t="n">
        <v>1986</v>
      </c>
      <c r="C68" s="4" t="str">
        <f aca="false">FLOOR(B68,10)&amp;"s"</f>
        <v>1980s</v>
      </c>
      <c r="D68" s="4" t="s">
        <v>892</v>
      </c>
      <c r="E68" s="25" t="str">
        <f aca="false">IF(G68=1,"✓","")</f>
        <v>✓</v>
      </c>
      <c r="F68" s="4" t="n">
        <v>2</v>
      </c>
      <c r="G68" s="4" t="n">
        <f aca="false">IF(COUNTIF('Letterboxd Watched'!$E$2:$E$3000,M68)&gt;0,1,0)</f>
        <v>1</v>
      </c>
      <c r="H68" s="4" t="n">
        <v>4</v>
      </c>
      <c r="I68" s="4" t="s">
        <v>213</v>
      </c>
      <c r="J68" s="4" t="s">
        <v>52</v>
      </c>
      <c r="K68" s="4" t="s">
        <v>5169</v>
      </c>
      <c r="L68" s="48" t="str">
        <f aca="false">HYPERLINK("https://boxd.it/29PA","open")</f>
        <v>open</v>
      </c>
      <c r="M68" s="4" t="str">
        <f aca="false">LOWER(A68)&amp;"|"&amp;B68</f>
        <v>aliens|1986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</row>
    <row r="69" customFormat="false" ht="15" hidden="false" customHeight="false" outlineLevel="0" collapsed="false">
      <c r="A69" s="4" t="s">
        <v>932</v>
      </c>
      <c r="B69" s="4" t="n">
        <v>1950</v>
      </c>
      <c r="C69" s="4" t="str">
        <f aca="false">FLOOR(B69,10)&amp;"s"</f>
        <v>1950s</v>
      </c>
      <c r="D69" s="4" t="s">
        <v>933</v>
      </c>
      <c r="E69" s="25" t="str">
        <f aca="false">IF(G69=1,"✓","")</f>
        <v/>
      </c>
      <c r="F69" s="4" t="n">
        <v>2</v>
      </c>
      <c r="G69" s="4" t="n">
        <f aca="false">IF(COUNTIF('Letterboxd Watched'!$E$2:$E$3000,M69)&gt;0,1,0)</f>
        <v>0</v>
      </c>
      <c r="H69" s="4" t="n">
        <v>4</v>
      </c>
      <c r="I69" s="4" t="s">
        <v>213</v>
      </c>
      <c r="J69" s="4" t="s">
        <v>50</v>
      </c>
      <c r="K69" s="4" t="s">
        <v>5170</v>
      </c>
      <c r="L69" s="48" t="str">
        <f aca="false">HYPERLINK("https://boxd.it/29LI","open")</f>
        <v>open</v>
      </c>
      <c r="M69" s="4" t="str">
        <f aca="false">LOWER(A69)&amp;"|"&amp;B69</f>
        <v>all about eve|1950</v>
      </c>
      <c r="N69" s="4" t="n">
        <v>0</v>
      </c>
      <c r="O69" s="4" t="n">
        <v>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1</v>
      </c>
      <c r="W69" s="4" t="n">
        <v>0</v>
      </c>
    </row>
    <row r="70" customFormat="false" ht="15" hidden="false" customHeight="false" outlineLevel="0" collapsed="false">
      <c r="A70" s="4" t="s">
        <v>3721</v>
      </c>
      <c r="B70" s="4" t="n">
        <v>2001</v>
      </c>
      <c r="C70" s="4" t="str">
        <f aca="false">FLOOR(B70,10)&amp;"s"</f>
        <v>2000s</v>
      </c>
      <c r="D70" s="4" t="s">
        <v>3722</v>
      </c>
      <c r="E70" s="25" t="str">
        <f aca="false">IF(G70=1,"✓","")</f>
        <v/>
      </c>
      <c r="F70" s="4" t="n">
        <v>1</v>
      </c>
      <c r="G70" s="4" t="n">
        <f aca="false">IF(COUNTIF('Letterboxd Watched'!$E$2:$E$3000,M70)&gt;0,1,0)</f>
        <v>0</v>
      </c>
      <c r="H70" s="4" t="n">
        <v>1</v>
      </c>
      <c r="I70" s="4" t="s">
        <v>1327</v>
      </c>
      <c r="J70" s="4" t="s">
        <v>51</v>
      </c>
      <c r="K70" s="4" t="s">
        <v>3940</v>
      </c>
      <c r="L70" s="48" t="str">
        <f aca="false">HYPERLINK("https://boxd.it/1JP0","open")</f>
        <v>open</v>
      </c>
      <c r="M70" s="4" t="str">
        <f aca="false">LOWER(A70)&amp;"|"&amp;B70</f>
        <v>all about lily chou-chou|2001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</row>
    <row r="71" customFormat="false" ht="15" hidden="false" customHeight="false" outlineLevel="0" collapsed="false">
      <c r="A71" s="4" t="s">
        <v>1575</v>
      </c>
      <c r="B71" s="4" t="n">
        <v>1999</v>
      </c>
      <c r="C71" s="4" t="str">
        <f aca="false">FLOOR(B71,10)&amp;"s"</f>
        <v>1990s</v>
      </c>
      <c r="D71" s="4" t="s">
        <v>1087</v>
      </c>
      <c r="E71" s="25" t="str">
        <f aca="false">IF(G71=1,"✓","")</f>
        <v/>
      </c>
      <c r="F71" s="4" t="n">
        <v>1</v>
      </c>
      <c r="G71" s="4" t="n">
        <f aca="false">IF(COUNTIF('Letterboxd Watched'!$E$2:$E$3000,M71)&gt;0,1,0)</f>
        <v>0</v>
      </c>
      <c r="H71" s="4" t="n">
        <v>3</v>
      </c>
      <c r="I71" s="4" t="s">
        <v>144</v>
      </c>
      <c r="J71" s="4" t="s">
        <v>53</v>
      </c>
      <c r="K71" s="4" t="s">
        <v>1087</v>
      </c>
      <c r="L71" s="48" t="str">
        <f aca="false">HYPERLINK("https://boxd.it/2b9c","open")</f>
        <v>open</v>
      </c>
      <c r="M71" s="4" t="str">
        <f aca="false">LOWER(A71)&amp;"|"&amp;B71</f>
        <v>all about my mother|1999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</row>
    <row r="72" customFormat="false" ht="15" hidden="false" customHeight="false" outlineLevel="0" collapsed="false">
      <c r="A72" s="4" t="s">
        <v>3031</v>
      </c>
      <c r="B72" s="4" t="n">
        <v>2013</v>
      </c>
      <c r="C72" s="4" t="str">
        <f aca="false">FLOOR(B72,10)&amp;"s"</f>
        <v>2010s</v>
      </c>
      <c r="D72" s="4" t="s">
        <v>1615</v>
      </c>
      <c r="E72" s="25" t="str">
        <f aca="false">IF(G72=1,"✓","")</f>
        <v/>
      </c>
      <c r="F72" s="4" t="n">
        <v>1</v>
      </c>
      <c r="G72" s="4" t="n">
        <f aca="false">IF(COUNTIF('Letterboxd Watched'!$E$2:$E$3000,M72)&gt;0,1,0)</f>
        <v>0</v>
      </c>
      <c r="H72" s="4" t="n">
        <v>2</v>
      </c>
      <c r="I72" s="4" t="s">
        <v>213</v>
      </c>
      <c r="J72" s="4" t="s">
        <v>52</v>
      </c>
      <c r="K72" s="4" t="s">
        <v>4134</v>
      </c>
      <c r="L72" s="48" t="str">
        <f aca="false">HYPERLINK("https://boxd.it/4OgK","open")</f>
        <v>open</v>
      </c>
      <c r="M72" s="4" t="str">
        <f aca="false">LOWER(A72)&amp;"|"&amp;B72</f>
        <v>all is lost|2013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</row>
    <row r="73" customFormat="false" ht="15" hidden="false" customHeight="false" outlineLevel="0" collapsed="false">
      <c r="A73" s="4" t="s">
        <v>729</v>
      </c>
      <c r="B73" s="4" t="n">
        <v>1930</v>
      </c>
      <c r="C73" s="4" t="str">
        <f aca="false">FLOOR(B73,10)&amp;"s"</f>
        <v>1930s</v>
      </c>
      <c r="D73" s="4" t="s">
        <v>730</v>
      </c>
      <c r="E73" s="25" t="str">
        <f aca="false">IF(G73=1,"✓","")</f>
        <v/>
      </c>
      <c r="F73" s="4" t="n">
        <v>2</v>
      </c>
      <c r="G73" s="4" t="n">
        <f aca="false">IF(COUNTIF('Letterboxd Watched'!$E$2:$E$3000,M73)&gt;0,1,0)</f>
        <v>0</v>
      </c>
      <c r="H73" s="4" t="n">
        <v>5</v>
      </c>
      <c r="I73" s="4" t="s">
        <v>144</v>
      </c>
      <c r="J73" s="4" t="s">
        <v>50</v>
      </c>
      <c r="K73" s="4" t="s">
        <v>5171</v>
      </c>
      <c r="L73" s="48" t="str">
        <f aca="false">HYPERLINK("https://boxd.it/2b2g","open")</f>
        <v>open</v>
      </c>
      <c r="M73" s="4" t="str">
        <f aca="false">LOWER(A73)&amp;"|"&amp;B73</f>
        <v>all quiet on the western front|1930</v>
      </c>
      <c r="N73" s="4" t="n">
        <v>0</v>
      </c>
      <c r="O73" s="4" t="n">
        <v>1</v>
      </c>
      <c r="P73" s="4" t="n">
        <v>0</v>
      </c>
      <c r="Q73" s="4" t="n">
        <v>1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</row>
    <row r="74" customFormat="false" ht="15" hidden="false" customHeight="false" outlineLevel="0" collapsed="false">
      <c r="A74" s="4" t="s">
        <v>729</v>
      </c>
      <c r="B74" s="4" t="n">
        <v>2022</v>
      </c>
      <c r="C74" s="4" t="str">
        <f aca="false">FLOOR(B74,10)&amp;"s"</f>
        <v>2020s</v>
      </c>
      <c r="D74" s="4" t="s">
        <v>3224</v>
      </c>
      <c r="E74" s="25" t="str">
        <f aca="false">IF(G74=1,"✓","")</f>
        <v/>
      </c>
      <c r="F74" s="4" t="n">
        <v>1</v>
      </c>
      <c r="G74" s="4" t="n">
        <f aca="false">IF(COUNTIF('Letterboxd Watched'!$E$2:$E$3000,M74)&gt;0,1,0)</f>
        <v>0</v>
      </c>
      <c r="H74" s="4" t="n">
        <v>2</v>
      </c>
      <c r="I74" s="4" t="s">
        <v>213</v>
      </c>
      <c r="J74" s="4" t="s">
        <v>52</v>
      </c>
      <c r="K74" s="4" t="s">
        <v>4136</v>
      </c>
      <c r="L74" s="48" t="str">
        <f aca="false">HYPERLINK("https://boxd.it/H08","open")</f>
        <v>open</v>
      </c>
      <c r="M74" s="4" t="str">
        <f aca="false">LOWER(A74)&amp;"|"&amp;B74</f>
        <v>all quiet on the western front|2022</v>
      </c>
      <c r="N74" s="4" t="n">
        <v>0</v>
      </c>
      <c r="O74" s="4" t="n">
        <v>0</v>
      </c>
      <c r="P74" s="4" t="n">
        <v>0</v>
      </c>
      <c r="Q74" s="4" t="n">
        <v>1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</row>
    <row r="75" customFormat="false" ht="15" hidden="false" customHeight="false" outlineLevel="0" collapsed="false">
      <c r="A75" s="4" t="s">
        <v>1446</v>
      </c>
      <c r="B75" s="4" t="n">
        <v>1955</v>
      </c>
      <c r="C75" s="4" t="str">
        <f aca="false">FLOOR(B75,10)&amp;"s"</f>
        <v>1950s</v>
      </c>
      <c r="D75" s="4" t="s">
        <v>1447</v>
      </c>
      <c r="E75" s="25" t="str">
        <f aca="false">IF(G75=1,"✓","")</f>
        <v/>
      </c>
      <c r="F75" s="4" t="n">
        <v>1</v>
      </c>
      <c r="G75" s="4" t="n">
        <f aca="false">IF(COUNTIF('Letterboxd Watched'!$E$2:$E$3000,M75)&gt;0,1,0)</f>
        <v>0</v>
      </c>
      <c r="H75" s="4" t="n">
        <v>3</v>
      </c>
      <c r="I75" s="4" t="s">
        <v>144</v>
      </c>
      <c r="J75" s="4" t="s">
        <v>52</v>
      </c>
      <c r="K75" s="4" t="s">
        <v>4146</v>
      </c>
      <c r="L75" s="48" t="str">
        <f aca="false">HYPERLINK("https://boxd.it/UNi","open")</f>
        <v>open</v>
      </c>
      <c r="M75" s="4" t="str">
        <f aca="false">LOWER(A75)&amp;"|"&amp;B75</f>
        <v>all that heaven allows|1955</v>
      </c>
      <c r="N75" s="4" t="n">
        <v>0</v>
      </c>
      <c r="O75" s="4" t="n">
        <v>0</v>
      </c>
      <c r="P75" s="4" t="n">
        <v>0</v>
      </c>
      <c r="Q75" s="4" t="n">
        <v>1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</row>
    <row r="76" customFormat="false" ht="15" hidden="false" customHeight="false" outlineLevel="0" collapsed="false">
      <c r="A76" s="4" t="s">
        <v>2328</v>
      </c>
      <c r="B76" s="4" t="n">
        <v>1979</v>
      </c>
      <c r="C76" s="4" t="str">
        <f aca="false">FLOOR(B76,10)&amp;"s"</f>
        <v>1970s</v>
      </c>
      <c r="D76" s="4" t="s">
        <v>791</v>
      </c>
      <c r="E76" s="25" t="str">
        <f aca="false">IF(G76=1,"✓","")</f>
        <v/>
      </c>
      <c r="F76" s="4" t="n">
        <v>1</v>
      </c>
      <c r="G76" s="4" t="n">
        <f aca="false">IF(COUNTIF('Letterboxd Watched'!$E$2:$E$3000,M76)&gt;0,1,0)</f>
        <v>0</v>
      </c>
      <c r="H76" s="4" t="n">
        <v>2</v>
      </c>
      <c r="I76" s="4" t="s">
        <v>213</v>
      </c>
      <c r="J76" s="4" t="s">
        <v>52</v>
      </c>
      <c r="K76" s="4" t="s">
        <v>4112</v>
      </c>
      <c r="L76" s="48" t="str">
        <f aca="false">HYPERLINK("https://boxd.it/1JB8","open")</f>
        <v>open</v>
      </c>
      <c r="M76" s="4" t="str">
        <f aca="false">LOWER(A76)&amp;"|"&amp;B76</f>
        <v>all that jazz|1979</v>
      </c>
      <c r="N76" s="4" t="n">
        <v>0</v>
      </c>
      <c r="O76" s="4" t="n">
        <v>0</v>
      </c>
      <c r="P76" s="4" t="n">
        <v>0</v>
      </c>
      <c r="Q76" s="4" t="n">
        <v>1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</row>
    <row r="77" customFormat="false" ht="15" hidden="false" customHeight="false" outlineLevel="0" collapsed="false">
      <c r="A77" s="4" t="s">
        <v>2195</v>
      </c>
      <c r="B77" s="4" t="n">
        <v>1972</v>
      </c>
      <c r="C77" s="4" t="str">
        <f aca="false">FLOOR(B77,10)&amp;"s"</f>
        <v>1970s</v>
      </c>
      <c r="D77" s="4" t="s">
        <v>1346</v>
      </c>
      <c r="E77" s="25" t="str">
        <f aca="false">IF(G77=1,"✓","")</f>
        <v/>
      </c>
      <c r="F77" s="4" t="n">
        <v>1</v>
      </c>
      <c r="G77" s="4" t="n">
        <f aca="false">IF(COUNTIF('Letterboxd Watched'!$E$2:$E$3000,M77)&gt;0,1,0)</f>
        <v>0</v>
      </c>
      <c r="H77" s="4" t="n">
        <v>2</v>
      </c>
      <c r="I77" s="4" t="s">
        <v>213</v>
      </c>
      <c r="J77" s="4" t="s">
        <v>51</v>
      </c>
      <c r="K77" s="4" t="s">
        <v>3950</v>
      </c>
      <c r="L77" s="48" t="str">
        <f aca="false">HYPERLINK("https://letterboxd.com/search/films/All+the+Colors+of+the+Dark+1972/","open")</f>
        <v>open</v>
      </c>
      <c r="M77" s="4" t="str">
        <f aca="false">LOWER(A77)&amp;"|"&amp;B77</f>
        <v>all the colors of the dark|1972</v>
      </c>
      <c r="N77" s="4" t="n">
        <v>0</v>
      </c>
      <c r="O77" s="4" t="n">
        <v>0</v>
      </c>
      <c r="P77" s="4" t="n">
        <v>1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</row>
    <row r="78" customFormat="false" ht="15" hidden="false" customHeight="false" outlineLevel="0" collapsed="false">
      <c r="A78" s="4" t="s">
        <v>1872</v>
      </c>
      <c r="B78" s="4" t="n">
        <v>1949</v>
      </c>
      <c r="C78" s="4" t="str">
        <f aca="false">FLOOR(B78,10)&amp;"s"</f>
        <v>1940s</v>
      </c>
      <c r="D78" s="4" t="s">
        <v>1873</v>
      </c>
      <c r="E78" s="25" t="str">
        <f aca="false">IF(G78=1,"✓","")</f>
        <v/>
      </c>
      <c r="F78" s="4" t="n">
        <v>1</v>
      </c>
      <c r="G78" s="4" t="n">
        <f aca="false">IF(COUNTIF('Letterboxd Watched'!$E$2:$E$3000,M78)&gt;0,1,0)</f>
        <v>0</v>
      </c>
      <c r="H78" s="4" t="n">
        <v>2</v>
      </c>
      <c r="I78" s="4" t="s">
        <v>213</v>
      </c>
      <c r="J78" s="4" t="s">
        <v>55</v>
      </c>
      <c r="K78" s="4" t="s">
        <v>4318</v>
      </c>
      <c r="L78" s="48" t="str">
        <f aca="false">HYPERLINK("https://boxd.it/1vQI","open")</f>
        <v>open</v>
      </c>
      <c r="M78" s="4" t="str">
        <f aca="false">LOWER(A78)&amp;"|"&amp;B78</f>
        <v>all the king's men|1949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1</v>
      </c>
      <c r="U78" s="4" t="n">
        <v>0</v>
      </c>
      <c r="V78" s="4" t="n">
        <v>0</v>
      </c>
      <c r="W78" s="4" t="n">
        <v>0</v>
      </c>
    </row>
    <row r="79" customFormat="false" ht="15" hidden="false" customHeight="false" outlineLevel="0" collapsed="false">
      <c r="A79" s="4" t="s">
        <v>242</v>
      </c>
      <c r="B79" s="4" t="n">
        <v>1976</v>
      </c>
      <c r="C79" s="4" t="str">
        <f aca="false">FLOOR(B79,10)&amp;"s"</f>
        <v>1970s</v>
      </c>
      <c r="D79" s="4" t="s">
        <v>243</v>
      </c>
      <c r="E79" s="25" t="str">
        <f aca="false">IF(G79=1,"✓","")</f>
        <v>✓</v>
      </c>
      <c r="F79" s="4" t="n">
        <v>5</v>
      </c>
      <c r="G79" s="4" t="n">
        <f aca="false">IF(COUNTIF('Letterboxd Watched'!$E$2:$E$3000,M79)&gt;0,1,0)</f>
        <v>1</v>
      </c>
      <c r="H79" s="4" t="n">
        <v>13</v>
      </c>
      <c r="I79" s="4" t="s">
        <v>144</v>
      </c>
      <c r="J79" s="4" t="s">
        <v>52</v>
      </c>
      <c r="K79" s="4" t="s">
        <v>5172</v>
      </c>
      <c r="L79" s="48" t="str">
        <f aca="false">HYPERLINK("https://boxd.it/29lU","open")</f>
        <v>open</v>
      </c>
      <c r="M79" s="4" t="str">
        <f aca="false">LOWER(A79)&amp;"|"&amp;B79</f>
        <v>all the president's men|1976</v>
      </c>
      <c r="N79" s="4" t="n">
        <v>0</v>
      </c>
      <c r="O79" s="4" t="n">
        <v>0</v>
      </c>
      <c r="P79" s="4" t="n">
        <v>0</v>
      </c>
      <c r="Q79" s="4" t="n">
        <v>1</v>
      </c>
      <c r="R79" s="4" t="n">
        <v>0</v>
      </c>
      <c r="S79" s="4" t="n">
        <v>0</v>
      </c>
      <c r="T79" s="4" t="n">
        <v>1</v>
      </c>
      <c r="U79" s="4" t="n">
        <v>0</v>
      </c>
      <c r="V79" s="4" t="n">
        <v>1</v>
      </c>
      <c r="W79" s="4" t="n">
        <v>0</v>
      </c>
    </row>
    <row r="80" customFormat="false" ht="15" hidden="false" customHeight="false" outlineLevel="0" collapsed="false">
      <c r="A80" s="4" t="s">
        <v>1267</v>
      </c>
      <c r="B80" s="4" t="n">
        <v>2024</v>
      </c>
      <c r="C80" s="4" t="str">
        <f aca="false">FLOOR(B80,10)&amp;"s"</f>
        <v>2020s</v>
      </c>
      <c r="D80" s="4" t="s">
        <v>1268</v>
      </c>
      <c r="E80" s="25" t="str">
        <f aca="false">IF(G80=1,"✓","")</f>
        <v/>
      </c>
      <c r="F80" s="4" t="n">
        <v>2</v>
      </c>
      <c r="G80" s="4" t="n">
        <f aca="false">IF(COUNTIF('Letterboxd Watched'!$E$2:$E$3000,M80)&gt;0,1,0)</f>
        <v>0</v>
      </c>
      <c r="H80" s="4" t="n">
        <v>4</v>
      </c>
      <c r="I80" s="4" t="s">
        <v>213</v>
      </c>
      <c r="J80" s="4" t="s">
        <v>50</v>
      </c>
      <c r="K80" s="4" t="s">
        <v>5173</v>
      </c>
      <c r="L80" s="48" t="str">
        <f aca="false">HYPERLINK("https://boxd.it/yXaQ","open")</f>
        <v>open</v>
      </c>
      <c r="M80" s="4" t="str">
        <f aca="false">LOWER(A80)&amp;"|"&amp;B80</f>
        <v>all we imagine as light|2024</v>
      </c>
      <c r="N80" s="4" t="n">
        <v>0</v>
      </c>
      <c r="O80" s="4" t="n">
        <v>1</v>
      </c>
      <c r="P80" s="4" t="n">
        <v>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</row>
    <row r="81" customFormat="false" ht="15" hidden="false" customHeight="false" outlineLevel="0" collapsed="false">
      <c r="A81" s="4" t="s">
        <v>1577</v>
      </c>
      <c r="B81" s="4" t="n">
        <v>2000</v>
      </c>
      <c r="C81" s="4" t="str">
        <f aca="false">FLOOR(B81,10)&amp;"s"</f>
        <v>2000s</v>
      </c>
      <c r="D81" s="4" t="s">
        <v>1376</v>
      </c>
      <c r="E81" s="25" t="str">
        <f aca="false">IF(G81=1,"✓","")</f>
        <v/>
      </c>
      <c r="F81" s="4" t="n">
        <v>1</v>
      </c>
      <c r="G81" s="4" t="n">
        <f aca="false">IF(COUNTIF('Letterboxd Watched'!$E$2:$E$3000,M81)&gt;0,1,0)</f>
        <v>0</v>
      </c>
      <c r="H81" s="4" t="n">
        <v>3</v>
      </c>
      <c r="I81" s="4" t="s">
        <v>144</v>
      </c>
      <c r="J81" s="4" t="s">
        <v>55</v>
      </c>
      <c r="K81" s="4" t="s">
        <v>4366</v>
      </c>
      <c r="L81" s="48" t="str">
        <f aca="false">HYPERLINK("https://boxd.it/29CQ","open")</f>
        <v>open</v>
      </c>
      <c r="M81" s="4" t="str">
        <f aca="false">LOWER(A81)&amp;"|"&amp;B81</f>
        <v>almost famous|2000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1</v>
      </c>
      <c r="U81" s="4" t="n">
        <v>0</v>
      </c>
      <c r="V81" s="4" t="n">
        <v>0</v>
      </c>
      <c r="W81" s="4" t="n">
        <v>0</v>
      </c>
    </row>
    <row r="82" customFormat="false" ht="15" hidden="false" customHeight="false" outlineLevel="0" collapsed="false">
      <c r="A82" s="4" t="s">
        <v>3530</v>
      </c>
      <c r="B82" s="4" t="n">
        <v>1974</v>
      </c>
      <c r="C82" s="4" t="str">
        <f aca="false">FLOOR(B82,10)&amp;"s"</f>
        <v>1970s</v>
      </c>
      <c r="D82" s="4" t="s">
        <v>3531</v>
      </c>
      <c r="E82" s="25" t="str">
        <f aca="false">IF(G82=1,"✓","")</f>
        <v/>
      </c>
      <c r="F82" s="4" t="n">
        <v>1</v>
      </c>
      <c r="G82" s="4" t="n">
        <f aca="false">IF(COUNTIF('Letterboxd Watched'!$E$2:$E$3000,M82)&gt;0,1,0)</f>
        <v>0</v>
      </c>
      <c r="H82" s="4" t="n">
        <v>1</v>
      </c>
      <c r="I82" s="4" t="s">
        <v>1327</v>
      </c>
      <c r="J82" s="4" t="s">
        <v>51</v>
      </c>
      <c r="K82" s="4" t="s">
        <v>3954</v>
      </c>
      <c r="L82" s="48" t="str">
        <f aca="false">HYPERLINK("https://letterboxd.com/search/films/Almost+Human+1974/","open")</f>
        <v>open</v>
      </c>
      <c r="M82" s="4" t="str">
        <f aca="false">LOWER(A82)&amp;"|"&amp;B82</f>
        <v>almost human|1974</v>
      </c>
      <c r="N82" s="4" t="n">
        <v>0</v>
      </c>
      <c r="O82" s="4" t="n">
        <v>0</v>
      </c>
      <c r="P82" s="4" t="n">
        <v>1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</row>
    <row r="83" customFormat="false" ht="15" hidden="false" customHeight="false" outlineLevel="0" collapsed="false">
      <c r="A83" s="4" t="s">
        <v>664</v>
      </c>
      <c r="B83" s="4" t="n">
        <v>1965</v>
      </c>
      <c r="C83" s="4" t="str">
        <f aca="false">FLOOR(B83,10)&amp;"s"</f>
        <v>1960s</v>
      </c>
      <c r="D83" s="4" t="s">
        <v>152</v>
      </c>
      <c r="E83" s="25" t="str">
        <f aca="false">IF(G83=1,"✓","")</f>
        <v/>
      </c>
      <c r="F83" s="4" t="n">
        <v>3</v>
      </c>
      <c r="G83" s="4" t="n">
        <f aca="false">IF(COUNTIF('Letterboxd Watched'!$E$2:$E$3000,M83)&gt;0,1,0)</f>
        <v>0</v>
      </c>
      <c r="H83" s="4" t="n">
        <v>6</v>
      </c>
      <c r="I83" s="4" t="s">
        <v>213</v>
      </c>
      <c r="J83" s="4" t="s">
        <v>52</v>
      </c>
      <c r="K83" s="4" t="s">
        <v>5174</v>
      </c>
      <c r="L83" s="48" t="str">
        <f aca="false">HYPERLINK("https://boxd.it/20AG","open")</f>
        <v>open</v>
      </c>
      <c r="M83" s="4" t="str">
        <f aca="false">LOWER(A83)&amp;"|"&amp;B83</f>
        <v>alphaville|1965</v>
      </c>
      <c r="N83" s="4" t="n">
        <v>0</v>
      </c>
      <c r="O83" s="4" t="n">
        <v>0</v>
      </c>
      <c r="P83" s="4" t="n">
        <v>0</v>
      </c>
      <c r="Q83" s="4" t="n">
        <v>1</v>
      </c>
      <c r="R83" s="4" t="n">
        <v>1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</row>
    <row r="84" customFormat="false" ht="15" hidden="false" customHeight="false" outlineLevel="0" collapsed="false">
      <c r="A84" s="4" t="s">
        <v>2978</v>
      </c>
      <c r="B84" s="4" t="n">
        <v>2011</v>
      </c>
      <c r="C84" s="4" t="str">
        <f aca="false">FLOOR(B84,10)&amp;"s"</f>
        <v>2010s</v>
      </c>
      <c r="D84" s="4" t="s">
        <v>874</v>
      </c>
      <c r="E84" s="25" t="str">
        <f aca="false">IF(G84=1,"✓","")</f>
        <v/>
      </c>
      <c r="F84" s="4" t="n">
        <v>1</v>
      </c>
      <c r="G84" s="4" t="n">
        <f aca="false">IF(COUNTIF('Letterboxd Watched'!$E$2:$E$3000,M84)&gt;0,1,0)</f>
        <v>0</v>
      </c>
      <c r="H84" s="4" t="n">
        <v>2</v>
      </c>
      <c r="I84" s="4" t="s">
        <v>213</v>
      </c>
      <c r="J84" s="4" t="s">
        <v>53</v>
      </c>
      <c r="K84" s="4" t="s">
        <v>4242</v>
      </c>
      <c r="L84" s="48" t="str">
        <f aca="false">HYPERLINK("https://boxd.it/2RHg","open")</f>
        <v>open</v>
      </c>
      <c r="M84" s="4" t="str">
        <f aca="false">LOWER(A84)&amp;"|"&amp;B84</f>
        <v>alps|2011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1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</row>
    <row r="85" customFormat="false" ht="15" hidden="false" customHeight="false" outlineLevel="0" collapsed="false">
      <c r="A85" s="4" t="s">
        <v>1019</v>
      </c>
      <c r="B85" s="4" t="n">
        <v>1973</v>
      </c>
      <c r="C85" s="4" t="str">
        <f aca="false">FLOOR(B85,10)&amp;"s"</f>
        <v>1970s</v>
      </c>
      <c r="D85" s="4" t="s">
        <v>179</v>
      </c>
      <c r="E85" s="25" t="str">
        <f aca="false">IF(G85=1,"✓","")</f>
        <v/>
      </c>
      <c r="F85" s="4" t="n">
        <v>2</v>
      </c>
      <c r="G85" s="4" t="n">
        <f aca="false">IF(COUNTIF('Letterboxd Watched'!$E$2:$E$3000,M85)&gt;0,1,0)</f>
        <v>0</v>
      </c>
      <c r="H85" s="4" t="n">
        <v>4</v>
      </c>
      <c r="I85" s="4" t="s">
        <v>213</v>
      </c>
      <c r="J85" s="4" t="s">
        <v>51</v>
      </c>
      <c r="K85" s="4" t="s">
        <v>5175</v>
      </c>
      <c r="L85" s="48" t="str">
        <f aca="false">HYPERLINK("https://boxd.it/20NA","open")</f>
        <v>open</v>
      </c>
      <c r="M85" s="4" t="str">
        <f aca="false">LOWER(A85)&amp;"|"&amp;B85</f>
        <v>amarcord|1973</v>
      </c>
      <c r="N85" s="4" t="n">
        <v>0</v>
      </c>
      <c r="O85" s="4" t="n">
        <v>0</v>
      </c>
      <c r="P85" s="4" t="n">
        <v>1</v>
      </c>
      <c r="Q85" s="4" t="n">
        <v>0</v>
      </c>
      <c r="R85" s="4" t="n">
        <v>1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</row>
    <row r="86" customFormat="false" ht="15" hidden="false" customHeight="false" outlineLevel="0" collapsed="false">
      <c r="A86" s="4" t="s">
        <v>3150</v>
      </c>
      <c r="B86" s="4" t="n">
        <v>2018</v>
      </c>
      <c r="C86" s="4" t="str">
        <f aca="false">FLOOR(B86,10)&amp;"s"</f>
        <v>2010s</v>
      </c>
      <c r="D86" s="4" t="s">
        <v>3151</v>
      </c>
      <c r="E86" s="25" t="str">
        <f aca="false">IF(G86=1,"✓","")</f>
        <v/>
      </c>
      <c r="F86" s="4" t="n">
        <v>1</v>
      </c>
      <c r="G86" s="4" t="n">
        <f aca="false">IF(COUNTIF('Letterboxd Watched'!$E$2:$E$3000,M86)&gt;0,1,0)</f>
        <v>0</v>
      </c>
      <c r="H86" s="4" t="n">
        <v>2</v>
      </c>
      <c r="I86" s="4" t="s">
        <v>213</v>
      </c>
      <c r="J86" s="4" t="s">
        <v>52</v>
      </c>
      <c r="K86" s="4" t="s">
        <v>4178</v>
      </c>
      <c r="L86" s="48" t="str">
        <f aca="false">HYPERLINK("https://letterboxd.com/search/films/Amazing+Grace+2018/","open")</f>
        <v>open</v>
      </c>
      <c r="M86" s="4" t="str">
        <f aca="false">LOWER(A86)&amp;"|"&amp;B86</f>
        <v>amazing grace|2018</v>
      </c>
      <c r="N86" s="4" t="n">
        <v>0</v>
      </c>
      <c r="O86" s="4" t="n">
        <v>0</v>
      </c>
      <c r="P86" s="4" t="n">
        <v>0</v>
      </c>
      <c r="Q86" s="4" t="n">
        <v>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</row>
    <row r="87" customFormat="false" ht="15" hidden="false" customHeight="false" outlineLevel="0" collapsed="false">
      <c r="A87" s="4" t="s">
        <v>1152</v>
      </c>
      <c r="B87" s="4" t="n">
        <v>2001</v>
      </c>
      <c r="C87" s="4" t="str">
        <f aca="false">FLOOR(B87,10)&amp;"s"</f>
        <v>2000s</v>
      </c>
      <c r="D87" s="4" t="s">
        <v>1153</v>
      </c>
      <c r="E87" s="25" t="str">
        <f aca="false">IF(G87=1,"✓","")</f>
        <v/>
      </c>
      <c r="F87" s="4" t="n">
        <v>2</v>
      </c>
      <c r="G87" s="4" t="n">
        <f aca="false">IF(COUNTIF('Letterboxd Watched'!$E$2:$E$3000,M87)&gt;0,1,0)</f>
        <v>0</v>
      </c>
      <c r="H87" s="4" t="n">
        <v>4</v>
      </c>
      <c r="I87" s="4" t="s">
        <v>213</v>
      </c>
      <c r="J87" s="4" t="s">
        <v>55</v>
      </c>
      <c r="K87" s="4" t="s">
        <v>5176</v>
      </c>
      <c r="L87" s="48" t="str">
        <f aca="false">HYPERLINK("https://boxd.it/2aUc","open")</f>
        <v>open</v>
      </c>
      <c r="M87" s="4" t="str">
        <f aca="false">LOWER(A87)&amp;"|"&amp;B87</f>
        <v>amélie|2001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</v>
      </c>
      <c r="U87" s="4" t="n">
        <v>1</v>
      </c>
      <c r="V87" s="4" t="n">
        <v>0</v>
      </c>
      <c r="W87" s="4" t="n">
        <v>0</v>
      </c>
    </row>
    <row r="88" customFormat="false" ht="15" hidden="false" customHeight="false" outlineLevel="0" collapsed="false">
      <c r="A88" s="4" t="s">
        <v>3180</v>
      </c>
      <c r="B88" s="4" t="n">
        <v>2019</v>
      </c>
      <c r="C88" s="4" t="str">
        <f aca="false">FLOOR(B88,10)&amp;"s"</f>
        <v>2010s</v>
      </c>
      <c r="D88" s="4" t="s">
        <v>3181</v>
      </c>
      <c r="E88" s="25" t="str">
        <f aca="false">IF(G88=1,"✓","")</f>
        <v/>
      </c>
      <c r="F88" s="4" t="n">
        <v>1</v>
      </c>
      <c r="G88" s="4" t="n">
        <f aca="false">IF(COUNTIF('Letterboxd Watched'!$E$2:$E$3000,M88)&gt;0,1,0)</f>
        <v>0</v>
      </c>
      <c r="H88" s="4" t="n">
        <v>2</v>
      </c>
      <c r="I88" s="4" t="s">
        <v>213</v>
      </c>
      <c r="J88" s="4" t="s">
        <v>55</v>
      </c>
      <c r="K88" s="4" t="s">
        <v>4316</v>
      </c>
      <c r="L88" s="48" t="str">
        <f aca="false">HYPERLINK("https://boxd.it/kJuY","open")</f>
        <v>open</v>
      </c>
      <c r="M88" s="4" t="str">
        <f aca="false">LOWER(A88)&amp;"|"&amp;B88</f>
        <v>american factory|2019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</v>
      </c>
      <c r="U88" s="4" t="n">
        <v>0</v>
      </c>
      <c r="V88" s="4" t="n">
        <v>0</v>
      </c>
      <c r="W88" s="4" t="n">
        <v>0</v>
      </c>
    </row>
    <row r="89" customFormat="false" ht="15" hidden="false" customHeight="false" outlineLevel="0" collapsed="false">
      <c r="A89" s="4" t="s">
        <v>2292</v>
      </c>
      <c r="B89" s="4" t="n">
        <v>1977</v>
      </c>
      <c r="C89" s="4" t="str">
        <f aca="false">FLOOR(B89,10)&amp;"s"</f>
        <v>1970s</v>
      </c>
      <c r="D89" s="4" t="s">
        <v>365</v>
      </c>
      <c r="E89" s="25" t="str">
        <f aca="false">IF(G89=1,"✓","")</f>
        <v/>
      </c>
      <c r="F89" s="4" t="n">
        <v>1</v>
      </c>
      <c r="G89" s="4" t="n">
        <f aca="false">IF(COUNTIF('Letterboxd Watched'!$E$2:$E$3000,M89)&gt;0,1,0)</f>
        <v>0</v>
      </c>
      <c r="H89" s="4" t="n">
        <v>2</v>
      </c>
      <c r="I89" s="4" t="s">
        <v>213</v>
      </c>
      <c r="J89" s="4" t="s">
        <v>51</v>
      </c>
      <c r="K89" s="4" t="s">
        <v>3972</v>
      </c>
      <c r="L89" s="48" t="str">
        <f aca="false">HYPERLINK("https://boxd.it/1UkC","open")</f>
        <v>open</v>
      </c>
      <c r="M89" s="4" t="str">
        <f aca="false">LOWER(A89)&amp;"|"&amp;B89</f>
        <v>the american friend|1977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</row>
    <row r="90" customFormat="false" ht="15" hidden="false" customHeight="false" outlineLevel="0" collapsed="false">
      <c r="A90" s="4" t="s">
        <v>392</v>
      </c>
      <c r="B90" s="4" t="n">
        <v>1973</v>
      </c>
      <c r="C90" s="4" t="str">
        <f aca="false">FLOOR(B90,10)&amp;"s"</f>
        <v>1970s</v>
      </c>
      <c r="D90" s="4" t="s">
        <v>257</v>
      </c>
      <c r="E90" s="25" t="str">
        <f aca="false">IF(G90=1,"✓","")</f>
        <v/>
      </c>
      <c r="F90" s="4" t="n">
        <v>4</v>
      </c>
      <c r="G90" s="4" t="n">
        <f aca="false">IF(COUNTIF('Letterboxd Watched'!$E$2:$E$3000,M90)&gt;0,1,0)</f>
        <v>0</v>
      </c>
      <c r="H90" s="4" t="n">
        <v>8</v>
      </c>
      <c r="I90" s="4" t="s">
        <v>213</v>
      </c>
      <c r="J90" s="4" t="s">
        <v>54</v>
      </c>
      <c r="K90" s="4" t="s">
        <v>5177</v>
      </c>
      <c r="L90" s="48" t="str">
        <f aca="false">HYPERLINK("https://boxd.it/29us","open")</f>
        <v>open</v>
      </c>
      <c r="M90" s="4" t="str">
        <f aca="false">LOWER(A90)&amp;"|"&amp;B90</f>
        <v>american graffiti|1973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1</v>
      </c>
      <c r="U90" s="4" t="n">
        <v>1</v>
      </c>
      <c r="V90" s="4" t="n">
        <v>1</v>
      </c>
      <c r="W90" s="4" t="n">
        <v>0</v>
      </c>
    </row>
    <row r="91" customFormat="false" ht="15" hidden="false" customHeight="false" outlineLevel="0" collapsed="false">
      <c r="A91" s="4" t="s">
        <v>3030</v>
      </c>
      <c r="B91" s="4" t="n">
        <v>2013</v>
      </c>
      <c r="C91" s="4" t="str">
        <f aca="false">FLOOR(B91,10)&amp;"s"</f>
        <v>2010s</v>
      </c>
      <c r="D91" s="4" t="s">
        <v>2704</v>
      </c>
      <c r="E91" s="25" t="str">
        <f aca="false">IF(G91=1,"✓","")</f>
        <v/>
      </c>
      <c r="F91" s="4" t="n">
        <v>1</v>
      </c>
      <c r="G91" s="4" t="n">
        <f aca="false">IF(COUNTIF('Letterboxd Watched'!$E$2:$E$3000,M91)&gt;0,1,0)</f>
        <v>0</v>
      </c>
      <c r="H91" s="4" t="n">
        <v>2</v>
      </c>
      <c r="I91" s="4" t="s">
        <v>213</v>
      </c>
      <c r="J91" s="4" t="s">
        <v>52</v>
      </c>
      <c r="K91" s="4" t="s">
        <v>4122</v>
      </c>
      <c r="L91" s="48" t="str">
        <f aca="false">HYPERLINK("https://boxd.it/5dz8","open")</f>
        <v>open</v>
      </c>
      <c r="M91" s="4" t="str">
        <f aca="false">LOWER(A91)&amp;"|"&amp;B91</f>
        <v>american hustle|2013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</row>
    <row r="92" customFormat="false" ht="15" hidden="false" customHeight="false" outlineLevel="0" collapsed="false">
      <c r="A92" s="4" t="s">
        <v>1882</v>
      </c>
      <c r="B92" s="4" t="n">
        <v>1951</v>
      </c>
      <c r="C92" s="4" t="str">
        <f aca="false">FLOOR(B92,10)&amp;"s"</f>
        <v>1950s</v>
      </c>
      <c r="D92" s="4" t="s">
        <v>570</v>
      </c>
      <c r="E92" s="25" t="str">
        <f aca="false">IF(G92=1,"✓","")</f>
        <v/>
      </c>
      <c r="F92" s="4" t="n">
        <v>1</v>
      </c>
      <c r="G92" s="4" t="n">
        <f aca="false">IF(COUNTIF('Letterboxd Watched'!$E$2:$E$3000,M92)&gt;0,1,0)</f>
        <v>0</v>
      </c>
      <c r="H92" s="4" t="n">
        <v>2</v>
      </c>
      <c r="I92" s="4" t="s">
        <v>213</v>
      </c>
      <c r="J92" s="4" t="s">
        <v>52</v>
      </c>
      <c r="K92" s="4" t="s">
        <v>4110</v>
      </c>
      <c r="L92" s="48" t="str">
        <f aca="false">HYPERLINK("https://boxd.it/26kY","open")</f>
        <v>open</v>
      </c>
      <c r="M92" s="4" t="str">
        <f aca="false">LOWER(A92)&amp;"|"&amp;B92</f>
        <v>an american in paris|1951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</row>
    <row r="93" customFormat="false" ht="15" hidden="false" customHeight="false" outlineLevel="0" collapsed="false">
      <c r="A93" s="4" t="s">
        <v>3313</v>
      </c>
      <c r="B93" s="4" t="n">
        <v>1932</v>
      </c>
      <c r="C93" s="4" t="str">
        <f aca="false">FLOOR(B93,10)&amp;"s"</f>
        <v>1930s</v>
      </c>
      <c r="D93" s="4" t="s">
        <v>176</v>
      </c>
      <c r="E93" s="25" t="str">
        <f aca="false">IF(G93=1,"✓","")</f>
        <v/>
      </c>
      <c r="F93" s="4" t="n">
        <v>1</v>
      </c>
      <c r="G93" s="4" t="n">
        <f aca="false">IF(COUNTIF('Letterboxd Watched'!$E$2:$E$3000,M93)&gt;0,1,0)</f>
        <v>0</v>
      </c>
      <c r="H93" s="4" t="n">
        <v>1</v>
      </c>
      <c r="I93" s="4" t="s">
        <v>1327</v>
      </c>
      <c r="J93" s="4" t="s">
        <v>53</v>
      </c>
      <c r="K93" s="4" t="s">
        <v>176</v>
      </c>
      <c r="L93" s="48" t="str">
        <f aca="false">HYPERLINK("https://boxd.it/28aG","open")</f>
        <v>open</v>
      </c>
      <c r="M93" s="4" t="str">
        <f aca="false">LOWER(A93)&amp;"|"&amp;B93</f>
        <v>american madness|1932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</row>
    <row r="94" customFormat="false" ht="15" hidden="false" customHeight="false" outlineLevel="0" collapsed="false">
      <c r="A94" s="4" t="s">
        <v>3709</v>
      </c>
      <c r="B94" s="4" t="n">
        <v>1999</v>
      </c>
      <c r="C94" s="4" t="str">
        <f aca="false">FLOOR(B94,10)&amp;"s"</f>
        <v>1990s</v>
      </c>
      <c r="D94" s="4" t="s">
        <v>3710</v>
      </c>
      <c r="E94" s="25" t="str">
        <f aca="false">IF(G94=1,"✓","")</f>
        <v/>
      </c>
      <c r="F94" s="4" t="n">
        <v>1</v>
      </c>
      <c r="G94" s="4" t="n">
        <f aca="false">IF(COUNTIF('Letterboxd Watched'!$E$2:$E$3000,M94)&gt;0,1,0)</f>
        <v>0</v>
      </c>
      <c r="H94" s="4" t="n">
        <v>1</v>
      </c>
      <c r="I94" s="4" t="s">
        <v>1327</v>
      </c>
      <c r="J94" s="4" t="s">
        <v>52</v>
      </c>
      <c r="K94" s="4" t="s">
        <v>4176</v>
      </c>
      <c r="L94" s="48" t="str">
        <f aca="false">HYPERLINK("https://boxd.it/1Oty","open")</f>
        <v>open</v>
      </c>
      <c r="M94" s="4" t="str">
        <f aca="false">LOWER(A94)&amp;"|"&amp;B94</f>
        <v>american movie|1999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</row>
    <row r="95" customFormat="false" ht="15" hidden="false" customHeight="false" outlineLevel="0" collapsed="false">
      <c r="A95" s="4" t="s">
        <v>3381</v>
      </c>
      <c r="B95" s="4" t="n">
        <v>1955</v>
      </c>
      <c r="C95" s="4" t="str">
        <f aca="false">FLOOR(B95,10)&amp;"s"</f>
        <v>1950s</v>
      </c>
      <c r="D95" s="4" t="s">
        <v>217</v>
      </c>
      <c r="E95" s="25" t="str">
        <f aca="false">IF(G95=1,"✓","")</f>
        <v/>
      </c>
      <c r="F95" s="4" t="n">
        <v>1</v>
      </c>
      <c r="G95" s="4" t="n">
        <f aca="false">IF(COUNTIF('Letterboxd Watched'!$E$2:$E$3000,M95)&gt;0,1,0)</f>
        <v>0</v>
      </c>
      <c r="H95" s="4" t="n">
        <v>1</v>
      </c>
      <c r="I95" s="4" t="s">
        <v>1327</v>
      </c>
      <c r="J95" s="4" t="s">
        <v>53</v>
      </c>
      <c r="K95" s="4" t="s">
        <v>217</v>
      </c>
      <c r="L95" s="48" t="str">
        <f aca="false">HYPERLINK("https://boxd.it/LQ8","open")</f>
        <v>open</v>
      </c>
      <c r="M95" s="4" t="str">
        <f aca="false">LOWER(A95)&amp;"|"&amp;B95</f>
        <v>le amiche|1955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</row>
    <row r="96" customFormat="false" ht="15" hidden="false" customHeight="false" outlineLevel="0" collapsed="false">
      <c r="A96" s="4" t="s">
        <v>1136</v>
      </c>
      <c r="B96" s="4" t="n">
        <v>2000</v>
      </c>
      <c r="C96" s="4" t="str">
        <f aca="false">FLOOR(B96,10)&amp;"s"</f>
        <v>2000s</v>
      </c>
      <c r="D96" s="4" t="s">
        <v>1137</v>
      </c>
      <c r="E96" s="25" t="str">
        <f aca="false">IF(G96=1,"✓","")</f>
        <v/>
      </c>
      <c r="F96" s="4" t="n">
        <v>2</v>
      </c>
      <c r="G96" s="4" t="n">
        <f aca="false">IF(COUNTIF('Letterboxd Watched'!$E$2:$E$3000,M96)&gt;0,1,0)</f>
        <v>0</v>
      </c>
      <c r="H96" s="4" t="n">
        <v>4</v>
      </c>
      <c r="I96" s="4" t="s">
        <v>213</v>
      </c>
      <c r="J96" s="4" t="s">
        <v>51</v>
      </c>
      <c r="K96" s="4" t="s">
        <v>5178</v>
      </c>
      <c r="L96" s="48" t="str">
        <f aca="false">HYPERLINK("https://boxd.it/2bfu","open")</f>
        <v>open</v>
      </c>
      <c r="M96" s="4" t="str">
        <f aca="false">LOWER(A96)&amp;"|"&amp;B96</f>
        <v>amores perros|2000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1</v>
      </c>
      <c r="T96" s="4" t="n">
        <v>0</v>
      </c>
      <c r="U96" s="4" t="n">
        <v>0</v>
      </c>
      <c r="V96" s="4" t="n">
        <v>0</v>
      </c>
      <c r="W96" s="4" t="n">
        <v>0</v>
      </c>
    </row>
    <row r="97" customFormat="false" ht="15" hidden="false" customHeight="false" outlineLevel="0" collapsed="false">
      <c r="A97" s="4" t="s">
        <v>1203</v>
      </c>
      <c r="B97" s="4" t="n">
        <v>2012</v>
      </c>
      <c r="C97" s="4" t="str">
        <f aca="false">FLOOR(B97,10)&amp;"s"</f>
        <v>2010s</v>
      </c>
      <c r="D97" s="4" t="s">
        <v>516</v>
      </c>
      <c r="E97" s="25" t="str">
        <f aca="false">IF(G97=1,"✓","")</f>
        <v/>
      </c>
      <c r="F97" s="4" t="n">
        <v>2</v>
      </c>
      <c r="G97" s="4" t="n">
        <f aca="false">IF(COUNTIF('Letterboxd Watched'!$E$2:$E$3000,M97)&gt;0,1,0)</f>
        <v>0</v>
      </c>
      <c r="H97" s="4" t="n">
        <v>4</v>
      </c>
      <c r="I97" s="4" t="s">
        <v>213</v>
      </c>
      <c r="J97" s="4" t="s">
        <v>53</v>
      </c>
      <c r="K97" s="4" t="s">
        <v>5179</v>
      </c>
      <c r="L97" s="48" t="str">
        <f aca="false">HYPERLINK("https://boxd.it/34Q6","open")</f>
        <v>open</v>
      </c>
      <c r="M97" s="4" t="str">
        <f aca="false">LOWER(A97)&amp;"|"&amp;B97</f>
        <v>amour|2012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1</v>
      </c>
      <c r="U97" s="4" t="n">
        <v>0</v>
      </c>
      <c r="V97" s="4" t="n">
        <v>0</v>
      </c>
      <c r="W97" s="4" t="n">
        <v>0</v>
      </c>
    </row>
    <row r="98" customFormat="false" ht="15" hidden="false" customHeight="false" outlineLevel="0" collapsed="false">
      <c r="A98" s="4" t="s">
        <v>3078</v>
      </c>
      <c r="B98" s="4" t="n">
        <v>2015</v>
      </c>
      <c r="C98" s="4" t="str">
        <f aca="false">FLOOR(B98,10)&amp;"s"</f>
        <v>2010s</v>
      </c>
      <c r="D98" s="4" t="s">
        <v>3079</v>
      </c>
      <c r="E98" s="25" t="str">
        <f aca="false">IF(G98=1,"✓","")</f>
        <v/>
      </c>
      <c r="F98" s="4" t="n">
        <v>1</v>
      </c>
      <c r="G98" s="4" t="n">
        <f aca="false">IF(COUNTIF('Letterboxd Watched'!$E$2:$E$3000,M98)&gt;0,1,0)</f>
        <v>0</v>
      </c>
      <c r="H98" s="4" t="n">
        <v>2</v>
      </c>
      <c r="I98" s="4" t="s">
        <v>213</v>
      </c>
      <c r="J98" s="4" t="s">
        <v>52</v>
      </c>
      <c r="K98" s="4" t="s">
        <v>4176</v>
      </c>
      <c r="L98" s="48" t="str">
        <f aca="false">HYPERLINK("https://boxd.it/aSNU","open")</f>
        <v>open</v>
      </c>
      <c r="M98" s="4" t="str">
        <f aca="false">LOWER(A98)&amp;"|"&amp;B98</f>
        <v>amy|2015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</row>
    <row r="99" customFormat="false" ht="15" hidden="false" customHeight="false" outlineLevel="0" collapsed="false">
      <c r="A99" s="4" t="s">
        <v>446</v>
      </c>
      <c r="B99" s="4" t="n">
        <v>2023</v>
      </c>
      <c r="C99" s="4" t="str">
        <f aca="false">FLOOR(B99,10)&amp;"s"</f>
        <v>2020s</v>
      </c>
      <c r="D99" s="4" t="s">
        <v>447</v>
      </c>
      <c r="E99" s="25" t="str">
        <f aca="false">IF(G99=1,"✓","")</f>
        <v/>
      </c>
      <c r="F99" s="4" t="n">
        <v>4</v>
      </c>
      <c r="G99" s="4" t="n">
        <f aca="false">IF(COUNTIF('Letterboxd Watched'!$E$2:$E$3000,M99)&gt;0,1,0)</f>
        <v>0</v>
      </c>
      <c r="H99" s="4" t="n">
        <v>7</v>
      </c>
      <c r="I99" s="4" t="s">
        <v>213</v>
      </c>
      <c r="J99" s="4" t="s">
        <v>50</v>
      </c>
      <c r="K99" s="4" t="s">
        <v>5180</v>
      </c>
      <c r="L99" s="48" t="str">
        <f aca="false">HYPERLINK("https://boxd.it/yuDE","open")</f>
        <v>open</v>
      </c>
      <c r="M99" s="4" t="str">
        <f aca="false">LOWER(A99)&amp;"|"&amp;B99</f>
        <v>anatomy of a fall|2023</v>
      </c>
      <c r="N99" s="4" t="n">
        <v>0</v>
      </c>
      <c r="O99" s="4" t="n">
        <v>1</v>
      </c>
      <c r="P99" s="4" t="n">
        <v>1</v>
      </c>
      <c r="Q99" s="4" t="n">
        <v>1</v>
      </c>
      <c r="R99" s="4" t="n">
        <v>0</v>
      </c>
      <c r="S99" s="4" t="n">
        <v>0</v>
      </c>
      <c r="T99" s="4" t="n">
        <v>1</v>
      </c>
      <c r="U99" s="4" t="n">
        <v>0</v>
      </c>
      <c r="V99" s="4" t="n">
        <v>0</v>
      </c>
      <c r="W99" s="4" t="n">
        <v>0</v>
      </c>
    </row>
    <row r="100" customFormat="false" ht="15" hidden="false" customHeight="false" outlineLevel="0" collapsed="false">
      <c r="A100" s="4" t="s">
        <v>950</v>
      </c>
      <c r="B100" s="4" t="n">
        <v>1959</v>
      </c>
      <c r="C100" s="4" t="str">
        <f aca="false">FLOOR(B100,10)&amp;"s"</f>
        <v>1950s</v>
      </c>
      <c r="D100" s="4" t="s">
        <v>951</v>
      </c>
      <c r="E100" s="25" t="str">
        <f aca="false">IF(G100=1,"✓","")</f>
        <v/>
      </c>
      <c r="F100" s="4" t="n">
        <v>2</v>
      </c>
      <c r="G100" s="4" t="n">
        <f aca="false">IF(COUNTIF('Letterboxd Watched'!$E$2:$E$3000,M100)&gt;0,1,0)</f>
        <v>0</v>
      </c>
      <c r="H100" s="4" t="n">
        <v>4</v>
      </c>
      <c r="I100" s="4" t="s">
        <v>213</v>
      </c>
      <c r="J100" s="4" t="s">
        <v>50</v>
      </c>
      <c r="K100" s="4" t="s">
        <v>5181</v>
      </c>
      <c r="L100" s="48" t="str">
        <f aca="false">HYPERLINK("https://boxd.it/2baa","open")</f>
        <v>open</v>
      </c>
      <c r="M100" s="4" t="str">
        <f aca="false">LOWER(A100)&amp;"|"&amp;B100</f>
        <v>anatomy of a murder|1959</v>
      </c>
      <c r="N100" s="4" t="n">
        <v>0</v>
      </c>
      <c r="O100" s="4" t="n">
        <v>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  <c r="U100" s="4" t="n">
        <v>0</v>
      </c>
      <c r="V100" s="4" t="n">
        <v>0</v>
      </c>
      <c r="W100" s="4" t="n">
        <v>0</v>
      </c>
    </row>
    <row r="101" customFormat="false" ht="15" hidden="false" customHeight="false" outlineLevel="0" collapsed="false">
      <c r="A101" s="4" t="s">
        <v>855</v>
      </c>
      <c r="B101" s="4" t="n">
        <v>2004</v>
      </c>
      <c r="C101" s="4" t="str">
        <f aca="false">FLOOR(B101,10)&amp;"s"</f>
        <v>2000s</v>
      </c>
      <c r="D101" s="4" t="s">
        <v>856</v>
      </c>
      <c r="E101" s="25" t="str">
        <f aca="false">IF(G101=1,"✓","")</f>
        <v>✓</v>
      </c>
      <c r="F101" s="4" t="n">
        <v>2</v>
      </c>
      <c r="G101" s="4" t="n">
        <f aca="false">IF(COUNTIF('Letterboxd Watched'!$E$2:$E$3000,M101)&gt;0,1,0)</f>
        <v>1</v>
      </c>
      <c r="H101" s="4" t="n">
        <v>5</v>
      </c>
      <c r="I101" s="4" t="s">
        <v>144</v>
      </c>
      <c r="J101" s="4" t="s">
        <v>52</v>
      </c>
      <c r="K101" s="4" t="s">
        <v>5182</v>
      </c>
      <c r="L101" s="48" t="str">
        <f aca="false">HYPERLINK("https://boxd.it/1ZVo","open")</f>
        <v>open</v>
      </c>
      <c r="M101" s="4" t="str">
        <f aca="false">LOWER(A101)&amp;"|"&amp;B101</f>
        <v>anchorman: the legend of ron burgundy|2004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0</v>
      </c>
      <c r="T101" s="4" t="n">
        <v>1</v>
      </c>
      <c r="U101" s="4" t="n">
        <v>0</v>
      </c>
      <c r="V101" s="4" t="n">
        <v>0</v>
      </c>
      <c r="W101" s="4" t="n">
        <v>0</v>
      </c>
    </row>
    <row r="102" customFormat="false" ht="15" hidden="false" customHeight="false" outlineLevel="0" collapsed="false">
      <c r="A102" s="4" t="s">
        <v>3491</v>
      </c>
      <c r="B102" s="4" t="n">
        <v>1971</v>
      </c>
      <c r="C102" s="4" t="str">
        <f aca="false">FLOOR(B102,10)&amp;"s"</f>
        <v>1970s</v>
      </c>
      <c r="D102" s="4" t="s">
        <v>189</v>
      </c>
      <c r="E102" s="25" t="str">
        <f aca="false">IF(G102=1,"✓","")</f>
        <v/>
      </c>
      <c r="F102" s="4" t="n">
        <v>1</v>
      </c>
      <c r="G102" s="4" t="n">
        <f aca="false">IF(COUNTIF('Letterboxd Watched'!$E$2:$E$3000,M102)&gt;0,1,0)</f>
        <v>0</v>
      </c>
      <c r="H102" s="4" t="n">
        <v>1</v>
      </c>
      <c r="I102" s="4" t="s">
        <v>1327</v>
      </c>
      <c r="J102" s="4" t="s">
        <v>52</v>
      </c>
      <c r="K102" s="4" t="s">
        <v>4118</v>
      </c>
      <c r="L102" s="48" t="str">
        <f aca="false">HYPERLINK("https://boxd.it/1keS","open")</f>
        <v>open</v>
      </c>
      <c r="M102" s="4" t="str">
        <f aca="false">LOWER(A102)&amp;"|"&amp;B102</f>
        <v>the anderson tapes|1971</v>
      </c>
      <c r="N102" s="4" t="n">
        <v>0</v>
      </c>
      <c r="O102" s="4" t="n">
        <v>0</v>
      </c>
      <c r="P102" s="4" t="n">
        <v>0</v>
      </c>
      <c r="Q102" s="4" t="n">
        <v>1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</row>
    <row r="103" customFormat="false" ht="15" hidden="false" customHeight="false" outlineLevel="0" collapsed="false">
      <c r="A103" s="4" t="s">
        <v>468</v>
      </c>
      <c r="B103" s="4" t="n">
        <v>1966</v>
      </c>
      <c r="C103" s="4" t="str">
        <f aca="false">FLOOR(B103,10)&amp;"s"</f>
        <v>1960s</v>
      </c>
      <c r="D103" s="4" t="s">
        <v>210</v>
      </c>
      <c r="E103" s="25" t="str">
        <f aca="false">IF(G103=1,"✓","")</f>
        <v/>
      </c>
      <c r="F103" s="4" t="n">
        <v>3</v>
      </c>
      <c r="G103" s="4" t="n">
        <f aca="false">IF(COUNTIF('Letterboxd Watched'!$E$2:$E$3000,M103)&gt;0,1,0)</f>
        <v>0</v>
      </c>
      <c r="H103" s="4" t="n">
        <v>7</v>
      </c>
      <c r="I103" s="4" t="s">
        <v>144</v>
      </c>
      <c r="J103" s="4" t="s">
        <v>51</v>
      </c>
      <c r="K103" s="4" t="s">
        <v>5183</v>
      </c>
      <c r="L103" s="48" t="str">
        <f aca="false">HYPERLINK("https://boxd.it/29lg","open")</f>
        <v>open</v>
      </c>
      <c r="M103" s="4" t="str">
        <f aca="false">LOWER(A103)&amp;"|"&amp;B103</f>
        <v>andrei rublev|1966</v>
      </c>
      <c r="N103" s="4" t="n">
        <v>0</v>
      </c>
      <c r="O103" s="4" t="n">
        <v>0</v>
      </c>
      <c r="P103" s="4" t="n">
        <v>1</v>
      </c>
      <c r="Q103" s="4" t="n">
        <v>0</v>
      </c>
      <c r="R103" s="4" t="n">
        <v>1</v>
      </c>
      <c r="S103" s="4" t="n">
        <v>0</v>
      </c>
      <c r="T103" s="4" t="n">
        <v>1</v>
      </c>
      <c r="U103" s="4" t="n">
        <v>0</v>
      </c>
      <c r="V103" s="4" t="n">
        <v>0</v>
      </c>
      <c r="W103" s="4" t="n">
        <v>0</v>
      </c>
    </row>
    <row r="104" customFormat="false" ht="15" hidden="false" customHeight="false" outlineLevel="0" collapsed="false">
      <c r="A104" s="4" t="s">
        <v>788</v>
      </c>
      <c r="B104" s="4" t="n">
        <v>1971</v>
      </c>
      <c r="C104" s="4" t="str">
        <f aca="false">FLOOR(B104,10)&amp;"s"</f>
        <v>1970s</v>
      </c>
      <c r="D104" s="4" t="s">
        <v>789</v>
      </c>
      <c r="E104" s="25" t="str">
        <f aca="false">IF(G104=1,"✓","")</f>
        <v/>
      </c>
      <c r="F104" s="4" t="n">
        <v>2</v>
      </c>
      <c r="G104" s="4" t="n">
        <f aca="false">IF(COUNTIF('Letterboxd Watched'!$E$2:$E$3000,M104)&gt;0,1,0)</f>
        <v>0</v>
      </c>
      <c r="H104" s="4" t="n">
        <v>5</v>
      </c>
      <c r="I104" s="4" t="s">
        <v>144</v>
      </c>
      <c r="J104" s="4" t="s">
        <v>55</v>
      </c>
      <c r="K104" s="4" t="s">
        <v>5184</v>
      </c>
      <c r="L104" s="48" t="str">
        <f aca="false">HYPERLINK("https://boxd.it/1W4Q","open")</f>
        <v>open</v>
      </c>
      <c r="M104" s="4" t="str">
        <f aca="false">LOWER(A104)&amp;"|"&amp;B104</f>
        <v>the andromeda strain|1971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1</v>
      </c>
      <c r="U104" s="4" t="n">
        <v>0</v>
      </c>
      <c r="V104" s="4" t="n">
        <v>0</v>
      </c>
      <c r="W104" s="4" t="n">
        <v>1</v>
      </c>
    </row>
    <row r="105" customFormat="false" ht="15" hidden="false" customHeight="false" outlineLevel="0" collapsed="false">
      <c r="A105" s="4" t="s">
        <v>3295</v>
      </c>
      <c r="B105" s="4" t="n">
        <v>1926</v>
      </c>
      <c r="C105" s="4" t="str">
        <f aca="false">FLOOR(B105,10)&amp;"s"</f>
        <v>1920s</v>
      </c>
      <c r="D105" s="4" t="s">
        <v>3296</v>
      </c>
      <c r="E105" s="25" t="str">
        <f aca="false">IF(G105=1,"✓","")</f>
        <v/>
      </c>
      <c r="F105" s="4" t="n">
        <v>1</v>
      </c>
      <c r="G105" s="4" t="n">
        <f aca="false">IF(COUNTIF('Letterboxd Watched'!$E$2:$E$3000,M105)&gt;0,1,0)</f>
        <v>0</v>
      </c>
      <c r="H105" s="4" t="n">
        <v>1</v>
      </c>
      <c r="I105" s="4" t="s">
        <v>1327</v>
      </c>
      <c r="J105" s="4" t="s">
        <v>52</v>
      </c>
      <c r="K105" s="4" t="s">
        <v>4180</v>
      </c>
      <c r="L105" s="48" t="str">
        <f aca="false">HYPERLINK("https://letterboxd.com/search/films/Anemic+Cinema+1926/","open")</f>
        <v>open</v>
      </c>
      <c r="M105" s="4" t="str">
        <f aca="false">LOWER(A105)&amp;"|"&amp;B105</f>
        <v>anemic cinema|1926</v>
      </c>
      <c r="N105" s="4" t="n">
        <v>0</v>
      </c>
      <c r="O105" s="4" t="n">
        <v>0</v>
      </c>
      <c r="P105" s="4" t="n">
        <v>0</v>
      </c>
      <c r="Q105" s="4" t="n">
        <v>1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</row>
    <row r="106" customFormat="false" ht="15" hidden="false" customHeight="false" outlineLevel="0" collapsed="false">
      <c r="A106" s="4" t="s">
        <v>2509</v>
      </c>
      <c r="B106" s="4" t="n">
        <v>1990</v>
      </c>
      <c r="C106" s="4" t="str">
        <f aca="false">FLOOR(B106,10)&amp;"s"</f>
        <v>1990s</v>
      </c>
      <c r="D106" s="4" t="s">
        <v>833</v>
      </c>
      <c r="E106" s="25" t="str">
        <f aca="false">IF(G106=1,"✓","")</f>
        <v/>
      </c>
      <c r="F106" s="4" t="n">
        <v>1</v>
      </c>
      <c r="G106" s="4" t="n">
        <f aca="false">IF(COUNTIF('Letterboxd Watched'!$E$2:$E$3000,M106)&gt;0,1,0)</f>
        <v>0</v>
      </c>
      <c r="H106" s="4" t="n">
        <v>2</v>
      </c>
      <c r="I106" s="4" t="s">
        <v>213</v>
      </c>
      <c r="J106" s="4" t="s">
        <v>51</v>
      </c>
      <c r="K106" s="4" t="s">
        <v>4040</v>
      </c>
      <c r="L106" s="48" t="str">
        <f aca="false">HYPERLINK("https://boxd.it/269G","open")</f>
        <v>open</v>
      </c>
      <c r="M106" s="4" t="str">
        <f aca="false">LOWER(A106)&amp;"|"&amp;B106</f>
        <v>an angel at my table|1990</v>
      </c>
      <c r="N106" s="4" t="n">
        <v>0</v>
      </c>
      <c r="O106" s="4" t="n">
        <v>0</v>
      </c>
      <c r="P106" s="4" t="n">
        <v>1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</row>
    <row r="107" customFormat="false" ht="15" hidden="false" customHeight="false" outlineLevel="0" collapsed="false">
      <c r="A107" s="4" t="s">
        <v>3628</v>
      </c>
      <c r="B107" s="4" t="n">
        <v>1985</v>
      </c>
      <c r="C107" s="4" t="str">
        <f aca="false">FLOOR(B107,10)&amp;"s"</f>
        <v>1980s</v>
      </c>
      <c r="D107" s="4" t="s">
        <v>837</v>
      </c>
      <c r="E107" s="25" t="str">
        <f aca="false">IF(G107=1,"✓","")</f>
        <v/>
      </c>
      <c r="F107" s="4" t="n">
        <v>1</v>
      </c>
      <c r="G107" s="4" t="n">
        <f aca="false">IF(COUNTIF('Letterboxd Watched'!$E$2:$E$3000,M107)&gt;0,1,0)</f>
        <v>0</v>
      </c>
      <c r="H107" s="4" t="n">
        <v>1</v>
      </c>
      <c r="I107" s="4" t="s">
        <v>1327</v>
      </c>
      <c r="J107" s="4" t="s">
        <v>51</v>
      </c>
      <c r="K107" s="4" t="s">
        <v>3938</v>
      </c>
      <c r="L107" s="48" t="str">
        <f aca="false">HYPERLINK("https://boxd.it/1LeA","open")</f>
        <v>open</v>
      </c>
      <c r="M107" s="4" t="str">
        <f aca="false">LOWER(A107)&amp;"|"&amp;B107</f>
        <v>angel's egg|1985</v>
      </c>
      <c r="N107" s="4" t="n">
        <v>0</v>
      </c>
      <c r="O107" s="4" t="n">
        <v>0</v>
      </c>
      <c r="P107" s="4" t="n">
        <v>1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</row>
    <row r="108" customFormat="false" ht="15" hidden="false" customHeight="false" outlineLevel="0" collapsed="false">
      <c r="A108" s="4" t="s">
        <v>1777</v>
      </c>
      <c r="B108" s="4" t="n">
        <v>1938</v>
      </c>
      <c r="C108" s="4" t="str">
        <f aca="false">FLOOR(B108,10)&amp;"s"</f>
        <v>1930s</v>
      </c>
      <c r="D108" s="4" t="s">
        <v>335</v>
      </c>
      <c r="E108" s="25" t="str">
        <f aca="false">IF(G108=1,"✓","")</f>
        <v/>
      </c>
      <c r="F108" s="4" t="n">
        <v>1</v>
      </c>
      <c r="G108" s="4" t="n">
        <f aca="false">IF(COUNTIF('Letterboxd Watched'!$E$2:$E$3000,M108)&gt;0,1,0)</f>
        <v>0</v>
      </c>
      <c r="H108" s="4" t="n">
        <v>2</v>
      </c>
      <c r="I108" s="4" t="s">
        <v>213</v>
      </c>
      <c r="J108" s="4" t="s">
        <v>52</v>
      </c>
      <c r="K108" s="4" t="s">
        <v>4116</v>
      </c>
      <c r="L108" s="48" t="str">
        <f aca="false">HYPERLINK("https://boxd.it/1PBI","open")</f>
        <v>open</v>
      </c>
      <c r="M108" s="4" t="str">
        <f aca="false">LOWER(A108)&amp;"|"&amp;B108</f>
        <v>angels with dirty faces|1938</v>
      </c>
      <c r="N108" s="4" t="n">
        <v>0</v>
      </c>
      <c r="O108" s="4" t="n">
        <v>0</v>
      </c>
      <c r="P108" s="4" t="n">
        <v>0</v>
      </c>
      <c r="Q108" s="4" t="n">
        <v>1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</row>
    <row r="109" customFormat="false" ht="15" hidden="false" customHeight="false" outlineLevel="0" collapsed="false">
      <c r="A109" s="4" t="s">
        <v>1713</v>
      </c>
      <c r="B109" s="4" t="n">
        <v>1930</v>
      </c>
      <c r="C109" s="4" t="str">
        <f aca="false">FLOOR(B109,10)&amp;"s"</f>
        <v>1930s</v>
      </c>
      <c r="D109" s="4" t="s">
        <v>1714</v>
      </c>
      <c r="E109" s="25" t="str">
        <f aca="false">IF(G109=1,"✓","")</f>
        <v/>
      </c>
      <c r="F109" s="4" t="n">
        <v>1</v>
      </c>
      <c r="G109" s="4" t="n">
        <f aca="false">IF(COUNTIF('Letterboxd Watched'!$E$2:$E$3000,M109)&gt;0,1,0)</f>
        <v>0</v>
      </c>
      <c r="H109" s="4" t="n">
        <v>2</v>
      </c>
      <c r="I109" s="4" t="s">
        <v>213</v>
      </c>
      <c r="J109" s="4" t="s">
        <v>52</v>
      </c>
      <c r="K109" s="4" t="s">
        <v>4098</v>
      </c>
      <c r="L109" s="48" t="str">
        <f aca="false">HYPERLINK("https://letterboxd.com/search/films/Animal+Crackers+1930/","open")</f>
        <v>open</v>
      </c>
      <c r="M109" s="4" t="str">
        <f aca="false">LOWER(A109)&amp;"|"&amp;B109</f>
        <v>animal crackers|1930</v>
      </c>
      <c r="N109" s="4" t="n">
        <v>0</v>
      </c>
      <c r="O109" s="4" t="n">
        <v>0</v>
      </c>
      <c r="P109" s="4" t="n">
        <v>0</v>
      </c>
      <c r="Q109" s="4" t="n">
        <v>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</row>
    <row r="110" customFormat="false" ht="15" hidden="false" customHeight="false" outlineLevel="0" collapsed="false">
      <c r="A110" s="4" t="s">
        <v>2309</v>
      </c>
      <c r="B110" s="4" t="n">
        <v>1978</v>
      </c>
      <c r="C110" s="4" t="str">
        <f aca="false">FLOOR(B110,10)&amp;"s"</f>
        <v>1970s</v>
      </c>
      <c r="D110" s="4" t="s">
        <v>1062</v>
      </c>
      <c r="E110" s="25" t="str">
        <f aca="false">IF(G110=1,"✓","")</f>
        <v>✓</v>
      </c>
      <c r="F110" s="4" t="n">
        <v>1</v>
      </c>
      <c r="G110" s="4" t="n">
        <f aca="false">IF(COUNTIF('Letterboxd Watched'!$E$2:$E$3000,M110)&gt;0,1,0)</f>
        <v>1</v>
      </c>
      <c r="H110" s="4" t="n">
        <v>2</v>
      </c>
      <c r="I110" s="4" t="s">
        <v>213</v>
      </c>
      <c r="J110" s="4" t="s">
        <v>52</v>
      </c>
      <c r="K110" s="4" t="s">
        <v>4108</v>
      </c>
      <c r="L110" s="48" t="str">
        <f aca="false">HYPERLINK("https://boxd.it/2062","open")</f>
        <v>open</v>
      </c>
      <c r="M110" s="4" t="str">
        <f aca="false">LOWER(A110)&amp;"|"&amp;B110</f>
        <v>animal house|1978</v>
      </c>
      <c r="N110" s="4" t="n">
        <v>0</v>
      </c>
      <c r="O110" s="4" t="n">
        <v>0</v>
      </c>
      <c r="P110" s="4" t="n">
        <v>0</v>
      </c>
      <c r="Q110" s="4" t="n">
        <v>1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 customFormat="false" ht="15" hidden="false" customHeight="false" outlineLevel="0" collapsed="false">
      <c r="A111" s="4" t="s">
        <v>2240</v>
      </c>
      <c r="B111" s="4" t="n">
        <v>1974</v>
      </c>
      <c r="C111" s="4" t="str">
        <f aca="false">FLOOR(B111,10)&amp;"s"</f>
        <v>1970s</v>
      </c>
      <c r="D111" s="4" t="s">
        <v>2241</v>
      </c>
      <c r="E111" s="25" t="str">
        <f aca="false">IF(G111=1,"✓","")</f>
        <v/>
      </c>
      <c r="F111" s="4" t="n">
        <v>1</v>
      </c>
      <c r="G111" s="4" t="n">
        <f aca="false">IF(COUNTIF('Letterboxd Watched'!$E$2:$E$3000,M111)&gt;0,1,0)</f>
        <v>0</v>
      </c>
      <c r="H111" s="4" t="n">
        <v>2</v>
      </c>
      <c r="I111" s="4" t="s">
        <v>213</v>
      </c>
      <c r="J111" s="4" t="s">
        <v>51</v>
      </c>
      <c r="K111" s="4" t="s">
        <v>4026</v>
      </c>
      <c r="L111" s="48" t="str">
        <f aca="false">HYPERLINK("https://boxd.it/5hJG","open")</f>
        <v>open</v>
      </c>
      <c r="M111" s="4" t="str">
        <f aca="false">LOWER(A111)&amp;"|"&amp;B111</f>
        <v>ankur|1974</v>
      </c>
      <c r="N111" s="4" t="n">
        <v>0</v>
      </c>
      <c r="O111" s="4" t="n">
        <v>0</v>
      </c>
      <c r="P111" s="4" t="n">
        <v>1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</row>
    <row r="112" customFormat="false" ht="15" hidden="false" customHeight="false" outlineLevel="0" collapsed="false">
      <c r="A112" s="4" t="s">
        <v>3208</v>
      </c>
      <c r="B112" s="4" t="n">
        <v>2021</v>
      </c>
      <c r="C112" s="4" t="str">
        <f aca="false">FLOOR(B112,10)&amp;"s"</f>
        <v>2020s</v>
      </c>
      <c r="D112" s="4" t="s">
        <v>1202</v>
      </c>
      <c r="E112" s="25" t="str">
        <f aca="false">IF(G112=1,"✓","")</f>
        <v/>
      </c>
      <c r="F112" s="4" t="n">
        <v>1</v>
      </c>
      <c r="G112" s="4" t="n">
        <f aca="false">IF(COUNTIF('Letterboxd Watched'!$E$2:$E$3000,M112)&gt;0,1,0)</f>
        <v>0</v>
      </c>
      <c r="H112" s="4" t="n">
        <v>2</v>
      </c>
      <c r="I112" s="4" t="s">
        <v>213</v>
      </c>
      <c r="J112" s="4" t="s">
        <v>52</v>
      </c>
      <c r="K112" s="4" t="s">
        <v>4114</v>
      </c>
      <c r="L112" s="48" t="str">
        <f aca="false">HYPERLINK("https://letterboxd.com/search/films/Annette+2021/","open")</f>
        <v>open</v>
      </c>
      <c r="M112" s="4" t="str">
        <f aca="false">LOWER(A112)&amp;"|"&amp;B112</f>
        <v>annette|2021</v>
      </c>
      <c r="N112" s="4" t="n">
        <v>0</v>
      </c>
      <c r="O112" s="4" t="n">
        <v>0</v>
      </c>
      <c r="P112" s="4" t="n">
        <v>0</v>
      </c>
      <c r="Q112" s="4" t="n">
        <v>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</row>
    <row r="113" customFormat="false" ht="15" hidden="false" customHeight="false" outlineLevel="0" collapsed="false">
      <c r="A113" s="4" t="s">
        <v>603</v>
      </c>
      <c r="B113" s="4" t="n">
        <v>1977</v>
      </c>
      <c r="C113" s="4" t="str">
        <f aca="false">FLOOR(B113,10)&amp;"s"</f>
        <v>1970s</v>
      </c>
      <c r="D113" s="4" t="s">
        <v>604</v>
      </c>
      <c r="E113" s="25" t="str">
        <f aca="false">IF(G113=1,"✓","")</f>
        <v>✓</v>
      </c>
      <c r="F113" s="4" t="n">
        <v>3</v>
      </c>
      <c r="G113" s="4" t="n">
        <f aca="false">IF(COUNTIF('Letterboxd Watched'!$E$2:$E$3000,M113)&gt;0,1,0)</f>
        <v>1</v>
      </c>
      <c r="H113" s="4" t="n">
        <v>6</v>
      </c>
      <c r="I113" s="4" t="s">
        <v>213</v>
      </c>
      <c r="J113" s="4" t="s">
        <v>50</v>
      </c>
      <c r="K113" s="4" t="s">
        <v>5185</v>
      </c>
      <c r="L113" s="48" t="str">
        <f aca="false">HYPERLINK("https://boxd.it/29M2","open")</f>
        <v>open</v>
      </c>
      <c r="M113" s="4" t="str">
        <f aca="false">LOWER(A113)&amp;"|"&amp;B113</f>
        <v>annie hall|1977</v>
      </c>
      <c r="N113" s="4" t="n">
        <v>0</v>
      </c>
      <c r="O113" s="4" t="n">
        <v>1</v>
      </c>
      <c r="P113" s="4" t="n">
        <v>0</v>
      </c>
      <c r="Q113" s="4" t="n">
        <v>1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1</v>
      </c>
      <c r="W113" s="4" t="n">
        <v>0</v>
      </c>
    </row>
    <row r="114" customFormat="false" ht="15" hidden="false" customHeight="false" outlineLevel="0" collapsed="false">
      <c r="A114" s="4" t="s">
        <v>1244</v>
      </c>
      <c r="B114" s="4" t="n">
        <v>2018</v>
      </c>
      <c r="C114" s="4" t="str">
        <f aca="false">FLOOR(B114,10)&amp;"s"</f>
        <v>2010s</v>
      </c>
      <c r="D114" s="4" t="s">
        <v>646</v>
      </c>
      <c r="E114" s="25" t="str">
        <f aca="false">IF(G114=1,"✓","")</f>
        <v/>
      </c>
      <c r="F114" s="4" t="n">
        <v>2</v>
      </c>
      <c r="G114" s="4" t="n">
        <f aca="false">IF(COUNTIF('Letterboxd Watched'!$E$2:$E$3000,M114)&gt;0,1,0)</f>
        <v>0</v>
      </c>
      <c r="H114" s="4" t="n">
        <v>4</v>
      </c>
      <c r="I114" s="4" t="s">
        <v>213</v>
      </c>
      <c r="J114" s="4" t="s">
        <v>52</v>
      </c>
      <c r="K114" s="4" t="s">
        <v>5186</v>
      </c>
      <c r="L114" s="48" t="str">
        <f aca="false">HYPERLINK("https://boxd.it/9yzm","open")</f>
        <v>open</v>
      </c>
      <c r="M114" s="4" t="str">
        <f aca="false">LOWER(A114)&amp;"|"&amp;B114</f>
        <v>annihilation|2018</v>
      </c>
      <c r="N114" s="4" t="n">
        <v>0</v>
      </c>
      <c r="O114" s="4" t="n">
        <v>0</v>
      </c>
      <c r="P114" s="4" t="n">
        <v>0</v>
      </c>
      <c r="Q114" s="4" t="n">
        <v>1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1</v>
      </c>
    </row>
    <row r="115" customFormat="false" ht="15" hidden="false" customHeight="false" outlineLevel="0" collapsed="false">
      <c r="A115" s="4" t="s">
        <v>647</v>
      </c>
      <c r="B115" s="4" t="n">
        <v>2015</v>
      </c>
      <c r="C115" s="4" t="str">
        <f aca="false">FLOOR(B115,10)&amp;"s"</f>
        <v>2010s</v>
      </c>
      <c r="D115" s="4" t="s">
        <v>648</v>
      </c>
      <c r="E115" s="25" t="str">
        <f aca="false">IF(G115=1,"✓","")</f>
        <v/>
      </c>
      <c r="F115" s="4" t="n">
        <v>3</v>
      </c>
      <c r="G115" s="4" t="n">
        <f aca="false">IF(COUNTIF('Letterboxd Watched'!$E$2:$E$3000,M115)&gt;0,1,0)</f>
        <v>0</v>
      </c>
      <c r="H115" s="4" t="n">
        <v>6</v>
      </c>
      <c r="I115" s="4" t="s">
        <v>213</v>
      </c>
      <c r="J115" s="4" t="s">
        <v>52</v>
      </c>
      <c r="K115" s="4" t="s">
        <v>5187</v>
      </c>
      <c r="L115" s="48" t="str">
        <f aca="false">HYPERLINK("https://letterboxd.com/search/films/Anomalisa+2015/","open")</f>
        <v>open</v>
      </c>
      <c r="M115" s="4" t="str">
        <f aca="false">LOWER(A115)&amp;"|"&amp;B115</f>
        <v>anomalisa|2015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1</v>
      </c>
    </row>
    <row r="116" customFormat="false" ht="15" hidden="false" customHeight="false" outlineLevel="0" collapsed="false">
      <c r="A116" s="4" t="s">
        <v>3251</v>
      </c>
      <c r="B116" s="4" t="n">
        <v>2024</v>
      </c>
      <c r="C116" s="4" t="str">
        <f aca="false">FLOOR(B116,10)&amp;"s"</f>
        <v>2020s</v>
      </c>
      <c r="D116" s="4" t="s">
        <v>694</v>
      </c>
      <c r="E116" s="25" t="str">
        <f aca="false">IF(G116=1,"✓","")</f>
        <v/>
      </c>
      <c r="F116" s="4" t="n">
        <v>1</v>
      </c>
      <c r="G116" s="4" t="n">
        <f aca="false">IF(COUNTIF('Letterboxd Watched'!$E$2:$E$3000,M116)&gt;0,1,0)</f>
        <v>0</v>
      </c>
      <c r="H116" s="4" t="n">
        <v>2</v>
      </c>
      <c r="I116" s="4" t="s">
        <v>213</v>
      </c>
      <c r="J116" s="4" t="s">
        <v>50</v>
      </c>
      <c r="K116" s="4" t="s">
        <v>3928</v>
      </c>
      <c r="L116" s="48" t="str">
        <f aca="false">HYPERLINK("https://boxd.it/Egcw","open")</f>
        <v>open</v>
      </c>
      <c r="M116" s="4" t="str">
        <f aca="false">LOWER(A116)&amp;"|"&amp;B116</f>
        <v>anora|2024</v>
      </c>
      <c r="N116" s="4" t="n">
        <v>0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</row>
    <row r="117" customFormat="false" ht="15" hidden="false" customHeight="false" outlineLevel="0" collapsed="false">
      <c r="A117" s="4" t="s">
        <v>3188</v>
      </c>
      <c r="B117" s="4" t="n">
        <v>2020</v>
      </c>
      <c r="C117" s="4" t="str">
        <f aca="false">FLOOR(B117,10)&amp;"s"</f>
        <v>2020s</v>
      </c>
      <c r="D117" s="4" t="s">
        <v>843</v>
      </c>
      <c r="E117" s="25" t="str">
        <f aca="false">IF(G117=1,"✓","")</f>
        <v/>
      </c>
      <c r="F117" s="4" t="n">
        <v>1</v>
      </c>
      <c r="G117" s="4" t="n">
        <f aca="false">IF(COUNTIF('Letterboxd Watched'!$E$2:$E$3000,M117)&gt;0,1,0)</f>
        <v>0</v>
      </c>
      <c r="H117" s="4" t="n">
        <v>2</v>
      </c>
      <c r="I117" s="4" t="s">
        <v>213</v>
      </c>
      <c r="J117" s="4" t="s">
        <v>51</v>
      </c>
      <c r="K117" s="4" t="s">
        <v>3988</v>
      </c>
      <c r="L117" s="48" t="str">
        <f aca="false">HYPERLINK("https://boxd.it/lkba","open")</f>
        <v>open</v>
      </c>
      <c r="M117" s="4" t="str">
        <f aca="false">LOWER(A117)&amp;"|"&amp;B117</f>
        <v>another round|2020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</row>
    <row r="118" customFormat="false" ht="15" hidden="false" customHeight="false" outlineLevel="0" collapsed="false">
      <c r="A118" s="4" t="s">
        <v>2941</v>
      </c>
      <c r="B118" s="4" t="n">
        <v>2010</v>
      </c>
      <c r="C118" s="4" t="str">
        <f aca="false">FLOOR(B118,10)&amp;"s"</f>
        <v>2010s</v>
      </c>
      <c r="D118" s="4" t="s">
        <v>1549</v>
      </c>
      <c r="E118" s="25" t="str">
        <f aca="false">IF(G118=1,"✓","")</f>
        <v/>
      </c>
      <c r="F118" s="4" t="n">
        <v>1</v>
      </c>
      <c r="G118" s="4" t="n">
        <f aca="false">IF(COUNTIF('Letterboxd Watched'!$E$2:$E$3000,M118)&gt;0,1,0)</f>
        <v>0</v>
      </c>
      <c r="H118" s="4" t="n">
        <v>2</v>
      </c>
      <c r="I118" s="4" t="s">
        <v>213</v>
      </c>
      <c r="J118" s="4" t="s">
        <v>51</v>
      </c>
      <c r="K118" s="4" t="s">
        <v>3982</v>
      </c>
      <c r="L118" s="48" t="str">
        <f aca="false">HYPERLINK("https://boxd.it/T1C","open")</f>
        <v>open</v>
      </c>
      <c r="M118" s="4" t="str">
        <f aca="false">LOWER(A118)&amp;"|"&amp;B118</f>
        <v>another year|2010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 customFormat="false" ht="15" hidden="false" customHeight="false" outlineLevel="0" collapsed="false">
      <c r="A119" s="4" t="s">
        <v>2138</v>
      </c>
      <c r="B119" s="4" t="n">
        <v>1969</v>
      </c>
      <c r="C119" s="4" t="str">
        <f aca="false">FLOOR(B119,10)&amp;"s"</f>
        <v>1960s</v>
      </c>
      <c r="D119" s="4" t="s">
        <v>464</v>
      </c>
      <c r="E119" s="25" t="str">
        <f aca="false">IF(G119=1,"✓","")</f>
        <v/>
      </c>
      <c r="F119" s="4" t="n">
        <v>1</v>
      </c>
      <c r="G119" s="4" t="n">
        <f aca="false">IF(COUNTIF('Letterboxd Watched'!$E$2:$E$3000,M119)&gt;0,1,0)</f>
        <v>0</v>
      </c>
      <c r="H119" s="4" t="n">
        <v>2</v>
      </c>
      <c r="I119" s="4" t="s">
        <v>213</v>
      </c>
      <c r="J119" s="4" t="s">
        <v>51</v>
      </c>
      <c r="K119" s="4" t="s">
        <v>4006</v>
      </c>
      <c r="L119" s="48" t="str">
        <f aca="false">HYPERLINK("https://boxd.it/2Bcm","open")</f>
        <v>open</v>
      </c>
      <c r="M119" s="4" t="str">
        <f aca="false">LOWER(A119)&amp;"|"&amp;B119</f>
        <v>antonio das mortes|1969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</row>
    <row r="120" customFormat="false" ht="15" hidden="false" customHeight="false" outlineLevel="0" collapsed="false">
      <c r="A120" s="4" t="s">
        <v>749</v>
      </c>
      <c r="B120" s="4" t="n">
        <v>1956</v>
      </c>
      <c r="C120" s="4" t="str">
        <f aca="false">FLOOR(B120,10)&amp;"s"</f>
        <v>1950s</v>
      </c>
      <c r="D120" s="4" t="s">
        <v>253</v>
      </c>
      <c r="E120" s="25" t="str">
        <f aca="false">IF(G120=1,"✓","")</f>
        <v/>
      </c>
      <c r="F120" s="4" t="n">
        <v>2</v>
      </c>
      <c r="G120" s="4" t="n">
        <f aca="false">IF(COUNTIF('Letterboxd Watched'!$E$2:$E$3000,M120)&gt;0,1,0)</f>
        <v>0</v>
      </c>
      <c r="H120" s="4" t="n">
        <v>5</v>
      </c>
      <c r="I120" s="4" t="s">
        <v>144</v>
      </c>
      <c r="J120" s="4" t="s">
        <v>51</v>
      </c>
      <c r="K120" s="4" t="s">
        <v>5188</v>
      </c>
      <c r="L120" s="48" t="str">
        <f aca="false">HYPERLINK("https://boxd.it/29kW","open")</f>
        <v>open</v>
      </c>
      <c r="M120" s="4" t="str">
        <f aca="false">LOWER(A120)&amp;"|"&amp;B120</f>
        <v>aparajito|1956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1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</row>
    <row r="121" customFormat="false" ht="15" hidden="false" customHeight="false" outlineLevel="0" collapsed="false">
      <c r="A121" s="4" t="s">
        <v>199</v>
      </c>
      <c r="B121" s="4" t="n">
        <v>1960</v>
      </c>
      <c r="C121" s="4" t="str">
        <f aca="false">FLOOR(B121,10)&amp;"s"</f>
        <v>1960s</v>
      </c>
      <c r="D121" s="4" t="s">
        <v>200</v>
      </c>
      <c r="E121" s="25" t="str">
        <f aca="false">IF(G121=1,"✓","")</f>
        <v/>
      </c>
      <c r="F121" s="4" t="n">
        <v>7</v>
      </c>
      <c r="G121" s="4" t="n">
        <f aca="false">IF(COUNTIF('Letterboxd Watched'!$E$2:$E$3000,M121)&gt;0,1,0)</f>
        <v>0</v>
      </c>
      <c r="H121" s="4" t="n">
        <v>15</v>
      </c>
      <c r="I121" s="4" t="s">
        <v>144</v>
      </c>
      <c r="J121" s="4" t="s">
        <v>52</v>
      </c>
      <c r="K121" s="4" t="s">
        <v>5189</v>
      </c>
      <c r="L121" s="48" t="str">
        <f aca="false">HYPERLINK("https://boxd.it/2aGE","open")</f>
        <v>open</v>
      </c>
      <c r="M121" s="4" t="str">
        <f aca="false">LOWER(A121)&amp;"|"&amp;B121</f>
        <v>the apartment|1960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1</v>
      </c>
      <c r="S121" s="4" t="n">
        <v>0</v>
      </c>
      <c r="T121" s="4" t="n">
        <v>1</v>
      </c>
      <c r="U121" s="4" t="n">
        <v>1</v>
      </c>
      <c r="V121" s="4" t="n">
        <v>1</v>
      </c>
      <c r="W121" s="4" t="n">
        <v>0</v>
      </c>
    </row>
    <row r="122" customFormat="false" ht="15" hidden="false" customHeight="false" outlineLevel="0" collapsed="false">
      <c r="A122" s="4" t="s">
        <v>201</v>
      </c>
      <c r="B122" s="4" t="n">
        <v>1979</v>
      </c>
      <c r="C122" s="4" t="str">
        <f aca="false">FLOOR(B122,10)&amp;"s"</f>
        <v>1970s</v>
      </c>
      <c r="D122" s="4" t="s">
        <v>172</v>
      </c>
      <c r="E122" s="25" t="str">
        <f aca="false">IF(G122=1,"✓","")</f>
        <v>✓</v>
      </c>
      <c r="F122" s="4" t="n">
        <v>7</v>
      </c>
      <c r="G122" s="4" t="n">
        <f aca="false">IF(COUNTIF('Letterboxd Watched'!$E$2:$E$3000,M122)&gt;0,1,0)</f>
        <v>1</v>
      </c>
      <c r="H122" s="4" t="n">
        <v>15</v>
      </c>
      <c r="I122" s="4" t="s">
        <v>144</v>
      </c>
      <c r="J122" s="4" t="s">
        <v>49</v>
      </c>
      <c r="K122" s="4" t="s">
        <v>5190</v>
      </c>
      <c r="L122" s="48" t="str">
        <f aca="false">HYPERLINK("https://boxd.it/6ZS","open")</f>
        <v>open</v>
      </c>
      <c r="M122" s="4" t="str">
        <f aca="false">LOWER(A122)&amp;"|"&amp;B122</f>
        <v>apocalypse now|1979</v>
      </c>
      <c r="N122" s="4" t="n">
        <v>1</v>
      </c>
      <c r="O122" s="4" t="n">
        <v>1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  <c r="U122" s="4" t="n">
        <v>0</v>
      </c>
      <c r="V122" s="4" t="n">
        <v>1</v>
      </c>
      <c r="W122" s="4" t="n">
        <v>0</v>
      </c>
    </row>
    <row r="123" customFormat="false" ht="15" hidden="false" customHeight="false" outlineLevel="0" collapsed="false">
      <c r="A123" s="4" t="s">
        <v>1114</v>
      </c>
      <c r="B123" s="4" t="n">
        <v>1995</v>
      </c>
      <c r="C123" s="4" t="str">
        <f aca="false">FLOOR(B123,10)&amp;"s"</f>
        <v>1990s</v>
      </c>
      <c r="D123" s="4" t="s">
        <v>1115</v>
      </c>
      <c r="E123" s="25" t="str">
        <f aca="false">IF(G123=1,"✓","")</f>
        <v/>
      </c>
      <c r="F123" s="4" t="n">
        <v>2</v>
      </c>
      <c r="G123" s="4" t="n">
        <f aca="false">IF(COUNTIF('Letterboxd Watched'!$E$2:$E$3000,M123)&gt;0,1,0)</f>
        <v>0</v>
      </c>
      <c r="H123" s="4" t="n">
        <v>4</v>
      </c>
      <c r="I123" s="4" t="s">
        <v>213</v>
      </c>
      <c r="J123" s="4" t="s">
        <v>55</v>
      </c>
      <c r="K123" s="4" t="s">
        <v>5191</v>
      </c>
      <c r="L123" s="48" t="str">
        <f aca="false">HYPERLINK("https://boxd.it/2a6G","open")</f>
        <v>open</v>
      </c>
      <c r="M123" s="4" t="str">
        <f aca="false">LOWER(A123)&amp;"|"&amp;B123</f>
        <v>apollo 13|1995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  <c r="U123" s="4" t="n">
        <v>1</v>
      </c>
      <c r="V123" s="4" t="n">
        <v>0</v>
      </c>
      <c r="W123" s="4" t="n">
        <v>0</v>
      </c>
    </row>
    <row r="124" customFormat="false" ht="15" hidden="false" customHeight="false" outlineLevel="0" collapsed="false">
      <c r="A124" s="4" t="s">
        <v>2679</v>
      </c>
      <c r="B124" s="4" t="n">
        <v>1997</v>
      </c>
      <c r="C124" s="4" t="str">
        <f aca="false">FLOOR(B124,10)&amp;"s"</f>
        <v>1990s</v>
      </c>
      <c r="D124" s="4" t="s">
        <v>2680</v>
      </c>
      <c r="E124" s="25" t="str">
        <f aca="false">IF(G124=1,"✓","")</f>
        <v/>
      </c>
      <c r="F124" s="4" t="n">
        <v>1</v>
      </c>
      <c r="G124" s="4" t="n">
        <f aca="false">IF(COUNTIF('Letterboxd Watched'!$E$2:$E$3000,M124)&gt;0,1,0)</f>
        <v>0</v>
      </c>
      <c r="H124" s="4" t="n">
        <v>2</v>
      </c>
      <c r="I124" s="4" t="s">
        <v>213</v>
      </c>
      <c r="J124" s="4" t="s">
        <v>55</v>
      </c>
      <c r="K124" s="4" t="s">
        <v>4330</v>
      </c>
      <c r="L124" s="48" t="str">
        <f aca="false">HYPERLINK("https://boxd.it/2692","open")</f>
        <v>open</v>
      </c>
      <c r="M124" s="4" t="str">
        <f aca="false">LOWER(A124)&amp;"|"&amp;B124</f>
        <v>the apostle|1997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  <c r="U124" s="4" t="n">
        <v>0</v>
      </c>
      <c r="V124" s="4" t="n">
        <v>0</v>
      </c>
      <c r="W124" s="4" t="n">
        <v>0</v>
      </c>
    </row>
    <row r="125" customFormat="false" ht="15" hidden="false" customHeight="false" outlineLevel="0" collapsed="false">
      <c r="A125" s="4" t="s">
        <v>3140</v>
      </c>
      <c r="B125" s="4" t="n">
        <v>2018</v>
      </c>
      <c r="C125" s="4" t="str">
        <f aca="false">FLOOR(B125,10)&amp;"s"</f>
        <v>2010s</v>
      </c>
      <c r="D125" s="4" t="s">
        <v>1613</v>
      </c>
      <c r="E125" s="25" t="str">
        <f aca="false">IF(G125=1,"✓","")</f>
        <v/>
      </c>
      <c r="F125" s="4" t="n">
        <v>1</v>
      </c>
      <c r="G125" s="4" t="n">
        <f aca="false">IF(COUNTIF('Letterboxd Watched'!$E$2:$E$3000,M125)&gt;0,1,0)</f>
        <v>0</v>
      </c>
      <c r="H125" s="4" t="n">
        <v>2</v>
      </c>
      <c r="I125" s="4" t="s">
        <v>213</v>
      </c>
      <c r="J125" s="4" t="s">
        <v>52</v>
      </c>
      <c r="K125" s="4" t="s">
        <v>4064</v>
      </c>
      <c r="L125" s="48" t="str">
        <f aca="false">HYPERLINK("https://boxd.it/f0so","open")</f>
        <v>open</v>
      </c>
      <c r="M125" s="4" t="str">
        <f aca="false">LOWER(A125)&amp;"|"&amp;B125</f>
        <v>apostle|2018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</row>
    <row r="126" customFormat="false" ht="15" hidden="false" customHeight="false" outlineLevel="0" collapsed="false">
      <c r="A126" s="4" t="s">
        <v>1701</v>
      </c>
      <c r="B126" s="4" t="n">
        <v>1929</v>
      </c>
      <c r="C126" s="4" t="str">
        <f aca="false">FLOOR(B126,10)&amp;"s"</f>
        <v>1920s</v>
      </c>
      <c r="D126" s="4" t="s">
        <v>1304</v>
      </c>
      <c r="E126" s="25" t="str">
        <f aca="false">IF(G126=1,"✓","")</f>
        <v/>
      </c>
      <c r="F126" s="4" t="n">
        <v>1</v>
      </c>
      <c r="G126" s="4" t="n">
        <f aca="false">IF(COUNTIF('Letterboxd Watched'!$E$2:$E$3000,M126)&gt;0,1,0)</f>
        <v>0</v>
      </c>
      <c r="H126" s="4" t="n">
        <v>2</v>
      </c>
      <c r="I126" s="4" t="s">
        <v>213</v>
      </c>
      <c r="J126" s="4" t="s">
        <v>50</v>
      </c>
      <c r="K126" s="4" t="s">
        <v>3906</v>
      </c>
      <c r="L126" s="48" t="str">
        <f aca="false">HYPERLINK("https://letterboxd.com/search/films/Applause+1929/","open")</f>
        <v>open</v>
      </c>
      <c r="M126" s="4" t="str">
        <f aca="false">LOWER(A126)&amp;"|"&amp;B126</f>
        <v>applause|1929</v>
      </c>
      <c r="N126" s="4" t="n">
        <v>0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</row>
    <row r="127" customFormat="false" ht="15" hidden="false" customHeight="false" outlineLevel="0" collapsed="false">
      <c r="A127" s="4" t="s">
        <v>3831</v>
      </c>
      <c r="B127" s="4" t="n">
        <v>2016</v>
      </c>
      <c r="C127" s="4" t="str">
        <f aca="false">FLOOR(B127,10)&amp;"s"</f>
        <v>2010s</v>
      </c>
      <c r="D127" s="4" t="s">
        <v>3832</v>
      </c>
      <c r="E127" s="25" t="str">
        <f aca="false">IF(G127=1,"✓","")</f>
        <v/>
      </c>
      <c r="F127" s="4" t="n">
        <v>1</v>
      </c>
      <c r="G127" s="4" t="n">
        <f aca="false">IF(COUNTIF('Letterboxd Watched'!$E$2:$E$3000,M127)&gt;0,1,0)</f>
        <v>0</v>
      </c>
      <c r="H127" s="4" t="n">
        <v>1</v>
      </c>
      <c r="I127" s="4" t="s">
        <v>1327</v>
      </c>
      <c r="J127" s="4" t="s">
        <v>51</v>
      </c>
      <c r="K127" s="4" t="s">
        <v>4006</v>
      </c>
      <c r="L127" s="48" t="str">
        <f aca="false">HYPERLINK("https://letterboxd.com/search/films/Aquarius+2016/","open")</f>
        <v>open</v>
      </c>
      <c r="M127" s="4" t="str">
        <f aca="false">LOWER(A127)&amp;"|"&amp;B127</f>
        <v>aquarius|2016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</row>
    <row r="128" customFormat="false" ht="15" hidden="false" customHeight="false" outlineLevel="0" collapsed="false">
      <c r="A128" s="4" t="s">
        <v>1368</v>
      </c>
      <c r="B128" s="4" t="n">
        <v>1983</v>
      </c>
      <c r="C128" s="4" t="str">
        <f aca="false">FLOOR(B128,10)&amp;"s"</f>
        <v>1980s</v>
      </c>
      <c r="D128" s="4" t="s">
        <v>215</v>
      </c>
      <c r="E128" s="25" t="str">
        <f aca="false">IF(G128=1,"✓","")</f>
        <v/>
      </c>
      <c r="F128" s="4" t="n">
        <v>2</v>
      </c>
      <c r="G128" s="4" t="n">
        <f aca="false">IF(COUNTIF('Letterboxd Watched'!$E$2:$E$3000,M128)&gt;0,1,0)</f>
        <v>0</v>
      </c>
      <c r="H128" s="4" t="n">
        <v>3</v>
      </c>
      <c r="I128" s="4" t="s">
        <v>213</v>
      </c>
      <c r="J128" s="4" t="s">
        <v>53</v>
      </c>
      <c r="K128" s="4" t="s">
        <v>5192</v>
      </c>
      <c r="L128" s="48" t="str">
        <f aca="false">HYPERLINK("https://boxd.it/XIg","open")</f>
        <v>open</v>
      </c>
      <c r="M128" s="4" t="str">
        <f aca="false">LOWER(A128)&amp;"|"&amp;B128</f>
        <v>l'argent|1983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1</v>
      </c>
      <c r="U128" s="4" t="n">
        <v>0</v>
      </c>
      <c r="V128" s="4" t="n">
        <v>0</v>
      </c>
      <c r="W128" s="4" t="n">
        <v>0</v>
      </c>
    </row>
    <row r="129" customFormat="false" ht="15" hidden="false" customHeight="false" outlineLevel="0" collapsed="false">
      <c r="A129" s="4" t="s">
        <v>2477</v>
      </c>
      <c r="B129" s="4" t="n">
        <v>1988</v>
      </c>
      <c r="C129" s="4" t="str">
        <f aca="false">FLOOR(B129,10)&amp;"s"</f>
        <v>1980s</v>
      </c>
      <c r="D129" s="4" t="s">
        <v>1155</v>
      </c>
      <c r="E129" s="25" t="str">
        <f aca="false">IF(G129=1,"✓","")</f>
        <v/>
      </c>
      <c r="F129" s="4" t="n">
        <v>1</v>
      </c>
      <c r="G129" s="4" t="n">
        <f aca="false">IF(COUNTIF('Letterboxd Watched'!$E$2:$E$3000,M129)&gt;0,1,0)</f>
        <v>0</v>
      </c>
      <c r="H129" s="4" t="n">
        <v>2</v>
      </c>
      <c r="I129" s="4" t="s">
        <v>213</v>
      </c>
      <c r="J129" s="4" t="s">
        <v>53</v>
      </c>
      <c r="K129" s="4" t="s">
        <v>4240</v>
      </c>
      <c r="L129" s="48" t="str">
        <f aca="false">HYPERLINK("https://letterboxd.com/search/films/Ariel+1988/","open")</f>
        <v>open</v>
      </c>
      <c r="M129" s="4" t="str">
        <f aca="false">LOWER(A129)&amp;"|"&amp;B129</f>
        <v>ariel|1988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1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</row>
    <row r="130" customFormat="false" ht="15" hidden="false" customHeight="false" outlineLevel="0" collapsed="false">
      <c r="A130" s="4" t="s">
        <v>590</v>
      </c>
      <c r="B130" s="4" t="n">
        <v>1969</v>
      </c>
      <c r="C130" s="4" t="str">
        <f aca="false">FLOOR(B130,10)&amp;"s"</f>
        <v>1960s</v>
      </c>
      <c r="D130" s="4" t="s">
        <v>290</v>
      </c>
      <c r="E130" s="25" t="str">
        <f aca="false">IF(G130=1,"✓","")</f>
        <v/>
      </c>
      <c r="F130" s="4" t="n">
        <v>3</v>
      </c>
      <c r="G130" s="4" t="n">
        <f aca="false">IF(COUNTIF('Letterboxd Watched'!$E$2:$E$3000,M130)&gt;0,1,0)</f>
        <v>0</v>
      </c>
      <c r="H130" s="4" t="n">
        <v>6</v>
      </c>
      <c r="I130" s="4" t="s">
        <v>213</v>
      </c>
      <c r="J130" s="4" t="s">
        <v>51</v>
      </c>
      <c r="K130" s="4" t="s">
        <v>5193</v>
      </c>
      <c r="L130" s="48" t="str">
        <f aca="false">HYPERLINK("https://boxd.it/1Mli","open")</f>
        <v>open</v>
      </c>
      <c r="M130" s="4" t="str">
        <f aca="false">LOWER(A130)&amp;"|"&amp;B130</f>
        <v>army of shadows|1969</v>
      </c>
      <c r="N130" s="4" t="n">
        <v>0</v>
      </c>
      <c r="O130" s="4" t="n">
        <v>0</v>
      </c>
      <c r="P130" s="4" t="n">
        <v>1</v>
      </c>
      <c r="Q130" s="4" t="n">
        <v>1</v>
      </c>
      <c r="R130" s="4" t="n">
        <v>1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</row>
    <row r="131" customFormat="false" ht="15" hidden="false" customHeight="false" outlineLevel="0" collapsed="false">
      <c r="A131" s="4" t="s">
        <v>326</v>
      </c>
      <c r="B131" s="4" t="n">
        <v>2016</v>
      </c>
      <c r="C131" s="4" t="str">
        <f aca="false">FLOOR(B131,10)&amp;"s"</f>
        <v>2010s</v>
      </c>
      <c r="D131" s="4" t="s">
        <v>327</v>
      </c>
      <c r="E131" s="25" t="str">
        <f aca="false">IF(G131=1,"✓","")</f>
        <v>✓</v>
      </c>
      <c r="F131" s="4" t="n">
        <v>4</v>
      </c>
      <c r="G131" s="4" t="n">
        <f aca="false">IF(COUNTIF('Letterboxd Watched'!$E$2:$E$3000,M131)&gt;0,1,0)</f>
        <v>1</v>
      </c>
      <c r="H131" s="4" t="n">
        <v>10</v>
      </c>
      <c r="I131" s="4" t="s">
        <v>144</v>
      </c>
      <c r="J131" s="4" t="s">
        <v>52</v>
      </c>
      <c r="K131" s="4" t="s">
        <v>5194</v>
      </c>
      <c r="L131" s="48" t="str">
        <f aca="false">HYPERLINK("https://boxd.it/aNGk","open")</f>
        <v>open</v>
      </c>
      <c r="M131" s="4" t="str">
        <f aca="false">LOWER(A131)&amp;"|"&amp;B131</f>
        <v>arrival|2016</v>
      </c>
      <c r="N131" s="4" t="n">
        <v>0</v>
      </c>
      <c r="O131" s="4" t="n">
        <v>0</v>
      </c>
      <c r="P131" s="4" t="n">
        <v>0</v>
      </c>
      <c r="Q131" s="4" t="n">
        <v>1</v>
      </c>
      <c r="R131" s="4" t="n">
        <v>1</v>
      </c>
      <c r="S131" s="4" t="n">
        <v>0</v>
      </c>
      <c r="T131" s="4" t="n">
        <v>1</v>
      </c>
      <c r="U131" s="4" t="n">
        <v>0</v>
      </c>
      <c r="V131" s="4" t="n">
        <v>0</v>
      </c>
      <c r="W131" s="4" t="n">
        <v>1</v>
      </c>
    </row>
    <row r="132" customFormat="false" ht="15" hidden="false" customHeight="false" outlineLevel="0" collapsed="false">
      <c r="A132" s="4" t="s">
        <v>1427</v>
      </c>
      <c r="B132" s="4" t="n">
        <v>1896</v>
      </c>
      <c r="C132" s="4" t="str">
        <f aca="false">FLOOR(B132,10)&amp;"s"</f>
        <v>1890s</v>
      </c>
      <c r="D132" s="4" t="s">
        <v>1428</v>
      </c>
      <c r="E132" s="25" t="str">
        <f aca="false">IF(G132=1,"✓","")</f>
        <v>✓</v>
      </c>
      <c r="F132" s="4" t="n">
        <v>1</v>
      </c>
      <c r="G132" s="4" t="n">
        <f aca="false">IF(COUNTIF('Letterboxd Watched'!$E$2:$E$3000,M132)&gt;0,1,0)</f>
        <v>1</v>
      </c>
      <c r="H132" s="4" t="n">
        <v>3</v>
      </c>
      <c r="I132" s="4" t="s">
        <v>144</v>
      </c>
      <c r="J132" s="4" t="s">
        <v>50</v>
      </c>
      <c r="K132" s="4" t="s">
        <v>3892</v>
      </c>
      <c r="L132" s="48" t="str">
        <f aca="false">HYPERLINK("https://boxd.it/2aZw","open")</f>
        <v>open</v>
      </c>
      <c r="M132" s="4" t="str">
        <f aca="false">LOWER(A132)&amp;"|"&amp;B132</f>
        <v>the arrival of a train at la ciotat|1896</v>
      </c>
      <c r="N132" s="4" t="n">
        <v>0</v>
      </c>
      <c r="O132" s="4" t="n">
        <v>1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</row>
    <row r="133" customFormat="false" ht="15" hidden="false" customHeight="false" outlineLevel="0" collapsed="false">
      <c r="A133" s="4" t="s">
        <v>3303</v>
      </c>
      <c r="B133" s="4" t="n">
        <v>1929</v>
      </c>
      <c r="C133" s="4" t="str">
        <f aca="false">FLOOR(B133,10)&amp;"s"</f>
        <v>1920s</v>
      </c>
      <c r="D133" s="4" t="s">
        <v>1708</v>
      </c>
      <c r="E133" s="25" t="str">
        <f aca="false">IF(G133=1,"✓","")</f>
        <v/>
      </c>
      <c r="F133" s="4" t="n">
        <v>1</v>
      </c>
      <c r="G133" s="4" t="n">
        <f aca="false">IF(COUNTIF('Letterboxd Watched'!$E$2:$E$3000,M133)&gt;0,1,0)</f>
        <v>0</v>
      </c>
      <c r="H133" s="4" t="n">
        <v>1</v>
      </c>
      <c r="I133" s="4" t="s">
        <v>1327</v>
      </c>
      <c r="J133" s="4" t="s">
        <v>50</v>
      </c>
      <c r="K133" s="4" t="s">
        <v>3900</v>
      </c>
      <c r="L133" s="48" t="str">
        <f aca="false">HYPERLINK("https://letterboxd.com/search/films/Arsenal+1929/","open")</f>
        <v>open</v>
      </c>
      <c r="M133" s="4" t="str">
        <f aca="false">LOWER(A133)&amp;"|"&amp;B133</f>
        <v>arsenal|1929</v>
      </c>
      <c r="N133" s="4" t="n">
        <v>0</v>
      </c>
      <c r="O133" s="4" t="n">
        <v>1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</row>
    <row r="134" customFormat="false" ht="15" hidden="false" customHeight="false" outlineLevel="0" collapsed="false">
      <c r="A134" s="4" t="s">
        <v>2478</v>
      </c>
      <c r="B134" s="4" t="n">
        <v>1988</v>
      </c>
      <c r="C134" s="4" t="str">
        <f aca="false">FLOOR(B134,10)&amp;"s"</f>
        <v>1980s</v>
      </c>
      <c r="D134" s="4" t="s">
        <v>193</v>
      </c>
      <c r="E134" s="25" t="str">
        <f aca="false">IF(G134=1,"✓","")</f>
        <v/>
      </c>
      <c r="F134" s="4" t="n">
        <v>1</v>
      </c>
      <c r="G134" s="4" t="n">
        <f aca="false">IF(COUNTIF('Letterboxd Watched'!$E$2:$E$3000,M134)&gt;0,1,0)</f>
        <v>0</v>
      </c>
      <c r="H134" s="4" t="n">
        <v>2</v>
      </c>
      <c r="I134" s="4" t="s">
        <v>213</v>
      </c>
      <c r="J134" s="4" t="s">
        <v>53</v>
      </c>
      <c r="K134" s="4" t="s">
        <v>193</v>
      </c>
      <c r="L134" s="48" t="str">
        <f aca="false">HYPERLINK("https://boxd.it/1ybI","open")</f>
        <v>open</v>
      </c>
      <c r="M134" s="4" t="str">
        <f aca="false">LOWER(A134)&amp;"|"&amp;B134</f>
        <v>as tears go by|1988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1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</row>
    <row r="135" customFormat="false" ht="15" hidden="false" customHeight="false" outlineLevel="0" collapsed="false">
      <c r="A135" s="4" t="s">
        <v>1034</v>
      </c>
      <c r="B135" s="4" t="n">
        <v>1977</v>
      </c>
      <c r="C135" s="4" t="str">
        <f aca="false">FLOOR(B135,10)&amp;"s"</f>
        <v>1970s</v>
      </c>
      <c r="D135" s="4" t="s">
        <v>1035</v>
      </c>
      <c r="E135" s="25" t="str">
        <f aca="false">IF(G135=1,"✓","")</f>
        <v/>
      </c>
      <c r="F135" s="4" t="n">
        <v>2</v>
      </c>
      <c r="G135" s="4" t="n">
        <f aca="false">IF(COUNTIF('Letterboxd Watched'!$E$2:$E$3000,M135)&gt;0,1,0)</f>
        <v>0</v>
      </c>
      <c r="H135" s="4" t="n">
        <v>4</v>
      </c>
      <c r="I135" s="4" t="s">
        <v>213</v>
      </c>
      <c r="J135" s="4" t="s">
        <v>51</v>
      </c>
      <c r="K135" s="4" t="s">
        <v>5195</v>
      </c>
      <c r="L135" s="48" t="str">
        <f aca="false">HYPERLINK("https://boxd.it/Eew","open")</f>
        <v>open</v>
      </c>
      <c r="M135" s="4" t="str">
        <f aca="false">LOWER(A135)&amp;"|"&amp;B135</f>
        <v>the ascent|1977</v>
      </c>
      <c r="N135" s="4" t="n">
        <v>0</v>
      </c>
      <c r="O135" s="4" t="n">
        <v>0</v>
      </c>
      <c r="P135" s="4" t="n">
        <v>1</v>
      </c>
      <c r="Q135" s="4" t="n">
        <v>0</v>
      </c>
      <c r="R135" s="4" t="n">
        <v>0</v>
      </c>
      <c r="S135" s="4" t="n">
        <v>1</v>
      </c>
      <c r="T135" s="4" t="n">
        <v>0</v>
      </c>
      <c r="U135" s="4" t="n">
        <v>0</v>
      </c>
      <c r="V135" s="4" t="n">
        <v>0</v>
      </c>
      <c r="W135" s="4" t="n">
        <v>0</v>
      </c>
    </row>
    <row r="136" customFormat="false" ht="15" hidden="false" customHeight="false" outlineLevel="0" collapsed="false">
      <c r="A136" s="4" t="s">
        <v>3848</v>
      </c>
      <c r="B136" s="4" t="n">
        <v>2018</v>
      </c>
      <c r="C136" s="4" t="str">
        <f aca="false">FLOOR(B136,10)&amp;"s"</f>
        <v>2010s</v>
      </c>
      <c r="D136" s="4" t="s">
        <v>859</v>
      </c>
      <c r="E136" s="25" t="str">
        <f aca="false">IF(G136=1,"✓","")</f>
        <v/>
      </c>
      <c r="F136" s="4" t="n">
        <v>1</v>
      </c>
      <c r="G136" s="4" t="n">
        <f aca="false">IF(COUNTIF('Letterboxd Watched'!$E$2:$E$3000,M136)&gt;0,1,0)</f>
        <v>0</v>
      </c>
      <c r="H136" s="4" t="n">
        <v>1</v>
      </c>
      <c r="I136" s="4" t="s">
        <v>1327</v>
      </c>
      <c r="J136" s="4" t="s">
        <v>53</v>
      </c>
      <c r="K136" s="4" t="s">
        <v>4258</v>
      </c>
      <c r="L136" s="48" t="str">
        <f aca="false">HYPERLINK("https://letterboxd.com/search/films/Ash+Is+Purest+White+2018/","open")</f>
        <v>open</v>
      </c>
      <c r="M136" s="4" t="str">
        <f aca="false">LOWER(A136)&amp;"|"&amp;B136</f>
        <v>ash is purest white|2018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 customFormat="false" ht="15" hidden="false" customHeight="false" outlineLevel="0" collapsed="false">
      <c r="A137" s="4" t="s">
        <v>752</v>
      </c>
      <c r="B137" s="4" t="n">
        <v>1958</v>
      </c>
      <c r="C137" s="4" t="str">
        <f aca="false">FLOOR(B137,10)&amp;"s"</f>
        <v>1950s</v>
      </c>
      <c r="D137" s="4" t="s">
        <v>753</v>
      </c>
      <c r="E137" s="25" t="str">
        <f aca="false">IF(G137=1,"✓","")</f>
        <v/>
      </c>
      <c r="F137" s="4" t="n">
        <v>2</v>
      </c>
      <c r="G137" s="4" t="n">
        <f aca="false">IF(COUNTIF('Letterboxd Watched'!$E$2:$E$3000,M137)&gt;0,1,0)</f>
        <v>0</v>
      </c>
      <c r="H137" s="4" t="n">
        <v>5</v>
      </c>
      <c r="I137" s="4" t="s">
        <v>144</v>
      </c>
      <c r="J137" s="4" t="s">
        <v>50</v>
      </c>
      <c r="K137" s="4" t="s">
        <v>5196</v>
      </c>
      <c r="L137" s="48" t="str">
        <f aca="false">HYPERLINK("https://boxd.it/23q0","open")</f>
        <v>open</v>
      </c>
      <c r="M137" s="4" t="str">
        <f aca="false">LOWER(A137)&amp;"|"&amp;B137</f>
        <v>ashes and diamonds|1958</v>
      </c>
      <c r="N137" s="4" t="n">
        <v>0</v>
      </c>
      <c r="O137" s="4" t="n">
        <v>1</v>
      </c>
      <c r="P137" s="4" t="n">
        <v>1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</row>
    <row r="138" customFormat="false" ht="15" hidden="false" customHeight="false" outlineLevel="0" collapsed="false">
      <c r="A138" s="4" t="s">
        <v>2368</v>
      </c>
      <c r="B138" s="4" t="n">
        <v>1982</v>
      </c>
      <c r="C138" s="4" t="str">
        <f aca="false">FLOOR(B138,10)&amp;"s"</f>
        <v>1980s</v>
      </c>
      <c r="D138" s="4" t="s">
        <v>2273</v>
      </c>
      <c r="E138" s="25" t="str">
        <f aca="false">IF(G138=1,"✓","")</f>
        <v/>
      </c>
      <c r="F138" s="4" t="n">
        <v>1</v>
      </c>
      <c r="G138" s="4" t="n">
        <f aca="false">IF(COUNTIF('Letterboxd Watched'!$E$2:$E$3000,M138)&gt;0,1,0)</f>
        <v>0</v>
      </c>
      <c r="H138" s="4" t="n">
        <v>2</v>
      </c>
      <c r="I138" s="4" t="s">
        <v>213</v>
      </c>
      <c r="J138" s="4" t="s">
        <v>54</v>
      </c>
      <c r="K138" s="4" t="s">
        <v>4286</v>
      </c>
      <c r="L138" s="48" t="str">
        <f aca="false">HYPERLINK("https://letterboxd.com/search/films/Ashes+Embers+1982/","open")</f>
        <v>open</v>
      </c>
      <c r="M138" s="4" t="str">
        <f aca="false">LOWER(A138)&amp;"|"&amp;B138</f>
        <v>ashes &amp; embers|1982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1</v>
      </c>
      <c r="T138" s="4" t="n">
        <v>0</v>
      </c>
      <c r="U138" s="4" t="n">
        <v>0</v>
      </c>
      <c r="V138" s="4" t="n">
        <v>0</v>
      </c>
      <c r="W138" s="4" t="n">
        <v>0</v>
      </c>
    </row>
    <row r="139" customFormat="false" ht="15" hidden="false" customHeight="false" outlineLevel="0" collapsed="false">
      <c r="A139" s="4" t="s">
        <v>1106</v>
      </c>
      <c r="B139" s="4" t="n">
        <v>1994</v>
      </c>
      <c r="C139" s="4" t="str">
        <f aca="false">FLOOR(B139,10)&amp;"s"</f>
        <v>1990s</v>
      </c>
      <c r="D139" s="4" t="s">
        <v>193</v>
      </c>
      <c r="E139" s="25" t="str">
        <f aca="false">IF(G139=1,"✓","")</f>
        <v/>
      </c>
      <c r="F139" s="4" t="n">
        <v>2</v>
      </c>
      <c r="G139" s="4" t="n">
        <f aca="false">IF(COUNTIF('Letterboxd Watched'!$E$2:$E$3000,M139)&gt;0,1,0)</f>
        <v>0</v>
      </c>
      <c r="H139" s="4" t="n">
        <v>4</v>
      </c>
      <c r="I139" s="4" t="s">
        <v>213</v>
      </c>
      <c r="J139" s="4" t="s">
        <v>51</v>
      </c>
      <c r="K139" s="4" t="s">
        <v>5197</v>
      </c>
      <c r="L139" s="48" t="str">
        <f aca="false">HYPERLINK("https://boxd.it/111K","open")</f>
        <v>open</v>
      </c>
      <c r="M139" s="4" t="str">
        <f aca="false">LOWER(A139)&amp;"|"&amp;B139</f>
        <v>ashes of time|1994</v>
      </c>
      <c r="N139" s="4" t="n">
        <v>0</v>
      </c>
      <c r="O139" s="4" t="n">
        <v>0</v>
      </c>
      <c r="P139" s="4" t="n">
        <v>1</v>
      </c>
      <c r="Q139" s="4" t="n">
        <v>0</v>
      </c>
      <c r="R139" s="4" t="n">
        <v>1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 customFormat="false" ht="15" hidden="false" customHeight="false" outlineLevel="0" collapsed="false">
      <c r="A140" s="4" t="s">
        <v>1274</v>
      </c>
      <c r="B140" s="4" t="n">
        <v>1950</v>
      </c>
      <c r="C140" s="4" t="str">
        <f aca="false">FLOOR(B140,10)&amp;"s"</f>
        <v>1950s</v>
      </c>
      <c r="D140" s="4" t="s">
        <v>283</v>
      </c>
      <c r="E140" s="25" t="str">
        <f aca="false">IF(G140=1,"✓","")</f>
        <v/>
      </c>
      <c r="F140" s="4" t="n">
        <v>2</v>
      </c>
      <c r="G140" s="4" t="n">
        <f aca="false">IF(COUNTIF('Letterboxd Watched'!$E$2:$E$3000,M140)&gt;0,1,0)</f>
        <v>0</v>
      </c>
      <c r="H140" s="4" t="n">
        <v>4</v>
      </c>
      <c r="I140" s="4" t="s">
        <v>213</v>
      </c>
      <c r="J140" s="4" t="s">
        <v>52</v>
      </c>
      <c r="K140" s="4" t="s">
        <v>5198</v>
      </c>
      <c r="L140" s="48" t="str">
        <f aca="false">HYPERLINK("https://boxd.it/1Jrs","open")</f>
        <v>open</v>
      </c>
      <c r="M140" s="4" t="str">
        <f aca="false">LOWER(A140)&amp;"|"&amp;B140</f>
        <v>the asphalt jungle|1950</v>
      </c>
      <c r="N140" s="4" t="n">
        <v>0</v>
      </c>
      <c r="O140" s="4" t="n">
        <v>0</v>
      </c>
      <c r="P140" s="4" t="n">
        <v>0</v>
      </c>
      <c r="Q140" s="4" t="n">
        <v>1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 customFormat="false" ht="15" hidden="false" customHeight="false" outlineLevel="0" collapsed="false">
      <c r="A141" s="4" t="s">
        <v>3070</v>
      </c>
      <c r="B141" s="4" t="n">
        <v>2015</v>
      </c>
      <c r="C141" s="4" t="str">
        <f aca="false">FLOOR(B141,10)&amp;"s"</f>
        <v>2010s</v>
      </c>
      <c r="D141" s="4" t="s">
        <v>492</v>
      </c>
      <c r="E141" s="25" t="str">
        <f aca="false">IF(G141=1,"✓","")</f>
        <v/>
      </c>
      <c r="F141" s="4" t="n">
        <v>1</v>
      </c>
      <c r="G141" s="4" t="n">
        <f aca="false">IF(COUNTIF('Letterboxd Watched'!$E$2:$E$3000,M141)&gt;0,1,0)</f>
        <v>0</v>
      </c>
      <c r="H141" s="4" t="n">
        <v>2</v>
      </c>
      <c r="I141" s="4" t="s">
        <v>213</v>
      </c>
      <c r="J141" s="4" t="s">
        <v>51</v>
      </c>
      <c r="K141" s="4" t="s">
        <v>4014</v>
      </c>
      <c r="L141" s="48" t="str">
        <f aca="false">HYPERLINK("https://boxd.it/7rdE","open")</f>
        <v>open</v>
      </c>
      <c r="M141" s="4" t="str">
        <f aca="false">LOWER(A141)&amp;"|"&amp;B141</f>
        <v>the assassin|2015</v>
      </c>
      <c r="N141" s="4" t="n">
        <v>0</v>
      </c>
      <c r="O141" s="4" t="n">
        <v>0</v>
      </c>
      <c r="P141" s="4" t="n">
        <v>1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</row>
    <row r="142" customFormat="false" ht="15" hidden="false" customHeight="false" outlineLevel="0" collapsed="false">
      <c r="A142" s="4" t="s">
        <v>1402</v>
      </c>
      <c r="B142" s="4" t="n">
        <v>2007</v>
      </c>
      <c r="C142" s="4" t="str">
        <f aca="false">FLOOR(B142,10)&amp;"s"</f>
        <v>2000s</v>
      </c>
      <c r="D142" s="4" t="s">
        <v>1403</v>
      </c>
      <c r="E142" s="25" t="str">
        <f aca="false">IF(G142=1,"✓","")</f>
        <v/>
      </c>
      <c r="F142" s="4" t="n">
        <v>2</v>
      </c>
      <c r="G142" s="4" t="n">
        <f aca="false">IF(COUNTIF('Letterboxd Watched'!$E$2:$E$3000,M142)&gt;0,1,0)</f>
        <v>0</v>
      </c>
      <c r="H142" s="4" t="n">
        <v>3</v>
      </c>
      <c r="I142" s="4" t="s">
        <v>213</v>
      </c>
      <c r="J142" s="4" t="s">
        <v>49</v>
      </c>
      <c r="K142" s="4" t="s">
        <v>5199</v>
      </c>
      <c r="L142" s="48" t="str">
        <f aca="false">HYPERLINK("https://boxd.it/24dG","open")</f>
        <v>open</v>
      </c>
      <c r="M142" s="4" t="str">
        <f aca="false">LOWER(A142)&amp;"|"&amp;B142</f>
        <v>the assassination of jesse james by the coward robert ford|2007</v>
      </c>
      <c r="N142" s="4" t="n">
        <v>1</v>
      </c>
      <c r="O142" s="4" t="n">
        <v>0</v>
      </c>
      <c r="P142" s="4" t="n">
        <v>0</v>
      </c>
      <c r="Q142" s="4" t="n">
        <v>1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</row>
    <row r="143" customFormat="false" ht="15" hidden="false" customHeight="false" outlineLevel="0" collapsed="false">
      <c r="A143" s="4" t="s">
        <v>2289</v>
      </c>
      <c r="B143" s="4" t="n">
        <v>1976</v>
      </c>
      <c r="C143" s="4" t="str">
        <f aca="false">FLOOR(B143,10)&amp;"s"</f>
        <v>1970s</v>
      </c>
      <c r="D143" s="4" t="s">
        <v>266</v>
      </c>
      <c r="E143" s="25" t="str">
        <f aca="false">IF(G143=1,"✓","")</f>
        <v>✓</v>
      </c>
      <c r="F143" s="4" t="n">
        <v>1</v>
      </c>
      <c r="G143" s="4" t="n">
        <f aca="false">IF(COUNTIF('Letterboxd Watched'!$E$2:$E$3000,M143)&gt;0,1,0)</f>
        <v>1</v>
      </c>
      <c r="H143" s="4" t="n">
        <v>2</v>
      </c>
      <c r="I143" s="4" t="s">
        <v>213</v>
      </c>
      <c r="J143" s="4" t="s">
        <v>53</v>
      </c>
      <c r="K143" s="4" t="s">
        <v>266</v>
      </c>
      <c r="L143" s="48" t="str">
        <f aca="false">HYPERLINK("https://boxd.it/1I2c","open")</f>
        <v>open</v>
      </c>
      <c r="M143" s="4" t="str">
        <f aca="false">LOWER(A143)&amp;"|"&amp;B143</f>
        <v>assault on precinct 13|1976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</row>
    <row r="144" customFormat="false" ht="15" hidden="false" customHeight="false" outlineLevel="0" collapsed="false">
      <c r="A144" s="4" t="s">
        <v>3238</v>
      </c>
      <c r="B144" s="4" t="n">
        <v>2023</v>
      </c>
      <c r="C144" s="4" t="str">
        <f aca="false">FLOOR(B144,10)&amp;"s"</f>
        <v>2020s</v>
      </c>
      <c r="D144" s="4" t="s">
        <v>274</v>
      </c>
      <c r="E144" s="25" t="str">
        <f aca="false">IF(G144=1,"✓","")</f>
        <v>✓</v>
      </c>
      <c r="F144" s="4" t="n">
        <v>1</v>
      </c>
      <c r="G144" s="4" t="n">
        <f aca="false">IF(COUNTIF('Letterboxd Watched'!$E$2:$E$3000,M144)&gt;0,1,0)</f>
        <v>1</v>
      </c>
      <c r="H144" s="4" t="n">
        <v>2</v>
      </c>
      <c r="I144" s="4" t="s">
        <v>213</v>
      </c>
      <c r="J144" s="4" t="s">
        <v>53</v>
      </c>
      <c r="K144" s="4" t="s">
        <v>274</v>
      </c>
      <c r="L144" s="48" t="str">
        <f aca="false">HYPERLINK("https://boxd.it/s3ds","open")</f>
        <v>open</v>
      </c>
      <c r="M144" s="4" t="str">
        <f aca="false">LOWER(A144)&amp;"|"&amp;B144</f>
        <v>asteroid city|2023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</row>
    <row r="145" customFormat="false" ht="15" hidden="false" customHeight="false" outlineLevel="0" collapsed="false">
      <c r="A145" s="4" t="s">
        <v>731</v>
      </c>
      <c r="B145" s="4" t="n">
        <v>1934</v>
      </c>
      <c r="C145" s="4" t="str">
        <f aca="false">FLOOR(B145,10)&amp;"s"</f>
        <v>1930s</v>
      </c>
      <c r="D145" s="4" t="s">
        <v>732</v>
      </c>
      <c r="E145" s="25" t="str">
        <f aca="false">IF(G145=1,"✓","")</f>
        <v/>
      </c>
      <c r="F145" s="4" t="n">
        <v>2</v>
      </c>
      <c r="G145" s="4" t="n">
        <f aca="false">IF(COUNTIF('Letterboxd Watched'!$E$2:$E$3000,M145)&gt;0,1,0)</f>
        <v>0</v>
      </c>
      <c r="H145" s="4" t="n">
        <v>5</v>
      </c>
      <c r="I145" s="4" t="s">
        <v>144</v>
      </c>
      <c r="J145" s="4" t="s">
        <v>51</v>
      </c>
      <c r="K145" s="4" t="s">
        <v>5200</v>
      </c>
      <c r="L145" s="48" t="str">
        <f aca="false">HYPERLINK("https://boxd.it/ThU","open")</f>
        <v>open</v>
      </c>
      <c r="M145" s="4" t="str">
        <f aca="false">LOWER(A145)&amp;"|"&amp;B145</f>
        <v>l'atalante|1934</v>
      </c>
      <c r="N145" s="4" t="n">
        <v>0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1</v>
      </c>
      <c r="W145" s="4" t="n">
        <v>0</v>
      </c>
    </row>
    <row r="146" customFormat="false" ht="15" hidden="false" customHeight="false" outlineLevel="0" collapsed="false">
      <c r="A146" s="4" t="s">
        <v>1580</v>
      </c>
      <c r="B146" s="4" t="n">
        <v>2001</v>
      </c>
      <c r="C146" s="4" t="str">
        <f aca="false">FLOOR(B146,10)&amp;"s"</f>
        <v>2000s</v>
      </c>
      <c r="D146" s="4" t="s">
        <v>1581</v>
      </c>
      <c r="E146" s="25" t="str">
        <f aca="false">IF(G146=1,"✓","")</f>
        <v/>
      </c>
      <c r="F146" s="4" t="n">
        <v>1</v>
      </c>
      <c r="G146" s="4" t="n">
        <f aca="false">IF(COUNTIF('Letterboxd Watched'!$E$2:$E$3000,M146)&gt;0,1,0)</f>
        <v>0</v>
      </c>
      <c r="H146" s="4" t="n">
        <v>3</v>
      </c>
      <c r="I146" s="4" t="s">
        <v>144</v>
      </c>
      <c r="J146" s="4" t="s">
        <v>54</v>
      </c>
      <c r="K146" s="4" t="s">
        <v>4294</v>
      </c>
      <c r="L146" s="48" t="str">
        <f aca="false">HYPERLINK("https://boxd.it/1Qyq","open")</f>
        <v>open</v>
      </c>
      <c r="M146" s="4" t="str">
        <f aca="false">LOWER(A146)&amp;"|"&amp;B146</f>
        <v>atanarjuat: the fast runner|2001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  <c r="U146" s="4" t="n">
        <v>0</v>
      </c>
      <c r="V146" s="4" t="n">
        <v>0</v>
      </c>
      <c r="W146" s="4" t="n">
        <v>0</v>
      </c>
    </row>
    <row r="147" customFormat="false" ht="15" hidden="false" customHeight="false" outlineLevel="0" collapsed="false">
      <c r="A147" s="4" t="s">
        <v>3169</v>
      </c>
      <c r="B147" s="4" t="n">
        <v>2019</v>
      </c>
      <c r="C147" s="4" t="str">
        <f aca="false">FLOOR(B147,10)&amp;"s"</f>
        <v>2010s</v>
      </c>
      <c r="D147" s="4" t="s">
        <v>3170</v>
      </c>
      <c r="E147" s="25" t="str">
        <f aca="false">IF(G147=1,"✓","")</f>
        <v/>
      </c>
      <c r="F147" s="4" t="n">
        <v>1</v>
      </c>
      <c r="G147" s="4" t="n">
        <f aca="false">IF(COUNTIF('Letterboxd Watched'!$E$2:$E$3000,M147)&gt;0,1,0)</f>
        <v>0</v>
      </c>
      <c r="H147" s="4" t="n">
        <v>2</v>
      </c>
      <c r="I147" s="4" t="s">
        <v>213</v>
      </c>
      <c r="J147" s="4" t="s">
        <v>51</v>
      </c>
      <c r="K147" s="4" t="s">
        <v>4036</v>
      </c>
      <c r="L147" s="48" t="str">
        <f aca="false">HYPERLINK("https://letterboxd.com/search/films/Atlantics+2019/","open")</f>
        <v>open</v>
      </c>
      <c r="M147" s="4" t="str">
        <f aca="false">LOWER(A147)&amp;"|"&amp;B147</f>
        <v>atlantics|2019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</row>
    <row r="148" customFormat="false" ht="15" hidden="false" customHeight="false" outlineLevel="0" collapsed="false">
      <c r="A148" s="4" t="s">
        <v>2369</v>
      </c>
      <c r="B148" s="4" t="n">
        <v>1982</v>
      </c>
      <c r="C148" s="4" t="str">
        <f aca="false">FLOOR(B148,10)&amp;"s"</f>
        <v>1980s</v>
      </c>
      <c r="D148" s="4" t="s">
        <v>2370</v>
      </c>
      <c r="E148" s="25" t="str">
        <f aca="false">IF(G148=1,"✓","")</f>
        <v/>
      </c>
      <c r="F148" s="4" t="n">
        <v>1</v>
      </c>
      <c r="G148" s="4" t="n">
        <f aca="false">IF(COUNTIF('Letterboxd Watched'!$E$2:$E$3000,M148)&gt;0,1,0)</f>
        <v>0</v>
      </c>
      <c r="H148" s="4" t="n">
        <v>2</v>
      </c>
      <c r="I148" s="4" t="s">
        <v>213</v>
      </c>
      <c r="J148" s="4" t="s">
        <v>55</v>
      </c>
      <c r="K148" s="4" t="s">
        <v>4342</v>
      </c>
      <c r="L148" s="48" t="str">
        <f aca="false">HYPERLINK("https://letterboxd.com/search/films/The+Atomic+Cafe+1982/","open")</f>
        <v>open</v>
      </c>
      <c r="M148" s="4" t="str">
        <f aca="false">LOWER(A148)&amp;"|"&amp;B148</f>
        <v>the atomic cafe|1982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</v>
      </c>
      <c r="U148" s="4" t="n">
        <v>0</v>
      </c>
      <c r="V148" s="4" t="n">
        <v>0</v>
      </c>
      <c r="W148" s="4" t="n">
        <v>0</v>
      </c>
    </row>
    <row r="149" customFormat="false" ht="15" hidden="false" customHeight="false" outlineLevel="0" collapsed="false">
      <c r="A149" s="4" t="s">
        <v>2953</v>
      </c>
      <c r="B149" s="4" t="n">
        <v>2010</v>
      </c>
      <c r="C149" s="4" t="str">
        <f aca="false">FLOOR(B149,10)&amp;"s"</f>
        <v>2010s</v>
      </c>
      <c r="D149" s="4" t="s">
        <v>2954</v>
      </c>
      <c r="E149" s="25" t="str">
        <f aca="false">IF(G149=1,"✓","")</f>
        <v/>
      </c>
      <c r="F149" s="4" t="n">
        <v>1</v>
      </c>
      <c r="G149" s="4" t="n">
        <f aca="false">IF(COUNTIF('Letterboxd Watched'!$E$2:$E$3000,M149)&gt;0,1,0)</f>
        <v>0</v>
      </c>
      <c r="H149" s="4" t="n">
        <v>2</v>
      </c>
      <c r="I149" s="4" t="s">
        <v>213</v>
      </c>
      <c r="J149" s="4" t="s">
        <v>53</v>
      </c>
      <c r="K149" s="4" t="s">
        <v>4242</v>
      </c>
      <c r="L149" s="48" t="str">
        <f aca="false">HYPERLINK("https://letterboxd.com/search/films/Attenberg+2010/","open")</f>
        <v>open</v>
      </c>
      <c r="M149" s="4" t="str">
        <f aca="false">LOWER(A149)&amp;"|"&amp;B149</f>
        <v>attenberg|2010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</row>
    <row r="150" customFormat="false" ht="15" hidden="false" customHeight="false" outlineLevel="0" collapsed="false">
      <c r="A150" s="4" t="s">
        <v>336</v>
      </c>
      <c r="B150" s="4" t="n">
        <v>1966</v>
      </c>
      <c r="C150" s="4" t="str">
        <f aca="false">FLOOR(B150,10)&amp;"s"</f>
        <v>1960s</v>
      </c>
      <c r="D150" s="4" t="s">
        <v>215</v>
      </c>
      <c r="E150" s="25" t="str">
        <f aca="false">IF(G150=1,"✓","")</f>
        <v/>
      </c>
      <c r="F150" s="4" t="n">
        <v>5</v>
      </c>
      <c r="G150" s="4" t="n">
        <f aca="false">IF(COUNTIF('Letterboxd Watched'!$E$2:$E$3000,M150)&gt;0,1,0)</f>
        <v>0</v>
      </c>
      <c r="H150" s="4" t="n">
        <v>10</v>
      </c>
      <c r="I150" s="4" t="s">
        <v>213</v>
      </c>
      <c r="J150" s="4" t="s">
        <v>53</v>
      </c>
      <c r="K150" s="4" t="s">
        <v>5201</v>
      </c>
      <c r="L150" s="48" t="str">
        <f aca="false">HYPERLINK("https://boxd.it/1E3g","open")</f>
        <v>open</v>
      </c>
      <c r="M150" s="4" t="str">
        <f aca="false">LOWER(A150)&amp;"|"&amp;B150</f>
        <v>au hasard balthazar|1966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1</v>
      </c>
      <c r="T150" s="4" t="n">
        <v>0</v>
      </c>
      <c r="U150" s="4" t="n">
        <v>0</v>
      </c>
      <c r="V150" s="4" t="n">
        <v>1</v>
      </c>
      <c r="W150" s="4" t="n">
        <v>0</v>
      </c>
    </row>
    <row r="151" customFormat="false" ht="15" hidden="false" customHeight="false" outlineLevel="0" collapsed="false">
      <c r="A151" s="4" t="s">
        <v>1126</v>
      </c>
      <c r="B151" s="4" t="n">
        <v>1999</v>
      </c>
      <c r="C151" s="4" t="str">
        <f aca="false">FLOOR(B151,10)&amp;"s"</f>
        <v>1990s</v>
      </c>
      <c r="D151" s="4" t="s">
        <v>1127</v>
      </c>
      <c r="E151" s="25" t="str">
        <f aca="false">IF(G151=1,"✓","")</f>
        <v/>
      </c>
      <c r="F151" s="4" t="n">
        <v>2</v>
      </c>
      <c r="G151" s="4" t="n">
        <f aca="false">IF(COUNTIF('Letterboxd Watched'!$E$2:$E$3000,M151)&gt;0,1,0)</f>
        <v>0</v>
      </c>
      <c r="H151" s="4" t="n">
        <v>4</v>
      </c>
      <c r="I151" s="4" t="s">
        <v>213</v>
      </c>
      <c r="J151" s="4" t="s">
        <v>52</v>
      </c>
      <c r="K151" s="4" t="s">
        <v>5202</v>
      </c>
      <c r="L151" s="48" t="str">
        <f aca="false">HYPERLINK("https://boxd.it/1UHm","open")</f>
        <v>open</v>
      </c>
      <c r="M151" s="4" t="str">
        <f aca="false">LOWER(A151)&amp;"|"&amp;B151</f>
        <v>audition|1999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1</v>
      </c>
      <c r="W151" s="4" t="n">
        <v>0</v>
      </c>
    </row>
    <row r="152" customFormat="false" ht="15" hidden="false" customHeight="false" outlineLevel="0" collapsed="false">
      <c r="A152" s="4" t="s">
        <v>3792</v>
      </c>
      <c r="B152" s="4" t="n">
        <v>2010</v>
      </c>
      <c r="C152" s="4" t="str">
        <f aca="false">FLOOR(B152,10)&amp;"s"</f>
        <v>2010s</v>
      </c>
      <c r="D152" s="4" t="s">
        <v>1592</v>
      </c>
      <c r="E152" s="25" t="str">
        <f aca="false">IF(G152=1,"✓","")</f>
        <v/>
      </c>
      <c r="F152" s="4" t="n">
        <v>1</v>
      </c>
      <c r="G152" s="4" t="n">
        <f aca="false">IF(COUNTIF('Letterboxd Watched'!$E$2:$E$3000,M152)&gt;0,1,0)</f>
        <v>0</v>
      </c>
      <c r="H152" s="4" t="n">
        <v>1</v>
      </c>
      <c r="I152" s="4" t="s">
        <v>1327</v>
      </c>
      <c r="J152" s="4" t="s">
        <v>51</v>
      </c>
      <c r="K152" s="4" t="s">
        <v>4000</v>
      </c>
      <c r="L152" s="48" t="str">
        <f aca="false">HYPERLINK("https://letterboxd.com/search/films/Aurora+2010/","open")</f>
        <v>open</v>
      </c>
      <c r="M152" s="4" t="str">
        <f aca="false">LOWER(A152)&amp;"|"&amp;B152</f>
        <v>aurora|2010</v>
      </c>
      <c r="N152" s="4" t="n">
        <v>0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</row>
    <row r="153" customFormat="false" ht="15" hidden="false" customHeight="false" outlineLevel="0" collapsed="false">
      <c r="A153" s="4" t="s">
        <v>702</v>
      </c>
      <c r="B153" s="4" t="n">
        <v>1962</v>
      </c>
      <c r="C153" s="4" t="str">
        <f aca="false">FLOOR(B153,10)&amp;"s"</f>
        <v>1960s</v>
      </c>
      <c r="D153" s="4" t="s">
        <v>146</v>
      </c>
      <c r="E153" s="25" t="str">
        <f aca="false">IF(G153=1,"✓","")</f>
        <v/>
      </c>
      <c r="F153" s="4" t="n">
        <v>3</v>
      </c>
      <c r="G153" s="4" t="n">
        <f aca="false">IF(COUNTIF('Letterboxd Watched'!$E$2:$E$3000,M153)&gt;0,1,0)</f>
        <v>0</v>
      </c>
      <c r="H153" s="4" t="n">
        <v>5</v>
      </c>
      <c r="I153" s="4" t="s">
        <v>213</v>
      </c>
      <c r="J153" s="4" t="s">
        <v>51</v>
      </c>
      <c r="K153" s="4" t="s">
        <v>5203</v>
      </c>
      <c r="L153" s="48" t="str">
        <f aca="false">HYPERLINK("https://boxd.it/CUU","open")</f>
        <v>open</v>
      </c>
      <c r="M153" s="4" t="str">
        <f aca="false">LOWER(A153)&amp;"|"&amp;B153</f>
        <v>an autumn afternoon|1962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0</v>
      </c>
      <c r="T153" s="4" t="n">
        <v>0</v>
      </c>
      <c r="U153" s="4" t="n">
        <v>1</v>
      </c>
      <c r="V153" s="4" t="n">
        <v>0</v>
      </c>
      <c r="W153" s="4" t="n">
        <v>0</v>
      </c>
    </row>
    <row r="154" customFormat="false" ht="15" hidden="false" customHeight="false" outlineLevel="0" collapsed="false">
      <c r="A154" s="4" t="s">
        <v>1361</v>
      </c>
      <c r="B154" s="4" t="n">
        <v>1978</v>
      </c>
      <c r="C154" s="4" t="str">
        <f aca="false">FLOOR(B154,10)&amp;"s"</f>
        <v>1970s</v>
      </c>
      <c r="D154" s="4" t="s">
        <v>170</v>
      </c>
      <c r="E154" s="25" t="str">
        <f aca="false">IF(G154=1,"✓","")</f>
        <v/>
      </c>
      <c r="F154" s="4" t="n">
        <v>2</v>
      </c>
      <c r="G154" s="4" t="n">
        <f aca="false">IF(COUNTIF('Letterboxd Watched'!$E$2:$E$3000,M154)&gt;0,1,0)</f>
        <v>0</v>
      </c>
      <c r="H154" s="4" t="n">
        <v>3</v>
      </c>
      <c r="I154" s="4" t="s">
        <v>213</v>
      </c>
      <c r="J154" s="4" t="s">
        <v>53</v>
      </c>
      <c r="K154" s="4" t="s">
        <v>5204</v>
      </c>
      <c r="L154" s="48" t="str">
        <f aca="false">HYPERLINK("https://boxd.it/1Rio","open")</f>
        <v>open</v>
      </c>
      <c r="M154" s="4" t="str">
        <f aca="false">LOWER(A154)&amp;"|"&amp;B154</f>
        <v>autumn sonata|1978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  <c r="U154" s="4" t="n">
        <v>1</v>
      </c>
      <c r="V154" s="4" t="n">
        <v>0</v>
      </c>
      <c r="W154" s="4" t="n">
        <v>0</v>
      </c>
    </row>
    <row r="155" customFormat="false" ht="15" hidden="false" customHeight="false" outlineLevel="0" collapsed="false">
      <c r="A155" s="4" t="s">
        <v>216</v>
      </c>
      <c r="B155" s="4" t="n">
        <v>1960</v>
      </c>
      <c r="C155" s="4" t="str">
        <f aca="false">FLOOR(B155,10)&amp;"s"</f>
        <v>1960s</v>
      </c>
      <c r="D155" s="4" t="s">
        <v>217</v>
      </c>
      <c r="E155" s="25" t="str">
        <f aca="false">IF(G155=1,"✓","")</f>
        <v/>
      </c>
      <c r="F155" s="4" t="n">
        <v>6</v>
      </c>
      <c r="G155" s="4" t="n">
        <f aca="false">IF(COUNTIF('Letterboxd Watched'!$E$2:$E$3000,M155)&gt;0,1,0)</f>
        <v>0</v>
      </c>
      <c r="H155" s="4" t="n">
        <v>14</v>
      </c>
      <c r="I155" s="4" t="s">
        <v>144</v>
      </c>
      <c r="J155" s="4" t="s">
        <v>50</v>
      </c>
      <c r="K155" s="4" t="s">
        <v>5205</v>
      </c>
      <c r="L155" s="48" t="str">
        <f aca="false">HYPERLINK("https://boxd.it/23hs","open")</f>
        <v>open</v>
      </c>
      <c r="M155" s="4" t="str">
        <f aca="false">LOWER(A155)&amp;"|"&amp;B155</f>
        <v>l'avventura|1960</v>
      </c>
      <c r="N155" s="4" t="n">
        <v>0</v>
      </c>
      <c r="O155" s="4" t="n">
        <v>1</v>
      </c>
      <c r="P155" s="4" t="n">
        <v>1</v>
      </c>
      <c r="Q155" s="4" t="n">
        <v>0</v>
      </c>
      <c r="R155" s="4" t="n">
        <v>1</v>
      </c>
      <c r="S155" s="4" t="n">
        <v>1</v>
      </c>
      <c r="T155" s="4" t="n">
        <v>0</v>
      </c>
      <c r="U155" s="4" t="n">
        <v>0</v>
      </c>
      <c r="V155" s="4" t="n">
        <v>1</v>
      </c>
      <c r="W155" s="4" t="n">
        <v>0</v>
      </c>
    </row>
    <row r="156" customFormat="false" ht="15" hidden="false" customHeight="false" outlineLevel="0" collapsed="false">
      <c r="A156" s="4" t="s">
        <v>1273</v>
      </c>
      <c r="B156" s="4" t="n">
        <v>1937</v>
      </c>
      <c r="C156" s="4" t="str">
        <f aca="false">FLOOR(B156,10)&amp;"s"</f>
        <v>1930s</v>
      </c>
      <c r="D156" s="4" t="s">
        <v>450</v>
      </c>
      <c r="E156" s="25" t="str">
        <f aca="false">IF(G156=1,"✓","")</f>
        <v/>
      </c>
      <c r="F156" s="4" t="n">
        <v>2</v>
      </c>
      <c r="G156" s="4" t="n">
        <f aca="false">IF(COUNTIF('Letterboxd Watched'!$E$2:$E$3000,M156)&gt;0,1,0)</f>
        <v>0</v>
      </c>
      <c r="H156" s="4" t="n">
        <v>4</v>
      </c>
      <c r="I156" s="4" t="s">
        <v>213</v>
      </c>
      <c r="J156" s="4" t="s">
        <v>52</v>
      </c>
      <c r="K156" s="4" t="s">
        <v>5206</v>
      </c>
      <c r="L156" s="48" t="str">
        <f aca="false">HYPERLINK("https://boxd.it/1NBc","open")</f>
        <v>open</v>
      </c>
      <c r="M156" s="4" t="str">
        <f aca="false">LOWER(A156)&amp;"|"&amp;B156</f>
        <v>the awful truth|1937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</row>
    <row r="157" customFormat="false" ht="15" hidden="false" customHeight="false" outlineLevel="0" collapsed="false">
      <c r="A157" s="4" t="s">
        <v>3739</v>
      </c>
      <c r="B157" s="4" t="n">
        <v>2003</v>
      </c>
      <c r="C157" s="4" t="str">
        <f aca="false">FLOOR(B157,10)&amp;"s"</f>
        <v>2000s</v>
      </c>
      <c r="D157" s="4" t="s">
        <v>2538</v>
      </c>
      <c r="E157" s="25" t="str">
        <f aca="false">IF(G157=1,"✓","")</f>
        <v/>
      </c>
      <c r="F157" s="4" t="n">
        <v>1</v>
      </c>
      <c r="G157" s="4" t="n">
        <f aca="false">IF(COUNTIF('Letterboxd Watched'!$E$2:$E$3000,M157)&gt;0,1,0)</f>
        <v>0</v>
      </c>
      <c r="H157" s="4" t="n">
        <v>1</v>
      </c>
      <c r="I157" s="4" t="s">
        <v>1327</v>
      </c>
      <c r="J157" s="4" t="s">
        <v>54</v>
      </c>
      <c r="K157" s="4" t="s">
        <v>4288</v>
      </c>
      <c r="L157" s="48" t="str">
        <f aca="false">HYPERLINK("https://boxd.it/1pYc","open")</f>
        <v>open</v>
      </c>
      <c r="M157" s="4" t="str">
        <f aca="false">LOWER(A157)&amp;"|"&amp;B157</f>
        <v>baadasssss!|2003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1</v>
      </c>
      <c r="T157" s="4" t="n">
        <v>0</v>
      </c>
      <c r="U157" s="4" t="n">
        <v>0</v>
      </c>
      <c r="V157" s="4" t="n">
        <v>0</v>
      </c>
      <c r="W157" s="4" t="n">
        <v>0</v>
      </c>
    </row>
    <row r="158" customFormat="false" ht="15" hidden="false" customHeight="false" outlineLevel="0" collapsed="false">
      <c r="A158" s="4" t="s">
        <v>1623</v>
      </c>
      <c r="B158" s="4" t="n">
        <v>2014</v>
      </c>
      <c r="C158" s="4" t="str">
        <f aca="false">FLOOR(B158,10)&amp;"s"</f>
        <v>2010s</v>
      </c>
      <c r="D158" s="4" t="s">
        <v>1624</v>
      </c>
      <c r="E158" s="25" t="str">
        <f aca="false">IF(G158=1,"✓","")</f>
        <v/>
      </c>
      <c r="F158" s="4" t="n">
        <v>1</v>
      </c>
      <c r="G158" s="4" t="n">
        <f aca="false">IF(COUNTIF('Letterboxd Watched'!$E$2:$E$3000,M158)&gt;0,1,0)</f>
        <v>0</v>
      </c>
      <c r="H158" s="4" t="n">
        <v>3</v>
      </c>
      <c r="I158" s="4" t="s">
        <v>144</v>
      </c>
      <c r="J158" s="4" t="s">
        <v>52</v>
      </c>
      <c r="K158" s="4" t="s">
        <v>4078</v>
      </c>
      <c r="L158" s="48" t="str">
        <f aca="false">HYPERLINK("https://boxd.it/77xu","open")</f>
        <v>open</v>
      </c>
      <c r="M158" s="4" t="str">
        <f aca="false">LOWER(A158)&amp;"|"&amp;B158</f>
        <v>the babadook|2014</v>
      </c>
      <c r="N158" s="4" t="n">
        <v>0</v>
      </c>
      <c r="O158" s="4" t="n">
        <v>0</v>
      </c>
      <c r="P158" s="4" t="n">
        <v>0</v>
      </c>
      <c r="Q158" s="4" t="n">
        <v>1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</row>
    <row r="159" customFormat="false" ht="15" hidden="false" customHeight="false" outlineLevel="0" collapsed="false">
      <c r="A159" s="4" t="s">
        <v>2863</v>
      </c>
      <c r="B159" s="4" t="n">
        <v>2006</v>
      </c>
      <c r="C159" s="4" t="str">
        <f aca="false">FLOOR(B159,10)&amp;"s"</f>
        <v>2000s</v>
      </c>
      <c r="D159" s="4" t="s">
        <v>1137</v>
      </c>
      <c r="E159" s="25" t="str">
        <f aca="false">IF(G159=1,"✓","")</f>
        <v/>
      </c>
      <c r="F159" s="4" t="n">
        <v>1</v>
      </c>
      <c r="G159" s="4" t="n">
        <f aca="false">IF(COUNTIF('Letterboxd Watched'!$E$2:$E$3000,M159)&gt;0,1,0)</f>
        <v>0</v>
      </c>
      <c r="H159" s="4" t="n">
        <v>2</v>
      </c>
      <c r="I159" s="4" t="s">
        <v>213</v>
      </c>
      <c r="J159" s="4" t="s">
        <v>54</v>
      </c>
      <c r="K159" s="4" t="s">
        <v>4304</v>
      </c>
      <c r="L159" s="48" t="str">
        <f aca="false">HYPERLINK("https://boxd.it/292o","open")</f>
        <v>open</v>
      </c>
      <c r="M159" s="4" t="str">
        <f aca="false">LOWER(A159)&amp;"|"&amp;B159</f>
        <v>babel|2006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1</v>
      </c>
      <c r="T159" s="4" t="n">
        <v>0</v>
      </c>
      <c r="U159" s="4" t="n">
        <v>0</v>
      </c>
      <c r="V159" s="4" t="n">
        <v>0</v>
      </c>
      <c r="W159" s="4" t="n">
        <v>0</v>
      </c>
    </row>
    <row r="160" customFormat="false" ht="15" hidden="false" customHeight="false" outlineLevel="0" collapsed="false">
      <c r="A160" s="4" t="s">
        <v>1536</v>
      </c>
      <c r="B160" s="4" t="n">
        <v>1987</v>
      </c>
      <c r="C160" s="4" t="str">
        <f aca="false">FLOOR(B160,10)&amp;"s"</f>
        <v>1980s</v>
      </c>
      <c r="D160" s="4" t="s">
        <v>1537</v>
      </c>
      <c r="E160" s="25" t="str">
        <f aca="false">IF(G160=1,"✓","")</f>
        <v/>
      </c>
      <c r="F160" s="4" t="n">
        <v>1</v>
      </c>
      <c r="G160" s="4" t="n">
        <f aca="false">IF(COUNTIF('Letterboxd Watched'!$E$2:$E$3000,M160)&gt;0,1,0)</f>
        <v>0</v>
      </c>
      <c r="H160" s="4" t="n">
        <v>3</v>
      </c>
      <c r="I160" s="4" t="s">
        <v>144</v>
      </c>
      <c r="J160" s="4" t="s">
        <v>55</v>
      </c>
      <c r="K160" s="4" t="s">
        <v>4368</v>
      </c>
      <c r="L160" s="48" t="str">
        <f aca="false">HYPERLINK("https://boxd.it/1SYU","open")</f>
        <v>open</v>
      </c>
      <c r="M160" s="4" t="str">
        <f aca="false">LOWER(A160)&amp;"|"&amp;B160</f>
        <v>babette's feast|1987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1</v>
      </c>
      <c r="U160" s="4" t="n">
        <v>0</v>
      </c>
      <c r="V160" s="4" t="n">
        <v>0</v>
      </c>
      <c r="W160" s="4" t="n">
        <v>0</v>
      </c>
    </row>
    <row r="161" customFormat="false" ht="15" hidden="false" customHeight="false" outlineLevel="0" collapsed="false">
      <c r="A161" s="4" t="s">
        <v>1937</v>
      </c>
      <c r="B161" s="4" t="n">
        <v>1956</v>
      </c>
      <c r="C161" s="4" t="str">
        <f aca="false">FLOOR(B161,10)&amp;"s"</f>
        <v>1950s</v>
      </c>
      <c r="D161" s="4" t="s">
        <v>375</v>
      </c>
      <c r="E161" s="25" t="str">
        <f aca="false">IF(G161=1,"✓","")</f>
        <v/>
      </c>
      <c r="F161" s="4" t="n">
        <v>1</v>
      </c>
      <c r="G161" s="4" t="n">
        <f aca="false">IF(COUNTIF('Letterboxd Watched'!$E$2:$E$3000,M161)&gt;0,1,0)</f>
        <v>0</v>
      </c>
      <c r="H161" s="4" t="n">
        <v>2</v>
      </c>
      <c r="I161" s="4" t="s">
        <v>213</v>
      </c>
      <c r="J161" s="4" t="s">
        <v>56</v>
      </c>
      <c r="K161" s="4" t="s">
        <v>4392</v>
      </c>
      <c r="L161" s="48" t="str">
        <f aca="false">HYPERLINK("https://boxd.it/11Hc","open")</f>
        <v>open</v>
      </c>
      <c r="M161" s="4" t="str">
        <f aca="false">LOWER(A161)&amp;"|"&amp;B161</f>
        <v>baby doll|1956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1</v>
      </c>
      <c r="V161" s="4" t="n">
        <v>0</v>
      </c>
      <c r="W161" s="4" t="n">
        <v>0</v>
      </c>
    </row>
    <row r="162" customFormat="false" ht="15" hidden="false" customHeight="false" outlineLevel="0" collapsed="false">
      <c r="A162" s="4" t="s">
        <v>1433</v>
      </c>
      <c r="B162" s="4" t="n">
        <v>1933</v>
      </c>
      <c r="C162" s="4" t="str">
        <f aca="false">FLOOR(B162,10)&amp;"s"</f>
        <v>1930s</v>
      </c>
      <c r="D162" s="4" t="s">
        <v>1434</v>
      </c>
      <c r="E162" s="25" t="str">
        <f aca="false">IF(G162=1,"✓","")</f>
        <v/>
      </c>
      <c r="F162" s="4" t="n">
        <v>1</v>
      </c>
      <c r="G162" s="4" t="n">
        <f aca="false">IF(COUNTIF('Letterboxd Watched'!$E$2:$E$3000,M162)&gt;0,1,0)</f>
        <v>0</v>
      </c>
      <c r="H162" s="4" t="n">
        <v>3</v>
      </c>
      <c r="I162" s="4" t="s">
        <v>144</v>
      </c>
      <c r="J162" s="4" t="s">
        <v>50</v>
      </c>
      <c r="K162" s="4" t="s">
        <v>3908</v>
      </c>
      <c r="L162" s="48" t="str">
        <f aca="false">HYPERLINK("https://letterboxd.com/search/films/Baby+Face+1933/","open")</f>
        <v>open</v>
      </c>
      <c r="M162" s="4" t="str">
        <f aca="false">LOWER(A162)&amp;"|"&amp;B162</f>
        <v>baby face|1933</v>
      </c>
      <c r="N162" s="4" t="n">
        <v>0</v>
      </c>
      <c r="O162" s="4" t="n">
        <v>1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 customFormat="false" ht="15" hidden="false" customHeight="false" outlineLevel="0" collapsed="false">
      <c r="A163" s="4" t="s">
        <v>3233</v>
      </c>
      <c r="B163" s="4" t="n">
        <v>2022</v>
      </c>
      <c r="C163" s="4" t="str">
        <f aca="false">FLOOR(B163,10)&amp;"s"</f>
        <v>2020s</v>
      </c>
      <c r="D163" s="4" t="s">
        <v>1293</v>
      </c>
      <c r="E163" s="25" t="str">
        <f aca="false">IF(G163=1,"✓","")</f>
        <v/>
      </c>
      <c r="F163" s="4" t="n">
        <v>1</v>
      </c>
      <c r="G163" s="4" t="n">
        <f aca="false">IF(COUNTIF('Letterboxd Watched'!$E$2:$E$3000,M163)&gt;0,1,0)</f>
        <v>0</v>
      </c>
      <c r="H163" s="4" t="n">
        <v>2</v>
      </c>
      <c r="I163" s="4" t="s">
        <v>213</v>
      </c>
      <c r="J163" s="4" t="s">
        <v>55</v>
      </c>
      <c r="K163" s="4" t="s">
        <v>4370</v>
      </c>
      <c r="L163" s="48" t="str">
        <f aca="false">HYPERLINK("https://boxd.it/mM02","open")</f>
        <v>open</v>
      </c>
      <c r="M163" s="4" t="str">
        <f aca="false">LOWER(A163)&amp;"|"&amp;B163</f>
        <v>babylon|2022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1</v>
      </c>
      <c r="U163" s="4" t="n">
        <v>0</v>
      </c>
      <c r="V163" s="4" t="n">
        <v>0</v>
      </c>
      <c r="W163" s="4" t="n">
        <v>0</v>
      </c>
    </row>
    <row r="164" customFormat="false" ht="15" hidden="false" customHeight="false" outlineLevel="0" collapsed="false">
      <c r="A164" s="4" t="s">
        <v>3311</v>
      </c>
      <c r="B164" s="4" t="n">
        <v>1932</v>
      </c>
      <c r="C164" s="4" t="str">
        <f aca="false">FLOOR(B164,10)&amp;"s"</f>
        <v>1930s</v>
      </c>
      <c r="D164" s="4" t="s">
        <v>3312</v>
      </c>
      <c r="E164" s="25" t="str">
        <f aca="false">IF(G164=1,"✓","")</f>
        <v/>
      </c>
      <c r="F164" s="4" t="n">
        <v>1</v>
      </c>
      <c r="G164" s="4" t="n">
        <f aca="false">IF(COUNTIF('Letterboxd Watched'!$E$2:$E$3000,M164)&gt;0,1,0)</f>
        <v>0</v>
      </c>
      <c r="H164" s="4" t="n">
        <v>1</v>
      </c>
      <c r="I164" s="4" t="s">
        <v>1327</v>
      </c>
      <c r="J164" s="4" t="s">
        <v>52</v>
      </c>
      <c r="K164" s="4" t="s">
        <v>4148</v>
      </c>
      <c r="L164" s="48" t="str">
        <f aca="false">HYPERLINK("https://boxd.it/3Gai","open")</f>
        <v>open</v>
      </c>
      <c r="M164" s="4" t="str">
        <f aca="false">LOWER(A164)&amp;"|"&amp;B164</f>
        <v>back street|1932</v>
      </c>
      <c r="N164" s="4" t="n">
        <v>0</v>
      </c>
      <c r="O164" s="4" t="n">
        <v>0</v>
      </c>
      <c r="P164" s="4" t="n">
        <v>0</v>
      </c>
      <c r="Q164" s="4" t="n">
        <v>1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 customFormat="false" ht="15" hidden="false" customHeight="false" outlineLevel="0" collapsed="false">
      <c r="A165" s="4" t="s">
        <v>1069</v>
      </c>
      <c r="B165" s="4" t="n">
        <v>1985</v>
      </c>
      <c r="C165" s="4" t="str">
        <f aca="false">FLOOR(B165,10)&amp;"s"</f>
        <v>1980s</v>
      </c>
      <c r="D165" s="4" t="s">
        <v>1070</v>
      </c>
      <c r="E165" s="25" t="str">
        <f aca="false">IF(G165=1,"✓","")</f>
        <v>✓</v>
      </c>
      <c r="F165" s="4" t="n">
        <v>2</v>
      </c>
      <c r="G165" s="4" t="n">
        <f aca="false">IF(COUNTIF('Letterboxd Watched'!$E$2:$E$3000,M165)&gt;0,1,0)</f>
        <v>1</v>
      </c>
      <c r="H165" s="4" t="n">
        <v>4</v>
      </c>
      <c r="I165" s="4" t="s">
        <v>213</v>
      </c>
      <c r="J165" s="4" t="s">
        <v>49</v>
      </c>
      <c r="K165" s="4" t="s">
        <v>5207</v>
      </c>
      <c r="L165" s="48" t="str">
        <f aca="false">HYPERLINK("https://boxd.it/2b8e","open")</f>
        <v>open</v>
      </c>
      <c r="M165" s="4" t="str">
        <f aca="false">LOWER(A165)&amp;"|"&amp;B165</f>
        <v>back to the future|1985</v>
      </c>
      <c r="N165" s="4" t="n">
        <v>1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1</v>
      </c>
      <c r="U165" s="4" t="n">
        <v>0</v>
      </c>
      <c r="V165" s="4" t="n">
        <v>0</v>
      </c>
      <c r="W165" s="4" t="n">
        <v>0</v>
      </c>
    </row>
    <row r="166" customFormat="false" ht="15" hidden="false" customHeight="false" outlineLevel="0" collapsed="false">
      <c r="A166" s="4" t="s">
        <v>3167</v>
      </c>
      <c r="B166" s="4" t="n">
        <v>2019</v>
      </c>
      <c r="C166" s="4" t="str">
        <f aca="false">FLOOR(B166,10)&amp;"s"</f>
        <v>2010s</v>
      </c>
      <c r="D166" s="4" t="s">
        <v>3168</v>
      </c>
      <c r="E166" s="25" t="str">
        <f aca="false">IF(G166=1,"✓","")</f>
        <v/>
      </c>
      <c r="F166" s="4" t="n">
        <v>1</v>
      </c>
      <c r="G166" s="4" t="n">
        <f aca="false">IF(COUNTIF('Letterboxd Watched'!$E$2:$E$3000,M166)&gt;0,1,0)</f>
        <v>0</v>
      </c>
      <c r="H166" s="4" t="n">
        <v>2</v>
      </c>
      <c r="I166" s="4" t="s">
        <v>213</v>
      </c>
      <c r="J166" s="4" t="s">
        <v>51</v>
      </c>
      <c r="K166" s="4" t="s">
        <v>4006</v>
      </c>
      <c r="L166" s="48" t="str">
        <f aca="false">HYPERLINK("https://boxd.it/fSUG","open")</f>
        <v>open</v>
      </c>
      <c r="M166" s="4" t="str">
        <f aca="false">LOWER(A166)&amp;"|"&amp;B166</f>
        <v>bacurau|2019</v>
      </c>
      <c r="N166" s="4" t="n">
        <v>0</v>
      </c>
      <c r="O166" s="4" t="n">
        <v>0</v>
      </c>
      <c r="P166" s="4" t="n">
        <v>1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</row>
    <row r="167" customFormat="false" ht="15" hidden="false" customHeight="false" outlineLevel="0" collapsed="false">
      <c r="A167" s="4" t="s">
        <v>1889</v>
      </c>
      <c r="B167" s="4" t="n">
        <v>1952</v>
      </c>
      <c r="C167" s="4" t="str">
        <f aca="false">FLOOR(B167,10)&amp;"s"</f>
        <v>1950s</v>
      </c>
      <c r="D167" s="4" t="s">
        <v>570</v>
      </c>
      <c r="E167" s="25" t="str">
        <f aca="false">IF(G167=1,"✓","")</f>
        <v/>
      </c>
      <c r="F167" s="4" t="n">
        <v>1</v>
      </c>
      <c r="G167" s="4" t="n">
        <f aca="false">IF(COUNTIF('Letterboxd Watched'!$E$2:$E$3000,M167)&gt;0,1,0)</f>
        <v>0</v>
      </c>
      <c r="H167" s="4" t="n">
        <v>2</v>
      </c>
      <c r="I167" s="4" t="s">
        <v>213</v>
      </c>
      <c r="J167" s="4" t="s">
        <v>55</v>
      </c>
      <c r="K167" s="4" t="s">
        <v>4370</v>
      </c>
      <c r="L167" s="48" t="str">
        <f aca="false">HYPERLINK("https://boxd.it/1h3M","open")</f>
        <v>open</v>
      </c>
      <c r="M167" s="4" t="str">
        <f aca="false">LOWER(A167)&amp;"|"&amp;B167</f>
        <v>the bad and the beautiful|1952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1</v>
      </c>
      <c r="U167" s="4" t="n">
        <v>0</v>
      </c>
      <c r="V167" s="4" t="n">
        <v>0</v>
      </c>
      <c r="W167" s="4" t="n">
        <v>0</v>
      </c>
    </row>
    <row r="168" customFormat="false" ht="15" hidden="false" customHeight="false" outlineLevel="0" collapsed="false">
      <c r="A168" s="4" t="s">
        <v>1920</v>
      </c>
      <c r="B168" s="4" t="n">
        <v>1955</v>
      </c>
      <c r="C168" s="4" t="str">
        <f aca="false">FLOOR(B168,10)&amp;"s"</f>
        <v>1950s</v>
      </c>
      <c r="D168" s="4" t="s">
        <v>971</v>
      </c>
      <c r="E168" s="25" t="str">
        <f aca="false">IF(G168=1,"✓","")</f>
        <v>✓</v>
      </c>
      <c r="F168" s="4" t="n">
        <v>1</v>
      </c>
      <c r="G168" s="4" t="n">
        <f aca="false">IF(COUNTIF('Letterboxd Watched'!$E$2:$E$3000,M168)&gt;0,1,0)</f>
        <v>1</v>
      </c>
      <c r="H168" s="4" t="n">
        <v>2</v>
      </c>
      <c r="I168" s="4" t="s">
        <v>213</v>
      </c>
      <c r="J168" s="4" t="s">
        <v>52</v>
      </c>
      <c r="K168" s="4" t="s">
        <v>4056</v>
      </c>
      <c r="L168" s="48" t="str">
        <f aca="false">HYPERLINK("https://boxd.it/1NRk","open")</f>
        <v>open</v>
      </c>
      <c r="M168" s="4" t="str">
        <f aca="false">LOWER(A168)&amp;"|"&amp;B168</f>
        <v>bad day at black rock|1955</v>
      </c>
      <c r="N168" s="4" t="n">
        <v>0</v>
      </c>
      <c r="O168" s="4" t="n">
        <v>0</v>
      </c>
      <c r="P168" s="4" t="n">
        <v>0</v>
      </c>
      <c r="Q168" s="4" t="n">
        <v>1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</row>
    <row r="169" customFormat="false" ht="15" hidden="false" customHeight="false" outlineLevel="0" collapsed="false">
      <c r="A169" s="4" t="s">
        <v>2823</v>
      </c>
      <c r="B169" s="4" t="n">
        <v>2004</v>
      </c>
      <c r="C169" s="4" t="str">
        <f aca="false">FLOOR(B169,10)&amp;"s"</f>
        <v>2000s</v>
      </c>
      <c r="D169" s="4" t="s">
        <v>1087</v>
      </c>
      <c r="E169" s="25" t="str">
        <f aca="false">IF(G169=1,"✓","")</f>
        <v/>
      </c>
      <c r="F169" s="4" t="n">
        <v>1</v>
      </c>
      <c r="G169" s="4" t="n">
        <f aca="false">IF(COUNTIF('Letterboxd Watched'!$E$2:$E$3000,M169)&gt;0,1,0)</f>
        <v>0</v>
      </c>
      <c r="H169" s="4" t="n">
        <v>2</v>
      </c>
      <c r="I169" s="4" t="s">
        <v>213</v>
      </c>
      <c r="J169" s="4" t="s">
        <v>53</v>
      </c>
      <c r="K169" s="4" t="s">
        <v>1087</v>
      </c>
      <c r="L169" s="48" t="str">
        <f aca="false">HYPERLINK("https://boxd.it/2b2K","open")</f>
        <v>open</v>
      </c>
      <c r="M169" s="4" t="str">
        <f aca="false">LOWER(A169)&amp;"|"&amp;B169</f>
        <v>bad education|2004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1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customFormat="false" ht="15" hidden="false" customHeight="false" outlineLevel="0" collapsed="false">
      <c r="A170" s="4" t="s">
        <v>2928</v>
      </c>
      <c r="B170" s="4" t="n">
        <v>2009</v>
      </c>
      <c r="C170" s="4" t="str">
        <f aca="false">FLOOR(B170,10)&amp;"s"</f>
        <v>2000s</v>
      </c>
      <c r="D170" s="4" t="s">
        <v>292</v>
      </c>
      <c r="E170" s="25" t="str">
        <f aca="false">IF(G170=1,"✓","")</f>
        <v>✓</v>
      </c>
      <c r="F170" s="4" t="n">
        <v>1</v>
      </c>
      <c r="G170" s="4" t="n">
        <f aca="false">IF(COUNTIF('Letterboxd Watched'!$E$2:$E$3000,M170)&gt;0,1,0)</f>
        <v>1</v>
      </c>
      <c r="H170" s="4" t="n">
        <v>2</v>
      </c>
      <c r="I170" s="4" t="s">
        <v>213</v>
      </c>
      <c r="J170" s="4" t="s">
        <v>53</v>
      </c>
      <c r="K170" s="4" t="s">
        <v>292</v>
      </c>
      <c r="L170" s="48" t="str">
        <f aca="false">HYPERLINK("https://boxd.it/1TcW","open")</f>
        <v>open</v>
      </c>
      <c r="M170" s="4" t="str">
        <f aca="false">LOWER(A170)&amp;"|"&amp;B170</f>
        <v>bad lieutenant: port of call – new orleans|2009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1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customFormat="false" ht="15" hidden="false" customHeight="false" outlineLevel="0" collapsed="false">
      <c r="A171" s="4" t="s">
        <v>3204</v>
      </c>
      <c r="B171" s="4" t="n">
        <v>2021</v>
      </c>
      <c r="C171" s="4" t="str">
        <f aca="false">FLOOR(B171,10)&amp;"s"</f>
        <v>2020s</v>
      </c>
      <c r="D171" s="4" t="s">
        <v>3205</v>
      </c>
      <c r="E171" s="25" t="str">
        <f aca="false">IF(G171=1,"✓","")</f>
        <v/>
      </c>
      <c r="F171" s="4" t="n">
        <v>1</v>
      </c>
      <c r="G171" s="4" t="n">
        <f aca="false">IF(COUNTIF('Letterboxd Watched'!$E$2:$E$3000,M171)&gt;0,1,0)</f>
        <v>0</v>
      </c>
      <c r="H171" s="4" t="n">
        <v>2</v>
      </c>
      <c r="I171" s="4" t="s">
        <v>213</v>
      </c>
      <c r="J171" s="4" t="s">
        <v>51</v>
      </c>
      <c r="K171" s="4" t="s">
        <v>4000</v>
      </c>
      <c r="L171" s="48" t="str">
        <f aca="false">HYPERLINK("https://letterboxd.com/search/films/Bad+Luck+Banging+or+Loony+Porn+2021/","open")</f>
        <v>open</v>
      </c>
      <c r="M171" s="4" t="str">
        <f aca="false">LOWER(A171)&amp;"|"&amp;B171</f>
        <v>bad luck banging or loony porn|2021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</row>
    <row r="172" customFormat="false" ht="15" hidden="false" customHeight="false" outlineLevel="0" collapsed="false">
      <c r="A172" s="4" t="s">
        <v>955</v>
      </c>
      <c r="B172" s="4" t="n">
        <v>1960</v>
      </c>
      <c r="C172" s="4" t="str">
        <f aca="false">FLOOR(B172,10)&amp;"s"</f>
        <v>1960s</v>
      </c>
      <c r="D172" s="4" t="s">
        <v>156</v>
      </c>
      <c r="E172" s="25" t="str">
        <f aca="false">IF(G172=1,"✓","")</f>
        <v/>
      </c>
      <c r="F172" s="4" t="n">
        <v>2</v>
      </c>
      <c r="G172" s="4" t="n">
        <f aca="false">IF(COUNTIF('Letterboxd Watched'!$E$2:$E$3000,M172)&gt;0,1,0)</f>
        <v>0</v>
      </c>
      <c r="H172" s="4" t="n">
        <v>4</v>
      </c>
      <c r="I172" s="4" t="s">
        <v>213</v>
      </c>
      <c r="J172" s="4" t="s">
        <v>53</v>
      </c>
      <c r="K172" s="4" t="s">
        <v>5208</v>
      </c>
      <c r="L172" s="48" t="str">
        <f aca="false">HYPERLINK("https://boxd.it/1iLA","open")</f>
        <v>open</v>
      </c>
      <c r="M172" s="4" t="str">
        <f aca="false">LOWER(A172)&amp;"|"&amp;B172</f>
        <v>the bad sleep well|1960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1</v>
      </c>
    </row>
    <row r="173" customFormat="false" ht="15" hidden="false" customHeight="false" outlineLevel="0" collapsed="false">
      <c r="A173" s="4" t="s">
        <v>481</v>
      </c>
      <c r="B173" s="4" t="n">
        <v>1973</v>
      </c>
      <c r="C173" s="4" t="str">
        <f aca="false">FLOOR(B173,10)&amp;"s"</f>
        <v>1970s</v>
      </c>
      <c r="D173" s="4" t="s">
        <v>361</v>
      </c>
      <c r="E173" s="25" t="str">
        <f aca="false">IF(G173=1,"✓","")</f>
        <v>✓</v>
      </c>
      <c r="F173" s="4" t="n">
        <v>3</v>
      </c>
      <c r="G173" s="4" t="n">
        <f aca="false">IF(COUNTIF('Letterboxd Watched'!$E$2:$E$3000,M173)&gt;0,1,0)</f>
        <v>1</v>
      </c>
      <c r="H173" s="4" t="n">
        <v>7</v>
      </c>
      <c r="I173" s="4" t="s">
        <v>144</v>
      </c>
      <c r="J173" s="4" t="s">
        <v>53</v>
      </c>
      <c r="K173" s="4" t="s">
        <v>5209</v>
      </c>
      <c r="L173" s="48" t="str">
        <f aca="false">HYPERLINK("https://boxd.it/25Fm","open")</f>
        <v>open</v>
      </c>
      <c r="M173" s="4" t="str">
        <f aca="false">LOWER(A173)&amp;"|"&amp;B173</f>
        <v>badlands|1973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1</v>
      </c>
      <c r="U173" s="4" t="n">
        <v>1</v>
      </c>
      <c r="V173" s="4" t="n">
        <v>0</v>
      </c>
      <c r="W173" s="4" t="n">
        <v>0</v>
      </c>
    </row>
    <row r="174" customFormat="false" ht="15" hidden="false" customHeight="false" outlineLevel="0" collapsed="false">
      <c r="A174" s="4" t="s">
        <v>3715</v>
      </c>
      <c r="B174" s="4" t="n">
        <v>2000</v>
      </c>
      <c r="C174" s="4" t="str">
        <f aca="false">FLOOR(B174,10)&amp;"s"</f>
        <v>2000s</v>
      </c>
      <c r="D174" s="4" t="s">
        <v>3716</v>
      </c>
      <c r="E174" s="25" t="str">
        <f aca="false">IF(G174=1,"✓","")</f>
        <v/>
      </c>
      <c r="F174" s="4" t="n">
        <v>1</v>
      </c>
      <c r="G174" s="4" t="n">
        <f aca="false">IF(COUNTIF('Letterboxd Watched'!$E$2:$E$3000,M174)&gt;0,1,0)</f>
        <v>0</v>
      </c>
      <c r="H174" s="4" t="n">
        <v>1</v>
      </c>
      <c r="I174" s="4" t="s">
        <v>1327</v>
      </c>
      <c r="J174" s="4" t="s">
        <v>51</v>
      </c>
      <c r="K174" s="4" t="s">
        <v>3968</v>
      </c>
      <c r="L174" s="48" t="str">
        <f aca="false">HYPERLINK("https://letterboxd.com/search/films/Baisemoi+2000/","open")</f>
        <v>open</v>
      </c>
      <c r="M174" s="4" t="str">
        <f aca="false">LOWER(A174)&amp;"|"&amp;B174</f>
        <v>baise-moi|2000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customFormat="false" ht="15" hidden="false" customHeight="false" outlineLevel="0" collapsed="false">
      <c r="A175" s="4" t="s">
        <v>1311</v>
      </c>
      <c r="B175" s="4" t="n">
        <v>1941</v>
      </c>
      <c r="C175" s="4" t="str">
        <f aca="false">FLOOR(B175,10)&amp;"s"</f>
        <v>1940s</v>
      </c>
      <c r="D175" s="4" t="s">
        <v>168</v>
      </c>
      <c r="E175" s="25" t="str">
        <f aca="false">IF(G175=1,"✓","")</f>
        <v/>
      </c>
      <c r="F175" s="4" t="n">
        <v>2</v>
      </c>
      <c r="G175" s="4" t="n">
        <f aca="false">IF(COUNTIF('Letterboxd Watched'!$E$2:$E$3000,M175)&gt;0,1,0)</f>
        <v>0</v>
      </c>
      <c r="H175" s="4" t="n">
        <v>3</v>
      </c>
      <c r="I175" s="4" t="s">
        <v>213</v>
      </c>
      <c r="J175" s="4" t="s">
        <v>52</v>
      </c>
      <c r="K175" s="4" t="s">
        <v>5210</v>
      </c>
      <c r="L175" s="48" t="str">
        <f aca="false">HYPERLINK("https://boxd.it/1ms8","open")</f>
        <v>open</v>
      </c>
      <c r="M175" s="4" t="str">
        <f aca="false">LOWER(A175)&amp;"|"&amp;B175</f>
        <v>ball of fire|1941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customFormat="false" ht="15" hidden="false" customHeight="false" outlineLevel="0" collapsed="false">
      <c r="A176" s="4" t="s">
        <v>1959</v>
      </c>
      <c r="B176" s="4" t="n">
        <v>1959</v>
      </c>
      <c r="C176" s="4" t="str">
        <f aca="false">FLOOR(B176,10)&amp;"s"</f>
        <v>1950s</v>
      </c>
      <c r="D176" s="4" t="s">
        <v>1960</v>
      </c>
      <c r="E176" s="25" t="str">
        <f aca="false">IF(G176=1,"✓","")</f>
        <v/>
      </c>
      <c r="F176" s="4" t="n">
        <v>1</v>
      </c>
      <c r="G176" s="4" t="n">
        <f aca="false">IF(COUNTIF('Letterboxd Watched'!$E$2:$E$3000,M176)&gt;0,1,0)</f>
        <v>0</v>
      </c>
      <c r="H176" s="4" t="n">
        <v>2</v>
      </c>
      <c r="I176" s="4" t="s">
        <v>213</v>
      </c>
      <c r="J176" s="4" t="s">
        <v>51</v>
      </c>
      <c r="K176" s="4" t="s">
        <v>3990</v>
      </c>
      <c r="L176" s="48" t="str">
        <f aca="false">HYPERLINK("https://letterboxd.com/search/films/Ballad+of+a+Soldier+1959/","open")</f>
        <v>open</v>
      </c>
      <c r="M176" s="4" t="str">
        <f aca="false">LOWER(A176)&amp;"|"&amp;B176</f>
        <v>ballad of a soldier|1959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 customFormat="false" ht="15" hidden="false" customHeight="false" outlineLevel="0" collapsed="false">
      <c r="A177" s="4" t="s">
        <v>1245</v>
      </c>
      <c r="B177" s="4" t="n">
        <v>2018</v>
      </c>
      <c r="C177" s="4" t="str">
        <f aca="false">FLOOR(B177,10)&amp;"s"</f>
        <v>2010s</v>
      </c>
      <c r="D177" s="4" t="s">
        <v>323</v>
      </c>
      <c r="E177" s="25" t="str">
        <f aca="false">IF(G177=1,"✓","")</f>
        <v>✓</v>
      </c>
      <c r="F177" s="4" t="n">
        <v>2</v>
      </c>
      <c r="G177" s="4" t="n">
        <f aca="false">IF(COUNTIF('Letterboxd Watched'!$E$2:$E$3000,M177)&gt;0,1,0)</f>
        <v>1</v>
      </c>
      <c r="H177" s="4" t="n">
        <v>4</v>
      </c>
      <c r="I177" s="4" t="s">
        <v>213</v>
      </c>
      <c r="J177" s="4" t="s">
        <v>53</v>
      </c>
      <c r="K177" s="4" t="s">
        <v>5211</v>
      </c>
      <c r="L177" s="48" t="str">
        <f aca="false">HYPERLINK("https://boxd.it/jB2q","open")</f>
        <v>open</v>
      </c>
      <c r="M177" s="4" t="str">
        <f aca="false">LOWER(A177)&amp;"|"&amp;B177</f>
        <v>the ballad of buster scruggs|2018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  <c r="U177" s="4" t="n">
        <v>1</v>
      </c>
      <c r="V177" s="4" t="n">
        <v>0</v>
      </c>
      <c r="W177" s="4" t="n">
        <v>0</v>
      </c>
    </row>
    <row r="178" customFormat="false" ht="15" hidden="false" customHeight="false" outlineLevel="0" collapsed="false">
      <c r="A178" s="4" t="s">
        <v>2908</v>
      </c>
      <c r="B178" s="4" t="n">
        <v>2008</v>
      </c>
      <c r="C178" s="4" t="str">
        <f aca="false">FLOOR(B178,10)&amp;"s"</f>
        <v>2000s</v>
      </c>
      <c r="D178" s="4" t="s">
        <v>2909</v>
      </c>
      <c r="E178" s="25" t="str">
        <f aca="false">IF(G178=1,"✓","")</f>
        <v/>
      </c>
      <c r="F178" s="4" t="n">
        <v>1</v>
      </c>
      <c r="G178" s="4" t="n">
        <f aca="false">IF(COUNTIF('Letterboxd Watched'!$E$2:$E$3000,M178)&gt;0,1,0)</f>
        <v>0</v>
      </c>
      <c r="H178" s="4" t="n">
        <v>2</v>
      </c>
      <c r="I178" s="4" t="s">
        <v>213</v>
      </c>
      <c r="J178" s="4" t="s">
        <v>53</v>
      </c>
      <c r="K178" s="4" t="s">
        <v>4219</v>
      </c>
      <c r="L178" s="48" t="str">
        <f aca="false">HYPERLINK("https://letterboxd.com/search/films/Ballast+2008/","open")</f>
        <v>open</v>
      </c>
      <c r="M178" s="4" t="str">
        <f aca="false">LOWER(A178)&amp;"|"&amp;B178</f>
        <v>ballast|2008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</row>
    <row r="179" customFormat="false" ht="15" hidden="false" customHeight="false" outlineLevel="0" collapsed="false">
      <c r="A179" s="4" t="s">
        <v>3287</v>
      </c>
      <c r="B179" s="4" t="n">
        <v>1924</v>
      </c>
      <c r="C179" s="4" t="str">
        <f aca="false">FLOOR(B179,10)&amp;"s"</f>
        <v>1920s</v>
      </c>
      <c r="D179" s="4" t="s">
        <v>3288</v>
      </c>
      <c r="E179" s="25" t="str">
        <f aca="false">IF(G179=1,"✓","")</f>
        <v/>
      </c>
      <c r="F179" s="4" t="n">
        <v>1</v>
      </c>
      <c r="G179" s="4" t="n">
        <f aca="false">IF(COUNTIF('Letterboxd Watched'!$E$2:$E$3000,M179)&gt;0,1,0)</f>
        <v>0</v>
      </c>
      <c r="H179" s="4" t="n">
        <v>1</v>
      </c>
      <c r="I179" s="4" t="s">
        <v>1327</v>
      </c>
      <c r="J179" s="4" t="s">
        <v>50</v>
      </c>
      <c r="K179" s="4" t="s">
        <v>3902</v>
      </c>
      <c r="L179" s="48" t="str">
        <f aca="false">HYPERLINK("https://letterboxd.com/search/films/Ballet+Mécanique+1924/","open")</f>
        <v>open</v>
      </c>
      <c r="M179" s="4" t="str">
        <f aca="false">LOWER(A179)&amp;"|"&amp;B179</f>
        <v>ballet mécanique|1924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 customFormat="false" ht="15" hidden="false" customHeight="false" outlineLevel="0" collapsed="false">
      <c r="A180" s="4" t="s">
        <v>3756</v>
      </c>
      <c r="B180" s="4" t="n">
        <v>2006</v>
      </c>
      <c r="C180" s="4" t="str">
        <f aca="false">FLOOR(B180,10)&amp;"s"</f>
        <v>2000s</v>
      </c>
      <c r="D180" s="4" t="s">
        <v>3049</v>
      </c>
      <c r="E180" s="25" t="str">
        <f aca="false">IF(G180=1,"✓","")</f>
        <v/>
      </c>
      <c r="F180" s="4" t="n">
        <v>1</v>
      </c>
      <c r="G180" s="4" t="n">
        <f aca="false">IF(COUNTIF('Letterboxd Watched'!$E$2:$E$3000,M180)&gt;0,1,0)</f>
        <v>0</v>
      </c>
      <c r="H180" s="4" t="n">
        <v>1</v>
      </c>
      <c r="I180" s="4" t="s">
        <v>1327</v>
      </c>
      <c r="J180" s="4" t="s">
        <v>51</v>
      </c>
      <c r="K180" s="4" t="s">
        <v>4036</v>
      </c>
      <c r="L180" s="48" t="str">
        <f aca="false">HYPERLINK("https://letterboxd.com/search/films/Bamako+2006/","open")</f>
        <v>open</v>
      </c>
      <c r="M180" s="4" t="str">
        <f aca="false">LOWER(A180)&amp;"|"&amp;B180</f>
        <v>bamako|2006</v>
      </c>
      <c r="N180" s="4" t="n">
        <v>0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customFormat="false" ht="15" hidden="false" customHeight="false" outlineLevel="0" collapsed="false">
      <c r="A181" s="4" t="s">
        <v>1798</v>
      </c>
      <c r="B181" s="4" t="n">
        <v>1942</v>
      </c>
      <c r="C181" s="4" t="str">
        <f aca="false">FLOOR(B181,10)&amp;"s"</f>
        <v>1940s</v>
      </c>
      <c r="D181" s="4" t="s">
        <v>736</v>
      </c>
      <c r="E181" s="25" t="str">
        <f aca="false">IF(G181=1,"✓","")</f>
        <v/>
      </c>
      <c r="F181" s="4" t="n">
        <v>1</v>
      </c>
      <c r="G181" s="4" t="n">
        <f aca="false">IF(COUNTIF('Letterboxd Watched'!$E$2:$E$3000,M181)&gt;0,1,0)</f>
        <v>0</v>
      </c>
      <c r="H181" s="4" t="n">
        <v>2</v>
      </c>
      <c r="I181" s="4" t="s">
        <v>213</v>
      </c>
      <c r="J181" s="4" t="s">
        <v>52</v>
      </c>
      <c r="K181" s="4" t="s">
        <v>4162</v>
      </c>
      <c r="L181" s="48" t="str">
        <f aca="false">HYPERLINK("https://boxd.it/25AQ","open")</f>
        <v>open</v>
      </c>
      <c r="M181" s="4" t="str">
        <f aca="false">LOWER(A181)&amp;"|"&amp;B181</f>
        <v>bambi|1942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customFormat="false" ht="15" hidden="false" customHeight="false" outlineLevel="0" collapsed="false">
      <c r="A182" s="4" t="s">
        <v>3719</v>
      </c>
      <c r="B182" s="4" t="n">
        <v>2000</v>
      </c>
      <c r="C182" s="4" t="str">
        <f aca="false">FLOOR(B182,10)&amp;"s"</f>
        <v>2000s</v>
      </c>
      <c r="D182" s="4" t="s">
        <v>148</v>
      </c>
      <c r="E182" s="25" t="str">
        <f aca="false">IF(G182=1,"✓","")</f>
        <v/>
      </c>
      <c r="F182" s="4" t="n">
        <v>1</v>
      </c>
      <c r="G182" s="4" t="n">
        <f aca="false">IF(COUNTIF('Letterboxd Watched'!$E$2:$E$3000,M182)&gt;0,1,0)</f>
        <v>0</v>
      </c>
      <c r="H182" s="4" t="n">
        <v>1</v>
      </c>
      <c r="I182" s="4" t="s">
        <v>1327</v>
      </c>
      <c r="J182" s="4" t="s">
        <v>53</v>
      </c>
      <c r="K182" s="4" t="s">
        <v>148</v>
      </c>
      <c r="L182" s="48" t="str">
        <f aca="false">HYPERLINK("https://boxd.it/1xfa","open")</f>
        <v>open</v>
      </c>
      <c r="M182" s="4" t="str">
        <f aca="false">LOWER(A182)&amp;"|"&amp;B182</f>
        <v>bamboozled|2000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</row>
    <row r="183" customFormat="false" ht="15" hidden="false" customHeight="false" outlineLevel="0" collapsed="false">
      <c r="A183" s="4" t="s">
        <v>585</v>
      </c>
      <c r="B183" s="4" t="n">
        <v>1964</v>
      </c>
      <c r="C183" s="4" t="str">
        <f aca="false">FLOOR(B183,10)&amp;"s"</f>
        <v>1960s</v>
      </c>
      <c r="D183" s="4" t="s">
        <v>152</v>
      </c>
      <c r="E183" s="25" t="str">
        <f aca="false">IF(G183=1,"✓","")</f>
        <v/>
      </c>
      <c r="F183" s="4" t="n">
        <v>3</v>
      </c>
      <c r="G183" s="4" t="n">
        <f aca="false">IF(COUNTIF('Letterboxd Watched'!$E$2:$E$3000,M183)&gt;0,1,0)</f>
        <v>0</v>
      </c>
      <c r="H183" s="4" t="n">
        <v>6</v>
      </c>
      <c r="I183" s="4" t="s">
        <v>213</v>
      </c>
      <c r="J183" s="4" t="s">
        <v>51</v>
      </c>
      <c r="K183" s="4" t="s">
        <v>5212</v>
      </c>
      <c r="L183" s="48" t="str">
        <f aca="false">HYPERLINK("https://boxd.it/20Aw","open")</f>
        <v>open</v>
      </c>
      <c r="M183" s="4" t="str">
        <f aca="false">LOWER(A183)&amp;"|"&amp;B183</f>
        <v>band of outsiders|1964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1</v>
      </c>
      <c r="S183" s="4" t="n">
        <v>0</v>
      </c>
      <c r="T183" s="4" t="n">
        <v>0</v>
      </c>
      <c r="U183" s="4" t="n">
        <v>1</v>
      </c>
      <c r="V183" s="4" t="n">
        <v>0</v>
      </c>
      <c r="W183" s="4" t="n">
        <v>0</v>
      </c>
    </row>
    <row r="184" customFormat="false" ht="15" hidden="false" customHeight="false" outlineLevel="0" collapsed="false">
      <c r="A184" s="4" t="s">
        <v>1895</v>
      </c>
      <c r="B184" s="4" t="n">
        <v>1953</v>
      </c>
      <c r="C184" s="4" t="str">
        <f aca="false">FLOOR(B184,10)&amp;"s"</f>
        <v>1950s</v>
      </c>
      <c r="D184" s="4" t="s">
        <v>570</v>
      </c>
      <c r="E184" s="25" t="str">
        <f aca="false">IF(G184=1,"✓","")</f>
        <v/>
      </c>
      <c r="F184" s="4" t="n">
        <v>1</v>
      </c>
      <c r="G184" s="4" t="n">
        <f aca="false">IF(COUNTIF('Letterboxd Watched'!$E$2:$E$3000,M184)&gt;0,1,0)</f>
        <v>0</v>
      </c>
      <c r="H184" s="4" t="n">
        <v>2</v>
      </c>
      <c r="I184" s="4" t="s">
        <v>213</v>
      </c>
      <c r="J184" s="4" t="s">
        <v>52</v>
      </c>
      <c r="K184" s="4" t="s">
        <v>4110</v>
      </c>
      <c r="L184" s="48" t="str">
        <f aca="false">HYPERLINK("https://boxd.it/1nCI","open")</f>
        <v>open</v>
      </c>
      <c r="M184" s="4" t="str">
        <f aca="false">LOWER(A184)&amp;"|"&amp;B184</f>
        <v>the band wagon|1953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 customFormat="false" ht="15" hidden="false" customHeight="false" outlineLevel="0" collapsed="false">
      <c r="A185" s="4" t="s">
        <v>915</v>
      </c>
      <c r="B185" s="4" t="n">
        <v>1940</v>
      </c>
      <c r="C185" s="4" t="str">
        <f aca="false">FLOOR(B185,10)&amp;"s"</f>
        <v>1940s</v>
      </c>
      <c r="D185" s="4" t="s">
        <v>916</v>
      </c>
      <c r="E185" s="25" t="str">
        <f aca="false">IF(G185=1,"✓","")</f>
        <v/>
      </c>
      <c r="F185" s="4" t="n">
        <v>2</v>
      </c>
      <c r="G185" s="4" t="n">
        <f aca="false">IF(COUNTIF('Letterboxd Watched'!$E$2:$E$3000,M185)&gt;0,1,0)</f>
        <v>0</v>
      </c>
      <c r="H185" s="4" t="n">
        <v>4</v>
      </c>
      <c r="I185" s="4" t="s">
        <v>213</v>
      </c>
      <c r="J185" s="4" t="s">
        <v>52</v>
      </c>
      <c r="K185" s="4" t="s">
        <v>5213</v>
      </c>
      <c r="L185" s="48" t="str">
        <f aca="false">HYPERLINK("https://boxd.it/29iG","open")</f>
        <v>open</v>
      </c>
      <c r="M185" s="4" t="str">
        <f aca="false">LOWER(A185)&amp;"|"&amp;B185</f>
        <v>the bank dick|1940</v>
      </c>
      <c r="N185" s="4" t="n">
        <v>0</v>
      </c>
      <c r="O185" s="4" t="n">
        <v>0</v>
      </c>
      <c r="P185" s="4" t="n">
        <v>0</v>
      </c>
      <c r="Q185" s="4" t="n">
        <v>1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1</v>
      </c>
      <c r="W185" s="4" t="n">
        <v>0</v>
      </c>
    </row>
    <row r="186" customFormat="false" ht="15" hidden="false" customHeight="false" outlineLevel="0" collapsed="false">
      <c r="A186" s="4" t="s">
        <v>2990</v>
      </c>
      <c r="B186" s="4" t="n">
        <v>2012</v>
      </c>
      <c r="C186" s="4" t="str">
        <f aca="false">FLOOR(B186,10)&amp;"s"</f>
        <v>2010s</v>
      </c>
      <c r="D186" s="4" t="s">
        <v>2991</v>
      </c>
      <c r="E186" s="25" t="str">
        <f aca="false">IF(G186=1,"✓","")</f>
        <v/>
      </c>
      <c r="F186" s="4" t="n">
        <v>1</v>
      </c>
      <c r="G186" s="4" t="n">
        <f aca="false">IF(COUNTIF('Letterboxd Watched'!$E$2:$E$3000,M186)&gt;0,1,0)</f>
        <v>0</v>
      </c>
      <c r="H186" s="4" t="n">
        <v>2</v>
      </c>
      <c r="I186" s="4" t="s">
        <v>213</v>
      </c>
      <c r="J186" s="4" t="s">
        <v>51</v>
      </c>
      <c r="K186" s="4" t="s">
        <v>3974</v>
      </c>
      <c r="L186" s="48" t="str">
        <f aca="false">HYPERLINK("https://boxd.it/37XY","open")</f>
        <v>open</v>
      </c>
      <c r="M186" s="4" t="str">
        <f aca="false">LOWER(A186)&amp;"|"&amp;B186</f>
        <v>barbara|2012</v>
      </c>
      <c r="N186" s="4" t="n">
        <v>0</v>
      </c>
      <c r="O186" s="4" t="n">
        <v>0</v>
      </c>
      <c r="P186" s="4" t="n">
        <v>1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 customFormat="false" ht="15" hidden="false" customHeight="false" outlineLevel="0" collapsed="false">
      <c r="A187" s="4" t="s">
        <v>3454</v>
      </c>
      <c r="B187" s="4" t="n">
        <v>1968</v>
      </c>
      <c r="C187" s="4" t="str">
        <f aca="false">FLOOR(B187,10)&amp;"s"</f>
        <v>1960s</v>
      </c>
      <c r="D187" s="4" t="s">
        <v>3455</v>
      </c>
      <c r="E187" s="25" t="str">
        <f aca="false">IF(G187=1,"✓","")</f>
        <v/>
      </c>
      <c r="F187" s="4" t="n">
        <v>1</v>
      </c>
      <c r="G187" s="4" t="n">
        <f aca="false">IF(COUNTIF('Letterboxd Watched'!$E$2:$E$3000,M187)&gt;0,1,0)</f>
        <v>0</v>
      </c>
      <c r="H187" s="4" t="n">
        <v>1</v>
      </c>
      <c r="I187" s="4" t="s">
        <v>1327</v>
      </c>
      <c r="J187" s="4" t="s">
        <v>52</v>
      </c>
      <c r="K187" s="4" t="s">
        <v>4094</v>
      </c>
      <c r="L187" s="48" t="str">
        <f aca="false">HYPERLINK("https://boxd.it/20Ba","open")</f>
        <v>open</v>
      </c>
      <c r="M187" s="4" t="str">
        <f aca="false">LOWER(A187)&amp;"|"&amp;B187</f>
        <v>barbarella|1968</v>
      </c>
      <c r="N187" s="4" t="n">
        <v>0</v>
      </c>
      <c r="O187" s="4" t="n">
        <v>0</v>
      </c>
      <c r="P187" s="4" t="n">
        <v>0</v>
      </c>
      <c r="Q187" s="4" t="n">
        <v>1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</row>
    <row r="188" customFormat="false" ht="15" hidden="false" customHeight="false" outlineLevel="0" collapsed="false">
      <c r="A188" s="4" t="s">
        <v>2395</v>
      </c>
      <c r="B188" s="4" t="n">
        <v>1983</v>
      </c>
      <c r="C188" s="4" t="str">
        <f aca="false">FLOOR(B188,10)&amp;"s"</f>
        <v>1980s</v>
      </c>
      <c r="D188" s="4" t="s">
        <v>2396</v>
      </c>
      <c r="E188" s="25" t="str">
        <f aca="false">IF(G188=1,"✓","")</f>
        <v/>
      </c>
      <c r="F188" s="4" t="n">
        <v>1</v>
      </c>
      <c r="G188" s="4" t="n">
        <f aca="false">IF(COUNTIF('Letterboxd Watched'!$E$2:$E$3000,M188)&gt;0,1,0)</f>
        <v>0</v>
      </c>
      <c r="H188" s="4" t="n">
        <v>2</v>
      </c>
      <c r="I188" s="4" t="s">
        <v>213</v>
      </c>
      <c r="J188" s="4" t="s">
        <v>55</v>
      </c>
      <c r="K188" s="4" t="s">
        <v>4342</v>
      </c>
      <c r="L188" s="48" t="str">
        <f aca="false">HYPERLINK("https://letterboxd.com/search/films/Barefoot+Gen+1983/","open")</f>
        <v>open</v>
      </c>
      <c r="M188" s="4" t="str">
        <f aca="false">LOWER(A188)&amp;"|"&amp;B188</f>
        <v>barefoot gen|1983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1</v>
      </c>
      <c r="U188" s="4" t="n">
        <v>0</v>
      </c>
      <c r="V188" s="4" t="n">
        <v>0</v>
      </c>
      <c r="W188" s="4" t="n">
        <v>0</v>
      </c>
    </row>
    <row r="189" customFormat="false" ht="15" hidden="false" customHeight="false" outlineLevel="0" collapsed="false">
      <c r="A189" s="4" t="s">
        <v>2724</v>
      </c>
      <c r="B189" s="4" t="n">
        <v>2000</v>
      </c>
      <c r="C189" s="4" t="str">
        <f aca="false">FLOOR(B189,10)&amp;"s"</f>
        <v>2000s</v>
      </c>
      <c r="D189" s="4" t="s">
        <v>276</v>
      </c>
      <c r="E189" s="25" t="str">
        <f aca="false">IF(G189=1,"✓","")</f>
        <v/>
      </c>
      <c r="F189" s="4" t="n">
        <v>1</v>
      </c>
      <c r="G189" s="4" t="n">
        <f aca="false">IF(COUNTIF('Letterboxd Watched'!$E$2:$E$3000,M189)&gt;0,1,0)</f>
        <v>0</v>
      </c>
      <c r="H189" s="4" t="n">
        <v>2</v>
      </c>
      <c r="I189" s="4" t="s">
        <v>213</v>
      </c>
      <c r="J189" s="4" t="s">
        <v>53</v>
      </c>
      <c r="K189" s="4" t="s">
        <v>4251</v>
      </c>
      <c r="L189" s="48" t="str">
        <f aca="false">HYPERLINK("https://boxd.it/1BLa","open")</f>
        <v>open</v>
      </c>
      <c r="M189" s="4" t="str">
        <f aca="false">LOWER(A189)&amp;"|"&amp;B189</f>
        <v>barking dogs never bite|2000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1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</row>
    <row r="190" customFormat="false" ht="15" hidden="false" customHeight="false" outlineLevel="0" collapsed="false">
      <c r="A190" s="4" t="s">
        <v>601</v>
      </c>
      <c r="B190" s="4" t="n">
        <v>1975</v>
      </c>
      <c r="C190" s="4" t="str">
        <f aca="false">FLOOR(B190,10)&amp;"s"</f>
        <v>1970s</v>
      </c>
      <c r="D190" s="4" t="s">
        <v>187</v>
      </c>
      <c r="E190" s="25" t="str">
        <f aca="false">IF(G190=1,"✓","")</f>
        <v>✓</v>
      </c>
      <c r="F190" s="4" t="n">
        <v>3</v>
      </c>
      <c r="G190" s="4" t="n">
        <f aca="false">IF(COUNTIF('Letterboxd Watched'!$E$2:$E$3000,M190)&gt;0,1,0)</f>
        <v>1</v>
      </c>
      <c r="H190" s="4" t="n">
        <v>6</v>
      </c>
      <c r="I190" s="4" t="s">
        <v>213</v>
      </c>
      <c r="J190" s="4" t="s">
        <v>49</v>
      </c>
      <c r="K190" s="4" t="s">
        <v>5214</v>
      </c>
      <c r="L190" s="48" t="str">
        <f aca="false">HYPERLINK("https://boxd.it/25A2","open")</f>
        <v>open</v>
      </c>
      <c r="M190" s="4" t="str">
        <f aca="false">LOWER(A190)&amp;"|"&amp;B190</f>
        <v>barry lyndon|1975</v>
      </c>
      <c r="N190" s="4" t="n">
        <v>1</v>
      </c>
      <c r="O190" s="4" t="n">
        <v>0</v>
      </c>
      <c r="P190" s="4" t="n">
        <v>0</v>
      </c>
      <c r="Q190" s="4" t="n">
        <v>0</v>
      </c>
      <c r="R190" s="4" t="n">
        <v>1</v>
      </c>
      <c r="S190" s="4" t="n">
        <v>0</v>
      </c>
      <c r="T190" s="4" t="n">
        <v>0</v>
      </c>
      <c r="U190" s="4" t="n">
        <v>0</v>
      </c>
      <c r="V190" s="4" t="n">
        <v>1</v>
      </c>
      <c r="W190" s="4" t="n">
        <v>0</v>
      </c>
    </row>
    <row r="191" customFormat="false" ht="15" hidden="false" customHeight="false" outlineLevel="0" collapsed="false">
      <c r="A191" s="4" t="s">
        <v>1381</v>
      </c>
      <c r="B191" s="4" t="n">
        <v>1991</v>
      </c>
      <c r="C191" s="4" t="str">
        <f aca="false">FLOOR(B191,10)&amp;"s"</f>
        <v>1990s</v>
      </c>
      <c r="D191" s="4" t="s">
        <v>397</v>
      </c>
      <c r="E191" s="25" t="str">
        <f aca="false">IF(G191=1,"✓","")</f>
        <v>✓</v>
      </c>
      <c r="F191" s="4" t="n">
        <v>2</v>
      </c>
      <c r="G191" s="4" t="n">
        <f aca="false">IF(COUNTIF('Letterboxd Watched'!$E$2:$E$3000,M191)&gt;0,1,0)</f>
        <v>1</v>
      </c>
      <c r="H191" s="4" t="n">
        <v>3</v>
      </c>
      <c r="I191" s="4" t="s">
        <v>213</v>
      </c>
      <c r="J191" s="4" t="s">
        <v>53</v>
      </c>
      <c r="K191" s="4" t="s">
        <v>5215</v>
      </c>
      <c r="L191" s="48" t="str">
        <f aca="false">HYPERLINK("https://boxd.it/2aFQ","open")</f>
        <v>open</v>
      </c>
      <c r="M191" s="4" t="str">
        <f aca="false">LOWER(A191)&amp;"|"&amp;B191</f>
        <v>barton fink|1991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1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1</v>
      </c>
    </row>
    <row r="192" customFormat="false" ht="15" hidden="false" customHeight="false" outlineLevel="0" collapsed="false">
      <c r="A192" s="4" t="s">
        <v>3635</v>
      </c>
      <c r="B192" s="4" t="n">
        <v>1986</v>
      </c>
      <c r="C192" s="4" t="str">
        <f aca="false">FLOOR(B192,10)&amp;"s"</f>
        <v>1980s</v>
      </c>
      <c r="D192" s="4" t="s">
        <v>3506</v>
      </c>
      <c r="E192" s="25" t="str">
        <f aca="false">IF(G192=1,"✓","")</f>
        <v/>
      </c>
      <c r="F192" s="4" t="n">
        <v>1</v>
      </c>
      <c r="G192" s="4" t="n">
        <f aca="false">IF(COUNTIF('Letterboxd Watched'!$E$2:$E$3000,M192)&gt;0,1,0)</f>
        <v>0</v>
      </c>
      <c r="H192" s="4" t="n">
        <v>1</v>
      </c>
      <c r="I192" s="4" t="s">
        <v>1327</v>
      </c>
      <c r="J192" s="4" t="s">
        <v>51</v>
      </c>
      <c r="K192" s="4" t="s">
        <v>4032</v>
      </c>
      <c r="L192" s="48" t="str">
        <f aca="false">HYPERLINK("https://letterboxd.com/search/films/Bashu+the+Little+Stranger+1986/","open")</f>
        <v>open</v>
      </c>
      <c r="M192" s="4" t="str">
        <f aca="false">LOWER(A192)&amp;"|"&amp;B192</f>
        <v>bashu, the little stranger|1986</v>
      </c>
      <c r="N192" s="4" t="n">
        <v>0</v>
      </c>
      <c r="O192" s="4" t="n">
        <v>0</v>
      </c>
      <c r="P192" s="4" t="n">
        <v>1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 customFormat="false" ht="15" hidden="false" customHeight="false" outlineLevel="0" collapsed="false">
      <c r="A193" s="4" t="s">
        <v>1546</v>
      </c>
      <c r="B193" s="4" t="n">
        <v>1992</v>
      </c>
      <c r="C193" s="4" t="str">
        <f aca="false">FLOOR(B193,10)&amp;"s"</f>
        <v>1990s</v>
      </c>
      <c r="D193" s="4" t="s">
        <v>699</v>
      </c>
      <c r="E193" s="25" t="str">
        <f aca="false">IF(G193=1,"✓","")</f>
        <v/>
      </c>
      <c r="F193" s="4" t="n">
        <v>1</v>
      </c>
      <c r="G193" s="4" t="n">
        <f aca="false">IF(COUNTIF('Letterboxd Watched'!$E$2:$E$3000,M193)&gt;0,1,0)</f>
        <v>0</v>
      </c>
      <c r="H193" s="4" t="n">
        <v>3</v>
      </c>
      <c r="I193" s="4" t="s">
        <v>144</v>
      </c>
      <c r="J193" s="4" t="s">
        <v>52</v>
      </c>
      <c r="K193" s="4" t="s">
        <v>4128</v>
      </c>
      <c r="L193" s="48" t="str">
        <f aca="false">HYPERLINK("https://boxd.it/2asM","open")</f>
        <v>open</v>
      </c>
      <c r="M193" s="4" t="str">
        <f aca="false">LOWER(A193)&amp;"|"&amp;B193</f>
        <v>basic instinct|1992</v>
      </c>
      <c r="N193" s="4" t="n">
        <v>0</v>
      </c>
      <c r="O193" s="4" t="n">
        <v>0</v>
      </c>
      <c r="P193" s="4" t="n">
        <v>0</v>
      </c>
      <c r="Q193" s="4" t="n">
        <v>1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 customFormat="false" ht="15" hidden="false" customHeight="false" outlineLevel="0" collapsed="false">
      <c r="A194" s="4" t="s">
        <v>3035</v>
      </c>
      <c r="B194" s="4" t="n">
        <v>2013</v>
      </c>
      <c r="C194" s="4" t="str">
        <f aca="false">FLOOR(B194,10)&amp;"s"</f>
        <v>2010s</v>
      </c>
      <c r="D194" s="4" t="s">
        <v>262</v>
      </c>
      <c r="E194" s="25" t="str">
        <f aca="false">IF(G194=1,"✓","")</f>
        <v/>
      </c>
      <c r="F194" s="4" t="n">
        <v>1</v>
      </c>
      <c r="G194" s="4" t="n">
        <f aca="false">IF(COUNTIF('Letterboxd Watched'!$E$2:$E$3000,M194)&gt;0,1,0)</f>
        <v>0</v>
      </c>
      <c r="H194" s="4" t="n">
        <v>2</v>
      </c>
      <c r="I194" s="4" t="s">
        <v>213</v>
      </c>
      <c r="J194" s="4" t="s">
        <v>53</v>
      </c>
      <c r="K194" s="4" t="s">
        <v>262</v>
      </c>
      <c r="L194" s="48" t="str">
        <f aca="false">HYPERLINK("https://boxd.it/5tmE","open")</f>
        <v>open</v>
      </c>
      <c r="M194" s="4" t="str">
        <f aca="false">LOWER(A194)&amp;"|"&amp;B194</f>
        <v>bastards|2013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1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 customFormat="false" ht="15" hidden="false" customHeight="false" outlineLevel="0" collapsed="false">
      <c r="A195" s="4" t="s">
        <v>2488</v>
      </c>
      <c r="B195" s="4" t="n">
        <v>1989</v>
      </c>
      <c r="C195" s="4" t="str">
        <f aca="false">FLOOR(B195,10)&amp;"s"</f>
        <v>1980s</v>
      </c>
      <c r="D195" s="4" t="s">
        <v>1111</v>
      </c>
      <c r="E195" s="25" t="str">
        <f aca="false">IF(G195=1,"✓","")</f>
        <v>✓</v>
      </c>
      <c r="F195" s="4" t="n">
        <v>1</v>
      </c>
      <c r="G195" s="4" t="n">
        <f aca="false">IF(COUNTIF('Letterboxd Watched'!$E$2:$E$3000,M195)&gt;0,1,0)</f>
        <v>1</v>
      </c>
      <c r="H195" s="4" t="n">
        <v>2</v>
      </c>
      <c r="I195" s="4" t="s">
        <v>213</v>
      </c>
      <c r="J195" s="4" t="s">
        <v>50</v>
      </c>
      <c r="K195" s="4" t="s">
        <v>3920</v>
      </c>
      <c r="L195" s="48" t="str">
        <f aca="false">HYPERLINK("https://boxd.it/2aIU","open")</f>
        <v>open</v>
      </c>
      <c r="M195" s="4" t="str">
        <f aca="false">LOWER(A195)&amp;"|"&amp;B195</f>
        <v>batman|1989</v>
      </c>
      <c r="N195" s="4" t="n">
        <v>0</v>
      </c>
      <c r="O195" s="4" t="n">
        <v>1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</row>
    <row r="196" customFormat="false" ht="15" hidden="false" customHeight="false" outlineLevel="0" collapsed="false">
      <c r="A196" s="4" t="s">
        <v>772</v>
      </c>
      <c r="B196" s="4" t="n">
        <v>1966</v>
      </c>
      <c r="C196" s="4" t="str">
        <f aca="false">FLOOR(B196,10)&amp;"s"</f>
        <v>1960s</v>
      </c>
      <c r="D196" s="4" t="s">
        <v>773</v>
      </c>
      <c r="E196" s="25" t="str">
        <f aca="false">IF(G196=1,"✓","")</f>
        <v/>
      </c>
      <c r="F196" s="4" t="n">
        <v>2</v>
      </c>
      <c r="G196" s="4" t="n">
        <f aca="false">IF(COUNTIF('Letterboxd Watched'!$E$2:$E$3000,M196)&gt;0,1,0)</f>
        <v>0</v>
      </c>
      <c r="H196" s="4" t="n">
        <v>5</v>
      </c>
      <c r="I196" s="4" t="s">
        <v>144</v>
      </c>
      <c r="J196" s="4" t="s">
        <v>51</v>
      </c>
      <c r="K196" s="4" t="s">
        <v>5216</v>
      </c>
      <c r="L196" s="48" t="str">
        <f aca="false">HYPERLINK("https://boxd.it/1IRY","open")</f>
        <v>open</v>
      </c>
      <c r="M196" s="4" t="str">
        <f aca="false">LOWER(A196)&amp;"|"&amp;B196</f>
        <v>the battle of algiers|1966</v>
      </c>
      <c r="N196" s="4" t="n">
        <v>0</v>
      </c>
      <c r="O196" s="4" t="n">
        <v>0</v>
      </c>
      <c r="P196" s="4" t="n">
        <v>1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1</v>
      </c>
      <c r="W196" s="4" t="n">
        <v>0</v>
      </c>
    </row>
    <row r="197" customFormat="false" ht="15" hidden="false" customHeight="false" outlineLevel="0" collapsed="false">
      <c r="A197" s="4" t="s">
        <v>2258</v>
      </c>
      <c r="B197" s="4" t="n">
        <v>1975</v>
      </c>
      <c r="C197" s="4" t="str">
        <f aca="false">FLOOR(B197,10)&amp;"s"</f>
        <v>1970s</v>
      </c>
      <c r="D197" s="4" t="s">
        <v>2259</v>
      </c>
      <c r="E197" s="25" t="str">
        <f aca="false">IF(G197=1,"✓","")</f>
        <v/>
      </c>
      <c r="F197" s="4" t="n">
        <v>1</v>
      </c>
      <c r="G197" s="4" t="n">
        <f aca="false">IF(COUNTIF('Letterboxd Watched'!$E$2:$E$3000,M197)&gt;0,1,0)</f>
        <v>0</v>
      </c>
      <c r="H197" s="4" t="n">
        <v>2</v>
      </c>
      <c r="I197" s="4" t="s">
        <v>213</v>
      </c>
      <c r="J197" s="4" t="s">
        <v>51</v>
      </c>
      <c r="K197" s="4" t="s">
        <v>4008</v>
      </c>
      <c r="L197" s="48" t="str">
        <f aca="false">HYPERLINK("https://letterboxd.com/search/films/The+Battle+of+Chile+1975/","open")</f>
        <v>open</v>
      </c>
      <c r="M197" s="4" t="str">
        <f aca="false">LOWER(A197)&amp;"|"&amp;B197</f>
        <v>the battle of chile|1975</v>
      </c>
      <c r="N197" s="4" t="n">
        <v>0</v>
      </c>
      <c r="O197" s="4" t="n">
        <v>0</v>
      </c>
      <c r="P197" s="4" t="n">
        <v>1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 customFormat="false" ht="15" hidden="false" customHeight="false" outlineLevel="0" collapsed="false">
      <c r="A198" s="4" t="s">
        <v>2733</v>
      </c>
      <c r="B198" s="4" t="n">
        <v>2000</v>
      </c>
      <c r="C198" s="4" t="str">
        <f aca="false">FLOOR(B198,10)&amp;"s"</f>
        <v>2000s</v>
      </c>
      <c r="D198" s="4" t="s">
        <v>673</v>
      </c>
      <c r="E198" s="25" t="str">
        <f aca="false">IF(G198=1,"✓","")</f>
        <v/>
      </c>
      <c r="F198" s="4" t="n">
        <v>1</v>
      </c>
      <c r="G198" s="4" t="n">
        <f aca="false">IF(COUNTIF('Letterboxd Watched'!$E$2:$E$3000,M198)&gt;0,1,0)</f>
        <v>0</v>
      </c>
      <c r="H198" s="4" t="n">
        <v>2</v>
      </c>
      <c r="I198" s="4" t="s">
        <v>213</v>
      </c>
      <c r="J198" s="4" t="s">
        <v>56</v>
      </c>
      <c r="K198" s="4" t="s">
        <v>4410</v>
      </c>
      <c r="L198" s="48" t="str">
        <f aca="false">HYPERLINK("https://boxd.it/25zS","open")</f>
        <v>open</v>
      </c>
      <c r="M198" s="4" t="str">
        <f aca="false">LOWER(A198)&amp;"|"&amp;B198</f>
        <v>battle royale|2000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1</v>
      </c>
      <c r="V198" s="4" t="n">
        <v>0</v>
      </c>
      <c r="W198" s="4" t="n">
        <v>0</v>
      </c>
    </row>
    <row r="199" customFormat="false" ht="15" hidden="false" customHeight="false" outlineLevel="0" collapsed="false">
      <c r="A199" s="4" t="s">
        <v>672</v>
      </c>
      <c r="B199" s="4" t="n">
        <v>1973</v>
      </c>
      <c r="C199" s="4" t="str">
        <f aca="false">FLOOR(B199,10)&amp;"s"</f>
        <v>1970s</v>
      </c>
      <c r="D199" s="4" t="s">
        <v>673</v>
      </c>
      <c r="E199" s="25" t="str">
        <f aca="false">IF(G199=1,"✓","")</f>
        <v/>
      </c>
      <c r="F199" s="4" t="n">
        <v>2</v>
      </c>
      <c r="G199" s="4" t="n">
        <f aca="false">IF(COUNTIF('Letterboxd Watched'!$E$2:$E$3000,M199)&gt;0,1,0)</f>
        <v>0</v>
      </c>
      <c r="H199" s="4" t="n">
        <v>6</v>
      </c>
      <c r="I199" s="4" t="s">
        <v>144</v>
      </c>
      <c r="J199" s="4" t="s">
        <v>51</v>
      </c>
      <c r="K199" s="4" t="s">
        <v>5217</v>
      </c>
      <c r="L199" s="48" t="str">
        <f aca="false">HYPERLINK("https://boxd.it/1e0q","open")</f>
        <v>open</v>
      </c>
      <c r="M199" s="4" t="str">
        <f aca="false">LOWER(A199)&amp;"|"&amp;B199</f>
        <v>battles without honor and humanity|1973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</v>
      </c>
      <c r="W199" s="4" t="n">
        <v>0</v>
      </c>
    </row>
    <row r="200" customFormat="false" ht="15" hidden="false" customHeight="false" outlineLevel="0" collapsed="false">
      <c r="A200" s="4" t="s">
        <v>231</v>
      </c>
      <c r="B200" s="4" t="n">
        <v>1925</v>
      </c>
      <c r="C200" s="4" t="str">
        <f aca="false">FLOOR(B200,10)&amp;"s"</f>
        <v>1920s</v>
      </c>
      <c r="D200" s="4" t="s">
        <v>232</v>
      </c>
      <c r="E200" s="25" t="str">
        <f aca="false">IF(G200=1,"✓","")</f>
        <v/>
      </c>
      <c r="F200" s="4" t="n">
        <v>5</v>
      </c>
      <c r="G200" s="4" t="n">
        <f aca="false">IF(COUNTIF('Letterboxd Watched'!$E$2:$E$3000,M200)&gt;0,1,0)</f>
        <v>0</v>
      </c>
      <c r="H200" s="4" t="n">
        <v>13</v>
      </c>
      <c r="I200" s="4" t="s">
        <v>144</v>
      </c>
      <c r="J200" s="4" t="s">
        <v>49</v>
      </c>
      <c r="K200" s="4" t="s">
        <v>5218</v>
      </c>
      <c r="L200" s="48" t="str">
        <f aca="false">HYPERLINK("https://boxd.it/29Vo","open")</f>
        <v>open</v>
      </c>
      <c r="M200" s="4" t="str">
        <f aca="false">LOWER(A200)&amp;"|"&amp;B200</f>
        <v>battleship potemkin|1925</v>
      </c>
      <c r="N200" s="4" t="n">
        <v>1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  <c r="U200" s="4" t="n">
        <v>0</v>
      </c>
      <c r="V200" s="4" t="n">
        <v>1</v>
      </c>
      <c r="W200" s="4" t="n">
        <v>0</v>
      </c>
    </row>
    <row r="201" customFormat="false" ht="15" hidden="false" customHeight="false" outlineLevel="0" collapsed="false">
      <c r="A201" s="4" t="s">
        <v>2167</v>
      </c>
      <c r="B201" s="4" t="n">
        <v>1971</v>
      </c>
      <c r="C201" s="4" t="str">
        <f aca="false">FLOOR(B201,10)&amp;"s"</f>
        <v>1970s</v>
      </c>
      <c r="D201" s="4" t="s">
        <v>761</v>
      </c>
      <c r="E201" s="25" t="str">
        <f aca="false">IF(G201=1,"✓","")</f>
        <v/>
      </c>
      <c r="F201" s="4" t="n">
        <v>1</v>
      </c>
      <c r="G201" s="4" t="n">
        <f aca="false">IF(COUNTIF('Letterboxd Watched'!$E$2:$E$3000,M201)&gt;0,1,0)</f>
        <v>0</v>
      </c>
      <c r="H201" s="4" t="n">
        <v>2</v>
      </c>
      <c r="I201" s="4" t="s">
        <v>213</v>
      </c>
      <c r="J201" s="4" t="s">
        <v>51</v>
      </c>
      <c r="K201" s="4" t="s">
        <v>3950</v>
      </c>
      <c r="L201" s="48" t="str">
        <f aca="false">HYPERLINK("https://boxd.it/232i","open")</f>
        <v>open</v>
      </c>
      <c r="M201" s="4" t="str">
        <f aca="false">LOWER(A201)&amp;"|"&amp;B201</f>
        <v>a bay of blood|1971</v>
      </c>
      <c r="N201" s="4" t="n">
        <v>0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</row>
    <row r="202" customFormat="false" ht="15" hidden="false" customHeight="false" outlineLevel="0" collapsed="false">
      <c r="A202" s="4" t="s">
        <v>2910</v>
      </c>
      <c r="B202" s="4" t="n">
        <v>2008</v>
      </c>
      <c r="C202" s="4" t="str">
        <f aca="false">FLOOR(B202,10)&amp;"s"</f>
        <v>2000s</v>
      </c>
      <c r="D202" s="4" t="s">
        <v>158</v>
      </c>
      <c r="E202" s="25" t="str">
        <f aca="false">IF(G202=1,"✓","")</f>
        <v/>
      </c>
      <c r="F202" s="4" t="n">
        <v>1</v>
      </c>
      <c r="G202" s="4" t="n">
        <f aca="false">IF(COUNTIF('Letterboxd Watched'!$E$2:$E$3000,M202)&gt;0,1,0)</f>
        <v>0</v>
      </c>
      <c r="H202" s="4" t="n">
        <v>2</v>
      </c>
      <c r="I202" s="4" t="s">
        <v>213</v>
      </c>
      <c r="J202" s="4" t="s">
        <v>53</v>
      </c>
      <c r="K202" s="4" t="s">
        <v>158</v>
      </c>
      <c r="L202" s="48" t="str">
        <f aca="false">HYPERLINK("https://boxd.it/14Y6","open")</f>
        <v>open</v>
      </c>
      <c r="M202" s="4" t="str">
        <f aca="false">LOWER(A202)&amp;"|"&amp;B202</f>
        <v>the beaches of agnès|2008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</row>
    <row r="203" customFormat="false" ht="15" hidden="false" customHeight="false" outlineLevel="0" collapsed="false">
      <c r="A203" s="4" t="s">
        <v>3075</v>
      </c>
      <c r="B203" s="4" t="n">
        <v>2015</v>
      </c>
      <c r="C203" s="4" t="str">
        <f aca="false">FLOOR(B203,10)&amp;"s"</f>
        <v>2010s</v>
      </c>
      <c r="D203" s="4" t="s">
        <v>3076</v>
      </c>
      <c r="E203" s="25" t="str">
        <f aca="false">IF(G203=1,"✓","")</f>
        <v/>
      </c>
      <c r="F203" s="4" t="n">
        <v>1</v>
      </c>
      <c r="G203" s="4" t="n">
        <f aca="false">IF(COUNTIF('Letterboxd Watched'!$E$2:$E$3000,M203)&gt;0,1,0)</f>
        <v>0</v>
      </c>
      <c r="H203" s="4" t="n">
        <v>2</v>
      </c>
      <c r="I203" s="4" t="s">
        <v>213</v>
      </c>
      <c r="J203" s="4" t="s">
        <v>52</v>
      </c>
      <c r="K203" s="4" t="s">
        <v>4144</v>
      </c>
      <c r="L203" s="48" t="str">
        <f aca="false">HYPERLINK("https://boxd.it/8Lp8","open")</f>
        <v>open</v>
      </c>
      <c r="M203" s="4" t="str">
        <f aca="false">LOWER(A203)&amp;"|"&amp;B203</f>
        <v>beasts of no nation|2015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</row>
    <row r="204" customFormat="false" ht="15" hidden="false" customHeight="false" outlineLevel="0" collapsed="false">
      <c r="A204" s="4" t="s">
        <v>3016</v>
      </c>
      <c r="B204" s="4" t="n">
        <v>2012</v>
      </c>
      <c r="C204" s="4" t="str">
        <f aca="false">FLOOR(B204,10)&amp;"s"</f>
        <v>2010s</v>
      </c>
      <c r="D204" s="4" t="s">
        <v>3017</v>
      </c>
      <c r="E204" s="25" t="str">
        <f aca="false">IF(G204=1,"✓","")</f>
        <v/>
      </c>
      <c r="F204" s="4" t="n">
        <v>1</v>
      </c>
      <c r="G204" s="4" t="n">
        <f aca="false">IF(COUNTIF('Letterboxd Watched'!$E$2:$E$3000,M204)&gt;0,1,0)</f>
        <v>0</v>
      </c>
      <c r="H204" s="4" t="n">
        <v>2</v>
      </c>
      <c r="I204" s="4" t="s">
        <v>213</v>
      </c>
      <c r="J204" s="4" t="s">
        <v>56</v>
      </c>
      <c r="K204" s="4" t="s">
        <v>4392</v>
      </c>
      <c r="L204" s="48" t="str">
        <f aca="false">HYPERLINK("https://letterboxd.com/search/films/Beasts+of+the+Southern+Wild+2012/","open")</f>
        <v>open</v>
      </c>
      <c r="M204" s="4" t="str">
        <f aca="false">LOWER(A204)&amp;"|"&amp;B204</f>
        <v>beasts of the southern wild|2012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1</v>
      </c>
      <c r="V204" s="4" t="n">
        <v>0</v>
      </c>
      <c r="W204" s="4" t="n">
        <v>0</v>
      </c>
    </row>
    <row r="205" customFormat="false" ht="15" hidden="false" customHeight="false" outlineLevel="0" collapsed="false">
      <c r="A205" s="4" t="s">
        <v>1644</v>
      </c>
      <c r="B205" s="4" t="n">
        <v>2023</v>
      </c>
      <c r="C205" s="4" t="str">
        <f aca="false">FLOOR(B205,10)&amp;"s"</f>
        <v>2020s</v>
      </c>
      <c r="D205" s="4" t="s">
        <v>696</v>
      </c>
      <c r="E205" s="25" t="str">
        <f aca="false">IF(G205=1,"✓","")</f>
        <v/>
      </c>
      <c r="F205" s="4" t="n">
        <v>2</v>
      </c>
      <c r="G205" s="4" t="n">
        <f aca="false">IF(COUNTIF('Letterboxd Watched'!$E$2:$E$3000,M205)&gt;0,1,0)</f>
        <v>0</v>
      </c>
      <c r="H205" s="4" t="n">
        <v>3</v>
      </c>
      <c r="I205" s="4" t="s">
        <v>213</v>
      </c>
      <c r="J205" s="4" t="s">
        <v>58</v>
      </c>
      <c r="K205" s="4" t="s">
        <v>5219</v>
      </c>
      <c r="L205" s="48" t="str">
        <f aca="false">HYPERLINK("https://boxd.it/u2gE","open")</f>
        <v>open</v>
      </c>
      <c r="M205" s="4" t="str">
        <f aca="false">LOWER(A205)&amp;"|"&amp;B205</f>
        <v>beau is afraid|2023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1</v>
      </c>
    </row>
    <row r="206" customFormat="false" ht="15" hidden="false" customHeight="false" outlineLevel="0" collapsed="false">
      <c r="A206" s="4" t="s">
        <v>1951</v>
      </c>
      <c r="B206" s="4" t="n">
        <v>1958</v>
      </c>
      <c r="C206" s="4" t="str">
        <f aca="false">FLOOR(B206,10)&amp;"s"</f>
        <v>1950s</v>
      </c>
      <c r="D206" s="4" t="s">
        <v>1952</v>
      </c>
      <c r="E206" s="25" t="str">
        <f aca="false">IF(G206=1,"✓","")</f>
        <v/>
      </c>
      <c r="F206" s="4" t="n">
        <v>1</v>
      </c>
      <c r="G206" s="4" t="n">
        <f aca="false">IF(COUNTIF('Letterboxd Watched'!$E$2:$E$3000,M206)&gt;0,1,0)</f>
        <v>0</v>
      </c>
      <c r="H206" s="4" t="n">
        <v>2</v>
      </c>
      <c r="I206" s="4" t="s">
        <v>213</v>
      </c>
      <c r="J206" s="4" t="s">
        <v>51</v>
      </c>
      <c r="K206" s="4" t="s">
        <v>3960</v>
      </c>
      <c r="L206" s="48" t="str">
        <f aca="false">HYPERLINK("https://letterboxd.com/search/films/Le+Beau+Serge+1958/","open")</f>
        <v>open</v>
      </c>
      <c r="M206" s="4" t="str">
        <f aca="false">LOWER(A206)&amp;"|"&amp;B206</f>
        <v>le beau serge|1958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</row>
    <row r="207" customFormat="false" ht="15" hidden="false" customHeight="false" outlineLevel="0" collapsed="false">
      <c r="A207" s="4" t="s">
        <v>261</v>
      </c>
      <c r="B207" s="4" t="n">
        <v>1999</v>
      </c>
      <c r="C207" s="4" t="str">
        <f aca="false">FLOOR(B207,10)&amp;"s"</f>
        <v>1990s</v>
      </c>
      <c r="D207" s="4" t="s">
        <v>262</v>
      </c>
      <c r="E207" s="25" t="str">
        <f aca="false">IF(G207=1,"✓","")</f>
        <v/>
      </c>
      <c r="F207" s="4" t="n">
        <v>5</v>
      </c>
      <c r="G207" s="4" t="n">
        <f aca="false">IF(COUNTIF('Letterboxd Watched'!$E$2:$E$3000,M207)&gt;0,1,0)</f>
        <v>0</v>
      </c>
      <c r="H207" s="4" t="n">
        <v>12</v>
      </c>
      <c r="I207" s="4" t="s">
        <v>144</v>
      </c>
      <c r="J207" s="4" t="s">
        <v>51</v>
      </c>
      <c r="K207" s="4" t="s">
        <v>5220</v>
      </c>
      <c r="L207" s="48" t="str">
        <f aca="false">HYPERLINK("https://boxd.it/1NI8","open")</f>
        <v>open</v>
      </c>
      <c r="M207" s="4" t="str">
        <f aca="false">LOWER(A207)&amp;"|"&amp;B207</f>
        <v>beau travail|1999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1</v>
      </c>
      <c r="T207" s="4" t="n">
        <v>0</v>
      </c>
      <c r="U207" s="4" t="n">
        <v>0</v>
      </c>
      <c r="V207" s="4" t="n">
        <v>1</v>
      </c>
      <c r="W207" s="4" t="n">
        <v>0</v>
      </c>
    </row>
    <row r="208" customFormat="false" ht="15" hidden="false" customHeight="false" outlineLevel="0" collapsed="false">
      <c r="A208" s="4" t="s">
        <v>3695</v>
      </c>
      <c r="B208" s="4" t="n">
        <v>1996</v>
      </c>
      <c r="C208" s="4" t="str">
        <f aca="false">FLOOR(B208,10)&amp;"s"</f>
        <v>1990s</v>
      </c>
      <c r="D208" s="4" t="s">
        <v>3696</v>
      </c>
      <c r="E208" s="25" t="str">
        <f aca="false">IF(G208=1,"✓","")</f>
        <v/>
      </c>
      <c r="F208" s="4" t="n">
        <v>1</v>
      </c>
      <c r="G208" s="4" t="n">
        <f aca="false">IF(COUNTIF('Letterboxd Watched'!$E$2:$E$3000,M208)&gt;0,1,0)</f>
        <v>0</v>
      </c>
      <c r="H208" s="4" t="n">
        <v>1</v>
      </c>
      <c r="I208" s="4" t="s">
        <v>1327</v>
      </c>
      <c r="J208" s="4" t="s">
        <v>56</v>
      </c>
      <c r="K208" s="4" t="s">
        <v>4398</v>
      </c>
      <c r="L208" s="48" t="str">
        <f aca="false">HYPERLINK("https://boxd.it/1Z4u","open")</f>
        <v>open</v>
      </c>
      <c r="M208" s="4" t="str">
        <f aca="false">LOWER(A208)&amp;"|"&amp;B208</f>
        <v>beautiful girls|1996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1</v>
      </c>
      <c r="V208" s="4" t="n">
        <v>0</v>
      </c>
      <c r="W208" s="4" t="n">
        <v>0</v>
      </c>
    </row>
    <row r="209" customFormat="false" ht="15" hidden="false" customHeight="false" outlineLevel="0" collapsed="false">
      <c r="A209" s="4" t="s">
        <v>2756</v>
      </c>
      <c r="B209" s="4" t="n">
        <v>2001</v>
      </c>
      <c r="C209" s="4" t="str">
        <f aca="false">FLOOR(B209,10)&amp;"s"</f>
        <v>2000s</v>
      </c>
      <c r="D209" s="4" t="s">
        <v>1115</v>
      </c>
      <c r="E209" s="25" t="str">
        <f aca="false">IF(G209=1,"✓","")</f>
        <v/>
      </c>
      <c r="F209" s="4" t="n">
        <v>1</v>
      </c>
      <c r="G209" s="4" t="n">
        <f aca="false">IF(COUNTIF('Letterboxd Watched'!$E$2:$E$3000,M209)&gt;0,1,0)</f>
        <v>0</v>
      </c>
      <c r="H209" s="4" t="n">
        <v>2</v>
      </c>
      <c r="I209" s="4" t="s">
        <v>213</v>
      </c>
      <c r="J209" s="4" t="s">
        <v>55</v>
      </c>
      <c r="K209" s="4" t="s">
        <v>4338</v>
      </c>
      <c r="L209" s="48" t="str">
        <f aca="false">HYPERLINK("https://boxd.it/2amk","open")</f>
        <v>open</v>
      </c>
      <c r="M209" s="4" t="str">
        <f aca="false">LOWER(A209)&amp;"|"&amp;B209</f>
        <v>a beautiful mind|2001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1</v>
      </c>
      <c r="U209" s="4" t="n">
        <v>0</v>
      </c>
      <c r="V209" s="4" t="n">
        <v>0</v>
      </c>
      <c r="W209" s="4" t="n">
        <v>0</v>
      </c>
    </row>
    <row r="210" customFormat="false" ht="15" hidden="false" customHeight="false" outlineLevel="0" collapsed="false">
      <c r="A210" s="4" t="s">
        <v>2528</v>
      </c>
      <c r="B210" s="4" t="n">
        <v>1991</v>
      </c>
      <c r="C210" s="4" t="str">
        <f aca="false">FLOOR(B210,10)&amp;"s"</f>
        <v>1990s</v>
      </c>
      <c r="D210" s="4" t="s">
        <v>2529</v>
      </c>
      <c r="E210" s="25" t="str">
        <f aca="false">IF(G210=1,"✓","")</f>
        <v/>
      </c>
      <c r="F210" s="4" t="n">
        <v>1</v>
      </c>
      <c r="G210" s="4" t="n">
        <f aca="false">IF(COUNTIF('Letterboxd Watched'!$E$2:$E$3000,M210)&gt;0,1,0)</f>
        <v>0</v>
      </c>
      <c r="H210" s="4" t="n">
        <v>2</v>
      </c>
      <c r="I210" s="4" t="s">
        <v>213</v>
      </c>
      <c r="J210" s="4" t="s">
        <v>52</v>
      </c>
      <c r="K210" s="4" t="s">
        <v>4162</v>
      </c>
      <c r="L210" s="48" t="str">
        <f aca="false">HYPERLINK("https://boxd.it/1XhG","open")</f>
        <v>open</v>
      </c>
      <c r="M210" s="4" t="str">
        <f aca="false">LOWER(A210)&amp;"|"&amp;B210</f>
        <v>beauty and the beast|1991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</row>
    <row r="211" customFormat="false" ht="15" hidden="false" customHeight="false" outlineLevel="0" collapsed="false">
      <c r="A211" s="4" t="s">
        <v>3297</v>
      </c>
      <c r="B211" s="4" t="n">
        <v>1927</v>
      </c>
      <c r="C211" s="4" t="str">
        <f aca="false">FLOOR(B211,10)&amp;"s"</f>
        <v>1920s</v>
      </c>
      <c r="D211" s="4" t="s">
        <v>3298</v>
      </c>
      <c r="E211" s="25" t="str">
        <f aca="false">IF(G211=1,"✓","")</f>
        <v/>
      </c>
      <c r="F211" s="4" t="n">
        <v>1</v>
      </c>
      <c r="G211" s="4" t="n">
        <f aca="false">IF(COUNTIF('Letterboxd Watched'!$E$2:$E$3000,M211)&gt;0,1,0)</f>
        <v>0</v>
      </c>
      <c r="H211" s="4" t="n">
        <v>1</v>
      </c>
      <c r="I211" s="4" t="s">
        <v>1327</v>
      </c>
      <c r="J211" s="4" t="s">
        <v>50</v>
      </c>
      <c r="K211" s="4" t="s">
        <v>3900</v>
      </c>
      <c r="L211" s="48" t="str">
        <f aca="false">HYPERLINK("https://letterboxd.com/search/films/Bed+and+Sofa+1927/","open")</f>
        <v>open</v>
      </c>
      <c r="M211" s="4" t="str">
        <f aca="false">LOWER(A211)&amp;"|"&amp;B211</f>
        <v>bed and sofa|1927</v>
      </c>
      <c r="N211" s="4" t="n">
        <v>0</v>
      </c>
      <c r="O211" s="4" t="n">
        <v>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</row>
    <row r="212" customFormat="false" ht="15" hidden="false" customHeight="false" outlineLevel="0" collapsed="false">
      <c r="A212" s="4" t="s">
        <v>523</v>
      </c>
      <c r="B212" s="4" t="n">
        <v>2013</v>
      </c>
      <c r="C212" s="4" t="str">
        <f aca="false">FLOOR(B212,10)&amp;"s"</f>
        <v>2010s</v>
      </c>
      <c r="D212" s="4" t="s">
        <v>320</v>
      </c>
      <c r="E212" s="25" t="str">
        <f aca="false">IF(G212=1,"✓","")</f>
        <v>✓</v>
      </c>
      <c r="F212" s="4" t="n">
        <v>3</v>
      </c>
      <c r="G212" s="4" t="n">
        <f aca="false">IF(COUNTIF('Letterboxd Watched'!$E$2:$E$3000,M212)&gt;0,1,0)</f>
        <v>1</v>
      </c>
      <c r="H212" s="4" t="n">
        <v>7</v>
      </c>
      <c r="I212" s="4" t="s">
        <v>144</v>
      </c>
      <c r="J212" s="4" t="s">
        <v>52</v>
      </c>
      <c r="K212" s="4" t="s">
        <v>5221</v>
      </c>
      <c r="L212" s="48" t="str">
        <f aca="false">HYPERLINK("https://boxd.it/4ive","open")</f>
        <v>open</v>
      </c>
      <c r="M212" s="4" t="str">
        <f aca="false">LOWER(A212)&amp;"|"&amp;B212</f>
        <v>before midnight|2013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  <c r="U212" s="4" t="n">
        <v>1</v>
      </c>
      <c r="V212" s="4" t="n">
        <v>0</v>
      </c>
      <c r="W212" s="4" t="n">
        <v>0</v>
      </c>
    </row>
    <row r="213" customFormat="false" ht="15" hidden="false" customHeight="false" outlineLevel="0" collapsed="false">
      <c r="A213" s="4" t="s">
        <v>373</v>
      </c>
      <c r="B213" s="4" t="n">
        <v>1995</v>
      </c>
      <c r="C213" s="4" t="str">
        <f aca="false">FLOOR(B213,10)&amp;"s"</f>
        <v>1990s</v>
      </c>
      <c r="D213" s="4" t="s">
        <v>320</v>
      </c>
      <c r="E213" s="25" t="str">
        <f aca="false">IF(G213=1,"✓","")</f>
        <v>✓</v>
      </c>
      <c r="F213" s="4" t="n">
        <v>4</v>
      </c>
      <c r="G213" s="4" t="n">
        <f aca="false">IF(COUNTIF('Letterboxd Watched'!$E$2:$E$3000,M213)&gt;0,1,0)</f>
        <v>1</v>
      </c>
      <c r="H213" s="4" t="n">
        <v>9</v>
      </c>
      <c r="I213" s="4" t="s">
        <v>144</v>
      </c>
      <c r="J213" s="4" t="s">
        <v>52</v>
      </c>
      <c r="K213" s="4" t="s">
        <v>5222</v>
      </c>
      <c r="L213" s="48" t="str">
        <f aca="false">HYPERLINK("https://boxd.it/2bcU","open")</f>
        <v>open</v>
      </c>
      <c r="M213" s="4" t="str">
        <f aca="false">LOWER(A213)&amp;"|"&amp;B213</f>
        <v>before sunrise|1995</v>
      </c>
      <c r="N213" s="4" t="n">
        <v>0</v>
      </c>
      <c r="O213" s="4" t="n">
        <v>0</v>
      </c>
      <c r="P213" s="4" t="n">
        <v>0</v>
      </c>
      <c r="Q213" s="4" t="n">
        <v>1</v>
      </c>
      <c r="R213" s="4" t="n">
        <v>1</v>
      </c>
      <c r="S213" s="4" t="n">
        <v>0</v>
      </c>
      <c r="T213" s="4" t="n">
        <v>0</v>
      </c>
      <c r="U213" s="4" t="n">
        <v>1</v>
      </c>
      <c r="V213" s="4" t="n">
        <v>0</v>
      </c>
      <c r="W213" s="4" t="n">
        <v>1</v>
      </c>
    </row>
    <row r="214" customFormat="false" ht="15" hidden="false" customHeight="false" outlineLevel="0" collapsed="false">
      <c r="A214" s="4" t="s">
        <v>637</v>
      </c>
      <c r="B214" s="4" t="n">
        <v>2004</v>
      </c>
      <c r="C214" s="4" t="str">
        <f aca="false">FLOOR(B214,10)&amp;"s"</f>
        <v>2000s</v>
      </c>
      <c r="D214" s="4" t="s">
        <v>320</v>
      </c>
      <c r="E214" s="25" t="str">
        <f aca="false">IF(G214=1,"✓","")</f>
        <v>✓</v>
      </c>
      <c r="F214" s="4" t="n">
        <v>3</v>
      </c>
      <c r="G214" s="4" t="n">
        <f aca="false">IF(COUNTIF('Letterboxd Watched'!$E$2:$E$3000,M214)&gt;0,1,0)</f>
        <v>1</v>
      </c>
      <c r="H214" s="4" t="n">
        <v>6</v>
      </c>
      <c r="I214" s="4" t="s">
        <v>213</v>
      </c>
      <c r="J214" s="4" t="s">
        <v>52</v>
      </c>
      <c r="K214" s="4" t="s">
        <v>5221</v>
      </c>
      <c r="L214" s="48" t="str">
        <f aca="false">HYPERLINK("https://boxd.it/2bcg","open")</f>
        <v>open</v>
      </c>
      <c r="M214" s="4" t="str">
        <f aca="false">LOWER(A214)&amp;"|"&amp;B214</f>
        <v>before sunset|2004</v>
      </c>
      <c r="N214" s="4" t="n">
        <v>0</v>
      </c>
      <c r="O214" s="4" t="n">
        <v>0</v>
      </c>
      <c r="P214" s="4" t="n">
        <v>0</v>
      </c>
      <c r="Q214" s="4" t="n">
        <v>1</v>
      </c>
      <c r="R214" s="4" t="n">
        <v>1</v>
      </c>
      <c r="S214" s="4" t="n">
        <v>0</v>
      </c>
      <c r="T214" s="4" t="n">
        <v>0</v>
      </c>
      <c r="U214" s="4" t="n">
        <v>1</v>
      </c>
      <c r="V214" s="4" t="n">
        <v>0</v>
      </c>
      <c r="W214" s="4" t="n">
        <v>0</v>
      </c>
    </row>
    <row r="215" customFormat="false" ht="15" hidden="false" customHeight="false" outlineLevel="0" collapsed="false">
      <c r="A215" s="4" t="s">
        <v>2882</v>
      </c>
      <c r="B215" s="4" t="n">
        <v>2007</v>
      </c>
      <c r="C215" s="4" t="str">
        <f aca="false">FLOOR(B215,10)&amp;"s"</f>
        <v>2000s</v>
      </c>
      <c r="D215" s="4" t="s">
        <v>189</v>
      </c>
      <c r="E215" s="25" t="str">
        <f aca="false">IF(G215=1,"✓","")</f>
        <v/>
      </c>
      <c r="F215" s="4" t="n">
        <v>1</v>
      </c>
      <c r="G215" s="4" t="n">
        <f aca="false">IF(COUNTIF('Letterboxd Watched'!$E$2:$E$3000,M215)&gt;0,1,0)</f>
        <v>0</v>
      </c>
      <c r="H215" s="4" t="n">
        <v>2</v>
      </c>
      <c r="I215" s="4" t="s">
        <v>213</v>
      </c>
      <c r="J215" s="4" t="s">
        <v>53</v>
      </c>
      <c r="K215" s="4" t="s">
        <v>189</v>
      </c>
      <c r="L215" s="48" t="str">
        <f aca="false">HYPERLINK("https://boxd.it/20Jy","open")</f>
        <v>open</v>
      </c>
      <c r="M215" s="4" t="str">
        <f aca="false">LOWER(A215)&amp;"|"&amp;B215</f>
        <v>before the devil knows you're dead|2007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1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</row>
    <row r="216" customFormat="false" ht="15" hidden="false" customHeight="false" outlineLevel="0" collapsed="false">
      <c r="A216" s="4" t="s">
        <v>3493</v>
      </c>
      <c r="B216" s="4" t="n">
        <v>1971</v>
      </c>
      <c r="C216" s="4" t="str">
        <f aca="false">FLOOR(B216,10)&amp;"s"</f>
        <v>1970s</v>
      </c>
      <c r="D216" s="4" t="s">
        <v>409</v>
      </c>
      <c r="E216" s="25" t="str">
        <f aca="false">IF(G216=1,"✓","")</f>
        <v/>
      </c>
      <c r="F216" s="4" t="n">
        <v>1</v>
      </c>
      <c r="G216" s="4" t="n">
        <f aca="false">IF(COUNTIF('Letterboxd Watched'!$E$2:$E$3000,M216)&gt;0,1,0)</f>
        <v>0</v>
      </c>
      <c r="H216" s="4" t="n">
        <v>1</v>
      </c>
      <c r="I216" s="4" t="s">
        <v>1327</v>
      </c>
      <c r="J216" s="4" t="s">
        <v>56</v>
      </c>
      <c r="K216" s="4" t="s">
        <v>4392</v>
      </c>
      <c r="L216" s="48" t="str">
        <f aca="false">HYPERLINK("https://boxd.it/1i9m","open")</f>
        <v>open</v>
      </c>
      <c r="M216" s="4" t="str">
        <f aca="false">LOWER(A216)&amp;"|"&amp;B216</f>
        <v>the beguiled|1971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1</v>
      </c>
      <c r="V216" s="4" t="n">
        <v>0</v>
      </c>
      <c r="W216" s="4" t="n">
        <v>0</v>
      </c>
    </row>
    <row r="217" customFormat="false" ht="15" hidden="false" customHeight="false" outlineLevel="0" collapsed="false">
      <c r="A217" s="4" t="s">
        <v>2739</v>
      </c>
      <c r="B217" s="4" t="n">
        <v>2001</v>
      </c>
      <c r="C217" s="4" t="str">
        <f aca="false">FLOOR(B217,10)&amp;"s"</f>
        <v>2000s</v>
      </c>
      <c r="D217" s="4" t="s">
        <v>2740</v>
      </c>
      <c r="E217" s="25" t="str">
        <f aca="false">IF(G217=1,"✓","")</f>
        <v/>
      </c>
      <c r="F217" s="4" t="n">
        <v>1</v>
      </c>
      <c r="G217" s="4" t="n">
        <f aca="false">IF(COUNTIF('Letterboxd Watched'!$E$2:$E$3000,M217)&gt;0,1,0)</f>
        <v>0</v>
      </c>
      <c r="H217" s="4" t="n">
        <v>2</v>
      </c>
      <c r="I217" s="4" t="s">
        <v>213</v>
      </c>
      <c r="J217" s="4" t="s">
        <v>51</v>
      </c>
      <c r="K217" s="4" t="s">
        <v>4020</v>
      </c>
      <c r="L217" s="48" t="str">
        <f aca="false">HYPERLINK("https://letterboxd.com/search/films/Beijing+Bicycle+2001/","open")</f>
        <v>open</v>
      </c>
      <c r="M217" s="4" t="str">
        <f aca="false">LOWER(A217)&amp;"|"&amp;B217</f>
        <v>beijing bicycle|2001</v>
      </c>
      <c r="N217" s="4" t="n">
        <v>0</v>
      </c>
      <c r="O217" s="4" t="n">
        <v>0</v>
      </c>
      <c r="P217" s="4" t="n">
        <v>1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</row>
    <row r="218" customFormat="false" ht="15" hidden="false" customHeight="false" outlineLevel="0" collapsed="false">
      <c r="A218" s="4" t="s">
        <v>507</v>
      </c>
      <c r="B218" s="4" t="n">
        <v>1999</v>
      </c>
      <c r="C218" s="4" t="str">
        <f aca="false">FLOOR(B218,10)&amp;"s"</f>
        <v>1990s</v>
      </c>
      <c r="D218" s="4" t="s">
        <v>508</v>
      </c>
      <c r="E218" s="25" t="str">
        <f aca="false">IF(G218=1,"✓","")</f>
        <v>✓</v>
      </c>
      <c r="F218" s="4" t="n">
        <v>3</v>
      </c>
      <c r="G218" s="4" t="n">
        <f aca="false">IF(COUNTIF('Letterboxd Watched'!$E$2:$E$3000,M218)&gt;0,1,0)</f>
        <v>1</v>
      </c>
      <c r="H218" s="4" t="n">
        <v>7</v>
      </c>
      <c r="I218" s="4" t="s">
        <v>144</v>
      </c>
      <c r="J218" s="4" t="s">
        <v>50</v>
      </c>
      <c r="K218" s="4" t="s">
        <v>5223</v>
      </c>
      <c r="L218" s="48" t="str">
        <f aca="false">HYPERLINK("https://boxd.it/2ahu","open")</f>
        <v>open</v>
      </c>
      <c r="M218" s="4" t="str">
        <f aca="false">LOWER(A218)&amp;"|"&amp;B218</f>
        <v>being john malkovich|1999</v>
      </c>
      <c r="N218" s="4" t="n">
        <v>0</v>
      </c>
      <c r="O218" s="4" t="n">
        <v>1</v>
      </c>
      <c r="P218" s="4" t="n">
        <v>0</v>
      </c>
      <c r="Q218" s="4" t="n">
        <v>0</v>
      </c>
      <c r="R218" s="4" t="n">
        <v>1</v>
      </c>
      <c r="S218" s="4" t="n">
        <v>1</v>
      </c>
      <c r="T218" s="4" t="n">
        <v>0</v>
      </c>
      <c r="U218" s="4" t="n">
        <v>0</v>
      </c>
      <c r="V218" s="4" t="n">
        <v>0</v>
      </c>
      <c r="W218" s="4" t="n">
        <v>0</v>
      </c>
    </row>
    <row r="219" customFormat="false" ht="15" hidden="false" customHeight="false" outlineLevel="0" collapsed="false">
      <c r="A219" s="4" t="s">
        <v>608</v>
      </c>
      <c r="B219" s="4" t="n">
        <v>1979</v>
      </c>
      <c r="C219" s="4" t="str">
        <f aca="false">FLOOR(B219,10)&amp;"s"</f>
        <v>1970s</v>
      </c>
      <c r="D219" s="4" t="s">
        <v>310</v>
      </c>
      <c r="E219" s="25" t="str">
        <f aca="false">IF(G219=1,"✓","")</f>
        <v/>
      </c>
      <c r="F219" s="4" t="n">
        <v>3</v>
      </c>
      <c r="G219" s="4" t="n">
        <f aca="false">IF(COUNTIF('Letterboxd Watched'!$E$2:$E$3000,M219)&gt;0,1,0)</f>
        <v>0</v>
      </c>
      <c r="H219" s="4" t="n">
        <v>6</v>
      </c>
      <c r="I219" s="4" t="s">
        <v>213</v>
      </c>
      <c r="J219" s="4" t="s">
        <v>52</v>
      </c>
      <c r="K219" s="4" t="s">
        <v>5224</v>
      </c>
      <c r="L219" s="48" t="str">
        <f aca="false">HYPERLINK("https://boxd.it/1WxS","open")</f>
        <v>open</v>
      </c>
      <c r="M219" s="4" t="str">
        <f aca="false">LOWER(A219)&amp;"|"&amp;B219</f>
        <v>being there|1979</v>
      </c>
      <c r="N219" s="4" t="n">
        <v>0</v>
      </c>
      <c r="O219" s="4" t="n">
        <v>0</v>
      </c>
      <c r="P219" s="4" t="n">
        <v>0</v>
      </c>
      <c r="Q219" s="4" t="n">
        <v>1</v>
      </c>
      <c r="R219" s="4" t="n">
        <v>1</v>
      </c>
      <c r="S219" s="4" t="n">
        <v>0</v>
      </c>
      <c r="T219" s="4" t="n">
        <v>1</v>
      </c>
      <c r="U219" s="4" t="n">
        <v>0</v>
      </c>
      <c r="V219" s="4" t="n">
        <v>0</v>
      </c>
      <c r="W219" s="4" t="n">
        <v>0</v>
      </c>
    </row>
    <row r="220" customFormat="false" ht="15" hidden="false" customHeight="false" outlineLevel="0" collapsed="false">
      <c r="A220" s="4" t="s">
        <v>3507</v>
      </c>
      <c r="B220" s="4" t="n">
        <v>1973</v>
      </c>
      <c r="C220" s="4" t="str">
        <f aca="false">FLOOR(B220,10)&amp;"s"</f>
        <v>1970s</v>
      </c>
      <c r="D220" s="4" t="s">
        <v>3508</v>
      </c>
      <c r="E220" s="25" t="str">
        <f aca="false">IF(G220=1,"✓","")</f>
        <v/>
      </c>
      <c r="F220" s="4" t="n">
        <v>1</v>
      </c>
      <c r="G220" s="4" t="n">
        <f aca="false">IF(COUNTIF('Letterboxd Watched'!$E$2:$E$3000,M220)&gt;0,1,0)</f>
        <v>0</v>
      </c>
      <c r="H220" s="4" t="n">
        <v>1</v>
      </c>
      <c r="I220" s="4" t="s">
        <v>1327</v>
      </c>
      <c r="J220" s="4" t="s">
        <v>51</v>
      </c>
      <c r="K220" s="4" t="s">
        <v>3938</v>
      </c>
      <c r="L220" s="48" t="str">
        <f aca="false">HYPERLINK("https://boxd.it/2q","open")</f>
        <v>open</v>
      </c>
      <c r="M220" s="4" t="str">
        <f aca="false">LOWER(A220)&amp;"|"&amp;B220</f>
        <v>belladonna of sadness|1973</v>
      </c>
      <c r="N220" s="4" t="n">
        <v>0</v>
      </c>
      <c r="O220" s="4" t="n">
        <v>0</v>
      </c>
      <c r="P220" s="4" t="n">
        <v>1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</row>
    <row r="221" customFormat="false" ht="15" hidden="false" customHeight="false" outlineLevel="0" collapsed="false">
      <c r="A221" s="4" t="s">
        <v>2109</v>
      </c>
      <c r="B221" s="4" t="n">
        <v>1967</v>
      </c>
      <c r="C221" s="4" t="str">
        <f aca="false">FLOOR(B221,10)&amp;"s"</f>
        <v>1960s</v>
      </c>
      <c r="D221" s="4" t="s">
        <v>402</v>
      </c>
      <c r="E221" s="25" t="str">
        <f aca="false">IF(G221=1,"✓","")</f>
        <v/>
      </c>
      <c r="F221" s="4" t="n">
        <v>1</v>
      </c>
      <c r="G221" s="4" t="n">
        <f aca="false">IF(COUNTIF('Letterboxd Watched'!$E$2:$E$3000,M221)&gt;0,1,0)</f>
        <v>0</v>
      </c>
      <c r="H221" s="4" t="n">
        <v>2</v>
      </c>
      <c r="I221" s="4" t="s">
        <v>213</v>
      </c>
      <c r="J221" s="4" t="s">
        <v>53</v>
      </c>
      <c r="K221" s="4" t="s">
        <v>402</v>
      </c>
      <c r="L221" s="48" t="str">
        <f aca="false">HYPERLINK("https://boxd.it/29Uq","open")</f>
        <v>open</v>
      </c>
      <c r="M221" s="4" t="str">
        <f aca="false">LOWER(A221)&amp;"|"&amp;B221</f>
        <v>belle de jour|1967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1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</row>
    <row r="222" customFormat="false" ht="15" hidden="false" customHeight="false" outlineLevel="0" collapsed="false">
      <c r="A222" s="4" t="s">
        <v>2690</v>
      </c>
      <c r="B222" s="4" t="n">
        <v>1998</v>
      </c>
      <c r="C222" s="4" t="str">
        <f aca="false">FLOOR(B222,10)&amp;"s"</f>
        <v>1990s</v>
      </c>
      <c r="D222" s="4" t="s">
        <v>2691</v>
      </c>
      <c r="E222" s="25" t="str">
        <f aca="false">IF(G222=1,"✓","")</f>
        <v/>
      </c>
      <c r="F222" s="4" t="n">
        <v>1</v>
      </c>
      <c r="G222" s="4" t="n">
        <f aca="false">IF(COUNTIF('Letterboxd Watched'!$E$2:$E$3000,M222)&gt;0,1,0)</f>
        <v>0</v>
      </c>
      <c r="H222" s="4" t="n">
        <v>2</v>
      </c>
      <c r="I222" s="4" t="s">
        <v>213</v>
      </c>
      <c r="J222" s="4" t="s">
        <v>56</v>
      </c>
      <c r="K222" s="4" t="s">
        <v>4394</v>
      </c>
      <c r="L222" s="48" t="str">
        <f aca="false">HYPERLINK("https://boxd.it/1R5Y","open")</f>
        <v>open</v>
      </c>
      <c r="M222" s="4" t="str">
        <f aca="false">LOWER(A222)&amp;"|"&amp;B222</f>
        <v>belly|1998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1</v>
      </c>
      <c r="V222" s="4" t="n">
        <v>0</v>
      </c>
      <c r="W222" s="4" t="n">
        <v>0</v>
      </c>
    </row>
    <row r="223" customFormat="false" ht="15" hidden="false" customHeight="false" outlineLevel="0" collapsed="false">
      <c r="A223" s="4" t="s">
        <v>2795</v>
      </c>
      <c r="B223" s="4" t="n">
        <v>2002</v>
      </c>
      <c r="C223" s="4" t="str">
        <f aca="false">FLOOR(B223,10)&amp;"s"</f>
        <v>2000s</v>
      </c>
      <c r="D223" s="4" t="s">
        <v>2796</v>
      </c>
      <c r="E223" s="25" t="str">
        <f aca="false">IF(G223=1,"✓","")</f>
        <v/>
      </c>
      <c r="F223" s="4" t="n">
        <v>1</v>
      </c>
      <c r="G223" s="4" t="n">
        <f aca="false">IF(COUNTIF('Letterboxd Watched'!$E$2:$E$3000,M223)&gt;0,1,0)</f>
        <v>0</v>
      </c>
      <c r="H223" s="4" t="n">
        <v>2</v>
      </c>
      <c r="I223" s="4" t="s">
        <v>213</v>
      </c>
      <c r="J223" s="4" t="s">
        <v>56</v>
      </c>
      <c r="K223" s="4" t="s">
        <v>4384</v>
      </c>
      <c r="L223" s="48" t="str">
        <f aca="false">HYPERLINK("https://letterboxd.com/search/films/Below+2002/","open")</f>
        <v>open</v>
      </c>
      <c r="M223" s="4" t="str">
        <f aca="false">LOWER(A223)&amp;"|"&amp;B223</f>
        <v>below|2002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1</v>
      </c>
      <c r="V223" s="4" t="n">
        <v>0</v>
      </c>
      <c r="W223" s="4" t="n">
        <v>0</v>
      </c>
    </row>
    <row r="224" customFormat="false" ht="15" hidden="false" customHeight="false" outlineLevel="0" collapsed="false">
      <c r="A224" s="4" t="s">
        <v>1970</v>
      </c>
      <c r="B224" s="4" t="n">
        <v>1959</v>
      </c>
      <c r="C224" s="4" t="str">
        <f aca="false">FLOOR(B224,10)&amp;"s"</f>
        <v>1950s</v>
      </c>
      <c r="D224" s="4" t="s">
        <v>305</v>
      </c>
      <c r="E224" s="25" t="str">
        <f aca="false">IF(G224=1,"✓","")</f>
        <v/>
      </c>
      <c r="F224" s="4" t="n">
        <v>1</v>
      </c>
      <c r="G224" s="4" t="n">
        <f aca="false">IF(COUNTIF('Letterboxd Watched'!$E$2:$E$3000,M224)&gt;0,1,0)</f>
        <v>0</v>
      </c>
      <c r="H224" s="4" t="n">
        <v>2</v>
      </c>
      <c r="I224" s="4" t="s">
        <v>213</v>
      </c>
      <c r="J224" s="4" t="s">
        <v>57</v>
      </c>
      <c r="K224" s="4" t="s">
        <v>4428</v>
      </c>
      <c r="L224" s="48" t="str">
        <f aca="false">HYPERLINK("https://boxd.it/29RQ","open")</f>
        <v>open</v>
      </c>
      <c r="M224" s="4" t="str">
        <f aca="false">LOWER(A224)&amp;"|"&amp;B224</f>
        <v>ben-hur|1959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1</v>
      </c>
      <c r="W224" s="4" t="n">
        <v>0</v>
      </c>
    </row>
    <row r="225" customFormat="false" ht="15" hidden="false" customHeight="false" outlineLevel="0" collapsed="false">
      <c r="A225" s="4" t="s">
        <v>1887</v>
      </c>
      <c r="B225" s="4" t="n">
        <v>1952</v>
      </c>
      <c r="C225" s="4" t="str">
        <f aca="false">FLOOR(B225,10)&amp;"s"</f>
        <v>1950s</v>
      </c>
      <c r="D225" s="4" t="s">
        <v>1843</v>
      </c>
      <c r="E225" s="25" t="str">
        <f aca="false">IF(G225=1,"✓","")</f>
        <v/>
      </c>
      <c r="F225" s="4" t="n">
        <v>1</v>
      </c>
      <c r="G225" s="4" t="n">
        <f aca="false">IF(COUNTIF('Letterboxd Watched'!$E$2:$E$3000,M225)&gt;0,1,0)</f>
        <v>0</v>
      </c>
      <c r="H225" s="4" t="n">
        <v>2</v>
      </c>
      <c r="I225" s="4" t="s">
        <v>213</v>
      </c>
      <c r="J225" s="4" t="s">
        <v>52</v>
      </c>
      <c r="K225" s="4" t="s">
        <v>4050</v>
      </c>
      <c r="L225" s="48" t="str">
        <f aca="false">HYPERLINK("https://boxd.it/15kw","open")</f>
        <v>open</v>
      </c>
      <c r="M225" s="4" t="str">
        <f aca="false">LOWER(A225)&amp;"|"&amp;B225</f>
        <v>bend of the river|1952</v>
      </c>
      <c r="N225" s="4" t="n">
        <v>0</v>
      </c>
      <c r="O225" s="4" t="n">
        <v>0</v>
      </c>
      <c r="P225" s="4" t="n">
        <v>0</v>
      </c>
      <c r="Q225" s="4" t="n">
        <v>1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</row>
    <row r="226" customFormat="false" ht="15" hidden="false" customHeight="false" outlineLevel="0" collapsed="false">
      <c r="A226" s="4" t="s">
        <v>2546</v>
      </c>
      <c r="B226" s="4" t="n">
        <v>1992</v>
      </c>
      <c r="C226" s="4" t="str">
        <f aca="false">FLOOR(B226,10)&amp;"s"</f>
        <v>1990s</v>
      </c>
      <c r="D226" s="4" t="s">
        <v>516</v>
      </c>
      <c r="E226" s="25" t="str">
        <f aca="false">IF(G226=1,"✓","")</f>
        <v/>
      </c>
      <c r="F226" s="4" t="n">
        <v>1</v>
      </c>
      <c r="G226" s="4" t="n">
        <f aca="false">IF(COUNTIF('Letterboxd Watched'!$E$2:$E$3000,M226)&gt;0,1,0)</f>
        <v>0</v>
      </c>
      <c r="H226" s="4" t="n">
        <v>2</v>
      </c>
      <c r="I226" s="4" t="s">
        <v>213</v>
      </c>
      <c r="J226" s="4" t="s">
        <v>53</v>
      </c>
      <c r="K226" s="4" t="s">
        <v>516</v>
      </c>
      <c r="L226" s="48" t="str">
        <f aca="false">HYPERLINK("https://letterboxd.com/search/films/Bennys+Video+1992/","open")</f>
        <v>open</v>
      </c>
      <c r="M226" s="4" t="str">
        <f aca="false">LOWER(A226)&amp;"|"&amp;B226</f>
        <v>benny's video|1992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1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</row>
    <row r="227" customFormat="false" ht="15" hidden="false" customHeight="false" outlineLevel="0" collapsed="false">
      <c r="A227" s="4" t="s">
        <v>2988</v>
      </c>
      <c r="B227" s="4" t="n">
        <v>2012</v>
      </c>
      <c r="C227" s="4" t="str">
        <f aca="false">FLOOR(B227,10)&amp;"s"</f>
        <v>2010s</v>
      </c>
      <c r="D227" s="4" t="s">
        <v>2989</v>
      </c>
      <c r="E227" s="25" t="str">
        <f aca="false">IF(G227=1,"✓","")</f>
        <v/>
      </c>
      <c r="F227" s="4" t="n">
        <v>1</v>
      </c>
      <c r="G227" s="4" t="n">
        <f aca="false">IF(COUNTIF('Letterboxd Watched'!$E$2:$E$3000,M227)&gt;0,1,0)</f>
        <v>0</v>
      </c>
      <c r="H227" s="4" t="n">
        <v>2</v>
      </c>
      <c r="I227" s="4" t="s">
        <v>213</v>
      </c>
      <c r="J227" s="4" t="s">
        <v>49</v>
      </c>
      <c r="K227" s="4" t="s">
        <v>3884</v>
      </c>
      <c r="L227" s="48" t="str">
        <f aca="false">HYPERLINK("https://letterboxd.com/search/films/Berberian+Sound+Studio+2012/","open")</f>
        <v>open</v>
      </c>
      <c r="M227" s="4" t="str">
        <f aca="false">LOWER(A227)&amp;"|"&amp;B227</f>
        <v>berberian sound studio|2012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</row>
    <row r="228" customFormat="false" ht="15" hidden="false" customHeight="false" outlineLevel="0" collapsed="false">
      <c r="A228" s="4" t="s">
        <v>1691</v>
      </c>
      <c r="B228" s="4" t="n">
        <v>1927</v>
      </c>
      <c r="C228" s="4" t="str">
        <f aca="false">FLOOR(B228,10)&amp;"s"</f>
        <v>1920s</v>
      </c>
      <c r="D228" s="4" t="s">
        <v>1692</v>
      </c>
      <c r="E228" s="25" t="str">
        <f aca="false">IF(G228=1,"✓","")</f>
        <v/>
      </c>
      <c r="F228" s="4" t="n">
        <v>1</v>
      </c>
      <c r="G228" s="4" t="n">
        <f aca="false">IF(COUNTIF('Letterboxd Watched'!$E$2:$E$3000,M228)&gt;0,1,0)</f>
        <v>0</v>
      </c>
      <c r="H228" s="4" t="n">
        <v>2</v>
      </c>
      <c r="I228" s="4" t="s">
        <v>213</v>
      </c>
      <c r="J228" s="4" t="s">
        <v>52</v>
      </c>
      <c r="K228" s="4" t="s">
        <v>4170</v>
      </c>
      <c r="L228" s="48" t="str">
        <f aca="false">HYPERLINK("https://letterboxd.com/search/films/Berlin+Symphony+of+a+Metropolis+1927/","open")</f>
        <v>open</v>
      </c>
      <c r="M228" s="4" t="str">
        <f aca="false">LOWER(A228)&amp;"|"&amp;B228</f>
        <v>berlin: symphony of a metropolis|1927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</row>
    <row r="229" customFormat="false" ht="15" hidden="false" customHeight="false" outlineLevel="0" collapsed="false">
      <c r="A229" s="4" t="s">
        <v>2974</v>
      </c>
      <c r="B229" s="4" t="n">
        <v>2011</v>
      </c>
      <c r="C229" s="4" t="str">
        <f aca="false">FLOOR(B229,10)&amp;"s"</f>
        <v>2010s</v>
      </c>
      <c r="D229" s="4" t="s">
        <v>320</v>
      </c>
      <c r="E229" s="25" t="str">
        <f aca="false">IF(G229=1,"✓","")</f>
        <v>✓</v>
      </c>
      <c r="F229" s="4" t="n">
        <v>1</v>
      </c>
      <c r="G229" s="4" t="n">
        <f aca="false">IF(COUNTIF('Letterboxd Watched'!$E$2:$E$3000,M229)&gt;0,1,0)</f>
        <v>1</v>
      </c>
      <c r="H229" s="4" t="n">
        <v>2</v>
      </c>
      <c r="I229" s="4" t="s">
        <v>213</v>
      </c>
      <c r="J229" s="4" t="s">
        <v>53</v>
      </c>
      <c r="K229" s="4" t="s">
        <v>320</v>
      </c>
      <c r="L229" s="48" t="str">
        <f aca="false">HYPERLINK("https://boxd.it/3eWe","open")</f>
        <v>open</v>
      </c>
      <c r="M229" s="4" t="str">
        <f aca="false">LOWER(A229)&amp;"|"&amp;B229</f>
        <v>bernie|2011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</row>
    <row r="230" customFormat="false" ht="15" hidden="false" customHeight="false" outlineLevel="0" collapsed="false">
      <c r="A230" s="4" t="s">
        <v>2718</v>
      </c>
      <c r="B230" s="4" t="n">
        <v>2000</v>
      </c>
      <c r="C230" s="4" t="str">
        <f aca="false">FLOOR(B230,10)&amp;"s"</f>
        <v>2000s</v>
      </c>
      <c r="D230" s="4" t="s">
        <v>2636</v>
      </c>
      <c r="E230" s="25" t="str">
        <f aca="false">IF(G230=1,"✓","")</f>
        <v/>
      </c>
      <c r="F230" s="4" t="n">
        <v>1</v>
      </c>
      <c r="G230" s="4" t="n">
        <f aca="false">IF(COUNTIF('Letterboxd Watched'!$E$2:$E$3000,M230)&gt;0,1,0)</f>
        <v>0</v>
      </c>
      <c r="H230" s="4" t="n">
        <v>2</v>
      </c>
      <c r="I230" s="4" t="s">
        <v>213</v>
      </c>
      <c r="J230" s="4" t="s">
        <v>52</v>
      </c>
      <c r="K230" s="4" t="s">
        <v>4104</v>
      </c>
      <c r="L230" s="48" t="str">
        <f aca="false">HYPERLINK("https://boxd.it/1Pqq","open")</f>
        <v>open</v>
      </c>
      <c r="M230" s="4" t="str">
        <f aca="false">LOWER(A230)&amp;"|"&amp;B230</f>
        <v>best in show|2000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</row>
    <row r="231" customFormat="false" ht="15" hidden="false" customHeight="false" outlineLevel="0" collapsed="false">
      <c r="A231" s="4" t="s">
        <v>2056</v>
      </c>
      <c r="B231" s="4" t="n">
        <v>1964</v>
      </c>
      <c r="C231" s="4" t="str">
        <f aca="false">FLOOR(B231,10)&amp;"s"</f>
        <v>1960s</v>
      </c>
      <c r="D231" s="4" t="s">
        <v>1477</v>
      </c>
      <c r="E231" s="25" t="str">
        <f aca="false">IF(G231=1,"✓","")</f>
        <v/>
      </c>
      <c r="F231" s="4" t="n">
        <v>1</v>
      </c>
      <c r="G231" s="4" t="n">
        <f aca="false">IF(COUNTIF('Letterboxd Watched'!$E$2:$E$3000,M231)&gt;0,1,0)</f>
        <v>0</v>
      </c>
      <c r="H231" s="4" t="n">
        <v>2</v>
      </c>
      <c r="I231" s="4" t="s">
        <v>213</v>
      </c>
      <c r="J231" s="4" t="s">
        <v>55</v>
      </c>
      <c r="K231" s="4" t="s">
        <v>4318</v>
      </c>
      <c r="L231" s="48" t="str">
        <f aca="false">HYPERLINK("https://boxd.it/18yw","open")</f>
        <v>open</v>
      </c>
      <c r="M231" s="4" t="str">
        <f aca="false">LOWER(A231)&amp;"|"&amp;B231</f>
        <v>the best man|1964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1</v>
      </c>
      <c r="U231" s="4" t="n">
        <v>0</v>
      </c>
      <c r="V231" s="4" t="n">
        <v>0</v>
      </c>
      <c r="W231" s="4" t="n">
        <v>0</v>
      </c>
    </row>
    <row r="232" customFormat="false" ht="15" hidden="false" customHeight="false" outlineLevel="0" collapsed="false">
      <c r="A232" s="4" t="s">
        <v>304</v>
      </c>
      <c r="B232" s="4" t="n">
        <v>1946</v>
      </c>
      <c r="C232" s="4" t="str">
        <f aca="false">FLOOR(B232,10)&amp;"s"</f>
        <v>1940s</v>
      </c>
      <c r="D232" s="4" t="s">
        <v>305</v>
      </c>
      <c r="E232" s="25" t="str">
        <f aca="false">IF(G232=1,"✓","")</f>
        <v/>
      </c>
      <c r="F232" s="4" t="n">
        <v>5</v>
      </c>
      <c r="G232" s="4" t="n">
        <f aca="false">IF(COUNTIF('Letterboxd Watched'!$E$2:$E$3000,M232)&gt;0,1,0)</f>
        <v>0</v>
      </c>
      <c r="H232" s="4" t="n">
        <v>10</v>
      </c>
      <c r="I232" s="4" t="s">
        <v>213</v>
      </c>
      <c r="J232" s="4" t="s">
        <v>50</v>
      </c>
      <c r="K232" s="4" t="s">
        <v>5225</v>
      </c>
      <c r="L232" s="48" t="str">
        <f aca="false">HYPERLINK("https://boxd.it/29my","open")</f>
        <v>open</v>
      </c>
      <c r="M232" s="4" t="str">
        <f aca="false">LOWER(A232)&amp;"|"&amp;B232</f>
        <v>the best years of our lives|1946</v>
      </c>
      <c r="N232" s="4" t="n">
        <v>0</v>
      </c>
      <c r="O232" s="4" t="n">
        <v>1</v>
      </c>
      <c r="P232" s="4" t="n">
        <v>0</v>
      </c>
      <c r="Q232" s="4" t="n">
        <v>1</v>
      </c>
      <c r="R232" s="4" t="n">
        <v>0</v>
      </c>
      <c r="S232" s="4" t="n">
        <v>1</v>
      </c>
      <c r="T232" s="4" t="n">
        <v>0</v>
      </c>
      <c r="U232" s="4" t="n">
        <v>0</v>
      </c>
      <c r="V232" s="4" t="n">
        <v>1</v>
      </c>
      <c r="W232" s="4" t="n">
        <v>0</v>
      </c>
    </row>
    <row r="233" customFormat="false" ht="15" hidden="false" customHeight="false" outlineLevel="0" collapsed="false">
      <c r="A233" s="4" t="s">
        <v>2429</v>
      </c>
      <c r="B233" s="4" t="n">
        <v>1986</v>
      </c>
      <c r="C233" s="4" t="str">
        <f aca="false">FLOOR(B233,10)&amp;"s"</f>
        <v>1980s</v>
      </c>
      <c r="D233" s="4" t="s">
        <v>1387</v>
      </c>
      <c r="E233" s="25" t="str">
        <f aca="false">IF(G233=1,"✓","")</f>
        <v/>
      </c>
      <c r="F233" s="4" t="n">
        <v>1</v>
      </c>
      <c r="G233" s="4" t="n">
        <f aca="false">IF(COUNTIF('Letterboxd Watched'!$E$2:$E$3000,M233)&gt;0,1,0)</f>
        <v>0</v>
      </c>
      <c r="H233" s="4" t="n">
        <v>2</v>
      </c>
      <c r="I233" s="4" t="s">
        <v>213</v>
      </c>
      <c r="J233" s="4" t="s">
        <v>51</v>
      </c>
      <c r="K233" s="4" t="s">
        <v>4012</v>
      </c>
      <c r="L233" s="48" t="str">
        <f aca="false">HYPERLINK("https://boxd.it/1TLW","open")</f>
        <v>open</v>
      </c>
      <c r="M233" s="4" t="str">
        <f aca="false">LOWER(A233)&amp;"|"&amp;B233</f>
        <v>a better tomorrow|1986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 customFormat="false" ht="15" hidden="false" customHeight="false" outlineLevel="0" collapsed="false">
      <c r="A234" s="4" t="s">
        <v>2427</v>
      </c>
      <c r="B234" s="4" t="n">
        <v>1986</v>
      </c>
      <c r="C234" s="4" t="str">
        <f aca="false">FLOOR(B234,10)&amp;"s"</f>
        <v>1980s</v>
      </c>
      <c r="D234" s="4" t="s">
        <v>1525</v>
      </c>
      <c r="E234" s="25" t="str">
        <f aca="false">IF(G234=1,"✓","")</f>
        <v/>
      </c>
      <c r="F234" s="4" t="n">
        <v>1</v>
      </c>
      <c r="G234" s="4" t="n">
        <f aca="false">IF(COUNTIF('Letterboxd Watched'!$E$2:$E$3000,M234)&gt;0,1,0)</f>
        <v>0</v>
      </c>
      <c r="H234" s="4" t="n">
        <v>2</v>
      </c>
      <c r="I234" s="4" t="s">
        <v>213</v>
      </c>
      <c r="J234" s="4" t="s">
        <v>51</v>
      </c>
      <c r="K234" s="4" t="s">
        <v>3966</v>
      </c>
      <c r="L234" s="48" t="str">
        <f aca="false">HYPERLINK("https://boxd.it/1SBw","open")</f>
        <v>open</v>
      </c>
      <c r="M234" s="4" t="str">
        <f aca="false">LOWER(A234)&amp;"|"&amp;B234</f>
        <v>betty blue|1986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</row>
    <row r="235" customFormat="false" ht="15" hidden="false" customHeight="false" outlineLevel="0" collapsed="false">
      <c r="A235" s="4" t="s">
        <v>3621</v>
      </c>
      <c r="B235" s="4" t="n">
        <v>1984</v>
      </c>
      <c r="C235" s="4" t="str">
        <f aca="false">FLOOR(B235,10)&amp;"s"</f>
        <v>1980s</v>
      </c>
      <c r="D235" s="4" t="s">
        <v>3622</v>
      </c>
      <c r="E235" s="25" t="str">
        <f aca="false">IF(G235=1,"✓","")</f>
        <v/>
      </c>
      <c r="F235" s="4" t="n">
        <v>1</v>
      </c>
      <c r="G235" s="4" t="n">
        <f aca="false">IF(COUNTIF('Letterboxd Watched'!$E$2:$E$3000,M235)&gt;0,1,0)</f>
        <v>0</v>
      </c>
      <c r="H235" s="4" t="n">
        <v>1</v>
      </c>
      <c r="I235" s="4" t="s">
        <v>1327</v>
      </c>
      <c r="J235" s="4" t="s">
        <v>50</v>
      </c>
      <c r="K235" s="4" t="s">
        <v>3920</v>
      </c>
      <c r="L235" s="48" t="str">
        <f aca="false">HYPERLINK("https://boxd.it/2baE","open")</f>
        <v>open</v>
      </c>
      <c r="M235" s="4" t="str">
        <f aca="false">LOWER(A235)&amp;"|"&amp;B235</f>
        <v>beverly hills cop|1984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</row>
    <row r="236" customFormat="false" ht="15" hidden="false" customHeight="false" outlineLevel="0" collapsed="false">
      <c r="A236" s="4" t="s">
        <v>708</v>
      </c>
      <c r="B236" s="4" t="n">
        <v>1981</v>
      </c>
      <c r="C236" s="4" t="str">
        <f aca="false">FLOOR(B236,10)&amp;"s"</f>
        <v>1980s</v>
      </c>
      <c r="D236" s="4" t="s">
        <v>709</v>
      </c>
      <c r="E236" s="25" t="str">
        <f aca="false">IF(G236=1,"✓","")</f>
        <v/>
      </c>
      <c r="F236" s="4" t="n">
        <v>3</v>
      </c>
      <c r="G236" s="4" t="n">
        <f aca="false">IF(COUNTIF('Letterboxd Watched'!$E$2:$E$3000,M236)&gt;0,1,0)</f>
        <v>0</v>
      </c>
      <c r="H236" s="4" t="n">
        <v>5</v>
      </c>
      <c r="I236" s="4" t="s">
        <v>213</v>
      </c>
      <c r="J236" s="4" t="s">
        <v>51</v>
      </c>
      <c r="K236" s="4" t="s">
        <v>5226</v>
      </c>
      <c r="L236" s="48" t="str">
        <f aca="false">HYPERLINK("https://boxd.it/1FtY","open")</f>
        <v>open</v>
      </c>
      <c r="M236" s="4" t="str">
        <f aca="false">LOWER(A236)&amp;"|"&amp;B236</f>
        <v>the beyond|1981</v>
      </c>
      <c r="N236" s="4" t="n">
        <v>0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1</v>
      </c>
      <c r="V236" s="4" t="n">
        <v>1</v>
      </c>
      <c r="W236" s="4" t="n">
        <v>0</v>
      </c>
    </row>
    <row r="237" customFormat="false" ht="15" hidden="false" customHeight="false" outlineLevel="0" collapsed="false">
      <c r="A237" s="4" t="s">
        <v>2993</v>
      </c>
      <c r="B237" s="4" t="n">
        <v>2012</v>
      </c>
      <c r="C237" s="4" t="str">
        <f aca="false">FLOOR(B237,10)&amp;"s"</f>
        <v>2010s</v>
      </c>
      <c r="D237" s="4" t="s">
        <v>1599</v>
      </c>
      <c r="E237" s="25" t="str">
        <f aca="false">IF(G237=1,"✓","")</f>
        <v/>
      </c>
      <c r="F237" s="4" t="n">
        <v>1</v>
      </c>
      <c r="G237" s="4" t="n">
        <f aca="false">IF(COUNTIF('Letterboxd Watched'!$E$2:$E$3000,M237)&gt;0,1,0)</f>
        <v>0</v>
      </c>
      <c r="H237" s="4" t="n">
        <v>2</v>
      </c>
      <c r="I237" s="4" t="s">
        <v>213</v>
      </c>
      <c r="J237" s="4" t="s">
        <v>51</v>
      </c>
      <c r="K237" s="4" t="s">
        <v>4000</v>
      </c>
      <c r="L237" s="48" t="str">
        <f aca="false">HYPERLINK("https://letterboxd.com/search/films/Beyond+the+Hills+2012/","open")</f>
        <v>open</v>
      </c>
      <c r="M237" s="4" t="str">
        <f aca="false">LOWER(A237)&amp;"|"&amp;B237</f>
        <v>beyond the hills|2012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</row>
    <row r="238" customFormat="false" ht="15" hidden="false" customHeight="false" outlineLevel="0" collapsed="false">
      <c r="A238" s="4" t="s">
        <v>3461</v>
      </c>
      <c r="B238" s="4" t="n">
        <v>1969</v>
      </c>
      <c r="C238" s="4" t="str">
        <f aca="false">FLOOR(B238,10)&amp;"s"</f>
        <v>1960s</v>
      </c>
      <c r="D238" s="4" t="s">
        <v>3462</v>
      </c>
      <c r="E238" s="25" t="str">
        <f aca="false">IF(G238=1,"✓","")</f>
        <v/>
      </c>
      <c r="F238" s="4" t="n">
        <v>1</v>
      </c>
      <c r="G238" s="4" t="n">
        <f aca="false">IF(COUNTIF('Letterboxd Watched'!$E$2:$E$3000,M238)&gt;0,1,0)</f>
        <v>0</v>
      </c>
      <c r="H238" s="4" t="n">
        <v>1</v>
      </c>
      <c r="I238" s="4" t="s">
        <v>1327</v>
      </c>
      <c r="J238" s="4" t="s">
        <v>51</v>
      </c>
      <c r="K238" s="4" t="s">
        <v>4026</v>
      </c>
      <c r="L238" s="48" t="str">
        <f aca="false">HYPERLINK("https://boxd.it/6itG","open")</f>
        <v>open</v>
      </c>
      <c r="M238" s="4" t="str">
        <f aca="false">LOWER(A238)&amp;"|"&amp;B238</f>
        <v>bhuvan shome|1969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</row>
    <row r="239" customFormat="false" ht="15" hidden="false" customHeight="false" outlineLevel="0" collapsed="false">
      <c r="A239" s="4" t="s">
        <v>159</v>
      </c>
      <c r="B239" s="4" t="n">
        <v>1948</v>
      </c>
      <c r="C239" s="4" t="str">
        <f aca="false">FLOOR(B239,10)&amp;"s"</f>
        <v>1940s</v>
      </c>
      <c r="D239" s="4" t="s">
        <v>160</v>
      </c>
      <c r="E239" s="25" t="str">
        <f aca="false">IF(G239=1,"✓","")</f>
        <v/>
      </c>
      <c r="F239" s="4" t="n">
        <v>7</v>
      </c>
      <c r="G239" s="4" t="n">
        <f aca="false">IF(COUNTIF('Letterboxd Watched'!$E$2:$E$3000,M239)&gt;0,1,0)</f>
        <v>0</v>
      </c>
      <c r="H239" s="4" t="n">
        <v>19</v>
      </c>
      <c r="I239" s="4" t="s">
        <v>144</v>
      </c>
      <c r="J239" s="4" t="s">
        <v>50</v>
      </c>
      <c r="K239" s="4" t="s">
        <v>5227</v>
      </c>
      <c r="L239" s="48" t="str">
        <f aca="false">HYPERLINK("https://boxd.it/23hW","open")</f>
        <v>open</v>
      </c>
      <c r="M239" s="4" t="str">
        <f aca="false">LOWER(A239)&amp;"|"&amp;B239</f>
        <v>bicycle thieves|1948</v>
      </c>
      <c r="N239" s="4" t="n">
        <v>0</v>
      </c>
      <c r="O239" s="4" t="n">
        <v>1</v>
      </c>
      <c r="P239" s="4" t="n">
        <v>1</v>
      </c>
      <c r="Q239" s="4" t="n">
        <v>0</v>
      </c>
      <c r="R239" s="4" t="n">
        <v>0</v>
      </c>
      <c r="S239" s="4" t="n">
        <v>1</v>
      </c>
      <c r="T239" s="4" t="n">
        <v>1</v>
      </c>
      <c r="U239" s="4" t="n">
        <v>0</v>
      </c>
      <c r="V239" s="4" t="n">
        <v>1</v>
      </c>
      <c r="W239" s="4" t="n">
        <v>1</v>
      </c>
    </row>
    <row r="240" customFormat="false" ht="15" hidden="false" customHeight="false" outlineLevel="0" collapsed="false">
      <c r="A240" s="4" t="s">
        <v>2038</v>
      </c>
      <c r="B240" s="4" t="n">
        <v>1963</v>
      </c>
      <c r="C240" s="4" t="str">
        <f aca="false">FLOOR(B240,10)&amp;"s"</f>
        <v>1960s</v>
      </c>
      <c r="D240" s="4" t="s">
        <v>253</v>
      </c>
      <c r="E240" s="25" t="str">
        <f aca="false">IF(G240=1,"✓","")</f>
        <v/>
      </c>
      <c r="F240" s="4" t="n">
        <v>1</v>
      </c>
      <c r="G240" s="4" t="n">
        <f aca="false">IF(COUNTIF('Letterboxd Watched'!$E$2:$E$3000,M240)&gt;0,1,0)</f>
        <v>0</v>
      </c>
      <c r="H240" s="4" t="n">
        <v>2</v>
      </c>
      <c r="I240" s="4" t="s">
        <v>213</v>
      </c>
      <c r="J240" s="4" t="s">
        <v>53</v>
      </c>
      <c r="K240" s="4" t="s">
        <v>253</v>
      </c>
      <c r="L240" s="48" t="str">
        <f aca="false">HYPERLINK("https://boxd.it/fI2","open")</f>
        <v>open</v>
      </c>
      <c r="M240" s="4" t="str">
        <f aca="false">LOWER(A240)&amp;"|"&amp;B240</f>
        <v>the big city|1963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</row>
    <row r="241" customFormat="false" ht="15" hidden="false" customHeight="false" outlineLevel="0" collapsed="false">
      <c r="A241" s="4" t="s">
        <v>754</v>
      </c>
      <c r="B241" s="4" t="n">
        <v>1958</v>
      </c>
      <c r="C241" s="4" t="str">
        <f aca="false">FLOOR(B241,10)&amp;"s"</f>
        <v>1950s</v>
      </c>
      <c r="D241" s="4" t="s">
        <v>755</v>
      </c>
      <c r="E241" s="25" t="str">
        <f aca="false">IF(G241=1,"✓","")</f>
        <v/>
      </c>
      <c r="F241" s="4" t="n">
        <v>2</v>
      </c>
      <c r="G241" s="4" t="n">
        <f aca="false">IF(COUNTIF('Letterboxd Watched'!$E$2:$E$3000,M241)&gt;0,1,0)</f>
        <v>0</v>
      </c>
      <c r="H241" s="4" t="n">
        <v>5</v>
      </c>
      <c r="I241" s="4" t="s">
        <v>144</v>
      </c>
      <c r="J241" s="4" t="s">
        <v>51</v>
      </c>
      <c r="K241" s="4" t="s">
        <v>5228</v>
      </c>
      <c r="L241" s="48" t="str">
        <f aca="false">HYPERLINK("https://boxd.it/1xLq","open")</f>
        <v>open</v>
      </c>
      <c r="M241" s="4" t="str">
        <f aca="false">LOWER(A241)&amp;"|"&amp;B241</f>
        <v>big deal on madonna street|1958</v>
      </c>
      <c r="N241" s="4" t="n">
        <v>0</v>
      </c>
      <c r="O241" s="4" t="n">
        <v>0</v>
      </c>
      <c r="P241" s="4" t="n">
        <v>1</v>
      </c>
      <c r="Q241" s="4" t="n">
        <v>1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</row>
    <row r="242" customFormat="false" ht="15" hidden="false" customHeight="false" outlineLevel="0" collapsed="false">
      <c r="A242" s="4" t="s">
        <v>2809</v>
      </c>
      <c r="B242" s="4" t="n">
        <v>2003</v>
      </c>
      <c r="C242" s="4" t="str">
        <f aca="false">FLOOR(B242,10)&amp;"s"</f>
        <v>2000s</v>
      </c>
      <c r="D242" s="4" t="s">
        <v>1111</v>
      </c>
      <c r="E242" s="25" t="str">
        <f aca="false">IF(G242=1,"✓","")</f>
        <v>✓</v>
      </c>
      <c r="F242" s="4" t="n">
        <v>1</v>
      </c>
      <c r="G242" s="4" t="n">
        <f aca="false">IF(COUNTIF('Letterboxd Watched'!$E$2:$E$3000,M242)&gt;0,1,0)</f>
        <v>1</v>
      </c>
      <c r="H242" s="4" t="n">
        <v>2</v>
      </c>
      <c r="I242" s="4" t="s">
        <v>213</v>
      </c>
      <c r="J242" s="4" t="s">
        <v>55</v>
      </c>
      <c r="K242" s="4" t="s">
        <v>4352</v>
      </c>
      <c r="L242" s="48" t="str">
        <f aca="false">HYPERLINK("https://boxd.it/2a3M","open")</f>
        <v>open</v>
      </c>
      <c r="M242" s="4" t="str">
        <f aca="false">LOWER(A242)&amp;"|"&amp;B242</f>
        <v>big fish|2003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1</v>
      </c>
      <c r="U242" s="4" t="n">
        <v>0</v>
      </c>
      <c r="V242" s="4" t="n">
        <v>0</v>
      </c>
      <c r="W242" s="4" t="n">
        <v>0</v>
      </c>
    </row>
    <row r="243" customFormat="false" ht="15" hidden="false" customHeight="false" outlineLevel="0" collapsed="false">
      <c r="A243" s="4" t="s">
        <v>2091</v>
      </c>
      <c r="B243" s="4" t="n">
        <v>1967</v>
      </c>
      <c r="C243" s="4" t="str">
        <f aca="false">FLOOR(B243,10)&amp;"s"</f>
        <v>1960s</v>
      </c>
      <c r="D243" s="4" t="s">
        <v>2092</v>
      </c>
      <c r="E243" s="25" t="str">
        <f aca="false">IF(G243=1,"✓","")</f>
        <v/>
      </c>
      <c r="F243" s="4" t="n">
        <v>1</v>
      </c>
      <c r="G243" s="4" t="n">
        <f aca="false">IF(COUNTIF('Letterboxd Watched'!$E$2:$E$3000,M243)&gt;0,1,0)</f>
        <v>0</v>
      </c>
      <c r="H243" s="4" t="n">
        <v>2</v>
      </c>
      <c r="I243" s="4" t="s">
        <v>213</v>
      </c>
      <c r="J243" s="4" t="s">
        <v>51</v>
      </c>
      <c r="K243" s="4" t="s">
        <v>3948</v>
      </c>
      <c r="L243" s="48" t="str">
        <f aca="false">HYPERLINK("https://boxd.it/1JPa","open")</f>
        <v>open</v>
      </c>
      <c r="M243" s="4" t="str">
        <f aca="false">LOWER(A243)&amp;"|"&amp;B243</f>
        <v>the big gundown|1967</v>
      </c>
      <c r="N243" s="4" t="n">
        <v>0</v>
      </c>
      <c r="O243" s="4" t="n">
        <v>0</v>
      </c>
      <c r="P243" s="4" t="n">
        <v>1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</row>
    <row r="244" customFormat="false" ht="15" hidden="false" customHeight="false" outlineLevel="0" collapsed="false">
      <c r="A244" s="4" t="s">
        <v>1892</v>
      </c>
      <c r="B244" s="4" t="n">
        <v>1953</v>
      </c>
      <c r="C244" s="4" t="str">
        <f aca="false">FLOOR(B244,10)&amp;"s"</f>
        <v>1950s</v>
      </c>
      <c r="D244" s="4" t="s">
        <v>248</v>
      </c>
      <c r="E244" s="25" t="str">
        <f aca="false">IF(G244=1,"✓","")</f>
        <v/>
      </c>
      <c r="F244" s="4" t="n">
        <v>1</v>
      </c>
      <c r="G244" s="4" t="n">
        <f aca="false">IF(COUNTIF('Letterboxd Watched'!$E$2:$E$3000,M244)&gt;0,1,0)</f>
        <v>0</v>
      </c>
      <c r="H244" s="4" t="n">
        <v>2</v>
      </c>
      <c r="I244" s="4" t="s">
        <v>213</v>
      </c>
      <c r="J244" s="4" t="s">
        <v>52</v>
      </c>
      <c r="K244" s="4" t="s">
        <v>4042</v>
      </c>
      <c r="L244" s="48" t="str">
        <f aca="false">HYPERLINK("https://boxd.it/1NNM","open")</f>
        <v>open</v>
      </c>
      <c r="M244" s="4" t="str">
        <f aca="false">LOWER(A244)&amp;"|"&amp;B244</f>
        <v>the big heat|1953</v>
      </c>
      <c r="N244" s="4" t="n">
        <v>0</v>
      </c>
      <c r="O244" s="4" t="n">
        <v>0</v>
      </c>
      <c r="P244" s="4" t="n">
        <v>0</v>
      </c>
      <c r="Q244" s="4" t="n">
        <v>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</row>
    <row r="245" customFormat="false" ht="15" hidden="false" customHeight="false" outlineLevel="0" collapsed="false">
      <c r="A245" s="4" t="s">
        <v>626</v>
      </c>
      <c r="B245" s="4" t="n">
        <v>1998</v>
      </c>
      <c r="C245" s="4" t="str">
        <f aca="false">FLOOR(B245,10)&amp;"s"</f>
        <v>1990s</v>
      </c>
      <c r="D245" s="4" t="s">
        <v>397</v>
      </c>
      <c r="E245" s="25" t="str">
        <f aca="false">IF(G245=1,"✓","")</f>
        <v>✓</v>
      </c>
      <c r="F245" s="4" t="n">
        <v>3</v>
      </c>
      <c r="G245" s="4" t="n">
        <f aca="false">IF(COUNTIF('Letterboxd Watched'!$E$2:$E$3000,M245)&gt;0,1,0)</f>
        <v>1</v>
      </c>
      <c r="H245" s="4" t="n">
        <v>6</v>
      </c>
      <c r="I245" s="4" t="s">
        <v>213</v>
      </c>
      <c r="J245" s="4" t="s">
        <v>53</v>
      </c>
      <c r="K245" s="4" t="s">
        <v>5229</v>
      </c>
      <c r="L245" s="48" t="str">
        <f aca="false">HYPERLINK("https://boxd.it/2b6C","open")</f>
        <v>open</v>
      </c>
      <c r="M245" s="4" t="str">
        <f aca="false">LOWER(A245)&amp;"|"&amp;B245</f>
        <v>the big lebowski|1998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1</v>
      </c>
      <c r="S245" s="4" t="n">
        <v>0</v>
      </c>
      <c r="T245" s="4" t="n">
        <v>1</v>
      </c>
      <c r="U245" s="4" t="n">
        <v>1</v>
      </c>
      <c r="V245" s="4" t="n">
        <v>0</v>
      </c>
      <c r="W245" s="4" t="n">
        <v>0</v>
      </c>
    </row>
    <row r="246" customFormat="false" ht="15" hidden="false" customHeight="false" outlineLevel="0" collapsed="false">
      <c r="A246" s="4" t="s">
        <v>2654</v>
      </c>
      <c r="B246" s="4" t="n">
        <v>1996</v>
      </c>
      <c r="C246" s="4" t="str">
        <f aca="false">FLOOR(B246,10)&amp;"s"</f>
        <v>1990s</v>
      </c>
      <c r="D246" s="4" t="s">
        <v>2655</v>
      </c>
      <c r="E246" s="25" t="str">
        <f aca="false">IF(G246=1,"✓","")</f>
        <v/>
      </c>
      <c r="F246" s="4" t="n">
        <v>1</v>
      </c>
      <c r="G246" s="4" t="n">
        <f aca="false">IF(COUNTIF('Letterboxd Watched'!$E$2:$E$3000,M246)&gt;0,1,0)</f>
        <v>0</v>
      </c>
      <c r="H246" s="4" t="n">
        <v>2</v>
      </c>
      <c r="I246" s="4" t="s">
        <v>213</v>
      </c>
      <c r="J246" s="4" t="s">
        <v>55</v>
      </c>
      <c r="K246" s="4" t="s">
        <v>4368</v>
      </c>
      <c r="L246" s="48" t="str">
        <f aca="false">HYPERLINK("https://boxd.it/1HnI","open")</f>
        <v>open</v>
      </c>
      <c r="M246" s="4" t="str">
        <f aca="false">LOWER(A246)&amp;"|"&amp;B246</f>
        <v>big night|1996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1</v>
      </c>
      <c r="U246" s="4" t="n">
        <v>0</v>
      </c>
      <c r="V246" s="4" t="n">
        <v>0</v>
      </c>
      <c r="W246" s="4" t="n">
        <v>0</v>
      </c>
    </row>
    <row r="247" customFormat="false" ht="15" hidden="false" customHeight="false" outlineLevel="0" collapsed="false">
      <c r="A247" s="4" t="s">
        <v>899</v>
      </c>
      <c r="B247" s="4" t="n">
        <v>1925</v>
      </c>
      <c r="C247" s="4" t="str">
        <f aca="false">FLOOR(B247,10)&amp;"s"</f>
        <v>1920s</v>
      </c>
      <c r="D247" s="4" t="s">
        <v>535</v>
      </c>
      <c r="E247" s="25" t="str">
        <f aca="false">IF(G247=1,"✓","")</f>
        <v/>
      </c>
      <c r="F247" s="4" t="n">
        <v>2</v>
      </c>
      <c r="G247" s="4" t="n">
        <f aca="false">IF(COUNTIF('Letterboxd Watched'!$E$2:$E$3000,M247)&gt;0,1,0)</f>
        <v>0</v>
      </c>
      <c r="H247" s="4" t="n">
        <v>4</v>
      </c>
      <c r="I247" s="4" t="s">
        <v>213</v>
      </c>
      <c r="J247" s="4" t="s">
        <v>50</v>
      </c>
      <c r="K247" s="4" t="s">
        <v>5230</v>
      </c>
      <c r="L247" s="48" t="str">
        <f aca="false">HYPERLINK("https://letterboxd.com/search/films/The+Big+Parade+1925/","open")</f>
        <v>open</v>
      </c>
      <c r="M247" s="4" t="str">
        <f aca="false">LOWER(A247)&amp;"|"&amp;B247</f>
        <v>the big parade|1925</v>
      </c>
      <c r="N247" s="4" t="n">
        <v>0</v>
      </c>
      <c r="O247" s="4" t="n">
        <v>1</v>
      </c>
      <c r="P247" s="4" t="n">
        <v>0</v>
      </c>
      <c r="Q247" s="4" t="n">
        <v>1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</row>
    <row r="248" customFormat="false" ht="15" hidden="false" customHeight="false" outlineLevel="0" collapsed="false">
      <c r="A248" s="4" t="s">
        <v>3083</v>
      </c>
      <c r="B248" s="4" t="n">
        <v>2015</v>
      </c>
      <c r="C248" s="4" t="str">
        <f aca="false">FLOOR(B248,10)&amp;"s"</f>
        <v>2010s</v>
      </c>
      <c r="D248" s="4" t="s">
        <v>856</v>
      </c>
      <c r="E248" s="25" t="str">
        <f aca="false">IF(G248=1,"✓","")</f>
        <v/>
      </c>
      <c r="F248" s="4" t="n">
        <v>1</v>
      </c>
      <c r="G248" s="4" t="n">
        <f aca="false">IF(COUNTIF('Letterboxd Watched'!$E$2:$E$3000,M248)&gt;0,1,0)</f>
        <v>0</v>
      </c>
      <c r="H248" s="4" t="n">
        <v>2</v>
      </c>
      <c r="I248" s="4" t="s">
        <v>213</v>
      </c>
      <c r="J248" s="4" t="s">
        <v>55</v>
      </c>
      <c r="K248" s="4" t="s">
        <v>4314</v>
      </c>
      <c r="L248" s="48" t="str">
        <f aca="false">HYPERLINK("https://boxd.it/ajZw","open")</f>
        <v>open</v>
      </c>
      <c r="M248" s="4" t="str">
        <f aca="false">LOWER(A248)&amp;"|"&amp;B248</f>
        <v>the big short|2015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1</v>
      </c>
      <c r="U248" s="4" t="n">
        <v>0</v>
      </c>
      <c r="V248" s="4" t="n">
        <v>0</v>
      </c>
      <c r="W248" s="4" t="n">
        <v>0</v>
      </c>
    </row>
    <row r="249" customFormat="false" ht="15" hidden="false" customHeight="false" outlineLevel="0" collapsed="false">
      <c r="A249" s="4" t="s">
        <v>571</v>
      </c>
      <c r="B249" s="4" t="n">
        <v>1946</v>
      </c>
      <c r="C249" s="4" t="str">
        <f aca="false">FLOOR(B249,10)&amp;"s"</f>
        <v>1940s</v>
      </c>
      <c r="D249" s="4" t="s">
        <v>168</v>
      </c>
      <c r="E249" s="25" t="str">
        <f aca="false">IF(G249=1,"✓","")</f>
        <v/>
      </c>
      <c r="F249" s="4" t="n">
        <v>3</v>
      </c>
      <c r="G249" s="4" t="n">
        <f aca="false">IF(COUNTIF('Letterboxd Watched'!$E$2:$E$3000,M249)&gt;0,1,0)</f>
        <v>0</v>
      </c>
      <c r="H249" s="4" t="n">
        <v>6</v>
      </c>
      <c r="I249" s="4" t="s">
        <v>213</v>
      </c>
      <c r="J249" s="4" t="s">
        <v>52</v>
      </c>
      <c r="K249" s="4" t="s">
        <v>5231</v>
      </c>
      <c r="L249" s="48" t="str">
        <f aca="false">HYPERLINK("https://boxd.it/29iQ","open")</f>
        <v>open</v>
      </c>
      <c r="M249" s="4" t="str">
        <f aca="false">LOWER(A249)&amp;"|"&amp;B249</f>
        <v>the big sleep|1946</v>
      </c>
      <c r="N249" s="4" t="n">
        <v>0</v>
      </c>
      <c r="O249" s="4" t="n">
        <v>0</v>
      </c>
      <c r="P249" s="4" t="n">
        <v>0</v>
      </c>
      <c r="Q249" s="4" t="n">
        <v>1</v>
      </c>
      <c r="R249" s="4" t="n">
        <v>1</v>
      </c>
      <c r="S249" s="4" t="n">
        <v>0</v>
      </c>
      <c r="T249" s="4" t="n">
        <v>1</v>
      </c>
      <c r="U249" s="4" t="n">
        <v>0</v>
      </c>
      <c r="V249" s="4" t="n">
        <v>0</v>
      </c>
      <c r="W249" s="4" t="n">
        <v>0</v>
      </c>
    </row>
    <row r="250" customFormat="false" ht="15" hidden="false" customHeight="false" outlineLevel="0" collapsed="false">
      <c r="A250" s="4" t="s">
        <v>1665</v>
      </c>
      <c r="B250" s="4" t="n">
        <v>1901</v>
      </c>
      <c r="C250" s="4" t="str">
        <f aca="false">FLOOR(B250,10)&amp;"s"</f>
        <v>1900s</v>
      </c>
      <c r="D250" s="4" t="s">
        <v>1666</v>
      </c>
      <c r="E250" s="25" t="str">
        <f aca="false">IF(G250=1,"✓","")</f>
        <v>✓</v>
      </c>
      <c r="F250" s="4" t="n">
        <v>1</v>
      </c>
      <c r="G250" s="4" t="n">
        <f aca="false">IF(COUNTIF('Letterboxd Watched'!$E$2:$E$3000,M250)&gt;0,1,0)</f>
        <v>1</v>
      </c>
      <c r="H250" s="4" t="n">
        <v>2</v>
      </c>
      <c r="I250" s="4" t="s">
        <v>213</v>
      </c>
      <c r="J250" s="4" t="s">
        <v>50</v>
      </c>
      <c r="K250" s="4" t="s">
        <v>3892</v>
      </c>
      <c r="L250" s="48" t="str">
        <f aca="false">HYPERLINK("https://boxd.it/3kt8","open")</f>
        <v>open</v>
      </c>
      <c r="M250" s="4" t="str">
        <f aca="false">LOWER(A250)&amp;"|"&amp;B250</f>
        <v>the big swallow|1901</v>
      </c>
      <c r="N250" s="4" t="n">
        <v>0</v>
      </c>
      <c r="O250" s="4" t="n">
        <v>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</row>
    <row r="251" customFormat="false" ht="15" hidden="false" customHeight="false" outlineLevel="0" collapsed="false">
      <c r="A251" s="4" t="s">
        <v>2435</v>
      </c>
      <c r="B251" s="4" t="n">
        <v>1986</v>
      </c>
      <c r="C251" s="4" t="str">
        <f aca="false">FLOOR(B251,10)&amp;"s"</f>
        <v>1980s</v>
      </c>
      <c r="D251" s="4" t="s">
        <v>266</v>
      </c>
      <c r="E251" s="25" t="str">
        <f aca="false">IF(G251=1,"✓","")</f>
        <v>✓</v>
      </c>
      <c r="F251" s="4" t="n">
        <v>1</v>
      </c>
      <c r="G251" s="4" t="n">
        <f aca="false">IF(COUNTIF('Letterboxd Watched'!$E$2:$E$3000,M251)&gt;0,1,0)</f>
        <v>1</v>
      </c>
      <c r="H251" s="4" t="n">
        <v>2</v>
      </c>
      <c r="I251" s="4" t="s">
        <v>213</v>
      </c>
      <c r="J251" s="4" t="s">
        <v>53</v>
      </c>
      <c r="K251" s="4" t="s">
        <v>266</v>
      </c>
      <c r="L251" s="48" t="str">
        <f aca="false">HYPERLINK("https://boxd.it/21em","open")</f>
        <v>open</v>
      </c>
      <c r="M251" s="4" t="str">
        <f aca="false">LOWER(A251)&amp;"|"&amp;B251</f>
        <v>big trouble in little china|1986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1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</row>
    <row r="252" customFormat="false" ht="15" hidden="false" customHeight="false" outlineLevel="0" collapsed="false">
      <c r="A252" s="4" t="s">
        <v>2318</v>
      </c>
      <c r="B252" s="4" t="n">
        <v>1978</v>
      </c>
      <c r="C252" s="4" t="str">
        <f aca="false">FLOOR(B252,10)&amp;"s"</f>
        <v>1970s</v>
      </c>
      <c r="D252" s="4" t="s">
        <v>2319</v>
      </c>
      <c r="E252" s="25" t="str">
        <f aca="false">IF(G252=1,"✓","")</f>
        <v/>
      </c>
      <c r="F252" s="4" t="n">
        <v>1</v>
      </c>
      <c r="G252" s="4" t="n">
        <f aca="false">IF(COUNTIF('Letterboxd Watched'!$E$2:$E$3000,M252)&gt;0,1,0)</f>
        <v>0</v>
      </c>
      <c r="H252" s="4" t="n">
        <v>2</v>
      </c>
      <c r="I252" s="4" t="s">
        <v>213</v>
      </c>
      <c r="J252" s="4" t="s">
        <v>56</v>
      </c>
      <c r="K252" s="4" t="s">
        <v>4396</v>
      </c>
      <c r="L252" s="48" t="str">
        <f aca="false">HYPERLINK("https://boxd.it/1H4w","open")</f>
        <v>open</v>
      </c>
      <c r="M252" s="4" t="str">
        <f aca="false">LOWER(A252)&amp;"|"&amp;B252</f>
        <v>big wednesday|1978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1</v>
      </c>
      <c r="V252" s="4" t="n">
        <v>0</v>
      </c>
      <c r="W252" s="4" t="n">
        <v>0</v>
      </c>
    </row>
    <row r="253" customFormat="false" ht="15" hidden="false" customHeight="false" outlineLevel="0" collapsed="false">
      <c r="A253" s="4" t="s">
        <v>701</v>
      </c>
      <c r="B253" s="4" t="n">
        <v>1956</v>
      </c>
      <c r="C253" s="4" t="str">
        <f aca="false">FLOOR(B253,10)&amp;"s"</f>
        <v>1950s</v>
      </c>
      <c r="D253" s="4" t="s">
        <v>270</v>
      </c>
      <c r="E253" s="25" t="str">
        <f aca="false">IF(G253=1,"✓","")</f>
        <v/>
      </c>
      <c r="F253" s="4" t="n">
        <v>3</v>
      </c>
      <c r="G253" s="4" t="n">
        <f aca="false">IF(COUNTIF('Letterboxd Watched'!$E$2:$E$3000,M253)&gt;0,1,0)</f>
        <v>0</v>
      </c>
      <c r="H253" s="4" t="n">
        <v>5</v>
      </c>
      <c r="I253" s="4" t="s">
        <v>213</v>
      </c>
      <c r="J253" s="4" t="s">
        <v>50</v>
      </c>
      <c r="K253" s="4" t="s">
        <v>5232</v>
      </c>
      <c r="L253" s="48" t="str">
        <f aca="false">HYPERLINK("https://boxd.it/1uB8","open")</f>
        <v>open</v>
      </c>
      <c r="M253" s="4" t="str">
        <f aca="false">LOWER(A253)&amp;"|"&amp;B253</f>
        <v>bigger than life|1956</v>
      </c>
      <c r="N253" s="4" t="n">
        <v>0</v>
      </c>
      <c r="O253" s="4" t="n">
        <v>1</v>
      </c>
      <c r="P253" s="4" t="n">
        <v>0</v>
      </c>
      <c r="Q253" s="4" t="n">
        <v>1</v>
      </c>
      <c r="R253" s="4" t="n">
        <v>1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</row>
    <row r="254" customFormat="false" ht="15" hidden="false" customHeight="false" outlineLevel="0" collapsed="false">
      <c r="A254" s="4" t="s">
        <v>2485</v>
      </c>
      <c r="B254" s="4" t="n">
        <v>1988</v>
      </c>
      <c r="C254" s="4" t="str">
        <f aca="false">FLOOR(B254,10)&amp;"s"</f>
        <v>1980s</v>
      </c>
      <c r="D254" s="4" t="s">
        <v>829</v>
      </c>
      <c r="E254" s="25" t="str">
        <f aca="false">IF(G254=1,"✓","")</f>
        <v/>
      </c>
      <c r="F254" s="4" t="n">
        <v>1</v>
      </c>
      <c r="G254" s="4" t="n">
        <f aca="false">IF(COUNTIF('Letterboxd Watched'!$E$2:$E$3000,M254)&gt;0,1,0)</f>
        <v>0</v>
      </c>
      <c r="H254" s="4" t="n">
        <v>2</v>
      </c>
      <c r="I254" s="4" t="s">
        <v>213</v>
      </c>
      <c r="J254" s="4" t="s">
        <v>55</v>
      </c>
      <c r="K254" s="4" t="s">
        <v>4366</v>
      </c>
      <c r="L254" s="48" t="str">
        <f aca="false">HYPERLINK("https://boxd.it/1xcU","open")</f>
        <v>open</v>
      </c>
      <c r="M254" s="4" t="str">
        <f aca="false">LOWER(A254)&amp;"|"&amp;B254</f>
        <v>bird|1988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1</v>
      </c>
      <c r="U254" s="4" t="n">
        <v>0</v>
      </c>
      <c r="V254" s="4" t="n">
        <v>0</v>
      </c>
      <c r="W254" s="4" t="n">
        <v>0</v>
      </c>
    </row>
    <row r="255" customFormat="false" ht="15" hidden="false" customHeight="false" outlineLevel="0" collapsed="false">
      <c r="A255" s="4" t="s">
        <v>784</v>
      </c>
      <c r="B255" s="4" t="n">
        <v>1970</v>
      </c>
      <c r="C255" s="4" t="str">
        <f aca="false">FLOOR(B255,10)&amp;"s"</f>
        <v>1970s</v>
      </c>
      <c r="D255" s="4" t="s">
        <v>677</v>
      </c>
      <c r="E255" s="25" t="str">
        <f aca="false">IF(G255=1,"✓","")</f>
        <v/>
      </c>
      <c r="F255" s="4" t="n">
        <v>2</v>
      </c>
      <c r="G255" s="4" t="n">
        <f aca="false">IF(COUNTIF('Letterboxd Watched'!$E$2:$E$3000,M255)&gt;0,1,0)</f>
        <v>0</v>
      </c>
      <c r="H255" s="4" t="n">
        <v>5</v>
      </c>
      <c r="I255" s="4" t="s">
        <v>144</v>
      </c>
      <c r="J255" s="4" t="s">
        <v>51</v>
      </c>
      <c r="K255" s="4" t="s">
        <v>5233</v>
      </c>
      <c r="L255" s="48" t="str">
        <f aca="false">HYPERLINK("https://boxd.it/1DDW","open")</f>
        <v>open</v>
      </c>
      <c r="M255" s="4" t="str">
        <f aca="false">LOWER(A255)&amp;"|"&amp;B255</f>
        <v>the bird with the crystal plumage|1970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1</v>
      </c>
      <c r="W255" s="4" t="n">
        <v>0</v>
      </c>
    </row>
    <row r="256" customFormat="false" ht="15" hidden="false" customHeight="false" outlineLevel="0" collapsed="false">
      <c r="A256" s="4" t="s">
        <v>2646</v>
      </c>
      <c r="B256" s="4" t="n">
        <v>1996</v>
      </c>
      <c r="C256" s="4" t="str">
        <f aca="false">FLOOR(B256,10)&amp;"s"</f>
        <v>1990s</v>
      </c>
      <c r="D256" s="4" t="s">
        <v>357</v>
      </c>
      <c r="E256" s="25" t="str">
        <f aca="false">IF(G256=1,"✓","")</f>
        <v>✓</v>
      </c>
      <c r="F256" s="4" t="n">
        <v>1</v>
      </c>
      <c r="G256" s="4" t="n">
        <f aca="false">IF(COUNTIF('Letterboxd Watched'!$E$2:$E$3000,M256)&gt;0,1,0)</f>
        <v>1</v>
      </c>
      <c r="H256" s="4" t="n">
        <v>2</v>
      </c>
      <c r="I256" s="4" t="s">
        <v>213</v>
      </c>
      <c r="J256" s="4" t="s">
        <v>53</v>
      </c>
      <c r="K256" s="4" t="s">
        <v>4267</v>
      </c>
      <c r="L256" s="48" t="str">
        <f aca="false">HYPERLINK("https://boxd.it/1UTi","open")</f>
        <v>open</v>
      </c>
      <c r="M256" s="4" t="str">
        <f aca="false">LOWER(A256)&amp;"|"&amp;B256</f>
        <v>the birdcage|1996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</row>
    <row r="257" customFormat="false" ht="15" hidden="false" customHeight="false" outlineLevel="0" collapsed="false">
      <c r="A257" s="4" t="s">
        <v>2016</v>
      </c>
      <c r="B257" s="4" t="n">
        <v>1962</v>
      </c>
      <c r="C257" s="4" t="str">
        <f aca="false">FLOOR(B257,10)&amp;"s"</f>
        <v>1960s</v>
      </c>
      <c r="D257" s="4" t="s">
        <v>965</v>
      </c>
      <c r="E257" s="25" t="str">
        <f aca="false">IF(G257=1,"✓","")</f>
        <v/>
      </c>
      <c r="F257" s="4" t="n">
        <v>1</v>
      </c>
      <c r="G257" s="4" t="n">
        <f aca="false">IF(COUNTIF('Letterboxd Watched'!$E$2:$E$3000,M257)&gt;0,1,0)</f>
        <v>0</v>
      </c>
      <c r="H257" s="4" t="n">
        <v>2</v>
      </c>
      <c r="I257" s="4" t="s">
        <v>213</v>
      </c>
      <c r="J257" s="4" t="s">
        <v>55</v>
      </c>
      <c r="K257" s="4" t="s">
        <v>4326</v>
      </c>
      <c r="L257" s="48" t="str">
        <f aca="false">HYPERLINK("https://boxd.it/29kM","open")</f>
        <v>open</v>
      </c>
      <c r="M257" s="4" t="str">
        <f aca="false">LOWER(A257)&amp;"|"&amp;B257</f>
        <v>birdman of alcatraz|1962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1</v>
      </c>
      <c r="U257" s="4" t="n">
        <v>0</v>
      </c>
      <c r="V257" s="4" t="n">
        <v>0</v>
      </c>
      <c r="W257" s="4" t="n">
        <v>0</v>
      </c>
    </row>
    <row r="258" customFormat="false" ht="15" hidden="false" customHeight="false" outlineLevel="0" collapsed="false">
      <c r="A258" s="4" t="s">
        <v>3045</v>
      </c>
      <c r="B258" s="4" t="n">
        <v>2014</v>
      </c>
      <c r="C258" s="4" t="str">
        <f aca="false">FLOOR(B258,10)&amp;"s"</f>
        <v>2010s</v>
      </c>
      <c r="D258" s="4" t="s">
        <v>1137</v>
      </c>
      <c r="E258" s="25" t="str">
        <f aca="false">IF(G258=1,"✓","")</f>
        <v>✓</v>
      </c>
      <c r="F258" s="4" t="n">
        <v>1</v>
      </c>
      <c r="G258" s="4" t="n">
        <f aca="false">IF(COUNTIF('Letterboxd Watched'!$E$2:$E$3000,M258)&gt;0,1,0)</f>
        <v>1</v>
      </c>
      <c r="H258" s="4" t="n">
        <v>2</v>
      </c>
      <c r="I258" s="4" t="s">
        <v>213</v>
      </c>
      <c r="J258" s="4" t="s">
        <v>49</v>
      </c>
      <c r="K258" s="4" t="s">
        <v>3886</v>
      </c>
      <c r="L258" s="48" t="str">
        <f aca="false">HYPERLINK("https://boxd.it/5RFA","open")</f>
        <v>open</v>
      </c>
      <c r="M258" s="4" t="str">
        <f aca="false">LOWER(A258)&amp;"|"&amp;B258</f>
        <v>birdman or (the unexpected virtue of ignorance)|2014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</row>
    <row r="259" customFormat="false" ht="15" hidden="false" customHeight="false" outlineLevel="0" collapsed="false">
      <c r="A259" s="4" t="s">
        <v>2035</v>
      </c>
      <c r="B259" s="4" t="n">
        <v>1963</v>
      </c>
      <c r="C259" s="4" t="str">
        <f aca="false">FLOOR(B259,10)&amp;"s"</f>
        <v>1960s</v>
      </c>
      <c r="D259" s="4" t="s">
        <v>162</v>
      </c>
      <c r="E259" s="25" t="str">
        <f aca="false">IF(G259=1,"✓","")</f>
        <v/>
      </c>
      <c r="F259" s="4" t="n">
        <v>1</v>
      </c>
      <c r="G259" s="4" t="n">
        <f aca="false">IF(COUNTIF('Letterboxd Watched'!$E$2:$E$3000,M259)&gt;0,1,0)</f>
        <v>0</v>
      </c>
      <c r="H259" s="4" t="n">
        <v>2</v>
      </c>
      <c r="I259" s="4" t="s">
        <v>213</v>
      </c>
      <c r="J259" s="4" t="s">
        <v>53</v>
      </c>
      <c r="K259" s="4" t="s">
        <v>162</v>
      </c>
      <c r="L259" s="48" t="str">
        <f aca="false">HYPERLINK("https://boxd.it/2a6m","open")</f>
        <v>open</v>
      </c>
      <c r="M259" s="4" t="str">
        <f aca="false">LOWER(A259)&amp;"|"&amp;B259</f>
        <v>the birds|1963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</row>
    <row r="260" customFormat="false" ht="15" hidden="false" customHeight="false" outlineLevel="0" collapsed="false">
      <c r="A260" s="4" t="s">
        <v>530</v>
      </c>
      <c r="B260" s="4" t="n">
        <v>1915</v>
      </c>
      <c r="C260" s="4" t="str">
        <f aca="false">FLOOR(B260,10)&amp;"s"</f>
        <v>1910s</v>
      </c>
      <c r="D260" s="4" t="s">
        <v>531</v>
      </c>
      <c r="E260" s="25" t="str">
        <f aca="false">IF(G260=1,"✓","")</f>
        <v/>
      </c>
      <c r="F260" s="4" t="n">
        <v>3</v>
      </c>
      <c r="G260" s="4" t="n">
        <f aca="false">IF(COUNTIF('Letterboxd Watched'!$E$2:$E$3000,M260)&gt;0,1,0)</f>
        <v>0</v>
      </c>
      <c r="H260" s="4" t="n">
        <v>7</v>
      </c>
      <c r="I260" s="4" t="s">
        <v>144</v>
      </c>
      <c r="J260" s="4" t="s">
        <v>50</v>
      </c>
      <c r="K260" s="4" t="s">
        <v>5234</v>
      </c>
      <c r="L260" s="48" t="str">
        <f aca="false">HYPERLINK("https://boxd.it/29Zg","open")</f>
        <v>open</v>
      </c>
      <c r="M260" s="4" t="str">
        <f aca="false">LOWER(A260)&amp;"|"&amp;B260</f>
        <v>the birth of a nation|1915</v>
      </c>
      <c r="N260" s="4" t="n">
        <v>0</v>
      </c>
      <c r="O260" s="4" t="n">
        <v>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1</v>
      </c>
      <c r="W260" s="4" t="n">
        <v>0</v>
      </c>
    </row>
    <row r="261" customFormat="false" ht="15" hidden="false" customHeight="false" outlineLevel="0" collapsed="false">
      <c r="A261" s="4" t="s">
        <v>1862</v>
      </c>
      <c r="B261" s="4" t="n">
        <v>1949</v>
      </c>
      <c r="C261" s="4" t="str">
        <f aca="false">FLOOR(B261,10)&amp;"s"</f>
        <v>1940s</v>
      </c>
      <c r="D261" s="4" t="s">
        <v>1863</v>
      </c>
      <c r="E261" s="25" t="str">
        <f aca="false">IF(G261=1,"✓","")</f>
        <v/>
      </c>
      <c r="F261" s="4" t="n">
        <v>1</v>
      </c>
      <c r="G261" s="4" t="n">
        <f aca="false">IF(COUNTIF('Letterboxd Watched'!$E$2:$E$3000,M261)&gt;0,1,0)</f>
        <v>0</v>
      </c>
      <c r="H261" s="4" t="n">
        <v>2</v>
      </c>
      <c r="I261" s="4" t="s">
        <v>213</v>
      </c>
      <c r="J261" s="4" t="s">
        <v>51</v>
      </c>
      <c r="K261" s="4" t="s">
        <v>3942</v>
      </c>
      <c r="L261" s="48" t="str">
        <f aca="false">HYPERLINK("https://letterboxd.com/search/films/Bitter+Rice+1949/","open")</f>
        <v>open</v>
      </c>
      <c r="M261" s="4" t="str">
        <f aca="false">LOWER(A261)&amp;"|"&amp;B261</f>
        <v>bitter rice|1949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</row>
    <row r="262" customFormat="false" ht="15" hidden="false" customHeight="false" outlineLevel="0" collapsed="false">
      <c r="A262" s="4" t="s">
        <v>3314</v>
      </c>
      <c r="B262" s="4" t="n">
        <v>1932</v>
      </c>
      <c r="C262" s="4" t="str">
        <f aca="false">FLOOR(B262,10)&amp;"s"</f>
        <v>1930s</v>
      </c>
      <c r="D262" s="4" t="s">
        <v>176</v>
      </c>
      <c r="E262" s="25" t="str">
        <f aca="false">IF(G262=1,"✓","")</f>
        <v/>
      </c>
      <c r="F262" s="4" t="n">
        <v>1</v>
      </c>
      <c r="G262" s="4" t="n">
        <f aca="false">IF(COUNTIF('Letterboxd Watched'!$E$2:$E$3000,M262)&gt;0,1,0)</f>
        <v>0</v>
      </c>
      <c r="H262" s="4" t="n">
        <v>1</v>
      </c>
      <c r="I262" s="4" t="s">
        <v>1327</v>
      </c>
      <c r="J262" s="4" t="s">
        <v>53</v>
      </c>
      <c r="K262" s="4" t="s">
        <v>176</v>
      </c>
      <c r="L262" s="48" t="str">
        <f aca="false">HYPERLINK("https://boxd.it/1ebe","open")</f>
        <v>open</v>
      </c>
      <c r="M262" s="4" t="str">
        <f aca="false">LOWER(A262)&amp;"|"&amp;B262</f>
        <v>the bitter tea of general yen|1932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</row>
    <row r="263" customFormat="false" ht="15" hidden="false" customHeight="false" outlineLevel="0" collapsed="false">
      <c r="A263" s="4" t="s">
        <v>1015</v>
      </c>
      <c r="B263" s="4" t="n">
        <v>1972</v>
      </c>
      <c r="C263" s="4" t="str">
        <f aca="false">FLOOR(B263,10)&amp;"s"</f>
        <v>1970s</v>
      </c>
      <c r="D263" s="4" t="s">
        <v>312</v>
      </c>
      <c r="E263" s="25" t="str">
        <f aca="false">IF(G263=1,"✓","")</f>
        <v/>
      </c>
      <c r="F263" s="4" t="n">
        <v>2</v>
      </c>
      <c r="G263" s="4" t="n">
        <f aca="false">IF(COUNTIF('Letterboxd Watched'!$E$2:$E$3000,M263)&gt;0,1,0)</f>
        <v>0</v>
      </c>
      <c r="H263" s="4" t="n">
        <v>4</v>
      </c>
      <c r="I263" s="4" t="s">
        <v>213</v>
      </c>
      <c r="J263" s="4" t="s">
        <v>51</v>
      </c>
      <c r="K263" s="4" t="s">
        <v>5235</v>
      </c>
      <c r="L263" s="48" t="str">
        <f aca="false">HYPERLINK("https://boxd.it/1WzE","open")</f>
        <v>open</v>
      </c>
      <c r="M263" s="4" t="str">
        <f aca="false">LOWER(A263)&amp;"|"&amp;B263</f>
        <v>the bitter tears of petra von kant|1972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 customFormat="false" ht="15" hidden="false" customHeight="false" outlineLevel="0" collapsed="false">
      <c r="A264" s="4" t="s">
        <v>3524</v>
      </c>
      <c r="B264" s="4" t="n">
        <v>1973</v>
      </c>
      <c r="C264" s="4" t="str">
        <f aca="false">FLOOR(B264,10)&amp;"s"</f>
        <v>1970s</v>
      </c>
      <c r="D264" s="4" t="s">
        <v>3525</v>
      </c>
      <c r="E264" s="25" t="str">
        <f aca="false">IF(G264=1,"✓","")</f>
        <v/>
      </c>
      <c r="F264" s="4" t="n">
        <v>1</v>
      </c>
      <c r="G264" s="4" t="n">
        <f aca="false">IF(COUNTIF('Letterboxd Watched'!$E$2:$E$3000,M264)&gt;0,1,0)</f>
        <v>0</v>
      </c>
      <c r="H264" s="4" t="n">
        <v>1</v>
      </c>
      <c r="I264" s="4" t="s">
        <v>1327</v>
      </c>
      <c r="J264" s="4" t="s">
        <v>54</v>
      </c>
      <c r="K264" s="4" t="s">
        <v>4288</v>
      </c>
      <c r="L264" s="48" t="str">
        <f aca="false">HYPERLINK("https://boxd.it/1B9q","open")</f>
        <v>open</v>
      </c>
      <c r="M264" s="4" t="str">
        <f aca="false">LOWER(A264)&amp;"|"&amp;B264</f>
        <v>black caesar|1973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  <c r="U264" s="4" t="n">
        <v>0</v>
      </c>
      <c r="V264" s="4" t="n">
        <v>0</v>
      </c>
      <c r="W264" s="4" t="n">
        <v>0</v>
      </c>
    </row>
    <row r="265" customFormat="false" ht="15" hidden="false" customHeight="false" outlineLevel="0" collapsed="false">
      <c r="A265" s="4" t="s">
        <v>1751</v>
      </c>
      <c r="B265" s="4" t="n">
        <v>1934</v>
      </c>
      <c r="C265" s="4" t="str">
        <f aca="false">FLOOR(B265,10)&amp;"s"</f>
        <v>1930s</v>
      </c>
      <c r="D265" s="4" t="s">
        <v>1752</v>
      </c>
      <c r="E265" s="25" t="str">
        <f aca="false">IF(G265=1,"✓","")</f>
        <v/>
      </c>
      <c r="F265" s="4" t="n">
        <v>1</v>
      </c>
      <c r="G265" s="4" t="n">
        <f aca="false">IF(COUNTIF('Letterboxd Watched'!$E$2:$E$3000,M265)&gt;0,1,0)</f>
        <v>0</v>
      </c>
      <c r="H265" s="4" t="n">
        <v>2</v>
      </c>
      <c r="I265" s="4" t="s">
        <v>213</v>
      </c>
      <c r="J265" s="4" t="s">
        <v>52</v>
      </c>
      <c r="K265" s="4" t="s">
        <v>4058</v>
      </c>
      <c r="L265" s="48" t="str">
        <f aca="false">HYPERLINK("https://boxd.it/1yik","open")</f>
        <v>open</v>
      </c>
      <c r="M265" s="4" t="str">
        <f aca="false">LOWER(A265)&amp;"|"&amp;B265</f>
        <v>the black cat|1934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 customFormat="false" ht="15" hidden="false" customHeight="false" outlineLevel="0" collapsed="false">
      <c r="A266" s="4" t="s">
        <v>545</v>
      </c>
      <c r="B266" s="4" t="n">
        <v>1974</v>
      </c>
      <c r="C266" s="4" t="str">
        <f aca="false">FLOOR(B266,10)&amp;"s"</f>
        <v>1970s</v>
      </c>
      <c r="D266" s="4" t="s">
        <v>546</v>
      </c>
      <c r="E266" s="25" t="str">
        <f aca="false">IF(G266=1,"✓","")</f>
        <v/>
      </c>
      <c r="F266" s="4" t="n">
        <v>3</v>
      </c>
      <c r="G266" s="4" t="n">
        <f aca="false">IF(COUNTIF('Letterboxd Watched'!$E$2:$E$3000,M266)&gt;0,1,0)</f>
        <v>0</v>
      </c>
      <c r="H266" s="4" t="n">
        <v>7</v>
      </c>
      <c r="I266" s="4" t="s">
        <v>144</v>
      </c>
      <c r="J266" s="4" t="s">
        <v>52</v>
      </c>
      <c r="K266" s="4" t="s">
        <v>5236</v>
      </c>
      <c r="L266" s="48" t="str">
        <f aca="false">HYPERLINK("https://boxd.it/1Js6","open")</f>
        <v>open</v>
      </c>
      <c r="M266" s="4" t="str">
        <f aca="false">LOWER(A266)&amp;"|"&amp;B266</f>
        <v>black christmas|1974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  <c r="U266" s="4" t="n">
        <v>1</v>
      </c>
      <c r="V266" s="4" t="n">
        <v>0</v>
      </c>
      <c r="W266" s="4" t="n">
        <v>0</v>
      </c>
    </row>
    <row r="267" customFormat="false" ht="15" hidden="false" customHeight="false" outlineLevel="0" collapsed="false">
      <c r="A267" s="4" t="s">
        <v>469</v>
      </c>
      <c r="B267" s="4" t="n">
        <v>1966</v>
      </c>
      <c r="C267" s="4" t="str">
        <f aca="false">FLOOR(B267,10)&amp;"s"</f>
        <v>1960s</v>
      </c>
      <c r="D267" s="4" t="s">
        <v>470</v>
      </c>
      <c r="E267" s="25" t="str">
        <f aca="false">IF(G267=1,"✓","")</f>
        <v/>
      </c>
      <c r="F267" s="4" t="n">
        <v>3</v>
      </c>
      <c r="G267" s="4" t="n">
        <f aca="false">IF(COUNTIF('Letterboxd Watched'!$E$2:$E$3000,M267)&gt;0,1,0)</f>
        <v>0</v>
      </c>
      <c r="H267" s="4" t="n">
        <v>7</v>
      </c>
      <c r="I267" s="4" t="s">
        <v>144</v>
      </c>
      <c r="J267" s="4" t="s">
        <v>51</v>
      </c>
      <c r="K267" s="4" t="s">
        <v>5237</v>
      </c>
      <c r="L267" s="48" t="str">
        <f aca="false">HYPERLINK("https://boxd.it/3jIQ","open")</f>
        <v>open</v>
      </c>
      <c r="M267" s="4" t="str">
        <f aca="false">LOWER(A267)&amp;"|"&amp;B267</f>
        <v>black girl|1966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1</v>
      </c>
      <c r="T267" s="4" t="n">
        <v>0</v>
      </c>
      <c r="U267" s="4" t="n">
        <v>0</v>
      </c>
      <c r="V267" s="4" t="n">
        <v>1</v>
      </c>
      <c r="W267" s="4" t="n">
        <v>0</v>
      </c>
    </row>
    <row r="268" customFormat="false" ht="15" hidden="false" customHeight="false" outlineLevel="0" collapsed="false">
      <c r="A268" s="4" t="s">
        <v>463</v>
      </c>
      <c r="B268" s="4" t="n">
        <v>1964</v>
      </c>
      <c r="C268" s="4" t="str">
        <f aca="false">FLOOR(B268,10)&amp;"s"</f>
        <v>1960s</v>
      </c>
      <c r="D268" s="4" t="s">
        <v>464</v>
      </c>
      <c r="E268" s="25" t="str">
        <f aca="false">IF(G268=1,"✓","")</f>
        <v/>
      </c>
      <c r="F268" s="4" t="n">
        <v>3</v>
      </c>
      <c r="G268" s="4" t="n">
        <f aca="false">IF(COUNTIF('Letterboxd Watched'!$E$2:$E$3000,M268)&gt;0,1,0)</f>
        <v>0</v>
      </c>
      <c r="H268" s="4" t="n">
        <v>7</v>
      </c>
      <c r="I268" s="4" t="s">
        <v>144</v>
      </c>
      <c r="J268" s="4" t="s">
        <v>50</v>
      </c>
      <c r="K268" s="4" t="s">
        <v>5238</v>
      </c>
      <c r="L268" s="48" t="str">
        <f aca="false">HYPERLINK("https://letterboxd.com/search/films/Black+God+White+Devil+1964/","open")</f>
        <v>open</v>
      </c>
      <c r="M268" s="4" t="str">
        <f aca="false">LOWER(A268)&amp;"|"&amp;B268</f>
        <v>black god, white devil|1964</v>
      </c>
      <c r="N268" s="4" t="n">
        <v>0</v>
      </c>
      <c r="O268" s="4" t="n">
        <v>1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1</v>
      </c>
      <c r="W268" s="4" t="n">
        <v>0</v>
      </c>
    </row>
    <row r="269" customFormat="false" ht="15" hidden="false" customHeight="false" outlineLevel="0" collapsed="false">
      <c r="A269" s="4" t="s">
        <v>2749</v>
      </c>
      <c r="B269" s="4" t="n">
        <v>2001</v>
      </c>
      <c r="C269" s="4" t="str">
        <f aca="false">FLOOR(B269,10)&amp;"s"</f>
        <v>2000s</v>
      </c>
      <c r="D269" s="4" t="s">
        <v>174</v>
      </c>
      <c r="E269" s="25" t="str">
        <f aca="false">IF(G269=1,"✓","")</f>
        <v/>
      </c>
      <c r="F269" s="4" t="n">
        <v>1</v>
      </c>
      <c r="G269" s="4" t="n">
        <f aca="false">IF(COUNTIF('Letterboxd Watched'!$E$2:$E$3000,M269)&gt;0,1,0)</f>
        <v>0</v>
      </c>
      <c r="H269" s="4" t="n">
        <v>2</v>
      </c>
      <c r="I269" s="4" t="s">
        <v>213</v>
      </c>
      <c r="J269" s="4" t="s">
        <v>52</v>
      </c>
      <c r="K269" s="4" t="s">
        <v>4144</v>
      </c>
      <c r="L269" s="48" t="str">
        <f aca="false">HYPERLINK("https://boxd.it/29rI","open")</f>
        <v>open</v>
      </c>
      <c r="M269" s="4" t="str">
        <f aca="false">LOWER(A269)&amp;"|"&amp;B269</f>
        <v>black hawk down|2001</v>
      </c>
      <c r="N269" s="4" t="n">
        <v>0</v>
      </c>
      <c r="O269" s="4" t="n">
        <v>0</v>
      </c>
      <c r="P269" s="4" t="n">
        <v>0</v>
      </c>
      <c r="Q269" s="4" t="n">
        <v>1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 customFormat="false" ht="15" hidden="false" customHeight="false" outlineLevel="0" collapsed="false">
      <c r="A270" s="4" t="s">
        <v>1840</v>
      </c>
      <c r="B270" s="4" t="n">
        <v>1947</v>
      </c>
      <c r="C270" s="4" t="str">
        <f aca="false">FLOOR(B270,10)&amp;"s"</f>
        <v>1940s</v>
      </c>
      <c r="D270" s="4" t="s">
        <v>453</v>
      </c>
      <c r="E270" s="25" t="str">
        <f aca="false">IF(G270=1,"✓","")</f>
        <v/>
      </c>
      <c r="F270" s="4" t="n">
        <v>1</v>
      </c>
      <c r="G270" s="4" t="n">
        <f aca="false">IF(COUNTIF('Letterboxd Watched'!$E$2:$E$3000,M270)&gt;0,1,0)</f>
        <v>0</v>
      </c>
      <c r="H270" s="4" t="n">
        <v>2</v>
      </c>
      <c r="I270" s="4" t="s">
        <v>213</v>
      </c>
      <c r="J270" s="4" t="s">
        <v>51</v>
      </c>
      <c r="K270" s="4" t="s">
        <v>3976</v>
      </c>
      <c r="L270" s="48" t="str">
        <f aca="false">HYPERLINK("https://boxd.it/1Kce","open")</f>
        <v>open</v>
      </c>
      <c r="M270" s="4" t="str">
        <f aca="false">LOWER(A270)&amp;"|"&amp;B270</f>
        <v>black narcissus|1947</v>
      </c>
      <c r="N270" s="4" t="n">
        <v>0</v>
      </c>
      <c r="O270" s="4" t="n">
        <v>0</v>
      </c>
      <c r="P270" s="4" t="n">
        <v>1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</row>
    <row r="271" customFormat="false" ht="15" hidden="false" customHeight="false" outlineLevel="0" collapsed="false">
      <c r="A271" s="4" t="s">
        <v>3659</v>
      </c>
      <c r="B271" s="4" t="n">
        <v>1989</v>
      </c>
      <c r="C271" s="4" t="str">
        <f aca="false">FLOOR(B271,10)&amp;"s"</f>
        <v>1980s</v>
      </c>
      <c r="D271" s="4" t="s">
        <v>1986</v>
      </c>
      <c r="E271" s="25" t="str">
        <f aca="false">IF(G271=1,"✓","")</f>
        <v/>
      </c>
      <c r="F271" s="4" t="n">
        <v>1</v>
      </c>
      <c r="G271" s="4" t="n">
        <f aca="false">IF(COUNTIF('Letterboxd Watched'!$E$2:$E$3000,M271)&gt;0,1,0)</f>
        <v>0</v>
      </c>
      <c r="H271" s="4" t="n">
        <v>1</v>
      </c>
      <c r="I271" s="4" t="s">
        <v>1327</v>
      </c>
      <c r="J271" s="4" t="s">
        <v>55</v>
      </c>
      <c r="K271" s="4" t="s">
        <v>4342</v>
      </c>
      <c r="L271" s="48" t="str">
        <f aca="false">HYPERLINK("https://boxd.it/24NY","open")</f>
        <v>open</v>
      </c>
      <c r="M271" s="4" t="str">
        <f aca="false">LOWER(A271)&amp;"|"&amp;B271</f>
        <v>black rain|1989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1</v>
      </c>
      <c r="U271" s="4" t="n">
        <v>0</v>
      </c>
      <c r="V271" s="4" t="n">
        <v>0</v>
      </c>
      <c r="W271" s="4" t="n">
        <v>0</v>
      </c>
    </row>
    <row r="272" customFormat="false" ht="15" hidden="false" customHeight="false" outlineLevel="0" collapsed="false">
      <c r="A272" s="4" t="s">
        <v>967</v>
      </c>
      <c r="B272" s="4" t="n">
        <v>1963</v>
      </c>
      <c r="C272" s="4" t="str">
        <f aca="false">FLOOR(B272,10)&amp;"s"</f>
        <v>1960s</v>
      </c>
      <c r="D272" s="4" t="s">
        <v>761</v>
      </c>
      <c r="E272" s="25" t="str">
        <f aca="false">IF(G272=1,"✓","")</f>
        <v/>
      </c>
      <c r="F272" s="4" t="n">
        <v>2</v>
      </c>
      <c r="G272" s="4" t="n">
        <f aca="false">IF(COUNTIF('Letterboxd Watched'!$E$2:$E$3000,M272)&gt;0,1,0)</f>
        <v>0</v>
      </c>
      <c r="H272" s="4" t="n">
        <v>4</v>
      </c>
      <c r="I272" s="4" t="s">
        <v>213</v>
      </c>
      <c r="J272" s="4" t="s">
        <v>51</v>
      </c>
      <c r="K272" s="4" t="s">
        <v>5239</v>
      </c>
      <c r="L272" s="48" t="str">
        <f aca="false">HYPERLINK("https://boxd.it/1qoa","open")</f>
        <v>open</v>
      </c>
      <c r="M272" s="4" t="str">
        <f aca="false">LOWER(A272)&amp;"|"&amp;B272</f>
        <v>black sabbath|1963</v>
      </c>
      <c r="N272" s="4" t="n">
        <v>0</v>
      </c>
      <c r="O272" s="4" t="n">
        <v>0</v>
      </c>
      <c r="P272" s="4" t="n">
        <v>1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1</v>
      </c>
      <c r="V272" s="4" t="n">
        <v>0</v>
      </c>
      <c r="W272" s="4" t="n">
        <v>0</v>
      </c>
    </row>
    <row r="273" customFormat="false" ht="15" hidden="false" customHeight="false" outlineLevel="0" collapsed="false">
      <c r="A273" s="4" t="s">
        <v>3825</v>
      </c>
      <c r="B273" s="4" t="n">
        <v>2014</v>
      </c>
      <c r="C273" s="4" t="str">
        <f aca="false">FLOOR(B273,10)&amp;"s"</f>
        <v>2010s</v>
      </c>
      <c r="D273" s="4" t="s">
        <v>854</v>
      </c>
      <c r="E273" s="25" t="str">
        <f aca="false">IF(G273=1,"✓","")</f>
        <v/>
      </c>
      <c r="F273" s="4" t="n">
        <v>1</v>
      </c>
      <c r="G273" s="4" t="n">
        <f aca="false">IF(COUNTIF('Letterboxd Watched'!$E$2:$E$3000,M273)&gt;0,1,0)</f>
        <v>0</v>
      </c>
      <c r="H273" s="4" t="n">
        <v>1</v>
      </c>
      <c r="I273" s="4" t="s">
        <v>1327</v>
      </c>
      <c r="J273" s="4" t="s">
        <v>56</v>
      </c>
      <c r="K273" s="4" t="s">
        <v>4384</v>
      </c>
      <c r="L273" s="48" t="str">
        <f aca="false">HYPERLINK("https://boxd.it/7dW6","open")</f>
        <v>open</v>
      </c>
      <c r="M273" s="4" t="str">
        <f aca="false">LOWER(A273)&amp;"|"&amp;B273</f>
        <v>black sea|2014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1</v>
      </c>
      <c r="V273" s="4" t="n">
        <v>0</v>
      </c>
      <c r="W273" s="4" t="n">
        <v>0</v>
      </c>
    </row>
    <row r="274" customFormat="false" ht="15" hidden="false" customHeight="false" outlineLevel="0" collapsed="false">
      <c r="A274" s="4" t="s">
        <v>760</v>
      </c>
      <c r="B274" s="4" t="n">
        <v>1960</v>
      </c>
      <c r="C274" s="4" t="str">
        <f aca="false">FLOOR(B274,10)&amp;"s"</f>
        <v>1960s</v>
      </c>
      <c r="D274" s="4" t="s">
        <v>761</v>
      </c>
      <c r="E274" s="25" t="str">
        <f aca="false">IF(G274=1,"✓","")</f>
        <v/>
      </c>
      <c r="F274" s="4" t="n">
        <v>2</v>
      </c>
      <c r="G274" s="4" t="n">
        <f aca="false">IF(COUNTIF('Letterboxd Watched'!$E$2:$E$3000,M274)&gt;0,1,0)</f>
        <v>0</v>
      </c>
      <c r="H274" s="4" t="n">
        <v>5</v>
      </c>
      <c r="I274" s="4" t="s">
        <v>144</v>
      </c>
      <c r="J274" s="4" t="s">
        <v>51</v>
      </c>
      <c r="K274" s="4" t="s">
        <v>5240</v>
      </c>
      <c r="L274" s="48" t="str">
        <f aca="false">HYPERLINK("https://boxd.it/1rlG","open")</f>
        <v>open</v>
      </c>
      <c r="M274" s="4" t="str">
        <f aca="false">LOWER(A274)&amp;"|"&amp;B274</f>
        <v>black sunday|1960</v>
      </c>
      <c r="N274" s="4" t="n">
        <v>0</v>
      </c>
      <c r="O274" s="4" t="n">
        <v>0</v>
      </c>
      <c r="P274" s="4" t="n">
        <v>1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1</v>
      </c>
      <c r="W274" s="4" t="n">
        <v>0</v>
      </c>
    </row>
    <row r="275" customFormat="false" ht="15" hidden="false" customHeight="false" outlineLevel="0" collapsed="false">
      <c r="A275" s="4" t="s">
        <v>1928</v>
      </c>
      <c r="B275" s="4" t="n">
        <v>1955</v>
      </c>
      <c r="C275" s="4" t="str">
        <f aca="false">FLOOR(B275,10)&amp;"s"</f>
        <v>1950s</v>
      </c>
      <c r="D275" s="4" t="s">
        <v>1929</v>
      </c>
      <c r="E275" s="25" t="str">
        <f aca="false">IF(G275=1,"✓","")</f>
        <v/>
      </c>
      <c r="F275" s="4" t="n">
        <v>1</v>
      </c>
      <c r="G275" s="4" t="n">
        <f aca="false">IF(COUNTIF('Letterboxd Watched'!$E$2:$E$3000,M275)&gt;0,1,0)</f>
        <v>0</v>
      </c>
      <c r="H275" s="4" t="n">
        <v>2</v>
      </c>
      <c r="I275" s="4" t="s">
        <v>213</v>
      </c>
      <c r="J275" s="4" t="s">
        <v>55</v>
      </c>
      <c r="K275" s="4" t="s">
        <v>4346</v>
      </c>
      <c r="L275" s="48" t="str">
        <f aca="false">HYPERLINK("https://boxd.it/1tJg","open")</f>
        <v>open</v>
      </c>
      <c r="M275" s="4" t="str">
        <f aca="false">LOWER(A275)&amp;"|"&amp;B275</f>
        <v>blackboard jungle|1955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</v>
      </c>
      <c r="U275" s="4" t="n">
        <v>0</v>
      </c>
      <c r="V275" s="4" t="n">
        <v>0</v>
      </c>
      <c r="W275" s="4" t="n">
        <v>0</v>
      </c>
    </row>
    <row r="276" customFormat="false" ht="15" hidden="false" customHeight="false" outlineLevel="0" collapsed="false">
      <c r="A276" s="4" t="s">
        <v>3152</v>
      </c>
      <c r="B276" s="4" t="n">
        <v>2018</v>
      </c>
      <c r="C276" s="4" t="str">
        <f aca="false">FLOOR(B276,10)&amp;"s"</f>
        <v>2010s</v>
      </c>
      <c r="D276" s="4" t="s">
        <v>148</v>
      </c>
      <c r="E276" s="25" t="str">
        <f aca="false">IF(G276=1,"✓","")</f>
        <v/>
      </c>
      <c r="F276" s="4" t="n">
        <v>1</v>
      </c>
      <c r="G276" s="4" t="n">
        <f aca="false">IF(COUNTIF('Letterboxd Watched'!$E$2:$E$3000,M276)&gt;0,1,0)</f>
        <v>0</v>
      </c>
      <c r="H276" s="4" t="n">
        <v>2</v>
      </c>
      <c r="I276" s="4" t="s">
        <v>213</v>
      </c>
      <c r="J276" s="4" t="s">
        <v>53</v>
      </c>
      <c r="K276" s="4" t="s">
        <v>148</v>
      </c>
      <c r="L276" s="48" t="str">
        <f aca="false">HYPERLINK("https://boxd.it/hxL8","open")</f>
        <v>open</v>
      </c>
      <c r="M276" s="4" t="str">
        <f aca="false">LOWER(A276)&amp;"|"&amp;B276</f>
        <v>blackkklansman|2018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1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</row>
    <row r="277" customFormat="false" ht="15" hidden="false" customHeight="false" outlineLevel="0" collapsed="false">
      <c r="A277" s="4" t="s">
        <v>1700</v>
      </c>
      <c r="B277" s="4" t="n">
        <v>1929</v>
      </c>
      <c r="C277" s="4" t="str">
        <f aca="false">FLOOR(B277,10)&amp;"s"</f>
        <v>1920s</v>
      </c>
      <c r="D277" s="4" t="s">
        <v>162</v>
      </c>
      <c r="E277" s="25" t="str">
        <f aca="false">IF(G277=1,"✓","")</f>
        <v/>
      </c>
      <c r="F277" s="4" t="n">
        <v>1</v>
      </c>
      <c r="G277" s="4" t="n">
        <f aca="false">IF(COUNTIF('Letterboxd Watched'!$E$2:$E$3000,M277)&gt;0,1,0)</f>
        <v>0</v>
      </c>
      <c r="H277" s="4" t="n">
        <v>2</v>
      </c>
      <c r="I277" s="4" t="s">
        <v>213</v>
      </c>
      <c r="J277" s="4" t="s">
        <v>50</v>
      </c>
      <c r="K277" s="4" t="s">
        <v>3906</v>
      </c>
      <c r="L277" s="48" t="str">
        <f aca="false">HYPERLINK("https://boxd.it/2aao","open")</f>
        <v>open</v>
      </c>
      <c r="M277" s="4" t="str">
        <f aca="false">LOWER(A277)&amp;"|"&amp;B277</f>
        <v>blackmail|1929</v>
      </c>
      <c r="N277" s="4" t="n">
        <v>0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</row>
    <row r="278" customFormat="false" ht="15" hidden="false" customHeight="false" outlineLevel="0" collapsed="false">
      <c r="A278" s="4" t="s">
        <v>2208</v>
      </c>
      <c r="B278" s="4" t="n">
        <v>1972</v>
      </c>
      <c r="C278" s="4" t="str">
        <f aca="false">FLOOR(B278,10)&amp;"s"</f>
        <v>1970s</v>
      </c>
      <c r="D278" s="4" t="s">
        <v>2209</v>
      </c>
      <c r="E278" s="25" t="str">
        <f aca="false">IF(G278=1,"✓","")</f>
        <v/>
      </c>
      <c r="F278" s="4" t="n">
        <v>1</v>
      </c>
      <c r="G278" s="4" t="n">
        <f aca="false">IF(COUNTIF('Letterboxd Watched'!$E$2:$E$3000,M278)&gt;0,1,0)</f>
        <v>0</v>
      </c>
      <c r="H278" s="4" t="n">
        <v>2</v>
      </c>
      <c r="I278" s="4" t="s">
        <v>213</v>
      </c>
      <c r="J278" s="4" t="s">
        <v>54</v>
      </c>
      <c r="K278" s="4" t="s">
        <v>4288</v>
      </c>
      <c r="L278" s="48" t="str">
        <f aca="false">HYPERLINK("https://letterboxd.com/search/films/Blacula+1972/","open")</f>
        <v>open</v>
      </c>
      <c r="M278" s="4" t="str">
        <f aca="false">LOWER(A278)&amp;"|"&amp;B278</f>
        <v>blacula|1972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1</v>
      </c>
      <c r="T278" s="4" t="n">
        <v>0</v>
      </c>
      <c r="U278" s="4" t="n">
        <v>0</v>
      </c>
      <c r="V278" s="4" t="n">
        <v>0</v>
      </c>
      <c r="W278" s="4" t="n">
        <v>0</v>
      </c>
    </row>
    <row r="279" customFormat="false" ht="15" hidden="false" customHeight="false" outlineLevel="0" collapsed="false">
      <c r="A279" s="4" t="s">
        <v>3687</v>
      </c>
      <c r="B279" s="4" t="n">
        <v>1995</v>
      </c>
      <c r="C279" s="4" t="str">
        <f aca="false">FLOOR(B279,10)&amp;"s"</f>
        <v>1990s</v>
      </c>
      <c r="D279" s="4" t="s">
        <v>2523</v>
      </c>
      <c r="E279" s="25" t="str">
        <f aca="false">IF(G279=1,"✓","")</f>
        <v/>
      </c>
      <c r="F279" s="4" t="n">
        <v>1</v>
      </c>
      <c r="G279" s="4" t="n">
        <f aca="false">IF(COUNTIF('Letterboxd Watched'!$E$2:$E$3000,M279)&gt;0,1,0)</f>
        <v>0</v>
      </c>
      <c r="H279" s="4" t="n">
        <v>1</v>
      </c>
      <c r="I279" s="4" t="s">
        <v>1327</v>
      </c>
      <c r="J279" s="4" t="s">
        <v>51</v>
      </c>
      <c r="K279" s="4" t="s">
        <v>4014</v>
      </c>
      <c r="L279" s="48" t="str">
        <f aca="false">HYPERLINK("https://boxd.it/VSy","open")</f>
        <v>open</v>
      </c>
      <c r="M279" s="4" t="str">
        <f aca="false">LOWER(A279)&amp;"|"&amp;B279</f>
        <v>the blade|1995</v>
      </c>
      <c r="N279" s="4" t="n">
        <v>0</v>
      </c>
      <c r="O279" s="4" t="n">
        <v>0</v>
      </c>
      <c r="P279" s="4" t="n">
        <v>1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</row>
    <row r="280" customFormat="false" ht="15" hidden="false" customHeight="false" outlineLevel="0" collapsed="false">
      <c r="A280" s="4" t="s">
        <v>173</v>
      </c>
      <c r="B280" s="4" t="n">
        <v>1982</v>
      </c>
      <c r="C280" s="4" t="str">
        <f aca="false">FLOOR(B280,10)&amp;"s"</f>
        <v>1980s</v>
      </c>
      <c r="D280" s="4" t="s">
        <v>174</v>
      </c>
      <c r="E280" s="25" t="str">
        <f aca="false">IF(G280=1,"✓","")</f>
        <v>✓</v>
      </c>
      <c r="F280" s="4" t="n">
        <v>8</v>
      </c>
      <c r="G280" s="4" t="n">
        <f aca="false">IF(COUNTIF('Letterboxd Watched'!$E$2:$E$3000,M280)&gt;0,1,0)</f>
        <v>1</v>
      </c>
      <c r="H280" s="4" t="n">
        <v>18</v>
      </c>
      <c r="I280" s="4" t="s">
        <v>144</v>
      </c>
      <c r="J280" s="4" t="s">
        <v>49</v>
      </c>
      <c r="K280" s="4" t="s">
        <v>5241</v>
      </c>
      <c r="L280" s="48" t="str">
        <f aca="false">HYPERLINK("https://boxd.it/2bcA","open")</f>
        <v>open</v>
      </c>
      <c r="M280" s="4" t="str">
        <f aca="false">LOWER(A280)&amp;"|"&amp;B280</f>
        <v>blade runner|1982</v>
      </c>
      <c r="N280" s="4" t="n">
        <v>1</v>
      </c>
      <c r="O280" s="4" t="n">
        <v>1</v>
      </c>
      <c r="P280" s="4" t="n">
        <v>0</v>
      </c>
      <c r="Q280" s="4" t="n">
        <v>1</v>
      </c>
      <c r="R280" s="4" t="n">
        <v>0</v>
      </c>
      <c r="S280" s="4" t="n">
        <v>1</v>
      </c>
      <c r="T280" s="4" t="n">
        <v>1</v>
      </c>
      <c r="U280" s="4" t="n">
        <v>0</v>
      </c>
      <c r="V280" s="4" t="n">
        <v>1</v>
      </c>
      <c r="W280" s="4" t="n">
        <v>0</v>
      </c>
    </row>
    <row r="281" customFormat="false" ht="15" hidden="false" customHeight="false" outlineLevel="0" collapsed="false">
      <c r="A281" s="4" t="s">
        <v>1231</v>
      </c>
      <c r="B281" s="4" t="n">
        <v>2017</v>
      </c>
      <c r="C281" s="4" t="str">
        <f aca="false">FLOOR(B281,10)&amp;"s"</f>
        <v>2010s</v>
      </c>
      <c r="D281" s="4" t="s">
        <v>327</v>
      </c>
      <c r="E281" s="25" t="str">
        <f aca="false">IF(G281=1,"✓","")</f>
        <v>✓</v>
      </c>
      <c r="F281" s="4" t="n">
        <v>2</v>
      </c>
      <c r="G281" s="4" t="n">
        <f aca="false">IF(COUNTIF('Letterboxd Watched'!$E$2:$E$3000,M281)&gt;0,1,0)</f>
        <v>1</v>
      </c>
      <c r="H281" s="4" t="n">
        <v>4</v>
      </c>
      <c r="I281" s="4" t="s">
        <v>213</v>
      </c>
      <c r="J281" s="4" t="s">
        <v>52</v>
      </c>
      <c r="K281" s="4" t="s">
        <v>5242</v>
      </c>
      <c r="L281" s="48" t="str">
        <f aca="false">HYPERLINK("https://boxd.it/b8wK","open")</f>
        <v>open</v>
      </c>
      <c r="M281" s="4" t="str">
        <f aca="false">LOWER(A281)&amp;"|"&amp;B281</f>
        <v>blade runner 2049|2017</v>
      </c>
      <c r="N281" s="4" t="n">
        <v>0</v>
      </c>
      <c r="O281" s="4" t="n">
        <v>0</v>
      </c>
      <c r="P281" s="4" t="n">
        <v>0</v>
      </c>
      <c r="Q281" s="4" t="n">
        <v>1</v>
      </c>
      <c r="R281" s="4" t="n">
        <v>1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 customFormat="false" ht="15" hidden="false" customHeight="false" outlineLevel="0" collapsed="false">
      <c r="A282" s="4" t="s">
        <v>1573</v>
      </c>
      <c r="B282" s="4" t="n">
        <v>1999</v>
      </c>
      <c r="C282" s="4" t="str">
        <f aca="false">FLOOR(B282,10)&amp;"s"</f>
        <v>1990s</v>
      </c>
      <c r="D282" s="4" t="s">
        <v>1574</v>
      </c>
      <c r="E282" s="25" t="str">
        <f aca="false">IF(G282=1,"✓","")</f>
        <v/>
      </c>
      <c r="F282" s="4" t="n">
        <v>1</v>
      </c>
      <c r="G282" s="4" t="n">
        <f aca="false">IF(COUNTIF('Letterboxd Watched'!$E$2:$E$3000,M282)&gt;0,1,0)</f>
        <v>0</v>
      </c>
      <c r="H282" s="4" t="n">
        <v>3</v>
      </c>
      <c r="I282" s="4" t="s">
        <v>144</v>
      </c>
      <c r="J282" s="4" t="s">
        <v>52</v>
      </c>
      <c r="K282" s="4" t="s">
        <v>4076</v>
      </c>
      <c r="L282" s="48" t="str">
        <f aca="false">HYPERLINK("https://boxd.it/26ua","open")</f>
        <v>open</v>
      </c>
      <c r="M282" s="4" t="str">
        <f aca="false">LOWER(A282)&amp;"|"&amp;B282</f>
        <v>the blair witch project|1999</v>
      </c>
      <c r="N282" s="4" t="n">
        <v>0</v>
      </c>
      <c r="O282" s="4" t="n">
        <v>0</v>
      </c>
      <c r="P282" s="4" t="n">
        <v>0</v>
      </c>
      <c r="Q282" s="4" t="n">
        <v>1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</row>
    <row r="283" customFormat="false" ht="15" hidden="false" customHeight="false" outlineLevel="0" collapsed="false">
      <c r="A283" s="4" t="s">
        <v>2242</v>
      </c>
      <c r="B283" s="4" t="n">
        <v>1974</v>
      </c>
      <c r="C283" s="4" t="str">
        <f aca="false">FLOOR(B283,10)&amp;"s"</f>
        <v>1970s</v>
      </c>
      <c r="D283" s="4" t="s">
        <v>1500</v>
      </c>
      <c r="E283" s="25" t="str">
        <f aca="false">IF(G283=1,"✓","")</f>
        <v/>
      </c>
      <c r="F283" s="4" t="n">
        <v>1</v>
      </c>
      <c r="G283" s="4" t="n">
        <f aca="false">IF(COUNTIF('Letterboxd Watched'!$E$2:$E$3000,M283)&gt;0,1,0)</f>
        <v>0</v>
      </c>
      <c r="H283" s="4" t="n">
        <v>2</v>
      </c>
      <c r="I283" s="4" t="s">
        <v>213</v>
      </c>
      <c r="J283" s="4" t="s">
        <v>52</v>
      </c>
      <c r="K283" s="4" t="s">
        <v>4102</v>
      </c>
      <c r="L283" s="48" t="str">
        <f aca="false">HYPERLINK("https://boxd.it/1UHQ","open")</f>
        <v>open</v>
      </c>
      <c r="M283" s="4" t="str">
        <f aca="false">LOWER(A283)&amp;"|"&amp;B283</f>
        <v>blazing saddles|1974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</row>
    <row r="284" customFormat="false" ht="15" hidden="false" customHeight="false" outlineLevel="0" collapsed="false">
      <c r="A284" s="4" t="s">
        <v>2390</v>
      </c>
      <c r="B284" s="4" t="n">
        <v>1983</v>
      </c>
      <c r="C284" s="4" t="str">
        <f aca="false">FLOOR(B284,10)&amp;"s"</f>
        <v>1980s</v>
      </c>
      <c r="D284" s="4" t="s">
        <v>2391</v>
      </c>
      <c r="E284" s="25" t="str">
        <f aca="false">IF(G284=1,"✓","")</f>
        <v/>
      </c>
      <c r="F284" s="4" t="n">
        <v>1</v>
      </c>
      <c r="G284" s="4" t="n">
        <f aca="false">IF(COUNTIF('Letterboxd Watched'!$E$2:$E$3000,M284)&gt;0,1,0)</f>
        <v>0</v>
      </c>
      <c r="H284" s="4" t="n">
        <v>2</v>
      </c>
      <c r="I284" s="4" t="s">
        <v>213</v>
      </c>
      <c r="J284" s="4" t="s">
        <v>54</v>
      </c>
      <c r="K284" s="4" t="s">
        <v>4286</v>
      </c>
      <c r="L284" s="48" t="str">
        <f aca="false">HYPERLINK("https://letterboxd.com/search/films/Bless+Their+Little+Hearts+1983/","open")</f>
        <v>open</v>
      </c>
      <c r="M284" s="4" t="str">
        <f aca="false">LOWER(A284)&amp;"|"&amp;B284</f>
        <v>bless their little hearts|1983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</v>
      </c>
      <c r="T284" s="4" t="n">
        <v>0</v>
      </c>
      <c r="U284" s="4" t="n">
        <v>0</v>
      </c>
      <c r="V284" s="4" t="n">
        <v>0</v>
      </c>
      <c r="W284" s="4" t="n">
        <v>0</v>
      </c>
    </row>
    <row r="285" customFormat="false" ht="15" hidden="false" customHeight="false" outlineLevel="0" collapsed="false">
      <c r="A285" s="4" t="s">
        <v>2147</v>
      </c>
      <c r="B285" s="4" t="n">
        <v>1969</v>
      </c>
      <c r="C285" s="4" t="str">
        <f aca="false">FLOOR(B285,10)&amp;"s"</f>
        <v>1960s</v>
      </c>
      <c r="D285" s="4" t="s">
        <v>2148</v>
      </c>
      <c r="E285" s="25" t="str">
        <f aca="false">IF(G285=1,"✓","")</f>
        <v/>
      </c>
      <c r="F285" s="4" t="n">
        <v>1</v>
      </c>
      <c r="G285" s="4" t="n">
        <f aca="false">IF(COUNTIF('Letterboxd Watched'!$E$2:$E$3000,M285)&gt;0,1,0)</f>
        <v>0</v>
      </c>
      <c r="H285" s="4" t="n">
        <v>2</v>
      </c>
      <c r="I285" s="4" t="s">
        <v>213</v>
      </c>
      <c r="J285" s="4" t="s">
        <v>56</v>
      </c>
      <c r="K285" s="4" t="s">
        <v>4410</v>
      </c>
      <c r="L285" s="48" t="str">
        <f aca="false">HYPERLINK("https://letterboxd.com/search/films/Blind+Beast+1969/","open")</f>
        <v>open</v>
      </c>
      <c r="M285" s="4" t="str">
        <f aca="false">LOWER(A285)&amp;"|"&amp;B285</f>
        <v>blind beast|1969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1</v>
      </c>
      <c r="V285" s="4" t="n">
        <v>0</v>
      </c>
      <c r="W285" s="4" t="n">
        <v>0</v>
      </c>
    </row>
    <row r="286" customFormat="false" ht="15" hidden="false" customHeight="false" outlineLevel="0" collapsed="false">
      <c r="A286" s="4" t="s">
        <v>2459</v>
      </c>
      <c r="B286" s="4" t="n">
        <v>1987</v>
      </c>
      <c r="C286" s="4" t="str">
        <f aca="false">FLOOR(B286,10)&amp;"s"</f>
        <v>1980s</v>
      </c>
      <c r="D286" s="4" t="s">
        <v>1042</v>
      </c>
      <c r="E286" s="25" t="str">
        <f aca="false">IF(G286=1,"✓","")</f>
        <v/>
      </c>
      <c r="F286" s="4" t="n">
        <v>1</v>
      </c>
      <c r="G286" s="4" t="n">
        <f aca="false">IF(COUNTIF('Letterboxd Watched'!$E$2:$E$3000,M286)&gt;0,1,0)</f>
        <v>0</v>
      </c>
      <c r="H286" s="4" t="n">
        <v>2</v>
      </c>
      <c r="I286" s="4" t="s">
        <v>213</v>
      </c>
      <c r="J286" s="4" t="s">
        <v>53</v>
      </c>
      <c r="K286" s="4" t="s">
        <v>1042</v>
      </c>
      <c r="L286" s="48" t="str">
        <f aca="false">HYPERLINK("https://letterboxd.com/search/films/Blind+Chance+1987/","open")</f>
        <v>open</v>
      </c>
      <c r="M286" s="4" t="str">
        <f aca="false">LOWER(A286)&amp;"|"&amp;B286</f>
        <v>blind chance|1987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</row>
    <row r="287" customFormat="false" ht="15" hidden="false" customHeight="false" outlineLevel="0" collapsed="false">
      <c r="A287" s="4" t="s">
        <v>3164</v>
      </c>
      <c r="B287" s="4" t="n">
        <v>2018</v>
      </c>
      <c r="C287" s="4" t="str">
        <f aca="false">FLOOR(B287,10)&amp;"s"</f>
        <v>2010s</v>
      </c>
      <c r="D287" s="4" t="s">
        <v>3165</v>
      </c>
      <c r="E287" s="25" t="str">
        <f aca="false">IF(G287=1,"✓","")</f>
        <v/>
      </c>
      <c r="F287" s="4" t="n">
        <v>1</v>
      </c>
      <c r="G287" s="4" t="n">
        <f aca="false">IF(COUNTIF('Letterboxd Watched'!$E$2:$E$3000,M287)&gt;0,1,0)</f>
        <v>0</v>
      </c>
      <c r="H287" s="4" t="n">
        <v>2</v>
      </c>
      <c r="I287" s="4" t="s">
        <v>213</v>
      </c>
      <c r="J287" s="4" t="s">
        <v>58</v>
      </c>
      <c r="K287" s="4" t="s">
        <v>4480</v>
      </c>
      <c r="L287" s="48" t="str">
        <f aca="false">HYPERLINK("https://boxd.it/hDMw","open")</f>
        <v>open</v>
      </c>
      <c r="M287" s="4" t="str">
        <f aca="false">LOWER(A287)&amp;"|"&amp;B287</f>
        <v>blindspotting|2018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</v>
      </c>
    </row>
    <row r="288" customFormat="false" ht="15" hidden="false" customHeight="false" outlineLevel="0" collapsed="false">
      <c r="A288" s="4" t="s">
        <v>1159</v>
      </c>
      <c r="B288" s="4" t="n">
        <v>2002</v>
      </c>
      <c r="C288" s="4" t="str">
        <f aca="false">FLOOR(B288,10)&amp;"s"</f>
        <v>2000s</v>
      </c>
      <c r="D288" s="4" t="s">
        <v>444</v>
      </c>
      <c r="E288" s="25" t="str">
        <f aca="false">IF(G288=1,"✓","")</f>
        <v/>
      </c>
      <c r="F288" s="4" t="n">
        <v>2</v>
      </c>
      <c r="G288" s="4" t="n">
        <f aca="false">IF(COUNTIF('Letterboxd Watched'!$E$2:$E$3000,M288)&gt;0,1,0)</f>
        <v>0</v>
      </c>
      <c r="H288" s="4" t="n">
        <v>4</v>
      </c>
      <c r="I288" s="4" t="s">
        <v>213</v>
      </c>
      <c r="J288" s="4" t="s">
        <v>51</v>
      </c>
      <c r="K288" s="4" t="s">
        <v>5243</v>
      </c>
      <c r="L288" s="48" t="str">
        <f aca="false">HYPERLINK("https://boxd.it/LFu","open")</f>
        <v>open</v>
      </c>
      <c r="M288" s="4" t="str">
        <f aca="false">LOWER(A288)&amp;"|"&amp;B288</f>
        <v>blissfully yours|2002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1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</row>
    <row r="289" customFormat="false" ht="15" hidden="false" customHeight="false" outlineLevel="0" collapsed="false">
      <c r="A289" s="4" t="s">
        <v>3315</v>
      </c>
      <c r="B289" s="4" t="n">
        <v>1932</v>
      </c>
      <c r="C289" s="4" t="str">
        <f aca="false">FLOOR(B289,10)&amp;"s"</f>
        <v>1930s</v>
      </c>
      <c r="D289" s="4" t="s">
        <v>1710</v>
      </c>
      <c r="E289" s="25" t="str">
        <f aca="false">IF(G289=1,"✓","")</f>
        <v/>
      </c>
      <c r="F289" s="4" t="n">
        <v>1</v>
      </c>
      <c r="G289" s="4" t="n">
        <f aca="false">IF(COUNTIF('Letterboxd Watched'!$E$2:$E$3000,M289)&gt;0,1,0)</f>
        <v>0</v>
      </c>
      <c r="H289" s="4" t="n">
        <v>1</v>
      </c>
      <c r="I289" s="4" t="s">
        <v>1327</v>
      </c>
      <c r="J289" s="4" t="s">
        <v>54</v>
      </c>
      <c r="K289" s="4" t="s">
        <v>4278</v>
      </c>
      <c r="L289" s="48" t="str">
        <f aca="false">HYPERLINK("https://boxd.it/1dPs","open")</f>
        <v>open</v>
      </c>
      <c r="M289" s="4" t="str">
        <f aca="false">LOWER(A289)&amp;"|"&amp;B289</f>
        <v>blonde venus|1932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  <c r="U289" s="4" t="n">
        <v>0</v>
      </c>
      <c r="V289" s="4" t="n">
        <v>0</v>
      </c>
      <c r="W289" s="4" t="n">
        <v>0</v>
      </c>
    </row>
    <row r="290" customFormat="false" ht="15" hidden="false" customHeight="false" outlineLevel="0" collapsed="false">
      <c r="A290" s="4" t="s">
        <v>976</v>
      </c>
      <c r="B290" s="4" t="n">
        <v>1964</v>
      </c>
      <c r="C290" s="4" t="str">
        <f aca="false">FLOOR(B290,10)&amp;"s"</f>
        <v>1960s</v>
      </c>
      <c r="D290" s="4" t="s">
        <v>761</v>
      </c>
      <c r="E290" s="25" t="str">
        <f aca="false">IF(G290=1,"✓","")</f>
        <v/>
      </c>
      <c r="F290" s="4" t="n">
        <v>2</v>
      </c>
      <c r="G290" s="4" t="n">
        <f aca="false">IF(COUNTIF('Letterboxd Watched'!$E$2:$E$3000,M290)&gt;0,1,0)</f>
        <v>0</v>
      </c>
      <c r="H290" s="4" t="n">
        <v>4</v>
      </c>
      <c r="I290" s="4" t="s">
        <v>213</v>
      </c>
      <c r="J290" s="4" t="s">
        <v>51</v>
      </c>
      <c r="K290" s="4" t="s">
        <v>5233</v>
      </c>
      <c r="L290" s="48" t="str">
        <f aca="false">HYPERLINK("https://boxd.it/1qme","open")</f>
        <v>open</v>
      </c>
      <c r="M290" s="4" t="str">
        <f aca="false">LOWER(A290)&amp;"|"&amp;B290</f>
        <v>blood and black lace|1964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1</v>
      </c>
      <c r="W290" s="4" t="n">
        <v>0</v>
      </c>
    </row>
    <row r="291" customFormat="false" ht="15" hidden="false" customHeight="false" outlineLevel="0" collapsed="false">
      <c r="A291" s="4" t="s">
        <v>2039</v>
      </c>
      <c r="B291" s="4" t="n">
        <v>1963</v>
      </c>
      <c r="C291" s="4" t="str">
        <f aca="false">FLOOR(B291,10)&amp;"s"</f>
        <v>1960s</v>
      </c>
      <c r="D291" s="4" t="s">
        <v>2040</v>
      </c>
      <c r="E291" s="25" t="str">
        <f aca="false">IF(G291=1,"✓","")</f>
        <v/>
      </c>
      <c r="F291" s="4" t="n">
        <v>1</v>
      </c>
      <c r="G291" s="4" t="n">
        <f aca="false">IF(COUNTIF('Letterboxd Watched'!$E$2:$E$3000,M291)&gt;0,1,0)</f>
        <v>0</v>
      </c>
      <c r="H291" s="4" t="n">
        <v>2</v>
      </c>
      <c r="I291" s="4" t="s">
        <v>213</v>
      </c>
      <c r="J291" s="4" t="s">
        <v>54</v>
      </c>
      <c r="K291" s="4" t="s">
        <v>4308</v>
      </c>
      <c r="L291" s="48" t="str">
        <f aca="false">HYPERLINK("https://boxd.it/1q58","open")</f>
        <v>open</v>
      </c>
      <c r="M291" s="4" t="str">
        <f aca="false">LOWER(A291)&amp;"|"&amp;B291</f>
        <v>blood feast|1963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  <c r="U291" s="4" t="n">
        <v>0</v>
      </c>
      <c r="V291" s="4" t="n">
        <v>0</v>
      </c>
      <c r="W291" s="4" t="n">
        <v>0</v>
      </c>
    </row>
    <row r="292" customFormat="false" ht="15" hidden="false" customHeight="false" outlineLevel="0" collapsed="false">
      <c r="A292" s="4" t="s">
        <v>1736</v>
      </c>
      <c r="B292" s="4" t="n">
        <v>1932</v>
      </c>
      <c r="C292" s="4" t="str">
        <f aca="false">FLOOR(B292,10)&amp;"s"</f>
        <v>1930s</v>
      </c>
      <c r="D292" s="4" t="s">
        <v>1737</v>
      </c>
      <c r="E292" s="25" t="str">
        <f aca="false">IF(G292=1,"✓","")</f>
        <v/>
      </c>
      <c r="F292" s="4" t="n">
        <v>1</v>
      </c>
      <c r="G292" s="4" t="n">
        <f aca="false">IF(COUNTIF('Letterboxd Watched'!$E$2:$E$3000,M292)&gt;0,1,0)</f>
        <v>0</v>
      </c>
      <c r="H292" s="4" t="n">
        <v>2</v>
      </c>
      <c r="I292" s="4" t="s">
        <v>213</v>
      </c>
      <c r="J292" s="4" t="s">
        <v>52</v>
      </c>
      <c r="K292" s="4" t="s">
        <v>4180</v>
      </c>
      <c r="L292" s="48" t="str">
        <f aca="false">HYPERLINK("https://boxd.it/19Bw","open")</f>
        <v>open</v>
      </c>
      <c r="M292" s="4" t="str">
        <f aca="false">LOWER(A292)&amp;"|"&amp;B292</f>
        <v>the blood of a poet|1932</v>
      </c>
      <c r="N292" s="4" t="n">
        <v>0</v>
      </c>
      <c r="O292" s="4" t="n">
        <v>0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</row>
    <row r="293" customFormat="false" ht="15" hidden="false" customHeight="false" outlineLevel="0" collapsed="false">
      <c r="A293" s="4" t="s">
        <v>2141</v>
      </c>
      <c r="B293" s="4" t="n">
        <v>1969</v>
      </c>
      <c r="C293" s="4" t="str">
        <f aca="false">FLOOR(B293,10)&amp;"s"</f>
        <v>1960s</v>
      </c>
      <c r="D293" s="4" t="s">
        <v>2142</v>
      </c>
      <c r="E293" s="25" t="str">
        <f aca="false">IF(G293=1,"✓","")</f>
        <v/>
      </c>
      <c r="F293" s="4" t="n">
        <v>1</v>
      </c>
      <c r="G293" s="4" t="n">
        <f aca="false">IF(COUNTIF('Letterboxd Watched'!$E$2:$E$3000,M293)&gt;0,1,0)</f>
        <v>0</v>
      </c>
      <c r="H293" s="4" t="n">
        <v>2</v>
      </c>
      <c r="I293" s="4" t="s">
        <v>213</v>
      </c>
      <c r="J293" s="4" t="s">
        <v>51</v>
      </c>
      <c r="K293" s="4" t="s">
        <v>4008</v>
      </c>
      <c r="L293" s="48" t="str">
        <f aca="false">HYPERLINK("https://letterboxd.com/search/films/Blood+of+the+Condor+1969/","open")</f>
        <v>open</v>
      </c>
      <c r="M293" s="4" t="str">
        <f aca="false">LOWER(A293)&amp;"|"&amp;B293</f>
        <v>blood of the condor|1969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</row>
    <row r="294" customFormat="false" ht="15" hidden="false" customHeight="false" outlineLevel="0" collapsed="false">
      <c r="A294" s="4" t="s">
        <v>2175</v>
      </c>
      <c r="B294" s="4" t="n">
        <v>1971</v>
      </c>
      <c r="C294" s="4" t="str">
        <f aca="false">FLOOR(B294,10)&amp;"s"</f>
        <v>1970s</v>
      </c>
      <c r="D294" s="4" t="s">
        <v>2176</v>
      </c>
      <c r="E294" s="25" t="str">
        <f aca="false">IF(G294=1,"✓","")</f>
        <v/>
      </c>
      <c r="F294" s="4" t="n">
        <v>1</v>
      </c>
      <c r="G294" s="4" t="n">
        <f aca="false">IF(COUNTIF('Letterboxd Watched'!$E$2:$E$3000,M294)&gt;0,1,0)</f>
        <v>0</v>
      </c>
      <c r="H294" s="4" t="n">
        <v>2</v>
      </c>
      <c r="I294" s="4" t="s">
        <v>213</v>
      </c>
      <c r="J294" s="4" t="s">
        <v>52</v>
      </c>
      <c r="K294" s="4" t="s">
        <v>4064</v>
      </c>
      <c r="L294" s="48" t="str">
        <f aca="false">HYPERLINK("https://boxd.it/1td0","open")</f>
        <v>open</v>
      </c>
      <c r="M294" s="4" t="str">
        <f aca="false">LOWER(A294)&amp;"|"&amp;B294</f>
        <v>the blood on satan's claw|1971</v>
      </c>
      <c r="N294" s="4" t="n">
        <v>0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 customFormat="false" ht="15" hidden="false" customHeight="false" outlineLevel="0" collapsed="false">
      <c r="A295" s="4" t="s">
        <v>396</v>
      </c>
      <c r="B295" s="4" t="n">
        <v>1984</v>
      </c>
      <c r="C295" s="4" t="str">
        <f aca="false">FLOOR(B295,10)&amp;"s"</f>
        <v>1980s</v>
      </c>
      <c r="D295" s="4" t="s">
        <v>397</v>
      </c>
      <c r="E295" s="25" t="str">
        <f aca="false">IF(G295=1,"✓","")</f>
        <v>✓</v>
      </c>
      <c r="F295" s="4" t="n">
        <v>4</v>
      </c>
      <c r="G295" s="4" t="n">
        <f aca="false">IF(COUNTIF('Letterboxd Watched'!$E$2:$E$3000,M295)&gt;0,1,0)</f>
        <v>1</v>
      </c>
      <c r="H295" s="4" t="n">
        <v>8</v>
      </c>
      <c r="I295" s="4" t="s">
        <v>213</v>
      </c>
      <c r="J295" s="4" t="s">
        <v>50</v>
      </c>
      <c r="K295" s="4" t="s">
        <v>5244</v>
      </c>
      <c r="L295" s="48" t="str">
        <f aca="false">HYPERLINK("https://boxd.it/1U16","open")</f>
        <v>open</v>
      </c>
      <c r="M295" s="4" t="str">
        <f aca="false">LOWER(A295)&amp;"|"&amp;B295</f>
        <v>blood simple|1984</v>
      </c>
      <c r="N295" s="4" t="n">
        <v>0</v>
      </c>
      <c r="O295" s="4" t="n">
        <v>1</v>
      </c>
      <c r="P295" s="4" t="n">
        <v>0</v>
      </c>
      <c r="Q295" s="4" t="n">
        <v>1</v>
      </c>
      <c r="R295" s="4" t="n">
        <v>1</v>
      </c>
      <c r="S295" s="4" t="n">
        <v>0</v>
      </c>
      <c r="T295" s="4" t="n">
        <v>0</v>
      </c>
      <c r="U295" s="4" t="n">
        <v>1</v>
      </c>
      <c r="V295" s="4" t="n">
        <v>0</v>
      </c>
      <c r="W295" s="4" t="n">
        <v>0</v>
      </c>
    </row>
    <row r="296" customFormat="false" ht="15" hidden="false" customHeight="false" outlineLevel="0" collapsed="false">
      <c r="A296" s="4" t="s">
        <v>487</v>
      </c>
      <c r="B296" s="4" t="n">
        <v>1981</v>
      </c>
      <c r="C296" s="4" t="str">
        <f aca="false">FLOOR(B296,10)&amp;"s"</f>
        <v>1980s</v>
      </c>
      <c r="D296" s="4" t="s">
        <v>488</v>
      </c>
      <c r="E296" s="25" t="str">
        <f aca="false">IF(G296=1,"✓","")</f>
        <v>✓</v>
      </c>
      <c r="F296" s="4" t="n">
        <v>3</v>
      </c>
      <c r="G296" s="4" t="n">
        <f aca="false">IF(COUNTIF('Letterboxd Watched'!$E$2:$E$3000,M296)&gt;0,1,0)</f>
        <v>1</v>
      </c>
      <c r="H296" s="4" t="n">
        <v>7</v>
      </c>
      <c r="I296" s="4" t="s">
        <v>144</v>
      </c>
      <c r="J296" s="4" t="s">
        <v>49</v>
      </c>
      <c r="K296" s="4" t="s">
        <v>5245</v>
      </c>
      <c r="L296" s="48" t="str">
        <f aca="false">HYPERLINK("https://boxd.it/1TlE","open")</f>
        <v>open</v>
      </c>
      <c r="M296" s="4" t="str">
        <f aca="false">LOWER(A296)&amp;"|"&amp;B296</f>
        <v>blow out|1981</v>
      </c>
      <c r="N296" s="4" t="n">
        <v>1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 customFormat="false" ht="15" hidden="false" customHeight="false" outlineLevel="0" collapsed="false">
      <c r="A297" s="4" t="s">
        <v>666</v>
      </c>
      <c r="B297" s="4" t="n">
        <v>1966</v>
      </c>
      <c r="C297" s="4" t="str">
        <f aca="false">FLOOR(B297,10)&amp;"s"</f>
        <v>1960s</v>
      </c>
      <c r="D297" s="4" t="s">
        <v>217</v>
      </c>
      <c r="E297" s="25" t="str">
        <f aca="false">IF(G297=1,"✓","")</f>
        <v/>
      </c>
      <c r="F297" s="4" t="n">
        <v>2</v>
      </c>
      <c r="G297" s="4" t="n">
        <f aca="false">IF(COUNTIF('Letterboxd Watched'!$E$2:$E$3000,M297)&gt;0,1,0)</f>
        <v>0</v>
      </c>
      <c r="H297" s="4" t="n">
        <v>6</v>
      </c>
      <c r="I297" s="4" t="s">
        <v>144</v>
      </c>
      <c r="J297" s="4" t="s">
        <v>51</v>
      </c>
      <c r="K297" s="4" t="s">
        <v>5246</v>
      </c>
      <c r="L297" s="48" t="str">
        <f aca="false">HYPERLINK("https://boxd.it/2966","open")</f>
        <v>open</v>
      </c>
      <c r="M297" s="4" t="str">
        <f aca="false">LOWER(A297)&amp;"|"&amp;B297</f>
        <v>blow-up|1966</v>
      </c>
      <c r="N297" s="4" t="n">
        <v>0</v>
      </c>
      <c r="O297" s="4" t="n">
        <v>0</v>
      </c>
      <c r="P297" s="4" t="n">
        <v>1</v>
      </c>
      <c r="Q297" s="4" t="n">
        <v>0</v>
      </c>
      <c r="R297" s="4" t="n">
        <v>1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 customFormat="false" ht="15" hidden="false" customHeight="false" outlineLevel="0" collapsed="false">
      <c r="A298" s="4" t="s">
        <v>1709</v>
      </c>
      <c r="B298" s="4" t="n">
        <v>1930</v>
      </c>
      <c r="C298" s="4" t="str">
        <f aca="false">FLOOR(B298,10)&amp;"s"</f>
        <v>1930s</v>
      </c>
      <c r="D298" s="4" t="s">
        <v>1710</v>
      </c>
      <c r="E298" s="25" t="str">
        <f aca="false">IF(G298=1,"✓","")</f>
        <v/>
      </c>
      <c r="F298" s="4" t="n">
        <v>1</v>
      </c>
      <c r="G298" s="4" t="n">
        <f aca="false">IF(COUNTIF('Letterboxd Watched'!$E$2:$E$3000,M298)&gt;0,1,0)</f>
        <v>0</v>
      </c>
      <c r="H298" s="4" t="n">
        <v>2</v>
      </c>
      <c r="I298" s="4" t="s">
        <v>213</v>
      </c>
      <c r="J298" s="4" t="s">
        <v>50</v>
      </c>
      <c r="K298" s="4" t="s">
        <v>3906</v>
      </c>
      <c r="L298" s="48" t="str">
        <f aca="false">HYPERLINK("https://boxd.it/2aPm","open")</f>
        <v>open</v>
      </c>
      <c r="M298" s="4" t="str">
        <f aca="false">LOWER(A298)&amp;"|"&amp;B298</f>
        <v>the blue angel|1930</v>
      </c>
      <c r="N298" s="4" t="n">
        <v>0</v>
      </c>
      <c r="O298" s="4" t="n">
        <v>1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 customFormat="false" ht="15" hidden="false" customHeight="false" outlineLevel="0" collapsed="false">
      <c r="A299" s="4" t="s">
        <v>2314</v>
      </c>
      <c r="B299" s="4" t="n">
        <v>1978</v>
      </c>
      <c r="C299" s="4" t="str">
        <f aca="false">FLOOR(B299,10)&amp;"s"</f>
        <v>1970s</v>
      </c>
      <c r="D299" s="4" t="s">
        <v>1417</v>
      </c>
      <c r="E299" s="25" t="str">
        <f aca="false">IF(G299=1,"✓","")</f>
        <v/>
      </c>
      <c r="F299" s="4" t="n">
        <v>1</v>
      </c>
      <c r="G299" s="4" t="n">
        <f aca="false">IF(COUNTIF('Letterboxd Watched'!$E$2:$E$3000,M299)&gt;0,1,0)</f>
        <v>0</v>
      </c>
      <c r="H299" s="4" t="n">
        <v>2</v>
      </c>
      <c r="I299" s="4" t="s">
        <v>213</v>
      </c>
      <c r="J299" s="4" t="s">
        <v>55</v>
      </c>
      <c r="K299" s="4" t="s">
        <v>4316</v>
      </c>
      <c r="L299" s="48" t="str">
        <f aca="false">HYPERLINK("https://boxd.it/1Nhm","open")</f>
        <v>open</v>
      </c>
      <c r="M299" s="4" t="str">
        <f aca="false">LOWER(A299)&amp;"|"&amp;B299</f>
        <v>blue collar|1978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</v>
      </c>
      <c r="U299" s="4" t="n">
        <v>0</v>
      </c>
      <c r="V299" s="4" t="n">
        <v>0</v>
      </c>
      <c r="W299" s="4" t="n">
        <v>0</v>
      </c>
    </row>
    <row r="300" customFormat="false" ht="15" hidden="false" customHeight="false" outlineLevel="0" collapsed="false">
      <c r="A300" s="4" t="s">
        <v>2564</v>
      </c>
      <c r="B300" s="4" t="n">
        <v>1993</v>
      </c>
      <c r="C300" s="4" t="str">
        <f aca="false">FLOOR(B300,10)&amp;"s"</f>
        <v>1990s</v>
      </c>
      <c r="D300" s="4" t="s">
        <v>2565</v>
      </c>
      <c r="E300" s="25" t="str">
        <f aca="false">IF(G300=1,"✓","")</f>
        <v/>
      </c>
      <c r="F300" s="4" t="n">
        <v>1</v>
      </c>
      <c r="G300" s="4" t="n">
        <f aca="false">IF(COUNTIF('Letterboxd Watched'!$E$2:$E$3000,M300)&gt;0,1,0)</f>
        <v>0</v>
      </c>
      <c r="H300" s="4" t="n">
        <v>2</v>
      </c>
      <c r="I300" s="4" t="s">
        <v>213</v>
      </c>
      <c r="J300" s="4" t="s">
        <v>51</v>
      </c>
      <c r="K300" s="4" t="s">
        <v>4020</v>
      </c>
      <c r="L300" s="48" t="str">
        <f aca="false">HYPERLINK("https://letterboxd.com/search/films/The+Blue+Kite+1993/","open")</f>
        <v>open</v>
      </c>
      <c r="M300" s="4" t="str">
        <f aca="false">LOWER(A300)&amp;"|"&amp;B300</f>
        <v>the blue kite|1993</v>
      </c>
      <c r="N300" s="4" t="n">
        <v>0</v>
      </c>
      <c r="O300" s="4" t="n">
        <v>0</v>
      </c>
      <c r="P300" s="4" t="n">
        <v>1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 customFormat="false" ht="15" hidden="false" customHeight="false" outlineLevel="0" collapsed="false">
      <c r="A301" s="4" t="s">
        <v>1738</v>
      </c>
      <c r="B301" s="4" t="n">
        <v>1932</v>
      </c>
      <c r="C301" s="4" t="str">
        <f aca="false">FLOOR(B301,10)&amp;"s"</f>
        <v>1930s</v>
      </c>
      <c r="D301" s="4" t="s">
        <v>1739</v>
      </c>
      <c r="E301" s="25" t="str">
        <f aca="false">IF(G301=1,"✓","")</f>
        <v/>
      </c>
      <c r="F301" s="4" t="n">
        <v>1</v>
      </c>
      <c r="G301" s="4" t="n">
        <f aca="false">IF(COUNTIF('Letterboxd Watched'!$E$2:$E$3000,M301)&gt;0,1,0)</f>
        <v>0</v>
      </c>
      <c r="H301" s="4" t="n">
        <v>2</v>
      </c>
      <c r="I301" s="4" t="s">
        <v>213</v>
      </c>
      <c r="J301" s="4" t="s">
        <v>56</v>
      </c>
      <c r="K301" s="4" t="s">
        <v>4386</v>
      </c>
      <c r="L301" s="48" t="str">
        <f aca="false">HYPERLINK("https://letterboxd.com/search/films/The+Blue+Light+1932/","open")</f>
        <v>open</v>
      </c>
      <c r="M301" s="4" t="str">
        <f aca="false">LOWER(A301)&amp;"|"&amp;B301</f>
        <v>the blue light|1932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1</v>
      </c>
      <c r="V301" s="4" t="n">
        <v>0</v>
      </c>
      <c r="W301" s="4" t="n">
        <v>0</v>
      </c>
    </row>
    <row r="302" customFormat="false" ht="15" hidden="false" customHeight="false" outlineLevel="0" collapsed="false">
      <c r="A302" s="4" t="s">
        <v>2963</v>
      </c>
      <c r="B302" s="4" t="n">
        <v>2010</v>
      </c>
      <c r="C302" s="4" t="str">
        <f aca="false">FLOOR(B302,10)&amp;"s"</f>
        <v>2010s</v>
      </c>
      <c r="D302" s="4" t="s">
        <v>2964</v>
      </c>
      <c r="E302" s="25" t="str">
        <f aca="false">IF(G302=1,"✓","")</f>
        <v/>
      </c>
      <c r="F302" s="4" t="n">
        <v>1</v>
      </c>
      <c r="G302" s="4" t="n">
        <f aca="false">IF(COUNTIF('Letterboxd Watched'!$E$2:$E$3000,M302)&gt;0,1,0)</f>
        <v>0</v>
      </c>
      <c r="H302" s="4" t="n">
        <v>2</v>
      </c>
      <c r="I302" s="4" t="s">
        <v>213</v>
      </c>
      <c r="J302" s="4" t="s">
        <v>55</v>
      </c>
      <c r="K302" s="4" t="s">
        <v>4348</v>
      </c>
      <c r="L302" s="48" t="str">
        <f aca="false">HYPERLINK("https://boxd.it/MxG","open")</f>
        <v>open</v>
      </c>
      <c r="M302" s="4" t="str">
        <f aca="false">LOWER(A302)&amp;"|"&amp;B302</f>
        <v>blue valentine|2010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1</v>
      </c>
      <c r="U302" s="4" t="n">
        <v>0</v>
      </c>
      <c r="V302" s="4" t="n">
        <v>0</v>
      </c>
      <c r="W302" s="4" t="n">
        <v>0</v>
      </c>
    </row>
    <row r="303" customFormat="false" ht="15" hidden="false" customHeight="false" outlineLevel="0" collapsed="false">
      <c r="A303" s="4" t="s">
        <v>317</v>
      </c>
      <c r="B303" s="4" t="n">
        <v>1986</v>
      </c>
      <c r="C303" s="4" t="str">
        <f aca="false">FLOOR(B303,10)&amp;"s"</f>
        <v>1980s</v>
      </c>
      <c r="D303" s="4" t="s">
        <v>154</v>
      </c>
      <c r="E303" s="25" t="str">
        <f aca="false">IF(G303=1,"✓","")</f>
        <v>✓</v>
      </c>
      <c r="F303" s="4" t="n">
        <v>4</v>
      </c>
      <c r="G303" s="4" t="n">
        <f aca="false">IF(COUNTIF('Letterboxd Watched'!$E$2:$E$3000,M303)&gt;0,1,0)</f>
        <v>1</v>
      </c>
      <c r="H303" s="4" t="n">
        <v>10</v>
      </c>
      <c r="I303" s="4" t="s">
        <v>144</v>
      </c>
      <c r="J303" s="4" t="s">
        <v>50</v>
      </c>
      <c r="K303" s="4" t="s">
        <v>5247</v>
      </c>
      <c r="L303" s="48" t="str">
        <f aca="false">HYPERLINK("https://boxd.it/29BI","open")</f>
        <v>open</v>
      </c>
      <c r="M303" s="4" t="str">
        <f aca="false">LOWER(A303)&amp;"|"&amp;B303</f>
        <v>blue velvet|1986</v>
      </c>
      <c r="N303" s="4" t="n">
        <v>0</v>
      </c>
      <c r="O303" s="4" t="n">
        <v>1</v>
      </c>
      <c r="P303" s="4" t="n">
        <v>0</v>
      </c>
      <c r="Q303" s="4" t="n">
        <v>1</v>
      </c>
      <c r="R303" s="4" t="n">
        <v>1</v>
      </c>
      <c r="S303" s="4" t="n">
        <v>1</v>
      </c>
      <c r="T303" s="4" t="n">
        <v>0</v>
      </c>
      <c r="U303" s="4" t="n">
        <v>0</v>
      </c>
      <c r="V303" s="4" t="n">
        <v>0</v>
      </c>
      <c r="W303" s="4" t="n">
        <v>0</v>
      </c>
    </row>
    <row r="304" customFormat="false" ht="15" hidden="false" customHeight="false" outlineLevel="0" collapsed="false">
      <c r="A304" s="4" t="s">
        <v>1277</v>
      </c>
      <c r="B304" s="4" t="n">
        <v>1980</v>
      </c>
      <c r="C304" s="4" t="str">
        <f aca="false">FLOOR(B304,10)&amp;"s"</f>
        <v>1980s</v>
      </c>
      <c r="D304" s="4" t="s">
        <v>1062</v>
      </c>
      <c r="E304" s="25" t="str">
        <f aca="false">IF(G304=1,"✓","")</f>
        <v/>
      </c>
      <c r="F304" s="4" t="n">
        <v>2</v>
      </c>
      <c r="G304" s="4" t="n">
        <f aca="false">IF(COUNTIF('Letterboxd Watched'!$E$2:$E$3000,M304)&gt;0,1,0)</f>
        <v>0</v>
      </c>
      <c r="H304" s="4" t="n">
        <v>4</v>
      </c>
      <c r="I304" s="4" t="s">
        <v>213</v>
      </c>
      <c r="J304" s="4" t="s">
        <v>52</v>
      </c>
      <c r="K304" s="4" t="s">
        <v>5248</v>
      </c>
      <c r="L304" s="48" t="str">
        <f aca="false">HYPERLINK("https://boxd.it/2adi","open")</f>
        <v>open</v>
      </c>
      <c r="M304" s="4" t="str">
        <f aca="false">LOWER(A304)&amp;"|"&amp;B304</f>
        <v>the blues brothers|1980</v>
      </c>
      <c r="N304" s="4" t="n">
        <v>0</v>
      </c>
      <c r="O304" s="4" t="n">
        <v>0</v>
      </c>
      <c r="P304" s="4" t="n">
        <v>0</v>
      </c>
      <c r="Q304" s="4" t="n">
        <v>1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 customFormat="false" ht="15" hidden="false" customHeight="false" outlineLevel="0" collapsed="false">
      <c r="A305" s="4" t="s">
        <v>2357</v>
      </c>
      <c r="B305" s="4" t="n">
        <v>1982</v>
      </c>
      <c r="C305" s="4" t="str">
        <f aca="false">FLOOR(B305,10)&amp;"s"</f>
        <v>1980s</v>
      </c>
      <c r="D305" s="4" t="s">
        <v>2325</v>
      </c>
      <c r="E305" s="25" t="str">
        <f aca="false">IF(G305=1,"✓","")</f>
        <v/>
      </c>
      <c r="F305" s="4" t="n">
        <v>1</v>
      </c>
      <c r="G305" s="4" t="n">
        <f aca="false">IF(COUNTIF('Letterboxd Watched'!$E$2:$E$3000,M305)&gt;0,1,0)</f>
        <v>0</v>
      </c>
      <c r="H305" s="4" t="n">
        <v>2</v>
      </c>
      <c r="I305" s="4" t="s">
        <v>213</v>
      </c>
      <c r="J305" s="4" t="s">
        <v>51</v>
      </c>
      <c r="K305" s="4" t="s">
        <v>4016</v>
      </c>
      <c r="L305" s="48" t="str">
        <f aca="false">HYPERLINK("https://boxd.it/2oo0","open")</f>
        <v>open</v>
      </c>
      <c r="M305" s="4" t="str">
        <f aca="false">LOWER(A305)&amp;"|"&amp;B305</f>
        <v>boat people|1982</v>
      </c>
      <c r="N305" s="4" t="n">
        <v>0</v>
      </c>
      <c r="O305" s="4" t="n">
        <v>0</v>
      </c>
      <c r="P305" s="4" t="n">
        <v>1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</row>
    <row r="306" customFormat="false" ht="15" hidden="false" customHeight="false" outlineLevel="0" collapsed="false">
      <c r="A306" s="4" t="s">
        <v>577</v>
      </c>
      <c r="B306" s="4" t="n">
        <v>1956</v>
      </c>
      <c r="C306" s="4" t="str">
        <f aca="false">FLOOR(B306,10)&amp;"s"</f>
        <v>1950s</v>
      </c>
      <c r="D306" s="4" t="s">
        <v>290</v>
      </c>
      <c r="E306" s="25" t="str">
        <f aca="false">IF(G306=1,"✓","")</f>
        <v/>
      </c>
      <c r="F306" s="4" t="n">
        <v>3</v>
      </c>
      <c r="G306" s="4" t="n">
        <f aca="false">IF(COUNTIF('Letterboxd Watched'!$E$2:$E$3000,M306)&gt;0,1,0)</f>
        <v>0</v>
      </c>
      <c r="H306" s="4" t="n">
        <v>6</v>
      </c>
      <c r="I306" s="4" t="s">
        <v>213</v>
      </c>
      <c r="J306" s="4" t="s">
        <v>51</v>
      </c>
      <c r="K306" s="4" t="s">
        <v>5249</v>
      </c>
      <c r="L306" s="48" t="str">
        <f aca="false">HYPERLINK("https://boxd.it/1uC6","open")</f>
        <v>open</v>
      </c>
      <c r="M306" s="4" t="str">
        <f aca="false">LOWER(A306)&amp;"|"&amp;B306</f>
        <v>bob le flambeur|1956</v>
      </c>
      <c r="N306" s="4" t="n">
        <v>0</v>
      </c>
      <c r="O306" s="4" t="n">
        <v>0</v>
      </c>
      <c r="P306" s="4" t="n">
        <v>1</v>
      </c>
      <c r="Q306" s="4" t="n">
        <v>1</v>
      </c>
      <c r="R306" s="4" t="n">
        <v>1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 customFormat="false" ht="15" hidden="false" customHeight="false" outlineLevel="0" collapsed="false">
      <c r="A307" s="4" t="s">
        <v>1382</v>
      </c>
      <c r="B307" s="4" t="n">
        <v>1992</v>
      </c>
      <c r="C307" s="4" t="str">
        <f aca="false">FLOOR(B307,10)&amp;"s"</f>
        <v>1990s</v>
      </c>
      <c r="D307" s="4" t="s">
        <v>1383</v>
      </c>
      <c r="E307" s="25" t="str">
        <f aca="false">IF(G307=1,"✓","")</f>
        <v/>
      </c>
      <c r="F307" s="4" t="n">
        <v>2</v>
      </c>
      <c r="G307" s="4" t="n">
        <f aca="false">IF(COUNTIF('Letterboxd Watched'!$E$2:$E$3000,M307)&gt;0,1,0)</f>
        <v>0</v>
      </c>
      <c r="H307" s="4" t="n">
        <v>3</v>
      </c>
      <c r="I307" s="4" t="s">
        <v>213</v>
      </c>
      <c r="J307" s="4" t="s">
        <v>52</v>
      </c>
      <c r="K307" s="4" t="s">
        <v>5250</v>
      </c>
      <c r="L307" s="48" t="str">
        <f aca="false">HYPERLINK("https://boxd.it/1VQ0","open")</f>
        <v>open</v>
      </c>
      <c r="M307" s="4" t="str">
        <f aca="false">LOWER(A307)&amp;"|"&amp;B307</f>
        <v>bob roberts|1992</v>
      </c>
      <c r="N307" s="4" t="n">
        <v>0</v>
      </c>
      <c r="O307" s="4" t="n">
        <v>0</v>
      </c>
      <c r="P307" s="4" t="n">
        <v>0</v>
      </c>
      <c r="Q307" s="4" t="n">
        <v>1</v>
      </c>
      <c r="R307" s="4" t="n">
        <v>0</v>
      </c>
      <c r="S307" s="4" t="n">
        <v>0</v>
      </c>
      <c r="T307" s="4" t="n">
        <v>1</v>
      </c>
      <c r="U307" s="4" t="n">
        <v>0</v>
      </c>
      <c r="V307" s="4" t="n">
        <v>0</v>
      </c>
      <c r="W307" s="4" t="n">
        <v>0</v>
      </c>
    </row>
    <row r="308" customFormat="false" ht="15" hidden="false" customHeight="false" outlineLevel="0" collapsed="false">
      <c r="A308" s="4" t="s">
        <v>1429</v>
      </c>
      <c r="B308" s="4" t="n">
        <v>1925</v>
      </c>
      <c r="C308" s="4" t="str">
        <f aca="false">FLOOR(B308,10)&amp;"s"</f>
        <v>1920s</v>
      </c>
      <c r="D308" s="4" t="s">
        <v>722</v>
      </c>
      <c r="E308" s="25" t="str">
        <f aca="false">IF(G308=1,"✓","")</f>
        <v/>
      </c>
      <c r="F308" s="4" t="n">
        <v>1</v>
      </c>
      <c r="G308" s="4" t="n">
        <f aca="false">IF(COUNTIF('Letterboxd Watched'!$E$2:$E$3000,M308)&gt;0,1,0)</f>
        <v>0</v>
      </c>
      <c r="H308" s="4" t="n">
        <v>3</v>
      </c>
      <c r="I308" s="4" t="s">
        <v>144</v>
      </c>
      <c r="J308" s="4" t="s">
        <v>54</v>
      </c>
      <c r="K308" s="4" t="s">
        <v>4284</v>
      </c>
      <c r="L308" s="48" t="str">
        <f aca="false">HYPERLINK("https://boxd.it/35oC","open")</f>
        <v>open</v>
      </c>
      <c r="M308" s="4" t="str">
        <f aca="false">LOWER(A308)&amp;"|"&amp;B308</f>
        <v>body and soul|1925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1</v>
      </c>
      <c r="T308" s="4" t="n">
        <v>0</v>
      </c>
      <c r="U308" s="4" t="n">
        <v>0</v>
      </c>
      <c r="V308" s="4" t="n">
        <v>0</v>
      </c>
      <c r="W308" s="4" t="n">
        <v>0</v>
      </c>
    </row>
    <row r="309" customFormat="false" ht="15" hidden="false" customHeight="false" outlineLevel="0" collapsed="false">
      <c r="A309" s="4" t="s">
        <v>814</v>
      </c>
      <c r="B309" s="4" t="n">
        <v>1984</v>
      </c>
      <c r="C309" s="4" t="str">
        <f aca="false">FLOOR(B309,10)&amp;"s"</f>
        <v>1980s</v>
      </c>
      <c r="D309" s="4" t="s">
        <v>488</v>
      </c>
      <c r="E309" s="25" t="str">
        <f aca="false">IF(G309=1,"✓","")</f>
        <v/>
      </c>
      <c r="F309" s="4" t="n">
        <v>3</v>
      </c>
      <c r="G309" s="4" t="n">
        <f aca="false">IF(COUNTIF('Letterboxd Watched'!$E$2:$E$3000,M309)&gt;0,1,0)</f>
        <v>0</v>
      </c>
      <c r="H309" s="4" t="n">
        <v>5</v>
      </c>
      <c r="I309" s="4" t="s">
        <v>213</v>
      </c>
      <c r="J309" s="4" t="s">
        <v>52</v>
      </c>
      <c r="K309" s="4" t="s">
        <v>5251</v>
      </c>
      <c r="L309" s="48" t="str">
        <f aca="false">HYPERLINK("https://boxd.it/1TGW","open")</f>
        <v>open</v>
      </c>
      <c r="M309" s="4" t="str">
        <f aca="false">LOWER(A309)&amp;"|"&amp;B309</f>
        <v>body double|1984</v>
      </c>
      <c r="N309" s="4" t="n">
        <v>0</v>
      </c>
      <c r="O309" s="4" t="n">
        <v>0</v>
      </c>
      <c r="P309" s="4" t="n">
        <v>0</v>
      </c>
      <c r="Q309" s="4" t="n">
        <v>1</v>
      </c>
      <c r="R309" s="4" t="n">
        <v>1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</row>
    <row r="310" customFormat="false" ht="15" hidden="false" customHeight="false" outlineLevel="0" collapsed="false">
      <c r="A310" s="4" t="s">
        <v>549</v>
      </c>
      <c r="B310" s="4" t="n">
        <v>1981</v>
      </c>
      <c r="C310" s="4" t="str">
        <f aca="false">FLOOR(B310,10)&amp;"s"</f>
        <v>1980s</v>
      </c>
      <c r="D310" s="4" t="s">
        <v>550</v>
      </c>
      <c r="E310" s="25" t="str">
        <f aca="false">IF(G310=1,"✓","")</f>
        <v/>
      </c>
      <c r="F310" s="4" t="n">
        <v>3</v>
      </c>
      <c r="G310" s="4" t="n">
        <f aca="false">IF(COUNTIF('Letterboxd Watched'!$E$2:$E$3000,M310)&gt;0,1,0)</f>
        <v>0</v>
      </c>
      <c r="H310" s="4" t="n">
        <v>7</v>
      </c>
      <c r="I310" s="4" t="s">
        <v>144</v>
      </c>
      <c r="J310" s="4" t="s">
        <v>52</v>
      </c>
      <c r="K310" s="4" t="s">
        <v>5252</v>
      </c>
      <c r="L310" s="48" t="str">
        <f aca="false">HYPERLINK("https://boxd.it/1O9S","open")</f>
        <v>open</v>
      </c>
      <c r="M310" s="4" t="str">
        <f aca="false">LOWER(A310)&amp;"|"&amp;B310</f>
        <v>body heat|1981</v>
      </c>
      <c r="N310" s="4" t="n">
        <v>0</v>
      </c>
      <c r="O310" s="4" t="n">
        <v>0</v>
      </c>
      <c r="P310" s="4" t="n">
        <v>0</v>
      </c>
      <c r="Q310" s="4" t="n">
        <v>1</v>
      </c>
      <c r="R310" s="4" t="n">
        <v>0</v>
      </c>
      <c r="S310" s="4" t="n">
        <v>1</v>
      </c>
      <c r="T310" s="4" t="n">
        <v>0</v>
      </c>
      <c r="U310" s="4" t="n">
        <v>0</v>
      </c>
      <c r="V310" s="4" t="n">
        <v>0</v>
      </c>
      <c r="W310" s="4" t="n">
        <v>0</v>
      </c>
    </row>
    <row r="311" customFormat="false" ht="15" hidden="false" customHeight="false" outlineLevel="0" collapsed="false">
      <c r="A311" s="4" t="s">
        <v>1827</v>
      </c>
      <c r="B311" s="4" t="n">
        <v>1945</v>
      </c>
      <c r="C311" s="4" t="str">
        <f aca="false">FLOOR(B311,10)&amp;"s"</f>
        <v>1940s</v>
      </c>
      <c r="D311" s="4" t="s">
        <v>789</v>
      </c>
      <c r="E311" s="25" t="str">
        <f aca="false">IF(G311=1,"✓","")</f>
        <v/>
      </c>
      <c r="F311" s="4" t="n">
        <v>1</v>
      </c>
      <c r="G311" s="4" t="n">
        <f aca="false">IF(COUNTIF('Letterboxd Watched'!$E$2:$E$3000,M311)&gt;0,1,0)</f>
        <v>0</v>
      </c>
      <c r="H311" s="4" t="n">
        <v>2</v>
      </c>
      <c r="I311" s="4" t="s">
        <v>213</v>
      </c>
      <c r="J311" s="4" t="s">
        <v>52</v>
      </c>
      <c r="K311" s="4" t="s">
        <v>4060</v>
      </c>
      <c r="L311" s="48" t="str">
        <f aca="false">HYPERLINK("https://letterboxd.com/search/films/The+Body+Snatcher+1945/","open")</f>
        <v>open</v>
      </c>
      <c r="M311" s="4" t="str">
        <f aca="false">LOWER(A311)&amp;"|"&amp;B311</f>
        <v>the body snatcher|1945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</row>
    <row r="312" customFormat="false" ht="15" hidden="false" customHeight="false" outlineLevel="0" collapsed="false">
      <c r="A312" s="4" t="s">
        <v>2727</v>
      </c>
      <c r="B312" s="4" t="n">
        <v>2000</v>
      </c>
      <c r="C312" s="4" t="str">
        <f aca="false">FLOOR(B312,10)&amp;"s"</f>
        <v>2000s</v>
      </c>
      <c r="D312" s="4" t="s">
        <v>2728</v>
      </c>
      <c r="E312" s="25" t="str">
        <f aca="false">IF(G312=1,"✓","")</f>
        <v/>
      </c>
      <c r="F312" s="4" t="n">
        <v>1</v>
      </c>
      <c r="G312" s="4" t="n">
        <f aca="false">IF(COUNTIF('Letterboxd Watched'!$E$2:$E$3000,M312)&gt;0,1,0)</f>
        <v>0</v>
      </c>
      <c r="H312" s="4" t="n">
        <v>2</v>
      </c>
      <c r="I312" s="4" t="s">
        <v>213</v>
      </c>
      <c r="J312" s="4" t="s">
        <v>55</v>
      </c>
      <c r="K312" s="4" t="s">
        <v>4314</v>
      </c>
      <c r="L312" s="48" t="str">
        <f aca="false">HYPERLINK("https://letterboxd.com/search/films/Boiler+Room+2000/","open")</f>
        <v>open</v>
      </c>
      <c r="M312" s="4" t="str">
        <f aca="false">LOWER(A312)&amp;"|"&amp;B312</f>
        <v>boiler room|2000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1</v>
      </c>
      <c r="U312" s="4" t="n">
        <v>0</v>
      </c>
      <c r="V312" s="4" t="n">
        <v>0</v>
      </c>
      <c r="W312" s="4" t="n">
        <v>0</v>
      </c>
    </row>
    <row r="313" customFormat="false" ht="15" hidden="false" customHeight="false" outlineLevel="0" collapsed="false">
      <c r="A313" s="4" t="s">
        <v>3071</v>
      </c>
      <c r="B313" s="4" t="n">
        <v>2015</v>
      </c>
      <c r="C313" s="4" t="str">
        <f aca="false">FLOOR(B313,10)&amp;"s"</f>
        <v>2010s</v>
      </c>
      <c r="D313" s="4" t="s">
        <v>3072</v>
      </c>
      <c r="E313" s="25" t="str">
        <f aca="false">IF(G313=1,"✓","")</f>
        <v>✓</v>
      </c>
      <c r="F313" s="4" t="n">
        <v>1</v>
      </c>
      <c r="G313" s="4" t="n">
        <f aca="false">IF(COUNTIF('Letterboxd Watched'!$E$2:$E$3000,M313)&gt;0,1,0)</f>
        <v>1</v>
      </c>
      <c r="H313" s="4" t="n">
        <v>2</v>
      </c>
      <c r="I313" s="4" t="s">
        <v>213</v>
      </c>
      <c r="J313" s="4" t="s">
        <v>52</v>
      </c>
      <c r="K313" s="4" t="s">
        <v>4054</v>
      </c>
      <c r="L313" s="48" t="str">
        <f aca="false">HYPERLINK("https://boxd.it/9kiw","open")</f>
        <v>open</v>
      </c>
      <c r="M313" s="4" t="str">
        <f aca="false">LOWER(A313)&amp;"|"&amp;B313</f>
        <v>bone tomahawk|2015</v>
      </c>
      <c r="N313" s="4" t="n">
        <v>0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</row>
    <row r="314" customFormat="false" ht="15" hidden="false" customHeight="false" outlineLevel="0" collapsed="false">
      <c r="A314" s="4" t="s">
        <v>985</v>
      </c>
      <c r="B314" s="4" t="n">
        <v>1965</v>
      </c>
      <c r="C314" s="4" t="str">
        <f aca="false">FLOOR(B314,10)&amp;"s"</f>
        <v>1960s</v>
      </c>
      <c r="D314" s="4" t="s">
        <v>158</v>
      </c>
      <c r="E314" s="25" t="str">
        <f aca="false">IF(G314=1,"✓","")</f>
        <v/>
      </c>
      <c r="F314" s="4" t="n">
        <v>2</v>
      </c>
      <c r="G314" s="4" t="n">
        <f aca="false">IF(COUNTIF('Letterboxd Watched'!$E$2:$E$3000,M314)&gt;0,1,0)</f>
        <v>0</v>
      </c>
      <c r="H314" s="4" t="n">
        <v>4</v>
      </c>
      <c r="I314" s="4" t="s">
        <v>213</v>
      </c>
      <c r="J314" s="4" t="s">
        <v>51</v>
      </c>
      <c r="K314" s="4" t="s">
        <v>5253</v>
      </c>
      <c r="L314" s="48" t="str">
        <f aca="false">HYPERLINK("https://boxd.it/xyk","open")</f>
        <v>open</v>
      </c>
      <c r="M314" s="4" t="str">
        <f aca="false">LOWER(A314)&amp;"|"&amp;B314</f>
        <v>le bonheur|1965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1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</row>
    <row r="315" customFormat="false" ht="15" hidden="false" customHeight="false" outlineLevel="0" collapsed="false">
      <c r="A315" s="4" t="s">
        <v>300</v>
      </c>
      <c r="B315" s="4" t="n">
        <v>1967</v>
      </c>
      <c r="C315" s="4" t="str">
        <f aca="false">FLOOR(B315,10)&amp;"s"</f>
        <v>1960s</v>
      </c>
      <c r="D315" s="4" t="s">
        <v>301</v>
      </c>
      <c r="E315" s="25" t="str">
        <f aca="false">IF(G315=1,"✓","")</f>
        <v>✓</v>
      </c>
      <c r="F315" s="4" t="n">
        <v>5</v>
      </c>
      <c r="G315" s="4" t="n">
        <f aca="false">IF(COUNTIF('Letterboxd Watched'!$E$2:$E$3000,M315)&gt;0,1,0)</f>
        <v>1</v>
      </c>
      <c r="H315" s="4" t="n">
        <v>11</v>
      </c>
      <c r="I315" s="4" t="s">
        <v>144</v>
      </c>
      <c r="J315" s="4" t="s">
        <v>49</v>
      </c>
      <c r="K315" s="4" t="s">
        <v>5254</v>
      </c>
      <c r="L315" s="48" t="str">
        <f aca="false">HYPERLINK("https://boxd.it/2ajg","open")</f>
        <v>open</v>
      </c>
      <c r="M315" s="4" t="str">
        <f aca="false">LOWER(A315)&amp;"|"&amp;B315</f>
        <v>bonnie and clyde|1967</v>
      </c>
      <c r="N315" s="4" t="n">
        <v>1</v>
      </c>
      <c r="O315" s="4" t="n">
        <v>1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</v>
      </c>
      <c r="W315" s="4" t="n">
        <v>0</v>
      </c>
    </row>
    <row r="316" customFormat="false" ht="15" hidden="false" customHeight="false" outlineLevel="0" collapsed="false">
      <c r="A316" s="4" t="s">
        <v>503</v>
      </c>
      <c r="B316" s="4" t="n">
        <v>1997</v>
      </c>
      <c r="C316" s="4" t="str">
        <f aca="false">FLOOR(B316,10)&amp;"s"</f>
        <v>1990s</v>
      </c>
      <c r="D316" s="4" t="s">
        <v>278</v>
      </c>
      <c r="E316" s="25" t="str">
        <f aca="false">IF(G316=1,"✓","")</f>
        <v>✓</v>
      </c>
      <c r="F316" s="4" t="n">
        <v>3</v>
      </c>
      <c r="G316" s="4" t="n">
        <f aca="false">IF(COUNTIF('Letterboxd Watched'!$E$2:$E$3000,M316)&gt;0,1,0)</f>
        <v>1</v>
      </c>
      <c r="H316" s="4" t="n">
        <v>7</v>
      </c>
      <c r="I316" s="4" t="s">
        <v>144</v>
      </c>
      <c r="J316" s="4" t="s">
        <v>49</v>
      </c>
      <c r="K316" s="4" t="s">
        <v>5255</v>
      </c>
      <c r="L316" s="48" t="str">
        <f aca="false">HYPERLINK("https://boxd.it/23um","open")</f>
        <v>open</v>
      </c>
      <c r="M316" s="4" t="str">
        <f aca="false">LOWER(A316)&amp;"|"&amp;B316</f>
        <v>boogie nights|1997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1</v>
      </c>
    </row>
    <row r="317" customFormat="false" ht="15" hidden="false" customHeight="false" outlineLevel="0" collapsed="false">
      <c r="A317" s="4" t="s">
        <v>809</v>
      </c>
      <c r="B317" s="4" t="n">
        <v>1981</v>
      </c>
      <c r="C317" s="4" t="str">
        <f aca="false">FLOOR(B317,10)&amp;"s"</f>
        <v>1980s</v>
      </c>
      <c r="D317" s="4" t="s">
        <v>810</v>
      </c>
      <c r="E317" s="25" t="str">
        <f aca="false">IF(G317=1,"✓","")</f>
        <v/>
      </c>
      <c r="F317" s="4" t="n">
        <v>2</v>
      </c>
      <c r="G317" s="4" t="n">
        <f aca="false">IF(COUNTIF('Letterboxd Watched'!$E$2:$E$3000,M317)&gt;0,1,0)</f>
        <v>0</v>
      </c>
      <c r="H317" s="4" t="n">
        <v>5</v>
      </c>
      <c r="I317" s="4" t="s">
        <v>144</v>
      </c>
      <c r="J317" s="4" t="s">
        <v>52</v>
      </c>
      <c r="K317" s="4" t="s">
        <v>5256</v>
      </c>
      <c r="L317" s="48" t="str">
        <f aca="false">HYPERLINK("https://boxd.it/2av2","open")</f>
        <v>open</v>
      </c>
      <c r="M317" s="4" t="str">
        <f aca="false">LOWER(A317)&amp;"|"&amp;B317</f>
        <v>das boot|1981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  <c r="U317" s="4" t="n">
        <v>1</v>
      </c>
      <c r="V317" s="4" t="n">
        <v>0</v>
      </c>
      <c r="W317" s="4" t="n">
        <v>0</v>
      </c>
    </row>
    <row r="318" customFormat="false" ht="15" hidden="false" customHeight="false" outlineLevel="0" collapsed="false">
      <c r="A318" s="4" t="s">
        <v>2852</v>
      </c>
      <c r="B318" s="4" t="n">
        <v>2006</v>
      </c>
      <c r="C318" s="4" t="str">
        <f aca="false">FLOOR(B318,10)&amp;"s"</f>
        <v>2000s</v>
      </c>
      <c r="D318" s="4" t="s">
        <v>2853</v>
      </c>
      <c r="E318" s="25" t="str">
        <f aca="false">IF(G318=1,"✓","")</f>
        <v/>
      </c>
      <c r="F318" s="4" t="n">
        <v>1</v>
      </c>
      <c r="G318" s="4" t="n">
        <f aca="false">IF(COUNTIF('Letterboxd Watched'!$E$2:$E$3000,M318)&gt;0,1,0)</f>
        <v>0</v>
      </c>
      <c r="H318" s="4" t="n">
        <v>2</v>
      </c>
      <c r="I318" s="4" t="s">
        <v>213</v>
      </c>
      <c r="J318" s="4" t="s">
        <v>52</v>
      </c>
      <c r="K318" s="4" t="s">
        <v>4104</v>
      </c>
      <c r="L318" s="48" t="str">
        <f aca="false">HYPERLINK("https://letterboxd.com/search/films/Borat+2006/","open")</f>
        <v>open</v>
      </c>
      <c r="M318" s="4" t="str">
        <f aca="false">LOWER(A318)&amp;"|"&amp;B318</f>
        <v>borat|2006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 customFormat="false" ht="15" hidden="false" customHeight="false" outlineLevel="0" collapsed="false">
      <c r="A319" s="4" t="s">
        <v>2495</v>
      </c>
      <c r="B319" s="4" t="n">
        <v>1989</v>
      </c>
      <c r="C319" s="4" t="str">
        <f aca="false">FLOOR(B319,10)&amp;"s"</f>
        <v>1980s</v>
      </c>
      <c r="D319" s="4" t="s">
        <v>816</v>
      </c>
      <c r="E319" s="25" t="str">
        <f aca="false">IF(G319=1,"✓","")</f>
        <v/>
      </c>
      <c r="F319" s="4" t="n">
        <v>1</v>
      </c>
      <c r="G319" s="4" t="n">
        <f aca="false">IF(COUNTIF('Letterboxd Watched'!$E$2:$E$3000,M319)&gt;0,1,0)</f>
        <v>0</v>
      </c>
      <c r="H319" s="4" t="n">
        <v>2</v>
      </c>
      <c r="I319" s="4" t="s">
        <v>213</v>
      </c>
      <c r="J319" s="4" t="s">
        <v>52</v>
      </c>
      <c r="K319" s="4" t="s">
        <v>4140</v>
      </c>
      <c r="L319" s="48" t="str">
        <f aca="false">HYPERLINK("https://boxd.it/26A8","open")</f>
        <v>open</v>
      </c>
      <c r="M319" s="4" t="str">
        <f aca="false">LOWER(A319)&amp;"|"&amp;B319</f>
        <v>born on the fourth of july|1989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 customFormat="false" ht="15" hidden="false" customHeight="false" outlineLevel="0" collapsed="false">
      <c r="A320" s="4" t="s">
        <v>2027</v>
      </c>
      <c r="B320" s="4" t="n">
        <v>1963</v>
      </c>
      <c r="C320" s="4" t="str">
        <f aca="false">FLOOR(B320,10)&amp;"s"</f>
        <v>1960s</v>
      </c>
      <c r="D320" s="4" t="s">
        <v>470</v>
      </c>
      <c r="E320" s="25" t="str">
        <f aca="false">IF(G320=1,"✓","")</f>
        <v/>
      </c>
      <c r="F320" s="4" t="n">
        <v>1</v>
      </c>
      <c r="G320" s="4" t="n">
        <f aca="false">IF(COUNTIF('Letterboxd Watched'!$E$2:$E$3000,M320)&gt;0,1,0)</f>
        <v>0</v>
      </c>
      <c r="H320" s="4" t="n">
        <v>2</v>
      </c>
      <c r="I320" s="4" t="s">
        <v>213</v>
      </c>
      <c r="J320" s="4" t="s">
        <v>51</v>
      </c>
      <c r="K320" s="4" t="s">
        <v>4036</v>
      </c>
      <c r="L320" s="48" t="str">
        <f aca="false">HYPERLINK("https://letterboxd.com/search/films/Borom+Sarret+1963/","open")</f>
        <v>open</v>
      </c>
      <c r="M320" s="4" t="str">
        <f aca="false">LOWER(A320)&amp;"|"&amp;B320</f>
        <v>borom sarret|1963</v>
      </c>
      <c r="N320" s="4" t="n">
        <v>0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</row>
    <row r="321" customFormat="false" ht="15" hidden="false" customHeight="false" outlineLevel="0" collapsed="false">
      <c r="A321" s="4" t="s">
        <v>2218</v>
      </c>
      <c r="B321" s="4" t="n">
        <v>1973</v>
      </c>
      <c r="C321" s="4" t="str">
        <f aca="false">FLOOR(B321,10)&amp;"s"</f>
        <v>1970s</v>
      </c>
      <c r="D321" s="4" t="s">
        <v>1491</v>
      </c>
      <c r="E321" s="25" t="str">
        <f aca="false">IF(G321=1,"✓","")</f>
        <v/>
      </c>
      <c r="F321" s="4" t="n">
        <v>1</v>
      </c>
      <c r="G321" s="4" t="n">
        <f aca="false">IF(COUNTIF('Letterboxd Watched'!$E$2:$E$3000,M321)&gt;0,1,0)</f>
        <v>0</v>
      </c>
      <c r="H321" s="4" t="n">
        <v>2</v>
      </c>
      <c r="I321" s="4" t="s">
        <v>213</v>
      </c>
      <c r="J321" s="4" t="s">
        <v>51</v>
      </c>
      <c r="K321" s="4" t="s">
        <v>3954</v>
      </c>
      <c r="L321" s="48" t="str">
        <f aca="false">HYPERLINK("https://letterboxd.com/search/films/The+Boss+1973/","open")</f>
        <v>open</v>
      </c>
      <c r="M321" s="4" t="str">
        <f aca="false">LOWER(A321)&amp;"|"&amp;B321</f>
        <v>the boss|1973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 customFormat="false" ht="15" hidden="false" customHeight="false" outlineLevel="0" collapsed="false">
      <c r="A322" s="4" t="s">
        <v>2641</v>
      </c>
      <c r="B322" s="4" t="n">
        <v>1996</v>
      </c>
      <c r="C322" s="4" t="str">
        <f aca="false">FLOOR(B322,10)&amp;"s"</f>
        <v>1990s</v>
      </c>
      <c r="D322" s="4" t="s">
        <v>274</v>
      </c>
      <c r="E322" s="25" t="str">
        <f aca="false">IF(G322=1,"✓","")</f>
        <v>✓</v>
      </c>
      <c r="F322" s="4" t="n">
        <v>1</v>
      </c>
      <c r="G322" s="4" t="n">
        <f aca="false">IF(COUNTIF('Letterboxd Watched'!$E$2:$E$3000,M322)&gt;0,1,0)</f>
        <v>1</v>
      </c>
      <c r="H322" s="4" t="n">
        <v>2</v>
      </c>
      <c r="I322" s="4" t="s">
        <v>213</v>
      </c>
      <c r="J322" s="4" t="s">
        <v>53</v>
      </c>
      <c r="K322" s="4" t="s">
        <v>274</v>
      </c>
      <c r="L322" s="48" t="str">
        <f aca="false">HYPERLINK("https://boxd.it/1PDa","open")</f>
        <v>open</v>
      </c>
      <c r="M322" s="4" t="str">
        <f aca="false">LOWER(A322)&amp;"|"&amp;B322</f>
        <v>bottle rocket|1996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</row>
    <row r="323" customFormat="false" ht="15" hidden="false" customHeight="false" outlineLevel="0" collapsed="false">
      <c r="A323" s="4" t="s">
        <v>1305</v>
      </c>
      <c r="B323" s="4" t="n">
        <v>1932</v>
      </c>
      <c r="C323" s="4" t="str">
        <f aca="false">FLOOR(B323,10)&amp;"s"</f>
        <v>1930s</v>
      </c>
      <c r="D323" s="4" t="s">
        <v>234</v>
      </c>
      <c r="E323" s="25" t="str">
        <f aca="false">IF(G323=1,"✓","")</f>
        <v/>
      </c>
      <c r="F323" s="4" t="n">
        <v>2</v>
      </c>
      <c r="G323" s="4" t="n">
        <f aca="false">IF(COUNTIF('Letterboxd Watched'!$E$2:$E$3000,M323)&gt;0,1,0)</f>
        <v>0</v>
      </c>
      <c r="H323" s="4" t="n">
        <v>3</v>
      </c>
      <c r="I323" s="4" t="s">
        <v>213</v>
      </c>
      <c r="J323" s="4" t="s">
        <v>51</v>
      </c>
      <c r="K323" s="4" t="s">
        <v>5257</v>
      </c>
      <c r="L323" s="48" t="str">
        <f aca="false">HYPERLINK("https://letterboxd.com/search/films/Boudu+Saved+from+Drowning+1932/","open")</f>
        <v>open</v>
      </c>
      <c r="M323" s="4" t="str">
        <f aca="false">LOWER(A323)&amp;"|"&amp;B323</f>
        <v>boudu saved from drowning|1932</v>
      </c>
      <c r="N323" s="4" t="n">
        <v>0</v>
      </c>
      <c r="O323" s="4" t="n">
        <v>0</v>
      </c>
      <c r="P323" s="4" t="n">
        <v>1</v>
      </c>
      <c r="Q323" s="4" t="n">
        <v>0</v>
      </c>
      <c r="R323" s="4" t="n">
        <v>1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 customFormat="false" ht="15" hidden="false" customHeight="false" outlineLevel="0" collapsed="false">
      <c r="A324" s="4" t="s">
        <v>2637</v>
      </c>
      <c r="B324" s="4" t="n">
        <v>1996</v>
      </c>
      <c r="C324" s="4" t="str">
        <f aca="false">FLOOR(B324,10)&amp;"s"</f>
        <v>1990s</v>
      </c>
      <c r="D324" s="4" t="s">
        <v>848</v>
      </c>
      <c r="E324" s="25" t="str">
        <f aca="false">IF(G324=1,"✓","")</f>
        <v/>
      </c>
      <c r="F324" s="4" t="n">
        <v>1</v>
      </c>
      <c r="G324" s="4" t="n">
        <f aca="false">IF(COUNTIF('Letterboxd Watched'!$E$2:$E$3000,M324)&gt;0,1,0)</f>
        <v>0</v>
      </c>
      <c r="H324" s="4" t="n">
        <v>2</v>
      </c>
      <c r="I324" s="4" t="s">
        <v>213</v>
      </c>
      <c r="J324" s="4" t="s">
        <v>52</v>
      </c>
      <c r="K324" s="4" t="s">
        <v>4128</v>
      </c>
      <c r="L324" s="48" t="str">
        <f aca="false">HYPERLINK("https://boxd.it/1Z1g","open")</f>
        <v>open</v>
      </c>
      <c r="M324" s="4" t="str">
        <f aca="false">LOWER(A324)&amp;"|"&amp;B324</f>
        <v>bound|1996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</row>
    <row r="325" customFormat="false" ht="15" hidden="false" customHeight="false" outlineLevel="0" collapsed="false">
      <c r="A325" s="4" t="s">
        <v>2288</v>
      </c>
      <c r="B325" s="4" t="n">
        <v>1976</v>
      </c>
      <c r="C325" s="4" t="str">
        <f aca="false">FLOOR(B325,10)&amp;"s"</f>
        <v>1970s</v>
      </c>
      <c r="D325" s="4" t="s">
        <v>310</v>
      </c>
      <c r="E325" s="25" t="str">
        <f aca="false">IF(G325=1,"✓","")</f>
        <v/>
      </c>
      <c r="F325" s="4" t="n">
        <v>1</v>
      </c>
      <c r="G325" s="4" t="n">
        <f aca="false">IF(COUNTIF('Letterboxd Watched'!$E$2:$E$3000,M325)&gt;0,1,0)</f>
        <v>0</v>
      </c>
      <c r="H325" s="4" t="n">
        <v>2</v>
      </c>
      <c r="I325" s="4" t="s">
        <v>213</v>
      </c>
      <c r="J325" s="4" t="s">
        <v>53</v>
      </c>
      <c r="K325" s="4" t="s">
        <v>4200</v>
      </c>
      <c r="L325" s="48" t="str">
        <f aca="false">HYPERLINK("https://boxd.it/XpI","open")</f>
        <v>open</v>
      </c>
      <c r="M325" s="4" t="str">
        <f aca="false">LOWER(A325)&amp;"|"&amp;B325</f>
        <v>bound for glory|1976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1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 customFormat="false" ht="15" hidden="false" customHeight="false" outlineLevel="0" collapsed="false">
      <c r="A326" s="4" t="s">
        <v>2777</v>
      </c>
      <c r="B326" s="4" t="n">
        <v>2002</v>
      </c>
      <c r="C326" s="4" t="str">
        <f aca="false">FLOOR(B326,10)&amp;"s"</f>
        <v>2000s</v>
      </c>
      <c r="D326" s="4" t="s">
        <v>2778</v>
      </c>
      <c r="E326" s="25" t="str">
        <f aca="false">IF(G326=1,"✓","")</f>
        <v>✓</v>
      </c>
      <c r="F326" s="4" t="n">
        <v>1</v>
      </c>
      <c r="G326" s="4" t="n">
        <f aca="false">IF(COUNTIF('Letterboxd Watched'!$E$2:$E$3000,M326)&gt;0,1,0)</f>
        <v>1</v>
      </c>
      <c r="H326" s="4" t="n">
        <v>2</v>
      </c>
      <c r="I326" s="4" t="s">
        <v>213</v>
      </c>
      <c r="J326" s="4" t="s">
        <v>52</v>
      </c>
      <c r="K326" s="4" t="s">
        <v>4132</v>
      </c>
      <c r="L326" s="48" t="str">
        <f aca="false">HYPERLINK("https://boxd.it/26EO","open")</f>
        <v>open</v>
      </c>
      <c r="M326" s="4" t="str">
        <f aca="false">LOWER(A326)&amp;"|"&amp;B326</f>
        <v>the bourne identity|2002</v>
      </c>
      <c r="N326" s="4" t="n">
        <v>0</v>
      </c>
      <c r="O326" s="4" t="n">
        <v>0</v>
      </c>
      <c r="P326" s="4" t="n">
        <v>0</v>
      </c>
      <c r="Q326" s="4" t="n">
        <v>1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 customFormat="false" ht="15" hidden="false" customHeight="false" outlineLevel="0" collapsed="false">
      <c r="A327" s="4" t="s">
        <v>2880</v>
      </c>
      <c r="B327" s="4" t="n">
        <v>2007</v>
      </c>
      <c r="C327" s="4" t="str">
        <f aca="false">FLOOR(B327,10)&amp;"s"</f>
        <v>2000s</v>
      </c>
      <c r="D327" s="4" t="s">
        <v>2881</v>
      </c>
      <c r="E327" s="25" t="str">
        <f aca="false">IF(G327=1,"✓","")</f>
        <v/>
      </c>
      <c r="F327" s="4" t="n">
        <v>1</v>
      </c>
      <c r="G327" s="4" t="n">
        <f aca="false">IF(COUNTIF('Letterboxd Watched'!$E$2:$E$3000,M327)&gt;0,1,0)</f>
        <v>0</v>
      </c>
      <c r="H327" s="4" t="n">
        <v>2</v>
      </c>
      <c r="I327" s="4" t="s">
        <v>213</v>
      </c>
      <c r="J327" s="4" t="s">
        <v>52</v>
      </c>
      <c r="K327" s="4" t="s">
        <v>4160</v>
      </c>
      <c r="L327" s="48" t="str">
        <f aca="false">HYPERLINK("https://boxd.it/26Eu","open")</f>
        <v>open</v>
      </c>
      <c r="M327" s="4" t="str">
        <f aca="false">LOWER(A327)&amp;"|"&amp;B327</f>
        <v>the bourne ultimatum|2007</v>
      </c>
      <c r="N327" s="4" t="n">
        <v>0</v>
      </c>
      <c r="O327" s="4" t="n">
        <v>0</v>
      </c>
      <c r="P327" s="4" t="n">
        <v>0</v>
      </c>
      <c r="Q327" s="4" t="n">
        <v>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 customFormat="false" ht="15" hidden="false" customHeight="false" outlineLevel="0" collapsed="false">
      <c r="A328" s="4" t="s">
        <v>1409</v>
      </c>
      <c r="B328" s="4" t="n">
        <v>1969</v>
      </c>
      <c r="C328" s="4" t="str">
        <f aca="false">FLOOR(B328,10)&amp;"s"</f>
        <v>1960s</v>
      </c>
      <c r="D328" s="4" t="s">
        <v>995</v>
      </c>
      <c r="E328" s="25" t="str">
        <f aca="false">IF(G328=1,"✓","")</f>
        <v/>
      </c>
      <c r="F328" s="4" t="n">
        <v>1</v>
      </c>
      <c r="G328" s="4" t="n">
        <f aca="false">IF(COUNTIF('Letterboxd Watched'!$E$2:$E$3000,M328)&gt;0,1,0)</f>
        <v>0</v>
      </c>
      <c r="H328" s="4" t="n">
        <v>1</v>
      </c>
      <c r="I328" s="4" t="s">
        <v>1327</v>
      </c>
      <c r="J328" s="4" t="s">
        <v>51</v>
      </c>
      <c r="K328" s="4" t="s">
        <v>3932</v>
      </c>
      <c r="L328" s="48" t="str">
        <f aca="false">HYPERLINK("https://letterboxd.com/search/films/Boy+1969/","open")</f>
        <v>open</v>
      </c>
      <c r="M328" s="4" t="str">
        <f aca="false">LOWER(A328)&amp;"|"&amp;B328</f>
        <v>boy|1969</v>
      </c>
      <c r="N328" s="4" t="n">
        <v>0</v>
      </c>
      <c r="O328" s="4" t="n">
        <v>0</v>
      </c>
      <c r="P328" s="4" t="n">
        <v>1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</row>
    <row r="329" customFormat="false" ht="15" hidden="false" customHeight="false" outlineLevel="0" collapsed="false">
      <c r="A329" s="4" t="s">
        <v>1409</v>
      </c>
      <c r="B329" s="4" t="n">
        <v>2010</v>
      </c>
      <c r="C329" s="4" t="str">
        <f aca="false">FLOOR(B329,10)&amp;"s"</f>
        <v>2010s</v>
      </c>
      <c r="D329" s="4" t="s">
        <v>1410</v>
      </c>
      <c r="E329" s="25" t="str">
        <f aca="false">IF(G329=1,"✓","")</f>
        <v/>
      </c>
      <c r="F329" s="4" t="n">
        <v>2</v>
      </c>
      <c r="G329" s="4" t="n">
        <f aca="false">IF(COUNTIF('Letterboxd Watched'!$E$2:$E$3000,M329)&gt;0,1,0)</f>
        <v>0</v>
      </c>
      <c r="H329" s="4" t="n">
        <v>3</v>
      </c>
      <c r="I329" s="4" t="s">
        <v>213</v>
      </c>
      <c r="J329" s="4" t="s">
        <v>54</v>
      </c>
      <c r="K329" s="4" t="s">
        <v>5258</v>
      </c>
      <c r="L329" s="48" t="str">
        <f aca="false">HYPERLINK("https://boxd.it/13RS","open")</f>
        <v>open</v>
      </c>
      <c r="M329" s="4" t="str">
        <f aca="false">LOWER(A329)&amp;"|"&amp;B329</f>
        <v>boy|2010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1</v>
      </c>
      <c r="T329" s="4" t="n">
        <v>1</v>
      </c>
      <c r="U329" s="4" t="n">
        <v>0</v>
      </c>
      <c r="V329" s="4" t="n">
        <v>0</v>
      </c>
      <c r="W329" s="4" t="n">
        <v>0</v>
      </c>
    </row>
    <row r="330" customFormat="false" ht="15" hidden="false" customHeight="false" outlineLevel="0" collapsed="false">
      <c r="A330" s="4" t="s">
        <v>3240</v>
      </c>
      <c r="B330" s="4" t="n">
        <v>2023</v>
      </c>
      <c r="C330" s="4" t="str">
        <f aca="false">FLOOR(B330,10)&amp;"s"</f>
        <v>2020s</v>
      </c>
      <c r="D330" s="4" t="s">
        <v>382</v>
      </c>
      <c r="E330" s="25" t="str">
        <f aca="false">IF(G330=1,"✓","")</f>
        <v/>
      </c>
      <c r="F330" s="4" t="n">
        <v>1</v>
      </c>
      <c r="G330" s="4" t="n">
        <f aca="false">IF(COUNTIF('Letterboxd Watched'!$E$2:$E$3000,M330)&gt;0,1,0)</f>
        <v>0</v>
      </c>
      <c r="H330" s="4" t="n">
        <v>2</v>
      </c>
      <c r="I330" s="4" t="s">
        <v>213</v>
      </c>
      <c r="J330" s="4" t="s">
        <v>53</v>
      </c>
      <c r="K330" s="4" t="s">
        <v>4248</v>
      </c>
      <c r="L330" s="48" t="str">
        <f aca="false">HYPERLINK("https://letterboxd.com/search/films/The+Boy+and+the+Heron+2023/","open")</f>
        <v>open</v>
      </c>
      <c r="M330" s="4" t="str">
        <f aca="false">LOWER(A330)&amp;"|"&amp;B330</f>
        <v>the boy and the heron|2023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1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</row>
    <row r="331" customFormat="false" ht="15" hidden="false" customHeight="false" outlineLevel="0" collapsed="false">
      <c r="A331" s="4" t="s">
        <v>525</v>
      </c>
      <c r="B331" s="4" t="n">
        <v>2014</v>
      </c>
      <c r="C331" s="4" t="str">
        <f aca="false">FLOOR(B331,10)&amp;"s"</f>
        <v>2010s</v>
      </c>
      <c r="D331" s="4" t="s">
        <v>320</v>
      </c>
      <c r="E331" s="25" t="str">
        <f aca="false">IF(G331=1,"✓","")</f>
        <v/>
      </c>
      <c r="F331" s="4" t="n">
        <v>3</v>
      </c>
      <c r="G331" s="4" t="n">
        <f aca="false">IF(COUNTIF('Letterboxd Watched'!$E$2:$E$3000,M331)&gt;0,1,0)</f>
        <v>0</v>
      </c>
      <c r="H331" s="4" t="n">
        <v>7</v>
      </c>
      <c r="I331" s="4" t="s">
        <v>144</v>
      </c>
      <c r="J331" s="4" t="s">
        <v>53</v>
      </c>
      <c r="K331" s="4" t="s">
        <v>5259</v>
      </c>
      <c r="L331" s="48" t="str">
        <f aca="false">HYPERLINK("https://boxd.it/3178","open")</f>
        <v>open</v>
      </c>
      <c r="M331" s="4" t="str">
        <f aca="false">LOWER(A331)&amp;"|"&amp;B331</f>
        <v>boyhood|2014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</v>
      </c>
      <c r="S331" s="4" t="n">
        <v>0</v>
      </c>
      <c r="T331" s="4" t="n">
        <v>1</v>
      </c>
      <c r="U331" s="4" t="n">
        <v>1</v>
      </c>
      <c r="V331" s="4" t="n">
        <v>0</v>
      </c>
      <c r="W331" s="4" t="n">
        <v>0</v>
      </c>
    </row>
    <row r="332" customFormat="false" ht="15" hidden="false" customHeight="false" outlineLevel="0" collapsed="false">
      <c r="A332" s="4" t="s">
        <v>2707</v>
      </c>
      <c r="B332" s="4" t="n">
        <v>1999</v>
      </c>
      <c r="C332" s="4" t="str">
        <f aca="false">FLOOR(B332,10)&amp;"s"</f>
        <v>1990s</v>
      </c>
      <c r="D332" s="4" t="s">
        <v>2708</v>
      </c>
      <c r="E332" s="25" t="str">
        <f aca="false">IF(G332=1,"✓","")</f>
        <v/>
      </c>
      <c r="F332" s="4" t="n">
        <v>1</v>
      </c>
      <c r="G332" s="4" t="n">
        <f aca="false">IF(COUNTIF('Letterboxd Watched'!$E$2:$E$3000,M332)&gt;0,1,0)</f>
        <v>0</v>
      </c>
      <c r="H332" s="4" t="n">
        <v>2</v>
      </c>
      <c r="I332" s="4" t="s">
        <v>213</v>
      </c>
      <c r="J332" s="4" t="s">
        <v>54</v>
      </c>
      <c r="K332" s="4" t="s">
        <v>4298</v>
      </c>
      <c r="L332" s="48" t="str">
        <f aca="false">HYPERLINK("https://boxd.it/2aPG","open")</f>
        <v>open</v>
      </c>
      <c r="M332" s="4" t="str">
        <f aca="false">LOWER(A332)&amp;"|"&amp;B332</f>
        <v>boys don't cry|1999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1</v>
      </c>
      <c r="T332" s="4" t="n">
        <v>0</v>
      </c>
      <c r="U332" s="4" t="n">
        <v>0</v>
      </c>
      <c r="V332" s="4" t="n">
        <v>0</v>
      </c>
      <c r="W332" s="4" t="n">
        <v>0</v>
      </c>
    </row>
    <row r="333" customFormat="false" ht="15" hidden="false" customHeight="false" outlineLevel="0" collapsed="false">
      <c r="A333" s="4" t="s">
        <v>3615</v>
      </c>
      <c r="B333" s="4" t="n">
        <v>1983</v>
      </c>
      <c r="C333" s="4" t="str">
        <f aca="false">FLOOR(B333,10)&amp;"s"</f>
        <v>1980s</v>
      </c>
      <c r="D333" s="4" t="s">
        <v>492</v>
      </c>
      <c r="E333" s="25" t="str">
        <f aca="false">IF(G333=1,"✓","")</f>
        <v/>
      </c>
      <c r="F333" s="4" t="n">
        <v>1</v>
      </c>
      <c r="G333" s="4" t="n">
        <f aca="false">IF(COUNTIF('Letterboxd Watched'!$E$2:$E$3000,M333)&gt;0,1,0)</f>
        <v>0</v>
      </c>
      <c r="H333" s="4" t="n">
        <v>1</v>
      </c>
      <c r="I333" s="4" t="s">
        <v>1327</v>
      </c>
      <c r="J333" s="4" t="s">
        <v>51</v>
      </c>
      <c r="K333" s="4" t="s">
        <v>4018</v>
      </c>
      <c r="L333" s="48" t="str">
        <f aca="false">HYPERLINK("https://letterboxd.com/search/films/The+Boys+from+Fengkuei+1983/","open")</f>
        <v>open</v>
      </c>
      <c r="M333" s="4" t="str">
        <f aca="false">LOWER(A333)&amp;"|"&amp;B333</f>
        <v>the boys from fengkuei|1983</v>
      </c>
      <c r="N333" s="4" t="n">
        <v>0</v>
      </c>
      <c r="O333" s="4" t="n">
        <v>0</v>
      </c>
      <c r="P333" s="4" t="n">
        <v>1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</row>
    <row r="334" customFormat="false" ht="15" hidden="false" customHeight="false" outlineLevel="0" collapsed="false">
      <c r="A334" s="4" t="s">
        <v>371</v>
      </c>
      <c r="B334" s="4" t="n">
        <v>1991</v>
      </c>
      <c r="C334" s="4" t="str">
        <f aca="false">FLOOR(B334,10)&amp;"s"</f>
        <v>1990s</v>
      </c>
      <c r="D334" s="4" t="s">
        <v>372</v>
      </c>
      <c r="E334" s="25" t="str">
        <f aca="false">IF(G334=1,"✓","")</f>
        <v/>
      </c>
      <c r="F334" s="4" t="n">
        <v>4</v>
      </c>
      <c r="G334" s="4" t="n">
        <f aca="false">IF(COUNTIF('Letterboxd Watched'!$E$2:$E$3000,M334)&gt;0,1,0)</f>
        <v>0</v>
      </c>
      <c r="H334" s="4" t="n">
        <v>9</v>
      </c>
      <c r="I334" s="4" t="s">
        <v>144</v>
      </c>
      <c r="J334" s="4" t="s">
        <v>54</v>
      </c>
      <c r="K334" s="4" t="s">
        <v>5260</v>
      </c>
      <c r="L334" s="48" t="str">
        <f aca="false">HYPERLINK("https://boxd.it/29Ug","open")</f>
        <v>open</v>
      </c>
      <c r="M334" s="4" t="str">
        <f aca="false">LOWER(A334)&amp;"|"&amp;B334</f>
        <v>boyz n the hood|1991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1</v>
      </c>
      <c r="T334" s="4" t="n">
        <v>1</v>
      </c>
      <c r="U334" s="4" t="n">
        <v>1</v>
      </c>
      <c r="V334" s="4" t="n">
        <v>0</v>
      </c>
      <c r="W334" s="4" t="n">
        <v>1</v>
      </c>
    </row>
    <row r="335" customFormat="false" ht="15" hidden="false" customHeight="false" outlineLevel="0" collapsed="false">
      <c r="A335" s="4" t="s">
        <v>2542</v>
      </c>
      <c r="B335" s="4" t="n">
        <v>1992</v>
      </c>
      <c r="C335" s="4" t="str">
        <f aca="false">FLOOR(B335,10)&amp;"s"</f>
        <v>1990s</v>
      </c>
      <c r="D335" s="4" t="s">
        <v>1560</v>
      </c>
      <c r="E335" s="25" t="str">
        <f aca="false">IF(G335=1,"✓","")</f>
        <v/>
      </c>
      <c r="F335" s="4" t="n">
        <v>1</v>
      </c>
      <c r="G335" s="4" t="n">
        <f aca="false">IF(COUNTIF('Letterboxd Watched'!$E$2:$E$3000,M335)&gt;0,1,0)</f>
        <v>0</v>
      </c>
      <c r="H335" s="4" t="n">
        <v>2</v>
      </c>
      <c r="I335" s="4" t="s">
        <v>213</v>
      </c>
      <c r="J335" s="4" t="s">
        <v>52</v>
      </c>
      <c r="K335" s="4" t="s">
        <v>4068</v>
      </c>
      <c r="L335" s="48" t="str">
        <f aca="false">HYPERLINK("https://boxd.it/29Gy","open")</f>
        <v>open</v>
      </c>
      <c r="M335" s="4" t="str">
        <f aca="false">LOWER(A335)&amp;"|"&amp;B335</f>
        <v>braindead|1992</v>
      </c>
      <c r="N335" s="4" t="n">
        <v>0</v>
      </c>
      <c r="O335" s="4" t="n">
        <v>0</v>
      </c>
      <c r="P335" s="4" t="n">
        <v>0</v>
      </c>
      <c r="Q335" s="4" t="n">
        <v>1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</row>
    <row r="336" customFormat="false" ht="15" hidden="false" customHeight="false" outlineLevel="0" collapsed="false">
      <c r="A336" s="4" t="s">
        <v>2543</v>
      </c>
      <c r="B336" s="4" t="n">
        <v>1992</v>
      </c>
      <c r="C336" s="4" t="str">
        <f aca="false">FLOOR(B336,10)&amp;"s"</f>
        <v>1990s</v>
      </c>
      <c r="D336" s="4" t="s">
        <v>172</v>
      </c>
      <c r="E336" s="25" t="str">
        <f aca="false">IF(G336=1,"✓","")</f>
        <v/>
      </c>
      <c r="F336" s="4" t="n">
        <v>1</v>
      </c>
      <c r="G336" s="4" t="n">
        <f aca="false">IF(COUNTIF('Letterboxd Watched'!$E$2:$E$3000,M336)&gt;0,1,0)</f>
        <v>0</v>
      </c>
      <c r="H336" s="4" t="n">
        <v>2</v>
      </c>
      <c r="I336" s="4" t="s">
        <v>213</v>
      </c>
      <c r="J336" s="4" t="s">
        <v>53</v>
      </c>
      <c r="K336" s="4" t="s">
        <v>172</v>
      </c>
      <c r="L336" s="48" t="str">
        <f aca="false">HYPERLINK("https://boxd.it/223a","open")</f>
        <v>open</v>
      </c>
      <c r="M336" s="4" t="str">
        <f aca="false">LOWER(A336)&amp;"|"&amp;B336</f>
        <v>bram stoker's dracula|1992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1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</row>
    <row r="337" customFormat="false" ht="15" hidden="false" customHeight="false" outlineLevel="0" collapsed="false">
      <c r="A337" s="4" t="s">
        <v>471</v>
      </c>
      <c r="B337" s="4" t="n">
        <v>1967</v>
      </c>
      <c r="C337" s="4" t="str">
        <f aca="false">FLOOR(B337,10)&amp;"s"</f>
        <v>1960s</v>
      </c>
      <c r="D337" s="4" t="s">
        <v>472</v>
      </c>
      <c r="E337" s="25" t="str">
        <f aca="false">IF(G337=1,"✓","")</f>
        <v/>
      </c>
      <c r="F337" s="4" t="n">
        <v>3</v>
      </c>
      <c r="G337" s="4" t="n">
        <f aca="false">IF(COUNTIF('Letterboxd Watched'!$E$2:$E$3000,M337)&gt;0,1,0)</f>
        <v>0</v>
      </c>
      <c r="H337" s="4" t="n">
        <v>7</v>
      </c>
      <c r="I337" s="4" t="s">
        <v>144</v>
      </c>
      <c r="J337" s="4" t="s">
        <v>51</v>
      </c>
      <c r="K337" s="4" t="s">
        <v>5261</v>
      </c>
      <c r="L337" s="48" t="str">
        <f aca="false">HYPERLINK("https://boxd.it/1HSQ","open")</f>
        <v>open</v>
      </c>
      <c r="M337" s="4" t="str">
        <f aca="false">LOWER(A337)&amp;"|"&amp;B337</f>
        <v>branded to kill|1967</v>
      </c>
      <c r="N337" s="4" t="n">
        <v>0</v>
      </c>
      <c r="O337" s="4" t="n">
        <v>0</v>
      </c>
      <c r="P337" s="4" t="n">
        <v>1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1</v>
      </c>
      <c r="V337" s="4" t="n">
        <v>0</v>
      </c>
      <c r="W337" s="4" t="n">
        <v>1</v>
      </c>
    </row>
    <row r="338" customFormat="false" ht="15" hidden="false" customHeight="false" outlineLevel="0" collapsed="false">
      <c r="A338" s="4" t="s">
        <v>366</v>
      </c>
      <c r="B338" s="4" t="n">
        <v>1985</v>
      </c>
      <c r="C338" s="4" t="str">
        <f aca="false">FLOOR(B338,10)&amp;"s"</f>
        <v>1980s</v>
      </c>
      <c r="D338" s="4" t="s">
        <v>367</v>
      </c>
      <c r="E338" s="25" t="str">
        <f aca="false">IF(G338=1,"✓","")</f>
        <v/>
      </c>
      <c r="F338" s="4" t="n">
        <v>4</v>
      </c>
      <c r="G338" s="4" t="n">
        <f aca="false">IF(COUNTIF('Letterboxd Watched'!$E$2:$E$3000,M338)&gt;0,1,0)</f>
        <v>0</v>
      </c>
      <c r="H338" s="4" t="n">
        <v>9</v>
      </c>
      <c r="I338" s="4" t="s">
        <v>144</v>
      </c>
      <c r="J338" s="4" t="s">
        <v>50</v>
      </c>
      <c r="K338" s="4" t="s">
        <v>5262</v>
      </c>
      <c r="L338" s="48" t="str">
        <f aca="false">HYPERLINK("https://boxd.it/2be2","open")</f>
        <v>open</v>
      </c>
      <c r="M338" s="4" t="str">
        <f aca="false">LOWER(A338)&amp;"|"&amp;B338</f>
        <v>brazil|1985</v>
      </c>
      <c r="N338" s="4" t="n">
        <v>0</v>
      </c>
      <c r="O338" s="4" t="n">
        <v>1</v>
      </c>
      <c r="P338" s="4" t="n">
        <v>0</v>
      </c>
      <c r="Q338" s="4" t="n">
        <v>1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1</v>
      </c>
      <c r="W338" s="4" t="n">
        <v>1</v>
      </c>
    </row>
    <row r="339" customFormat="false" ht="15" hidden="false" customHeight="false" outlineLevel="0" collapsed="false">
      <c r="A339" s="4" t="s">
        <v>1049</v>
      </c>
      <c r="B339" s="4" t="n">
        <v>1980</v>
      </c>
      <c r="C339" s="4" t="str">
        <f aca="false">FLOOR(B339,10)&amp;"s"</f>
        <v>1980s</v>
      </c>
      <c r="D339" s="4" t="s">
        <v>1050</v>
      </c>
      <c r="E339" s="25" t="str">
        <f aca="false">IF(G339=1,"✓","")</f>
        <v/>
      </c>
      <c r="F339" s="4" t="n">
        <v>2</v>
      </c>
      <c r="G339" s="4" t="n">
        <f aca="false">IF(COUNTIF('Letterboxd Watched'!$E$2:$E$3000,M339)&gt;0,1,0)</f>
        <v>0</v>
      </c>
      <c r="H339" s="4" t="n">
        <v>4</v>
      </c>
      <c r="I339" s="4" t="s">
        <v>213</v>
      </c>
      <c r="J339" s="4" t="s">
        <v>51</v>
      </c>
      <c r="K339" s="4" t="s">
        <v>5263</v>
      </c>
      <c r="L339" s="48" t="str">
        <f aca="false">HYPERLINK("https://boxd.it/1PqK","open")</f>
        <v>open</v>
      </c>
      <c r="M339" s="4" t="str">
        <f aca="false">LOWER(A339)&amp;"|"&amp;B339</f>
        <v>breaker morant|1980</v>
      </c>
      <c r="N339" s="4" t="n">
        <v>0</v>
      </c>
      <c r="O339" s="4" t="n">
        <v>0</v>
      </c>
      <c r="P339" s="4" t="n">
        <v>1</v>
      </c>
      <c r="Q339" s="4" t="n">
        <v>0</v>
      </c>
      <c r="R339" s="4" t="n">
        <v>0</v>
      </c>
      <c r="S339" s="4" t="n">
        <v>0</v>
      </c>
      <c r="T339" s="4" t="n">
        <v>1</v>
      </c>
      <c r="U339" s="4" t="n">
        <v>0</v>
      </c>
      <c r="V339" s="4" t="n">
        <v>0</v>
      </c>
      <c r="W339" s="4" t="n">
        <v>0</v>
      </c>
    </row>
    <row r="340" customFormat="false" ht="15" hidden="false" customHeight="false" outlineLevel="0" collapsed="false">
      <c r="A340" s="4" t="s">
        <v>2003</v>
      </c>
      <c r="B340" s="4" t="n">
        <v>1961</v>
      </c>
      <c r="C340" s="4" t="str">
        <f aca="false">FLOOR(B340,10)&amp;"s"</f>
        <v>1960s</v>
      </c>
      <c r="D340" s="4" t="s">
        <v>2004</v>
      </c>
      <c r="E340" s="25" t="str">
        <f aca="false">IF(G340=1,"✓","")</f>
        <v/>
      </c>
      <c r="F340" s="4" t="n">
        <v>1</v>
      </c>
      <c r="G340" s="4" t="n">
        <f aca="false">IF(COUNTIF('Letterboxd Watched'!$E$2:$E$3000,M340)&gt;0,1,0)</f>
        <v>0</v>
      </c>
      <c r="H340" s="4" t="n">
        <v>2</v>
      </c>
      <c r="I340" s="4" t="s">
        <v>213</v>
      </c>
      <c r="J340" s="4" t="s">
        <v>55</v>
      </c>
      <c r="K340" s="4" t="s">
        <v>4356</v>
      </c>
      <c r="L340" s="48" t="str">
        <f aca="false">HYPERLINK("https://boxd.it/2aYS","open")</f>
        <v>open</v>
      </c>
      <c r="M340" s="4" t="str">
        <f aca="false">LOWER(A340)&amp;"|"&amp;B340</f>
        <v>breakfast at tiffany's|1961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1</v>
      </c>
      <c r="U340" s="4" t="n">
        <v>0</v>
      </c>
      <c r="V340" s="4" t="n">
        <v>0</v>
      </c>
      <c r="W340" s="4" t="n">
        <v>0</v>
      </c>
    </row>
    <row r="341" customFormat="false" ht="15" hidden="false" customHeight="false" outlineLevel="0" collapsed="false">
      <c r="A341" s="4" t="s">
        <v>1045</v>
      </c>
      <c r="B341" s="4" t="n">
        <v>1979</v>
      </c>
      <c r="C341" s="4" t="str">
        <f aca="false">FLOOR(B341,10)&amp;"s"</f>
        <v>1970s</v>
      </c>
      <c r="D341" s="4" t="s">
        <v>587</v>
      </c>
      <c r="E341" s="25" t="str">
        <f aca="false">IF(G341=1,"✓","")</f>
        <v/>
      </c>
      <c r="F341" s="4" t="n">
        <v>2</v>
      </c>
      <c r="G341" s="4" t="n">
        <f aca="false">IF(COUNTIF('Letterboxd Watched'!$E$2:$E$3000,M341)&gt;0,1,0)</f>
        <v>0</v>
      </c>
      <c r="H341" s="4" t="n">
        <v>4</v>
      </c>
      <c r="I341" s="4" t="s">
        <v>213</v>
      </c>
      <c r="J341" s="4" t="s">
        <v>55</v>
      </c>
      <c r="K341" s="4" t="s">
        <v>5264</v>
      </c>
      <c r="L341" s="48" t="str">
        <f aca="false">HYPERLINK("https://boxd.it/1DMO","open")</f>
        <v>open</v>
      </c>
      <c r="M341" s="4" t="str">
        <f aca="false">LOWER(A341)&amp;"|"&amp;B341</f>
        <v>breaking away|1979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1</v>
      </c>
      <c r="U341" s="4" t="n">
        <v>0</v>
      </c>
      <c r="V341" s="4" t="n">
        <v>0</v>
      </c>
      <c r="W341" s="4" t="n">
        <v>1</v>
      </c>
    </row>
    <row r="342" customFormat="false" ht="15" hidden="false" customHeight="false" outlineLevel="0" collapsed="false">
      <c r="A342" s="4" t="s">
        <v>2630</v>
      </c>
      <c r="B342" s="4" t="n">
        <v>1996</v>
      </c>
      <c r="C342" s="4" t="str">
        <f aca="false">FLOOR(B342,10)&amp;"s"</f>
        <v>1990s</v>
      </c>
      <c r="D342" s="4" t="s">
        <v>1135</v>
      </c>
      <c r="E342" s="25" t="str">
        <f aca="false">IF(G342=1,"✓","")</f>
        <v/>
      </c>
      <c r="F342" s="4" t="n">
        <v>1</v>
      </c>
      <c r="G342" s="4" t="n">
        <f aca="false">IF(COUNTIF('Letterboxd Watched'!$E$2:$E$3000,M342)&gt;0,1,0)</f>
        <v>0</v>
      </c>
      <c r="H342" s="4" t="n">
        <v>2</v>
      </c>
      <c r="I342" s="4" t="s">
        <v>213</v>
      </c>
      <c r="J342" s="4" t="s">
        <v>51</v>
      </c>
      <c r="K342" s="4" t="s">
        <v>3988</v>
      </c>
      <c r="L342" s="48" t="str">
        <f aca="false">HYPERLINK("https://boxd.it/2b1W","open")</f>
        <v>open</v>
      </c>
      <c r="M342" s="4" t="str">
        <f aca="false">LOWER(A342)&amp;"|"&amp;B342</f>
        <v>breaking the waves|1996</v>
      </c>
      <c r="N342" s="4" t="n">
        <v>0</v>
      </c>
      <c r="O342" s="4" t="n">
        <v>0</v>
      </c>
      <c r="P342" s="4" t="n">
        <v>1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 customFormat="false" ht="15" hidden="false" customHeight="false" outlineLevel="0" collapsed="false">
      <c r="A343" s="4" t="s">
        <v>151</v>
      </c>
      <c r="B343" s="4" t="n">
        <v>1960</v>
      </c>
      <c r="C343" s="4" t="str">
        <f aca="false">FLOOR(B343,10)&amp;"s"</f>
        <v>1960s</v>
      </c>
      <c r="D343" s="4" t="s">
        <v>152</v>
      </c>
      <c r="E343" s="25" t="str">
        <f aca="false">IF(G343=1,"✓","")</f>
        <v/>
      </c>
      <c r="F343" s="4" t="n">
        <v>9</v>
      </c>
      <c r="G343" s="4" t="n">
        <f aca="false">IF(COUNTIF('Letterboxd Watched'!$E$2:$E$3000,M343)&gt;0,1,0)</f>
        <v>0</v>
      </c>
      <c r="H343" s="4" t="n">
        <v>21</v>
      </c>
      <c r="I343" s="4" t="s">
        <v>144</v>
      </c>
      <c r="J343" s="4" t="s">
        <v>49</v>
      </c>
      <c r="K343" s="4" t="s">
        <v>5265</v>
      </c>
      <c r="L343" s="48" t="str">
        <f aca="false">HYPERLINK("https://boxd.it/2aIK","open")</f>
        <v>open</v>
      </c>
      <c r="M343" s="4" t="str">
        <f aca="false">LOWER(A343)&amp;"|"&amp;B343</f>
        <v>breathless|1960</v>
      </c>
      <c r="N343" s="4" t="n">
        <v>1</v>
      </c>
      <c r="O343" s="4" t="n">
        <v>1</v>
      </c>
      <c r="P343" s="4" t="n">
        <v>1</v>
      </c>
      <c r="Q343" s="4" t="n">
        <v>0</v>
      </c>
      <c r="R343" s="4" t="n">
        <v>1</v>
      </c>
      <c r="S343" s="4" t="n">
        <v>0</v>
      </c>
      <c r="T343" s="4" t="n">
        <v>0</v>
      </c>
      <c r="U343" s="4" t="n">
        <v>1</v>
      </c>
      <c r="V343" s="4" t="n">
        <v>1</v>
      </c>
      <c r="W343" s="4" t="n">
        <v>0</v>
      </c>
    </row>
    <row r="344" customFormat="false" ht="15" hidden="false" customHeight="false" outlineLevel="0" collapsed="false">
      <c r="A344" s="4" t="s">
        <v>3474</v>
      </c>
      <c r="B344" s="4" t="n">
        <v>1970</v>
      </c>
      <c r="C344" s="4" t="str">
        <f aca="false">FLOOR(B344,10)&amp;"s"</f>
        <v>1970s</v>
      </c>
      <c r="D344" s="4" t="s">
        <v>197</v>
      </c>
      <c r="E344" s="25" t="str">
        <f aca="false">IF(G344=1,"✓","")</f>
        <v>✓</v>
      </c>
      <c r="F344" s="4" t="n">
        <v>1</v>
      </c>
      <c r="G344" s="4" t="n">
        <f aca="false">IF(COUNTIF('Letterboxd Watched'!$E$2:$E$3000,M344)&gt;0,1,0)</f>
        <v>1</v>
      </c>
      <c r="H344" s="4" t="n">
        <v>1</v>
      </c>
      <c r="I344" s="4" t="s">
        <v>1327</v>
      </c>
      <c r="J344" s="4" t="s">
        <v>53</v>
      </c>
      <c r="K344" s="4" t="s">
        <v>197</v>
      </c>
      <c r="L344" s="48" t="str">
        <f aca="false">HYPERLINK("https://boxd.it/1tIi","open")</f>
        <v>open</v>
      </c>
      <c r="M344" s="4" t="str">
        <f aca="false">LOWER(A344)&amp;"|"&amp;B344</f>
        <v>brewster mccloud|1970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</row>
    <row r="345" customFormat="false" ht="15" hidden="false" customHeight="false" outlineLevel="0" collapsed="false">
      <c r="A345" s="4" t="s">
        <v>2832</v>
      </c>
      <c r="B345" s="4" t="n">
        <v>2005</v>
      </c>
      <c r="C345" s="4" t="str">
        <f aca="false">FLOOR(B345,10)&amp;"s"</f>
        <v>2000s</v>
      </c>
      <c r="D345" s="4" t="s">
        <v>2833</v>
      </c>
      <c r="E345" s="25" t="str">
        <f aca="false">IF(G345=1,"✓","")</f>
        <v>✓</v>
      </c>
      <c r="F345" s="4" t="n">
        <v>1</v>
      </c>
      <c r="G345" s="4" t="n">
        <f aca="false">IF(COUNTIF('Letterboxd Watched'!$E$2:$E$3000,M345)&gt;0,1,0)</f>
        <v>1</v>
      </c>
      <c r="H345" s="4" t="n">
        <v>2</v>
      </c>
      <c r="I345" s="4" t="s">
        <v>213</v>
      </c>
      <c r="J345" s="4" t="s">
        <v>52</v>
      </c>
      <c r="K345" s="4" t="s">
        <v>4044</v>
      </c>
      <c r="L345" s="48" t="str">
        <f aca="false">HYPERLINK("https://boxd.it/1Z6A","open")</f>
        <v>open</v>
      </c>
      <c r="M345" s="4" t="str">
        <f aca="false">LOWER(A345)&amp;"|"&amp;B345</f>
        <v>brick|2005</v>
      </c>
      <c r="N345" s="4" t="n">
        <v>0</v>
      </c>
      <c r="O345" s="4" t="n">
        <v>0</v>
      </c>
      <c r="P345" s="4" t="n">
        <v>0</v>
      </c>
      <c r="Q345" s="4" t="n">
        <v>1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</row>
    <row r="346" customFormat="false" ht="15" hidden="false" customHeight="false" outlineLevel="0" collapsed="false">
      <c r="A346" s="4" t="s">
        <v>1435</v>
      </c>
      <c r="B346" s="4" t="n">
        <v>1935</v>
      </c>
      <c r="C346" s="4" t="str">
        <f aca="false">FLOOR(B346,10)&amp;"s"</f>
        <v>1930s</v>
      </c>
      <c r="D346" s="4" t="s">
        <v>1432</v>
      </c>
      <c r="E346" s="25" t="str">
        <f aca="false">IF(G346=1,"✓","")</f>
        <v/>
      </c>
      <c r="F346" s="4" t="n">
        <v>1</v>
      </c>
      <c r="G346" s="4" t="n">
        <f aca="false">IF(COUNTIF('Letterboxd Watched'!$E$2:$E$3000,M346)&gt;0,1,0)</f>
        <v>0</v>
      </c>
      <c r="H346" s="4" t="n">
        <v>3</v>
      </c>
      <c r="I346" s="4" t="s">
        <v>144</v>
      </c>
      <c r="J346" s="4" t="s">
        <v>52</v>
      </c>
      <c r="K346" s="4" t="s">
        <v>4058</v>
      </c>
      <c r="L346" s="48" t="str">
        <f aca="false">HYPERLINK("https://boxd.it/2aPc","open")</f>
        <v>open</v>
      </c>
      <c r="M346" s="4" t="str">
        <f aca="false">LOWER(A346)&amp;"|"&amp;B346</f>
        <v>bride of frankenstein|1935</v>
      </c>
      <c r="N346" s="4" t="n">
        <v>0</v>
      </c>
      <c r="O346" s="4" t="n">
        <v>0</v>
      </c>
      <c r="P346" s="4" t="n">
        <v>0</v>
      </c>
      <c r="Q346" s="4" t="n">
        <v>1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</row>
    <row r="347" customFormat="false" ht="15" hidden="false" customHeight="false" outlineLevel="0" collapsed="false">
      <c r="A347" s="4" t="s">
        <v>2972</v>
      </c>
      <c r="B347" s="4" t="n">
        <v>2011</v>
      </c>
      <c r="C347" s="4" t="str">
        <f aca="false">FLOOR(B347,10)&amp;"s"</f>
        <v>2010s</v>
      </c>
      <c r="D347" s="4" t="s">
        <v>2973</v>
      </c>
      <c r="E347" s="25" t="str">
        <f aca="false">IF(G347=1,"✓","")</f>
        <v/>
      </c>
      <c r="F347" s="4" t="n">
        <v>1</v>
      </c>
      <c r="G347" s="4" t="n">
        <f aca="false">IF(COUNTIF('Letterboxd Watched'!$E$2:$E$3000,M347)&gt;0,1,0)</f>
        <v>0</v>
      </c>
      <c r="H347" s="4" t="n">
        <v>2</v>
      </c>
      <c r="I347" s="4" t="s">
        <v>213</v>
      </c>
      <c r="J347" s="4" t="s">
        <v>52</v>
      </c>
      <c r="K347" s="4" t="s">
        <v>4108</v>
      </c>
      <c r="L347" s="48" t="str">
        <f aca="false">HYPERLINK("https://boxd.it/rac","open")</f>
        <v>open</v>
      </c>
      <c r="M347" s="4" t="str">
        <f aca="false">LOWER(A347)&amp;"|"&amp;B347</f>
        <v>bridesmaids|2011</v>
      </c>
      <c r="N347" s="4" t="n">
        <v>0</v>
      </c>
      <c r="O347" s="4" t="n">
        <v>0</v>
      </c>
      <c r="P347" s="4" t="n">
        <v>0</v>
      </c>
      <c r="Q347" s="4" t="n">
        <v>1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</row>
    <row r="348" customFormat="false" ht="15" hidden="false" customHeight="false" outlineLevel="0" collapsed="false">
      <c r="A348" s="4" t="s">
        <v>3073</v>
      </c>
      <c r="B348" s="4" t="n">
        <v>2015</v>
      </c>
      <c r="C348" s="4" t="str">
        <f aca="false">FLOOR(B348,10)&amp;"s"</f>
        <v>2010s</v>
      </c>
      <c r="D348" s="4" t="s">
        <v>183</v>
      </c>
      <c r="E348" s="25" t="str">
        <f aca="false">IF(G348=1,"✓","")</f>
        <v>✓</v>
      </c>
      <c r="F348" s="4" t="n">
        <v>1</v>
      </c>
      <c r="G348" s="4" t="n">
        <f aca="false">IF(COUNTIF('Letterboxd Watched'!$E$2:$E$3000,M348)&gt;0,1,0)</f>
        <v>1</v>
      </c>
      <c r="H348" s="4" t="n">
        <v>2</v>
      </c>
      <c r="I348" s="4" t="s">
        <v>213</v>
      </c>
      <c r="J348" s="4" t="s">
        <v>52</v>
      </c>
      <c r="K348" s="4" t="s">
        <v>4132</v>
      </c>
      <c r="L348" s="48" t="str">
        <f aca="false">HYPERLINK("https://boxd.it/9n9C","open")</f>
        <v>open</v>
      </c>
      <c r="M348" s="4" t="str">
        <f aca="false">LOWER(A348)&amp;"|"&amp;B348</f>
        <v>bridge of spies|2015</v>
      </c>
      <c r="N348" s="4" t="n">
        <v>0</v>
      </c>
      <c r="O348" s="4" t="n">
        <v>0</v>
      </c>
      <c r="P348" s="4" t="n">
        <v>0</v>
      </c>
      <c r="Q348" s="4" t="n">
        <v>1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</row>
    <row r="349" customFormat="false" ht="15" hidden="false" customHeight="false" outlineLevel="0" collapsed="false">
      <c r="A349" s="4" t="s">
        <v>579</v>
      </c>
      <c r="B349" s="4" t="n">
        <v>1957</v>
      </c>
      <c r="C349" s="4" t="str">
        <f aca="false">FLOOR(B349,10)&amp;"s"</f>
        <v>1950s</v>
      </c>
      <c r="D349" s="4" t="s">
        <v>255</v>
      </c>
      <c r="E349" s="25" t="str">
        <f aca="false">IF(G349=1,"✓","")</f>
        <v/>
      </c>
      <c r="F349" s="4" t="n">
        <v>3</v>
      </c>
      <c r="G349" s="4" t="n">
        <f aca="false">IF(COUNTIF('Letterboxd Watched'!$E$2:$E$3000,M349)&gt;0,1,0)</f>
        <v>0</v>
      </c>
      <c r="H349" s="4" t="n">
        <v>6</v>
      </c>
      <c r="I349" s="4" t="s">
        <v>213</v>
      </c>
      <c r="J349" s="4" t="s">
        <v>52</v>
      </c>
      <c r="K349" s="4" t="s">
        <v>5266</v>
      </c>
      <c r="L349" s="48" t="str">
        <f aca="false">HYPERLINK("https://boxd.it/29wo","open")</f>
        <v>open</v>
      </c>
      <c r="M349" s="4" t="str">
        <f aca="false">LOWER(A349)&amp;"|"&amp;B349</f>
        <v>the bridge on the river kwai|1957</v>
      </c>
      <c r="N349" s="4" t="n">
        <v>0</v>
      </c>
      <c r="O349" s="4" t="n">
        <v>0</v>
      </c>
      <c r="P349" s="4" t="n">
        <v>0</v>
      </c>
      <c r="Q349" s="4" t="n">
        <v>1</v>
      </c>
      <c r="R349" s="4" t="n">
        <v>1</v>
      </c>
      <c r="S349" s="4" t="n">
        <v>0</v>
      </c>
      <c r="T349" s="4" t="n">
        <v>0</v>
      </c>
      <c r="U349" s="4" t="n">
        <v>0</v>
      </c>
      <c r="V349" s="4" t="n">
        <v>1</v>
      </c>
      <c r="W349" s="4" t="n">
        <v>0</v>
      </c>
    </row>
    <row r="350" customFormat="false" ht="15" hidden="false" customHeight="false" outlineLevel="0" collapsed="false">
      <c r="A350" s="4" t="s">
        <v>404</v>
      </c>
      <c r="B350" s="4" t="n">
        <v>1945</v>
      </c>
      <c r="C350" s="4" t="str">
        <f aca="false">FLOOR(B350,10)&amp;"s"</f>
        <v>1940s</v>
      </c>
      <c r="D350" s="4" t="s">
        <v>255</v>
      </c>
      <c r="E350" s="25" t="str">
        <f aca="false">IF(G350=1,"✓","")</f>
        <v/>
      </c>
      <c r="F350" s="4" t="n">
        <v>3</v>
      </c>
      <c r="G350" s="4" t="n">
        <f aca="false">IF(COUNTIF('Letterboxd Watched'!$E$2:$E$3000,M350)&gt;0,1,0)</f>
        <v>0</v>
      </c>
      <c r="H350" s="4" t="n">
        <v>8</v>
      </c>
      <c r="I350" s="4" t="s">
        <v>144</v>
      </c>
      <c r="J350" s="4" t="s">
        <v>52</v>
      </c>
      <c r="K350" s="4" t="s">
        <v>5267</v>
      </c>
      <c r="L350" s="48" t="str">
        <f aca="false">HYPERLINK("https://boxd.it/29sm","open")</f>
        <v>open</v>
      </c>
      <c r="M350" s="4" t="str">
        <f aca="false">LOWER(A350)&amp;"|"&amp;B350</f>
        <v>brief encounter|1945</v>
      </c>
      <c r="N350" s="4" t="n">
        <v>0</v>
      </c>
      <c r="O350" s="4" t="n">
        <v>0</v>
      </c>
      <c r="P350" s="4" t="n">
        <v>0</v>
      </c>
      <c r="Q350" s="4" t="n">
        <v>1</v>
      </c>
      <c r="R350" s="4" t="n">
        <v>1</v>
      </c>
      <c r="S350" s="4" t="n">
        <v>0</v>
      </c>
      <c r="T350" s="4" t="n">
        <v>0</v>
      </c>
      <c r="U350" s="4" t="n">
        <v>0</v>
      </c>
      <c r="V350" s="4" t="n">
        <v>1</v>
      </c>
      <c r="W350" s="4" t="n">
        <v>0</v>
      </c>
    </row>
    <row r="351" customFormat="false" ht="15" hidden="false" customHeight="false" outlineLevel="0" collapsed="false">
      <c r="A351" s="4" t="s">
        <v>613</v>
      </c>
      <c r="B351" s="4" t="n">
        <v>1991</v>
      </c>
      <c r="C351" s="4" t="str">
        <f aca="false">FLOOR(B351,10)&amp;"s"</f>
        <v>1990s</v>
      </c>
      <c r="D351" s="4" t="s">
        <v>223</v>
      </c>
      <c r="E351" s="25" t="str">
        <f aca="false">IF(G351=1,"✓","")</f>
        <v/>
      </c>
      <c r="F351" s="4" t="n">
        <v>3</v>
      </c>
      <c r="G351" s="4" t="n">
        <f aca="false">IF(COUNTIF('Letterboxd Watched'!$E$2:$E$3000,M351)&gt;0,1,0)</f>
        <v>0</v>
      </c>
      <c r="H351" s="4" t="n">
        <v>6</v>
      </c>
      <c r="I351" s="4" t="s">
        <v>144</v>
      </c>
      <c r="J351" s="4" t="s">
        <v>51</v>
      </c>
      <c r="K351" s="4" t="s">
        <v>5268</v>
      </c>
      <c r="L351" s="48" t="str">
        <f aca="false">HYPERLINK("https://boxd.it/1Luy","open")</f>
        <v>open</v>
      </c>
      <c r="M351" s="4" t="str">
        <f aca="false">LOWER(A351)&amp;"|"&amp;B351</f>
        <v>a brighter summer day|1991</v>
      </c>
      <c r="N351" s="4" t="n">
        <v>0</v>
      </c>
      <c r="O351" s="4" t="n">
        <v>0</v>
      </c>
      <c r="P351" s="4" t="n">
        <v>1</v>
      </c>
      <c r="Q351" s="4" t="n">
        <v>0</v>
      </c>
      <c r="R351" s="4" t="n">
        <v>1</v>
      </c>
      <c r="S351" s="4" t="n">
        <v>0</v>
      </c>
      <c r="T351" s="4" t="n">
        <v>1</v>
      </c>
      <c r="U351" s="4" t="n">
        <v>0</v>
      </c>
      <c r="V351" s="4" t="n">
        <v>0</v>
      </c>
      <c r="W351" s="4" t="n">
        <v>0</v>
      </c>
    </row>
    <row r="352" customFormat="false" ht="15" hidden="false" customHeight="false" outlineLevel="0" collapsed="false">
      <c r="A352" s="4" t="s">
        <v>3352</v>
      </c>
      <c r="B352" s="4" t="n">
        <v>1948</v>
      </c>
      <c r="C352" s="4" t="str">
        <f aca="false">FLOOR(B352,10)&amp;"s"</f>
        <v>1940s</v>
      </c>
      <c r="D352" s="4" t="s">
        <v>3353</v>
      </c>
      <c r="E352" s="25" t="str">
        <f aca="false">IF(G352=1,"✓","")</f>
        <v/>
      </c>
      <c r="F352" s="4" t="n">
        <v>1</v>
      </c>
      <c r="G352" s="4" t="n">
        <f aca="false">IF(COUNTIF('Letterboxd Watched'!$E$2:$E$3000,M352)&gt;0,1,0)</f>
        <v>0</v>
      </c>
      <c r="H352" s="4" t="n">
        <v>1</v>
      </c>
      <c r="I352" s="4" t="s">
        <v>1327</v>
      </c>
      <c r="J352" s="4" t="s">
        <v>57</v>
      </c>
      <c r="K352" s="4" t="s">
        <v>4430</v>
      </c>
      <c r="L352" s="48" t="str">
        <f aca="false">HYPERLINK("https://boxd.it/1QhY","open")</f>
        <v>open</v>
      </c>
      <c r="M352" s="4" t="str">
        <f aca="false">LOWER(A352)&amp;"|"&amp;B352</f>
        <v>brighton rock|1948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1</v>
      </c>
      <c r="W352" s="4" t="n">
        <v>0</v>
      </c>
    </row>
    <row r="353" customFormat="false" ht="15" hidden="false" customHeight="false" outlineLevel="0" collapsed="false">
      <c r="A353" s="4" t="s">
        <v>3711</v>
      </c>
      <c r="B353" s="4" t="n">
        <v>1999</v>
      </c>
      <c r="C353" s="4" t="str">
        <f aca="false">FLOOR(B353,10)&amp;"s"</f>
        <v>1990s</v>
      </c>
      <c r="D353" s="4" t="s">
        <v>164</v>
      </c>
      <c r="E353" s="25" t="str">
        <f aca="false">IF(G353=1,"✓","")</f>
        <v>✓</v>
      </c>
      <c r="F353" s="4" t="n">
        <v>1</v>
      </c>
      <c r="G353" s="4" t="n">
        <f aca="false">IF(COUNTIF('Letterboxd Watched'!$E$2:$E$3000,M353)&gt;0,1,0)</f>
        <v>1</v>
      </c>
      <c r="H353" s="4" t="n">
        <v>1</v>
      </c>
      <c r="I353" s="4" t="s">
        <v>1327</v>
      </c>
      <c r="J353" s="4" t="s">
        <v>53</v>
      </c>
      <c r="K353" s="4" t="s">
        <v>164</v>
      </c>
      <c r="L353" s="48" t="str">
        <f aca="false">HYPERLINK("https://boxd.it/1ZZK","open")</f>
        <v>open</v>
      </c>
      <c r="M353" s="4" t="str">
        <f aca="false">LOWER(A353)&amp;"|"&amp;B353</f>
        <v>bringing out the dead|1999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</row>
    <row r="354" customFormat="false" ht="15" hidden="false" customHeight="false" outlineLevel="0" collapsed="false">
      <c r="A354" s="4" t="s">
        <v>403</v>
      </c>
      <c r="B354" s="4" t="n">
        <v>1938</v>
      </c>
      <c r="C354" s="4" t="str">
        <f aca="false">FLOOR(B354,10)&amp;"s"</f>
        <v>1930s</v>
      </c>
      <c r="D354" s="4" t="s">
        <v>168</v>
      </c>
      <c r="E354" s="25" t="str">
        <f aca="false">IF(G354=1,"✓","")</f>
        <v/>
      </c>
      <c r="F354" s="4" t="n">
        <v>4</v>
      </c>
      <c r="G354" s="4" t="n">
        <f aca="false">IF(COUNTIF('Letterboxd Watched'!$E$2:$E$3000,M354)&gt;0,1,0)</f>
        <v>0</v>
      </c>
      <c r="H354" s="4" t="n">
        <v>8</v>
      </c>
      <c r="I354" s="4" t="s">
        <v>213</v>
      </c>
      <c r="J354" s="4" t="s">
        <v>52</v>
      </c>
      <c r="K354" s="4" t="s">
        <v>5269</v>
      </c>
      <c r="L354" s="48" t="str">
        <f aca="false">HYPERLINK("https://boxd.it/29ks","open")</f>
        <v>open</v>
      </c>
      <c r="M354" s="4" t="str">
        <f aca="false">LOWER(A354)&amp;"|"&amp;B354</f>
        <v>bringing up baby|1938</v>
      </c>
      <c r="N354" s="4" t="n">
        <v>0</v>
      </c>
      <c r="O354" s="4" t="n">
        <v>0</v>
      </c>
      <c r="P354" s="4" t="n">
        <v>0</v>
      </c>
      <c r="Q354" s="4" t="n">
        <v>1</v>
      </c>
      <c r="R354" s="4" t="n">
        <v>1</v>
      </c>
      <c r="S354" s="4" t="n">
        <v>0</v>
      </c>
      <c r="T354" s="4" t="n">
        <v>0</v>
      </c>
      <c r="U354" s="4" t="n">
        <v>0</v>
      </c>
      <c r="V354" s="4" t="n">
        <v>1</v>
      </c>
      <c r="W354" s="4" t="n">
        <v>0</v>
      </c>
    </row>
    <row r="355" customFormat="false" ht="15" hidden="false" customHeight="false" outlineLevel="0" collapsed="false">
      <c r="A355" s="4" t="s">
        <v>817</v>
      </c>
      <c r="B355" s="4" t="n">
        <v>1987</v>
      </c>
      <c r="C355" s="4" t="str">
        <f aca="false">FLOOR(B355,10)&amp;"s"</f>
        <v>1980s</v>
      </c>
      <c r="D355" s="4" t="s">
        <v>818</v>
      </c>
      <c r="E355" s="25" t="str">
        <f aca="false">IF(G355=1,"✓","")</f>
        <v/>
      </c>
      <c r="F355" s="4" t="n">
        <v>3</v>
      </c>
      <c r="G355" s="4" t="n">
        <f aca="false">IF(COUNTIF('Letterboxd Watched'!$E$2:$E$3000,M355)&gt;0,1,0)</f>
        <v>0</v>
      </c>
      <c r="H355" s="4" t="n">
        <v>5</v>
      </c>
      <c r="I355" s="4" t="s">
        <v>213</v>
      </c>
      <c r="J355" s="4" t="s">
        <v>52</v>
      </c>
      <c r="K355" s="4" t="s">
        <v>5270</v>
      </c>
      <c r="L355" s="48" t="str">
        <f aca="false">HYPERLINK("https://boxd.it/1RxS","open")</f>
        <v>open</v>
      </c>
      <c r="M355" s="4" t="str">
        <f aca="false">LOWER(A355)&amp;"|"&amp;B355</f>
        <v>broadcast news|1987</v>
      </c>
      <c r="N355" s="4" t="n">
        <v>0</v>
      </c>
      <c r="O355" s="4" t="n">
        <v>0</v>
      </c>
      <c r="P355" s="4" t="n">
        <v>0</v>
      </c>
      <c r="Q355" s="4" t="n">
        <v>1</v>
      </c>
      <c r="R355" s="4" t="n">
        <v>0</v>
      </c>
      <c r="S355" s="4" t="n">
        <v>0</v>
      </c>
      <c r="T355" s="4" t="n">
        <v>1</v>
      </c>
      <c r="U355" s="4" t="n">
        <v>0</v>
      </c>
      <c r="V355" s="4" t="n">
        <v>0</v>
      </c>
      <c r="W355" s="4" t="n">
        <v>0</v>
      </c>
    </row>
    <row r="356" customFormat="false" ht="15" hidden="false" customHeight="false" outlineLevel="0" collapsed="false">
      <c r="A356" s="4" t="s">
        <v>1168</v>
      </c>
      <c r="B356" s="4" t="n">
        <v>2005</v>
      </c>
      <c r="C356" s="4" t="str">
        <f aca="false">FLOOR(B356,10)&amp;"s"</f>
        <v>2000s</v>
      </c>
      <c r="D356" s="4" t="s">
        <v>1169</v>
      </c>
      <c r="E356" s="25" t="str">
        <f aca="false">IF(G356=1,"✓","")</f>
        <v>✓</v>
      </c>
      <c r="F356" s="4" t="n">
        <v>2</v>
      </c>
      <c r="G356" s="4" t="n">
        <f aca="false">IF(COUNTIF('Letterboxd Watched'!$E$2:$E$3000,M356)&gt;0,1,0)</f>
        <v>1</v>
      </c>
      <c r="H356" s="4" t="n">
        <v>4</v>
      </c>
      <c r="I356" s="4" t="s">
        <v>213</v>
      </c>
      <c r="J356" s="4" t="s">
        <v>52</v>
      </c>
      <c r="K356" s="4" t="s">
        <v>5271</v>
      </c>
      <c r="L356" s="48" t="str">
        <f aca="false">HYPERLINK("https://boxd.it/2b2q","open")</f>
        <v>open</v>
      </c>
      <c r="M356" s="4" t="str">
        <f aca="false">LOWER(A356)&amp;"|"&amp;B356</f>
        <v>brokeback mountain|2005</v>
      </c>
      <c r="N356" s="4" t="n">
        <v>0</v>
      </c>
      <c r="O356" s="4" t="n">
        <v>0</v>
      </c>
      <c r="P356" s="4" t="n">
        <v>0</v>
      </c>
      <c r="Q356" s="4" t="n">
        <v>1</v>
      </c>
      <c r="R356" s="4" t="n">
        <v>0</v>
      </c>
      <c r="S356" s="4" t="n">
        <v>1</v>
      </c>
      <c r="T356" s="4" t="n">
        <v>0</v>
      </c>
      <c r="U356" s="4" t="n">
        <v>0</v>
      </c>
      <c r="V356" s="4" t="n">
        <v>0</v>
      </c>
      <c r="W356" s="4" t="n">
        <v>0</v>
      </c>
    </row>
    <row r="357" customFormat="false" ht="15" hidden="false" customHeight="false" outlineLevel="0" collapsed="false">
      <c r="A357" s="4" t="s">
        <v>1673</v>
      </c>
      <c r="B357" s="4" t="n">
        <v>1919</v>
      </c>
      <c r="C357" s="4" t="str">
        <f aca="false">FLOOR(B357,10)&amp;"s"</f>
        <v>1910s</v>
      </c>
      <c r="D357" s="4" t="s">
        <v>531</v>
      </c>
      <c r="E357" s="25" t="str">
        <f aca="false">IF(G357=1,"✓","")</f>
        <v/>
      </c>
      <c r="F357" s="4" t="n">
        <v>1</v>
      </c>
      <c r="G357" s="4" t="n">
        <f aca="false">IF(COUNTIF('Letterboxd Watched'!$E$2:$E$3000,M357)&gt;0,1,0)</f>
        <v>0</v>
      </c>
      <c r="H357" s="4" t="n">
        <v>2</v>
      </c>
      <c r="I357" s="4" t="s">
        <v>213</v>
      </c>
      <c r="J357" s="4" t="s">
        <v>50</v>
      </c>
      <c r="K357" s="4" t="s">
        <v>3894</v>
      </c>
      <c r="L357" s="48" t="str">
        <f aca="false">HYPERLINK("https://letterboxd.com/search/films/Broken+Blossoms+1919/","open")</f>
        <v>open</v>
      </c>
      <c r="M357" s="4" t="str">
        <f aca="false">LOWER(A357)&amp;"|"&amp;B357</f>
        <v>broken blossoms|1919</v>
      </c>
      <c r="N357" s="4" t="n">
        <v>0</v>
      </c>
      <c r="O357" s="4" t="n">
        <v>1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</row>
    <row r="358" customFormat="false" ht="15" hidden="false" customHeight="false" outlineLevel="0" collapsed="false">
      <c r="A358" s="4" t="s">
        <v>2838</v>
      </c>
      <c r="B358" s="4" t="n">
        <v>2005</v>
      </c>
      <c r="C358" s="4" t="str">
        <f aca="false">FLOOR(B358,10)&amp;"s"</f>
        <v>2000s</v>
      </c>
      <c r="D358" s="4" t="s">
        <v>615</v>
      </c>
      <c r="E358" s="25" t="str">
        <f aca="false">IF(G358=1,"✓","")</f>
        <v>✓</v>
      </c>
      <c r="F358" s="4" t="n">
        <v>1</v>
      </c>
      <c r="G358" s="4" t="n">
        <f aca="false">IF(COUNTIF('Letterboxd Watched'!$E$2:$E$3000,M358)&gt;0,1,0)</f>
        <v>1</v>
      </c>
      <c r="H358" s="4" t="n">
        <v>2</v>
      </c>
      <c r="I358" s="4" t="s">
        <v>213</v>
      </c>
      <c r="J358" s="4" t="s">
        <v>53</v>
      </c>
      <c r="K358" s="4" t="s">
        <v>615</v>
      </c>
      <c r="L358" s="48" t="str">
        <f aca="false">HYPERLINK("https://boxd.it/2aCW","open")</f>
        <v>open</v>
      </c>
      <c r="M358" s="4" t="str">
        <f aca="false">LOWER(A358)&amp;"|"&amp;B358</f>
        <v>broken flowers|2005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1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</row>
    <row r="359" customFormat="false" ht="15" hidden="false" customHeight="false" outlineLevel="0" collapsed="false">
      <c r="A359" s="4" t="s">
        <v>1006</v>
      </c>
      <c r="B359" s="4" t="n">
        <v>1970</v>
      </c>
      <c r="C359" s="4" t="str">
        <f aca="false">FLOOR(B359,10)&amp;"s"</f>
        <v>1970s</v>
      </c>
      <c r="D359" s="4" t="s">
        <v>1007</v>
      </c>
      <c r="E359" s="25" t="str">
        <f aca="false">IF(G359=1,"✓","")</f>
        <v/>
      </c>
      <c r="F359" s="4" t="n">
        <v>2</v>
      </c>
      <c r="G359" s="4" t="n">
        <f aca="false">IF(COUNTIF('Letterboxd Watched'!$E$2:$E$3000,M359)&gt;0,1,0)</f>
        <v>0</v>
      </c>
      <c r="H359" s="4" t="n">
        <v>4</v>
      </c>
      <c r="I359" s="4" t="s">
        <v>144</v>
      </c>
      <c r="J359" s="4" t="s">
        <v>51</v>
      </c>
      <c r="K359" s="4" t="s">
        <v>5272</v>
      </c>
      <c r="L359" s="48" t="str">
        <f aca="false">HYPERLINK("https://letterboxd.com/search/films/Bronco+Bullfrog+1970/","open")</f>
        <v>open</v>
      </c>
      <c r="M359" s="4" t="str">
        <f aca="false">LOWER(A359)&amp;"|"&amp;B359</f>
        <v>bronco bullfrog|1970</v>
      </c>
      <c r="N359" s="4" t="n">
        <v>0</v>
      </c>
      <c r="O359" s="4" t="n">
        <v>0</v>
      </c>
      <c r="P359" s="4" t="n">
        <v>1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</v>
      </c>
      <c r="W359" s="4" t="n">
        <v>0</v>
      </c>
    </row>
    <row r="360" customFormat="false" ht="15" hidden="false" customHeight="false" outlineLevel="0" collapsed="false">
      <c r="A360" s="4" t="s">
        <v>607</v>
      </c>
      <c r="B360" s="4" t="n">
        <v>1979</v>
      </c>
      <c r="C360" s="4" t="str">
        <f aca="false">FLOOR(B360,10)&amp;"s"</f>
        <v>1970s</v>
      </c>
      <c r="D360" s="4" t="s">
        <v>316</v>
      </c>
      <c r="E360" s="25" t="str">
        <f aca="false">IF(G360=1,"✓","")</f>
        <v>✓</v>
      </c>
      <c r="F360" s="4" t="n">
        <v>3</v>
      </c>
      <c r="G360" s="4" t="n">
        <f aca="false">IF(COUNTIF('Letterboxd Watched'!$E$2:$E$3000,M360)&gt;0,1,0)</f>
        <v>1</v>
      </c>
      <c r="H360" s="4" t="n">
        <v>6</v>
      </c>
      <c r="I360" s="4" t="s">
        <v>213</v>
      </c>
      <c r="J360" s="4" t="s">
        <v>52</v>
      </c>
      <c r="K360" s="4" t="s">
        <v>5273</v>
      </c>
      <c r="L360" s="48" t="str">
        <f aca="false">HYPERLINK("https://boxd.it/1ovS","open")</f>
        <v>open</v>
      </c>
      <c r="M360" s="4" t="str">
        <f aca="false">LOWER(A360)&amp;"|"&amp;B360</f>
        <v>the brood|1979</v>
      </c>
      <c r="N360" s="4" t="n">
        <v>0</v>
      </c>
      <c r="O360" s="4" t="n">
        <v>0</v>
      </c>
      <c r="P360" s="4" t="n">
        <v>0</v>
      </c>
      <c r="Q360" s="4" t="n">
        <v>1</v>
      </c>
      <c r="R360" s="4" t="n">
        <v>1</v>
      </c>
      <c r="S360" s="4" t="n">
        <v>1</v>
      </c>
      <c r="T360" s="4" t="n">
        <v>0</v>
      </c>
      <c r="U360" s="4" t="n">
        <v>0</v>
      </c>
      <c r="V360" s="4" t="n">
        <v>0</v>
      </c>
      <c r="W360" s="4" t="n">
        <v>0</v>
      </c>
    </row>
    <row r="361" customFormat="false" ht="15" hidden="false" customHeight="false" outlineLevel="0" collapsed="false">
      <c r="A361" s="4" t="s">
        <v>2595</v>
      </c>
      <c r="B361" s="4" t="n">
        <v>1994</v>
      </c>
      <c r="C361" s="4" t="str">
        <f aca="false">FLOOR(B361,10)&amp;"s"</f>
        <v>1990s</v>
      </c>
      <c r="D361" s="4" t="s">
        <v>2596</v>
      </c>
      <c r="E361" s="25" t="str">
        <f aca="false">IF(G361=1,"✓","")</f>
        <v/>
      </c>
      <c r="F361" s="4" t="n">
        <v>1</v>
      </c>
      <c r="G361" s="4" t="n">
        <f aca="false">IF(COUNTIF('Letterboxd Watched'!$E$2:$E$3000,M361)&gt;0,1,0)</f>
        <v>0</v>
      </c>
      <c r="H361" s="4" t="n">
        <v>2</v>
      </c>
      <c r="I361" s="4" t="s">
        <v>213</v>
      </c>
      <c r="J361" s="4" t="s">
        <v>55</v>
      </c>
      <c r="K361" s="4" t="s">
        <v>4346</v>
      </c>
      <c r="L361" s="48" t="str">
        <f aca="false">HYPERLINK("https://letterboxd.com/search/films/The+Browning+Version+1994/","open")</f>
        <v>open</v>
      </c>
      <c r="M361" s="4" t="str">
        <f aca="false">LOWER(A361)&amp;"|"&amp;B361</f>
        <v>the browning version|1994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1</v>
      </c>
      <c r="U361" s="4" t="n">
        <v>0</v>
      </c>
      <c r="V361" s="4" t="n">
        <v>0</v>
      </c>
      <c r="W361" s="4" t="n">
        <v>0</v>
      </c>
    </row>
    <row r="362" customFormat="false" ht="15" hidden="false" customHeight="false" outlineLevel="0" collapsed="false">
      <c r="A362" s="4" t="s">
        <v>3252</v>
      </c>
      <c r="B362" s="4" t="n">
        <v>2024</v>
      </c>
      <c r="C362" s="4" t="str">
        <f aca="false">FLOOR(B362,10)&amp;"s"</f>
        <v>2020s</v>
      </c>
      <c r="D362" s="4" t="s">
        <v>3253</v>
      </c>
      <c r="E362" s="25" t="str">
        <f aca="false">IF(G362=1,"✓","")</f>
        <v/>
      </c>
      <c r="F362" s="4" t="n">
        <v>1</v>
      </c>
      <c r="G362" s="4" t="n">
        <f aca="false">IF(COUNTIF('Letterboxd Watched'!$E$2:$E$3000,M362)&gt;0,1,0)</f>
        <v>0</v>
      </c>
      <c r="H362" s="4" t="n">
        <v>2</v>
      </c>
      <c r="I362" s="4" t="s">
        <v>213</v>
      </c>
      <c r="J362" s="4" t="s">
        <v>50</v>
      </c>
      <c r="K362" s="4" t="s">
        <v>3928</v>
      </c>
      <c r="L362" s="48" t="str">
        <f aca="false">HYPERLINK("https://boxd.it/k4BO","open")</f>
        <v>open</v>
      </c>
      <c r="M362" s="4" t="str">
        <f aca="false">LOWER(A362)&amp;"|"&amp;B362</f>
        <v>the brutalist|2024</v>
      </c>
      <c r="N362" s="4" t="n">
        <v>0</v>
      </c>
      <c r="O362" s="4" t="n">
        <v>1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</row>
    <row r="363" customFormat="false" ht="15" hidden="false" customHeight="false" outlineLevel="0" collapsed="false">
      <c r="A363" s="4" t="s">
        <v>3347</v>
      </c>
      <c r="B363" s="4" t="n">
        <v>1947</v>
      </c>
      <c r="C363" s="4" t="str">
        <f aca="false">FLOOR(B363,10)&amp;"s"</f>
        <v>1940s</v>
      </c>
      <c r="D363" s="4" t="s">
        <v>658</v>
      </c>
      <c r="E363" s="25" t="str">
        <f aca="false">IF(G363=1,"✓","")</f>
        <v/>
      </c>
      <c r="F363" s="4" t="n">
        <v>1</v>
      </c>
      <c r="G363" s="4" t="n">
        <f aca="false">IF(COUNTIF('Letterboxd Watched'!$E$2:$E$3000,M363)&gt;0,1,0)</f>
        <v>0</v>
      </c>
      <c r="H363" s="4" t="n">
        <v>1</v>
      </c>
      <c r="I363" s="4" t="s">
        <v>1327</v>
      </c>
      <c r="J363" s="4" t="s">
        <v>55</v>
      </c>
      <c r="K363" s="4" t="s">
        <v>4326</v>
      </c>
      <c r="L363" s="48" t="str">
        <f aca="false">HYPERLINK("https://letterboxd.com/search/films/Brute+Force+1947/","open")</f>
        <v>open</v>
      </c>
      <c r="M363" s="4" t="str">
        <f aca="false">LOWER(A363)&amp;"|"&amp;B363</f>
        <v>brute force|1947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1</v>
      </c>
      <c r="U363" s="4" t="n">
        <v>0</v>
      </c>
      <c r="V363" s="4" t="n">
        <v>0</v>
      </c>
      <c r="W363" s="4" t="n">
        <v>0</v>
      </c>
    </row>
    <row r="364" customFormat="false" ht="15" hidden="false" customHeight="false" outlineLevel="0" collapsed="false">
      <c r="A364" s="4" t="s">
        <v>3748</v>
      </c>
      <c r="B364" s="4" t="n">
        <v>2005</v>
      </c>
      <c r="C364" s="4" t="str">
        <f aca="false">FLOOR(B364,10)&amp;"s"</f>
        <v>2000s</v>
      </c>
      <c r="D364" s="4" t="s">
        <v>490</v>
      </c>
      <c r="E364" s="25" t="str">
        <f aca="false">IF(G364=1,"✓","")</f>
        <v/>
      </c>
      <c r="F364" s="4" t="n">
        <v>1</v>
      </c>
      <c r="G364" s="4" t="n">
        <f aca="false">IF(COUNTIF('Letterboxd Watched'!$E$2:$E$3000,M364)&gt;0,1,0)</f>
        <v>0</v>
      </c>
      <c r="H364" s="4" t="n">
        <v>1</v>
      </c>
      <c r="I364" s="4" t="s">
        <v>1327</v>
      </c>
      <c r="J364" s="4" t="s">
        <v>53</v>
      </c>
      <c r="K364" s="4" t="s">
        <v>490</v>
      </c>
      <c r="L364" s="48" t="str">
        <f aca="false">HYPERLINK("https://boxd.it/1No8","open")</f>
        <v>open</v>
      </c>
      <c r="M364" s="4" t="str">
        <f aca="false">LOWER(A364)&amp;"|"&amp;B364</f>
        <v>bubble|2005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1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</row>
    <row r="365" customFormat="false" ht="15" hidden="false" customHeight="false" outlineLevel="0" collapsed="false">
      <c r="A365" s="4" t="s">
        <v>2706</v>
      </c>
      <c r="B365" s="4" t="n">
        <v>1999</v>
      </c>
      <c r="C365" s="4" t="str">
        <f aca="false">FLOOR(B365,10)&amp;"s"</f>
        <v>1990s</v>
      </c>
      <c r="D365" s="4" t="s">
        <v>365</v>
      </c>
      <c r="E365" s="25" t="str">
        <f aca="false">IF(G365=1,"✓","")</f>
        <v/>
      </c>
      <c r="F365" s="4" t="n">
        <v>1</v>
      </c>
      <c r="G365" s="4" t="n">
        <f aca="false">IF(COUNTIF('Letterboxd Watched'!$E$2:$E$3000,M365)&gt;0,1,0)</f>
        <v>0</v>
      </c>
      <c r="H365" s="4" t="n">
        <v>2</v>
      </c>
      <c r="I365" s="4" t="s">
        <v>213</v>
      </c>
      <c r="J365" s="4" t="s">
        <v>52</v>
      </c>
      <c r="K365" s="4" t="s">
        <v>4178</v>
      </c>
      <c r="L365" s="48" t="str">
        <f aca="false">HYPERLINK("https://boxd.it/1T6E","open")</f>
        <v>open</v>
      </c>
      <c r="M365" s="4" t="str">
        <f aca="false">LOWER(A365)&amp;"|"&amp;B365</f>
        <v>buena vista social club|1999</v>
      </c>
      <c r="N365" s="4" t="n">
        <v>0</v>
      </c>
      <c r="O365" s="4" t="n">
        <v>0</v>
      </c>
      <c r="P365" s="4" t="n">
        <v>0</v>
      </c>
      <c r="Q365" s="4" t="n">
        <v>1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</row>
    <row r="366" customFormat="false" ht="15" hidden="false" customHeight="false" outlineLevel="0" collapsed="false">
      <c r="A366" s="4" t="s">
        <v>2483</v>
      </c>
      <c r="B366" s="4" t="n">
        <v>1988</v>
      </c>
      <c r="C366" s="4" t="str">
        <f aca="false">FLOOR(B366,10)&amp;"s"</f>
        <v>1980s</v>
      </c>
      <c r="D366" s="4" t="s">
        <v>2484</v>
      </c>
      <c r="E366" s="25" t="str">
        <f aca="false">IF(G366=1,"✓","")</f>
        <v/>
      </c>
      <c r="F366" s="4" t="n">
        <v>1</v>
      </c>
      <c r="G366" s="4" t="n">
        <f aca="false">IF(COUNTIF('Letterboxd Watched'!$E$2:$E$3000,M366)&gt;0,1,0)</f>
        <v>0</v>
      </c>
      <c r="H366" s="4" t="n">
        <v>2</v>
      </c>
      <c r="I366" s="4" t="s">
        <v>213</v>
      </c>
      <c r="J366" s="4" t="s">
        <v>55</v>
      </c>
      <c r="K366" s="4" t="s">
        <v>4364</v>
      </c>
      <c r="L366" s="48" t="str">
        <f aca="false">HYPERLINK("https://boxd.it/2wS8","open")</f>
        <v>open</v>
      </c>
      <c r="M366" s="4" t="str">
        <f aca="false">LOWER(A366)&amp;"|"&amp;B366</f>
        <v>bull durham|1988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1</v>
      </c>
      <c r="U366" s="4" t="n">
        <v>0</v>
      </c>
      <c r="V366" s="4" t="n">
        <v>0</v>
      </c>
      <c r="W366" s="4" t="n">
        <v>0</v>
      </c>
    </row>
    <row r="367" customFormat="false" ht="15" hidden="false" customHeight="false" outlineLevel="0" collapsed="false">
      <c r="A367" s="4" t="s">
        <v>2093</v>
      </c>
      <c r="B367" s="4" t="n">
        <v>1967</v>
      </c>
      <c r="C367" s="4" t="str">
        <f aca="false">FLOOR(B367,10)&amp;"s"</f>
        <v>1960s</v>
      </c>
      <c r="D367" s="4" t="s">
        <v>2094</v>
      </c>
      <c r="E367" s="25" t="str">
        <f aca="false">IF(G367=1,"✓","")</f>
        <v/>
      </c>
      <c r="F367" s="4" t="n">
        <v>1</v>
      </c>
      <c r="G367" s="4" t="n">
        <f aca="false">IF(COUNTIF('Letterboxd Watched'!$E$2:$E$3000,M367)&gt;0,1,0)</f>
        <v>0</v>
      </c>
      <c r="H367" s="4" t="n">
        <v>2</v>
      </c>
      <c r="I367" s="4" t="s">
        <v>213</v>
      </c>
      <c r="J367" s="4" t="s">
        <v>51</v>
      </c>
      <c r="K367" s="4" t="s">
        <v>3948</v>
      </c>
      <c r="L367" s="48" t="str">
        <f aca="false">HYPERLINK("https://boxd.it/18ym","open")</f>
        <v>open</v>
      </c>
      <c r="M367" s="4" t="str">
        <f aca="false">LOWER(A367)&amp;"|"&amp;B367</f>
        <v>a bullet for the general|1967</v>
      </c>
      <c r="N367" s="4" t="n">
        <v>0</v>
      </c>
      <c r="O367" s="4" t="n">
        <v>0</v>
      </c>
      <c r="P367" s="4" t="n">
        <v>1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</row>
    <row r="368" customFormat="false" ht="15" hidden="false" customHeight="false" outlineLevel="0" collapsed="false">
      <c r="A368" s="4" t="s">
        <v>586</v>
      </c>
      <c r="B368" s="4" t="n">
        <v>1968</v>
      </c>
      <c r="C368" s="4" t="str">
        <f aca="false">FLOOR(B368,10)&amp;"s"</f>
        <v>1960s</v>
      </c>
      <c r="D368" s="4" t="s">
        <v>587</v>
      </c>
      <c r="E368" s="25" t="str">
        <f aca="false">IF(G368=1,"✓","")</f>
        <v/>
      </c>
      <c r="F368" s="4" t="n">
        <v>3</v>
      </c>
      <c r="G368" s="4" t="n">
        <f aca="false">IF(COUNTIF('Letterboxd Watched'!$E$2:$E$3000,M368)&gt;0,1,0)</f>
        <v>0</v>
      </c>
      <c r="H368" s="4" t="n">
        <v>6</v>
      </c>
      <c r="I368" s="4" t="s">
        <v>213</v>
      </c>
      <c r="J368" s="4" t="s">
        <v>52</v>
      </c>
      <c r="K368" s="4" t="s">
        <v>5274</v>
      </c>
      <c r="L368" s="48" t="str">
        <f aca="false">HYPERLINK("https://boxd.it/29i2","open")</f>
        <v>open</v>
      </c>
      <c r="M368" s="4" t="str">
        <f aca="false">LOWER(A368)&amp;"|"&amp;B368</f>
        <v>bullitt|1968</v>
      </c>
      <c r="N368" s="4" t="n">
        <v>0</v>
      </c>
      <c r="O368" s="4" t="n">
        <v>0</v>
      </c>
      <c r="P368" s="4" t="n">
        <v>0</v>
      </c>
      <c r="Q368" s="4" t="n">
        <v>1</v>
      </c>
      <c r="R368" s="4" t="n">
        <v>0</v>
      </c>
      <c r="S368" s="4" t="n">
        <v>0</v>
      </c>
      <c r="T368" s="4" t="n">
        <v>1</v>
      </c>
      <c r="U368" s="4" t="n">
        <v>0</v>
      </c>
      <c r="V368" s="4" t="n">
        <v>0</v>
      </c>
      <c r="W368" s="4" t="n">
        <v>1</v>
      </c>
    </row>
    <row r="369" customFormat="false" ht="15" hidden="false" customHeight="false" outlineLevel="0" collapsed="false">
      <c r="A369" s="4" t="s">
        <v>3607</v>
      </c>
      <c r="B369" s="4" t="n">
        <v>1982</v>
      </c>
      <c r="C369" s="4" t="str">
        <f aca="false">FLOOR(B369,10)&amp;"s"</f>
        <v>1980s</v>
      </c>
      <c r="D369" s="4" t="s">
        <v>3608</v>
      </c>
      <c r="E369" s="25" t="str">
        <f aca="false">IF(G369=1,"✓","")</f>
        <v/>
      </c>
      <c r="F369" s="4" t="n">
        <v>1</v>
      </c>
      <c r="G369" s="4" t="n">
        <f aca="false">IF(COUNTIF('Letterboxd Watched'!$E$2:$E$3000,M369)&gt;0,1,0)</f>
        <v>0</v>
      </c>
      <c r="H369" s="4" t="n">
        <v>1</v>
      </c>
      <c r="I369" s="4" t="s">
        <v>1327</v>
      </c>
      <c r="J369" s="4" t="s">
        <v>53</v>
      </c>
      <c r="K369" s="4" t="s">
        <v>292</v>
      </c>
      <c r="L369" s="48" t="str">
        <f aca="false">HYPERLINK("https://boxd.it/XGk","open")</f>
        <v>open</v>
      </c>
      <c r="M369" s="4" t="str">
        <f aca="false">LOWER(A369)&amp;"|"&amp;B369</f>
        <v>burden of dreams|1982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1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</row>
    <row r="370" customFormat="false" ht="15" hidden="false" customHeight="false" outlineLevel="0" collapsed="false">
      <c r="A370" s="4" t="s">
        <v>3794</v>
      </c>
      <c r="B370" s="4" t="n">
        <v>2010</v>
      </c>
      <c r="C370" s="4" t="str">
        <f aca="false">FLOOR(B370,10)&amp;"s"</f>
        <v>2010s</v>
      </c>
      <c r="D370" s="4" t="s">
        <v>3795</v>
      </c>
      <c r="E370" s="25" t="str">
        <f aca="false">IF(G370=1,"✓","")</f>
        <v/>
      </c>
      <c r="F370" s="4" t="n">
        <v>1</v>
      </c>
      <c r="G370" s="4" t="n">
        <f aca="false">IF(COUNTIF('Letterboxd Watched'!$E$2:$E$3000,M370)&gt;0,1,0)</f>
        <v>0</v>
      </c>
      <c r="H370" s="4" t="n">
        <v>1</v>
      </c>
      <c r="I370" s="4" t="s">
        <v>1327</v>
      </c>
      <c r="J370" s="4" t="s">
        <v>56</v>
      </c>
      <c r="K370" s="4" t="s">
        <v>4378</v>
      </c>
      <c r="L370" s="48" t="str">
        <f aca="false">HYPERLINK("https://boxd.it/1tXC","open")</f>
        <v>open</v>
      </c>
      <c r="M370" s="4" t="str">
        <f aca="false">LOWER(A370)&amp;"|"&amp;B370</f>
        <v>buried|2010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1</v>
      </c>
      <c r="V370" s="4" t="n">
        <v>0</v>
      </c>
      <c r="W370" s="4" t="n">
        <v>0</v>
      </c>
    </row>
    <row r="371" customFormat="false" ht="15" hidden="false" customHeight="false" outlineLevel="0" collapsed="false">
      <c r="A371" s="4" t="s">
        <v>1364</v>
      </c>
      <c r="B371" s="4" t="n">
        <v>1981</v>
      </c>
      <c r="C371" s="4" t="str">
        <f aca="false">FLOOR(B371,10)&amp;"s"</f>
        <v>1980s</v>
      </c>
      <c r="D371" s="4" t="s">
        <v>1365</v>
      </c>
      <c r="E371" s="25" t="str">
        <f aca="false">IF(G371=1,"✓","")</f>
        <v/>
      </c>
      <c r="F371" s="4" t="n">
        <v>2</v>
      </c>
      <c r="G371" s="4" t="n">
        <f aca="false">IF(COUNTIF('Letterboxd Watched'!$E$2:$E$3000,M371)&gt;0,1,0)</f>
        <v>0</v>
      </c>
      <c r="H371" s="4" t="n">
        <v>3</v>
      </c>
      <c r="I371" s="4" t="s">
        <v>213</v>
      </c>
      <c r="J371" s="4" t="s">
        <v>52</v>
      </c>
      <c r="K371" s="4" t="s">
        <v>5275</v>
      </c>
      <c r="L371" s="48" t="str">
        <f aca="false">HYPERLINK("https://boxd.it/1ygS","open")</f>
        <v>open</v>
      </c>
      <c r="M371" s="4" t="str">
        <f aca="false">LOWER(A371)&amp;"|"&amp;B371</f>
        <v>the burning|1981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0</v>
      </c>
      <c r="S371" s="4" t="n">
        <v>0</v>
      </c>
      <c r="T371" s="4" t="n">
        <v>0</v>
      </c>
      <c r="U371" s="4" t="n">
        <v>1</v>
      </c>
      <c r="V371" s="4" t="n">
        <v>0</v>
      </c>
      <c r="W371" s="4" t="n">
        <v>0</v>
      </c>
    </row>
    <row r="372" customFormat="false" ht="15" hidden="false" customHeight="false" outlineLevel="0" collapsed="false">
      <c r="A372" s="4" t="s">
        <v>1242</v>
      </c>
      <c r="B372" s="4" t="n">
        <v>2018</v>
      </c>
      <c r="C372" s="4" t="str">
        <f aca="false">FLOOR(B372,10)&amp;"s"</f>
        <v>2010s</v>
      </c>
      <c r="D372" s="4" t="s">
        <v>1243</v>
      </c>
      <c r="E372" s="25" t="str">
        <f aca="false">IF(G372=1,"✓","")</f>
        <v/>
      </c>
      <c r="F372" s="4" t="n">
        <v>2</v>
      </c>
      <c r="G372" s="4" t="n">
        <f aca="false">IF(COUNTIF('Letterboxd Watched'!$E$2:$E$3000,M372)&gt;0,1,0)</f>
        <v>0</v>
      </c>
      <c r="H372" s="4" t="n">
        <v>4</v>
      </c>
      <c r="I372" s="4" t="s">
        <v>213</v>
      </c>
      <c r="J372" s="4" t="s">
        <v>50</v>
      </c>
      <c r="K372" s="4" t="s">
        <v>5276</v>
      </c>
      <c r="L372" s="48" t="str">
        <f aca="false">HYPERLINK("https://boxd.it/hHUa","open")</f>
        <v>open</v>
      </c>
      <c r="M372" s="4" t="str">
        <f aca="false">LOWER(A372)&amp;"|"&amp;B372</f>
        <v>burning|2018</v>
      </c>
      <c r="N372" s="4" t="n">
        <v>0</v>
      </c>
      <c r="O372" s="4" t="n">
        <v>1</v>
      </c>
      <c r="P372" s="4" t="n">
        <v>1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</row>
    <row r="373" customFormat="false" ht="15" hidden="false" customHeight="false" outlineLevel="0" collapsed="false">
      <c r="A373" s="4" t="s">
        <v>2272</v>
      </c>
      <c r="B373" s="4" t="n">
        <v>1975</v>
      </c>
      <c r="C373" s="4" t="str">
        <f aca="false">FLOOR(B373,10)&amp;"s"</f>
        <v>1970s</v>
      </c>
      <c r="D373" s="4" t="s">
        <v>2273</v>
      </c>
      <c r="E373" s="25" t="str">
        <f aca="false">IF(G373=1,"✓","")</f>
        <v/>
      </c>
      <c r="F373" s="4" t="n">
        <v>1</v>
      </c>
      <c r="G373" s="4" t="n">
        <f aca="false">IF(COUNTIF('Letterboxd Watched'!$E$2:$E$3000,M373)&gt;0,1,0)</f>
        <v>0</v>
      </c>
      <c r="H373" s="4" t="n">
        <v>2</v>
      </c>
      <c r="I373" s="4" t="s">
        <v>213</v>
      </c>
      <c r="J373" s="4" t="s">
        <v>54</v>
      </c>
      <c r="K373" s="4" t="s">
        <v>4286</v>
      </c>
      <c r="L373" s="48" t="str">
        <f aca="false">HYPERLINK("https://letterboxd.com/search/films/Bush+Mama+1975/","open")</f>
        <v>open</v>
      </c>
      <c r="M373" s="4" t="str">
        <f aca="false">LOWER(A373)&amp;"|"&amp;B373</f>
        <v>bush mama|1975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1</v>
      </c>
      <c r="T373" s="4" t="n">
        <v>0</v>
      </c>
      <c r="U373" s="4" t="n">
        <v>0</v>
      </c>
      <c r="V373" s="4" t="n">
        <v>0</v>
      </c>
      <c r="W373" s="4" t="n">
        <v>0</v>
      </c>
    </row>
    <row r="374" customFormat="false" ht="15" hidden="false" customHeight="false" outlineLevel="0" collapsed="false">
      <c r="A374" s="4" t="s">
        <v>1005</v>
      </c>
      <c r="B374" s="4" t="n">
        <v>1969</v>
      </c>
      <c r="C374" s="4" t="str">
        <f aca="false">FLOOR(B374,10)&amp;"s"</f>
        <v>1960s</v>
      </c>
      <c r="D374" s="4" t="s">
        <v>797</v>
      </c>
      <c r="E374" s="25" t="str">
        <f aca="false">IF(G374=1,"✓","")</f>
        <v/>
      </c>
      <c r="F374" s="4" t="n">
        <v>2</v>
      </c>
      <c r="G374" s="4" t="n">
        <f aca="false">IF(COUNTIF('Letterboxd Watched'!$E$2:$E$3000,M374)&gt;0,1,0)</f>
        <v>0</v>
      </c>
      <c r="H374" s="4" t="n">
        <v>4</v>
      </c>
      <c r="I374" s="4" t="s">
        <v>213</v>
      </c>
      <c r="J374" s="4" t="s">
        <v>52</v>
      </c>
      <c r="K374" s="4" t="s">
        <v>5277</v>
      </c>
      <c r="L374" s="48" t="str">
        <f aca="false">HYPERLINK("https://boxd.it/29Vy","open")</f>
        <v>open</v>
      </c>
      <c r="M374" s="4" t="str">
        <f aca="false">LOWER(A374)&amp;"|"&amp;B374</f>
        <v>butch cassidy and the sundance kid|1969</v>
      </c>
      <c r="N374" s="4" t="n">
        <v>0</v>
      </c>
      <c r="O374" s="4" t="n">
        <v>0</v>
      </c>
      <c r="P374" s="4" t="n">
        <v>0</v>
      </c>
      <c r="Q374" s="4" t="n">
        <v>1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1</v>
      </c>
      <c r="W374" s="4" t="n">
        <v>0</v>
      </c>
    </row>
    <row r="375" customFormat="false" ht="15" hidden="false" customHeight="false" outlineLevel="0" collapsed="false">
      <c r="A375" s="4" t="s">
        <v>790</v>
      </c>
      <c r="B375" s="4" t="n">
        <v>1972</v>
      </c>
      <c r="C375" s="4" t="str">
        <f aca="false">FLOOR(B375,10)&amp;"s"</f>
        <v>1970s</v>
      </c>
      <c r="D375" s="4" t="s">
        <v>791</v>
      </c>
      <c r="E375" s="25" t="str">
        <f aca="false">IF(G375=1,"✓","")</f>
        <v/>
      </c>
      <c r="F375" s="4" t="n">
        <v>2</v>
      </c>
      <c r="G375" s="4" t="n">
        <f aca="false">IF(COUNTIF('Letterboxd Watched'!$E$2:$E$3000,M375)&gt;0,1,0)</f>
        <v>0</v>
      </c>
      <c r="H375" s="4" t="n">
        <v>5</v>
      </c>
      <c r="I375" s="4" t="s">
        <v>144</v>
      </c>
      <c r="J375" s="4" t="s">
        <v>52</v>
      </c>
      <c r="K375" s="4" t="s">
        <v>5278</v>
      </c>
      <c r="L375" s="48" t="str">
        <f aca="false">HYPERLINK("https://boxd.it/1Vpe","open")</f>
        <v>open</v>
      </c>
      <c r="M375" s="4" t="str">
        <f aca="false">LOWER(A375)&amp;"|"&amp;B375</f>
        <v>cabaret|1972</v>
      </c>
      <c r="N375" s="4" t="n">
        <v>0</v>
      </c>
      <c r="O375" s="4" t="n">
        <v>0</v>
      </c>
      <c r="P375" s="4" t="n">
        <v>0</v>
      </c>
      <c r="Q375" s="4" t="n">
        <v>1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</v>
      </c>
      <c r="W375" s="4" t="n">
        <v>0</v>
      </c>
    </row>
    <row r="376" customFormat="false" ht="15" hidden="false" customHeight="false" outlineLevel="0" collapsed="false">
      <c r="A376" s="4" t="s">
        <v>1663</v>
      </c>
      <c r="B376" s="4" t="n">
        <v>1896</v>
      </c>
      <c r="C376" s="4" t="str">
        <f aca="false">FLOOR(B376,10)&amp;"s"</f>
        <v>1890s</v>
      </c>
      <c r="D376" s="4" t="s">
        <v>1664</v>
      </c>
      <c r="E376" s="25" t="str">
        <f aca="false">IF(G376=1,"✓","")</f>
        <v/>
      </c>
      <c r="F376" s="4" t="n">
        <v>1</v>
      </c>
      <c r="G376" s="4" t="n">
        <f aca="false">IF(COUNTIF('Letterboxd Watched'!$E$2:$E$3000,M376)&gt;0,1,0)</f>
        <v>0</v>
      </c>
      <c r="H376" s="4" t="n">
        <v>2</v>
      </c>
      <c r="I376" s="4" t="s">
        <v>213</v>
      </c>
      <c r="J376" s="4" t="s">
        <v>54</v>
      </c>
      <c r="K376" s="4" t="s">
        <v>4280</v>
      </c>
      <c r="L376" s="48" t="str">
        <f aca="false">HYPERLINK("https://letterboxd.com/search/films/The+Cabbage+Fairy+1896/","open")</f>
        <v>open</v>
      </c>
      <c r="M376" s="4" t="str">
        <f aca="false">LOWER(A376)&amp;"|"&amp;B376</f>
        <v>the cabbage fairy|1896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1</v>
      </c>
      <c r="T376" s="4" t="n">
        <v>0</v>
      </c>
      <c r="U376" s="4" t="n">
        <v>0</v>
      </c>
      <c r="V376" s="4" t="n">
        <v>0</v>
      </c>
      <c r="W376" s="4" t="n">
        <v>0</v>
      </c>
    </row>
    <row r="377" customFormat="false" ht="15" hidden="false" customHeight="false" outlineLevel="0" collapsed="false">
      <c r="A377" s="4" t="s">
        <v>1810</v>
      </c>
      <c r="B377" s="4" t="n">
        <v>1943</v>
      </c>
      <c r="C377" s="4" t="str">
        <f aca="false">FLOOR(B377,10)&amp;"s"</f>
        <v>1940s</v>
      </c>
      <c r="D377" s="4" t="s">
        <v>570</v>
      </c>
      <c r="E377" s="25" t="str">
        <f aca="false">IF(G377=1,"✓","")</f>
        <v/>
      </c>
      <c r="F377" s="4" t="n">
        <v>1</v>
      </c>
      <c r="G377" s="4" t="n">
        <f aca="false">IF(COUNTIF('Letterboxd Watched'!$E$2:$E$3000,M377)&gt;0,1,0)</f>
        <v>0</v>
      </c>
      <c r="H377" s="4" t="n">
        <v>2</v>
      </c>
      <c r="I377" s="4" t="s">
        <v>213</v>
      </c>
      <c r="J377" s="4" t="s">
        <v>54</v>
      </c>
      <c r="K377" s="4" t="s">
        <v>4284</v>
      </c>
      <c r="L377" s="48" t="str">
        <f aca="false">HYPERLINK("https://boxd.it/haQ","open")</f>
        <v>open</v>
      </c>
      <c r="M377" s="4" t="str">
        <f aca="false">LOWER(A377)&amp;"|"&amp;B377</f>
        <v>cabin in the sky|1943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1</v>
      </c>
      <c r="T377" s="4" t="n">
        <v>0</v>
      </c>
      <c r="U377" s="4" t="n">
        <v>0</v>
      </c>
      <c r="V377" s="4" t="n">
        <v>0</v>
      </c>
      <c r="W377" s="4" t="n">
        <v>0</v>
      </c>
    </row>
    <row r="378" customFormat="false" ht="15" hidden="false" customHeight="false" outlineLevel="0" collapsed="false">
      <c r="A378" s="4" t="s">
        <v>330</v>
      </c>
      <c r="B378" s="4" t="n">
        <v>1920</v>
      </c>
      <c r="C378" s="4" t="str">
        <f aca="false">FLOOR(B378,10)&amp;"s"</f>
        <v>1920s</v>
      </c>
      <c r="D378" s="4" t="s">
        <v>331</v>
      </c>
      <c r="E378" s="25" t="str">
        <f aca="false">IF(G378=1,"✓","")</f>
        <v/>
      </c>
      <c r="F378" s="4" t="n">
        <v>4</v>
      </c>
      <c r="G378" s="4" t="n">
        <f aca="false">IF(COUNTIF('Letterboxd Watched'!$E$2:$E$3000,M378)&gt;0,1,0)</f>
        <v>0</v>
      </c>
      <c r="H378" s="4" t="n">
        <v>10</v>
      </c>
      <c r="I378" s="4" t="s">
        <v>144</v>
      </c>
      <c r="J378" s="4" t="s">
        <v>49</v>
      </c>
      <c r="K378" s="4" t="s">
        <v>5279</v>
      </c>
      <c r="L378" s="48" t="str">
        <f aca="false">HYPERLINK("https://boxd.it/2aOo","open")</f>
        <v>open</v>
      </c>
      <c r="M378" s="4" t="str">
        <f aca="false">LOWER(A378)&amp;"|"&amp;B378</f>
        <v>the cabinet of dr. caligari|1920</v>
      </c>
      <c r="N378" s="4" t="n">
        <v>1</v>
      </c>
      <c r="O378" s="4" t="n">
        <v>1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1</v>
      </c>
      <c r="W378" s="4" t="n">
        <v>0</v>
      </c>
    </row>
    <row r="379" customFormat="false" ht="15" hidden="false" customHeight="false" outlineLevel="0" collapsed="false">
      <c r="A379" s="4" t="s">
        <v>1669</v>
      </c>
      <c r="B379" s="4" t="n">
        <v>1914</v>
      </c>
      <c r="C379" s="4" t="str">
        <f aca="false">FLOOR(B379,10)&amp;"s"</f>
        <v>1910s</v>
      </c>
      <c r="D379" s="4" t="s">
        <v>1670</v>
      </c>
      <c r="E379" s="25" t="str">
        <f aca="false">IF(G379=1,"✓","")</f>
        <v/>
      </c>
      <c r="F379" s="4" t="n">
        <v>1</v>
      </c>
      <c r="G379" s="4" t="n">
        <f aca="false">IF(COUNTIF('Letterboxd Watched'!$E$2:$E$3000,M379)&gt;0,1,0)</f>
        <v>0</v>
      </c>
      <c r="H379" s="4" t="n">
        <v>2</v>
      </c>
      <c r="I379" s="4" t="s">
        <v>213</v>
      </c>
      <c r="J379" s="4" t="s">
        <v>50</v>
      </c>
      <c r="K379" s="4" t="s">
        <v>3892</v>
      </c>
      <c r="L379" s="48" t="str">
        <f aca="false">HYPERLINK("https://letterboxd.com/search/films/Cabiria+1914/","open")</f>
        <v>open</v>
      </c>
      <c r="M379" s="4" t="str">
        <f aca="false">LOWER(A379)&amp;"|"&amp;B379</f>
        <v>cabiria|1914</v>
      </c>
      <c r="N379" s="4" t="n">
        <v>0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</row>
    <row r="380" customFormat="false" ht="15" hidden="false" customHeight="false" outlineLevel="0" collapsed="false">
      <c r="A380" s="4" t="s">
        <v>515</v>
      </c>
      <c r="B380" s="4" t="n">
        <v>2005</v>
      </c>
      <c r="C380" s="4" t="str">
        <f aca="false">FLOOR(B380,10)&amp;"s"</f>
        <v>2000s</v>
      </c>
      <c r="D380" s="4" t="s">
        <v>516</v>
      </c>
      <c r="E380" s="25" t="str">
        <f aca="false">IF(G380=1,"✓","")</f>
        <v/>
      </c>
      <c r="F380" s="4" t="n">
        <v>3</v>
      </c>
      <c r="G380" s="4" t="n">
        <f aca="false">IF(COUNTIF('Letterboxd Watched'!$E$2:$E$3000,M380)&gt;0,1,0)</f>
        <v>0</v>
      </c>
      <c r="H380" s="4" t="n">
        <v>7</v>
      </c>
      <c r="I380" s="4" t="s">
        <v>144</v>
      </c>
      <c r="J380" s="4" t="s">
        <v>50</v>
      </c>
      <c r="K380" s="4" t="s">
        <v>5280</v>
      </c>
      <c r="L380" s="48" t="str">
        <f aca="false">HYPERLINK("https://boxd.it/2amY","open")</f>
        <v>open</v>
      </c>
      <c r="M380" s="4" t="str">
        <f aca="false">LOWER(A380)&amp;"|"&amp;B380</f>
        <v>caché|2005</v>
      </c>
      <c r="N380" s="4" t="n">
        <v>0</v>
      </c>
      <c r="O380" s="4" t="n">
        <v>1</v>
      </c>
      <c r="P380" s="4" t="n">
        <v>1</v>
      </c>
      <c r="Q380" s="4" t="n">
        <v>0</v>
      </c>
      <c r="R380" s="4" t="n">
        <v>1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</row>
    <row r="381" customFormat="false" ht="15" hidden="false" customHeight="false" outlineLevel="0" collapsed="false">
      <c r="A381" s="4" t="s">
        <v>2340</v>
      </c>
      <c r="B381" s="4" t="n">
        <v>1980</v>
      </c>
      <c r="C381" s="4" t="str">
        <f aca="false">FLOOR(B381,10)&amp;"s"</f>
        <v>1980s</v>
      </c>
      <c r="D381" s="4" t="s">
        <v>260</v>
      </c>
      <c r="E381" s="25" t="str">
        <f aca="false">IF(G381=1,"✓","")</f>
        <v>✓</v>
      </c>
      <c r="F381" s="4" t="n">
        <v>1</v>
      </c>
      <c r="G381" s="4" t="n">
        <f aca="false">IF(COUNTIF('Letterboxd Watched'!$E$2:$E$3000,M381)&gt;0,1,0)</f>
        <v>1</v>
      </c>
      <c r="H381" s="4" t="n">
        <v>2</v>
      </c>
      <c r="I381" s="4" t="s">
        <v>213</v>
      </c>
      <c r="J381" s="4" t="s">
        <v>52</v>
      </c>
      <c r="K381" s="4" t="s">
        <v>4108</v>
      </c>
      <c r="L381" s="48" t="str">
        <f aca="false">HYPERLINK("https://boxd.it/1SCO","open")</f>
        <v>open</v>
      </c>
      <c r="M381" s="4" t="str">
        <f aca="false">LOWER(A381)&amp;"|"&amp;B381</f>
        <v>caddyshack|1980</v>
      </c>
      <c r="N381" s="4" t="n">
        <v>0</v>
      </c>
      <c r="O381" s="4" t="n">
        <v>0</v>
      </c>
      <c r="P381" s="4" t="n">
        <v>0</v>
      </c>
      <c r="Q381" s="4" t="n">
        <v>1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</row>
    <row r="382" customFormat="false" ht="15" hidden="false" customHeight="false" outlineLevel="0" collapsed="false">
      <c r="A382" s="4" t="s">
        <v>2247</v>
      </c>
      <c r="B382" s="4" t="n">
        <v>1974</v>
      </c>
      <c r="C382" s="4" t="str">
        <f aca="false">FLOOR(B382,10)&amp;"s"</f>
        <v>1970s</v>
      </c>
      <c r="D382" s="4" t="s">
        <v>197</v>
      </c>
      <c r="E382" s="25" t="str">
        <f aca="false">IF(G382=1,"✓","")</f>
        <v>✓</v>
      </c>
      <c r="F382" s="4" t="n">
        <v>1</v>
      </c>
      <c r="G382" s="4" t="n">
        <f aca="false">IF(COUNTIF('Letterboxd Watched'!$E$2:$E$3000,M382)&gt;0,1,0)</f>
        <v>1</v>
      </c>
      <c r="H382" s="4" t="n">
        <v>2</v>
      </c>
      <c r="I382" s="4" t="s">
        <v>213</v>
      </c>
      <c r="J382" s="4" t="s">
        <v>53</v>
      </c>
      <c r="K382" s="4" t="s">
        <v>197</v>
      </c>
      <c r="L382" s="48" t="str">
        <f aca="false">HYPERLINK("https://boxd.it/1hRs","open")</f>
        <v>open</v>
      </c>
      <c r="M382" s="4" t="str">
        <f aca="false">LOWER(A382)&amp;"|"&amp;B382</f>
        <v>california split|1974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1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</row>
    <row r="383" customFormat="false" ht="15" hidden="false" customHeight="false" outlineLevel="0" collapsed="false">
      <c r="A383" s="4" t="s">
        <v>3114</v>
      </c>
      <c r="B383" s="4" t="n">
        <v>2017</v>
      </c>
      <c r="C383" s="4" t="str">
        <f aca="false">FLOOR(B383,10)&amp;"s"</f>
        <v>2010s</v>
      </c>
      <c r="D383" s="4" t="s">
        <v>3115</v>
      </c>
      <c r="E383" s="25" t="str">
        <f aca="false">IF(G383=1,"✓","")</f>
        <v>✓</v>
      </c>
      <c r="F383" s="4" t="n">
        <v>1</v>
      </c>
      <c r="G383" s="4" t="n">
        <f aca="false">IF(COUNTIF('Letterboxd Watched'!$E$2:$E$3000,M383)&gt;0,1,0)</f>
        <v>1</v>
      </c>
      <c r="H383" s="4" t="n">
        <v>2</v>
      </c>
      <c r="I383" s="4" t="s">
        <v>213</v>
      </c>
      <c r="J383" s="4" t="s">
        <v>51</v>
      </c>
      <c r="K383" s="4" t="s">
        <v>3956</v>
      </c>
      <c r="L383" s="48" t="str">
        <f aca="false">HYPERLINK("https://boxd.it/dYmm","open")</f>
        <v>open</v>
      </c>
      <c r="M383" s="4" t="str">
        <f aca="false">LOWER(A383)&amp;"|"&amp;B383</f>
        <v>call me by your name|2017</v>
      </c>
      <c r="N383" s="4" t="n">
        <v>0</v>
      </c>
      <c r="O383" s="4" t="n">
        <v>0</v>
      </c>
      <c r="P383" s="4" t="n">
        <v>1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</row>
    <row r="384" customFormat="false" ht="15" hidden="false" customHeight="false" outlineLevel="0" collapsed="false">
      <c r="A384" s="4" t="s">
        <v>3821</v>
      </c>
      <c r="B384" s="4" t="n">
        <v>2014</v>
      </c>
      <c r="C384" s="4" t="str">
        <f aca="false">FLOOR(B384,10)&amp;"s"</f>
        <v>2010s</v>
      </c>
      <c r="D384" s="4" t="s">
        <v>3822</v>
      </c>
      <c r="E384" s="25" t="str">
        <f aca="false">IF(G384=1,"✓","")</f>
        <v/>
      </c>
      <c r="F384" s="4" t="n">
        <v>1</v>
      </c>
      <c r="G384" s="4" t="n">
        <f aca="false">IF(COUNTIF('Letterboxd Watched'!$E$2:$E$3000,M384)&gt;0,1,0)</f>
        <v>0</v>
      </c>
      <c r="H384" s="4" t="n">
        <v>1</v>
      </c>
      <c r="I384" s="4" t="s">
        <v>1327</v>
      </c>
      <c r="J384" s="4" t="s">
        <v>55</v>
      </c>
      <c r="K384" s="4" t="s">
        <v>4330</v>
      </c>
      <c r="L384" s="48" t="str">
        <f aca="false">HYPERLINK("https://boxd.it/4WE6","open")</f>
        <v>open</v>
      </c>
      <c r="M384" s="4" t="str">
        <f aca="false">LOWER(A384)&amp;"|"&amp;B384</f>
        <v>calvary|2014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1</v>
      </c>
      <c r="U384" s="4" t="n">
        <v>0</v>
      </c>
      <c r="V384" s="4" t="n">
        <v>0</v>
      </c>
      <c r="W384" s="4" t="n">
        <v>0</v>
      </c>
    </row>
    <row r="385" customFormat="false" ht="15" hidden="false" customHeight="false" outlineLevel="0" collapsed="false">
      <c r="A385" s="4" t="s">
        <v>1041</v>
      </c>
      <c r="B385" s="4" t="n">
        <v>1979</v>
      </c>
      <c r="C385" s="4" t="str">
        <f aca="false">FLOOR(B385,10)&amp;"s"</f>
        <v>1970s</v>
      </c>
      <c r="D385" s="4" t="s">
        <v>1042</v>
      </c>
      <c r="E385" s="25" t="str">
        <f aca="false">IF(G385=1,"✓","")</f>
        <v/>
      </c>
      <c r="F385" s="4" t="n">
        <v>2</v>
      </c>
      <c r="G385" s="4" t="n">
        <f aca="false">IF(COUNTIF('Letterboxd Watched'!$E$2:$E$3000,M385)&gt;0,1,0)</f>
        <v>0</v>
      </c>
      <c r="H385" s="4" t="n">
        <v>4</v>
      </c>
      <c r="I385" s="4" t="s">
        <v>213</v>
      </c>
      <c r="J385" s="4" t="s">
        <v>51</v>
      </c>
      <c r="K385" s="4" t="s">
        <v>5281</v>
      </c>
      <c r="L385" s="48" t="str">
        <f aca="false">HYPERLINK("https://letterboxd.com/search/films/Camera+Buff+1979/","open")</f>
        <v>open</v>
      </c>
      <c r="M385" s="4" t="str">
        <f aca="false">LOWER(A385)&amp;"|"&amp;B385</f>
        <v>camera buff|1979</v>
      </c>
      <c r="N385" s="4" t="n">
        <v>0</v>
      </c>
      <c r="O385" s="4" t="n">
        <v>0</v>
      </c>
      <c r="P385" s="4" t="n">
        <v>1</v>
      </c>
      <c r="Q385" s="4" t="n">
        <v>0</v>
      </c>
      <c r="R385" s="4" t="n">
        <v>1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</row>
    <row r="386" customFormat="false" ht="15" hidden="false" customHeight="false" outlineLevel="0" collapsed="false">
      <c r="A386" s="4" t="s">
        <v>3104</v>
      </c>
      <c r="B386" s="4" t="n">
        <v>2016</v>
      </c>
      <c r="C386" s="4" t="str">
        <f aca="false">FLOOR(B386,10)&amp;"s"</f>
        <v>2010s</v>
      </c>
      <c r="D386" s="4" t="s">
        <v>3105</v>
      </c>
      <c r="E386" s="25" t="str">
        <f aca="false">IF(G386=1,"✓","")</f>
        <v/>
      </c>
      <c r="F386" s="4" t="n">
        <v>1</v>
      </c>
      <c r="G386" s="4" t="n">
        <f aca="false">IF(COUNTIF('Letterboxd Watched'!$E$2:$E$3000,M386)&gt;0,1,0)</f>
        <v>0</v>
      </c>
      <c r="H386" s="4" t="n">
        <v>2</v>
      </c>
      <c r="I386" s="4" t="s">
        <v>213</v>
      </c>
      <c r="J386" s="4" t="s">
        <v>52</v>
      </c>
      <c r="K386" s="4" t="s">
        <v>4174</v>
      </c>
      <c r="L386" s="48" t="str">
        <f aca="false">HYPERLINK("https://letterboxd.com/search/films/Cameraperson+2016/","open")</f>
        <v>open</v>
      </c>
      <c r="M386" s="4" t="str">
        <f aca="false">LOWER(A386)&amp;"|"&amp;B386</f>
        <v>cameraperson|2016</v>
      </c>
      <c r="N386" s="4" t="n">
        <v>0</v>
      </c>
      <c r="O386" s="4" t="n">
        <v>0</v>
      </c>
      <c r="P386" s="4" t="n">
        <v>0</v>
      </c>
      <c r="Q386" s="4" t="n">
        <v>1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</row>
    <row r="387" customFormat="false" ht="15" hidden="false" customHeight="false" outlineLevel="0" collapsed="false">
      <c r="A387" s="4" t="s">
        <v>2210</v>
      </c>
      <c r="B387" s="4" t="n">
        <v>1972</v>
      </c>
      <c r="C387" s="4" t="str">
        <f aca="false">FLOOR(B387,10)&amp;"s"</f>
        <v>1970s</v>
      </c>
      <c r="D387" s="4" t="s">
        <v>2211</v>
      </c>
      <c r="E387" s="25" t="str">
        <f aca="false">IF(G387=1,"✓","")</f>
        <v/>
      </c>
      <c r="F387" s="4" t="n">
        <v>1</v>
      </c>
      <c r="G387" s="4" t="n">
        <f aca="false">IF(COUNTIF('Letterboxd Watched'!$E$2:$E$3000,M387)&gt;0,1,0)</f>
        <v>0</v>
      </c>
      <c r="H387" s="4" t="n">
        <v>2</v>
      </c>
      <c r="I387" s="4" t="s">
        <v>213</v>
      </c>
      <c r="J387" s="4" t="s">
        <v>55</v>
      </c>
      <c r="K387" s="4" t="s">
        <v>4318</v>
      </c>
      <c r="L387" s="48" t="str">
        <f aca="false">HYPERLINK("https://boxd.it/1Bvc","open")</f>
        <v>open</v>
      </c>
      <c r="M387" s="4" t="str">
        <f aca="false">LOWER(A387)&amp;"|"&amp;B387</f>
        <v>the candidate|1972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1</v>
      </c>
      <c r="U387" s="4" t="n">
        <v>0</v>
      </c>
      <c r="V387" s="4" t="n">
        <v>0</v>
      </c>
      <c r="W387" s="4" t="n">
        <v>0</v>
      </c>
    </row>
    <row r="388" customFormat="false" ht="15" hidden="false" customHeight="false" outlineLevel="0" collapsed="false">
      <c r="A388" s="4" t="s">
        <v>1051</v>
      </c>
      <c r="B388" s="4" t="n">
        <v>1980</v>
      </c>
      <c r="C388" s="4" t="str">
        <f aca="false">FLOOR(B388,10)&amp;"s"</f>
        <v>1980s</v>
      </c>
      <c r="D388" s="4" t="s">
        <v>1052</v>
      </c>
      <c r="E388" s="25" t="str">
        <f aca="false">IF(G388=1,"✓","")</f>
        <v/>
      </c>
      <c r="F388" s="4" t="n">
        <v>2</v>
      </c>
      <c r="G388" s="4" t="n">
        <f aca="false">IF(COUNTIF('Letterboxd Watched'!$E$2:$E$3000,M388)&gt;0,1,0)</f>
        <v>0</v>
      </c>
      <c r="H388" s="4" t="n">
        <v>4</v>
      </c>
      <c r="I388" s="4" t="s">
        <v>213</v>
      </c>
      <c r="J388" s="4" t="s">
        <v>52</v>
      </c>
      <c r="K388" s="4" t="s">
        <v>5282</v>
      </c>
      <c r="L388" s="48" t="str">
        <f aca="false">HYPERLINK("https://boxd.it/1ZWQ","open")</f>
        <v>open</v>
      </c>
      <c r="M388" s="4" t="str">
        <f aca="false">LOWER(A388)&amp;"|"&amp;B388</f>
        <v>cannibal holocaust|1980</v>
      </c>
      <c r="N388" s="4" t="n">
        <v>0</v>
      </c>
      <c r="O388" s="4" t="n">
        <v>0</v>
      </c>
      <c r="P388" s="4" t="n">
        <v>0</v>
      </c>
      <c r="Q388" s="4" t="n">
        <v>1</v>
      </c>
      <c r="R388" s="4" t="n">
        <v>0</v>
      </c>
      <c r="S388" s="4" t="n">
        <v>0</v>
      </c>
      <c r="T388" s="4" t="n">
        <v>0</v>
      </c>
      <c r="U388" s="4" t="n">
        <v>1</v>
      </c>
      <c r="V388" s="4" t="n">
        <v>0</v>
      </c>
      <c r="W388" s="4" t="n">
        <v>0</v>
      </c>
    </row>
    <row r="389" customFormat="false" ht="15" hidden="false" customHeight="false" outlineLevel="0" collapsed="false">
      <c r="A389" s="4" t="s">
        <v>3551</v>
      </c>
      <c r="B389" s="4" t="n">
        <v>1976</v>
      </c>
      <c r="C389" s="4" t="str">
        <f aca="false">FLOOR(B389,10)&amp;"s"</f>
        <v>1970s</v>
      </c>
      <c r="D389" s="4" t="s">
        <v>3552</v>
      </c>
      <c r="E389" s="25" t="str">
        <f aca="false">IF(G389=1,"✓","")</f>
        <v/>
      </c>
      <c r="F389" s="4" t="n">
        <v>1</v>
      </c>
      <c r="G389" s="4" t="n">
        <f aca="false">IF(COUNTIF('Letterboxd Watched'!$E$2:$E$3000,M389)&gt;0,1,0)</f>
        <v>0</v>
      </c>
      <c r="H389" s="4" t="n">
        <v>1</v>
      </c>
      <c r="I389" s="4" t="s">
        <v>1327</v>
      </c>
      <c r="J389" s="4" t="s">
        <v>51</v>
      </c>
      <c r="K389" s="4" t="s">
        <v>4004</v>
      </c>
      <c r="L389" s="48" t="str">
        <f aca="false">HYPERLINK("https://letterboxd.com/search/films/Canoa+A+Shameful+Memory+1976/","open")</f>
        <v>open</v>
      </c>
      <c r="M389" s="4" t="str">
        <f aca="false">LOWER(A389)&amp;"|"&amp;B389</f>
        <v>canoa: a shameful memory|1976</v>
      </c>
      <c r="N389" s="4" t="n">
        <v>0</v>
      </c>
      <c r="O389" s="4" t="n">
        <v>0</v>
      </c>
      <c r="P389" s="4" t="n">
        <v>1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</row>
    <row r="390" customFormat="false" ht="15" hidden="false" customHeight="false" outlineLevel="0" collapsed="false">
      <c r="A390" s="4" t="s">
        <v>1814</v>
      </c>
      <c r="B390" s="4" t="n">
        <v>1944</v>
      </c>
      <c r="C390" s="4" t="str">
        <f aca="false">FLOOR(B390,10)&amp;"s"</f>
        <v>1940s</v>
      </c>
      <c r="D390" s="4" t="s">
        <v>453</v>
      </c>
      <c r="E390" s="25" t="str">
        <f aca="false">IF(G390=1,"✓","")</f>
        <v/>
      </c>
      <c r="F390" s="4" t="n">
        <v>1</v>
      </c>
      <c r="G390" s="4" t="n">
        <f aca="false">IF(COUNTIF('Letterboxd Watched'!$E$2:$E$3000,M390)&gt;0,1,0)</f>
        <v>0</v>
      </c>
      <c r="H390" s="4" t="n">
        <v>2</v>
      </c>
      <c r="I390" s="4" t="s">
        <v>213</v>
      </c>
      <c r="J390" s="4" t="s">
        <v>51</v>
      </c>
      <c r="K390" s="4" t="s">
        <v>3976</v>
      </c>
      <c r="L390" s="48" t="str">
        <f aca="false">HYPERLINK("https://boxd.it/1LIg","open")</f>
        <v>open</v>
      </c>
      <c r="M390" s="4" t="str">
        <f aca="false">LOWER(A390)&amp;"|"&amp;B390</f>
        <v>a canterbury tale|1944</v>
      </c>
      <c r="N390" s="4" t="n">
        <v>0</v>
      </c>
      <c r="O390" s="4" t="n">
        <v>0</v>
      </c>
      <c r="P390" s="4" t="n">
        <v>1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</row>
    <row r="391" customFormat="false" ht="15" hidden="false" customHeight="false" outlineLevel="0" collapsed="false">
      <c r="A391" s="4" t="s">
        <v>2017</v>
      </c>
      <c r="B391" s="4" t="n">
        <v>1962</v>
      </c>
      <c r="C391" s="4" t="str">
        <f aca="false">FLOOR(B391,10)&amp;"s"</f>
        <v>1960s</v>
      </c>
      <c r="D391" s="4" t="s">
        <v>2018</v>
      </c>
      <c r="E391" s="25" t="str">
        <f aca="false">IF(G391=1,"✓","")</f>
        <v/>
      </c>
      <c r="F391" s="4" t="n">
        <v>1</v>
      </c>
      <c r="G391" s="4" t="n">
        <f aca="false">IF(COUNTIF('Letterboxd Watched'!$E$2:$E$3000,M391)&gt;0,1,0)</f>
        <v>0</v>
      </c>
      <c r="H391" s="4" t="n">
        <v>2</v>
      </c>
      <c r="I391" s="4" t="s">
        <v>213</v>
      </c>
      <c r="J391" s="4" t="s">
        <v>56</v>
      </c>
      <c r="K391" s="4" t="s">
        <v>4392</v>
      </c>
      <c r="L391" s="48" t="str">
        <f aca="false">HYPERLINK("https://boxd.it/1U4a","open")</f>
        <v>open</v>
      </c>
      <c r="M391" s="4" t="str">
        <f aca="false">LOWER(A391)&amp;"|"&amp;B391</f>
        <v>cape fear|1962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1</v>
      </c>
      <c r="V391" s="4" t="n">
        <v>0</v>
      </c>
      <c r="W391" s="4" t="n">
        <v>0</v>
      </c>
    </row>
    <row r="392" customFormat="false" ht="15" hidden="false" customHeight="false" outlineLevel="0" collapsed="false">
      <c r="A392" s="4" t="s">
        <v>3138</v>
      </c>
      <c r="B392" s="4" t="n">
        <v>2018</v>
      </c>
      <c r="C392" s="4" t="str">
        <f aca="false">FLOOR(B392,10)&amp;"s"</f>
        <v>2010s</v>
      </c>
      <c r="D392" s="4" t="s">
        <v>3139</v>
      </c>
      <c r="E392" s="25" t="str">
        <f aca="false">IF(G392=1,"✓","")</f>
        <v/>
      </c>
      <c r="F392" s="4" t="n">
        <v>1</v>
      </c>
      <c r="G392" s="4" t="n">
        <f aca="false">IF(COUNTIF('Letterboxd Watched'!$E$2:$E$3000,M392)&gt;0,1,0)</f>
        <v>0</v>
      </c>
      <c r="H392" s="4" t="n">
        <v>2</v>
      </c>
      <c r="I392" s="4" t="s">
        <v>213</v>
      </c>
      <c r="J392" s="4" t="s">
        <v>51</v>
      </c>
      <c r="K392" s="4" t="s">
        <v>4034</v>
      </c>
      <c r="L392" s="48" t="str">
        <f aca="false">HYPERLINK("https://boxd.it/iM3s","open")</f>
        <v>open</v>
      </c>
      <c r="M392" s="4" t="str">
        <f aca="false">LOWER(A392)&amp;"|"&amp;B392</f>
        <v>capernaum|2018</v>
      </c>
      <c r="N392" s="4" t="n">
        <v>0</v>
      </c>
      <c r="O392" s="4" t="n">
        <v>0</v>
      </c>
      <c r="P392" s="4" t="n">
        <v>1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</row>
    <row r="393" customFormat="false" ht="15" hidden="false" customHeight="false" outlineLevel="0" collapsed="false">
      <c r="A393" s="4" t="s">
        <v>2296</v>
      </c>
      <c r="B393" s="4" t="n">
        <v>1977</v>
      </c>
      <c r="C393" s="4" t="str">
        <f aca="false">FLOOR(B393,10)&amp;"s"</f>
        <v>1970s</v>
      </c>
      <c r="D393" s="4" t="s">
        <v>2297</v>
      </c>
      <c r="E393" s="25" t="str">
        <f aca="false">IF(G393=1,"✓","")</f>
        <v>✓</v>
      </c>
      <c r="F393" s="4" t="n">
        <v>1</v>
      </c>
      <c r="G393" s="4" t="n">
        <f aca="false">IF(COUNTIF('Letterboxd Watched'!$E$2:$E$3000,M393)&gt;0,1,0)</f>
        <v>1</v>
      </c>
      <c r="H393" s="4" t="n">
        <v>2</v>
      </c>
      <c r="I393" s="4" t="s">
        <v>213</v>
      </c>
      <c r="J393" s="4" t="s">
        <v>52</v>
      </c>
      <c r="K393" s="4" t="s">
        <v>4126</v>
      </c>
      <c r="L393" s="48" t="str">
        <f aca="false">HYPERLINK("https://boxd.it/1SJq","open")</f>
        <v>open</v>
      </c>
      <c r="M393" s="4" t="str">
        <f aca="false">LOWER(A393)&amp;"|"&amp;B393</f>
        <v>capricorn one|1977</v>
      </c>
      <c r="N393" s="4" t="n">
        <v>0</v>
      </c>
      <c r="O393" s="4" t="n">
        <v>0</v>
      </c>
      <c r="P393" s="4" t="n">
        <v>0</v>
      </c>
      <c r="Q393" s="4" t="n">
        <v>1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</row>
    <row r="394" customFormat="false" ht="15" hidden="false" customHeight="false" outlineLevel="0" collapsed="false">
      <c r="A394" s="4" t="s">
        <v>1754</v>
      </c>
      <c r="B394" s="4" t="n">
        <v>1935</v>
      </c>
      <c r="C394" s="4" t="str">
        <f aca="false">FLOOR(B394,10)&amp;"s"</f>
        <v>1930s</v>
      </c>
      <c r="D394" s="4" t="s">
        <v>335</v>
      </c>
      <c r="E394" s="25" t="str">
        <f aca="false">IF(G394=1,"✓","")</f>
        <v/>
      </c>
      <c r="F394" s="4" t="n">
        <v>1</v>
      </c>
      <c r="G394" s="4" t="n">
        <f aca="false">IF(COUNTIF('Letterboxd Watched'!$E$2:$E$3000,M394)&gt;0,1,0)</f>
        <v>0</v>
      </c>
      <c r="H394" s="4" t="n">
        <v>2</v>
      </c>
      <c r="I394" s="4" t="s">
        <v>213</v>
      </c>
      <c r="J394" s="4" t="s">
        <v>52</v>
      </c>
      <c r="K394" s="4" t="s">
        <v>4156</v>
      </c>
      <c r="L394" s="48" t="str">
        <f aca="false">HYPERLINK("https://boxd.it/1JvO","open")</f>
        <v>open</v>
      </c>
      <c r="M394" s="4" t="str">
        <f aca="false">LOWER(A394)&amp;"|"&amp;B394</f>
        <v>captain blood|1935</v>
      </c>
      <c r="N394" s="4" t="n">
        <v>0</v>
      </c>
      <c r="O394" s="4" t="n">
        <v>0</v>
      </c>
      <c r="P394" s="4" t="n">
        <v>0</v>
      </c>
      <c r="Q394" s="4" t="n">
        <v>1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</row>
    <row r="395" customFormat="false" ht="15" hidden="false" customHeight="false" outlineLevel="0" collapsed="false">
      <c r="A395" s="4" t="s">
        <v>3720</v>
      </c>
      <c r="B395" s="4" t="n">
        <v>2000</v>
      </c>
      <c r="C395" s="4" t="str">
        <f aca="false">FLOOR(B395,10)&amp;"s"</f>
        <v>2000s</v>
      </c>
      <c r="D395" s="4" t="s">
        <v>185</v>
      </c>
      <c r="E395" s="25" t="str">
        <f aca="false">IF(G395=1,"✓","")</f>
        <v/>
      </c>
      <c r="F395" s="4" t="n">
        <v>1</v>
      </c>
      <c r="G395" s="4" t="n">
        <f aca="false">IF(COUNTIF('Letterboxd Watched'!$E$2:$E$3000,M395)&gt;0,1,0)</f>
        <v>0</v>
      </c>
      <c r="H395" s="4" t="n">
        <v>1</v>
      </c>
      <c r="I395" s="4" t="s">
        <v>1327</v>
      </c>
      <c r="J395" s="4" t="s">
        <v>53</v>
      </c>
      <c r="K395" s="4" t="s">
        <v>185</v>
      </c>
      <c r="L395" s="48" t="str">
        <f aca="false">HYPERLINK("https://letterboxd.com/search/films/La+Captive+2000/","open")</f>
        <v>open</v>
      </c>
      <c r="M395" s="4" t="str">
        <f aca="false">LOWER(A395)&amp;"|"&amp;B395</f>
        <v>la captive|2000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1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</row>
    <row r="396" customFormat="false" ht="15" hidden="false" customHeight="false" outlineLevel="0" collapsed="false">
      <c r="A396" s="4" t="s">
        <v>1587</v>
      </c>
      <c r="B396" s="4" t="n">
        <v>2003</v>
      </c>
      <c r="C396" s="4" t="str">
        <f aca="false">FLOOR(B396,10)&amp;"s"</f>
        <v>2000s</v>
      </c>
      <c r="D396" s="4" t="s">
        <v>1588</v>
      </c>
      <c r="E396" s="25" t="str">
        <f aca="false">IF(G396=1,"✓","")</f>
        <v/>
      </c>
      <c r="F396" s="4" t="n">
        <v>1</v>
      </c>
      <c r="G396" s="4" t="n">
        <f aca="false">IF(COUNTIF('Letterboxd Watched'!$E$2:$E$3000,M396)&gt;0,1,0)</f>
        <v>0</v>
      </c>
      <c r="H396" s="4" t="n">
        <v>3</v>
      </c>
      <c r="I396" s="4" t="s">
        <v>144</v>
      </c>
      <c r="J396" s="4" t="s">
        <v>52</v>
      </c>
      <c r="K396" s="4" t="s">
        <v>4176</v>
      </c>
      <c r="L396" s="48" t="str">
        <f aca="false">HYPERLINK("https://boxd.it/2748","open")</f>
        <v>open</v>
      </c>
      <c r="M396" s="4" t="str">
        <f aca="false">LOWER(A396)&amp;"|"&amp;B396</f>
        <v>capturing the friedmans|2003</v>
      </c>
      <c r="N396" s="4" t="n">
        <v>0</v>
      </c>
      <c r="O396" s="4" t="n">
        <v>0</v>
      </c>
      <c r="P396" s="4" t="n">
        <v>0</v>
      </c>
      <c r="Q396" s="4" t="n">
        <v>1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</row>
    <row r="397" customFormat="false" ht="15" hidden="false" customHeight="false" outlineLevel="0" collapsed="false">
      <c r="A397" s="4" t="s">
        <v>2570</v>
      </c>
      <c r="B397" s="4" t="n">
        <v>1993</v>
      </c>
      <c r="C397" s="4" t="str">
        <f aca="false">FLOOR(B397,10)&amp;"s"</f>
        <v>1990s</v>
      </c>
      <c r="D397" s="4" t="s">
        <v>488</v>
      </c>
      <c r="E397" s="25" t="str">
        <f aca="false">IF(G397=1,"✓","")</f>
        <v/>
      </c>
      <c r="F397" s="4" t="n">
        <v>1</v>
      </c>
      <c r="G397" s="4" t="n">
        <f aca="false">IF(COUNTIF('Letterboxd Watched'!$E$2:$E$3000,M397)&gt;0,1,0)</f>
        <v>0</v>
      </c>
      <c r="H397" s="4" t="n">
        <v>2</v>
      </c>
      <c r="I397" s="4" t="s">
        <v>213</v>
      </c>
      <c r="J397" s="4" t="s">
        <v>53</v>
      </c>
      <c r="K397" s="4" t="s">
        <v>488</v>
      </c>
      <c r="L397" s="48" t="str">
        <f aca="false">HYPERLINK("https://boxd.it/226e","open")</f>
        <v>open</v>
      </c>
      <c r="M397" s="4" t="str">
        <f aca="false">LOWER(A397)&amp;"|"&amp;B397</f>
        <v>carlito's way|1993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</row>
    <row r="398" customFormat="false" ht="15" hidden="false" customHeight="false" outlineLevel="0" collapsed="false">
      <c r="A398" s="4" t="s">
        <v>1912</v>
      </c>
      <c r="B398" s="4" t="n">
        <v>1954</v>
      </c>
      <c r="C398" s="4" t="str">
        <f aca="false">FLOOR(B398,10)&amp;"s"</f>
        <v>1950s</v>
      </c>
      <c r="D398" s="4" t="s">
        <v>951</v>
      </c>
      <c r="E398" s="25" t="str">
        <f aca="false">IF(G398=1,"✓","")</f>
        <v/>
      </c>
      <c r="F398" s="4" t="n">
        <v>1</v>
      </c>
      <c r="G398" s="4" t="n">
        <f aca="false">IF(COUNTIF('Letterboxd Watched'!$E$2:$E$3000,M398)&gt;0,1,0)</f>
        <v>0</v>
      </c>
      <c r="H398" s="4" t="n">
        <v>2</v>
      </c>
      <c r="I398" s="4" t="s">
        <v>213</v>
      </c>
      <c r="J398" s="4" t="s">
        <v>54</v>
      </c>
      <c r="K398" s="4" t="s">
        <v>4284</v>
      </c>
      <c r="L398" s="48" t="str">
        <f aca="false">HYPERLINK("https://boxd.it/Cho","open")</f>
        <v>open</v>
      </c>
      <c r="M398" s="4" t="str">
        <f aca="false">LOWER(A398)&amp;"|"&amp;B398</f>
        <v>carmen jones|1954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1</v>
      </c>
      <c r="T398" s="4" t="n">
        <v>0</v>
      </c>
      <c r="U398" s="4" t="n">
        <v>0</v>
      </c>
      <c r="V398" s="4" t="n">
        <v>0</v>
      </c>
      <c r="W398" s="4" t="n">
        <v>0</v>
      </c>
    </row>
    <row r="399" customFormat="false" ht="15" hidden="false" customHeight="false" outlineLevel="0" collapsed="false">
      <c r="A399" s="4" t="s">
        <v>2986</v>
      </c>
      <c r="B399" s="4" t="n">
        <v>2011</v>
      </c>
      <c r="C399" s="4" t="str">
        <f aca="false">FLOOR(B399,10)&amp;"s"</f>
        <v>2010s</v>
      </c>
      <c r="D399" s="4" t="s">
        <v>195</v>
      </c>
      <c r="E399" s="25" t="str">
        <f aca="false">IF(G399=1,"✓","")</f>
        <v/>
      </c>
      <c r="F399" s="4" t="n">
        <v>1</v>
      </c>
      <c r="G399" s="4" t="n">
        <f aca="false">IF(COUNTIF('Letterboxd Watched'!$E$2:$E$3000,M399)&gt;0,1,0)</f>
        <v>0</v>
      </c>
      <c r="H399" s="4" t="n">
        <v>2</v>
      </c>
      <c r="I399" s="4" t="s">
        <v>213</v>
      </c>
      <c r="J399" s="4" t="s">
        <v>56</v>
      </c>
      <c r="K399" s="4" t="s">
        <v>4378</v>
      </c>
      <c r="L399" s="48" t="str">
        <f aca="false">HYPERLINK("https://boxd.it/2peU","open")</f>
        <v>open</v>
      </c>
      <c r="M399" s="4" t="str">
        <f aca="false">LOWER(A399)&amp;"|"&amp;B399</f>
        <v>carnage|2011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1</v>
      </c>
      <c r="V399" s="4" t="n">
        <v>0</v>
      </c>
      <c r="W399" s="4" t="n">
        <v>0</v>
      </c>
    </row>
    <row r="400" customFormat="false" ht="15" hidden="false" customHeight="false" outlineLevel="0" collapsed="false">
      <c r="A400" s="4" t="s">
        <v>2185</v>
      </c>
      <c r="B400" s="4" t="n">
        <v>1971</v>
      </c>
      <c r="C400" s="4" t="str">
        <f aca="false">FLOOR(B400,10)&amp;"s"</f>
        <v>1970s</v>
      </c>
      <c r="D400" s="4" t="s">
        <v>357</v>
      </c>
      <c r="E400" s="25" t="str">
        <f aca="false">IF(G400=1,"✓","")</f>
        <v/>
      </c>
      <c r="F400" s="4" t="n">
        <v>1</v>
      </c>
      <c r="G400" s="4" t="n">
        <f aca="false">IF(COUNTIF('Letterboxd Watched'!$E$2:$E$3000,M400)&gt;0,1,0)</f>
        <v>0</v>
      </c>
      <c r="H400" s="4" t="n">
        <v>2</v>
      </c>
      <c r="I400" s="4" t="s">
        <v>213</v>
      </c>
      <c r="J400" s="4" t="s">
        <v>53</v>
      </c>
      <c r="K400" s="4" t="s">
        <v>4267</v>
      </c>
      <c r="L400" s="48" t="str">
        <f aca="false">HYPERLINK("https://boxd.it/1au2","open")</f>
        <v>open</v>
      </c>
      <c r="M400" s="4" t="str">
        <f aca="false">LOWER(A400)&amp;"|"&amp;B400</f>
        <v>carnal knowledge|1971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1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</row>
    <row r="401" customFormat="false" ht="15" hidden="false" customHeight="false" outlineLevel="0" collapsed="false">
      <c r="A401" s="4" t="s">
        <v>1460</v>
      </c>
      <c r="B401" s="4" t="n">
        <v>1962</v>
      </c>
      <c r="C401" s="4" t="str">
        <f aca="false">FLOOR(B401,10)&amp;"s"</f>
        <v>1960s</v>
      </c>
      <c r="D401" s="4" t="s">
        <v>1461</v>
      </c>
      <c r="E401" s="25" t="str">
        <f aca="false">IF(G401=1,"✓","")</f>
        <v/>
      </c>
      <c r="F401" s="4" t="n">
        <v>1</v>
      </c>
      <c r="G401" s="4" t="n">
        <f aca="false">IF(COUNTIF('Letterboxd Watched'!$E$2:$E$3000,M401)&gt;0,1,0)</f>
        <v>0</v>
      </c>
      <c r="H401" s="4" t="n">
        <v>3</v>
      </c>
      <c r="I401" s="4" t="s">
        <v>144</v>
      </c>
      <c r="J401" s="4" t="s">
        <v>58</v>
      </c>
      <c r="K401" s="4" t="s">
        <v>4458</v>
      </c>
      <c r="L401" s="48" t="str">
        <f aca="false">HYPERLINK("https://boxd.it/1KQ4","open")</f>
        <v>open</v>
      </c>
      <c r="M401" s="4" t="str">
        <f aca="false">LOWER(A401)&amp;"|"&amp;B401</f>
        <v>carnival of souls|1962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1</v>
      </c>
    </row>
    <row r="402" customFormat="false" ht="15" hidden="false" customHeight="false" outlineLevel="0" collapsed="false">
      <c r="A402" s="4" t="s">
        <v>717</v>
      </c>
      <c r="B402" s="4" t="n">
        <v>2015</v>
      </c>
      <c r="C402" s="4" t="str">
        <f aca="false">FLOOR(B402,10)&amp;"s"</f>
        <v>2010s</v>
      </c>
      <c r="D402" s="4" t="s">
        <v>718</v>
      </c>
      <c r="E402" s="25" t="str">
        <f aca="false">IF(G402=1,"✓","")</f>
        <v/>
      </c>
      <c r="F402" s="4" t="n">
        <v>3</v>
      </c>
      <c r="G402" s="4" t="n">
        <f aca="false">IF(COUNTIF('Letterboxd Watched'!$E$2:$E$3000,M402)&gt;0,1,0)</f>
        <v>0</v>
      </c>
      <c r="H402" s="4" t="n">
        <v>5</v>
      </c>
      <c r="I402" s="4" t="s">
        <v>213</v>
      </c>
      <c r="J402" s="4" t="s">
        <v>52</v>
      </c>
      <c r="K402" s="4" t="s">
        <v>5283</v>
      </c>
      <c r="L402" s="48" t="str">
        <f aca="false">HYPERLINK("https://boxd.it/7DPK","open")</f>
        <v>open</v>
      </c>
      <c r="M402" s="4" t="str">
        <f aca="false">LOWER(A402)&amp;"|"&amp;B402</f>
        <v>carol|2015</v>
      </c>
      <c r="N402" s="4" t="n">
        <v>0</v>
      </c>
      <c r="O402" s="4" t="n">
        <v>0</v>
      </c>
      <c r="P402" s="4" t="n">
        <v>0</v>
      </c>
      <c r="Q402" s="4" t="n">
        <v>1</v>
      </c>
      <c r="R402" s="4" t="n">
        <v>0</v>
      </c>
      <c r="S402" s="4" t="n">
        <v>1</v>
      </c>
      <c r="T402" s="4" t="n">
        <v>0</v>
      </c>
      <c r="U402" s="4" t="n">
        <v>1</v>
      </c>
      <c r="V402" s="4" t="n">
        <v>0</v>
      </c>
      <c r="W402" s="4" t="n">
        <v>0</v>
      </c>
    </row>
    <row r="403" customFormat="false" ht="15" hidden="false" customHeight="false" outlineLevel="0" collapsed="false">
      <c r="A403" s="4" t="s">
        <v>678</v>
      </c>
      <c r="B403" s="4" t="n">
        <v>1976</v>
      </c>
      <c r="C403" s="4" t="str">
        <f aca="false">FLOOR(B403,10)&amp;"s"</f>
        <v>1970s</v>
      </c>
      <c r="D403" s="4" t="s">
        <v>488</v>
      </c>
      <c r="E403" s="25" t="str">
        <f aca="false">IF(G403=1,"✓","")</f>
        <v>✓</v>
      </c>
      <c r="F403" s="4" t="n">
        <v>2</v>
      </c>
      <c r="G403" s="4" t="n">
        <f aca="false">IF(COUNTIF('Letterboxd Watched'!$E$2:$E$3000,M403)&gt;0,1,0)</f>
        <v>1</v>
      </c>
      <c r="H403" s="4" t="n">
        <v>6</v>
      </c>
      <c r="I403" s="4" t="s">
        <v>144</v>
      </c>
      <c r="J403" s="4" t="s">
        <v>53</v>
      </c>
      <c r="K403" s="4" t="s">
        <v>5284</v>
      </c>
      <c r="L403" s="48" t="str">
        <f aca="false">HYPERLINK("https://boxd.it/20ZQ","open")</f>
        <v>open</v>
      </c>
      <c r="M403" s="4" t="str">
        <f aca="false">LOWER(A403)&amp;"|"&amp;B403</f>
        <v>carrie|1976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</v>
      </c>
      <c r="S403" s="4" t="n">
        <v>1</v>
      </c>
      <c r="T403" s="4" t="n">
        <v>0</v>
      </c>
      <c r="U403" s="4" t="n">
        <v>0</v>
      </c>
      <c r="V403" s="4" t="n">
        <v>0</v>
      </c>
      <c r="W403" s="4" t="n">
        <v>0</v>
      </c>
    </row>
    <row r="404" customFormat="false" ht="15" hidden="false" customHeight="false" outlineLevel="0" collapsed="false">
      <c r="A404" s="4" t="s">
        <v>334</v>
      </c>
      <c r="B404" s="4" t="n">
        <v>1942</v>
      </c>
      <c r="C404" s="4" t="str">
        <f aca="false">FLOOR(B404,10)&amp;"s"</f>
        <v>1940s</v>
      </c>
      <c r="D404" s="4" t="s">
        <v>335</v>
      </c>
      <c r="E404" s="25" t="str">
        <f aca="false">IF(G404=1,"✓","")</f>
        <v/>
      </c>
      <c r="F404" s="4" t="n">
        <v>4</v>
      </c>
      <c r="G404" s="4" t="n">
        <f aca="false">IF(COUNTIF('Letterboxd Watched'!$E$2:$E$3000,M404)&gt;0,1,0)</f>
        <v>0</v>
      </c>
      <c r="H404" s="4" t="n">
        <v>10</v>
      </c>
      <c r="I404" s="4" t="s">
        <v>144</v>
      </c>
      <c r="J404" s="4" t="s">
        <v>49</v>
      </c>
      <c r="K404" s="4" t="s">
        <v>5285</v>
      </c>
      <c r="L404" s="48" t="str">
        <f aca="false">HYPERLINK("https://boxd.it/2aG0","open")</f>
        <v>open</v>
      </c>
      <c r="M404" s="4" t="str">
        <f aca="false">LOWER(A404)&amp;"|"&amp;B404</f>
        <v>casablanca|1942</v>
      </c>
      <c r="N404" s="4" t="n">
        <v>1</v>
      </c>
      <c r="O404" s="4" t="n">
        <v>1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1</v>
      </c>
      <c r="W404" s="4" t="n">
        <v>0</v>
      </c>
    </row>
    <row r="405" customFormat="false" ht="15" hidden="false" customHeight="false" outlineLevel="0" collapsed="false">
      <c r="A405" s="4" t="s">
        <v>1112</v>
      </c>
      <c r="B405" s="4" t="n">
        <v>1995</v>
      </c>
      <c r="C405" s="4" t="str">
        <f aca="false">FLOOR(B405,10)&amp;"s"</f>
        <v>1990s</v>
      </c>
      <c r="D405" s="4" t="s">
        <v>164</v>
      </c>
      <c r="E405" s="25" t="str">
        <f aca="false">IF(G405=1,"✓","")</f>
        <v/>
      </c>
      <c r="F405" s="4" t="n">
        <v>2</v>
      </c>
      <c r="G405" s="4" t="n">
        <f aca="false">IF(COUNTIF('Letterboxd Watched'!$E$2:$E$3000,M405)&gt;0,1,0)</f>
        <v>0</v>
      </c>
      <c r="H405" s="4" t="n">
        <v>4</v>
      </c>
      <c r="I405" s="4" t="s">
        <v>213</v>
      </c>
      <c r="J405" s="4" t="s">
        <v>52</v>
      </c>
      <c r="K405" s="4" t="s">
        <v>5286</v>
      </c>
      <c r="L405" s="48" t="str">
        <f aca="false">HYPERLINK("https://boxd.it/2ads","open")</f>
        <v>open</v>
      </c>
      <c r="M405" s="4" t="str">
        <f aca="false">LOWER(A405)&amp;"|"&amp;B405</f>
        <v>casino|1995</v>
      </c>
      <c r="N405" s="4" t="n">
        <v>0</v>
      </c>
      <c r="O405" s="4" t="n">
        <v>0</v>
      </c>
      <c r="P405" s="4" t="n">
        <v>0</v>
      </c>
      <c r="Q405" s="4" t="n">
        <v>1</v>
      </c>
      <c r="R405" s="4" t="n">
        <v>1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</row>
    <row r="406" customFormat="false" ht="15" hidden="false" customHeight="false" outlineLevel="0" collapsed="false">
      <c r="A406" s="4" t="s">
        <v>2855</v>
      </c>
      <c r="B406" s="4" t="n">
        <v>2006</v>
      </c>
      <c r="C406" s="4" t="str">
        <f aca="false">FLOOR(B406,10)&amp;"s"</f>
        <v>2000s</v>
      </c>
      <c r="D406" s="4" t="s">
        <v>2856</v>
      </c>
      <c r="E406" s="25" t="str">
        <f aca="false">IF(G406=1,"✓","")</f>
        <v/>
      </c>
      <c r="F406" s="4" t="n">
        <v>1</v>
      </c>
      <c r="G406" s="4" t="n">
        <f aca="false">IF(COUNTIF('Letterboxd Watched'!$E$2:$E$3000,M406)&gt;0,1,0)</f>
        <v>0</v>
      </c>
      <c r="H406" s="4" t="n">
        <v>2</v>
      </c>
      <c r="I406" s="4" t="s">
        <v>213</v>
      </c>
      <c r="J406" s="4" t="s">
        <v>52</v>
      </c>
      <c r="K406" s="4" t="s">
        <v>4160</v>
      </c>
      <c r="L406" s="48" t="str">
        <f aca="false">HYPERLINK("https://boxd.it/1alk","open")</f>
        <v>open</v>
      </c>
      <c r="M406" s="4" t="str">
        <f aca="false">LOWER(A406)&amp;"|"&amp;B406</f>
        <v>casino royale|2006</v>
      </c>
      <c r="N406" s="4" t="n">
        <v>0</v>
      </c>
      <c r="O406" s="4" t="n">
        <v>0</v>
      </c>
      <c r="P406" s="4" t="n">
        <v>0</v>
      </c>
      <c r="Q406" s="4" t="n">
        <v>1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</row>
    <row r="407" customFormat="false" ht="15" hidden="false" customHeight="false" outlineLevel="0" collapsed="false">
      <c r="A407" s="4" t="s">
        <v>2719</v>
      </c>
      <c r="B407" s="4" t="n">
        <v>2000</v>
      </c>
      <c r="C407" s="4" t="str">
        <f aca="false">FLOOR(B407,10)&amp;"s"</f>
        <v>2000s</v>
      </c>
      <c r="D407" s="4" t="s">
        <v>1070</v>
      </c>
      <c r="E407" s="25" t="str">
        <f aca="false">IF(G407=1,"✓","")</f>
        <v>✓</v>
      </c>
      <c r="F407" s="4" t="n">
        <v>1</v>
      </c>
      <c r="G407" s="4" t="n">
        <f aca="false">IF(COUNTIF('Letterboxd Watched'!$E$2:$E$3000,M407)&gt;0,1,0)</f>
        <v>1</v>
      </c>
      <c r="H407" s="4" t="n">
        <v>2</v>
      </c>
      <c r="I407" s="4" t="s">
        <v>213</v>
      </c>
      <c r="J407" s="4" t="s">
        <v>52</v>
      </c>
      <c r="K407" s="4" t="s">
        <v>4134</v>
      </c>
      <c r="L407" s="48" t="str">
        <f aca="false">HYPERLINK("https://boxd.it/20i8","open")</f>
        <v>open</v>
      </c>
      <c r="M407" s="4" t="str">
        <f aca="false">LOWER(A407)&amp;"|"&amp;B407</f>
        <v>cast away|2000</v>
      </c>
      <c r="N407" s="4" t="n">
        <v>0</v>
      </c>
      <c r="O407" s="4" t="n">
        <v>0</v>
      </c>
      <c r="P407" s="4" t="n">
        <v>0</v>
      </c>
      <c r="Q407" s="4" t="n">
        <v>1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</row>
    <row r="408" customFormat="false" ht="15" hidden="false" customHeight="false" outlineLevel="0" collapsed="false">
      <c r="A408" s="4" t="s">
        <v>2439</v>
      </c>
      <c r="B408" s="4" t="n">
        <v>1986</v>
      </c>
      <c r="C408" s="4" t="str">
        <f aca="false">FLOOR(B408,10)&amp;"s"</f>
        <v>1980s</v>
      </c>
      <c r="D408" s="4" t="s">
        <v>382</v>
      </c>
      <c r="E408" s="25" t="str">
        <f aca="false">IF(G408=1,"✓","")</f>
        <v/>
      </c>
      <c r="F408" s="4" t="n">
        <v>1</v>
      </c>
      <c r="G408" s="4" t="n">
        <f aca="false">IF(COUNTIF('Letterboxd Watched'!$E$2:$E$3000,M408)&gt;0,1,0)</f>
        <v>0</v>
      </c>
      <c r="H408" s="4" t="n">
        <v>2</v>
      </c>
      <c r="I408" s="4" t="s">
        <v>213</v>
      </c>
      <c r="J408" s="4" t="s">
        <v>53</v>
      </c>
      <c r="K408" s="4" t="s">
        <v>4248</v>
      </c>
      <c r="L408" s="48" t="str">
        <f aca="false">HYPERLINK("https://boxd.it/1W4G","open")</f>
        <v>open</v>
      </c>
      <c r="M408" s="4" t="str">
        <f aca="false">LOWER(A408)&amp;"|"&amp;B408</f>
        <v>castle in the sky|1986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</row>
    <row r="409" customFormat="false" ht="15" hidden="false" customHeight="false" outlineLevel="0" collapsed="false">
      <c r="A409" s="4" t="s">
        <v>2044</v>
      </c>
      <c r="B409" s="4" t="n">
        <v>1964</v>
      </c>
      <c r="C409" s="4" t="str">
        <f aca="false">FLOOR(B409,10)&amp;"s"</f>
        <v>1960s</v>
      </c>
      <c r="D409" s="4" t="s">
        <v>2045</v>
      </c>
      <c r="E409" s="25" t="str">
        <f aca="false">IF(G409=1,"✓","")</f>
        <v/>
      </c>
      <c r="F409" s="4" t="n">
        <v>1</v>
      </c>
      <c r="G409" s="4" t="n">
        <f aca="false">IF(COUNTIF('Letterboxd Watched'!$E$2:$E$3000,M409)&gt;0,1,0)</f>
        <v>0</v>
      </c>
      <c r="H409" s="4" t="n">
        <v>2</v>
      </c>
      <c r="I409" s="4" t="s">
        <v>213</v>
      </c>
      <c r="J409" s="4" t="s">
        <v>51</v>
      </c>
      <c r="K409" s="4" t="s">
        <v>3952</v>
      </c>
      <c r="L409" s="48" t="str">
        <f aca="false">HYPERLINK("https://letterboxd.com/search/films/Castle+of+Blood+1964/","open")</f>
        <v>open</v>
      </c>
      <c r="M409" s="4" t="str">
        <f aca="false">LOWER(A409)&amp;"|"&amp;B409</f>
        <v>castle of blood|1964</v>
      </c>
      <c r="N409" s="4" t="n">
        <v>0</v>
      </c>
      <c r="O409" s="4" t="n">
        <v>0</v>
      </c>
      <c r="P409" s="4" t="n">
        <v>1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</row>
    <row r="410" customFormat="false" ht="15" hidden="false" customHeight="false" outlineLevel="0" collapsed="false">
      <c r="A410" s="4" t="s">
        <v>3580</v>
      </c>
      <c r="B410" s="4" t="n">
        <v>1979</v>
      </c>
      <c r="C410" s="4" t="str">
        <f aca="false">FLOOR(B410,10)&amp;"s"</f>
        <v>1970s</v>
      </c>
      <c r="D410" s="4" t="s">
        <v>382</v>
      </c>
      <c r="E410" s="25" t="str">
        <f aca="false">IF(G410=1,"✓","")</f>
        <v/>
      </c>
      <c r="F410" s="4" t="n">
        <v>1</v>
      </c>
      <c r="G410" s="4" t="n">
        <f aca="false">IF(COUNTIF('Letterboxd Watched'!$E$2:$E$3000,M410)&gt;0,1,0)</f>
        <v>0</v>
      </c>
      <c r="H410" s="4" t="n">
        <v>1</v>
      </c>
      <c r="I410" s="4" t="s">
        <v>1327</v>
      </c>
      <c r="J410" s="4" t="s">
        <v>53</v>
      </c>
      <c r="K410" s="4" t="s">
        <v>4248</v>
      </c>
      <c r="L410" s="48" t="str">
        <f aca="false">HYPERLINK("https://letterboxd.com/search/films/The+Castle+of+Cagliostro+1979/","open")</f>
        <v>open</v>
      </c>
      <c r="M410" s="4" t="str">
        <f aca="false">LOWER(A410)&amp;"|"&amp;B410</f>
        <v>the castle of cagliostro|1979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</row>
    <row r="411" customFormat="false" ht="15" hidden="false" customHeight="false" outlineLevel="0" collapsed="false">
      <c r="A411" s="4" t="s">
        <v>1095</v>
      </c>
      <c r="B411" s="4" t="n">
        <v>1989</v>
      </c>
      <c r="C411" s="4" t="str">
        <f aca="false">FLOOR(B411,10)&amp;"s"</f>
        <v>1980s</v>
      </c>
      <c r="D411" s="4" t="s">
        <v>488</v>
      </c>
      <c r="E411" s="25" t="str">
        <f aca="false">IF(G411=1,"✓","")</f>
        <v/>
      </c>
      <c r="F411" s="4" t="n">
        <v>2</v>
      </c>
      <c r="G411" s="4" t="n">
        <f aca="false">IF(COUNTIF('Letterboxd Watched'!$E$2:$E$3000,M411)&gt;0,1,0)</f>
        <v>0</v>
      </c>
      <c r="H411" s="4" t="n">
        <v>4</v>
      </c>
      <c r="I411" s="4" t="s">
        <v>213</v>
      </c>
      <c r="J411" s="4" t="s">
        <v>52</v>
      </c>
      <c r="K411" s="4" t="s">
        <v>5287</v>
      </c>
      <c r="L411" s="48" t="str">
        <f aca="false">HYPERLINK("https://boxd.it/1WZ8","open")</f>
        <v>open</v>
      </c>
      <c r="M411" s="4" t="str">
        <f aca="false">LOWER(A411)&amp;"|"&amp;B411</f>
        <v>casualties of war|1989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1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 customFormat="false" ht="15" hidden="false" customHeight="false" outlineLevel="0" collapsed="false">
      <c r="A412" s="4" t="s">
        <v>1441</v>
      </c>
      <c r="B412" s="4" t="n">
        <v>1942</v>
      </c>
      <c r="C412" s="4" t="str">
        <f aca="false">FLOOR(B412,10)&amp;"s"</f>
        <v>1940s</v>
      </c>
      <c r="D412" s="4" t="s">
        <v>884</v>
      </c>
      <c r="E412" s="25" t="str">
        <f aca="false">IF(G412=1,"✓","")</f>
        <v/>
      </c>
      <c r="F412" s="4" t="n">
        <v>1</v>
      </c>
      <c r="G412" s="4" t="n">
        <f aca="false">IF(COUNTIF('Letterboxd Watched'!$E$2:$E$3000,M412)&gt;0,1,0)</f>
        <v>0</v>
      </c>
      <c r="H412" s="4" t="n">
        <v>3</v>
      </c>
      <c r="I412" s="4" t="s">
        <v>144</v>
      </c>
      <c r="J412" s="4" t="s">
        <v>52</v>
      </c>
      <c r="K412" s="4" t="s">
        <v>4060</v>
      </c>
      <c r="L412" s="48" t="str">
        <f aca="false">HYPERLINK("https://boxd.it/1vG4","open")</f>
        <v>open</v>
      </c>
      <c r="M412" s="4" t="str">
        <f aca="false">LOWER(A412)&amp;"|"&amp;B412</f>
        <v>cat people|1942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</row>
    <row r="413" customFormat="false" ht="15" hidden="false" customHeight="false" outlineLevel="0" collapsed="false">
      <c r="A413" s="4" t="s">
        <v>1009</v>
      </c>
      <c r="B413" s="4" t="n">
        <v>1970</v>
      </c>
      <c r="C413" s="4" t="str">
        <f aca="false">FLOOR(B413,10)&amp;"s"</f>
        <v>1970s</v>
      </c>
      <c r="D413" s="4" t="s">
        <v>357</v>
      </c>
      <c r="E413" s="25" t="str">
        <f aca="false">IF(G413=1,"✓","")</f>
        <v/>
      </c>
      <c r="F413" s="4" t="n">
        <v>2</v>
      </c>
      <c r="G413" s="4" t="n">
        <f aca="false">IF(COUNTIF('Letterboxd Watched'!$E$2:$E$3000,M413)&gt;0,1,0)</f>
        <v>0</v>
      </c>
      <c r="H413" s="4" t="n">
        <v>4</v>
      </c>
      <c r="I413" s="4" t="s">
        <v>213</v>
      </c>
      <c r="J413" s="4" t="s">
        <v>52</v>
      </c>
      <c r="K413" s="4" t="s">
        <v>5288</v>
      </c>
      <c r="L413" s="48" t="str">
        <f aca="false">HYPERLINK("https://boxd.it/1WrK","open")</f>
        <v>open</v>
      </c>
      <c r="M413" s="4" t="str">
        <f aca="false">LOWER(A413)&amp;"|"&amp;B413</f>
        <v>catch-22|1970</v>
      </c>
      <c r="N413" s="4" t="n">
        <v>0</v>
      </c>
      <c r="O413" s="4" t="n">
        <v>0</v>
      </c>
      <c r="P413" s="4" t="n">
        <v>0</v>
      </c>
      <c r="Q413" s="4" t="n">
        <v>1</v>
      </c>
      <c r="R413" s="4" t="n">
        <v>1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</row>
    <row r="414" customFormat="false" ht="15" hidden="false" customHeight="false" outlineLevel="0" collapsed="false">
      <c r="A414" s="4" t="s">
        <v>2776</v>
      </c>
      <c r="B414" s="4" t="n">
        <v>2002</v>
      </c>
      <c r="C414" s="4" t="str">
        <f aca="false">FLOOR(B414,10)&amp;"s"</f>
        <v>2000s</v>
      </c>
      <c r="D414" s="4" t="s">
        <v>183</v>
      </c>
      <c r="E414" s="25" t="str">
        <f aca="false">IF(G414=1,"✓","")</f>
        <v>✓</v>
      </c>
      <c r="F414" s="4" t="n">
        <v>1</v>
      </c>
      <c r="G414" s="4" t="n">
        <f aca="false">IF(COUNTIF('Letterboxd Watched'!$E$2:$E$3000,M414)&gt;0,1,0)</f>
        <v>1</v>
      </c>
      <c r="H414" s="4" t="n">
        <v>2</v>
      </c>
      <c r="I414" s="4" t="s">
        <v>213</v>
      </c>
      <c r="J414" s="4" t="s">
        <v>52</v>
      </c>
      <c r="K414" s="4" t="s">
        <v>4122</v>
      </c>
      <c r="L414" s="48" t="str">
        <f aca="false">HYPERLINK("https://boxd.it/29VS","open")</f>
        <v>open</v>
      </c>
      <c r="M414" s="4" t="str">
        <f aca="false">LOWER(A414)&amp;"|"&amp;B414</f>
        <v>catch me if you can|2002</v>
      </c>
      <c r="N414" s="4" t="n">
        <v>0</v>
      </c>
      <c r="O414" s="4" t="n">
        <v>0</v>
      </c>
      <c r="P414" s="4" t="n">
        <v>0</v>
      </c>
      <c r="Q414" s="4" t="n">
        <v>1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 customFormat="false" ht="15" hidden="false" customHeight="false" outlineLevel="0" collapsed="false">
      <c r="A415" s="4" t="s">
        <v>3436</v>
      </c>
      <c r="B415" s="4" t="n">
        <v>1966</v>
      </c>
      <c r="C415" s="4" t="str">
        <f aca="false">FLOOR(B415,10)&amp;"s"</f>
        <v>1960s</v>
      </c>
      <c r="D415" s="4" t="s">
        <v>359</v>
      </c>
      <c r="E415" s="25" t="str">
        <f aca="false">IF(G415=1,"✓","")</f>
        <v/>
      </c>
      <c r="F415" s="4" t="n">
        <v>1</v>
      </c>
      <c r="G415" s="4" t="n">
        <f aca="false">IF(COUNTIF('Letterboxd Watched'!$E$2:$E$3000,M415)&gt;0,1,0)</f>
        <v>0</v>
      </c>
      <c r="H415" s="4" t="n">
        <v>1</v>
      </c>
      <c r="I415" s="4" t="s">
        <v>1327</v>
      </c>
      <c r="J415" s="4" t="s">
        <v>51</v>
      </c>
      <c r="K415" s="4" t="s">
        <v>3980</v>
      </c>
      <c r="L415" s="48" t="str">
        <f aca="false">HYPERLINK("https://letterboxd.com/search/films/Cathy+Come+Home+1966/","open")</f>
        <v>open</v>
      </c>
      <c r="M415" s="4" t="str">
        <f aca="false">LOWER(A415)&amp;"|"&amp;B415</f>
        <v>cathy come home|1966</v>
      </c>
      <c r="N415" s="4" t="n">
        <v>0</v>
      </c>
      <c r="O415" s="4" t="n">
        <v>0</v>
      </c>
      <c r="P415" s="4" t="n">
        <v>1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 customFormat="false" ht="15" hidden="false" customHeight="false" outlineLevel="0" collapsed="false">
      <c r="A416" s="4" t="s">
        <v>2294</v>
      </c>
      <c r="B416" s="4" t="n">
        <v>1977</v>
      </c>
      <c r="C416" s="4" t="str">
        <f aca="false">FLOOR(B416,10)&amp;"s"</f>
        <v>1970s</v>
      </c>
      <c r="D416" s="4" t="s">
        <v>470</v>
      </c>
      <c r="E416" s="25" t="str">
        <f aca="false">IF(G416=1,"✓","")</f>
        <v/>
      </c>
      <c r="F416" s="4" t="n">
        <v>1</v>
      </c>
      <c r="G416" s="4" t="n">
        <f aca="false">IF(COUNTIF('Letterboxd Watched'!$E$2:$E$3000,M416)&gt;0,1,0)</f>
        <v>0</v>
      </c>
      <c r="H416" s="4" t="n">
        <v>2</v>
      </c>
      <c r="I416" s="4" t="s">
        <v>213</v>
      </c>
      <c r="J416" s="4" t="s">
        <v>51</v>
      </c>
      <c r="K416" s="4" t="s">
        <v>4036</v>
      </c>
      <c r="L416" s="48" t="str">
        <f aca="false">HYPERLINK("https://letterboxd.com/search/films/Ceddo+1977/","open")</f>
        <v>open</v>
      </c>
      <c r="M416" s="4" t="str">
        <f aca="false">LOWER(A416)&amp;"|"&amp;B416</f>
        <v>ceddo|1977</v>
      </c>
      <c r="N416" s="4" t="n">
        <v>0</v>
      </c>
      <c r="O416" s="4" t="n">
        <v>0</v>
      </c>
      <c r="P416" s="4" t="n">
        <v>1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</row>
    <row r="417" customFormat="false" ht="15" hidden="false" customHeight="false" outlineLevel="0" collapsed="false">
      <c r="A417" s="4" t="s">
        <v>842</v>
      </c>
      <c r="B417" s="4" t="n">
        <v>1998</v>
      </c>
      <c r="C417" s="4" t="str">
        <f aca="false">FLOOR(B417,10)&amp;"s"</f>
        <v>1990s</v>
      </c>
      <c r="D417" s="4" t="s">
        <v>843</v>
      </c>
      <c r="E417" s="25" t="str">
        <f aca="false">IF(G417=1,"✓","")</f>
        <v/>
      </c>
      <c r="F417" s="4" t="n">
        <v>2</v>
      </c>
      <c r="G417" s="4" t="n">
        <f aca="false">IF(COUNTIF('Letterboxd Watched'!$E$2:$E$3000,M417)&gt;0,1,0)</f>
        <v>0</v>
      </c>
      <c r="H417" s="4" t="n">
        <v>5</v>
      </c>
      <c r="I417" s="4" t="s">
        <v>144</v>
      </c>
      <c r="J417" s="4" t="s">
        <v>51</v>
      </c>
      <c r="K417" s="4" t="s">
        <v>5289</v>
      </c>
      <c r="L417" s="48" t="str">
        <f aca="false">HYPERLINK("https://boxd.it/2aCM","open")</f>
        <v>open</v>
      </c>
      <c r="M417" s="4" t="str">
        <f aca="false">LOWER(A417)&amp;"|"&amp;B417</f>
        <v>the celebration|1998</v>
      </c>
      <c r="N417" s="4" t="n">
        <v>0</v>
      </c>
      <c r="O417" s="4" t="n">
        <v>0</v>
      </c>
      <c r="P417" s="4" t="n">
        <v>1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1</v>
      </c>
      <c r="W417" s="4" t="n">
        <v>0</v>
      </c>
    </row>
    <row r="418" customFormat="false" ht="15" hidden="false" customHeight="false" outlineLevel="0" collapsed="false">
      <c r="A418" s="4" t="s">
        <v>3532</v>
      </c>
      <c r="B418" s="4" t="n">
        <v>1974</v>
      </c>
      <c r="C418" s="4" t="str">
        <f aca="false">FLOOR(B418,10)&amp;"s"</f>
        <v>1970s</v>
      </c>
      <c r="D418" s="4" t="s">
        <v>957</v>
      </c>
      <c r="E418" s="25" t="str">
        <f aca="false">IF(G418=1,"✓","")</f>
        <v/>
      </c>
      <c r="F418" s="4" t="n">
        <v>1</v>
      </c>
      <c r="G418" s="4" t="n">
        <f aca="false">IF(COUNTIF('Letterboxd Watched'!$E$2:$E$3000,M418)&gt;0,1,0)</f>
        <v>0</v>
      </c>
      <c r="H418" s="4" t="n">
        <v>1</v>
      </c>
      <c r="I418" s="4" t="s">
        <v>1327</v>
      </c>
      <c r="J418" s="4" t="s">
        <v>51</v>
      </c>
      <c r="K418" s="4" t="s">
        <v>3960</v>
      </c>
      <c r="L418" s="48" t="str">
        <f aca="false">HYPERLINK("https://boxd.it/1sGA","open")</f>
        <v>open</v>
      </c>
      <c r="M418" s="4" t="str">
        <f aca="false">LOWER(A418)&amp;"|"&amp;B418</f>
        <v>céline and julie go boating|1974</v>
      </c>
      <c r="N418" s="4" t="n">
        <v>0</v>
      </c>
      <c r="O418" s="4" t="n">
        <v>0</v>
      </c>
      <c r="P418" s="4" t="n">
        <v>1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</row>
    <row r="419" customFormat="false" ht="15" hidden="false" customHeight="false" outlineLevel="0" collapsed="false">
      <c r="A419" s="4" t="s">
        <v>2613</v>
      </c>
      <c r="B419" s="4" t="n">
        <v>1995</v>
      </c>
      <c r="C419" s="4" t="str">
        <f aca="false">FLOOR(B419,10)&amp;"s"</f>
        <v>1990s</v>
      </c>
      <c r="D419" s="4" t="s">
        <v>2614</v>
      </c>
      <c r="E419" s="25" t="str">
        <f aca="false">IF(G419=1,"✓","")</f>
        <v/>
      </c>
      <c r="F419" s="4" t="n">
        <v>1</v>
      </c>
      <c r="G419" s="4" t="n">
        <f aca="false">IF(COUNTIF('Letterboxd Watched'!$E$2:$E$3000,M419)&gt;0,1,0)</f>
        <v>0</v>
      </c>
      <c r="H419" s="4" t="n">
        <v>2</v>
      </c>
      <c r="I419" s="4" t="s">
        <v>213</v>
      </c>
      <c r="J419" s="4" t="s">
        <v>54</v>
      </c>
      <c r="K419" s="4" t="s">
        <v>4296</v>
      </c>
      <c r="L419" s="48" t="str">
        <f aca="false">HYPERLINK("https://boxd.it/1gWw","open")</f>
        <v>open</v>
      </c>
      <c r="M419" s="4" t="str">
        <f aca="false">LOWER(A419)&amp;"|"&amp;B419</f>
        <v>the celluloid closet|1995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1</v>
      </c>
      <c r="T419" s="4" t="n">
        <v>0</v>
      </c>
      <c r="U419" s="4" t="n">
        <v>0</v>
      </c>
      <c r="V419" s="4" t="n">
        <v>0</v>
      </c>
      <c r="W419" s="4" t="n">
        <v>0</v>
      </c>
    </row>
    <row r="420" customFormat="false" ht="15" hidden="false" customHeight="false" outlineLevel="0" collapsed="false">
      <c r="A420" s="4" t="s">
        <v>1653</v>
      </c>
      <c r="B420" s="4" t="n">
        <v>1994</v>
      </c>
      <c r="C420" s="4" t="str">
        <f aca="false">FLOOR(B420,10)&amp;"s"</f>
        <v>1990s</v>
      </c>
      <c r="D420" s="4" t="s">
        <v>1654</v>
      </c>
      <c r="E420" s="25" t="str">
        <f aca="false">IF(G420=1,"✓","")</f>
        <v/>
      </c>
      <c r="F420" s="4" t="n">
        <v>2</v>
      </c>
      <c r="G420" s="4" t="n">
        <f aca="false">IF(COUNTIF('Letterboxd Watched'!$E$2:$E$3000,M420)&gt;0,1,0)</f>
        <v>0</v>
      </c>
      <c r="H420" s="4" t="n">
        <v>2</v>
      </c>
      <c r="I420" s="4" t="s">
        <v>1327</v>
      </c>
      <c r="J420" s="4" t="s">
        <v>51</v>
      </c>
      <c r="K420" s="4" t="s">
        <v>5240</v>
      </c>
      <c r="L420" s="48" t="str">
        <f aca="false">HYPERLINK("https://boxd.it/1BES","open")</f>
        <v>open</v>
      </c>
      <c r="M420" s="4" t="str">
        <f aca="false">LOWER(A420)&amp;"|"&amp;B420</f>
        <v>cemetery man|1994</v>
      </c>
      <c r="N420" s="4" t="n">
        <v>0</v>
      </c>
      <c r="O420" s="4" t="n">
        <v>0</v>
      </c>
      <c r="P420" s="4" t="n">
        <v>1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1</v>
      </c>
      <c r="W420" s="4" t="n">
        <v>0</v>
      </c>
    </row>
    <row r="421" customFormat="false" ht="15" hidden="false" customHeight="false" outlineLevel="0" collapsed="false">
      <c r="A421" s="4" t="s">
        <v>3081</v>
      </c>
      <c r="B421" s="4" t="n">
        <v>2015</v>
      </c>
      <c r="C421" s="4" t="str">
        <f aca="false">FLOOR(B421,10)&amp;"s"</f>
        <v>2010s</v>
      </c>
      <c r="D421" s="4" t="s">
        <v>444</v>
      </c>
      <c r="E421" s="25" t="str">
        <f aca="false">IF(G421=1,"✓","")</f>
        <v/>
      </c>
      <c r="F421" s="4" t="n">
        <v>1</v>
      </c>
      <c r="G421" s="4" t="n">
        <f aca="false">IF(COUNTIF('Letterboxd Watched'!$E$2:$E$3000,M421)&gt;0,1,0)</f>
        <v>0</v>
      </c>
      <c r="H421" s="4" t="n">
        <v>2</v>
      </c>
      <c r="I421" s="4" t="s">
        <v>213</v>
      </c>
      <c r="J421" s="4" t="s">
        <v>53</v>
      </c>
      <c r="K421" s="4" t="s">
        <v>4258</v>
      </c>
      <c r="L421" s="48" t="str">
        <f aca="false">HYPERLINK("https://boxd.it/9tIo","open")</f>
        <v>open</v>
      </c>
      <c r="M421" s="4" t="str">
        <f aca="false">LOWER(A421)&amp;"|"&amp;B421</f>
        <v>cemetery of splendor|2015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</row>
    <row r="422" customFormat="false" ht="15" hidden="false" customHeight="false" outlineLevel="0" collapsed="false">
      <c r="A422" s="4" t="s">
        <v>2524</v>
      </c>
      <c r="B422" s="4" t="n">
        <v>1991</v>
      </c>
      <c r="C422" s="4" t="str">
        <f aca="false">FLOOR(B422,10)&amp;"s"</f>
        <v>1990s</v>
      </c>
      <c r="D422" s="4" t="s">
        <v>2447</v>
      </c>
      <c r="E422" s="25" t="str">
        <f aca="false">IF(G422=1,"✓","")</f>
        <v/>
      </c>
      <c r="F422" s="4" t="n">
        <v>1</v>
      </c>
      <c r="G422" s="4" t="n">
        <f aca="false">IF(COUNTIF('Letterboxd Watched'!$E$2:$E$3000,M422)&gt;0,1,0)</f>
        <v>0</v>
      </c>
      <c r="H422" s="4" t="n">
        <v>2</v>
      </c>
      <c r="I422" s="4" t="s">
        <v>213</v>
      </c>
      <c r="J422" s="4" t="s">
        <v>51</v>
      </c>
      <c r="K422" s="4" t="s">
        <v>4016</v>
      </c>
      <c r="L422" s="48" t="str">
        <f aca="false">HYPERLINK("https://letterboxd.com/search/films/Center+Stage+1991/","open")</f>
        <v>open</v>
      </c>
      <c r="M422" s="4" t="str">
        <f aca="false">LOWER(A422)&amp;"|"&amp;B422</f>
        <v>center stage|1991</v>
      </c>
      <c r="N422" s="4" t="n">
        <v>0</v>
      </c>
      <c r="O422" s="4" t="n">
        <v>0</v>
      </c>
      <c r="P422" s="4" t="n">
        <v>1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</row>
    <row r="423" customFormat="false" ht="15" hidden="false" customHeight="false" outlineLevel="0" collapsed="false">
      <c r="A423" s="4" t="s">
        <v>386</v>
      </c>
      <c r="B423" s="4" t="n">
        <v>1970</v>
      </c>
      <c r="C423" s="4" t="str">
        <f aca="false">FLOOR(B423,10)&amp;"s"</f>
        <v>1970s</v>
      </c>
      <c r="D423" s="4" t="s">
        <v>290</v>
      </c>
      <c r="E423" s="25" t="str">
        <f aca="false">IF(G423=1,"✓","")</f>
        <v/>
      </c>
      <c r="F423" s="4" t="n">
        <v>4</v>
      </c>
      <c r="G423" s="4" t="n">
        <f aca="false">IF(COUNTIF('Letterboxd Watched'!$E$2:$E$3000,M423)&gt;0,1,0)</f>
        <v>0</v>
      </c>
      <c r="H423" s="4" t="n">
        <v>8</v>
      </c>
      <c r="I423" s="4" t="s">
        <v>213</v>
      </c>
      <c r="J423" s="4" t="s">
        <v>51</v>
      </c>
      <c r="K423" s="4" t="s">
        <v>5290</v>
      </c>
      <c r="L423" s="48" t="str">
        <f aca="false">HYPERLINK("https://boxd.it/1Tjy","open")</f>
        <v>open</v>
      </c>
      <c r="M423" s="4" t="str">
        <f aca="false">LOWER(A423)&amp;"|"&amp;B423</f>
        <v>le cercle rouge|1970</v>
      </c>
      <c r="N423" s="4" t="n">
        <v>0</v>
      </c>
      <c r="O423" s="4" t="n">
        <v>0</v>
      </c>
      <c r="P423" s="4" t="n">
        <v>1</v>
      </c>
      <c r="Q423" s="4" t="n">
        <v>1</v>
      </c>
      <c r="R423" s="4" t="n">
        <v>1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1</v>
      </c>
    </row>
    <row r="424" customFormat="false" ht="15" hidden="false" customHeight="false" outlineLevel="0" collapsed="false">
      <c r="A424" s="4" t="s">
        <v>3108</v>
      </c>
      <c r="B424" s="4" t="n">
        <v>2016</v>
      </c>
      <c r="C424" s="4" t="str">
        <f aca="false">FLOOR(B424,10)&amp;"s"</f>
        <v>2010s</v>
      </c>
      <c r="D424" s="4" t="s">
        <v>867</v>
      </c>
      <c r="E424" s="25" t="str">
        <f aca="false">IF(G424=1,"✓","")</f>
        <v/>
      </c>
      <c r="F424" s="4" t="n">
        <v>1</v>
      </c>
      <c r="G424" s="4" t="n">
        <f aca="false">IF(COUNTIF('Letterboxd Watched'!$E$2:$E$3000,M424)&gt;0,1,0)</f>
        <v>0</v>
      </c>
      <c r="H424" s="4" t="n">
        <v>2</v>
      </c>
      <c r="I424" s="4" t="s">
        <v>213</v>
      </c>
      <c r="J424" s="4" t="s">
        <v>53</v>
      </c>
      <c r="K424" s="4" t="s">
        <v>4219</v>
      </c>
      <c r="L424" s="48" t="str">
        <f aca="false">HYPERLINK("https://boxd.it/bk7W","open")</f>
        <v>open</v>
      </c>
      <c r="M424" s="4" t="str">
        <f aca="false">LOWER(A424)&amp;"|"&amp;B424</f>
        <v>certain women|2016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</row>
    <row r="425" customFormat="false" ht="15" hidden="false" customHeight="false" outlineLevel="0" collapsed="false">
      <c r="A425" s="4" t="s">
        <v>639</v>
      </c>
      <c r="B425" s="4" t="n">
        <v>2010</v>
      </c>
      <c r="C425" s="4" t="str">
        <f aca="false">FLOOR(B425,10)&amp;"s"</f>
        <v>2010s</v>
      </c>
      <c r="D425" s="4" t="s">
        <v>203</v>
      </c>
      <c r="E425" s="25" t="str">
        <f aca="false">IF(G425=1,"✓","")</f>
        <v/>
      </c>
      <c r="F425" s="4" t="n">
        <v>3</v>
      </c>
      <c r="G425" s="4" t="n">
        <f aca="false">IF(COUNTIF('Letterboxd Watched'!$E$2:$E$3000,M425)&gt;0,1,0)</f>
        <v>0</v>
      </c>
      <c r="H425" s="4" t="n">
        <v>6</v>
      </c>
      <c r="I425" s="4" t="s">
        <v>213</v>
      </c>
      <c r="J425" s="4" t="s">
        <v>52</v>
      </c>
      <c r="K425" s="4" t="s">
        <v>5291</v>
      </c>
      <c r="L425" s="48" t="str">
        <f aca="false">HYPERLINK("https://boxd.it/IMW","open")</f>
        <v>open</v>
      </c>
      <c r="M425" s="4" t="str">
        <f aca="false">LOWER(A425)&amp;"|"&amp;B425</f>
        <v>certified copy|2010</v>
      </c>
      <c r="N425" s="4" t="n">
        <v>0</v>
      </c>
      <c r="O425" s="4" t="n">
        <v>0</v>
      </c>
      <c r="P425" s="4" t="n">
        <v>0</v>
      </c>
      <c r="Q425" s="4" t="n">
        <v>1</v>
      </c>
      <c r="R425" s="4" t="n">
        <v>1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1</v>
      </c>
    </row>
    <row r="426" customFormat="false" ht="15" hidden="false" customHeight="false" outlineLevel="0" collapsed="false">
      <c r="A426" s="4" t="s">
        <v>3867</v>
      </c>
      <c r="B426" s="4" t="n">
        <v>2024</v>
      </c>
      <c r="C426" s="4" t="str">
        <f aca="false">FLOOR(B426,10)&amp;"s"</f>
        <v>2020s</v>
      </c>
      <c r="D426" s="4" t="s">
        <v>3115</v>
      </c>
      <c r="E426" s="25" t="str">
        <f aca="false">IF(G426=1,"✓","")</f>
        <v/>
      </c>
      <c r="F426" s="4" t="n">
        <v>1</v>
      </c>
      <c r="G426" s="4" t="n">
        <f aca="false">IF(COUNTIF('Letterboxd Watched'!$E$2:$E$3000,M426)&gt;0,1,0)</f>
        <v>0</v>
      </c>
      <c r="H426" s="4" t="n">
        <v>1</v>
      </c>
      <c r="I426" s="4" t="s">
        <v>1327</v>
      </c>
      <c r="J426" s="4" t="s">
        <v>55</v>
      </c>
      <c r="K426" s="4" t="s">
        <v>4364</v>
      </c>
      <c r="L426" s="48" t="str">
        <f aca="false">HYPERLINK("https://boxd.it/zld0","open")</f>
        <v>open</v>
      </c>
      <c r="M426" s="4" t="str">
        <f aca="false">LOWER(A426)&amp;"|"&amp;B426</f>
        <v>challengers|2024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1</v>
      </c>
      <c r="U426" s="4" t="n">
        <v>0</v>
      </c>
      <c r="V426" s="4" t="n">
        <v>0</v>
      </c>
      <c r="W426" s="4" t="n">
        <v>0</v>
      </c>
    </row>
    <row r="427" customFormat="false" ht="15" hidden="false" customHeight="false" outlineLevel="0" collapsed="false">
      <c r="A427" s="4" t="s">
        <v>3653</v>
      </c>
      <c r="B427" s="4" t="n">
        <v>1989</v>
      </c>
      <c r="C427" s="4" t="str">
        <f aca="false">FLOOR(B427,10)&amp;"s"</f>
        <v>1980s</v>
      </c>
      <c r="D427" s="4" t="s">
        <v>3654</v>
      </c>
      <c r="E427" s="25" t="str">
        <f aca="false">IF(G427=1,"✓","")</f>
        <v/>
      </c>
      <c r="F427" s="4" t="n">
        <v>1</v>
      </c>
      <c r="G427" s="4" t="n">
        <f aca="false">IF(COUNTIF('Letterboxd Watched'!$E$2:$E$3000,M427)&gt;0,1,0)</f>
        <v>0</v>
      </c>
      <c r="H427" s="4" t="n">
        <v>1</v>
      </c>
      <c r="I427" s="4" t="s">
        <v>1327</v>
      </c>
      <c r="J427" s="4" t="s">
        <v>54</v>
      </c>
      <c r="K427" s="4" t="s">
        <v>4290</v>
      </c>
      <c r="L427" s="48" t="str">
        <f aca="false">HYPERLINK("https://letterboxd.com/search/films/Chameleon+Street+1989/","open")</f>
        <v>open</v>
      </c>
      <c r="M427" s="4" t="str">
        <f aca="false">LOWER(A427)&amp;"|"&amp;B427</f>
        <v>chameleon street|1989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1</v>
      </c>
      <c r="T427" s="4" t="n">
        <v>0</v>
      </c>
      <c r="U427" s="4" t="n">
        <v>0</v>
      </c>
      <c r="V427" s="4" t="n">
        <v>0</v>
      </c>
      <c r="W427" s="4" t="n">
        <v>0</v>
      </c>
    </row>
    <row r="428" customFormat="false" ht="15" hidden="false" customHeight="false" outlineLevel="0" collapsed="false">
      <c r="A428" s="4" t="s">
        <v>3611</v>
      </c>
      <c r="B428" s="4" t="n">
        <v>1982</v>
      </c>
      <c r="C428" s="4" t="str">
        <f aca="false">FLOOR(B428,10)&amp;"s"</f>
        <v>1980s</v>
      </c>
      <c r="D428" s="4" t="s">
        <v>3612</v>
      </c>
      <c r="E428" s="25" t="str">
        <f aca="false">IF(G428=1,"✓","")</f>
        <v/>
      </c>
      <c r="F428" s="4" t="n">
        <v>1</v>
      </c>
      <c r="G428" s="4" t="n">
        <f aca="false">IF(COUNTIF('Letterboxd Watched'!$E$2:$E$3000,M428)&gt;0,1,0)</f>
        <v>0</v>
      </c>
      <c r="H428" s="4" t="n">
        <v>1</v>
      </c>
      <c r="I428" s="4" t="s">
        <v>1327</v>
      </c>
      <c r="J428" s="4" t="s">
        <v>55</v>
      </c>
      <c r="K428" s="4" t="s">
        <v>4360</v>
      </c>
      <c r="L428" s="48" t="str">
        <f aca="false">HYPERLINK("https://boxd.it/1OpG","open")</f>
        <v>open</v>
      </c>
      <c r="M428" s="4" t="str">
        <f aca="false">LOWER(A428)&amp;"|"&amp;B428</f>
        <v>chan is missing|1982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1</v>
      </c>
      <c r="U428" s="4" t="n">
        <v>0</v>
      </c>
      <c r="V428" s="4" t="n">
        <v>0</v>
      </c>
      <c r="W428" s="4" t="n">
        <v>0</v>
      </c>
    </row>
    <row r="429" customFormat="false" ht="15" hidden="false" customHeight="false" outlineLevel="0" collapsed="false">
      <c r="A429" s="4" t="s">
        <v>1053</v>
      </c>
      <c r="B429" s="4" t="n">
        <v>1980</v>
      </c>
      <c r="C429" s="4" t="str">
        <f aca="false">FLOOR(B429,10)&amp;"s"</f>
        <v>1980s</v>
      </c>
      <c r="D429" s="4" t="s">
        <v>1054</v>
      </c>
      <c r="E429" s="25" t="str">
        <f aca="false">IF(G429=1,"✓","")</f>
        <v/>
      </c>
      <c r="F429" s="4" t="n">
        <v>2</v>
      </c>
      <c r="G429" s="4" t="n">
        <f aca="false">IF(COUNTIF('Letterboxd Watched'!$E$2:$E$3000,M429)&gt;0,1,0)</f>
        <v>0</v>
      </c>
      <c r="H429" s="4" t="n">
        <v>4</v>
      </c>
      <c r="I429" s="4" t="s">
        <v>213</v>
      </c>
      <c r="J429" s="4" t="s">
        <v>52</v>
      </c>
      <c r="K429" s="4" t="s">
        <v>5292</v>
      </c>
      <c r="L429" s="48" t="str">
        <f aca="false">HYPERLINK("https://boxd.it/1PVy","open")</f>
        <v>open</v>
      </c>
      <c r="M429" s="4" t="str">
        <f aca="false">LOWER(A429)&amp;"|"&amp;B429</f>
        <v>the changeling|1980</v>
      </c>
      <c r="N429" s="4" t="n">
        <v>0</v>
      </c>
      <c r="O429" s="4" t="n">
        <v>0</v>
      </c>
      <c r="P429" s="4" t="n">
        <v>0</v>
      </c>
      <c r="Q429" s="4" t="n">
        <v>1</v>
      </c>
      <c r="R429" s="4" t="n">
        <v>0</v>
      </c>
      <c r="S429" s="4" t="n">
        <v>0</v>
      </c>
      <c r="T429" s="4" t="n">
        <v>0</v>
      </c>
      <c r="U429" s="4" t="n">
        <v>1</v>
      </c>
      <c r="V429" s="4" t="n">
        <v>0</v>
      </c>
      <c r="W429" s="4" t="n">
        <v>0</v>
      </c>
    </row>
    <row r="430" customFormat="false" ht="15" hidden="false" customHeight="false" outlineLevel="0" collapsed="false">
      <c r="A430" s="4" t="s">
        <v>2307</v>
      </c>
      <c r="B430" s="4" t="n">
        <v>1978</v>
      </c>
      <c r="C430" s="4" t="str">
        <f aca="false">FLOOR(B430,10)&amp;"s"</f>
        <v>1970s</v>
      </c>
      <c r="D430" s="4" t="s">
        <v>2308</v>
      </c>
      <c r="E430" s="25" t="str">
        <f aca="false">IF(G430=1,"✓","")</f>
        <v/>
      </c>
      <c r="F430" s="4" t="n">
        <v>1</v>
      </c>
      <c r="G430" s="4" t="n">
        <f aca="false">IF(COUNTIF('Letterboxd Watched'!$E$2:$E$3000,M430)&gt;0,1,0)</f>
        <v>0</v>
      </c>
      <c r="H430" s="4" t="n">
        <v>2</v>
      </c>
      <c r="I430" s="4" t="s">
        <v>213</v>
      </c>
      <c r="J430" s="4" t="s">
        <v>51</v>
      </c>
      <c r="K430" s="4" t="s">
        <v>4038</v>
      </c>
      <c r="L430" s="48" t="str">
        <f aca="false">HYPERLINK("https://boxd.it/2bJY","open")</f>
        <v>open</v>
      </c>
      <c r="M430" s="4" t="str">
        <f aca="false">LOWER(A430)&amp;"|"&amp;B430</f>
        <v>the chant of jimmie blacksmith|1978</v>
      </c>
      <c r="N430" s="4" t="n">
        <v>0</v>
      </c>
      <c r="O430" s="4" t="n">
        <v>0</v>
      </c>
      <c r="P430" s="4" t="n">
        <v>1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</row>
    <row r="431" customFormat="false" ht="15" hidden="false" customHeight="false" outlineLevel="0" collapsed="false">
      <c r="A431" s="4" t="s">
        <v>968</v>
      </c>
      <c r="B431" s="4" t="n">
        <v>1963</v>
      </c>
      <c r="C431" s="4" t="str">
        <f aca="false">FLOOR(B431,10)&amp;"s"</f>
        <v>1960s</v>
      </c>
      <c r="D431" s="4" t="s">
        <v>969</v>
      </c>
      <c r="E431" s="25" t="str">
        <f aca="false">IF(G431=1,"✓","")</f>
        <v/>
      </c>
      <c r="F431" s="4" t="n">
        <v>2</v>
      </c>
      <c r="G431" s="4" t="n">
        <f aca="false">IF(COUNTIF('Letterboxd Watched'!$E$2:$E$3000,M431)&gt;0,1,0)</f>
        <v>0</v>
      </c>
      <c r="H431" s="4" t="n">
        <v>4</v>
      </c>
      <c r="I431" s="4" t="s">
        <v>213</v>
      </c>
      <c r="J431" s="4" t="s">
        <v>52</v>
      </c>
      <c r="K431" s="4" t="s">
        <v>5293</v>
      </c>
      <c r="L431" s="48" t="str">
        <f aca="false">HYPERLINK("https://boxd.it/23O2","open")</f>
        <v>open</v>
      </c>
      <c r="M431" s="4" t="str">
        <f aca="false">LOWER(A431)&amp;"|"&amp;B431</f>
        <v>charade|1963</v>
      </c>
      <c r="N431" s="4" t="n">
        <v>0</v>
      </c>
      <c r="O431" s="4" t="n">
        <v>0</v>
      </c>
      <c r="P431" s="4" t="n">
        <v>0</v>
      </c>
      <c r="Q431" s="4" t="n">
        <v>1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1</v>
      </c>
    </row>
    <row r="432" customFormat="false" ht="15" hidden="false" customHeight="false" outlineLevel="0" collapsed="false">
      <c r="A432" s="4" t="s">
        <v>3516</v>
      </c>
      <c r="B432" s="4" t="n">
        <v>1973</v>
      </c>
      <c r="C432" s="4" t="str">
        <f aca="false">FLOOR(B432,10)&amp;"s"</f>
        <v>1970s</v>
      </c>
      <c r="D432" s="4" t="s">
        <v>409</v>
      </c>
      <c r="E432" s="25" t="str">
        <f aca="false">IF(G432=1,"✓","")</f>
        <v/>
      </c>
      <c r="F432" s="4" t="n">
        <v>1</v>
      </c>
      <c r="G432" s="4" t="n">
        <f aca="false">IF(COUNTIF('Letterboxd Watched'!$E$2:$E$3000,M432)&gt;0,1,0)</f>
        <v>0</v>
      </c>
      <c r="H432" s="4" t="n">
        <v>1</v>
      </c>
      <c r="I432" s="4" t="s">
        <v>1327</v>
      </c>
      <c r="J432" s="4" t="s">
        <v>52</v>
      </c>
      <c r="K432" s="4" t="s">
        <v>4118</v>
      </c>
      <c r="L432" s="48" t="str">
        <f aca="false">HYPERLINK("https://boxd.it/1s2q","open")</f>
        <v>open</v>
      </c>
      <c r="M432" s="4" t="str">
        <f aca="false">LOWER(A432)&amp;"|"&amp;B432</f>
        <v>charley varrick|1973</v>
      </c>
      <c r="N432" s="4" t="n">
        <v>0</v>
      </c>
      <c r="O432" s="4" t="n">
        <v>0</v>
      </c>
      <c r="P432" s="4" t="n">
        <v>0</v>
      </c>
      <c r="Q432" s="4" t="n">
        <v>1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</row>
    <row r="433" customFormat="false" ht="15" hidden="false" customHeight="false" outlineLevel="0" collapsed="false">
      <c r="A433" s="4" t="s">
        <v>769</v>
      </c>
      <c r="B433" s="4" t="n">
        <v>1964</v>
      </c>
      <c r="C433" s="4" t="str">
        <f aca="false">FLOOR(B433,10)&amp;"s"</f>
        <v>1960s</v>
      </c>
      <c r="D433" s="4" t="s">
        <v>253</v>
      </c>
      <c r="E433" s="25" t="str">
        <f aca="false">IF(G433=1,"✓","")</f>
        <v/>
      </c>
      <c r="F433" s="4" t="n">
        <v>2</v>
      </c>
      <c r="G433" s="4" t="n">
        <f aca="false">IF(COUNTIF('Letterboxd Watched'!$E$2:$E$3000,M433)&gt;0,1,0)</f>
        <v>0</v>
      </c>
      <c r="H433" s="4" t="n">
        <v>5</v>
      </c>
      <c r="I433" s="4" t="s">
        <v>144</v>
      </c>
      <c r="J433" s="4" t="s">
        <v>51</v>
      </c>
      <c r="K433" s="4" t="s">
        <v>5188</v>
      </c>
      <c r="L433" s="48" t="str">
        <f aca="false">HYPERLINK("https://boxd.it/1bVy","open")</f>
        <v>open</v>
      </c>
      <c r="M433" s="4" t="str">
        <f aca="false">LOWER(A433)&amp;"|"&amp;B433</f>
        <v>charulata|1964</v>
      </c>
      <c r="N433" s="4" t="n">
        <v>0</v>
      </c>
      <c r="O433" s="4" t="n">
        <v>0</v>
      </c>
      <c r="P433" s="4" t="n">
        <v>1</v>
      </c>
      <c r="Q433" s="4" t="n">
        <v>0</v>
      </c>
      <c r="R433" s="4" t="n">
        <v>1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</row>
    <row r="434" customFormat="false" ht="15" hidden="false" customHeight="false" outlineLevel="0" collapsed="false">
      <c r="A434" s="4" t="s">
        <v>860</v>
      </c>
      <c r="B434" s="4" t="n">
        <v>2008</v>
      </c>
      <c r="C434" s="4" t="str">
        <f aca="false">FLOOR(B434,10)&amp;"s"</f>
        <v>2000s</v>
      </c>
      <c r="D434" s="4" t="s">
        <v>861</v>
      </c>
      <c r="E434" s="25" t="str">
        <f aca="false">IF(G434=1,"✓","")</f>
        <v/>
      </c>
      <c r="F434" s="4" t="n">
        <v>2</v>
      </c>
      <c r="G434" s="4" t="n">
        <f aca="false">IF(COUNTIF('Letterboxd Watched'!$E$2:$E$3000,M434)&gt;0,1,0)</f>
        <v>0</v>
      </c>
      <c r="H434" s="4" t="n">
        <v>5</v>
      </c>
      <c r="I434" s="4" t="s">
        <v>144</v>
      </c>
      <c r="J434" s="4" t="s">
        <v>51</v>
      </c>
      <c r="K434" s="4" t="s">
        <v>5294</v>
      </c>
      <c r="L434" s="48" t="str">
        <f aca="false">HYPERLINK("https://letterboxd.com/search/films/The+Chaser+2008/","open")</f>
        <v>open</v>
      </c>
      <c r="M434" s="4" t="str">
        <f aca="false">LOWER(A434)&amp;"|"&amp;B434</f>
        <v>the chaser|2008</v>
      </c>
      <c r="N434" s="4" t="n">
        <v>0</v>
      </c>
      <c r="O434" s="4" t="n">
        <v>0</v>
      </c>
      <c r="P434" s="4" t="n">
        <v>1</v>
      </c>
      <c r="Q434" s="4" t="n">
        <v>1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</row>
    <row r="435" customFormat="false" ht="15" hidden="false" customHeight="false" outlineLevel="0" collapsed="false">
      <c r="A435" s="4" t="s">
        <v>2907</v>
      </c>
      <c r="B435" s="4" t="n">
        <v>2008</v>
      </c>
      <c r="C435" s="4" t="str">
        <f aca="false">FLOOR(B435,10)&amp;"s"</f>
        <v>2000s</v>
      </c>
      <c r="D435" s="4" t="s">
        <v>490</v>
      </c>
      <c r="E435" s="25" t="str">
        <f aca="false">IF(G435=1,"✓","")</f>
        <v/>
      </c>
      <c r="F435" s="4" t="n">
        <v>1</v>
      </c>
      <c r="G435" s="4" t="n">
        <f aca="false">IF(COUNTIF('Letterboxd Watched'!$E$2:$E$3000,M435)&gt;0,1,0)</f>
        <v>0</v>
      </c>
      <c r="H435" s="4" t="n">
        <v>2</v>
      </c>
      <c r="I435" s="4" t="s">
        <v>213</v>
      </c>
      <c r="J435" s="4" t="s">
        <v>53</v>
      </c>
      <c r="K435" s="4" t="s">
        <v>490</v>
      </c>
      <c r="L435" s="48" t="str">
        <f aca="false">HYPERLINK("https://letterboxd.com/search/films/Che+2008/","open")</f>
        <v>open</v>
      </c>
      <c r="M435" s="4" t="str">
        <f aca="false">LOWER(A435)&amp;"|"&amp;B435</f>
        <v>che|2008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</row>
    <row r="436" customFormat="false" ht="15" hidden="false" customHeight="false" outlineLevel="0" collapsed="false">
      <c r="A436" s="4" t="s">
        <v>1221</v>
      </c>
      <c r="B436" s="4" t="n">
        <v>2014</v>
      </c>
      <c r="C436" s="4" t="str">
        <f aca="false">FLOOR(B436,10)&amp;"s"</f>
        <v>2010s</v>
      </c>
      <c r="D436" s="4" t="s">
        <v>1222</v>
      </c>
      <c r="E436" s="25" t="str">
        <f aca="false">IF(G436=1,"✓","")</f>
        <v>✓</v>
      </c>
      <c r="F436" s="4" t="n">
        <v>2</v>
      </c>
      <c r="G436" s="4" t="n">
        <f aca="false">IF(COUNTIF('Letterboxd Watched'!$E$2:$E$3000,M436)&gt;0,1,0)</f>
        <v>1</v>
      </c>
      <c r="H436" s="4" t="n">
        <v>4</v>
      </c>
      <c r="I436" s="4" t="s">
        <v>213</v>
      </c>
      <c r="J436" s="4" t="s">
        <v>55</v>
      </c>
      <c r="K436" s="4" t="s">
        <v>5295</v>
      </c>
      <c r="L436" s="48" t="str">
        <f aca="false">HYPERLINK("https://boxd.it/6lCG","open")</f>
        <v>open</v>
      </c>
      <c r="M436" s="4" t="str">
        <f aca="false">LOWER(A436)&amp;"|"&amp;B436</f>
        <v>chef|2014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1</v>
      </c>
      <c r="U436" s="4" t="n">
        <v>1</v>
      </c>
      <c r="V436" s="4" t="n">
        <v>0</v>
      </c>
      <c r="W436" s="4" t="n">
        <v>0</v>
      </c>
    </row>
    <row r="437" customFormat="false" ht="15" hidden="false" customHeight="false" outlineLevel="0" collapsed="false">
      <c r="A437" s="4" t="s">
        <v>2082</v>
      </c>
      <c r="B437" s="4" t="n">
        <v>1966</v>
      </c>
      <c r="C437" s="4" t="str">
        <f aca="false">FLOOR(B437,10)&amp;"s"</f>
        <v>1960s</v>
      </c>
      <c r="D437" s="4" t="s">
        <v>2083</v>
      </c>
      <c r="E437" s="25" t="str">
        <f aca="false">IF(G437=1,"✓","")</f>
        <v/>
      </c>
      <c r="F437" s="4" t="n">
        <v>1</v>
      </c>
      <c r="G437" s="4" t="n">
        <f aca="false">IF(COUNTIF('Letterboxd Watched'!$E$2:$E$3000,M437)&gt;0,1,0)</f>
        <v>0</v>
      </c>
      <c r="H437" s="4" t="n">
        <v>2</v>
      </c>
      <c r="I437" s="4" t="s">
        <v>213</v>
      </c>
      <c r="J437" s="4" t="s">
        <v>52</v>
      </c>
      <c r="K437" s="4" t="s">
        <v>4182</v>
      </c>
      <c r="L437" s="48" t="str">
        <f aca="false">HYPERLINK("https://boxd.it/28iU","open")</f>
        <v>open</v>
      </c>
      <c r="M437" s="4" t="str">
        <f aca="false">LOWER(A437)&amp;"|"&amp;B437</f>
        <v>chelsea girls|1966</v>
      </c>
      <c r="N437" s="4" t="n">
        <v>0</v>
      </c>
      <c r="O437" s="4" t="n">
        <v>0</v>
      </c>
      <c r="P437" s="4" t="n">
        <v>0</v>
      </c>
      <c r="Q437" s="4" t="n">
        <v>1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</row>
    <row r="438" customFormat="false" ht="15" hidden="false" customHeight="false" outlineLevel="0" collapsed="false">
      <c r="A438" s="4" t="s">
        <v>1353</v>
      </c>
      <c r="B438" s="4" t="n">
        <v>1976</v>
      </c>
      <c r="C438" s="4" t="str">
        <f aca="false">FLOOR(B438,10)&amp;"s"</f>
        <v>1970s</v>
      </c>
      <c r="D438" s="4" t="s">
        <v>1354</v>
      </c>
      <c r="E438" s="25" t="str">
        <f aca="false">IF(G438=1,"✓","")</f>
        <v/>
      </c>
      <c r="F438" s="4" t="n">
        <v>2</v>
      </c>
      <c r="G438" s="4" t="n">
        <f aca="false">IF(COUNTIF('Letterboxd Watched'!$E$2:$E$3000,M438)&gt;0,1,0)</f>
        <v>0</v>
      </c>
      <c r="H438" s="4" t="n">
        <v>3</v>
      </c>
      <c r="I438" s="4" t="s">
        <v>213</v>
      </c>
      <c r="J438" s="4" t="s">
        <v>51</v>
      </c>
      <c r="K438" s="4" t="s">
        <v>5296</v>
      </c>
      <c r="L438" s="48" t="str">
        <f aca="false">HYPERLINK("https://letterboxd.com/search/films/Chess+of+the+Wind+1976/","open")</f>
        <v>open</v>
      </c>
      <c r="M438" s="4" t="str">
        <f aca="false">LOWER(A438)&amp;"|"&amp;B438</f>
        <v>chess of the wind|1976</v>
      </c>
      <c r="N438" s="4" t="n">
        <v>0</v>
      </c>
      <c r="O438" s="4" t="n">
        <v>0</v>
      </c>
      <c r="P438" s="4" t="n">
        <v>1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1</v>
      </c>
      <c r="W438" s="4" t="n">
        <v>0</v>
      </c>
    </row>
    <row r="439" customFormat="false" ht="15" hidden="false" customHeight="false" outlineLevel="0" collapsed="false">
      <c r="A439" s="4" t="s">
        <v>3561</v>
      </c>
      <c r="B439" s="4" t="n">
        <v>1977</v>
      </c>
      <c r="C439" s="4" t="str">
        <f aca="false">FLOOR(B439,10)&amp;"s"</f>
        <v>1970s</v>
      </c>
      <c r="D439" s="4" t="s">
        <v>253</v>
      </c>
      <c r="E439" s="25" t="str">
        <f aca="false">IF(G439=1,"✓","")</f>
        <v/>
      </c>
      <c r="F439" s="4" t="n">
        <v>1</v>
      </c>
      <c r="G439" s="4" t="n">
        <f aca="false">IF(COUNTIF('Letterboxd Watched'!$E$2:$E$3000,M439)&gt;0,1,0)</f>
        <v>0</v>
      </c>
      <c r="H439" s="4" t="n">
        <v>1</v>
      </c>
      <c r="I439" s="4" t="s">
        <v>1327</v>
      </c>
      <c r="J439" s="4" t="s">
        <v>51</v>
      </c>
      <c r="K439" s="4" t="s">
        <v>4026</v>
      </c>
      <c r="L439" s="48" t="str">
        <f aca="false">HYPERLINK("https://letterboxd.com/search/films/The+Chess+Players+1977/","open")</f>
        <v>open</v>
      </c>
      <c r="M439" s="4" t="str">
        <f aca="false">LOWER(A439)&amp;"|"&amp;B439</f>
        <v>the chess players|1977</v>
      </c>
      <c r="N439" s="4" t="n">
        <v>0</v>
      </c>
      <c r="O439" s="4" t="n">
        <v>0</v>
      </c>
      <c r="P439" s="4" t="n">
        <v>1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</row>
    <row r="440" customFormat="false" ht="15" hidden="false" customHeight="false" outlineLevel="0" collapsed="false">
      <c r="A440" s="4" t="s">
        <v>3829</v>
      </c>
      <c r="B440" s="4" t="n">
        <v>2015</v>
      </c>
      <c r="C440" s="4" t="str">
        <f aca="false">FLOOR(B440,10)&amp;"s"</f>
        <v>2010s</v>
      </c>
      <c r="D440" s="4" t="s">
        <v>2954</v>
      </c>
      <c r="E440" s="25" t="str">
        <f aca="false">IF(G440=1,"✓","")</f>
        <v/>
      </c>
      <c r="F440" s="4" t="n">
        <v>1</v>
      </c>
      <c r="G440" s="4" t="n">
        <f aca="false">IF(COUNTIF('Letterboxd Watched'!$E$2:$E$3000,M440)&gt;0,1,0)</f>
        <v>0</v>
      </c>
      <c r="H440" s="4" t="n">
        <v>1</v>
      </c>
      <c r="I440" s="4" t="s">
        <v>1327</v>
      </c>
      <c r="J440" s="4" t="s">
        <v>53</v>
      </c>
      <c r="K440" s="4" t="s">
        <v>4242</v>
      </c>
      <c r="L440" s="48" t="str">
        <f aca="false">HYPERLINK("https://letterboxd.com/search/films/Chevalier+2015/","open")</f>
        <v>open</v>
      </c>
      <c r="M440" s="4" t="str">
        <f aca="false">LOWER(A440)&amp;"|"&amp;B440</f>
        <v>chevalier|2015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</row>
    <row r="441" customFormat="false" ht="15" hidden="false" customHeight="false" outlineLevel="0" collapsed="false">
      <c r="A441" s="4" t="s">
        <v>2720</v>
      </c>
      <c r="B441" s="4" t="n">
        <v>2000</v>
      </c>
      <c r="C441" s="4" t="str">
        <f aca="false">FLOOR(B441,10)&amp;"s"</f>
        <v>2000s</v>
      </c>
      <c r="D441" s="4" t="s">
        <v>2721</v>
      </c>
      <c r="E441" s="25" t="str">
        <f aca="false">IF(G441=1,"✓","")</f>
        <v/>
      </c>
      <c r="F441" s="4" t="n">
        <v>1</v>
      </c>
      <c r="G441" s="4" t="n">
        <f aca="false">IF(COUNTIF('Letterboxd Watched'!$E$2:$E$3000,M441)&gt;0,1,0)</f>
        <v>0</v>
      </c>
      <c r="H441" s="4" t="n">
        <v>2</v>
      </c>
      <c r="I441" s="4" t="s">
        <v>213</v>
      </c>
      <c r="J441" s="4" t="s">
        <v>52</v>
      </c>
      <c r="K441" s="4" t="s">
        <v>4164</v>
      </c>
      <c r="L441" s="48" t="str">
        <f aca="false">HYPERLINK("https://boxd.it/20Xg","open")</f>
        <v>open</v>
      </c>
      <c r="M441" s="4" t="str">
        <f aca="false">LOWER(A441)&amp;"|"&amp;B441</f>
        <v>chicken run|2000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</row>
    <row r="442" customFormat="false" ht="15" hidden="false" customHeight="false" outlineLevel="0" collapsed="false">
      <c r="A442" s="4" t="s">
        <v>1299</v>
      </c>
      <c r="B442" s="4" t="n">
        <v>1931</v>
      </c>
      <c r="C442" s="4" t="str">
        <f aca="false">FLOOR(B442,10)&amp;"s"</f>
        <v>1930s</v>
      </c>
      <c r="D442" s="4" t="s">
        <v>234</v>
      </c>
      <c r="E442" s="25" t="str">
        <f aca="false">IF(G442=1,"✓","")</f>
        <v/>
      </c>
      <c r="F442" s="4" t="n">
        <v>2</v>
      </c>
      <c r="G442" s="4" t="n">
        <f aca="false">IF(COUNTIF('Letterboxd Watched'!$E$2:$E$3000,M442)&gt;0,1,0)</f>
        <v>0</v>
      </c>
      <c r="H442" s="4" t="n">
        <v>3</v>
      </c>
      <c r="I442" s="4" t="s">
        <v>213</v>
      </c>
      <c r="J442" s="4" t="s">
        <v>51</v>
      </c>
      <c r="K442" s="4" t="s">
        <v>5257</v>
      </c>
      <c r="L442" s="48" t="str">
        <f aca="false">HYPERLINK("https://boxd.it/1tx0","open")</f>
        <v>open</v>
      </c>
      <c r="M442" s="4" t="str">
        <f aca="false">LOWER(A442)&amp;"|"&amp;B442</f>
        <v>la chienne|1931</v>
      </c>
      <c r="N442" s="4" t="n">
        <v>0</v>
      </c>
      <c r="O442" s="4" t="n">
        <v>0</v>
      </c>
      <c r="P442" s="4" t="n">
        <v>1</v>
      </c>
      <c r="Q442" s="4" t="n">
        <v>0</v>
      </c>
      <c r="R442" s="4" t="n">
        <v>1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 customFormat="false" ht="15" hidden="false" customHeight="false" outlineLevel="0" collapsed="false">
      <c r="A443" s="4" t="s">
        <v>3020</v>
      </c>
      <c r="B443" s="4" t="n">
        <v>2013</v>
      </c>
      <c r="C443" s="4" t="str">
        <f aca="false">FLOOR(B443,10)&amp;"s"</f>
        <v>2010s</v>
      </c>
      <c r="D443" s="4" t="s">
        <v>3021</v>
      </c>
      <c r="E443" s="25" t="str">
        <f aca="false">IF(G443=1,"✓","")</f>
        <v/>
      </c>
      <c r="F443" s="4" t="n">
        <v>1</v>
      </c>
      <c r="G443" s="4" t="n">
        <f aca="false">IF(COUNTIF('Letterboxd Watched'!$E$2:$E$3000,M443)&gt;0,1,0)</f>
        <v>0</v>
      </c>
      <c r="H443" s="4" t="n">
        <v>2</v>
      </c>
      <c r="I443" s="4" t="s">
        <v>213</v>
      </c>
      <c r="J443" s="4" t="s">
        <v>51</v>
      </c>
      <c r="K443" s="4" t="s">
        <v>4000</v>
      </c>
      <c r="L443" s="48" t="str">
        <f aca="false">HYPERLINK("https://letterboxd.com/search/films/Childs+Pose+2013/","open")</f>
        <v>open</v>
      </c>
      <c r="M443" s="4" t="str">
        <f aca="false">LOWER(A443)&amp;"|"&amp;B443</f>
        <v>child's pose|2013</v>
      </c>
      <c r="N443" s="4" t="n">
        <v>0</v>
      </c>
      <c r="O443" s="4" t="n">
        <v>0</v>
      </c>
      <c r="P443" s="4" t="n">
        <v>1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</row>
    <row r="444" customFormat="false" ht="15" hidden="false" customHeight="false" outlineLevel="0" collapsed="false">
      <c r="A444" s="4" t="s">
        <v>2666</v>
      </c>
      <c r="B444" s="4" t="n">
        <v>1997</v>
      </c>
      <c r="C444" s="4" t="str">
        <f aca="false">FLOOR(B444,10)&amp;"s"</f>
        <v>1990s</v>
      </c>
      <c r="D444" s="4" t="s">
        <v>2667</v>
      </c>
      <c r="E444" s="25" t="str">
        <f aca="false">IF(G444=1,"✓","")</f>
        <v/>
      </c>
      <c r="F444" s="4" t="n">
        <v>1</v>
      </c>
      <c r="G444" s="4" t="n">
        <f aca="false">IF(COUNTIF('Letterboxd Watched'!$E$2:$E$3000,M444)&gt;0,1,0)</f>
        <v>0</v>
      </c>
      <c r="H444" s="4" t="n">
        <v>2</v>
      </c>
      <c r="I444" s="4" t="s">
        <v>213</v>
      </c>
      <c r="J444" s="4" t="s">
        <v>51</v>
      </c>
      <c r="K444" s="4" t="s">
        <v>4032</v>
      </c>
      <c r="L444" s="48" t="str">
        <f aca="false">HYPERLINK("https://boxd.it/1C5k","open")</f>
        <v>open</v>
      </c>
      <c r="M444" s="4" t="str">
        <f aca="false">LOWER(A444)&amp;"|"&amp;B444</f>
        <v>children of heaven|1997</v>
      </c>
      <c r="N444" s="4" t="n">
        <v>0</v>
      </c>
      <c r="O444" s="4" t="n">
        <v>0</v>
      </c>
      <c r="P444" s="4" t="n">
        <v>1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</row>
    <row r="445" customFormat="false" ht="15" hidden="false" customHeight="false" outlineLevel="0" collapsed="false">
      <c r="A445" s="4" t="s">
        <v>383</v>
      </c>
      <c r="B445" s="4" t="n">
        <v>2006</v>
      </c>
      <c r="C445" s="4" t="str">
        <f aca="false">FLOOR(B445,10)&amp;"s"</f>
        <v>2000s</v>
      </c>
      <c r="D445" s="4" t="s">
        <v>384</v>
      </c>
      <c r="E445" s="25" t="str">
        <f aca="false">IF(G445=1,"✓","")</f>
        <v>✓</v>
      </c>
      <c r="F445" s="4" t="n">
        <v>4</v>
      </c>
      <c r="G445" s="4" t="n">
        <f aca="false">IF(COUNTIF('Letterboxd Watched'!$E$2:$E$3000,M445)&gt;0,1,0)</f>
        <v>1</v>
      </c>
      <c r="H445" s="4" t="n">
        <v>9</v>
      </c>
      <c r="I445" s="4" t="s">
        <v>144</v>
      </c>
      <c r="J445" s="4" t="s">
        <v>49</v>
      </c>
      <c r="K445" s="4" t="s">
        <v>5297</v>
      </c>
      <c r="L445" s="48" t="str">
        <f aca="false">HYPERLINK("https://boxd.it/1Y2i","open")</f>
        <v>open</v>
      </c>
      <c r="M445" s="4" t="str">
        <f aca="false">LOWER(A445)&amp;"|"&amp;B445</f>
        <v>children of men|2006</v>
      </c>
      <c r="N445" s="4" t="n">
        <v>1</v>
      </c>
      <c r="O445" s="4" t="n">
        <v>1</v>
      </c>
      <c r="P445" s="4" t="n">
        <v>0</v>
      </c>
      <c r="Q445" s="4" t="n">
        <v>1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</row>
    <row r="446" customFormat="false" ht="15" hidden="false" customHeight="false" outlineLevel="0" collapsed="false">
      <c r="A446" s="4" t="s">
        <v>1824</v>
      </c>
      <c r="B446" s="4" t="n">
        <v>1945</v>
      </c>
      <c r="C446" s="4" t="str">
        <f aca="false">FLOOR(B446,10)&amp;"s"</f>
        <v>1940s</v>
      </c>
      <c r="D446" s="4" t="s">
        <v>1775</v>
      </c>
      <c r="E446" s="25" t="str">
        <f aca="false">IF(G446=1,"✓","")</f>
        <v/>
      </c>
      <c r="F446" s="4" t="n">
        <v>1</v>
      </c>
      <c r="G446" s="4" t="n">
        <f aca="false">IF(COUNTIF('Letterboxd Watched'!$E$2:$E$3000,M446)&gt;0,1,0)</f>
        <v>0</v>
      </c>
      <c r="H446" s="4" t="n">
        <v>2</v>
      </c>
      <c r="I446" s="4" t="s">
        <v>213</v>
      </c>
      <c r="J446" s="4" t="s">
        <v>51</v>
      </c>
      <c r="K446" s="4" t="s">
        <v>3958</v>
      </c>
      <c r="L446" s="48" t="str">
        <f aca="false">HYPERLINK("https://boxd.it/26H4","open")</f>
        <v>open</v>
      </c>
      <c r="M446" s="4" t="str">
        <f aca="false">LOWER(A446)&amp;"|"&amp;B446</f>
        <v>children of paradise|1945</v>
      </c>
      <c r="N446" s="4" t="n">
        <v>0</v>
      </c>
      <c r="O446" s="4" t="n">
        <v>0</v>
      </c>
      <c r="P446" s="4" t="n">
        <v>1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</row>
    <row r="447" customFormat="false" ht="15" hidden="false" customHeight="false" outlineLevel="0" collapsed="false">
      <c r="A447" s="4" t="s">
        <v>2001</v>
      </c>
      <c r="B447" s="4" t="n">
        <v>1961</v>
      </c>
      <c r="C447" s="4" t="str">
        <f aca="false">FLOOR(B447,10)&amp;"s"</f>
        <v>1960s</v>
      </c>
      <c r="D447" s="4" t="s">
        <v>305</v>
      </c>
      <c r="E447" s="25" t="str">
        <f aca="false">IF(G447=1,"✓","")</f>
        <v/>
      </c>
      <c r="F447" s="4" t="n">
        <v>1</v>
      </c>
      <c r="G447" s="4" t="n">
        <f aca="false">IF(COUNTIF('Letterboxd Watched'!$E$2:$E$3000,M447)&gt;0,1,0)</f>
        <v>0</v>
      </c>
      <c r="H447" s="4" t="n">
        <v>2</v>
      </c>
      <c r="I447" s="4" t="s">
        <v>213</v>
      </c>
      <c r="J447" s="4" t="s">
        <v>54</v>
      </c>
      <c r="K447" s="4" t="s">
        <v>4296</v>
      </c>
      <c r="L447" s="48" t="str">
        <f aca="false">HYPERLINK("https://boxd.it/1DZI","open")</f>
        <v>open</v>
      </c>
      <c r="M447" s="4" t="str">
        <f aca="false">LOWER(A447)&amp;"|"&amp;B447</f>
        <v>the children's hour|1961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1</v>
      </c>
      <c r="T447" s="4" t="n">
        <v>0</v>
      </c>
      <c r="U447" s="4" t="n">
        <v>0</v>
      </c>
      <c r="V447" s="4" t="n">
        <v>0</v>
      </c>
      <c r="W447" s="4" t="n">
        <v>0</v>
      </c>
    </row>
    <row r="448" customFormat="false" ht="15" hidden="false" customHeight="false" outlineLevel="0" collapsed="false">
      <c r="A448" s="4" t="s">
        <v>3236</v>
      </c>
      <c r="B448" s="4" t="n">
        <v>2023</v>
      </c>
      <c r="C448" s="4" t="str">
        <f aca="false">FLOOR(B448,10)&amp;"s"</f>
        <v>2020s</v>
      </c>
      <c r="D448" s="4" t="s">
        <v>3134</v>
      </c>
      <c r="E448" s="25" t="str">
        <f aca="false">IF(G448=1,"✓","")</f>
        <v/>
      </c>
      <c r="F448" s="4" t="n">
        <v>1</v>
      </c>
      <c r="G448" s="4" t="n">
        <f aca="false">IF(COUNTIF('Letterboxd Watched'!$E$2:$E$3000,M448)&gt;0,1,0)</f>
        <v>0</v>
      </c>
      <c r="H448" s="4" t="n">
        <v>2</v>
      </c>
      <c r="I448" s="4" t="s">
        <v>213</v>
      </c>
      <c r="J448" s="4" t="s">
        <v>51</v>
      </c>
      <c r="K448" s="4" t="s">
        <v>3956</v>
      </c>
      <c r="L448" s="48" t="str">
        <f aca="false">HYPERLINK("https://boxd.it/vzVi","open")</f>
        <v>open</v>
      </c>
      <c r="M448" s="4" t="str">
        <f aca="false">LOWER(A448)&amp;"|"&amp;B448</f>
        <v>la chimera|2023</v>
      </c>
      <c r="N448" s="4" t="n">
        <v>0</v>
      </c>
      <c r="O448" s="4" t="n">
        <v>0</v>
      </c>
      <c r="P448" s="4" t="n">
        <v>1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</row>
    <row r="449" customFormat="false" ht="15" hidden="false" customHeight="false" outlineLevel="0" collapsed="false">
      <c r="A449" s="4" t="s">
        <v>2068</v>
      </c>
      <c r="B449" s="4" t="n">
        <v>1965</v>
      </c>
      <c r="C449" s="4" t="str">
        <f aca="false">FLOOR(B449,10)&amp;"s"</f>
        <v>1960s</v>
      </c>
      <c r="D449" s="4" t="s">
        <v>143</v>
      </c>
      <c r="E449" s="25" t="str">
        <f aca="false">IF(G449=1,"✓","")</f>
        <v/>
      </c>
      <c r="F449" s="4" t="n">
        <v>1</v>
      </c>
      <c r="G449" s="4" t="n">
        <f aca="false">IF(COUNTIF('Letterboxd Watched'!$E$2:$E$3000,M449)&gt;0,1,0)</f>
        <v>0</v>
      </c>
      <c r="H449" s="4" t="n">
        <v>2</v>
      </c>
      <c r="I449" s="4" t="s">
        <v>213</v>
      </c>
      <c r="J449" s="4" t="s">
        <v>53</v>
      </c>
      <c r="K449" s="4" t="s">
        <v>143</v>
      </c>
      <c r="L449" s="48" t="str">
        <f aca="false">HYPERLINK("https://boxd.it/299k","open")</f>
        <v>open</v>
      </c>
      <c r="M449" s="4" t="str">
        <f aca="false">LOWER(A449)&amp;"|"&amp;B449</f>
        <v>chimes at midnight|1965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</row>
    <row r="450" customFormat="false" ht="15" hidden="false" customHeight="false" outlineLevel="0" collapsed="false">
      <c r="A450" s="4" t="s">
        <v>2330</v>
      </c>
      <c r="B450" s="4" t="n">
        <v>1979</v>
      </c>
      <c r="C450" s="4" t="str">
        <f aca="false">FLOOR(B450,10)&amp;"s"</f>
        <v>1970s</v>
      </c>
      <c r="D450" s="4" t="s">
        <v>2233</v>
      </c>
      <c r="E450" s="25" t="str">
        <f aca="false">IF(G450=1,"✓","")</f>
        <v/>
      </c>
      <c r="F450" s="4" t="n">
        <v>1</v>
      </c>
      <c r="G450" s="4" t="n">
        <f aca="false">IF(COUNTIF('Letterboxd Watched'!$E$2:$E$3000,M450)&gt;0,1,0)</f>
        <v>0</v>
      </c>
      <c r="H450" s="4" t="n">
        <v>2</v>
      </c>
      <c r="I450" s="4" t="s">
        <v>213</v>
      </c>
      <c r="J450" s="4" t="s">
        <v>55</v>
      </c>
      <c r="K450" s="4" t="s">
        <v>4342</v>
      </c>
      <c r="L450" s="48" t="str">
        <f aca="false">HYPERLINK("https://boxd.it/2990","open")</f>
        <v>open</v>
      </c>
      <c r="M450" s="4" t="str">
        <f aca="false">LOWER(A450)&amp;"|"&amp;B450</f>
        <v>the china syndrome|1979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1</v>
      </c>
      <c r="U450" s="4" t="n">
        <v>0</v>
      </c>
      <c r="V450" s="4" t="n">
        <v>0</v>
      </c>
      <c r="W450" s="4" t="n">
        <v>0</v>
      </c>
    </row>
    <row r="451" customFormat="false" ht="15" hidden="false" customHeight="false" outlineLevel="0" collapsed="false">
      <c r="A451" s="4" t="s">
        <v>194</v>
      </c>
      <c r="B451" s="4" t="n">
        <v>1974</v>
      </c>
      <c r="C451" s="4" t="str">
        <f aca="false">FLOOR(B451,10)&amp;"s"</f>
        <v>1970s</v>
      </c>
      <c r="D451" s="4" t="s">
        <v>195</v>
      </c>
      <c r="E451" s="25" t="str">
        <f aca="false">IF(G451=1,"✓","")</f>
        <v>✓</v>
      </c>
      <c r="F451" s="4" t="n">
        <v>6</v>
      </c>
      <c r="G451" s="4" t="n">
        <f aca="false">IF(COUNTIF('Letterboxd Watched'!$E$2:$E$3000,M451)&gt;0,1,0)</f>
        <v>1</v>
      </c>
      <c r="H451" s="4" t="n">
        <v>15</v>
      </c>
      <c r="I451" s="4" t="s">
        <v>144</v>
      </c>
      <c r="J451" s="4" t="s">
        <v>49</v>
      </c>
      <c r="K451" s="4" t="s">
        <v>5298</v>
      </c>
      <c r="L451" s="48" t="str">
        <f aca="false">HYPERLINK("https://boxd.it/29vU","open")</f>
        <v>open</v>
      </c>
      <c r="M451" s="4" t="str">
        <f aca="false">LOWER(A451)&amp;"|"&amp;B451</f>
        <v>chinatown|1974</v>
      </c>
      <c r="N451" s="4" t="n">
        <v>1</v>
      </c>
      <c r="O451" s="4" t="n">
        <v>1</v>
      </c>
      <c r="P451" s="4" t="n">
        <v>0</v>
      </c>
      <c r="Q451" s="4" t="n">
        <v>1</v>
      </c>
      <c r="R451" s="4" t="n">
        <v>0</v>
      </c>
      <c r="S451" s="4" t="n">
        <v>1</v>
      </c>
      <c r="T451" s="4" t="n">
        <v>1</v>
      </c>
      <c r="U451" s="4" t="n">
        <v>0</v>
      </c>
      <c r="V451" s="4" t="n">
        <v>1</v>
      </c>
      <c r="W451" s="4" t="n">
        <v>0</v>
      </c>
    </row>
    <row r="452" customFormat="false" ht="15" hidden="false" customHeight="false" outlineLevel="0" collapsed="false">
      <c r="A452" s="4" t="s">
        <v>2444</v>
      </c>
      <c r="B452" s="4" t="n">
        <v>1987</v>
      </c>
      <c r="C452" s="4" t="str">
        <f aca="false">FLOOR(B452,10)&amp;"s"</f>
        <v>1980s</v>
      </c>
      <c r="D452" s="4" t="s">
        <v>2445</v>
      </c>
      <c r="E452" s="25" t="str">
        <f aca="false">IF(G452=1,"✓","")</f>
        <v/>
      </c>
      <c r="F452" s="4" t="n">
        <v>1</v>
      </c>
      <c r="G452" s="4" t="n">
        <f aca="false">IF(COUNTIF('Letterboxd Watched'!$E$2:$E$3000,M452)&gt;0,1,0)</f>
        <v>0</v>
      </c>
      <c r="H452" s="4" t="n">
        <v>2</v>
      </c>
      <c r="I452" s="4" t="s">
        <v>213</v>
      </c>
      <c r="J452" s="4" t="s">
        <v>51</v>
      </c>
      <c r="K452" s="4" t="s">
        <v>4014</v>
      </c>
      <c r="L452" s="48" t="str">
        <f aca="false">HYPERLINK("https://letterboxd.com/search/films/A+Chinese+Ghost+Story+1987/","open")</f>
        <v>open</v>
      </c>
      <c r="M452" s="4" t="str">
        <f aca="false">LOWER(A452)&amp;"|"&amp;B452</f>
        <v>a chinese ghost story|1987</v>
      </c>
      <c r="N452" s="4" t="n">
        <v>0</v>
      </c>
      <c r="O452" s="4" t="n">
        <v>0</v>
      </c>
      <c r="P452" s="4" t="n">
        <v>1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</row>
    <row r="453" customFormat="false" ht="15" hidden="false" customHeight="false" outlineLevel="0" collapsed="false">
      <c r="A453" s="4" t="s">
        <v>2476</v>
      </c>
      <c r="B453" s="4" t="n">
        <v>1988</v>
      </c>
      <c r="C453" s="4" t="str">
        <f aca="false">FLOOR(B453,10)&amp;"s"</f>
        <v>1980s</v>
      </c>
      <c r="D453" s="4" t="s">
        <v>262</v>
      </c>
      <c r="E453" s="25" t="str">
        <f aca="false">IF(G453=1,"✓","")</f>
        <v/>
      </c>
      <c r="F453" s="4" t="n">
        <v>1</v>
      </c>
      <c r="G453" s="4" t="n">
        <f aca="false">IF(COUNTIF('Letterboxd Watched'!$E$2:$E$3000,M453)&gt;0,1,0)</f>
        <v>0</v>
      </c>
      <c r="H453" s="4" t="n">
        <v>2</v>
      </c>
      <c r="I453" s="4" t="s">
        <v>213</v>
      </c>
      <c r="J453" s="4" t="s">
        <v>53</v>
      </c>
      <c r="K453" s="4" t="s">
        <v>262</v>
      </c>
      <c r="L453" s="48" t="str">
        <f aca="false">HYPERLINK("https://boxd.it/Y7g","open")</f>
        <v>open</v>
      </c>
      <c r="M453" s="4" t="str">
        <f aca="false">LOWER(A453)&amp;"|"&amp;B453</f>
        <v>chocolat|1988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</row>
    <row r="454" customFormat="false" ht="15" hidden="false" customHeight="false" outlineLevel="0" collapsed="false">
      <c r="A454" s="4" t="s">
        <v>2385</v>
      </c>
      <c r="B454" s="4" t="n">
        <v>1983</v>
      </c>
      <c r="C454" s="4" t="str">
        <f aca="false">FLOOR(B454,10)&amp;"s"</f>
        <v>1980s</v>
      </c>
      <c r="D454" s="4" t="s">
        <v>266</v>
      </c>
      <c r="E454" s="25" t="str">
        <f aca="false">IF(G454=1,"✓","")</f>
        <v/>
      </c>
      <c r="F454" s="4" t="n">
        <v>1</v>
      </c>
      <c r="G454" s="4" t="n">
        <f aca="false">IF(COUNTIF('Letterboxd Watched'!$E$2:$E$3000,M454)&gt;0,1,0)</f>
        <v>0</v>
      </c>
      <c r="H454" s="4" t="n">
        <v>2</v>
      </c>
      <c r="I454" s="4" t="s">
        <v>213</v>
      </c>
      <c r="J454" s="4" t="s">
        <v>53</v>
      </c>
      <c r="K454" s="4" t="s">
        <v>266</v>
      </c>
      <c r="L454" s="48" t="str">
        <f aca="false">HYPERLINK("https://boxd.it/1ZRQ","open")</f>
        <v>open</v>
      </c>
      <c r="M454" s="4" t="str">
        <f aca="false">LOWER(A454)&amp;"|"&amp;B454</f>
        <v>christine|1983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</row>
    <row r="455" customFormat="false" ht="15" hidden="false" customHeight="false" outlineLevel="0" collapsed="false">
      <c r="A455" s="4" t="s">
        <v>3702</v>
      </c>
      <c r="B455" s="4" t="n">
        <v>1998</v>
      </c>
      <c r="C455" s="4" t="str">
        <f aca="false">FLOOR(B455,10)&amp;"s"</f>
        <v>1990s</v>
      </c>
      <c r="D455" s="4" t="s">
        <v>3703</v>
      </c>
      <c r="E455" s="25" t="str">
        <f aca="false">IF(G455=1,"✓","")</f>
        <v/>
      </c>
      <c r="F455" s="4" t="n">
        <v>1</v>
      </c>
      <c r="G455" s="4" t="n">
        <f aca="false">IF(COUNTIF('Letterboxd Watched'!$E$2:$E$3000,M455)&gt;0,1,0)</f>
        <v>0</v>
      </c>
      <c r="H455" s="4" t="n">
        <v>1</v>
      </c>
      <c r="I455" s="4" t="s">
        <v>1327</v>
      </c>
      <c r="J455" s="4" t="s">
        <v>51</v>
      </c>
      <c r="K455" s="4" t="s">
        <v>4022</v>
      </c>
      <c r="L455" s="48" t="str">
        <f aca="false">HYPERLINK("https://letterboxd.com/search/films/Christmas+in+August+1998/","open")</f>
        <v>open</v>
      </c>
      <c r="M455" s="4" t="str">
        <f aca="false">LOWER(A455)&amp;"|"&amp;B455</f>
        <v>christmas in august|1998</v>
      </c>
      <c r="N455" s="4" t="n">
        <v>0</v>
      </c>
      <c r="O455" s="4" t="n">
        <v>0</v>
      </c>
      <c r="P455" s="4" t="n">
        <v>1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</row>
    <row r="456" customFormat="false" ht="15" hidden="false" customHeight="false" outlineLevel="0" collapsed="false">
      <c r="A456" s="4" t="s">
        <v>2397</v>
      </c>
      <c r="B456" s="4" t="n">
        <v>1983</v>
      </c>
      <c r="C456" s="4" t="str">
        <f aca="false">FLOOR(B456,10)&amp;"s"</f>
        <v>1980s</v>
      </c>
      <c r="D456" s="4" t="s">
        <v>546</v>
      </c>
      <c r="E456" s="25" t="str">
        <f aca="false">IF(G456=1,"✓","")</f>
        <v>✓</v>
      </c>
      <c r="F456" s="4" t="n">
        <v>1</v>
      </c>
      <c r="G456" s="4" t="n">
        <f aca="false">IF(COUNTIF('Letterboxd Watched'!$E$2:$E$3000,M456)&gt;0,1,0)</f>
        <v>1</v>
      </c>
      <c r="H456" s="4" t="n">
        <v>2</v>
      </c>
      <c r="I456" s="4" t="s">
        <v>213</v>
      </c>
      <c r="J456" s="4" t="s">
        <v>56</v>
      </c>
      <c r="K456" s="4" t="s">
        <v>4420</v>
      </c>
      <c r="L456" s="48" t="str">
        <f aca="false">HYPERLINK("https://boxd.it/29sw","open")</f>
        <v>open</v>
      </c>
      <c r="M456" s="4" t="str">
        <f aca="false">LOWER(A456)&amp;"|"&amp;B456</f>
        <v>a christmas story|1983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1</v>
      </c>
      <c r="V456" s="4" t="n">
        <v>0</v>
      </c>
      <c r="W456" s="4" t="n">
        <v>0</v>
      </c>
    </row>
    <row r="457" customFormat="false" ht="15" hidden="false" customHeight="false" outlineLevel="0" collapsed="false">
      <c r="A457" s="4" t="s">
        <v>2900</v>
      </c>
      <c r="B457" s="4" t="n">
        <v>2008</v>
      </c>
      <c r="C457" s="4" t="str">
        <f aca="false">FLOOR(B457,10)&amp;"s"</f>
        <v>2000s</v>
      </c>
      <c r="D457" s="4" t="s">
        <v>2901</v>
      </c>
      <c r="E457" s="25" t="str">
        <f aca="false">IF(G457=1,"✓","")</f>
        <v/>
      </c>
      <c r="F457" s="4" t="n">
        <v>1</v>
      </c>
      <c r="G457" s="4" t="n">
        <f aca="false">IF(COUNTIF('Letterboxd Watched'!$E$2:$E$3000,M457)&gt;0,1,0)</f>
        <v>0</v>
      </c>
      <c r="H457" s="4" t="n">
        <v>2</v>
      </c>
      <c r="I457" s="4" t="s">
        <v>213</v>
      </c>
      <c r="J457" s="4" t="s">
        <v>51</v>
      </c>
      <c r="K457" s="4" t="s">
        <v>3970</v>
      </c>
      <c r="L457" s="48" t="str">
        <f aca="false">HYPERLINK("https://letterboxd.com/search/films/A+Christmas+Tale+2008/","open")</f>
        <v>open</v>
      </c>
      <c r="M457" s="4" t="str">
        <f aca="false">LOWER(A457)&amp;"|"&amp;B457</f>
        <v>a christmas tale|2008</v>
      </c>
      <c r="N457" s="4" t="n">
        <v>0</v>
      </c>
      <c r="O457" s="4" t="n">
        <v>0</v>
      </c>
      <c r="P457" s="4" t="n">
        <v>1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</row>
    <row r="458" customFormat="false" ht="15" hidden="false" customHeight="false" outlineLevel="0" collapsed="false">
      <c r="A458" s="4" t="s">
        <v>1995</v>
      </c>
      <c r="B458" s="4" t="n">
        <v>1961</v>
      </c>
      <c r="C458" s="4" t="str">
        <f aca="false">FLOOR(B458,10)&amp;"s"</f>
        <v>1960s</v>
      </c>
      <c r="D458" s="4" t="s">
        <v>1996</v>
      </c>
      <c r="E458" s="25" t="str">
        <f aca="false">IF(G458=1,"✓","")</f>
        <v/>
      </c>
      <c r="F458" s="4" t="n">
        <v>1</v>
      </c>
      <c r="G458" s="4" t="n">
        <f aca="false">IF(COUNTIF('Letterboxd Watched'!$E$2:$E$3000,M458)&gt;0,1,0)</f>
        <v>0</v>
      </c>
      <c r="H458" s="4" t="n">
        <v>2</v>
      </c>
      <c r="I458" s="4" t="s">
        <v>213</v>
      </c>
      <c r="J458" s="4" t="s">
        <v>52</v>
      </c>
      <c r="K458" s="4" t="s">
        <v>4172</v>
      </c>
      <c r="L458" s="48" t="str">
        <f aca="false">HYPERLINK("https://letterboxd.com/search/films/Chronicle+of+a+Summer+1961/","open")</f>
        <v>open</v>
      </c>
      <c r="M458" s="4" t="str">
        <f aca="false">LOWER(A458)&amp;"|"&amp;B458</f>
        <v>chronicle of a summer|1961</v>
      </c>
      <c r="N458" s="4" t="n">
        <v>0</v>
      </c>
      <c r="O458" s="4" t="n">
        <v>0</v>
      </c>
      <c r="P458" s="4" t="n">
        <v>0</v>
      </c>
      <c r="Q458" s="4" t="n">
        <v>1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</row>
    <row r="459" customFormat="false" ht="15" hidden="false" customHeight="false" outlineLevel="0" collapsed="false">
      <c r="A459" s="4" t="s">
        <v>192</v>
      </c>
      <c r="B459" s="4" t="n">
        <v>1994</v>
      </c>
      <c r="C459" s="4" t="str">
        <f aca="false">FLOOR(B459,10)&amp;"s"</f>
        <v>1990s</v>
      </c>
      <c r="D459" s="4" t="s">
        <v>193</v>
      </c>
      <c r="E459" s="25" t="str">
        <f aca="false">IF(G459=1,"✓","")</f>
        <v/>
      </c>
      <c r="F459" s="4" t="n">
        <v>7</v>
      </c>
      <c r="G459" s="4" t="n">
        <f aca="false">IF(COUNTIF('Letterboxd Watched'!$E$2:$E$3000,M459)&gt;0,1,0)</f>
        <v>0</v>
      </c>
      <c r="H459" s="4" t="n">
        <v>16</v>
      </c>
      <c r="I459" s="4" t="s">
        <v>144</v>
      </c>
      <c r="J459" s="4" t="s">
        <v>49</v>
      </c>
      <c r="K459" s="4" t="s">
        <v>5299</v>
      </c>
      <c r="L459" s="48" t="str">
        <f aca="false">HYPERLINK("https://boxd.it/1UDa","open")</f>
        <v>open</v>
      </c>
      <c r="M459" s="4" t="str">
        <f aca="false">LOWER(A459)&amp;"|"&amp;B459</f>
        <v>chungking express|1994</v>
      </c>
      <c r="N459" s="4" t="n">
        <v>1</v>
      </c>
      <c r="O459" s="4" t="n">
        <v>0</v>
      </c>
      <c r="P459" s="4" t="n">
        <v>1</v>
      </c>
      <c r="Q459" s="4" t="n">
        <v>0</v>
      </c>
      <c r="R459" s="4" t="n">
        <v>1</v>
      </c>
      <c r="S459" s="4" t="n">
        <v>1</v>
      </c>
      <c r="T459" s="4" t="n">
        <v>0</v>
      </c>
      <c r="U459" s="4" t="n">
        <v>0</v>
      </c>
      <c r="V459" s="4" t="n">
        <v>1</v>
      </c>
      <c r="W459" s="4" t="n">
        <v>0</v>
      </c>
    </row>
    <row r="460" customFormat="false" ht="15" hidden="false" customHeight="false" outlineLevel="0" collapsed="false">
      <c r="A460" s="4" t="s">
        <v>1578</v>
      </c>
      <c r="B460" s="4" t="n">
        <v>2001</v>
      </c>
      <c r="C460" s="4" t="str">
        <f aca="false">FLOOR(B460,10)&amp;"s"</f>
        <v>2000s</v>
      </c>
      <c r="D460" s="4" t="s">
        <v>1579</v>
      </c>
      <c r="E460" s="25" t="str">
        <f aca="false">IF(G460=1,"✓","")</f>
        <v/>
      </c>
      <c r="F460" s="4" t="n">
        <v>1</v>
      </c>
      <c r="G460" s="4" t="n">
        <f aca="false">IF(COUNTIF('Letterboxd Watched'!$E$2:$E$3000,M460)&gt;0,1,0)</f>
        <v>0</v>
      </c>
      <c r="H460" s="4" t="n">
        <v>3</v>
      </c>
      <c r="I460" s="4" t="s">
        <v>144</v>
      </c>
      <c r="J460" s="4" t="s">
        <v>51</v>
      </c>
      <c r="K460" s="4" t="s">
        <v>4010</v>
      </c>
      <c r="L460" s="48" t="str">
        <f aca="false">HYPERLINK("https://letterboxd.com/search/films/La+Ciénaga+2001/","open")</f>
        <v>open</v>
      </c>
      <c r="M460" s="4" t="str">
        <f aca="false">LOWER(A460)&amp;"|"&amp;B460</f>
        <v>la ciénaga|2001</v>
      </c>
      <c r="N460" s="4" t="n">
        <v>0</v>
      </c>
      <c r="O460" s="4" t="n">
        <v>0</v>
      </c>
      <c r="P460" s="4" t="n">
        <v>1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</row>
    <row r="461" customFormat="false" ht="15" hidden="false" customHeight="false" outlineLevel="0" collapsed="false">
      <c r="A461" s="4" t="s">
        <v>2486</v>
      </c>
      <c r="B461" s="4" t="n">
        <v>1988</v>
      </c>
      <c r="C461" s="4" t="str">
        <f aca="false">FLOOR(B461,10)&amp;"s"</f>
        <v>1980s</v>
      </c>
      <c r="D461" s="4" t="s">
        <v>2487</v>
      </c>
      <c r="E461" s="25" t="str">
        <f aca="false">IF(G461=1,"✓","")</f>
        <v/>
      </c>
      <c r="F461" s="4" t="n">
        <v>1</v>
      </c>
      <c r="G461" s="4" t="n">
        <f aca="false">IF(COUNTIF('Letterboxd Watched'!$E$2:$E$3000,M461)&gt;0,1,0)</f>
        <v>0</v>
      </c>
      <c r="H461" s="4" t="n">
        <v>2</v>
      </c>
      <c r="I461" s="4" t="s">
        <v>213</v>
      </c>
      <c r="J461" s="4" t="s">
        <v>55</v>
      </c>
      <c r="K461" s="4" t="s">
        <v>4370</v>
      </c>
      <c r="L461" s="48" t="str">
        <f aca="false">HYPERLINK("https://boxd.it/1UlA","open")</f>
        <v>open</v>
      </c>
      <c r="M461" s="4" t="str">
        <f aca="false">LOWER(A461)&amp;"|"&amp;B461</f>
        <v>cinema paradiso|1988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1</v>
      </c>
      <c r="U461" s="4" t="n">
        <v>0</v>
      </c>
      <c r="V461" s="4" t="n">
        <v>0</v>
      </c>
      <c r="W461" s="4" t="n">
        <v>0</v>
      </c>
    </row>
    <row r="462" customFormat="false" ht="15" hidden="false" customHeight="false" outlineLevel="0" collapsed="false">
      <c r="A462" s="4" t="s">
        <v>2717</v>
      </c>
      <c r="B462" s="4" t="n">
        <v>2000</v>
      </c>
      <c r="C462" s="4" t="str">
        <f aca="false">FLOOR(B462,10)&amp;"s"</f>
        <v>2000s</v>
      </c>
      <c r="D462" s="4" t="s">
        <v>2608</v>
      </c>
      <c r="E462" s="25" t="str">
        <f aca="false">IF(G462=1,"✓","")</f>
        <v/>
      </c>
      <c r="F462" s="4" t="n">
        <v>1</v>
      </c>
      <c r="G462" s="4" t="n">
        <f aca="false">IF(COUNTIF('Letterboxd Watched'!$E$2:$E$3000,M462)&gt;0,1,0)</f>
        <v>0</v>
      </c>
      <c r="H462" s="4" t="n">
        <v>2</v>
      </c>
      <c r="I462" s="4" t="s">
        <v>213</v>
      </c>
      <c r="J462" s="4" t="s">
        <v>51</v>
      </c>
      <c r="K462" s="4" t="s">
        <v>4032</v>
      </c>
      <c r="L462" s="48" t="str">
        <f aca="false">HYPERLINK("https://letterboxd.com/search/films/The+Circle+2000/","open")</f>
        <v>open</v>
      </c>
      <c r="M462" s="4" t="str">
        <f aca="false">LOWER(A462)&amp;"|"&amp;B462</f>
        <v>the circle|2000</v>
      </c>
      <c r="N462" s="4" t="n">
        <v>0</v>
      </c>
      <c r="O462" s="4" t="n">
        <v>0</v>
      </c>
      <c r="P462" s="4" t="n">
        <v>1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</row>
    <row r="463" customFormat="false" ht="15" hidden="false" customHeight="false" outlineLevel="0" collapsed="false">
      <c r="A463" s="4" t="s">
        <v>142</v>
      </c>
      <c r="B463" s="4" t="n">
        <v>1941</v>
      </c>
      <c r="C463" s="4" t="str">
        <f aca="false">FLOOR(B463,10)&amp;"s"</f>
        <v>1940s</v>
      </c>
      <c r="D463" s="4" t="s">
        <v>143</v>
      </c>
      <c r="E463" s="25" t="str">
        <f aca="false">IF(G463=1,"✓","")</f>
        <v/>
      </c>
      <c r="F463" s="4" t="n">
        <v>13</v>
      </c>
      <c r="G463" s="4" t="n">
        <f aca="false">IF(COUNTIF('Letterboxd Watched'!$E$2:$E$3000,M463)&gt;0,1,0)</f>
        <v>0</v>
      </c>
      <c r="H463" s="4" t="n">
        <v>32</v>
      </c>
      <c r="I463" s="4" t="s">
        <v>144</v>
      </c>
      <c r="J463" s="4" t="s">
        <v>49</v>
      </c>
      <c r="K463" s="4" t="s">
        <v>5300</v>
      </c>
      <c r="L463" s="48" t="str">
        <f aca="false">HYPERLINK("https://boxd.it/71O","open")</f>
        <v>open</v>
      </c>
      <c r="M463" s="4" t="str">
        <f aca="false">LOWER(A463)&amp;"|"&amp;B463</f>
        <v>citizen kane|1941</v>
      </c>
      <c r="N463" s="4" t="n">
        <v>1</v>
      </c>
      <c r="O463" s="4" t="n">
        <v>1</v>
      </c>
      <c r="P463" s="4" t="n">
        <v>0</v>
      </c>
      <c r="Q463" s="4" t="n">
        <v>0</v>
      </c>
      <c r="R463" s="4" t="n">
        <v>1</v>
      </c>
      <c r="S463" s="4" t="n">
        <v>1</v>
      </c>
      <c r="T463" s="4" t="n">
        <v>0</v>
      </c>
      <c r="U463" s="4" t="n">
        <v>1</v>
      </c>
      <c r="V463" s="4" t="n">
        <v>1</v>
      </c>
      <c r="W463" s="4" t="n">
        <v>0</v>
      </c>
    </row>
    <row r="464" customFormat="false" ht="15" hidden="false" customHeight="false" outlineLevel="0" collapsed="false">
      <c r="A464" s="4" t="s">
        <v>3063</v>
      </c>
      <c r="B464" s="4" t="n">
        <v>2014</v>
      </c>
      <c r="C464" s="4" t="str">
        <f aca="false">FLOOR(B464,10)&amp;"s"</f>
        <v>2010s</v>
      </c>
      <c r="D464" s="4" t="s">
        <v>3064</v>
      </c>
      <c r="E464" s="25" t="str">
        <f aca="false">IF(G464=1,"✓","")</f>
        <v/>
      </c>
      <c r="F464" s="4" t="n">
        <v>1</v>
      </c>
      <c r="G464" s="4" t="n">
        <f aca="false">IF(COUNTIF('Letterboxd Watched'!$E$2:$E$3000,M464)&gt;0,1,0)</f>
        <v>0</v>
      </c>
      <c r="H464" s="4" t="n">
        <v>2</v>
      </c>
      <c r="I464" s="4" t="s">
        <v>213</v>
      </c>
      <c r="J464" s="4" t="s">
        <v>55</v>
      </c>
      <c r="K464" s="4" t="s">
        <v>4340</v>
      </c>
      <c r="L464" s="48" t="str">
        <f aca="false">HYPERLINK("https://letterboxd.com/search/films/Citizenfour+2014/","open")</f>
        <v>open</v>
      </c>
      <c r="M464" s="4" t="str">
        <f aca="false">LOWER(A464)&amp;"|"&amp;B464</f>
        <v>citizenfour|2014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1</v>
      </c>
      <c r="U464" s="4" t="n">
        <v>0</v>
      </c>
      <c r="V464" s="4" t="n">
        <v>0</v>
      </c>
      <c r="W464" s="4" t="n">
        <v>0</v>
      </c>
    </row>
    <row r="465" customFormat="false" ht="15" hidden="false" customHeight="false" outlineLevel="0" collapsed="false">
      <c r="A465" s="4" t="s">
        <v>343</v>
      </c>
      <c r="B465" s="4" t="n">
        <v>1931</v>
      </c>
      <c r="C465" s="4" t="str">
        <f aca="false">FLOOR(B465,10)&amp;"s"</f>
        <v>1930s</v>
      </c>
      <c r="D465" s="4" t="s">
        <v>344</v>
      </c>
      <c r="E465" s="25" t="str">
        <f aca="false">IF(G465=1,"✓","")</f>
        <v/>
      </c>
      <c r="F465" s="4" t="n">
        <v>5</v>
      </c>
      <c r="G465" s="4" t="n">
        <f aca="false">IF(COUNTIF('Letterboxd Watched'!$E$2:$E$3000,M465)&gt;0,1,0)</f>
        <v>0</v>
      </c>
      <c r="H465" s="4" t="n">
        <v>10</v>
      </c>
      <c r="I465" s="4" t="s">
        <v>213</v>
      </c>
      <c r="J465" s="4" t="s">
        <v>50</v>
      </c>
      <c r="K465" s="4" t="s">
        <v>5301</v>
      </c>
      <c r="L465" s="48" t="str">
        <f aca="false">HYPERLINK("https://boxd.it/29ki","open")</f>
        <v>open</v>
      </c>
      <c r="M465" s="4" t="str">
        <f aca="false">LOWER(A465)&amp;"|"&amp;B465</f>
        <v>city lights|1931</v>
      </c>
      <c r="N465" s="4" t="n">
        <v>0</v>
      </c>
      <c r="O465" s="4" t="n">
        <v>1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1</v>
      </c>
      <c r="W465" s="4" t="n">
        <v>0</v>
      </c>
    </row>
    <row r="466" customFormat="false" ht="15" hidden="false" customHeight="false" outlineLevel="0" collapsed="false">
      <c r="A466" s="4" t="s">
        <v>2765</v>
      </c>
      <c r="B466" s="4" t="n">
        <v>2002</v>
      </c>
      <c r="C466" s="4" t="str">
        <f aca="false">FLOOR(B466,10)&amp;"s"</f>
        <v>2000s</v>
      </c>
      <c r="D466" s="4" t="s">
        <v>2766</v>
      </c>
      <c r="E466" s="25" t="str">
        <f aca="false">IF(G466=1,"✓","")</f>
        <v/>
      </c>
      <c r="F466" s="4" t="n">
        <v>1</v>
      </c>
      <c r="G466" s="4" t="n">
        <f aca="false">IF(COUNTIF('Letterboxd Watched'!$E$2:$E$3000,M466)&gt;0,1,0)</f>
        <v>0</v>
      </c>
      <c r="H466" s="4" t="n">
        <v>2</v>
      </c>
      <c r="I466" s="4" t="s">
        <v>213</v>
      </c>
      <c r="J466" s="4" t="s">
        <v>51</v>
      </c>
      <c r="K466" s="4" t="s">
        <v>4006</v>
      </c>
      <c r="L466" s="48" t="str">
        <f aca="false">HYPERLINK("https://boxd.it/2a2a","open")</f>
        <v>open</v>
      </c>
      <c r="M466" s="4" t="str">
        <f aca="false">LOWER(A466)&amp;"|"&amp;B466</f>
        <v>city of god|2002</v>
      </c>
      <c r="N466" s="4" t="n">
        <v>0</v>
      </c>
      <c r="O466" s="4" t="n">
        <v>0</v>
      </c>
      <c r="P466" s="4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</row>
    <row r="467" customFormat="false" ht="15" hidden="false" customHeight="false" outlineLevel="0" collapsed="false">
      <c r="A467" s="4" t="s">
        <v>491</v>
      </c>
      <c r="B467" s="4" t="n">
        <v>1989</v>
      </c>
      <c r="C467" s="4" t="str">
        <f aca="false">FLOOR(B467,10)&amp;"s"</f>
        <v>1980s</v>
      </c>
      <c r="D467" s="4" t="s">
        <v>492</v>
      </c>
      <c r="E467" s="25" t="str">
        <f aca="false">IF(G467=1,"✓","")</f>
        <v/>
      </c>
      <c r="F467" s="4" t="n">
        <v>3</v>
      </c>
      <c r="G467" s="4" t="n">
        <f aca="false">IF(COUNTIF('Letterboxd Watched'!$E$2:$E$3000,M467)&gt;0,1,0)</f>
        <v>0</v>
      </c>
      <c r="H467" s="4" t="n">
        <v>7</v>
      </c>
      <c r="I467" s="4" t="s">
        <v>144</v>
      </c>
      <c r="J467" s="4" t="s">
        <v>51</v>
      </c>
      <c r="K467" s="4" t="s">
        <v>5302</v>
      </c>
      <c r="L467" s="48" t="str">
        <f aca="false">HYPERLINK("https://boxd.it/EIm","open")</f>
        <v>open</v>
      </c>
      <c r="M467" s="4" t="str">
        <f aca="false">LOWER(A467)&amp;"|"&amp;B467</f>
        <v>a city of sadness|1989</v>
      </c>
      <c r="N467" s="4" t="n">
        <v>0</v>
      </c>
      <c r="O467" s="4" t="n">
        <v>0</v>
      </c>
      <c r="P467" s="4" t="n">
        <v>1</v>
      </c>
      <c r="Q467" s="4" t="n">
        <v>0</v>
      </c>
      <c r="R467" s="4" t="n">
        <v>1</v>
      </c>
      <c r="S467" s="4" t="n">
        <v>0</v>
      </c>
      <c r="T467" s="4" t="n">
        <v>0</v>
      </c>
      <c r="U467" s="4" t="n">
        <v>0</v>
      </c>
      <c r="V467" s="4" t="n">
        <v>1</v>
      </c>
      <c r="W467" s="4" t="n">
        <v>0</v>
      </c>
    </row>
    <row r="468" customFormat="false" ht="15" hidden="false" customHeight="false" outlineLevel="0" collapsed="false">
      <c r="A468" s="4" t="s">
        <v>2331</v>
      </c>
      <c r="B468" s="4" t="n">
        <v>1980</v>
      </c>
      <c r="C468" s="4" t="str">
        <f aca="false">FLOOR(B468,10)&amp;"s"</f>
        <v>1980s</v>
      </c>
      <c r="D468" s="4" t="s">
        <v>709</v>
      </c>
      <c r="E468" s="25" t="str">
        <f aca="false">IF(G468=1,"✓","")</f>
        <v/>
      </c>
      <c r="F468" s="4" t="n">
        <v>1</v>
      </c>
      <c r="G468" s="4" t="n">
        <f aca="false">IF(COUNTIF('Letterboxd Watched'!$E$2:$E$3000,M468)&gt;0,1,0)</f>
        <v>0</v>
      </c>
      <c r="H468" s="4" t="n">
        <v>2</v>
      </c>
      <c r="I468" s="4" t="s">
        <v>213</v>
      </c>
      <c r="J468" s="4" t="s">
        <v>51</v>
      </c>
      <c r="K468" s="4" t="s">
        <v>3952</v>
      </c>
      <c r="L468" s="48" t="str">
        <f aca="false">HYPERLINK("https://boxd.it/1wMs","open")</f>
        <v>open</v>
      </c>
      <c r="M468" s="4" t="str">
        <f aca="false">LOWER(A468)&amp;"|"&amp;B468</f>
        <v>city of the living dead|1980</v>
      </c>
      <c r="N468" s="4" t="n">
        <v>0</v>
      </c>
      <c r="O468" s="4" t="n">
        <v>0</v>
      </c>
      <c r="P468" s="4" t="n">
        <v>1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</row>
    <row r="469" customFormat="false" ht="15" hidden="false" customHeight="false" outlineLevel="0" collapsed="false">
      <c r="A469" s="4" t="s">
        <v>1538</v>
      </c>
      <c r="B469" s="4" t="n">
        <v>1987</v>
      </c>
      <c r="C469" s="4" t="str">
        <f aca="false">FLOOR(B469,10)&amp;"s"</f>
        <v>1980s</v>
      </c>
      <c r="D469" s="4" t="s">
        <v>1539</v>
      </c>
      <c r="E469" s="25" t="str">
        <f aca="false">IF(G469=1,"✓","")</f>
        <v/>
      </c>
      <c r="F469" s="4" t="n">
        <v>1</v>
      </c>
      <c r="G469" s="4" t="n">
        <f aca="false">IF(COUNTIF('Letterboxd Watched'!$E$2:$E$3000,M469)&gt;0,1,0)</f>
        <v>0</v>
      </c>
      <c r="H469" s="4" t="n">
        <v>3</v>
      </c>
      <c r="I469" s="4" t="s">
        <v>144</v>
      </c>
      <c r="J469" s="4" t="s">
        <v>56</v>
      </c>
      <c r="K469" s="4" t="s">
        <v>4414</v>
      </c>
      <c r="L469" s="48" t="str">
        <f aca="false">HYPERLINK("https://boxd.it/XGY","open")</f>
        <v>open</v>
      </c>
      <c r="M469" s="4" t="str">
        <f aca="false">LOWER(A469)&amp;"|"&amp;B469</f>
        <v>city on fire|1987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1</v>
      </c>
      <c r="V469" s="4" t="n">
        <v>0</v>
      </c>
      <c r="W469" s="4" t="n">
        <v>0</v>
      </c>
    </row>
    <row r="470" customFormat="false" ht="15" hidden="false" customHeight="false" outlineLevel="0" collapsed="false">
      <c r="A470" s="4" t="s">
        <v>2687</v>
      </c>
      <c r="B470" s="4" t="n">
        <v>1998</v>
      </c>
      <c r="C470" s="4" t="str">
        <f aca="false">FLOOR(B470,10)&amp;"s"</f>
        <v>1990s</v>
      </c>
      <c r="D470" s="4" t="s">
        <v>2688</v>
      </c>
      <c r="E470" s="25" t="str">
        <f aca="false">IF(G470=1,"✓","")</f>
        <v/>
      </c>
      <c r="F470" s="4" t="n">
        <v>1</v>
      </c>
      <c r="G470" s="4" t="n">
        <f aca="false">IF(COUNTIF('Letterboxd Watched'!$E$2:$E$3000,M470)&gt;0,1,0)</f>
        <v>0</v>
      </c>
      <c r="H470" s="4" t="n">
        <v>2</v>
      </c>
      <c r="I470" s="4" t="s">
        <v>213</v>
      </c>
      <c r="J470" s="4" t="s">
        <v>55</v>
      </c>
      <c r="K470" s="4" t="s">
        <v>4324</v>
      </c>
      <c r="L470" s="48" t="str">
        <f aca="false">HYPERLINK("https://boxd.it/1YIS","open")</f>
        <v>open</v>
      </c>
      <c r="M470" s="4" t="str">
        <f aca="false">LOWER(A470)&amp;"|"&amp;B470</f>
        <v>a civil action|1998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1</v>
      </c>
      <c r="U470" s="4" t="n">
        <v>0</v>
      </c>
      <c r="V470" s="4" t="n">
        <v>0</v>
      </c>
      <c r="W470" s="4" t="n">
        <v>0</v>
      </c>
    </row>
    <row r="471" customFormat="false" ht="15" hidden="false" customHeight="false" outlineLevel="0" collapsed="false">
      <c r="A471" s="4" t="s">
        <v>3259</v>
      </c>
      <c r="B471" s="4" t="n">
        <v>2024</v>
      </c>
      <c r="C471" s="4" t="str">
        <f aca="false">FLOOR(B471,10)&amp;"s"</f>
        <v>2020s</v>
      </c>
      <c r="D471" s="4" t="s">
        <v>646</v>
      </c>
      <c r="E471" s="25" t="str">
        <f aca="false">IF(G471=1,"✓","")</f>
        <v>✓</v>
      </c>
      <c r="F471" s="4" t="n">
        <v>1</v>
      </c>
      <c r="G471" s="4" t="n">
        <f aca="false">IF(COUNTIF('Letterboxd Watched'!$E$2:$E$3000,M471)&gt;0,1,0)</f>
        <v>1</v>
      </c>
      <c r="H471" s="4" t="n">
        <v>2</v>
      </c>
      <c r="I471" s="4" t="s">
        <v>213</v>
      </c>
      <c r="J471" s="4" t="s">
        <v>52</v>
      </c>
      <c r="K471" s="4" t="s">
        <v>4144</v>
      </c>
      <c r="L471" s="48" t="str">
        <f aca="false">HYPERLINK("https://boxd.it/z1jW","open")</f>
        <v>open</v>
      </c>
      <c r="M471" s="4" t="str">
        <f aca="false">LOWER(A471)&amp;"|"&amp;B471</f>
        <v>civil war|2024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</row>
    <row r="472" customFormat="false" ht="15" hidden="false" customHeight="false" outlineLevel="0" collapsed="false">
      <c r="A472" s="4" t="s">
        <v>1010</v>
      </c>
      <c r="B472" s="4" t="n">
        <v>1970</v>
      </c>
      <c r="C472" s="4" t="str">
        <f aca="false">FLOOR(B472,10)&amp;"s"</f>
        <v>1970s</v>
      </c>
      <c r="D472" s="4" t="s">
        <v>419</v>
      </c>
      <c r="E472" s="25" t="str">
        <f aca="false">IF(G472=1,"✓","")</f>
        <v/>
      </c>
      <c r="F472" s="4" t="n">
        <v>2</v>
      </c>
      <c r="G472" s="4" t="n">
        <f aca="false">IF(COUNTIF('Letterboxd Watched'!$E$2:$E$3000,M472)&gt;0,1,0)</f>
        <v>0</v>
      </c>
      <c r="H472" s="4" t="n">
        <v>4</v>
      </c>
      <c r="I472" s="4" t="s">
        <v>213</v>
      </c>
      <c r="J472" s="4" t="s">
        <v>52</v>
      </c>
      <c r="K472" s="4" t="s">
        <v>5303</v>
      </c>
      <c r="L472" s="48" t="str">
        <f aca="false">HYPERLINK("https://boxd.it/26aO","open")</f>
        <v>open</v>
      </c>
      <c r="M472" s="4" t="str">
        <f aca="false">LOWER(A472)&amp;"|"&amp;B472</f>
        <v>claire's knee|1970</v>
      </c>
      <c r="N472" s="4" t="n">
        <v>0</v>
      </c>
      <c r="O472" s="4" t="n">
        <v>0</v>
      </c>
      <c r="P472" s="4" t="n">
        <v>0</v>
      </c>
      <c r="Q472" s="4" t="n">
        <v>1</v>
      </c>
      <c r="R472" s="4" t="n">
        <v>1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</row>
    <row r="473" customFormat="false" ht="15" hidden="false" customHeight="false" outlineLevel="0" collapsed="false">
      <c r="A473" s="4" t="s">
        <v>1181</v>
      </c>
      <c r="B473" s="4" t="n">
        <v>2008</v>
      </c>
      <c r="C473" s="4" t="str">
        <f aca="false">FLOOR(B473,10)&amp;"s"</f>
        <v>2000s</v>
      </c>
      <c r="D473" s="4" t="s">
        <v>1182</v>
      </c>
      <c r="E473" s="25" t="str">
        <f aca="false">IF(G473=1,"✓","")</f>
        <v/>
      </c>
      <c r="F473" s="4" t="n">
        <v>2</v>
      </c>
      <c r="G473" s="4" t="n">
        <f aca="false">IF(COUNTIF('Letterboxd Watched'!$E$2:$E$3000,M473)&gt;0,1,0)</f>
        <v>0</v>
      </c>
      <c r="H473" s="4" t="n">
        <v>4</v>
      </c>
      <c r="I473" s="4" t="s">
        <v>213</v>
      </c>
      <c r="J473" s="4" t="s">
        <v>51</v>
      </c>
      <c r="K473" s="4" t="s">
        <v>5304</v>
      </c>
      <c r="L473" s="48" t="str">
        <f aca="false">HYPERLINK("https://boxd.it/1ZMc","open")</f>
        <v>open</v>
      </c>
      <c r="M473" s="4" t="str">
        <f aca="false">LOWER(A473)&amp;"|"&amp;B473</f>
        <v>the class|2008</v>
      </c>
      <c r="N473" s="4" t="n">
        <v>0</v>
      </c>
      <c r="O473" s="4" t="n">
        <v>0</v>
      </c>
      <c r="P473" s="4" t="n">
        <v>1</v>
      </c>
      <c r="Q473" s="4" t="n">
        <v>0</v>
      </c>
      <c r="R473" s="4" t="n">
        <v>0</v>
      </c>
      <c r="S473" s="4" t="n">
        <v>0</v>
      </c>
      <c r="T473" s="4" t="n">
        <v>1</v>
      </c>
      <c r="U473" s="4" t="n">
        <v>0</v>
      </c>
      <c r="V473" s="4" t="n">
        <v>0</v>
      </c>
      <c r="W473" s="4" t="n">
        <v>0</v>
      </c>
    </row>
    <row r="474" customFormat="false" ht="15" hidden="false" customHeight="false" outlineLevel="0" collapsed="false">
      <c r="A474" s="4" t="s">
        <v>3403</v>
      </c>
      <c r="B474" s="4" t="n">
        <v>1960</v>
      </c>
      <c r="C474" s="4" t="str">
        <f aca="false">FLOOR(B474,10)&amp;"s"</f>
        <v>1960s</v>
      </c>
      <c r="D474" s="4" t="s">
        <v>3404</v>
      </c>
      <c r="E474" s="25" t="str">
        <f aca="false">IF(G474=1,"✓","")</f>
        <v/>
      </c>
      <c r="F474" s="4" t="n">
        <v>1</v>
      </c>
      <c r="G474" s="4" t="n">
        <f aca="false">IF(COUNTIF('Letterboxd Watched'!$E$2:$E$3000,M474)&gt;0,1,0)</f>
        <v>0</v>
      </c>
      <c r="H474" s="4" t="n">
        <v>1</v>
      </c>
      <c r="I474" s="4" t="s">
        <v>1327</v>
      </c>
      <c r="J474" s="4" t="s">
        <v>51</v>
      </c>
      <c r="K474" s="4" t="s">
        <v>3964</v>
      </c>
      <c r="L474" s="48" t="str">
        <f aca="false">HYPERLINK("https://letterboxd.com/search/films/Classe+Tous+Risques+1960/","open")</f>
        <v>open</v>
      </c>
      <c r="M474" s="4" t="str">
        <f aca="false">LOWER(A474)&amp;"|"&amp;B474</f>
        <v>classe tous risques|1960</v>
      </c>
      <c r="N474" s="4" t="n">
        <v>0</v>
      </c>
      <c r="O474" s="4" t="n">
        <v>0</v>
      </c>
      <c r="P474" s="4" t="n">
        <v>1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</row>
    <row r="475" customFormat="false" ht="15" hidden="false" customHeight="false" outlineLevel="0" collapsed="false">
      <c r="A475" s="4" t="s">
        <v>3678</v>
      </c>
      <c r="B475" s="4" t="n">
        <v>1993</v>
      </c>
      <c r="C475" s="4" t="str">
        <f aca="false">FLOOR(B475,10)&amp;"s"</f>
        <v>1990s</v>
      </c>
      <c r="D475" s="4" t="s">
        <v>3679</v>
      </c>
      <c r="E475" s="25" t="str">
        <f aca="false">IF(G475=1,"✓","")</f>
        <v/>
      </c>
      <c r="F475" s="4" t="n">
        <v>1</v>
      </c>
      <c r="G475" s="4" t="n">
        <f aca="false">IF(COUNTIF('Letterboxd Watched'!$E$2:$E$3000,M475)&gt;0,1,0)</f>
        <v>0</v>
      </c>
      <c r="H475" s="4" t="n">
        <v>1</v>
      </c>
      <c r="I475" s="4" t="s">
        <v>1327</v>
      </c>
      <c r="J475" s="4" t="s">
        <v>55</v>
      </c>
      <c r="K475" s="4" t="s">
        <v>4332</v>
      </c>
      <c r="L475" s="48" t="str">
        <f aca="false">HYPERLINK("https://letterboxd.com/search/films/Clean+Shaven+1993/","open")</f>
        <v>open</v>
      </c>
      <c r="M475" s="4" t="str">
        <f aca="false">LOWER(A475)&amp;"|"&amp;B475</f>
        <v>clean, shaven|1993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1</v>
      </c>
      <c r="U475" s="4" t="n">
        <v>0</v>
      </c>
      <c r="V475" s="4" t="n">
        <v>0</v>
      </c>
      <c r="W475" s="4" t="n">
        <v>0</v>
      </c>
    </row>
    <row r="476" customFormat="false" ht="15" hidden="false" customHeight="false" outlineLevel="0" collapsed="false">
      <c r="A476" s="4" t="s">
        <v>157</v>
      </c>
      <c r="B476" s="4" t="n">
        <v>1962</v>
      </c>
      <c r="C476" s="4" t="str">
        <f aca="false">FLOOR(B476,10)&amp;"s"</f>
        <v>1960s</v>
      </c>
      <c r="D476" s="4" t="s">
        <v>158</v>
      </c>
      <c r="E476" s="25" t="str">
        <f aca="false">IF(G476=1,"✓","")</f>
        <v/>
      </c>
      <c r="F476" s="4" t="n">
        <v>7</v>
      </c>
      <c r="G476" s="4" t="n">
        <f aca="false">IF(COUNTIF('Letterboxd Watched'!$E$2:$E$3000,M476)&gt;0,1,0)</f>
        <v>0</v>
      </c>
      <c r="H476" s="4" t="n">
        <v>19</v>
      </c>
      <c r="I476" s="4" t="s">
        <v>144</v>
      </c>
      <c r="J476" s="4" t="s">
        <v>50</v>
      </c>
      <c r="K476" s="4" t="s">
        <v>5305</v>
      </c>
      <c r="L476" s="48" t="str">
        <f aca="false">HYPERLINK("https://boxd.it/2agm","open")</f>
        <v>open</v>
      </c>
      <c r="M476" s="4" t="str">
        <f aca="false">LOWER(A476)&amp;"|"&amp;B476</f>
        <v>cléo from 5 to 7|1962</v>
      </c>
      <c r="N476" s="4" t="n">
        <v>0</v>
      </c>
      <c r="O476" s="4" t="n">
        <v>1</v>
      </c>
      <c r="P476" s="4" t="n">
        <v>1</v>
      </c>
      <c r="Q476" s="4" t="n">
        <v>0</v>
      </c>
      <c r="R476" s="4" t="n">
        <v>1</v>
      </c>
      <c r="S476" s="4" t="n">
        <v>1</v>
      </c>
      <c r="T476" s="4" t="n">
        <v>1</v>
      </c>
      <c r="U476" s="4" t="n">
        <v>1</v>
      </c>
      <c r="V476" s="4" t="n">
        <v>1</v>
      </c>
      <c r="W476" s="4" t="n">
        <v>0</v>
      </c>
    </row>
    <row r="477" customFormat="false" ht="15" hidden="false" customHeight="false" outlineLevel="0" collapsed="false">
      <c r="A477" s="4" t="s">
        <v>1104</v>
      </c>
      <c r="B477" s="4" t="n">
        <v>1994</v>
      </c>
      <c r="C477" s="4" t="str">
        <f aca="false">FLOOR(B477,10)&amp;"s"</f>
        <v>1990s</v>
      </c>
      <c r="D477" s="4" t="s">
        <v>1105</v>
      </c>
      <c r="E477" s="25" t="str">
        <f aca="false">IF(G477=1,"✓","")</f>
        <v/>
      </c>
      <c r="F477" s="4" t="n">
        <v>2</v>
      </c>
      <c r="G477" s="4" t="n">
        <f aca="false">IF(COUNTIF('Letterboxd Watched'!$E$2:$E$3000,M477)&gt;0,1,0)</f>
        <v>0</v>
      </c>
      <c r="H477" s="4" t="n">
        <v>4</v>
      </c>
      <c r="I477" s="4" t="s">
        <v>213</v>
      </c>
      <c r="J477" s="4" t="s">
        <v>50</v>
      </c>
      <c r="K477" s="4" t="s">
        <v>5306</v>
      </c>
      <c r="L477" s="48" t="str">
        <f aca="false">HYPERLINK("https://boxd.it/2706","open")</f>
        <v>open</v>
      </c>
      <c r="M477" s="4" t="str">
        <f aca="false">LOWER(A477)&amp;"|"&amp;B477</f>
        <v>clerks|1994</v>
      </c>
      <c r="N477" s="4" t="n">
        <v>0</v>
      </c>
      <c r="O477" s="4" t="n">
        <v>1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1</v>
      </c>
      <c r="V477" s="4" t="n">
        <v>0</v>
      </c>
      <c r="W477" s="4" t="n">
        <v>0</v>
      </c>
    </row>
    <row r="478" customFormat="false" ht="15" hidden="false" customHeight="false" outlineLevel="0" collapsed="false">
      <c r="A478" s="4" t="s">
        <v>1113</v>
      </c>
      <c r="B478" s="4" t="n">
        <v>1995</v>
      </c>
      <c r="C478" s="4" t="str">
        <f aca="false">FLOOR(B478,10)&amp;"s"</f>
        <v>1990s</v>
      </c>
      <c r="D478" s="4" t="s">
        <v>148</v>
      </c>
      <c r="E478" s="25" t="str">
        <f aca="false">IF(G478=1,"✓","")</f>
        <v>✓</v>
      </c>
      <c r="F478" s="4" t="n">
        <v>2</v>
      </c>
      <c r="G478" s="4" t="n">
        <f aca="false">IF(COUNTIF('Letterboxd Watched'!$E$2:$E$3000,M478)&gt;0,1,0)</f>
        <v>1</v>
      </c>
      <c r="H478" s="4" t="n">
        <v>4</v>
      </c>
      <c r="I478" s="4" t="s">
        <v>213</v>
      </c>
      <c r="J478" s="4" t="s">
        <v>53</v>
      </c>
      <c r="K478" s="4" t="s">
        <v>5307</v>
      </c>
      <c r="L478" s="48" t="str">
        <f aca="false">HYPERLINK("https://boxd.it/1D7w","open")</f>
        <v>open</v>
      </c>
      <c r="M478" s="4" t="str">
        <f aca="false">LOWER(A478)&amp;"|"&amp;B478</f>
        <v>clockers|1995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</v>
      </c>
      <c r="S478" s="4" t="n">
        <v>0</v>
      </c>
      <c r="T478" s="4" t="n">
        <v>0</v>
      </c>
      <c r="U478" s="4" t="n">
        <v>1</v>
      </c>
      <c r="V478" s="4" t="n">
        <v>0</v>
      </c>
      <c r="W478" s="4" t="n">
        <v>0</v>
      </c>
    </row>
    <row r="479" customFormat="false" ht="15" hidden="false" customHeight="false" outlineLevel="0" collapsed="false">
      <c r="A479" s="4" t="s">
        <v>597</v>
      </c>
      <c r="B479" s="4" t="n">
        <v>1971</v>
      </c>
      <c r="C479" s="4" t="str">
        <f aca="false">FLOOR(B479,10)&amp;"s"</f>
        <v>1970s</v>
      </c>
      <c r="D479" s="4" t="s">
        <v>187</v>
      </c>
      <c r="E479" s="25" t="str">
        <f aca="false">IF(G479=1,"✓","")</f>
        <v>✓</v>
      </c>
      <c r="F479" s="4" t="n">
        <v>3</v>
      </c>
      <c r="G479" s="4" t="n">
        <f aca="false">IF(COUNTIF('Letterboxd Watched'!$E$2:$E$3000,M479)&gt;0,1,0)</f>
        <v>1</v>
      </c>
      <c r="H479" s="4" t="n">
        <v>6</v>
      </c>
      <c r="I479" s="4" t="s">
        <v>213</v>
      </c>
      <c r="J479" s="4" t="s">
        <v>52</v>
      </c>
      <c r="K479" s="4" t="s">
        <v>5308</v>
      </c>
      <c r="L479" s="48" t="str">
        <f aca="false">HYPERLINK("https://boxd.it/2aVE","open")</f>
        <v>open</v>
      </c>
      <c r="M479" s="4" t="str">
        <f aca="false">LOWER(A479)&amp;"|"&amp;B479</f>
        <v>a clockwork orange|1971</v>
      </c>
      <c r="N479" s="4" t="n">
        <v>0</v>
      </c>
      <c r="O479" s="4" t="n">
        <v>0</v>
      </c>
      <c r="P479" s="4" t="n">
        <v>0</v>
      </c>
      <c r="Q479" s="4" t="n">
        <v>1</v>
      </c>
      <c r="R479" s="4" t="n">
        <v>1</v>
      </c>
      <c r="S479" s="4" t="n">
        <v>0</v>
      </c>
      <c r="T479" s="4" t="n">
        <v>0</v>
      </c>
      <c r="U479" s="4" t="n">
        <v>0</v>
      </c>
      <c r="V479" s="4" t="n">
        <v>1</v>
      </c>
      <c r="W479" s="4" t="n">
        <v>0</v>
      </c>
    </row>
    <row r="480" customFormat="false" ht="15" hidden="false" customHeight="false" outlineLevel="0" collapsed="false">
      <c r="A480" s="4" t="s">
        <v>806</v>
      </c>
      <c r="B480" s="4" t="n">
        <v>1977</v>
      </c>
      <c r="C480" s="4" t="str">
        <f aca="false">FLOOR(B480,10)&amp;"s"</f>
        <v>1970s</v>
      </c>
      <c r="D480" s="4" t="s">
        <v>183</v>
      </c>
      <c r="E480" s="25" t="str">
        <f aca="false">IF(G480=1,"✓","")</f>
        <v>✓</v>
      </c>
      <c r="F480" s="4" t="n">
        <v>2</v>
      </c>
      <c r="G480" s="4" t="n">
        <f aca="false">IF(COUNTIF('Letterboxd Watched'!$E$2:$E$3000,M480)&gt;0,1,0)</f>
        <v>1</v>
      </c>
      <c r="H480" s="4" t="n">
        <v>5</v>
      </c>
      <c r="I480" s="4" t="s">
        <v>144</v>
      </c>
      <c r="J480" s="4" t="s">
        <v>50</v>
      </c>
      <c r="K480" s="4" t="s">
        <v>5309</v>
      </c>
      <c r="L480" s="48" t="str">
        <f aca="false">HYPERLINK("https://boxd.it/29u8","open")</f>
        <v>open</v>
      </c>
      <c r="M480" s="4" t="str">
        <f aca="false">LOWER(A480)&amp;"|"&amp;B480</f>
        <v>close encounters of the third kind|1977</v>
      </c>
      <c r="N480" s="4" t="n">
        <v>0</v>
      </c>
      <c r="O480" s="4" t="n">
        <v>1</v>
      </c>
      <c r="P480" s="4" t="n">
        <v>0</v>
      </c>
      <c r="Q480" s="4" t="n">
        <v>0</v>
      </c>
      <c r="R480" s="4" t="n">
        <v>1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 customFormat="false" ht="15" hidden="false" customHeight="false" outlineLevel="0" collapsed="false">
      <c r="A481" s="4" t="s">
        <v>202</v>
      </c>
      <c r="B481" s="4" t="n">
        <v>1990</v>
      </c>
      <c r="C481" s="4" t="str">
        <f aca="false">FLOOR(B481,10)&amp;"s"</f>
        <v>1990s</v>
      </c>
      <c r="D481" s="4" t="s">
        <v>203</v>
      </c>
      <c r="E481" s="25" t="str">
        <f aca="false">IF(G481=1,"✓","")</f>
        <v/>
      </c>
      <c r="F481" s="4" t="n">
        <v>7</v>
      </c>
      <c r="G481" s="4" t="n">
        <f aca="false">IF(COUNTIF('Letterboxd Watched'!$E$2:$E$3000,M481)&gt;0,1,0)</f>
        <v>0</v>
      </c>
      <c r="H481" s="4" t="n">
        <v>15</v>
      </c>
      <c r="I481" s="4" t="s">
        <v>144</v>
      </c>
      <c r="J481" s="4" t="s">
        <v>51</v>
      </c>
      <c r="K481" s="4" t="s">
        <v>5310</v>
      </c>
      <c r="L481" s="48" t="str">
        <f aca="false">HYPERLINK("https://boxd.it/1m9q","open")</f>
        <v>open</v>
      </c>
      <c r="M481" s="4" t="str">
        <f aca="false">LOWER(A481)&amp;"|"&amp;B481</f>
        <v>close-up|1990</v>
      </c>
      <c r="N481" s="4" t="n">
        <v>0</v>
      </c>
      <c r="O481" s="4" t="n">
        <v>0</v>
      </c>
      <c r="P481" s="4" t="n">
        <v>1</v>
      </c>
      <c r="Q481" s="4" t="n">
        <v>1</v>
      </c>
      <c r="R481" s="4" t="n">
        <v>1</v>
      </c>
      <c r="S481" s="4" t="n">
        <v>0</v>
      </c>
      <c r="T481" s="4" t="n">
        <v>1</v>
      </c>
      <c r="U481" s="4" t="n">
        <v>0</v>
      </c>
      <c r="V481" s="4" t="n">
        <v>1</v>
      </c>
      <c r="W481" s="4" t="n">
        <v>0</v>
      </c>
    </row>
    <row r="482" customFormat="false" ht="15" hidden="false" customHeight="false" outlineLevel="0" collapsed="false">
      <c r="A482" s="4" t="s">
        <v>3864</v>
      </c>
      <c r="B482" s="4" t="n">
        <v>2023</v>
      </c>
      <c r="C482" s="4" t="str">
        <f aca="false">FLOOR(B482,10)&amp;"s"</f>
        <v>2020s</v>
      </c>
      <c r="D482" s="4" t="s">
        <v>793</v>
      </c>
      <c r="E482" s="25" t="str">
        <f aca="false">IF(G482=1,"✓","")</f>
        <v/>
      </c>
      <c r="F482" s="4" t="n">
        <v>1</v>
      </c>
      <c r="G482" s="4" t="n">
        <f aca="false">IF(COUNTIF('Letterboxd Watched'!$E$2:$E$3000,M482)&gt;0,1,0)</f>
        <v>0</v>
      </c>
      <c r="H482" s="4" t="n">
        <v>1</v>
      </c>
      <c r="I482" s="4" t="s">
        <v>1327</v>
      </c>
      <c r="J482" s="4" t="s">
        <v>51</v>
      </c>
      <c r="K482" s="4" t="s">
        <v>4002</v>
      </c>
      <c r="L482" s="48" t="str">
        <f aca="false">HYPERLINK("https://boxd.it/BGhm","open")</f>
        <v>open</v>
      </c>
      <c r="M482" s="4" t="str">
        <f aca="false">LOWER(A482)&amp;"|"&amp;B482</f>
        <v>close your eyes|2023</v>
      </c>
      <c r="N482" s="4" t="n">
        <v>0</v>
      </c>
      <c r="O482" s="4" t="n">
        <v>0</v>
      </c>
      <c r="P482" s="4" t="n">
        <v>1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</row>
    <row r="483" customFormat="false" ht="15" hidden="false" customHeight="false" outlineLevel="0" collapsed="false">
      <c r="A483" s="4" t="s">
        <v>1470</v>
      </c>
      <c r="B483" s="4" t="n">
        <v>1966</v>
      </c>
      <c r="C483" s="4" t="str">
        <f aca="false">FLOOR(B483,10)&amp;"s"</f>
        <v>1960s</v>
      </c>
      <c r="D483" s="4" t="s">
        <v>1471</v>
      </c>
      <c r="E483" s="25" t="str">
        <f aca="false">IF(G483=1,"✓","")</f>
        <v/>
      </c>
      <c r="F483" s="4" t="n">
        <v>1</v>
      </c>
      <c r="G483" s="4" t="n">
        <f aca="false">IF(COUNTIF('Letterboxd Watched'!$E$2:$E$3000,M483)&gt;0,1,0)</f>
        <v>0</v>
      </c>
      <c r="H483" s="4" t="n">
        <v>3</v>
      </c>
      <c r="I483" s="4" t="s">
        <v>144</v>
      </c>
      <c r="J483" s="4" t="s">
        <v>51</v>
      </c>
      <c r="K483" s="4" t="s">
        <v>3992</v>
      </c>
      <c r="L483" s="48" t="str">
        <f aca="false">HYPERLINK("https://letterboxd.com/search/films/Closely+Watched+Trains+1966/","open")</f>
        <v>open</v>
      </c>
      <c r="M483" s="4" t="str">
        <f aca="false">LOWER(A483)&amp;"|"&amp;B483</f>
        <v>closely watched trains|1966</v>
      </c>
      <c r="N483" s="4" t="n">
        <v>0</v>
      </c>
      <c r="O483" s="4" t="n">
        <v>0</v>
      </c>
      <c r="P483" s="4" t="n">
        <v>1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</row>
    <row r="484" customFormat="false" ht="15" hidden="false" customHeight="false" outlineLevel="0" collapsed="false">
      <c r="A484" s="4" t="s">
        <v>3745</v>
      </c>
      <c r="B484" s="4" t="n">
        <v>2004</v>
      </c>
      <c r="C484" s="4" t="str">
        <f aca="false">FLOOR(B484,10)&amp;"s"</f>
        <v>2000s</v>
      </c>
      <c r="D484" s="4" t="s">
        <v>357</v>
      </c>
      <c r="E484" s="25" t="str">
        <f aca="false">IF(G484=1,"✓","")</f>
        <v/>
      </c>
      <c r="F484" s="4" t="n">
        <v>1</v>
      </c>
      <c r="G484" s="4" t="n">
        <f aca="false">IF(COUNTIF('Letterboxd Watched'!$E$2:$E$3000,M484)&gt;0,1,0)</f>
        <v>0</v>
      </c>
      <c r="H484" s="4" t="n">
        <v>1</v>
      </c>
      <c r="I484" s="4" t="s">
        <v>1327</v>
      </c>
      <c r="J484" s="4" t="s">
        <v>53</v>
      </c>
      <c r="K484" s="4" t="s">
        <v>4267</v>
      </c>
      <c r="L484" s="48" t="str">
        <f aca="false">HYPERLINK("https://boxd.it/270K","open")</f>
        <v>open</v>
      </c>
      <c r="M484" s="4" t="str">
        <f aca="false">LOWER(A484)&amp;"|"&amp;B484</f>
        <v>closer|2004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</row>
    <row r="485" customFormat="false" ht="15" hidden="false" customHeight="false" outlineLevel="0" collapsed="false">
      <c r="A485" s="4" t="s">
        <v>3007</v>
      </c>
      <c r="B485" s="4" t="n">
        <v>2012</v>
      </c>
      <c r="C485" s="4" t="str">
        <f aca="false">FLOOR(B485,10)&amp;"s"</f>
        <v>2010s</v>
      </c>
      <c r="D485" s="4" t="s">
        <v>3008</v>
      </c>
      <c r="E485" s="25" t="str">
        <f aca="false">IF(G485=1,"✓","")</f>
        <v/>
      </c>
      <c r="F485" s="4" t="n">
        <v>1</v>
      </c>
      <c r="G485" s="4" t="n">
        <f aca="false">IF(COUNTIF('Letterboxd Watched'!$E$2:$E$3000,M485)&gt;0,1,0)</f>
        <v>0</v>
      </c>
      <c r="H485" s="4" t="n">
        <v>2</v>
      </c>
      <c r="I485" s="4" t="s">
        <v>213</v>
      </c>
      <c r="J485" s="4" t="s">
        <v>54</v>
      </c>
      <c r="K485" s="4" t="s">
        <v>4304</v>
      </c>
      <c r="L485" s="48" t="str">
        <f aca="false">HYPERLINK("https://boxd.it/2W60","open")</f>
        <v>open</v>
      </c>
      <c r="M485" s="4" t="str">
        <f aca="false">LOWER(A485)&amp;"|"&amp;B485</f>
        <v>cloud atlas|2012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1</v>
      </c>
      <c r="T485" s="4" t="n">
        <v>0</v>
      </c>
      <c r="U485" s="4" t="n">
        <v>0</v>
      </c>
      <c r="V485" s="4" t="n">
        <v>0</v>
      </c>
      <c r="W485" s="4" t="n">
        <v>0</v>
      </c>
    </row>
    <row r="486" customFormat="false" ht="15" hidden="false" customHeight="false" outlineLevel="0" collapsed="false">
      <c r="A486" s="4" t="s">
        <v>1974</v>
      </c>
      <c r="B486" s="4" t="n">
        <v>1960</v>
      </c>
      <c r="C486" s="4" t="str">
        <f aca="false">FLOOR(B486,10)&amp;"s"</f>
        <v>1960s</v>
      </c>
      <c r="D486" s="4" t="s">
        <v>1975</v>
      </c>
      <c r="E486" s="25" t="str">
        <f aca="false">IF(G486=1,"✓","")</f>
        <v/>
      </c>
      <c r="F486" s="4" t="n">
        <v>1</v>
      </c>
      <c r="G486" s="4" t="n">
        <f aca="false">IF(COUNTIF('Letterboxd Watched'!$E$2:$E$3000,M486)&gt;0,1,0)</f>
        <v>0</v>
      </c>
      <c r="H486" s="4" t="n">
        <v>2</v>
      </c>
      <c r="I486" s="4" t="s">
        <v>213</v>
      </c>
      <c r="J486" s="4" t="s">
        <v>51</v>
      </c>
      <c r="K486" s="4" t="s">
        <v>4026</v>
      </c>
      <c r="L486" s="48" t="str">
        <f aca="false">HYPERLINK("https://boxd.it/ix2","open")</f>
        <v>open</v>
      </c>
      <c r="M486" s="4" t="str">
        <f aca="false">LOWER(A486)&amp;"|"&amp;B486</f>
        <v>the cloud-capped star|1960</v>
      </c>
      <c r="N486" s="4" t="n">
        <v>0</v>
      </c>
      <c r="O486" s="4" t="n">
        <v>0</v>
      </c>
      <c r="P486" s="4" t="n">
        <v>1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</row>
    <row r="487" customFormat="false" ht="15" hidden="false" customHeight="false" outlineLevel="0" collapsed="false">
      <c r="A487" s="4" t="s">
        <v>1183</v>
      </c>
      <c r="B487" s="4" t="n">
        <v>2008</v>
      </c>
      <c r="C487" s="4" t="str">
        <f aca="false">FLOOR(B487,10)&amp;"s"</f>
        <v>2000s</v>
      </c>
      <c r="D487" s="4" t="s">
        <v>1184</v>
      </c>
      <c r="E487" s="25" t="str">
        <f aca="false">IF(G487=1,"✓","")</f>
        <v/>
      </c>
      <c r="F487" s="4" t="n">
        <v>2</v>
      </c>
      <c r="G487" s="4" t="n">
        <f aca="false">IF(COUNTIF('Letterboxd Watched'!$E$2:$E$3000,M487)&gt;0,1,0)</f>
        <v>0</v>
      </c>
      <c r="H487" s="4" t="n">
        <v>4</v>
      </c>
      <c r="I487" s="4" t="s">
        <v>213</v>
      </c>
      <c r="J487" s="4" t="s">
        <v>52</v>
      </c>
      <c r="K487" s="4" t="s">
        <v>5311</v>
      </c>
      <c r="L487" s="48" t="str">
        <f aca="false">HYPERLINK("https://boxd.it/2192","open")</f>
        <v>open</v>
      </c>
      <c r="M487" s="4" t="str">
        <f aca="false">LOWER(A487)&amp;"|"&amp;B487</f>
        <v>cloverfield|2008</v>
      </c>
      <c r="N487" s="4" t="n">
        <v>0</v>
      </c>
      <c r="O487" s="4" t="n">
        <v>0</v>
      </c>
      <c r="P487" s="4" t="n">
        <v>0</v>
      </c>
      <c r="Q487" s="4" t="n">
        <v>1</v>
      </c>
      <c r="R487" s="4" t="n">
        <v>0</v>
      </c>
      <c r="S487" s="4" t="n">
        <v>0</v>
      </c>
      <c r="T487" s="4" t="n">
        <v>0</v>
      </c>
      <c r="U487" s="4" t="n">
        <v>1</v>
      </c>
      <c r="V487" s="4" t="n">
        <v>0</v>
      </c>
      <c r="W487" s="4" t="n">
        <v>0</v>
      </c>
    </row>
    <row r="488" customFormat="false" ht="15" hidden="false" customHeight="false" outlineLevel="0" collapsed="false">
      <c r="A488" s="4" t="s">
        <v>2423</v>
      </c>
      <c r="B488" s="4" t="n">
        <v>1985</v>
      </c>
      <c r="C488" s="4" t="str">
        <f aca="false">FLOOR(B488,10)&amp;"s"</f>
        <v>1980s</v>
      </c>
      <c r="D488" s="4" t="s">
        <v>2424</v>
      </c>
      <c r="E488" s="25" t="str">
        <f aca="false">IF(G488=1,"✓","")</f>
        <v/>
      </c>
      <c r="F488" s="4" t="n">
        <v>1</v>
      </c>
      <c r="G488" s="4" t="n">
        <f aca="false">IF(COUNTIF('Letterboxd Watched'!$E$2:$E$3000,M488)&gt;0,1,0)</f>
        <v>0</v>
      </c>
      <c r="H488" s="4" t="n">
        <v>2</v>
      </c>
      <c r="I488" s="4" t="s">
        <v>213</v>
      </c>
      <c r="J488" s="4" t="s">
        <v>56</v>
      </c>
      <c r="K488" s="4" t="s">
        <v>4378</v>
      </c>
      <c r="L488" s="48" t="str">
        <f aca="false">HYPERLINK("https://boxd.it/1MDQ","open")</f>
        <v>open</v>
      </c>
      <c r="M488" s="4" t="str">
        <f aca="false">LOWER(A488)&amp;"|"&amp;B488</f>
        <v>clue|1985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1</v>
      </c>
      <c r="V488" s="4" t="n">
        <v>0</v>
      </c>
      <c r="W488" s="4" t="n">
        <v>0</v>
      </c>
    </row>
    <row r="489" customFormat="false" ht="15" hidden="false" customHeight="false" outlineLevel="0" collapsed="false">
      <c r="A489" s="4" t="s">
        <v>2611</v>
      </c>
      <c r="B489" s="4" t="n">
        <v>1995</v>
      </c>
      <c r="C489" s="4" t="str">
        <f aca="false">FLOOR(B489,10)&amp;"s"</f>
        <v>1990s</v>
      </c>
      <c r="D489" s="4" t="s">
        <v>2612</v>
      </c>
      <c r="E489" s="25" t="str">
        <f aca="false">IF(G489=1,"✓","")</f>
        <v/>
      </c>
      <c r="F489" s="4" t="n">
        <v>1</v>
      </c>
      <c r="G489" s="4" t="n">
        <f aca="false">IF(COUNTIF('Letterboxd Watched'!$E$2:$E$3000,M489)&gt;0,1,0)</f>
        <v>0</v>
      </c>
      <c r="H489" s="4" t="n">
        <v>2</v>
      </c>
      <c r="I489" s="4" t="s">
        <v>213</v>
      </c>
      <c r="J489" s="4" t="s">
        <v>52</v>
      </c>
      <c r="K489" s="4" t="s">
        <v>4152</v>
      </c>
      <c r="L489" s="48" t="str">
        <f aca="false">HYPERLINK("https://boxd.it/1Ygk","open")</f>
        <v>open</v>
      </c>
      <c r="M489" s="4" t="str">
        <f aca="false">LOWER(A489)&amp;"|"&amp;B489</f>
        <v>clueless|1995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 customFormat="false" ht="15" hidden="false" customHeight="false" outlineLevel="0" collapsed="false">
      <c r="A490" s="4" t="s">
        <v>1142</v>
      </c>
      <c r="B490" s="4" t="n">
        <v>2000</v>
      </c>
      <c r="C490" s="4" t="str">
        <f aca="false">FLOOR(B490,10)&amp;"s"</f>
        <v>2000s</v>
      </c>
      <c r="D490" s="4" t="s">
        <v>516</v>
      </c>
      <c r="E490" s="25" t="str">
        <f aca="false">IF(G490=1,"✓","")</f>
        <v/>
      </c>
      <c r="F490" s="4" t="n">
        <v>2</v>
      </c>
      <c r="G490" s="4" t="n">
        <f aca="false">IF(COUNTIF('Letterboxd Watched'!$E$2:$E$3000,M490)&gt;0,1,0)</f>
        <v>0</v>
      </c>
      <c r="H490" s="4" t="n">
        <v>4</v>
      </c>
      <c r="I490" s="4" t="s">
        <v>213</v>
      </c>
      <c r="J490" s="4" t="s">
        <v>53</v>
      </c>
      <c r="K490" s="4" t="s">
        <v>5151</v>
      </c>
      <c r="L490" s="48" t="str">
        <f aca="false">HYPERLINK("https://boxd.it/1kaw","open")</f>
        <v>open</v>
      </c>
      <c r="M490" s="4" t="str">
        <f aca="false">LOWER(A490)&amp;"|"&amp;B490</f>
        <v>code unknown|2000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</v>
      </c>
      <c r="S490" s="4" t="n">
        <v>1</v>
      </c>
      <c r="T490" s="4" t="n">
        <v>0</v>
      </c>
      <c r="U490" s="4" t="n">
        <v>0</v>
      </c>
      <c r="V490" s="4" t="n">
        <v>0</v>
      </c>
      <c r="W490" s="4" t="n">
        <v>0</v>
      </c>
    </row>
    <row r="491" customFormat="false" ht="15" hidden="false" customHeight="false" outlineLevel="0" collapsed="false">
      <c r="A491" s="4" t="s">
        <v>3282</v>
      </c>
      <c r="B491" s="4" t="n">
        <v>1923</v>
      </c>
      <c r="C491" s="4" t="str">
        <f aca="false">FLOOR(B491,10)&amp;"s"</f>
        <v>1920s</v>
      </c>
      <c r="D491" s="4" t="s">
        <v>1697</v>
      </c>
      <c r="E491" s="25" t="str">
        <f aca="false">IF(G491=1,"✓","")</f>
        <v/>
      </c>
      <c r="F491" s="4" t="n">
        <v>1</v>
      </c>
      <c r="G491" s="4" t="n">
        <f aca="false">IF(COUNTIF('Letterboxd Watched'!$E$2:$E$3000,M491)&gt;0,1,0)</f>
        <v>0</v>
      </c>
      <c r="H491" s="4" t="n">
        <v>1</v>
      </c>
      <c r="I491" s="4" t="s">
        <v>1327</v>
      </c>
      <c r="J491" s="4" t="s">
        <v>50</v>
      </c>
      <c r="K491" s="4" t="s">
        <v>3902</v>
      </c>
      <c r="L491" s="48" t="str">
        <f aca="false">HYPERLINK("https://letterboxd.com/search/films/Coeur+fidèle+1923/","open")</f>
        <v>open</v>
      </c>
      <c r="M491" s="4" t="str">
        <f aca="false">LOWER(A491)&amp;"|"&amp;B491</f>
        <v>coeur fidèle|1923</v>
      </c>
      <c r="N491" s="4" t="n">
        <v>0</v>
      </c>
      <c r="O491" s="4" t="n">
        <v>1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</row>
    <row r="492" customFormat="false" ht="15" hidden="false" customHeight="false" outlineLevel="0" collapsed="false">
      <c r="A492" s="4" t="s">
        <v>636</v>
      </c>
      <c r="B492" s="4" t="n">
        <v>2003</v>
      </c>
      <c r="C492" s="4" t="str">
        <f aca="false">FLOOR(B492,10)&amp;"s"</f>
        <v>2000s</v>
      </c>
      <c r="D492" s="4" t="s">
        <v>615</v>
      </c>
      <c r="E492" s="25" t="str">
        <f aca="false">IF(G492=1,"✓","")</f>
        <v>✓</v>
      </c>
      <c r="F492" s="4" t="n">
        <v>3</v>
      </c>
      <c r="G492" s="4" t="n">
        <f aca="false">IF(COUNTIF('Letterboxd Watched'!$E$2:$E$3000,M492)&gt;0,1,0)</f>
        <v>1</v>
      </c>
      <c r="H492" s="4" t="n">
        <v>6</v>
      </c>
      <c r="I492" s="4" t="s">
        <v>213</v>
      </c>
      <c r="J492" s="4" t="s">
        <v>53</v>
      </c>
      <c r="K492" s="4" t="s">
        <v>5312</v>
      </c>
      <c r="L492" s="48" t="str">
        <f aca="false">HYPERLINK("https://boxd.it/29nc","open")</f>
        <v>open</v>
      </c>
      <c r="M492" s="4" t="str">
        <f aca="false">LOWER(A492)&amp;"|"&amp;B492</f>
        <v>coffee and cigarettes|2003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</v>
      </c>
      <c r="S492" s="4" t="n">
        <v>0</v>
      </c>
      <c r="T492" s="4" t="n">
        <v>0</v>
      </c>
      <c r="U492" s="4" t="n">
        <v>1</v>
      </c>
      <c r="V492" s="4" t="n">
        <v>0</v>
      </c>
      <c r="W492" s="4" t="n">
        <v>1</v>
      </c>
    </row>
    <row r="493" customFormat="false" ht="15" hidden="false" customHeight="false" outlineLevel="0" collapsed="false">
      <c r="A493" s="4" t="s">
        <v>1021</v>
      </c>
      <c r="B493" s="4" t="n">
        <v>1973</v>
      </c>
      <c r="C493" s="4" t="str">
        <f aca="false">FLOOR(B493,10)&amp;"s"</f>
        <v>1970s</v>
      </c>
      <c r="D493" s="4" t="s">
        <v>1022</v>
      </c>
      <c r="E493" s="25" t="str">
        <f aca="false">IF(G493=1,"✓","")</f>
        <v/>
      </c>
      <c r="F493" s="4" t="n">
        <v>2</v>
      </c>
      <c r="G493" s="4" t="n">
        <f aca="false">IF(COUNTIF('Letterboxd Watched'!$E$2:$E$3000,M493)&gt;0,1,0)</f>
        <v>0</v>
      </c>
      <c r="H493" s="4" t="n">
        <v>4</v>
      </c>
      <c r="I493" s="4" t="s">
        <v>213</v>
      </c>
      <c r="J493" s="4" t="s">
        <v>54</v>
      </c>
      <c r="K493" s="4" t="s">
        <v>5313</v>
      </c>
      <c r="L493" s="48" t="str">
        <f aca="false">HYPERLINK("https://letterboxd.com/search/films/Coffy+1973/","open")</f>
        <v>open</v>
      </c>
      <c r="M493" s="4" t="str">
        <f aca="false">LOWER(A493)&amp;"|"&amp;B493</f>
        <v>coffy|1973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</v>
      </c>
      <c r="T493" s="4" t="n">
        <v>0</v>
      </c>
      <c r="U493" s="4" t="n">
        <v>1</v>
      </c>
      <c r="V493" s="4" t="n">
        <v>0</v>
      </c>
      <c r="W493" s="4" t="n">
        <v>0</v>
      </c>
    </row>
    <row r="494" customFormat="false" ht="15" hidden="false" customHeight="false" outlineLevel="0" collapsed="false">
      <c r="A494" s="4" t="s">
        <v>1413</v>
      </c>
      <c r="B494" s="4" t="n">
        <v>2013</v>
      </c>
      <c r="C494" s="4" t="str">
        <f aca="false">FLOOR(B494,10)&amp;"s"</f>
        <v>2010s</v>
      </c>
      <c r="D494" s="4" t="s">
        <v>1414</v>
      </c>
      <c r="E494" s="25" t="str">
        <f aca="false">IF(G494=1,"✓","")</f>
        <v/>
      </c>
      <c r="F494" s="4" t="n">
        <v>2</v>
      </c>
      <c r="G494" s="4" t="n">
        <f aca="false">IF(COUNTIF('Letterboxd Watched'!$E$2:$E$3000,M494)&gt;0,1,0)</f>
        <v>0</v>
      </c>
      <c r="H494" s="4" t="n">
        <v>3</v>
      </c>
      <c r="I494" s="4" t="s">
        <v>213</v>
      </c>
      <c r="J494" s="4" t="s">
        <v>52</v>
      </c>
      <c r="K494" s="4" t="s">
        <v>5314</v>
      </c>
      <c r="L494" s="48" t="str">
        <f aca="false">HYPERLINK("https://boxd.it/6xza","open")</f>
        <v>open</v>
      </c>
      <c r="M494" s="4" t="str">
        <f aca="false">LOWER(A494)&amp;"|"&amp;B494</f>
        <v>coherence|2013</v>
      </c>
      <c r="N494" s="4" t="n">
        <v>0</v>
      </c>
      <c r="O494" s="4" t="n">
        <v>0</v>
      </c>
      <c r="P494" s="4" t="n">
        <v>0</v>
      </c>
      <c r="Q494" s="4" t="n">
        <v>1</v>
      </c>
      <c r="R494" s="4" t="n">
        <v>0</v>
      </c>
      <c r="S494" s="4" t="n">
        <v>0</v>
      </c>
      <c r="T494" s="4" t="n">
        <v>0</v>
      </c>
      <c r="U494" s="4" t="n">
        <v>1</v>
      </c>
      <c r="V494" s="4" t="n">
        <v>0</v>
      </c>
      <c r="W494" s="4" t="n">
        <v>0</v>
      </c>
    </row>
    <row r="495" customFormat="false" ht="15" hidden="false" customHeight="false" outlineLevel="0" collapsed="false">
      <c r="A495" s="4" t="s">
        <v>3137</v>
      </c>
      <c r="B495" s="4" t="n">
        <v>2018</v>
      </c>
      <c r="C495" s="4" t="str">
        <f aca="false">FLOOR(B495,10)&amp;"s"</f>
        <v>2010s</v>
      </c>
      <c r="D495" s="4" t="s">
        <v>1622</v>
      </c>
      <c r="E495" s="25" t="str">
        <f aca="false">IF(G495=1,"✓","")</f>
        <v/>
      </c>
      <c r="F495" s="4" t="n">
        <v>1</v>
      </c>
      <c r="G495" s="4" t="n">
        <f aca="false">IF(COUNTIF('Letterboxd Watched'!$E$2:$E$3000,M495)&gt;0,1,0)</f>
        <v>0</v>
      </c>
      <c r="H495" s="4" t="n">
        <v>2</v>
      </c>
      <c r="I495" s="4" t="s">
        <v>213</v>
      </c>
      <c r="J495" s="4" t="s">
        <v>51</v>
      </c>
      <c r="K495" s="4" t="s">
        <v>3994</v>
      </c>
      <c r="L495" s="48" t="str">
        <f aca="false">HYPERLINK("https://boxd.it/fEoc","open")</f>
        <v>open</v>
      </c>
      <c r="M495" s="4" t="str">
        <f aca="false">LOWER(A495)&amp;"|"&amp;B495</f>
        <v>cold war|2018</v>
      </c>
      <c r="N495" s="4" t="n">
        <v>0</v>
      </c>
      <c r="O495" s="4" t="n">
        <v>0</v>
      </c>
      <c r="P495" s="4" t="n">
        <v>1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</row>
    <row r="496" customFormat="false" ht="15" hidden="false" customHeight="false" outlineLevel="0" collapsed="false">
      <c r="A496" s="4" t="s">
        <v>514</v>
      </c>
      <c r="B496" s="4" t="n">
        <v>2004</v>
      </c>
      <c r="C496" s="4" t="str">
        <f aca="false">FLOOR(B496,10)&amp;"s"</f>
        <v>2000s</v>
      </c>
      <c r="D496" s="4" t="s">
        <v>296</v>
      </c>
      <c r="E496" s="25" t="str">
        <f aca="false">IF(G496=1,"✓","")</f>
        <v>✓</v>
      </c>
      <c r="F496" s="4" t="n">
        <v>3</v>
      </c>
      <c r="G496" s="4" t="n">
        <f aca="false">IF(COUNTIF('Letterboxd Watched'!$E$2:$E$3000,M496)&gt;0,1,0)</f>
        <v>1</v>
      </c>
      <c r="H496" s="4" t="n">
        <v>7</v>
      </c>
      <c r="I496" s="4" t="s">
        <v>144</v>
      </c>
      <c r="J496" s="4" t="s">
        <v>53</v>
      </c>
      <c r="K496" s="4" t="s">
        <v>5315</v>
      </c>
      <c r="L496" s="48" t="str">
        <f aca="false">HYPERLINK("https://boxd.it/28F0","open")</f>
        <v>open</v>
      </c>
      <c r="M496" s="4" t="str">
        <f aca="false">LOWER(A496)&amp;"|"&amp;B496</f>
        <v>collateral|2004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</v>
      </c>
      <c r="S496" s="4" t="n">
        <v>0</v>
      </c>
      <c r="T496" s="4" t="n">
        <v>1</v>
      </c>
      <c r="U496" s="4" t="n">
        <v>1</v>
      </c>
      <c r="V496" s="4" t="n">
        <v>0</v>
      </c>
      <c r="W496" s="4" t="n">
        <v>0</v>
      </c>
    </row>
    <row r="497" customFormat="false" ht="15" hidden="false" customHeight="false" outlineLevel="0" collapsed="false">
      <c r="A497" s="4" t="s">
        <v>2108</v>
      </c>
      <c r="B497" s="4" t="n">
        <v>1967</v>
      </c>
      <c r="C497" s="4" t="str">
        <f aca="false">FLOOR(B497,10)&amp;"s"</f>
        <v>1960s</v>
      </c>
      <c r="D497" s="4" t="s">
        <v>419</v>
      </c>
      <c r="E497" s="25" t="str">
        <f aca="false">IF(G497=1,"✓","")</f>
        <v/>
      </c>
      <c r="F497" s="4" t="n">
        <v>1</v>
      </c>
      <c r="G497" s="4" t="n">
        <f aca="false">IF(COUNTIF('Letterboxd Watched'!$E$2:$E$3000,M497)&gt;0,1,0)</f>
        <v>0</v>
      </c>
      <c r="H497" s="4" t="n">
        <v>2</v>
      </c>
      <c r="I497" s="4" t="s">
        <v>213</v>
      </c>
      <c r="J497" s="4" t="s">
        <v>53</v>
      </c>
      <c r="K497" s="4" t="s">
        <v>4226</v>
      </c>
      <c r="L497" s="48" t="str">
        <f aca="false">HYPERLINK("https://boxd.it/23Ls","open")</f>
        <v>open</v>
      </c>
      <c r="M497" s="4" t="str">
        <f aca="false">LOWER(A497)&amp;"|"&amp;B497</f>
        <v>la collectionneuse|1967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</row>
    <row r="498" customFormat="false" ht="15" hidden="false" customHeight="false" outlineLevel="0" collapsed="false">
      <c r="A498" s="4" t="s">
        <v>1648</v>
      </c>
      <c r="B498" s="4" t="n">
        <v>1969</v>
      </c>
      <c r="C498" s="4" t="str">
        <f aca="false">FLOOR(B498,10)&amp;"s"</f>
        <v>1960s</v>
      </c>
      <c r="D498" s="4" t="s">
        <v>1649</v>
      </c>
      <c r="E498" s="25" t="str">
        <f aca="false">IF(G498=1,"✓","")</f>
        <v/>
      </c>
      <c r="F498" s="4" t="n">
        <v>2</v>
      </c>
      <c r="G498" s="4" t="n">
        <f aca="false">IF(COUNTIF('Letterboxd Watched'!$E$2:$E$3000,M498)&gt;0,1,0)</f>
        <v>0</v>
      </c>
      <c r="H498" s="4" t="n">
        <v>2</v>
      </c>
      <c r="I498" s="4" t="s">
        <v>1327</v>
      </c>
      <c r="J498" s="4" t="s">
        <v>49</v>
      </c>
      <c r="K498" s="4" t="s">
        <v>5316</v>
      </c>
      <c r="L498" s="48" t="str">
        <f aca="false">HYPERLINK("https://boxd.it/1u94","open")</f>
        <v>open</v>
      </c>
      <c r="M498" s="4" t="str">
        <f aca="false">LOWER(A498)&amp;"|"&amp;B498</f>
        <v>the color of pomegranates|1969</v>
      </c>
      <c r="N498" s="4" t="n">
        <v>1</v>
      </c>
      <c r="O498" s="4" t="n">
        <v>0</v>
      </c>
      <c r="P498" s="4" t="n">
        <v>1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 customFormat="false" ht="15" hidden="false" customHeight="false" outlineLevel="0" collapsed="false">
      <c r="A499" s="4" t="s">
        <v>3175</v>
      </c>
      <c r="B499" s="4" t="n">
        <v>2019</v>
      </c>
      <c r="C499" s="4" t="str">
        <f aca="false">FLOOR(B499,10)&amp;"s"</f>
        <v>2010s</v>
      </c>
      <c r="D499" s="4" t="s">
        <v>3176</v>
      </c>
      <c r="E499" s="25" t="str">
        <f aca="false">IF(G499=1,"✓","")</f>
        <v/>
      </c>
      <c r="F499" s="4" t="n">
        <v>1</v>
      </c>
      <c r="G499" s="4" t="n">
        <f aca="false">IF(COUNTIF('Letterboxd Watched'!$E$2:$E$3000,M499)&gt;0,1,0)</f>
        <v>0</v>
      </c>
      <c r="H499" s="4" t="n">
        <v>2</v>
      </c>
      <c r="I499" s="4" t="s">
        <v>213</v>
      </c>
      <c r="J499" s="4" t="s">
        <v>52</v>
      </c>
      <c r="K499" s="4" t="s">
        <v>4080</v>
      </c>
      <c r="L499" s="48" t="str">
        <f aca="false">HYPERLINK("https://boxd.it/k1HY","open")</f>
        <v>open</v>
      </c>
      <c r="M499" s="4" t="str">
        <f aca="false">LOWER(A499)&amp;"|"&amp;B499</f>
        <v>color out of space|2019</v>
      </c>
      <c r="N499" s="4" t="n">
        <v>0</v>
      </c>
      <c r="O499" s="4" t="n">
        <v>0</v>
      </c>
      <c r="P499" s="4" t="n">
        <v>0</v>
      </c>
      <c r="Q499" s="4" t="n">
        <v>1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</row>
    <row r="500" customFormat="false" ht="15" hidden="false" customHeight="false" outlineLevel="0" collapsed="false">
      <c r="A500" s="4" t="s">
        <v>2165</v>
      </c>
      <c r="B500" s="4" t="n">
        <v>1970</v>
      </c>
      <c r="C500" s="4" t="str">
        <f aca="false">FLOOR(B500,10)&amp;"s"</f>
        <v>1970s</v>
      </c>
      <c r="D500" s="4" t="s">
        <v>1026</v>
      </c>
      <c r="E500" s="25" t="str">
        <f aca="false">IF(G500=1,"✓","")</f>
        <v/>
      </c>
      <c r="F500" s="4" t="n">
        <v>1</v>
      </c>
      <c r="G500" s="4" t="n">
        <f aca="false">IF(COUNTIF('Letterboxd Watched'!$E$2:$E$3000,M500)&gt;0,1,0)</f>
        <v>0</v>
      </c>
      <c r="H500" s="4" t="n">
        <v>2</v>
      </c>
      <c r="I500" s="4" t="s">
        <v>213</v>
      </c>
      <c r="J500" s="4" t="s">
        <v>55</v>
      </c>
      <c r="K500" s="4" t="s">
        <v>4340</v>
      </c>
      <c r="L500" s="48" t="str">
        <f aca="false">HYPERLINK("https://boxd.it/1Nmw","open")</f>
        <v>open</v>
      </c>
      <c r="M500" s="4" t="str">
        <f aca="false">LOWER(A500)&amp;"|"&amp;B500</f>
        <v>colossus: the forbin project|1970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1</v>
      </c>
      <c r="U500" s="4" t="n">
        <v>0</v>
      </c>
      <c r="V500" s="4" t="n">
        <v>0</v>
      </c>
      <c r="W500" s="4" t="n">
        <v>0</v>
      </c>
    </row>
    <row r="501" customFormat="false" ht="15" hidden="false" customHeight="false" outlineLevel="0" collapsed="false">
      <c r="A501" s="4" t="s">
        <v>1236</v>
      </c>
      <c r="B501" s="4" t="n">
        <v>2017</v>
      </c>
      <c r="C501" s="4" t="str">
        <f aca="false">FLOOR(B501,10)&amp;"s"</f>
        <v>2010s</v>
      </c>
      <c r="D501" s="4" t="s">
        <v>1237</v>
      </c>
      <c r="E501" s="25" t="str">
        <f aca="false">IF(G501=1,"✓","")</f>
        <v/>
      </c>
      <c r="F501" s="4" t="n">
        <v>2</v>
      </c>
      <c r="G501" s="4" t="n">
        <f aca="false">IF(COUNTIF('Letterboxd Watched'!$E$2:$E$3000,M501)&gt;0,1,0)</f>
        <v>0</v>
      </c>
      <c r="H501" s="4" t="n">
        <v>4</v>
      </c>
      <c r="I501" s="4" t="s">
        <v>213</v>
      </c>
      <c r="J501" s="4" t="s">
        <v>52</v>
      </c>
      <c r="K501" s="4" t="s">
        <v>5317</v>
      </c>
      <c r="L501" s="48" t="str">
        <f aca="false">HYPERLINK("https://boxd.it/eCuA","open")</f>
        <v>open</v>
      </c>
      <c r="M501" s="4" t="str">
        <f aca="false">LOWER(A501)&amp;"|"&amp;B501</f>
        <v>columbus|2017</v>
      </c>
      <c r="N501" s="4" t="n">
        <v>0</v>
      </c>
      <c r="O501" s="4" t="n">
        <v>0</v>
      </c>
      <c r="P501" s="4" t="n">
        <v>0</v>
      </c>
      <c r="Q501" s="4" t="n">
        <v>1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1</v>
      </c>
    </row>
    <row r="502" customFormat="false" ht="15" hidden="false" customHeight="false" outlineLevel="0" collapsed="false">
      <c r="A502" s="4" t="s">
        <v>1978</v>
      </c>
      <c r="B502" s="4" t="n">
        <v>1960</v>
      </c>
      <c r="C502" s="4" t="str">
        <f aca="false">FLOOR(B502,10)&amp;"s"</f>
        <v>1960s</v>
      </c>
      <c r="D502" s="4" t="s">
        <v>1451</v>
      </c>
      <c r="E502" s="25" t="str">
        <f aca="false">IF(G502=1,"✓","")</f>
        <v/>
      </c>
      <c r="F502" s="4" t="n">
        <v>1</v>
      </c>
      <c r="G502" s="4" t="n">
        <f aca="false">IF(COUNTIF('Letterboxd Watched'!$E$2:$E$3000,M502)&gt;0,1,0)</f>
        <v>0</v>
      </c>
      <c r="H502" s="4" t="n">
        <v>2</v>
      </c>
      <c r="I502" s="4" t="s">
        <v>213</v>
      </c>
      <c r="J502" s="4" t="s">
        <v>52</v>
      </c>
      <c r="K502" s="4" t="s">
        <v>4050</v>
      </c>
      <c r="L502" s="48" t="str">
        <f aca="false">HYPERLINK("https://letterboxd.com/search/films/Comanche+Station+1960/","open")</f>
        <v>open</v>
      </c>
      <c r="M502" s="4" t="str">
        <f aca="false">LOWER(A502)&amp;"|"&amp;B502</f>
        <v>comanche station|1960</v>
      </c>
      <c r="N502" s="4" t="n">
        <v>0</v>
      </c>
      <c r="O502" s="4" t="n">
        <v>0</v>
      </c>
      <c r="P502" s="4" t="n">
        <v>0</v>
      </c>
      <c r="Q502" s="4" t="n">
        <v>1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</row>
    <row r="503" customFormat="false" ht="15" hidden="false" customHeight="false" outlineLevel="0" collapsed="false">
      <c r="A503" s="4" t="s">
        <v>436</v>
      </c>
      <c r="B503" s="4" t="n">
        <v>1985</v>
      </c>
      <c r="C503" s="4" t="str">
        <f aca="false">FLOOR(B503,10)&amp;"s"</f>
        <v>1980s</v>
      </c>
      <c r="D503" s="4" t="s">
        <v>437</v>
      </c>
      <c r="E503" s="25" t="str">
        <f aca="false">IF(G503=1,"✓","")</f>
        <v/>
      </c>
      <c r="F503" s="4" t="n">
        <v>3</v>
      </c>
      <c r="G503" s="4" t="n">
        <f aca="false">IF(COUNTIF('Letterboxd Watched'!$E$2:$E$3000,M503)&gt;0,1,0)</f>
        <v>0</v>
      </c>
      <c r="H503" s="4" t="n">
        <v>8</v>
      </c>
      <c r="I503" s="4" t="s">
        <v>144</v>
      </c>
      <c r="J503" s="4" t="s">
        <v>51</v>
      </c>
      <c r="K503" s="4" t="s">
        <v>5318</v>
      </c>
      <c r="L503" s="48" t="str">
        <f aca="false">HYPERLINK("https://boxd.it/1w9q","open")</f>
        <v>open</v>
      </c>
      <c r="M503" s="4" t="str">
        <f aca="false">LOWER(A503)&amp;"|"&amp;B503</f>
        <v>come and see|1985</v>
      </c>
      <c r="N503" s="4" t="n">
        <v>0</v>
      </c>
      <c r="O503" s="4" t="n">
        <v>0</v>
      </c>
      <c r="P503" s="4" t="n">
        <v>1</v>
      </c>
      <c r="Q503" s="4" t="n">
        <v>1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</row>
    <row r="504" customFormat="false" ht="15" hidden="false" customHeight="false" outlineLevel="0" collapsed="false">
      <c r="A504" s="4" t="s">
        <v>2078</v>
      </c>
      <c r="B504" s="4" t="n">
        <v>1966</v>
      </c>
      <c r="C504" s="4" t="str">
        <f aca="false">FLOOR(B504,10)&amp;"s"</f>
        <v>1960s</v>
      </c>
      <c r="D504" s="4" t="s">
        <v>1483</v>
      </c>
      <c r="E504" s="25" t="str">
        <f aca="false">IF(G504=1,"✓","")</f>
        <v/>
      </c>
      <c r="F504" s="4" t="n">
        <v>1</v>
      </c>
      <c r="G504" s="4" t="n">
        <f aca="false">IF(COUNTIF('Letterboxd Watched'!$E$2:$E$3000,M504)&gt;0,1,0)</f>
        <v>0</v>
      </c>
      <c r="H504" s="4" t="n">
        <v>2</v>
      </c>
      <c r="I504" s="4" t="s">
        <v>213</v>
      </c>
      <c r="J504" s="4" t="s">
        <v>51</v>
      </c>
      <c r="K504" s="4" t="s">
        <v>4012</v>
      </c>
      <c r="L504" s="48" t="str">
        <f aca="false">HYPERLINK("https://boxd.it/1uf2","open")</f>
        <v>open</v>
      </c>
      <c r="M504" s="4" t="str">
        <f aca="false">LOWER(A504)&amp;"|"&amp;B504</f>
        <v>come drink with me|1966</v>
      </c>
      <c r="N504" s="4" t="n">
        <v>0</v>
      </c>
      <c r="O504" s="4" t="n">
        <v>0</v>
      </c>
      <c r="P504" s="4" t="n">
        <v>1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</row>
    <row r="505" customFormat="false" ht="15" hidden="false" customHeight="false" outlineLevel="0" collapsed="false">
      <c r="A505" s="4" t="s">
        <v>3000</v>
      </c>
      <c r="B505" s="4" t="n">
        <v>2012</v>
      </c>
      <c r="C505" s="4" t="str">
        <f aca="false">FLOOR(B505,10)&amp;"s"</f>
        <v>2010s</v>
      </c>
      <c r="D505" s="4" t="s">
        <v>3001</v>
      </c>
      <c r="E505" s="25" t="str">
        <f aca="false">IF(G505=1,"✓","")</f>
        <v/>
      </c>
      <c r="F505" s="4" t="n">
        <v>1</v>
      </c>
      <c r="G505" s="4" t="n">
        <f aca="false">IF(COUNTIF('Letterboxd Watched'!$E$2:$E$3000,M505)&gt;0,1,0)</f>
        <v>0</v>
      </c>
      <c r="H505" s="4" t="n">
        <v>2</v>
      </c>
      <c r="I505" s="4" t="s">
        <v>213</v>
      </c>
      <c r="J505" s="4" t="s">
        <v>52</v>
      </c>
      <c r="K505" s="4" t="s">
        <v>4106</v>
      </c>
      <c r="L505" s="48" t="str">
        <f aca="false">HYPERLINK("https://boxd.it/2XNO","open")</f>
        <v>open</v>
      </c>
      <c r="M505" s="4" t="str">
        <f aca="false">LOWER(A505)&amp;"|"&amp;B505</f>
        <v>the comedy|2012</v>
      </c>
      <c r="N505" s="4" t="n">
        <v>0</v>
      </c>
      <c r="O505" s="4" t="n">
        <v>0</v>
      </c>
      <c r="P505" s="4" t="n">
        <v>0</v>
      </c>
      <c r="Q505" s="4" t="n">
        <v>1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 customFormat="false" ht="15" hidden="false" customHeight="false" outlineLevel="0" collapsed="false">
      <c r="A506" s="4" t="s">
        <v>1040</v>
      </c>
      <c r="B506" s="4" t="n">
        <v>1978</v>
      </c>
      <c r="C506" s="4" t="str">
        <f aca="false">FLOOR(B506,10)&amp;"s"</f>
        <v>1970s</v>
      </c>
      <c r="D506" s="4" t="s">
        <v>310</v>
      </c>
      <c r="E506" s="25" t="str">
        <f aca="false">IF(G506=1,"✓","")</f>
        <v/>
      </c>
      <c r="F506" s="4" t="n">
        <v>2</v>
      </c>
      <c r="G506" s="4" t="n">
        <f aca="false">IF(COUNTIF('Letterboxd Watched'!$E$2:$E$3000,M506)&gt;0,1,0)</f>
        <v>0</v>
      </c>
      <c r="H506" s="4" t="n">
        <v>4</v>
      </c>
      <c r="I506" s="4" t="s">
        <v>213</v>
      </c>
      <c r="J506" s="4" t="s">
        <v>52</v>
      </c>
      <c r="K506" s="4" t="s">
        <v>5319</v>
      </c>
      <c r="L506" s="48" t="str">
        <f aca="false">HYPERLINK("https://boxd.it/1iBA","open")</f>
        <v>open</v>
      </c>
      <c r="M506" s="4" t="str">
        <f aca="false">LOWER(A506)&amp;"|"&amp;B506</f>
        <v>coming home|1978</v>
      </c>
      <c r="N506" s="4" t="n">
        <v>0</v>
      </c>
      <c r="O506" s="4" t="n">
        <v>0</v>
      </c>
      <c r="P506" s="4" t="n">
        <v>0</v>
      </c>
      <c r="Q506" s="4" t="n">
        <v>1</v>
      </c>
      <c r="R506" s="4" t="n">
        <v>1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</row>
    <row r="507" customFormat="false" ht="15" hidden="false" customHeight="false" outlineLevel="0" collapsed="false">
      <c r="A507" s="4" t="s">
        <v>2469</v>
      </c>
      <c r="B507" s="4" t="n">
        <v>1988</v>
      </c>
      <c r="C507" s="4" t="str">
        <f aca="false">FLOOR(B507,10)&amp;"s"</f>
        <v>1980s</v>
      </c>
      <c r="D507" s="4" t="s">
        <v>1062</v>
      </c>
      <c r="E507" s="25" t="str">
        <f aca="false">IF(G507=1,"✓","")</f>
        <v/>
      </c>
      <c r="F507" s="4" t="n">
        <v>1</v>
      </c>
      <c r="G507" s="4" t="n">
        <f aca="false">IF(COUNTIF('Letterboxd Watched'!$E$2:$E$3000,M507)&gt;0,1,0)</f>
        <v>0</v>
      </c>
      <c r="H507" s="4" t="n">
        <v>2</v>
      </c>
      <c r="I507" s="4" t="s">
        <v>213</v>
      </c>
      <c r="J507" s="4" t="s">
        <v>52</v>
      </c>
      <c r="K507" s="4" t="s">
        <v>4108</v>
      </c>
      <c r="L507" s="48" t="str">
        <f aca="false">HYPERLINK("https://boxd.it/1Ygu","open")</f>
        <v>open</v>
      </c>
      <c r="M507" s="4" t="str">
        <f aca="false">LOWER(A507)&amp;"|"&amp;B507</f>
        <v>coming to america|1988</v>
      </c>
      <c r="N507" s="4" t="n">
        <v>0</v>
      </c>
      <c r="O507" s="4" t="n">
        <v>0</v>
      </c>
      <c r="P507" s="4" t="n">
        <v>0</v>
      </c>
      <c r="Q507" s="4" t="n">
        <v>1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</row>
    <row r="508" customFormat="false" ht="15" hidden="false" customHeight="false" outlineLevel="0" collapsed="false">
      <c r="A508" s="4" t="s">
        <v>2536</v>
      </c>
      <c r="B508" s="4" t="n">
        <v>1991</v>
      </c>
      <c r="C508" s="4" t="str">
        <f aca="false">FLOOR(B508,10)&amp;"s"</f>
        <v>1990s</v>
      </c>
      <c r="D508" s="4" t="s">
        <v>2316</v>
      </c>
      <c r="E508" s="25" t="str">
        <f aca="false">IF(G508=1,"✓","")</f>
        <v/>
      </c>
      <c r="F508" s="4" t="n">
        <v>1</v>
      </c>
      <c r="G508" s="4" t="n">
        <f aca="false">IF(COUNTIF('Letterboxd Watched'!$E$2:$E$3000,M508)&gt;0,1,0)</f>
        <v>0</v>
      </c>
      <c r="H508" s="4" t="n">
        <v>2</v>
      </c>
      <c r="I508" s="4" t="s">
        <v>213</v>
      </c>
      <c r="J508" s="4" t="s">
        <v>55</v>
      </c>
      <c r="K508" s="4" t="s">
        <v>4366</v>
      </c>
      <c r="L508" s="48" t="str">
        <f aca="false">HYPERLINK("https://boxd.it/1TiA","open")</f>
        <v>open</v>
      </c>
      <c r="M508" s="4" t="str">
        <f aca="false">LOWER(A508)&amp;"|"&amp;B508</f>
        <v>the commitments|1991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</v>
      </c>
      <c r="U508" s="4" t="n">
        <v>0</v>
      </c>
      <c r="V508" s="4" t="n">
        <v>0</v>
      </c>
      <c r="W508" s="4" t="n">
        <v>0</v>
      </c>
    </row>
    <row r="509" customFormat="false" ht="15" hidden="false" customHeight="false" outlineLevel="0" collapsed="false">
      <c r="A509" s="4" t="s">
        <v>3468</v>
      </c>
      <c r="B509" s="4" t="n">
        <v>1970</v>
      </c>
      <c r="C509" s="4" t="str">
        <f aca="false">FLOOR(B509,10)&amp;"s"</f>
        <v>1970s</v>
      </c>
      <c r="D509" s="4" t="s">
        <v>668</v>
      </c>
      <c r="E509" s="25" t="str">
        <f aca="false">IF(G509=1,"✓","")</f>
        <v/>
      </c>
      <c r="F509" s="4" t="n">
        <v>1</v>
      </c>
      <c r="G509" s="4" t="n">
        <f aca="false">IF(COUNTIF('Letterboxd Watched'!$E$2:$E$3000,M509)&gt;0,1,0)</f>
        <v>0</v>
      </c>
      <c r="H509" s="4" t="n">
        <v>1</v>
      </c>
      <c r="I509" s="4" t="s">
        <v>1327</v>
      </c>
      <c r="J509" s="4" t="s">
        <v>51</v>
      </c>
      <c r="K509" s="4" t="s">
        <v>3948</v>
      </c>
      <c r="L509" s="48" t="str">
        <f aca="false">HYPERLINK("https://boxd.it/eCM","open")</f>
        <v>open</v>
      </c>
      <c r="M509" s="4" t="str">
        <f aca="false">LOWER(A509)&amp;"|"&amp;B509</f>
        <v>compañeros|1970</v>
      </c>
      <c r="N509" s="4" t="n">
        <v>0</v>
      </c>
      <c r="O509" s="4" t="n">
        <v>0</v>
      </c>
      <c r="P509" s="4" t="n">
        <v>1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</row>
    <row r="510" customFormat="false" ht="15" hidden="false" customHeight="false" outlineLevel="0" collapsed="false">
      <c r="A510" s="4" t="s">
        <v>2184</v>
      </c>
      <c r="B510" s="4" t="n">
        <v>1971</v>
      </c>
      <c r="C510" s="4" t="str">
        <f aca="false">FLOOR(B510,10)&amp;"s"</f>
        <v>1970s</v>
      </c>
      <c r="D510" s="4" t="s">
        <v>253</v>
      </c>
      <c r="E510" s="25" t="str">
        <f aca="false">IF(G510=1,"✓","")</f>
        <v/>
      </c>
      <c r="F510" s="4" t="n">
        <v>1</v>
      </c>
      <c r="G510" s="4" t="n">
        <f aca="false">IF(COUNTIF('Letterboxd Watched'!$E$2:$E$3000,M510)&gt;0,1,0)</f>
        <v>0</v>
      </c>
      <c r="H510" s="4" t="n">
        <v>2</v>
      </c>
      <c r="I510" s="4" t="s">
        <v>213</v>
      </c>
      <c r="J510" s="4" t="s">
        <v>53</v>
      </c>
      <c r="K510" s="4" t="s">
        <v>253</v>
      </c>
      <c r="L510" s="48" t="str">
        <f aca="false">HYPERLINK("https://letterboxd.com/search/films/Company+Limited+1971/","open")</f>
        <v>open</v>
      </c>
      <c r="M510" s="4" t="str">
        <f aca="false">LOWER(A510)&amp;"|"&amp;B510</f>
        <v>company limited|1971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</row>
    <row r="511" customFormat="false" ht="15" hidden="false" customHeight="false" outlineLevel="0" collapsed="false">
      <c r="A511" s="4" t="s">
        <v>3040</v>
      </c>
      <c r="B511" s="4" t="n">
        <v>2013</v>
      </c>
      <c r="C511" s="4" t="str">
        <f aca="false">FLOOR(B511,10)&amp;"s"</f>
        <v>2010s</v>
      </c>
      <c r="D511" s="4" t="s">
        <v>1584</v>
      </c>
      <c r="E511" s="25" t="str">
        <f aca="false">IF(G511=1,"✓","")</f>
        <v/>
      </c>
      <c r="F511" s="4" t="n">
        <v>1</v>
      </c>
      <c r="G511" s="4" t="n">
        <f aca="false">IF(COUNTIF('Letterboxd Watched'!$E$2:$E$3000,M511)&gt;0,1,0)</f>
        <v>0</v>
      </c>
      <c r="H511" s="4" t="n">
        <v>2</v>
      </c>
      <c r="I511" s="4" t="s">
        <v>213</v>
      </c>
      <c r="J511" s="4" t="s">
        <v>54</v>
      </c>
      <c r="K511" s="4" t="s">
        <v>4312</v>
      </c>
      <c r="L511" s="48" t="str">
        <f aca="false">HYPERLINK("https://boxd.it/4Y1g","open")</f>
        <v>open</v>
      </c>
      <c r="M511" s="4" t="str">
        <f aca="false">LOWER(A511)&amp;"|"&amp;B511</f>
        <v>computer chess|2013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1</v>
      </c>
      <c r="T511" s="4" t="n">
        <v>0</v>
      </c>
      <c r="U511" s="4" t="n">
        <v>0</v>
      </c>
      <c r="V511" s="4" t="n">
        <v>0</v>
      </c>
      <c r="W511" s="4" t="n">
        <v>0</v>
      </c>
    </row>
    <row r="512" customFormat="false" ht="15" hidden="false" customHeight="false" outlineLevel="0" collapsed="false">
      <c r="A512" s="4" t="s">
        <v>3265</v>
      </c>
      <c r="B512" s="4" t="n">
        <v>2024</v>
      </c>
      <c r="C512" s="4" t="str">
        <f aca="false">FLOOR(B512,10)&amp;"s"</f>
        <v>2020s</v>
      </c>
      <c r="D512" s="4" t="s">
        <v>3224</v>
      </c>
      <c r="E512" s="25" t="str">
        <f aca="false">IF(G512=1,"✓","")</f>
        <v/>
      </c>
      <c r="F512" s="4" t="n">
        <v>1</v>
      </c>
      <c r="G512" s="4" t="n">
        <f aca="false">IF(COUNTIF('Letterboxd Watched'!$E$2:$E$3000,M512)&gt;0,1,0)</f>
        <v>0</v>
      </c>
      <c r="H512" s="4" t="n">
        <v>2</v>
      </c>
      <c r="I512" s="4" t="s">
        <v>213</v>
      </c>
      <c r="J512" s="4" t="s">
        <v>55</v>
      </c>
      <c r="K512" s="4" t="s">
        <v>4330</v>
      </c>
      <c r="L512" s="48" t="str">
        <f aca="false">HYPERLINK("https://boxd.it/AO8q","open")</f>
        <v>open</v>
      </c>
      <c r="M512" s="4" t="str">
        <f aca="false">LOWER(A512)&amp;"|"&amp;B512</f>
        <v>conclave|2024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1</v>
      </c>
      <c r="U512" s="4" t="n">
        <v>0</v>
      </c>
      <c r="V512" s="4" t="n">
        <v>0</v>
      </c>
      <c r="W512" s="4" t="n">
        <v>0</v>
      </c>
    </row>
    <row r="513" customFormat="false" ht="15" hidden="false" customHeight="false" outlineLevel="0" collapsed="false">
      <c r="A513" s="4" t="s">
        <v>2780</v>
      </c>
      <c r="B513" s="4" t="n">
        <v>2002</v>
      </c>
      <c r="C513" s="4" t="str">
        <f aca="false">FLOOR(B513,10)&amp;"s"</f>
        <v>2000s</v>
      </c>
      <c r="D513" s="4" t="s">
        <v>2781</v>
      </c>
      <c r="E513" s="25" t="str">
        <f aca="false">IF(G513=1,"✓","")</f>
        <v/>
      </c>
      <c r="F513" s="4" t="n">
        <v>1</v>
      </c>
      <c r="G513" s="4" t="n">
        <f aca="false">IF(COUNTIF('Letterboxd Watched'!$E$2:$E$3000,M513)&gt;0,1,0)</f>
        <v>0</v>
      </c>
      <c r="H513" s="4" t="n">
        <v>2</v>
      </c>
      <c r="I513" s="4" t="s">
        <v>213</v>
      </c>
      <c r="J513" s="4" t="s">
        <v>53</v>
      </c>
      <c r="K513" s="4" t="s">
        <v>4216</v>
      </c>
      <c r="L513" s="48" t="str">
        <f aca="false">HYPERLINK("https://boxd.it/23Gi","open")</f>
        <v>open</v>
      </c>
      <c r="M513" s="4" t="str">
        <f aca="false">LOWER(A513)&amp;"|"&amp;B513</f>
        <v>confessions of a dangerous mind|2002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</row>
    <row r="514" customFormat="false" ht="15" hidden="false" customHeight="false" outlineLevel="0" collapsed="false">
      <c r="A514" s="4" t="s">
        <v>591</v>
      </c>
      <c r="B514" s="4" t="n">
        <v>1970</v>
      </c>
      <c r="C514" s="4" t="str">
        <f aca="false">FLOOR(B514,10)&amp;"s"</f>
        <v>1970s</v>
      </c>
      <c r="D514" s="4" t="s">
        <v>592</v>
      </c>
      <c r="E514" s="25" t="str">
        <f aca="false">IF(G514=1,"✓","")</f>
        <v/>
      </c>
      <c r="F514" s="4" t="n">
        <v>3</v>
      </c>
      <c r="G514" s="4" t="n">
        <f aca="false">IF(COUNTIF('Letterboxd Watched'!$E$2:$E$3000,M514)&gt;0,1,0)</f>
        <v>0</v>
      </c>
      <c r="H514" s="4" t="n">
        <v>6</v>
      </c>
      <c r="I514" s="4" t="s">
        <v>213</v>
      </c>
      <c r="J514" s="4" t="s">
        <v>49</v>
      </c>
      <c r="K514" s="4" t="s">
        <v>5320</v>
      </c>
      <c r="L514" s="48" t="str">
        <f aca="false">HYPERLINK("https://boxd.it/20cE","open")</f>
        <v>open</v>
      </c>
      <c r="M514" s="4" t="str">
        <f aca="false">LOWER(A514)&amp;"|"&amp;B514</f>
        <v>the conformist|1970</v>
      </c>
      <c r="N514" s="4" t="n">
        <v>1</v>
      </c>
      <c r="O514" s="4" t="n">
        <v>0</v>
      </c>
      <c r="P514" s="4" t="n">
        <v>1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1</v>
      </c>
    </row>
    <row r="515" customFormat="false" ht="15" hidden="false" customHeight="false" outlineLevel="0" collapsed="false">
      <c r="A515" s="4" t="s">
        <v>2593</v>
      </c>
      <c r="B515" s="4" t="n">
        <v>1994</v>
      </c>
      <c r="C515" s="4" t="str">
        <f aca="false">FLOOR(B515,10)&amp;"s"</f>
        <v>1990s</v>
      </c>
      <c r="D515" s="4" t="s">
        <v>223</v>
      </c>
      <c r="E515" s="25" t="str">
        <f aca="false">IF(G515=1,"✓","")</f>
        <v/>
      </c>
      <c r="F515" s="4" t="n">
        <v>1</v>
      </c>
      <c r="G515" s="4" t="n">
        <f aca="false">IF(COUNTIF('Letterboxd Watched'!$E$2:$E$3000,M515)&gt;0,1,0)</f>
        <v>0</v>
      </c>
      <c r="H515" s="4" t="n">
        <v>2</v>
      </c>
      <c r="I515" s="4" t="s">
        <v>213</v>
      </c>
      <c r="J515" s="4" t="s">
        <v>53</v>
      </c>
      <c r="K515" s="4" t="s">
        <v>4255</v>
      </c>
      <c r="L515" s="48" t="str">
        <f aca="false">HYPERLINK("https://boxd.it/uNc","open")</f>
        <v>open</v>
      </c>
      <c r="M515" s="4" t="str">
        <f aca="false">LOWER(A515)&amp;"|"&amp;B515</f>
        <v>a confucian confusion|1994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1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</row>
    <row r="516" customFormat="false" ht="15" hidden="false" customHeight="false" outlineLevel="0" collapsed="false">
      <c r="A516" s="4" t="s">
        <v>3027</v>
      </c>
      <c r="B516" s="4" t="n">
        <v>2013</v>
      </c>
      <c r="C516" s="4" t="str">
        <f aca="false">FLOOR(B516,10)&amp;"s"</f>
        <v>2010s</v>
      </c>
      <c r="D516" s="4" t="s">
        <v>3028</v>
      </c>
      <c r="E516" s="25" t="str">
        <f aca="false">IF(G516=1,"✓","")</f>
        <v/>
      </c>
      <c r="F516" s="4" t="n">
        <v>1</v>
      </c>
      <c r="G516" s="4" t="n">
        <f aca="false">IF(COUNTIF('Letterboxd Watched'!$E$2:$E$3000,M516)&gt;0,1,0)</f>
        <v>0</v>
      </c>
      <c r="H516" s="4" t="n">
        <v>2</v>
      </c>
      <c r="I516" s="4" t="s">
        <v>213</v>
      </c>
      <c r="J516" s="4" t="s">
        <v>52</v>
      </c>
      <c r="K516" s="4" t="s">
        <v>4082</v>
      </c>
      <c r="L516" s="48" t="str">
        <f aca="false">HYPERLINK("https://boxd.it/4sr2","open")</f>
        <v>open</v>
      </c>
      <c r="M516" s="4" t="str">
        <f aca="false">LOWER(A516)&amp;"|"&amp;B516</f>
        <v>the conjuring|2013</v>
      </c>
      <c r="N516" s="4" t="n">
        <v>0</v>
      </c>
      <c r="O516" s="4" t="n">
        <v>0</v>
      </c>
      <c r="P516" s="4" t="n">
        <v>0</v>
      </c>
      <c r="Q516" s="4" t="n">
        <v>1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</row>
    <row r="517" customFormat="false" ht="15" hidden="false" customHeight="false" outlineLevel="0" collapsed="false">
      <c r="A517" s="4" t="s">
        <v>1120</v>
      </c>
      <c r="B517" s="4" t="n">
        <v>1997</v>
      </c>
      <c r="C517" s="4" t="str">
        <f aca="false">FLOOR(B517,10)&amp;"s"</f>
        <v>1990s</v>
      </c>
      <c r="D517" s="4" t="s">
        <v>1070</v>
      </c>
      <c r="E517" s="25" t="str">
        <f aca="false">IF(G517=1,"✓","")</f>
        <v/>
      </c>
      <c r="F517" s="4" t="n">
        <v>2</v>
      </c>
      <c r="G517" s="4" t="n">
        <f aca="false">IF(COUNTIF('Letterboxd Watched'!$E$2:$E$3000,M517)&gt;0,1,0)</f>
        <v>0</v>
      </c>
      <c r="H517" s="4" t="n">
        <v>4</v>
      </c>
      <c r="I517" s="4" t="s">
        <v>213</v>
      </c>
      <c r="J517" s="4" t="s">
        <v>52</v>
      </c>
      <c r="K517" s="4" t="s">
        <v>5321</v>
      </c>
      <c r="L517" s="48" t="str">
        <f aca="false">HYPERLINK("https://boxd.it/29OM","open")</f>
        <v>open</v>
      </c>
      <c r="M517" s="4" t="str">
        <f aca="false">LOWER(A517)&amp;"|"&amp;B517</f>
        <v>contact|1997</v>
      </c>
      <c r="N517" s="4" t="n">
        <v>0</v>
      </c>
      <c r="O517" s="4" t="n">
        <v>0</v>
      </c>
      <c r="P517" s="4" t="n">
        <v>0</v>
      </c>
      <c r="Q517" s="4" t="n">
        <v>1</v>
      </c>
      <c r="R517" s="4" t="n">
        <v>0</v>
      </c>
      <c r="S517" s="4" t="n">
        <v>0</v>
      </c>
      <c r="T517" s="4" t="n">
        <v>1</v>
      </c>
      <c r="U517" s="4" t="n">
        <v>0</v>
      </c>
      <c r="V517" s="4" t="n">
        <v>0</v>
      </c>
      <c r="W517" s="4" t="n">
        <v>0</v>
      </c>
    </row>
    <row r="518" customFormat="false" ht="15" hidden="false" customHeight="false" outlineLevel="0" collapsed="false">
      <c r="A518" s="4" t="s">
        <v>1200</v>
      </c>
      <c r="B518" s="4" t="n">
        <v>2011</v>
      </c>
      <c r="C518" s="4" t="str">
        <f aca="false">FLOOR(B518,10)&amp;"s"</f>
        <v>2010s</v>
      </c>
      <c r="D518" s="4" t="s">
        <v>490</v>
      </c>
      <c r="E518" s="25" t="str">
        <f aca="false">IF(G518=1,"✓","")</f>
        <v>✓</v>
      </c>
      <c r="F518" s="4" t="n">
        <v>2</v>
      </c>
      <c r="G518" s="4" t="n">
        <f aca="false">IF(COUNTIF('Letterboxd Watched'!$E$2:$E$3000,M518)&gt;0,1,0)</f>
        <v>1</v>
      </c>
      <c r="H518" s="4" t="n">
        <v>4</v>
      </c>
      <c r="I518" s="4" t="s">
        <v>213</v>
      </c>
      <c r="J518" s="4" t="s">
        <v>53</v>
      </c>
      <c r="K518" s="4" t="s">
        <v>5322</v>
      </c>
      <c r="L518" s="48" t="str">
        <f aca="false">HYPERLINK("https://boxd.it/13rq","open")</f>
        <v>open</v>
      </c>
      <c r="M518" s="4" t="str">
        <f aca="false">LOWER(A518)&amp;"|"&amp;B518</f>
        <v>contagion|2011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</v>
      </c>
      <c r="S518" s="4" t="n">
        <v>0</v>
      </c>
      <c r="T518" s="4" t="n">
        <v>0</v>
      </c>
      <c r="U518" s="4" t="n">
        <v>1</v>
      </c>
      <c r="V518" s="4" t="n">
        <v>0</v>
      </c>
      <c r="W518" s="4" t="n">
        <v>0</v>
      </c>
    </row>
    <row r="519" customFormat="false" ht="15" hidden="false" customHeight="false" outlineLevel="0" collapsed="false">
      <c r="A519" s="4" t="s">
        <v>462</v>
      </c>
      <c r="B519" s="4" t="n">
        <v>1963</v>
      </c>
      <c r="C519" s="4" t="str">
        <f aca="false">FLOOR(B519,10)&amp;"s"</f>
        <v>1960s</v>
      </c>
      <c r="D519" s="4" t="s">
        <v>152</v>
      </c>
      <c r="E519" s="25" t="str">
        <f aca="false">IF(G519=1,"✓","")</f>
        <v/>
      </c>
      <c r="F519" s="4" t="n">
        <v>3</v>
      </c>
      <c r="G519" s="4" t="n">
        <f aca="false">IF(COUNTIF('Letterboxd Watched'!$E$2:$E$3000,M519)&gt;0,1,0)</f>
        <v>0</v>
      </c>
      <c r="H519" s="4" t="n">
        <v>7</v>
      </c>
      <c r="I519" s="4" t="s">
        <v>144</v>
      </c>
      <c r="J519" s="4" t="s">
        <v>51</v>
      </c>
      <c r="K519" s="4" t="s">
        <v>5323</v>
      </c>
      <c r="L519" s="48" t="str">
        <f aca="false">HYPERLINK("https://boxd.it/2aJe","open")</f>
        <v>open</v>
      </c>
      <c r="M519" s="4" t="str">
        <f aca="false">LOWER(A519)&amp;"|"&amp;B519</f>
        <v>contempt|1963</v>
      </c>
      <c r="N519" s="4" t="n">
        <v>0</v>
      </c>
      <c r="O519" s="4" t="n">
        <v>0</v>
      </c>
      <c r="P519" s="4" t="n">
        <v>1</v>
      </c>
      <c r="Q519" s="4" t="n">
        <v>0</v>
      </c>
      <c r="R519" s="4" t="n">
        <v>1</v>
      </c>
      <c r="S519" s="4" t="n">
        <v>0</v>
      </c>
      <c r="T519" s="4" t="n">
        <v>1</v>
      </c>
      <c r="U519" s="4" t="n">
        <v>0</v>
      </c>
      <c r="V519" s="4" t="n">
        <v>0</v>
      </c>
      <c r="W519" s="4" t="n">
        <v>0</v>
      </c>
    </row>
    <row r="520" customFormat="false" ht="15" hidden="false" customHeight="false" outlineLevel="0" collapsed="false">
      <c r="A520" s="4" t="s">
        <v>3770</v>
      </c>
      <c r="B520" s="4" t="n">
        <v>2007</v>
      </c>
      <c r="C520" s="4" t="str">
        <f aca="false">FLOOR(B520,10)&amp;"s"</f>
        <v>2000s</v>
      </c>
      <c r="D520" s="4" t="s">
        <v>3771</v>
      </c>
      <c r="E520" s="25" t="str">
        <f aca="false">IF(G520=1,"✓","")</f>
        <v/>
      </c>
      <c r="F520" s="4" t="n">
        <v>1</v>
      </c>
      <c r="G520" s="4" t="n">
        <f aca="false">IF(COUNTIF('Letterboxd Watched'!$E$2:$E$3000,M520)&gt;0,1,0)</f>
        <v>0</v>
      </c>
      <c r="H520" s="4" t="n">
        <v>1</v>
      </c>
      <c r="I520" s="4" t="s">
        <v>1327</v>
      </c>
      <c r="J520" s="4" t="s">
        <v>55</v>
      </c>
      <c r="K520" s="4" t="s">
        <v>4366</v>
      </c>
      <c r="L520" s="48" t="str">
        <f aca="false">HYPERLINK("https://boxd.it/22IC","open")</f>
        <v>open</v>
      </c>
      <c r="M520" s="4" t="str">
        <f aca="false">LOWER(A520)&amp;"|"&amp;B520</f>
        <v>control|2007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1</v>
      </c>
      <c r="U520" s="4" t="n">
        <v>0</v>
      </c>
      <c r="V520" s="4" t="n">
        <v>0</v>
      </c>
      <c r="W520" s="4" t="n">
        <v>0</v>
      </c>
    </row>
    <row r="521" customFormat="false" ht="15" hidden="false" customHeight="false" outlineLevel="0" collapsed="false">
      <c r="A521" s="4" t="s">
        <v>171</v>
      </c>
      <c r="B521" s="4" t="n">
        <v>1974</v>
      </c>
      <c r="C521" s="4" t="str">
        <f aca="false">FLOOR(B521,10)&amp;"s"</f>
        <v>1970s</v>
      </c>
      <c r="D521" s="4" t="s">
        <v>172</v>
      </c>
      <c r="E521" s="25" t="str">
        <f aca="false">IF(G521=1,"✓","")</f>
        <v>✓</v>
      </c>
      <c r="F521" s="4" t="n">
        <v>8</v>
      </c>
      <c r="G521" s="4" t="n">
        <f aca="false">IF(COUNTIF('Letterboxd Watched'!$E$2:$E$3000,M521)&gt;0,1,0)</f>
        <v>1</v>
      </c>
      <c r="H521" s="4" t="n">
        <v>18</v>
      </c>
      <c r="I521" s="4" t="s">
        <v>144</v>
      </c>
      <c r="J521" s="4" t="s">
        <v>49</v>
      </c>
      <c r="K521" s="4" t="s">
        <v>5324</v>
      </c>
      <c r="L521" s="48" t="str">
        <f aca="false">HYPERLINK("https://boxd.it/2a38","open")</f>
        <v>open</v>
      </c>
      <c r="M521" s="4" t="str">
        <f aca="false">LOWER(A521)&amp;"|"&amp;B521</f>
        <v>the conversation|1974</v>
      </c>
      <c r="N521" s="4" t="n">
        <v>1</v>
      </c>
      <c r="O521" s="4" t="n">
        <v>0</v>
      </c>
      <c r="P521" s="4" t="n">
        <v>0</v>
      </c>
      <c r="Q521" s="4" t="n">
        <v>1</v>
      </c>
      <c r="R521" s="4" t="n">
        <v>1</v>
      </c>
      <c r="S521" s="4" t="n">
        <v>0</v>
      </c>
      <c r="T521" s="4" t="n">
        <v>1</v>
      </c>
      <c r="U521" s="4" t="n">
        <v>0</v>
      </c>
      <c r="V521" s="4" t="n">
        <v>1</v>
      </c>
      <c r="W521" s="4" t="n">
        <v>1</v>
      </c>
    </row>
    <row r="522" customFormat="false" ht="15" hidden="false" customHeight="false" outlineLevel="0" collapsed="false">
      <c r="A522" s="4" t="s">
        <v>2110</v>
      </c>
      <c r="B522" s="4" t="n">
        <v>1967</v>
      </c>
      <c r="C522" s="4" t="str">
        <f aca="false">FLOOR(B522,10)&amp;"s"</f>
        <v>1960s</v>
      </c>
      <c r="D522" s="4" t="s">
        <v>2111</v>
      </c>
      <c r="E522" s="25" t="str">
        <f aca="false">IF(G522=1,"✓","")</f>
        <v/>
      </c>
      <c r="F522" s="4" t="n">
        <v>1</v>
      </c>
      <c r="G522" s="4" t="n">
        <f aca="false">IF(COUNTIF('Letterboxd Watched'!$E$2:$E$3000,M522)&gt;0,1,0)</f>
        <v>0</v>
      </c>
      <c r="H522" s="4" t="n">
        <v>2</v>
      </c>
      <c r="I522" s="4" t="s">
        <v>213</v>
      </c>
      <c r="J522" s="4" t="s">
        <v>55</v>
      </c>
      <c r="K522" s="4" t="s">
        <v>4326</v>
      </c>
      <c r="L522" s="48" t="str">
        <f aca="false">HYPERLINK("https://boxd.it/29jY","open")</f>
        <v>open</v>
      </c>
      <c r="M522" s="4" t="str">
        <f aca="false">LOWER(A522)&amp;"|"&amp;B522</f>
        <v>cool hand luke|1967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1</v>
      </c>
      <c r="U522" s="4" t="n">
        <v>0</v>
      </c>
      <c r="V522" s="4" t="n">
        <v>0</v>
      </c>
      <c r="W522" s="4" t="n">
        <v>0</v>
      </c>
    </row>
    <row r="523" customFormat="false" ht="15" hidden="false" customHeight="false" outlineLevel="0" collapsed="false">
      <c r="A523" s="4" t="s">
        <v>2924</v>
      </c>
      <c r="B523" s="4" t="n">
        <v>2009</v>
      </c>
      <c r="C523" s="4" t="str">
        <f aca="false">FLOOR(B523,10)&amp;"s"</f>
        <v>2000s</v>
      </c>
      <c r="D523" s="4" t="s">
        <v>1553</v>
      </c>
      <c r="E523" s="25" t="str">
        <f aca="false">IF(G523=1,"✓","")</f>
        <v>✓</v>
      </c>
      <c r="F523" s="4" t="n">
        <v>1</v>
      </c>
      <c r="G523" s="4" t="n">
        <f aca="false">IF(COUNTIF('Letterboxd Watched'!$E$2:$E$3000,M523)&gt;0,1,0)</f>
        <v>1</v>
      </c>
      <c r="H523" s="4" t="n">
        <v>2</v>
      </c>
      <c r="I523" s="4" t="s">
        <v>213</v>
      </c>
      <c r="J523" s="4" t="s">
        <v>52</v>
      </c>
      <c r="K523" s="4" t="s">
        <v>4164</v>
      </c>
      <c r="L523" s="48" t="str">
        <f aca="false">HYPERLINK("https://boxd.it/1NhQ","open")</f>
        <v>open</v>
      </c>
      <c r="M523" s="4" t="str">
        <f aca="false">LOWER(A523)&amp;"|"&amp;B523</f>
        <v>coraline|2009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</row>
    <row r="524" customFormat="false" ht="15" hidden="false" customHeight="false" outlineLevel="0" collapsed="false">
      <c r="A524" s="4" t="s">
        <v>3481</v>
      </c>
      <c r="B524" s="4" t="n">
        <v>1970</v>
      </c>
      <c r="C524" s="4" t="str">
        <f aca="false">FLOOR(B524,10)&amp;"s"</f>
        <v>1970s</v>
      </c>
      <c r="D524" s="4" t="s">
        <v>3482</v>
      </c>
      <c r="E524" s="25" t="str">
        <f aca="false">IF(G524=1,"✓","")</f>
        <v/>
      </c>
      <c r="F524" s="4" t="n">
        <v>1</v>
      </c>
      <c r="G524" s="4" t="n">
        <f aca="false">IF(COUNTIF('Letterboxd Watched'!$E$2:$E$3000,M524)&gt;0,1,0)</f>
        <v>0</v>
      </c>
      <c r="H524" s="4" t="n">
        <v>1</v>
      </c>
      <c r="I524" s="4" t="s">
        <v>1327</v>
      </c>
      <c r="J524" s="4" t="s">
        <v>54</v>
      </c>
      <c r="K524" s="4" t="s">
        <v>4288</v>
      </c>
      <c r="L524" s="48" t="str">
        <f aca="false">HYPERLINK("https://boxd.it/hhM","open")</f>
        <v>open</v>
      </c>
      <c r="M524" s="4" t="str">
        <f aca="false">LOWER(A524)&amp;"|"&amp;B524</f>
        <v>cotton comes to harlem|1970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1</v>
      </c>
      <c r="T524" s="4" t="n">
        <v>0</v>
      </c>
      <c r="U524" s="4" t="n">
        <v>0</v>
      </c>
      <c r="V524" s="4" t="n">
        <v>0</v>
      </c>
      <c r="W524" s="4" t="n">
        <v>0</v>
      </c>
    </row>
    <row r="525" customFormat="false" ht="15" hidden="false" customHeight="false" outlineLevel="0" collapsed="false">
      <c r="A525" s="4" t="s">
        <v>1337</v>
      </c>
      <c r="B525" s="4" t="n">
        <v>1969</v>
      </c>
      <c r="C525" s="4" t="str">
        <f aca="false">FLOOR(B525,10)&amp;"s"</f>
        <v>1960s</v>
      </c>
      <c r="D525" s="4" t="s">
        <v>1338</v>
      </c>
      <c r="E525" s="25" t="str">
        <f aca="false">IF(G525=1,"✓","")</f>
        <v/>
      </c>
      <c r="F525" s="4" t="n">
        <v>2</v>
      </c>
      <c r="G525" s="4" t="n">
        <f aca="false">IF(COUNTIF('Letterboxd Watched'!$E$2:$E$3000,M525)&gt;0,1,0)</f>
        <v>0</v>
      </c>
      <c r="H525" s="4" t="n">
        <v>3</v>
      </c>
      <c r="I525" s="4" t="s">
        <v>213</v>
      </c>
      <c r="J525" s="4" t="s">
        <v>50</v>
      </c>
      <c r="K525" s="4" t="s">
        <v>5325</v>
      </c>
      <c r="L525" s="48" t="str">
        <f aca="false">HYPERLINK("https://letterboxd.com/search/films/The+Cow+1969/","open")</f>
        <v>open</v>
      </c>
      <c r="M525" s="4" t="str">
        <f aca="false">LOWER(A525)&amp;"|"&amp;B525</f>
        <v>the cow|1969</v>
      </c>
      <c r="N525" s="4" t="n">
        <v>0</v>
      </c>
      <c r="O525" s="4" t="n">
        <v>1</v>
      </c>
      <c r="P525" s="4" t="n">
        <v>1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</row>
    <row r="526" customFormat="false" ht="15" hidden="false" customHeight="false" outlineLevel="0" collapsed="false">
      <c r="A526" s="4" t="s">
        <v>750</v>
      </c>
      <c r="B526" s="4" t="n">
        <v>1957</v>
      </c>
      <c r="C526" s="4" t="str">
        <f aca="false">FLOOR(B526,10)&amp;"s"</f>
        <v>1950s</v>
      </c>
      <c r="D526" s="4" t="s">
        <v>751</v>
      </c>
      <c r="E526" s="25" t="str">
        <f aca="false">IF(G526=1,"✓","")</f>
        <v/>
      </c>
      <c r="F526" s="4" t="n">
        <v>2</v>
      </c>
      <c r="G526" s="4" t="n">
        <f aca="false">IF(COUNTIF('Letterboxd Watched'!$E$2:$E$3000,M526)&gt;0,1,0)</f>
        <v>0</v>
      </c>
      <c r="H526" s="4" t="n">
        <v>5</v>
      </c>
      <c r="I526" s="4" t="s">
        <v>144</v>
      </c>
      <c r="J526" s="4" t="s">
        <v>50</v>
      </c>
      <c r="K526" s="4" t="s">
        <v>5326</v>
      </c>
      <c r="L526" s="48" t="str">
        <f aca="false">HYPERLINK("https://boxd.it/169Y","open")</f>
        <v>open</v>
      </c>
      <c r="M526" s="4" t="str">
        <f aca="false">LOWER(A526)&amp;"|"&amp;B526</f>
        <v>the cranes are flying|1957</v>
      </c>
      <c r="N526" s="4" t="n">
        <v>0</v>
      </c>
      <c r="O526" s="4" t="n">
        <v>1</v>
      </c>
      <c r="P526" s="4" t="n">
        <v>1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</row>
    <row r="527" customFormat="false" ht="15" hidden="false" customHeight="false" outlineLevel="0" collapsed="false">
      <c r="A527" s="4" t="s">
        <v>1596</v>
      </c>
      <c r="B527" s="4" t="n">
        <v>2006</v>
      </c>
      <c r="C527" s="4" t="str">
        <f aca="false">FLOOR(B527,10)&amp;"s"</f>
        <v>2000s</v>
      </c>
      <c r="D527" s="4" t="s">
        <v>1597</v>
      </c>
      <c r="E527" s="25" t="str">
        <f aca="false">IF(G527=1,"✓","")</f>
        <v>✓</v>
      </c>
      <c r="F527" s="4" t="n">
        <v>1</v>
      </c>
      <c r="G527" s="4" t="n">
        <f aca="false">IF(COUNTIF('Letterboxd Watched'!$E$2:$E$3000,M527)&gt;0,1,0)</f>
        <v>1</v>
      </c>
      <c r="H527" s="4" t="n">
        <v>3</v>
      </c>
      <c r="I527" s="4" t="s">
        <v>144</v>
      </c>
      <c r="J527" s="4" t="s">
        <v>54</v>
      </c>
      <c r="K527" s="4" t="s">
        <v>4310</v>
      </c>
      <c r="L527" s="48" t="str">
        <f aca="false">HYPERLINK("https://boxd.it/27MY","open")</f>
        <v>open</v>
      </c>
      <c r="M527" s="4" t="str">
        <f aca="false">LOWER(A527)&amp;"|"&amp;B527</f>
        <v>crank|2006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1</v>
      </c>
      <c r="T527" s="4" t="n">
        <v>0</v>
      </c>
      <c r="U527" s="4" t="n">
        <v>0</v>
      </c>
      <c r="V527" s="4" t="n">
        <v>0</v>
      </c>
      <c r="W527" s="4" t="n">
        <v>0</v>
      </c>
    </row>
    <row r="528" customFormat="false" ht="15" hidden="false" customHeight="false" outlineLevel="0" collapsed="false">
      <c r="A528" s="4" t="s">
        <v>2639</v>
      </c>
      <c r="B528" s="4" t="n">
        <v>1996</v>
      </c>
      <c r="C528" s="4" t="str">
        <f aca="false">FLOOR(B528,10)&amp;"s"</f>
        <v>1990s</v>
      </c>
      <c r="D528" s="4" t="s">
        <v>316</v>
      </c>
      <c r="E528" s="25" t="str">
        <f aca="false">IF(G528=1,"✓","")</f>
        <v/>
      </c>
      <c r="F528" s="4" t="n">
        <v>1</v>
      </c>
      <c r="G528" s="4" t="n">
        <f aca="false">IF(COUNTIF('Letterboxd Watched'!$E$2:$E$3000,M528)&gt;0,1,0)</f>
        <v>0</v>
      </c>
      <c r="H528" s="4" t="n">
        <v>2</v>
      </c>
      <c r="I528" s="4" t="s">
        <v>213</v>
      </c>
      <c r="J528" s="4" t="s">
        <v>53</v>
      </c>
      <c r="K528" s="4" t="s">
        <v>316</v>
      </c>
      <c r="L528" s="48" t="str">
        <f aca="false">HYPERLINK("https://boxd.it/29n2","open")</f>
        <v>open</v>
      </c>
      <c r="M528" s="4" t="str">
        <f aca="false">LOWER(A528)&amp;"|"&amp;B528</f>
        <v>crash|1996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</row>
    <row r="529" customFormat="false" ht="15" hidden="false" customHeight="false" outlineLevel="0" collapsed="false">
      <c r="A529" s="4" t="s">
        <v>3142</v>
      </c>
      <c r="B529" s="4" t="n">
        <v>2018</v>
      </c>
      <c r="C529" s="4" t="str">
        <f aca="false">FLOOR(B529,10)&amp;"s"</f>
        <v>2010s</v>
      </c>
      <c r="D529" s="4" t="s">
        <v>3143</v>
      </c>
      <c r="E529" s="25" t="str">
        <f aca="false">IF(G529=1,"✓","")</f>
        <v/>
      </c>
      <c r="F529" s="4" t="n">
        <v>1</v>
      </c>
      <c r="G529" s="4" t="n">
        <f aca="false">IF(COUNTIF('Letterboxd Watched'!$E$2:$E$3000,M529)&gt;0,1,0)</f>
        <v>0</v>
      </c>
      <c r="H529" s="4" t="n">
        <v>2</v>
      </c>
      <c r="I529" s="4" t="s">
        <v>213</v>
      </c>
      <c r="J529" s="4" t="s">
        <v>52</v>
      </c>
      <c r="K529" s="4" t="s">
        <v>4152</v>
      </c>
      <c r="L529" s="48" t="str">
        <f aca="false">HYPERLINK("https://boxd.it/gfnK","open")</f>
        <v>open</v>
      </c>
      <c r="M529" s="4" t="str">
        <f aca="false">LOWER(A529)&amp;"|"&amp;B529</f>
        <v>crazy rich asians|2018</v>
      </c>
      <c r="N529" s="4" t="n">
        <v>0</v>
      </c>
      <c r="O529" s="4" t="n">
        <v>0</v>
      </c>
      <c r="P529" s="4" t="n">
        <v>0</v>
      </c>
      <c r="Q529" s="4" t="n">
        <v>1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</row>
    <row r="530" customFormat="false" ht="15" hidden="false" customHeight="false" outlineLevel="0" collapsed="false">
      <c r="A530" s="4" t="s">
        <v>3786</v>
      </c>
      <c r="B530" s="4" t="n">
        <v>2009</v>
      </c>
      <c r="C530" s="4" t="str">
        <f aca="false">FLOOR(B530,10)&amp;"s"</f>
        <v>2000s</v>
      </c>
      <c r="D530" s="4" t="s">
        <v>3787</v>
      </c>
      <c r="E530" s="25" t="str">
        <f aca="false">IF(G530=1,"✓","")</f>
        <v/>
      </c>
      <c r="F530" s="4" t="n">
        <v>1</v>
      </c>
      <c r="G530" s="4" t="n">
        <f aca="false">IF(COUNTIF('Letterboxd Watched'!$E$2:$E$3000,M530)&gt;0,1,0)</f>
        <v>0</v>
      </c>
      <c r="H530" s="4" t="n">
        <v>1</v>
      </c>
      <c r="I530" s="4" t="s">
        <v>1327</v>
      </c>
      <c r="J530" s="4" t="s">
        <v>55</v>
      </c>
      <c r="K530" s="4" t="s">
        <v>4338</v>
      </c>
      <c r="L530" s="48" t="str">
        <f aca="false">HYPERLINK("https://boxd.it/1llq","open")</f>
        <v>open</v>
      </c>
      <c r="M530" s="4" t="str">
        <f aca="false">LOWER(A530)&amp;"|"&amp;B530</f>
        <v>creation|2009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1</v>
      </c>
      <c r="U530" s="4" t="n">
        <v>0</v>
      </c>
      <c r="V530" s="4" t="n">
        <v>0</v>
      </c>
      <c r="W530" s="4" t="n">
        <v>0</v>
      </c>
    </row>
    <row r="531" customFormat="false" ht="15" hidden="false" customHeight="false" outlineLevel="0" collapsed="false">
      <c r="A531" s="4" t="s">
        <v>1902</v>
      </c>
      <c r="B531" s="4" t="n">
        <v>1954</v>
      </c>
      <c r="C531" s="4" t="str">
        <f aca="false">FLOOR(B531,10)&amp;"s"</f>
        <v>1950s</v>
      </c>
      <c r="D531" s="4" t="s">
        <v>1903</v>
      </c>
      <c r="E531" s="25" t="str">
        <f aca="false">IF(G531=1,"✓","")</f>
        <v/>
      </c>
      <c r="F531" s="4" t="n">
        <v>1</v>
      </c>
      <c r="G531" s="4" t="n">
        <f aca="false">IF(COUNTIF('Letterboxd Watched'!$E$2:$E$3000,M531)&gt;0,1,0)</f>
        <v>0</v>
      </c>
      <c r="H531" s="4" t="n">
        <v>2</v>
      </c>
      <c r="I531" s="4" t="s">
        <v>213</v>
      </c>
      <c r="J531" s="4" t="s">
        <v>52</v>
      </c>
      <c r="K531" s="4" t="s">
        <v>4058</v>
      </c>
      <c r="L531" s="48" t="str">
        <f aca="false">HYPERLINK("https://boxd.it/1UXk","open")</f>
        <v>open</v>
      </c>
      <c r="M531" s="4" t="str">
        <f aca="false">LOWER(A531)&amp;"|"&amp;B531</f>
        <v>creature from the black lagoon|1954</v>
      </c>
      <c r="N531" s="4" t="n">
        <v>0</v>
      </c>
      <c r="O531" s="4" t="n">
        <v>0</v>
      </c>
      <c r="P531" s="4" t="n">
        <v>0</v>
      </c>
      <c r="Q531" s="4" t="n">
        <v>1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</row>
    <row r="532" customFormat="false" ht="15" hidden="false" customHeight="false" outlineLevel="0" collapsed="false">
      <c r="A532" s="4" t="s">
        <v>3052</v>
      </c>
      <c r="B532" s="4" t="n">
        <v>2014</v>
      </c>
      <c r="C532" s="4" t="str">
        <f aca="false">FLOOR(B532,10)&amp;"s"</f>
        <v>2010s</v>
      </c>
      <c r="D532" s="4" t="s">
        <v>3053</v>
      </c>
      <c r="E532" s="25" t="str">
        <f aca="false">IF(G532=1,"✓","")</f>
        <v>✓</v>
      </c>
      <c r="F532" s="4" t="n">
        <v>1</v>
      </c>
      <c r="G532" s="4" t="n">
        <f aca="false">IF(COUNTIF('Letterboxd Watched'!$E$2:$E$3000,M532)&gt;0,1,0)</f>
        <v>1</v>
      </c>
      <c r="H532" s="4" t="n">
        <v>2</v>
      </c>
      <c r="I532" s="4" t="s">
        <v>213</v>
      </c>
      <c r="J532" s="4" t="s">
        <v>52</v>
      </c>
      <c r="K532" s="4" t="s">
        <v>4076</v>
      </c>
      <c r="L532" s="48" t="str">
        <f aca="false">HYPERLINK("https://boxd.it/7l4c","open")</f>
        <v>open</v>
      </c>
      <c r="M532" s="4" t="str">
        <f aca="false">LOWER(A532)&amp;"|"&amp;B532</f>
        <v>creep|2014</v>
      </c>
      <c r="N532" s="4" t="n">
        <v>0</v>
      </c>
      <c r="O532" s="4" t="n">
        <v>0</v>
      </c>
      <c r="P532" s="4" t="n">
        <v>0</v>
      </c>
      <c r="Q532" s="4" t="n">
        <v>1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</row>
    <row r="533" customFormat="false" ht="15" hidden="false" customHeight="false" outlineLevel="0" collapsed="false">
      <c r="A533" s="4" t="s">
        <v>2372</v>
      </c>
      <c r="B533" s="4" t="n">
        <v>1982</v>
      </c>
      <c r="C533" s="4" t="str">
        <f aca="false">FLOOR(B533,10)&amp;"s"</f>
        <v>1980s</v>
      </c>
      <c r="D533" s="4" t="s">
        <v>475</v>
      </c>
      <c r="E533" s="25" t="str">
        <f aca="false">IF(G533=1,"✓","")</f>
        <v/>
      </c>
      <c r="F533" s="4" t="n">
        <v>1</v>
      </c>
      <c r="G533" s="4" t="n">
        <f aca="false">IF(COUNTIF('Letterboxd Watched'!$E$2:$E$3000,M533)&gt;0,1,0)</f>
        <v>0</v>
      </c>
      <c r="H533" s="4" t="n">
        <v>2</v>
      </c>
      <c r="I533" s="4" t="s">
        <v>213</v>
      </c>
      <c r="J533" s="4" t="s">
        <v>56</v>
      </c>
      <c r="K533" s="4" t="s">
        <v>4380</v>
      </c>
      <c r="L533" s="48" t="str">
        <f aca="false">HYPERLINK("https://boxd.it/1KqU","open")</f>
        <v>open</v>
      </c>
      <c r="M533" s="4" t="str">
        <f aca="false">LOWER(A533)&amp;"|"&amp;B533</f>
        <v>creepshow|1982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1</v>
      </c>
      <c r="V533" s="4" t="n">
        <v>0</v>
      </c>
      <c r="W533" s="4" t="n">
        <v>0</v>
      </c>
    </row>
    <row r="534" customFormat="false" ht="15" hidden="false" customHeight="false" outlineLevel="0" collapsed="false">
      <c r="A534" s="4" t="s">
        <v>780</v>
      </c>
      <c r="B534" s="4" t="n">
        <v>1969</v>
      </c>
      <c r="C534" s="4" t="str">
        <f aca="false">FLOOR(B534,10)&amp;"s"</f>
        <v>1960s</v>
      </c>
      <c r="D534" s="4" t="s">
        <v>781</v>
      </c>
      <c r="E534" s="25" t="str">
        <f aca="false">IF(G534=1,"✓","")</f>
        <v/>
      </c>
      <c r="F534" s="4" t="n">
        <v>2</v>
      </c>
      <c r="G534" s="4" t="n">
        <f aca="false">IF(COUNTIF('Letterboxd Watched'!$E$2:$E$3000,M534)&gt;0,1,0)</f>
        <v>0</v>
      </c>
      <c r="H534" s="4" t="n">
        <v>5</v>
      </c>
      <c r="I534" s="4" t="s">
        <v>144</v>
      </c>
      <c r="J534" s="4" t="s">
        <v>51</v>
      </c>
      <c r="K534" s="4" t="s">
        <v>5327</v>
      </c>
      <c r="L534" s="48" t="str">
        <f aca="false">HYPERLINK("https://letterboxd.com/search/films/The+Cremator+1969/","open")</f>
        <v>open</v>
      </c>
      <c r="M534" s="4" t="str">
        <f aca="false">LOWER(A534)&amp;"|"&amp;B534</f>
        <v>the cremator|1969</v>
      </c>
      <c r="N534" s="4" t="n">
        <v>0</v>
      </c>
      <c r="O534" s="4" t="n">
        <v>0</v>
      </c>
      <c r="P534" s="4" t="n">
        <v>1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1</v>
      </c>
      <c r="W534" s="4" t="n">
        <v>0</v>
      </c>
    </row>
    <row r="535" customFormat="false" ht="15" hidden="false" customHeight="false" outlineLevel="0" collapsed="false">
      <c r="A535" s="4" t="s">
        <v>2282</v>
      </c>
      <c r="B535" s="4" t="n">
        <v>1976</v>
      </c>
      <c r="C535" s="4" t="str">
        <f aca="false">FLOOR(B535,10)&amp;"s"</f>
        <v>1970s</v>
      </c>
      <c r="D535" s="4" t="s">
        <v>2283</v>
      </c>
      <c r="E535" s="25" t="str">
        <f aca="false">IF(G535=1,"✓","")</f>
        <v/>
      </c>
      <c r="F535" s="4" t="n">
        <v>1</v>
      </c>
      <c r="G535" s="4" t="n">
        <f aca="false">IF(COUNTIF('Letterboxd Watched'!$E$2:$E$3000,M535)&gt;0,1,0)</f>
        <v>0</v>
      </c>
      <c r="H535" s="4" t="n">
        <v>2</v>
      </c>
      <c r="I535" s="4" t="s">
        <v>213</v>
      </c>
      <c r="J535" s="4" t="s">
        <v>51</v>
      </c>
      <c r="K535" s="4" t="s">
        <v>4002</v>
      </c>
      <c r="L535" s="48" t="str">
        <f aca="false">HYPERLINK("https://letterboxd.com/search/films/Cría+Cuervos+1976/","open")</f>
        <v>open</v>
      </c>
      <c r="M535" s="4" t="str">
        <f aca="false">LOWER(A535)&amp;"|"&amp;B535</f>
        <v>cría cuervos|1976</v>
      </c>
      <c r="N535" s="4" t="n">
        <v>0</v>
      </c>
      <c r="O535" s="4" t="n">
        <v>0</v>
      </c>
      <c r="P535" s="4" t="n">
        <v>1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</row>
    <row r="536" customFormat="false" ht="15" hidden="false" customHeight="false" outlineLevel="0" collapsed="false">
      <c r="A536" s="4" t="s">
        <v>1016</v>
      </c>
      <c r="B536" s="4" t="n">
        <v>1972</v>
      </c>
      <c r="C536" s="4" t="str">
        <f aca="false">FLOOR(B536,10)&amp;"s"</f>
        <v>1970s</v>
      </c>
      <c r="D536" s="4" t="s">
        <v>170</v>
      </c>
      <c r="E536" s="25" t="str">
        <f aca="false">IF(G536=1,"✓","")</f>
        <v/>
      </c>
      <c r="F536" s="4" t="n">
        <v>2</v>
      </c>
      <c r="G536" s="4" t="n">
        <f aca="false">IF(COUNTIF('Letterboxd Watched'!$E$2:$E$3000,M536)&gt;0,1,0)</f>
        <v>0</v>
      </c>
      <c r="H536" s="4" t="n">
        <v>4</v>
      </c>
      <c r="I536" s="4" t="s">
        <v>213</v>
      </c>
      <c r="J536" s="4" t="s">
        <v>53</v>
      </c>
      <c r="K536" s="4" t="s">
        <v>5328</v>
      </c>
      <c r="L536" s="48" t="str">
        <f aca="false">HYPERLINK("https://boxd.it/1WK8","open")</f>
        <v>open</v>
      </c>
      <c r="M536" s="4" t="str">
        <f aca="false">LOWER(A536)&amp;"|"&amp;B536</f>
        <v>cries and whispers|1972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1</v>
      </c>
      <c r="S536" s="4" t="n">
        <v>0</v>
      </c>
      <c r="T536" s="4" t="n">
        <v>1</v>
      </c>
      <c r="U536" s="4" t="n">
        <v>0</v>
      </c>
      <c r="V536" s="4" t="n">
        <v>0</v>
      </c>
      <c r="W536" s="4" t="n">
        <v>0</v>
      </c>
    </row>
    <row r="537" customFormat="false" ht="15" hidden="false" customHeight="false" outlineLevel="0" collapsed="false">
      <c r="A537" s="4" t="s">
        <v>1764</v>
      </c>
      <c r="B537" s="4" t="n">
        <v>1936</v>
      </c>
      <c r="C537" s="4" t="str">
        <f aca="false">FLOOR(B537,10)&amp;"s"</f>
        <v>1930s</v>
      </c>
      <c r="D537" s="4" t="s">
        <v>234</v>
      </c>
      <c r="E537" s="25" t="str">
        <f aca="false">IF(G537=1,"✓","")</f>
        <v/>
      </c>
      <c r="F537" s="4" t="n">
        <v>1</v>
      </c>
      <c r="G537" s="4" t="n">
        <f aca="false">IF(COUNTIF('Letterboxd Watched'!$E$2:$E$3000,M537)&gt;0,1,0)</f>
        <v>0</v>
      </c>
      <c r="H537" s="4" t="n">
        <v>2</v>
      </c>
      <c r="I537" s="4" t="s">
        <v>213</v>
      </c>
      <c r="J537" s="4" t="s">
        <v>53</v>
      </c>
      <c r="K537" s="4" t="s">
        <v>234</v>
      </c>
      <c r="L537" s="48" t="str">
        <f aca="false">HYPERLINK("https://letterboxd.com/search/films/The+Crime+of+Monsieur+Lange+1936/","open")</f>
        <v>open</v>
      </c>
      <c r="M537" s="4" t="str">
        <f aca="false">LOWER(A537)&amp;"|"&amp;B537</f>
        <v>the crime of monsieur lange|1936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</row>
    <row r="538" customFormat="false" ht="15" hidden="false" customHeight="false" outlineLevel="0" collapsed="false">
      <c r="A538" s="4" t="s">
        <v>2501</v>
      </c>
      <c r="B538" s="4" t="n">
        <v>1989</v>
      </c>
      <c r="C538" s="4" t="str">
        <f aca="false">FLOOR(B538,10)&amp;"s"</f>
        <v>1980s</v>
      </c>
      <c r="D538" s="4" t="s">
        <v>604</v>
      </c>
      <c r="E538" s="25" t="str">
        <f aca="false">IF(G538=1,"✓","")</f>
        <v/>
      </c>
      <c r="F538" s="4" t="n">
        <v>1</v>
      </c>
      <c r="G538" s="4" t="n">
        <f aca="false">IF(COUNTIF('Letterboxd Watched'!$E$2:$E$3000,M538)&gt;0,1,0)</f>
        <v>0</v>
      </c>
      <c r="H538" s="4" t="n">
        <v>2</v>
      </c>
      <c r="I538" s="4" t="s">
        <v>213</v>
      </c>
      <c r="J538" s="4" t="s">
        <v>55</v>
      </c>
      <c r="K538" s="4" t="s">
        <v>4328</v>
      </c>
      <c r="L538" s="48" t="str">
        <f aca="false">HYPERLINK("https://boxd.it/1Ty4","open")</f>
        <v>open</v>
      </c>
      <c r="M538" s="4" t="str">
        <f aca="false">LOWER(A538)&amp;"|"&amp;B538</f>
        <v>crimes and misdemeanors|1989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1</v>
      </c>
      <c r="U538" s="4" t="n">
        <v>0</v>
      </c>
      <c r="V538" s="4" t="n">
        <v>0</v>
      </c>
      <c r="W538" s="4" t="n">
        <v>0</v>
      </c>
    </row>
    <row r="539" customFormat="false" ht="15" hidden="false" customHeight="false" outlineLevel="0" collapsed="false">
      <c r="A539" s="4" t="s">
        <v>1422</v>
      </c>
      <c r="B539" s="4" t="n">
        <v>2022</v>
      </c>
      <c r="C539" s="4" t="str">
        <f aca="false">FLOOR(B539,10)&amp;"s"</f>
        <v>2020s</v>
      </c>
      <c r="D539" s="4" t="s">
        <v>316</v>
      </c>
      <c r="E539" s="25" t="str">
        <f aca="false">IF(G539=1,"✓","")</f>
        <v/>
      </c>
      <c r="F539" s="4" t="n">
        <v>2</v>
      </c>
      <c r="G539" s="4" t="n">
        <f aca="false">IF(COUNTIF('Letterboxd Watched'!$E$2:$E$3000,M539)&gt;0,1,0)</f>
        <v>0</v>
      </c>
      <c r="H539" s="4" t="n">
        <v>3</v>
      </c>
      <c r="I539" s="4" t="s">
        <v>213</v>
      </c>
      <c r="J539" s="4" t="s">
        <v>52</v>
      </c>
      <c r="K539" s="4" t="s">
        <v>5329</v>
      </c>
      <c r="L539" s="48" t="str">
        <f aca="false">HYPERLINK("https://boxd.it/uTuY","open")</f>
        <v>open</v>
      </c>
      <c r="M539" s="4" t="str">
        <f aca="false">LOWER(A539)&amp;"|"&amp;B539</f>
        <v>crimes of the future|2022</v>
      </c>
      <c r="N539" s="4" t="n">
        <v>0</v>
      </c>
      <c r="O539" s="4" t="n">
        <v>0</v>
      </c>
      <c r="P539" s="4" t="n">
        <v>0</v>
      </c>
      <c r="Q539" s="4" t="n">
        <v>1</v>
      </c>
      <c r="R539" s="4" t="n">
        <v>1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</row>
    <row r="540" customFormat="false" ht="15" hidden="false" customHeight="false" outlineLevel="0" collapsed="false">
      <c r="A540" s="4" t="s">
        <v>3361</v>
      </c>
      <c r="B540" s="4" t="n">
        <v>1952</v>
      </c>
      <c r="C540" s="4" t="str">
        <f aca="false">FLOOR(B540,10)&amp;"s"</f>
        <v>1950s</v>
      </c>
      <c r="D540" s="4" t="s">
        <v>1837</v>
      </c>
      <c r="E540" s="25" t="str">
        <f aca="false">IF(G540=1,"✓","")</f>
        <v/>
      </c>
      <c r="F540" s="4" t="n">
        <v>1</v>
      </c>
      <c r="G540" s="4" t="n">
        <f aca="false">IF(COUNTIF('Letterboxd Watched'!$E$2:$E$3000,M540)&gt;0,1,0)</f>
        <v>0</v>
      </c>
      <c r="H540" s="4" t="n">
        <v>1</v>
      </c>
      <c r="I540" s="4" t="s">
        <v>1327</v>
      </c>
      <c r="J540" s="4" t="s">
        <v>52</v>
      </c>
      <c r="K540" s="4" t="s">
        <v>4156</v>
      </c>
      <c r="L540" s="48" t="str">
        <f aca="false">HYPERLINK("https://letterboxd.com/search/films/The+Crimson+Pirate+1952/","open")</f>
        <v>open</v>
      </c>
      <c r="M540" s="4" t="str">
        <f aca="false">LOWER(A540)&amp;"|"&amp;B540</f>
        <v>the crimson pirate|1952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</row>
    <row r="541" customFormat="false" ht="15" hidden="false" customHeight="false" outlineLevel="0" collapsed="false">
      <c r="A541" s="4" t="s">
        <v>2625</v>
      </c>
      <c r="B541" s="4" t="n">
        <v>1995</v>
      </c>
      <c r="C541" s="4" t="str">
        <f aca="false">FLOOR(B541,10)&amp;"s"</f>
        <v>1990s</v>
      </c>
      <c r="D541" s="4" t="s">
        <v>2426</v>
      </c>
      <c r="E541" s="25" t="str">
        <f aca="false">IF(G541=1,"✓","")</f>
        <v/>
      </c>
      <c r="F541" s="4" t="n">
        <v>1</v>
      </c>
      <c r="G541" s="4" t="n">
        <f aca="false">IF(COUNTIF('Letterboxd Watched'!$E$2:$E$3000,M541)&gt;0,1,0)</f>
        <v>0</v>
      </c>
      <c r="H541" s="4" t="n">
        <v>2</v>
      </c>
      <c r="I541" s="4" t="s">
        <v>213</v>
      </c>
      <c r="J541" s="4" t="s">
        <v>56</v>
      </c>
      <c r="K541" s="4" t="s">
        <v>4384</v>
      </c>
      <c r="L541" s="48" t="str">
        <f aca="false">HYPERLINK("https://boxd.it/1ZuM","open")</f>
        <v>open</v>
      </c>
      <c r="M541" s="4" t="str">
        <f aca="false">LOWER(A541)&amp;"|"&amp;B541</f>
        <v>crimson tide|1995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1</v>
      </c>
      <c r="V541" s="4" t="n">
        <v>0</v>
      </c>
      <c r="W541" s="4" t="n">
        <v>0</v>
      </c>
    </row>
    <row r="542" customFormat="false" ht="15" hidden="false" customHeight="false" outlineLevel="0" collapsed="false">
      <c r="A542" s="4" t="s">
        <v>3355</v>
      </c>
      <c r="B542" s="4" t="n">
        <v>1949</v>
      </c>
      <c r="C542" s="4" t="str">
        <f aca="false">FLOOR(B542,10)&amp;"s"</f>
        <v>1940s</v>
      </c>
      <c r="D542" s="4" t="s">
        <v>1837</v>
      </c>
      <c r="E542" s="25" t="str">
        <f aca="false">IF(G542=1,"✓","")</f>
        <v/>
      </c>
      <c r="F542" s="4" t="n">
        <v>1</v>
      </c>
      <c r="G542" s="4" t="n">
        <f aca="false">IF(COUNTIF('Letterboxd Watched'!$E$2:$E$3000,M542)&gt;0,1,0)</f>
        <v>0</v>
      </c>
      <c r="H542" s="4" t="n">
        <v>1</v>
      </c>
      <c r="I542" s="4" t="s">
        <v>1327</v>
      </c>
      <c r="J542" s="4" t="s">
        <v>52</v>
      </c>
      <c r="K542" s="4" t="s">
        <v>4042</v>
      </c>
      <c r="L542" s="48" t="str">
        <f aca="false">HYPERLINK("https://letterboxd.com/search/films/Criss+Cross+1949/","open")</f>
        <v>open</v>
      </c>
      <c r="M542" s="4" t="str">
        <f aca="false">LOWER(A542)&amp;"|"&amp;B542</f>
        <v>criss cross|1949</v>
      </c>
      <c r="N542" s="4" t="n">
        <v>0</v>
      </c>
      <c r="O542" s="4" t="n">
        <v>0</v>
      </c>
      <c r="P542" s="4" t="n">
        <v>0</v>
      </c>
      <c r="Q542" s="4" t="n">
        <v>1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</row>
    <row r="543" customFormat="false" ht="15" hidden="false" customHeight="false" outlineLevel="0" collapsed="false">
      <c r="A543" s="4" t="s">
        <v>2588</v>
      </c>
      <c r="B543" s="4" t="n">
        <v>1994</v>
      </c>
      <c r="C543" s="4" t="str">
        <f aca="false">FLOOR(B543,10)&amp;"s"</f>
        <v>1990s</v>
      </c>
      <c r="D543" s="4" t="s">
        <v>148</v>
      </c>
      <c r="E543" s="25" t="str">
        <f aca="false">IF(G543=1,"✓","")</f>
        <v/>
      </c>
      <c r="F543" s="4" t="n">
        <v>1</v>
      </c>
      <c r="G543" s="4" t="n">
        <f aca="false">IF(COUNTIF('Letterboxd Watched'!$E$2:$E$3000,M543)&gt;0,1,0)</f>
        <v>0</v>
      </c>
      <c r="H543" s="4" t="n">
        <v>2</v>
      </c>
      <c r="I543" s="4" t="s">
        <v>213</v>
      </c>
      <c r="J543" s="4" t="s">
        <v>53</v>
      </c>
      <c r="K543" s="4" t="s">
        <v>148</v>
      </c>
      <c r="L543" s="48" t="str">
        <f aca="false">HYPERLINK("https://boxd.it/1efg","open")</f>
        <v>open</v>
      </c>
      <c r="M543" s="4" t="str">
        <f aca="false">LOWER(A543)&amp;"|"&amp;B543</f>
        <v>crooklyn|1994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1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</row>
    <row r="544" customFormat="false" ht="15" hidden="false" customHeight="false" outlineLevel="0" collapsed="false">
      <c r="A544" s="4" t="s">
        <v>1576</v>
      </c>
      <c r="B544" s="4" t="n">
        <v>2000</v>
      </c>
      <c r="C544" s="4" t="str">
        <f aca="false">FLOOR(B544,10)&amp;"s"</f>
        <v>2000s</v>
      </c>
      <c r="D544" s="4" t="s">
        <v>1169</v>
      </c>
      <c r="E544" s="25" t="str">
        <f aca="false">IF(G544=1,"✓","")</f>
        <v/>
      </c>
      <c r="F544" s="4" t="n">
        <v>1</v>
      </c>
      <c r="G544" s="4" t="n">
        <f aca="false">IF(COUNTIF('Letterboxd Watched'!$E$2:$E$3000,M544)&gt;0,1,0)</f>
        <v>0</v>
      </c>
      <c r="H544" s="4" t="n">
        <v>3</v>
      </c>
      <c r="I544" s="4" t="s">
        <v>144</v>
      </c>
      <c r="J544" s="4" t="s">
        <v>51</v>
      </c>
      <c r="K544" s="4" t="s">
        <v>4014</v>
      </c>
      <c r="L544" s="48" t="str">
        <f aca="false">HYPERLINK("https://boxd.it/2b1M","open")</f>
        <v>open</v>
      </c>
      <c r="M544" s="4" t="str">
        <f aca="false">LOWER(A544)&amp;"|"&amp;B544</f>
        <v>crouching tiger, hidden dragon|2000</v>
      </c>
      <c r="N544" s="4" t="n">
        <v>0</v>
      </c>
      <c r="O544" s="4" t="n">
        <v>0</v>
      </c>
      <c r="P544" s="4" t="n">
        <v>1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</row>
    <row r="545" customFormat="false" ht="15" hidden="false" customHeight="false" outlineLevel="0" collapsed="false">
      <c r="A545" s="4" t="s">
        <v>534</v>
      </c>
      <c r="B545" s="4" t="n">
        <v>1928</v>
      </c>
      <c r="C545" s="4" t="str">
        <f aca="false">FLOOR(B545,10)&amp;"s"</f>
        <v>1920s</v>
      </c>
      <c r="D545" s="4" t="s">
        <v>535</v>
      </c>
      <c r="E545" s="25" t="str">
        <f aca="false">IF(G545=1,"✓","")</f>
        <v/>
      </c>
      <c r="F545" s="4" t="n">
        <v>3</v>
      </c>
      <c r="G545" s="4" t="n">
        <f aca="false">IF(COUNTIF('Letterboxd Watched'!$E$2:$E$3000,M545)&gt;0,1,0)</f>
        <v>0</v>
      </c>
      <c r="H545" s="4" t="n">
        <v>7</v>
      </c>
      <c r="I545" s="4" t="s">
        <v>144</v>
      </c>
      <c r="J545" s="4" t="s">
        <v>50</v>
      </c>
      <c r="K545" s="4" t="s">
        <v>5330</v>
      </c>
      <c r="L545" s="48" t="str">
        <f aca="false">HYPERLINK("https://boxd.it/25Q0","open")</f>
        <v>open</v>
      </c>
      <c r="M545" s="4" t="str">
        <f aca="false">LOWER(A545)&amp;"|"&amp;B545</f>
        <v>the crowd|1928</v>
      </c>
      <c r="N545" s="4" t="n">
        <v>0</v>
      </c>
      <c r="O545" s="4" t="n">
        <v>1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1</v>
      </c>
      <c r="U545" s="4" t="n">
        <v>0</v>
      </c>
      <c r="V545" s="4" t="n">
        <v>0</v>
      </c>
      <c r="W545" s="4" t="n">
        <v>0</v>
      </c>
    </row>
    <row r="546" customFormat="false" ht="15" hidden="false" customHeight="false" outlineLevel="0" collapsed="false">
      <c r="A546" s="4" t="s">
        <v>1971</v>
      </c>
      <c r="B546" s="4" t="n">
        <v>1960</v>
      </c>
      <c r="C546" s="4" t="str">
        <f aca="false">FLOOR(B546,10)&amp;"s"</f>
        <v>1960s</v>
      </c>
      <c r="D546" s="4" t="s">
        <v>995</v>
      </c>
      <c r="E546" s="25" t="str">
        <f aca="false">IF(G546=1,"✓","")</f>
        <v/>
      </c>
      <c r="F546" s="4" t="n">
        <v>1</v>
      </c>
      <c r="G546" s="4" t="n">
        <f aca="false">IF(COUNTIF('Letterboxd Watched'!$E$2:$E$3000,M546)&gt;0,1,0)</f>
        <v>0</v>
      </c>
      <c r="H546" s="4" t="n">
        <v>2</v>
      </c>
      <c r="I546" s="4" t="s">
        <v>213</v>
      </c>
      <c r="J546" s="4" t="s">
        <v>51</v>
      </c>
      <c r="K546" s="4" t="s">
        <v>3932</v>
      </c>
      <c r="L546" s="48" t="str">
        <f aca="false">HYPERLINK("https://letterboxd.com/search/films/Cruel+Story+of+Youth+1960/","open")</f>
        <v>open</v>
      </c>
      <c r="M546" s="4" t="str">
        <f aca="false">LOWER(A546)&amp;"|"&amp;B546</f>
        <v>cruel story of youth|1960</v>
      </c>
      <c r="N546" s="4" t="n">
        <v>0</v>
      </c>
      <c r="O546" s="4" t="n">
        <v>0</v>
      </c>
      <c r="P546" s="4" t="n">
        <v>1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</row>
    <row r="547" customFormat="false" ht="15" hidden="false" customHeight="false" outlineLevel="0" collapsed="false">
      <c r="A547" s="4" t="s">
        <v>1563</v>
      </c>
      <c r="B547" s="4" t="n">
        <v>1994</v>
      </c>
      <c r="C547" s="4" t="str">
        <f aca="false">FLOOR(B547,10)&amp;"s"</f>
        <v>1990s</v>
      </c>
      <c r="D547" s="4" t="s">
        <v>1564</v>
      </c>
      <c r="E547" s="25" t="str">
        <f aca="false">IF(G547=1,"✓","")</f>
        <v/>
      </c>
      <c r="F547" s="4" t="n">
        <v>1</v>
      </c>
      <c r="G547" s="4" t="n">
        <f aca="false">IF(COUNTIF('Letterboxd Watched'!$E$2:$E$3000,M547)&gt;0,1,0)</f>
        <v>0</v>
      </c>
      <c r="H547" s="4" t="n">
        <v>3</v>
      </c>
      <c r="I547" s="4" t="s">
        <v>144</v>
      </c>
      <c r="J547" s="4" t="s">
        <v>52</v>
      </c>
      <c r="K547" s="4" t="s">
        <v>4176</v>
      </c>
      <c r="L547" s="48" t="str">
        <f aca="false">HYPERLINK("https://boxd.it/1tDi","open")</f>
        <v>open</v>
      </c>
      <c r="M547" s="4" t="str">
        <f aca="false">LOWER(A547)&amp;"|"&amp;B547</f>
        <v>crumb|1994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</row>
    <row r="548" customFormat="false" ht="15" hidden="false" customHeight="false" outlineLevel="0" collapsed="false">
      <c r="A548" s="4" t="s">
        <v>1288</v>
      </c>
      <c r="B548" s="4" t="n">
        <v>1997</v>
      </c>
      <c r="C548" s="4" t="str">
        <f aca="false">FLOOR(B548,10)&amp;"s"</f>
        <v>1990s</v>
      </c>
      <c r="D548" s="4" t="s">
        <v>1289</v>
      </c>
      <c r="E548" s="25" t="str">
        <f aca="false">IF(G548=1,"✓","")</f>
        <v>✓</v>
      </c>
      <c r="F548" s="4" t="n">
        <v>2</v>
      </c>
      <c r="G548" s="4" t="n">
        <f aca="false">IF(COUNTIF('Letterboxd Watched'!$E$2:$E$3000,M548)&gt;0,1,0)</f>
        <v>1</v>
      </c>
      <c r="H548" s="4" t="n">
        <v>4</v>
      </c>
      <c r="I548" s="4" t="s">
        <v>213</v>
      </c>
      <c r="J548" s="4" t="s">
        <v>56</v>
      </c>
      <c r="K548" s="4" t="s">
        <v>5331</v>
      </c>
      <c r="L548" s="48" t="str">
        <f aca="false">HYPERLINK("https://boxd.it/2aoU","open")</f>
        <v>open</v>
      </c>
      <c r="M548" s="4" t="str">
        <f aca="false">LOWER(A548)&amp;"|"&amp;B548</f>
        <v>cube|1997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1</v>
      </c>
      <c r="V548" s="4" t="n">
        <v>0</v>
      </c>
      <c r="W548" s="4" t="n">
        <v>0</v>
      </c>
    </row>
    <row r="549" customFormat="false" ht="15" hidden="false" customHeight="false" outlineLevel="0" collapsed="false">
      <c r="A549" s="4" t="s">
        <v>504</v>
      </c>
      <c r="B549" s="4" t="n">
        <v>1997</v>
      </c>
      <c r="C549" s="4" t="str">
        <f aca="false">FLOOR(B549,10)&amp;"s"</f>
        <v>1990s</v>
      </c>
      <c r="D549" s="4" t="s">
        <v>505</v>
      </c>
      <c r="E549" s="25" t="str">
        <f aca="false">IF(G549=1,"✓","")</f>
        <v/>
      </c>
      <c r="F549" s="4" t="n">
        <v>4</v>
      </c>
      <c r="G549" s="4" t="n">
        <f aca="false">IF(COUNTIF('Letterboxd Watched'!$E$2:$E$3000,M549)&gt;0,1,0)</f>
        <v>0</v>
      </c>
      <c r="H549" s="4" t="n">
        <v>7</v>
      </c>
      <c r="I549" s="4" t="s">
        <v>213</v>
      </c>
      <c r="J549" s="4" t="s">
        <v>51</v>
      </c>
      <c r="K549" s="4" t="s">
        <v>5332</v>
      </c>
      <c r="L549" s="48" t="str">
        <f aca="false">HYPERLINK("https://boxd.it/1blA","open")</f>
        <v>open</v>
      </c>
      <c r="M549" s="4" t="str">
        <f aca="false">LOWER(A549)&amp;"|"&amp;B549</f>
        <v>cure|1997</v>
      </c>
      <c r="N549" s="4" t="n">
        <v>0</v>
      </c>
      <c r="O549" s="4" t="n">
        <v>0</v>
      </c>
      <c r="P549" s="4" t="n">
        <v>1</v>
      </c>
      <c r="Q549" s="4" t="n">
        <v>1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1</v>
      </c>
      <c r="W549" s="4" t="n">
        <v>0</v>
      </c>
    </row>
    <row r="550" customFormat="false" ht="15" hidden="false" customHeight="false" outlineLevel="0" collapsed="false">
      <c r="A550" s="4" t="s">
        <v>1452</v>
      </c>
      <c r="B550" s="4" t="n">
        <v>1957</v>
      </c>
      <c r="C550" s="4" t="str">
        <f aca="false">FLOOR(B550,10)&amp;"s"</f>
        <v>1950s</v>
      </c>
      <c r="D550" s="4" t="s">
        <v>1453</v>
      </c>
      <c r="E550" s="25" t="str">
        <f aca="false">IF(G550=1,"✓","")</f>
        <v/>
      </c>
      <c r="F550" s="4" t="n">
        <v>1</v>
      </c>
      <c r="G550" s="4" t="n">
        <f aca="false">IF(COUNTIF('Letterboxd Watched'!$E$2:$E$3000,M550)&gt;0,1,0)</f>
        <v>0</v>
      </c>
      <c r="H550" s="4" t="n">
        <v>3</v>
      </c>
      <c r="I550" s="4" t="s">
        <v>144</v>
      </c>
      <c r="J550" s="4" t="s">
        <v>52</v>
      </c>
      <c r="K550" s="4" t="s">
        <v>4062</v>
      </c>
      <c r="L550" s="48" t="str">
        <f aca="false">HYPERLINK("https://boxd.it/25N6","open")</f>
        <v>open</v>
      </c>
      <c r="M550" s="4" t="str">
        <f aca="false">LOWER(A550)&amp;"|"&amp;B550</f>
        <v>the curse of frankenstein|1957</v>
      </c>
      <c r="N550" s="4" t="n">
        <v>0</v>
      </c>
      <c r="O550" s="4" t="n">
        <v>0</v>
      </c>
      <c r="P550" s="4" t="n">
        <v>0</v>
      </c>
      <c r="Q550" s="4" t="n">
        <v>1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</row>
    <row r="551" customFormat="false" ht="15" hidden="false" customHeight="false" outlineLevel="0" collapsed="false">
      <c r="A551" s="4" t="s">
        <v>3588</v>
      </c>
      <c r="B551" s="4" t="n">
        <v>1981</v>
      </c>
      <c r="C551" s="4" t="str">
        <f aca="false">FLOOR(B551,10)&amp;"s"</f>
        <v>1980s</v>
      </c>
      <c r="D551" s="4" t="s">
        <v>3589</v>
      </c>
      <c r="E551" s="25" t="str">
        <f aca="false">IF(G551=1,"✓","")</f>
        <v/>
      </c>
      <c r="F551" s="4" t="n">
        <v>1</v>
      </c>
      <c r="G551" s="4" t="n">
        <f aca="false">IF(COUNTIF('Letterboxd Watched'!$E$2:$E$3000,M551)&gt;0,1,0)</f>
        <v>0</v>
      </c>
      <c r="H551" s="4" t="n">
        <v>1</v>
      </c>
      <c r="I551" s="4" t="s">
        <v>1327</v>
      </c>
      <c r="J551" s="4" t="s">
        <v>52</v>
      </c>
      <c r="K551" s="4" t="s">
        <v>4044</v>
      </c>
      <c r="L551" s="48" t="str">
        <f aca="false">HYPERLINK("https://boxd.it/1iKW","open")</f>
        <v>open</v>
      </c>
      <c r="M551" s="4" t="str">
        <f aca="false">LOWER(A551)&amp;"|"&amp;B551</f>
        <v>cutter's way|1981</v>
      </c>
      <c r="N551" s="4" t="n">
        <v>0</v>
      </c>
      <c r="O551" s="4" t="n">
        <v>0</v>
      </c>
      <c r="P551" s="4" t="n">
        <v>0</v>
      </c>
      <c r="Q551" s="4" t="n">
        <v>1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</row>
    <row r="552" customFormat="false" ht="15" hidden="false" customHeight="false" outlineLevel="0" collapsed="false">
      <c r="A552" s="4" t="s">
        <v>2572</v>
      </c>
      <c r="B552" s="4" t="n">
        <v>1993</v>
      </c>
      <c r="C552" s="4" t="str">
        <f aca="false">FLOOR(B552,10)&amp;"s"</f>
        <v>1990s</v>
      </c>
      <c r="D552" s="4" t="s">
        <v>185</v>
      </c>
      <c r="E552" s="25" t="str">
        <f aca="false">IF(G552=1,"✓","")</f>
        <v/>
      </c>
      <c r="F552" s="4" t="n">
        <v>1</v>
      </c>
      <c r="G552" s="4" t="n">
        <f aca="false">IF(COUNTIF('Letterboxd Watched'!$E$2:$E$3000,M552)&gt;0,1,0)</f>
        <v>0</v>
      </c>
      <c r="H552" s="4" t="n">
        <v>2</v>
      </c>
      <c r="I552" s="4" t="s">
        <v>213</v>
      </c>
      <c r="J552" s="4" t="s">
        <v>53</v>
      </c>
      <c r="K552" s="4" t="s">
        <v>185</v>
      </c>
      <c r="L552" s="48" t="str">
        <f aca="false">HYPERLINK("https://letterboxd.com/search/films/DEst+1993/","open")</f>
        <v>open</v>
      </c>
      <c r="M552" s="4" t="str">
        <f aca="false">LOWER(A552)&amp;"|"&amp;B552</f>
        <v>d'est|1993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1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</row>
    <row r="553" customFormat="false" ht="15" hidden="false" customHeight="false" outlineLevel="0" collapsed="false">
      <c r="A553" s="4" t="s">
        <v>3193</v>
      </c>
      <c r="B553" s="4" t="n">
        <v>2020</v>
      </c>
      <c r="C553" s="4" t="str">
        <f aca="false">FLOOR(B553,10)&amp;"s"</f>
        <v>2020s</v>
      </c>
      <c r="D553" s="4" t="s">
        <v>148</v>
      </c>
      <c r="E553" s="25" t="str">
        <f aca="false">IF(G553=1,"✓","")</f>
        <v/>
      </c>
      <c r="F553" s="4" t="n">
        <v>1</v>
      </c>
      <c r="G553" s="4" t="n">
        <f aca="false">IF(COUNTIF('Letterboxd Watched'!$E$2:$E$3000,M553)&gt;0,1,0)</f>
        <v>0</v>
      </c>
      <c r="H553" s="4" t="n">
        <v>2</v>
      </c>
      <c r="I553" s="4" t="s">
        <v>213</v>
      </c>
      <c r="J553" s="4" t="s">
        <v>52</v>
      </c>
      <c r="K553" s="4" t="s">
        <v>4140</v>
      </c>
      <c r="L553" s="48" t="str">
        <f aca="false">HYPERLINK("https://boxd.it/lnXw","open")</f>
        <v>open</v>
      </c>
      <c r="M553" s="4" t="str">
        <f aca="false">LOWER(A553)&amp;"|"&amp;B553</f>
        <v>da 5 bloods|2020</v>
      </c>
      <c r="N553" s="4" t="n">
        <v>0</v>
      </c>
      <c r="O553" s="4" t="n">
        <v>0</v>
      </c>
      <c r="P553" s="4" t="n">
        <v>0</v>
      </c>
      <c r="Q553" s="4" t="n">
        <v>1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</row>
    <row r="554" customFormat="false" ht="15" hidden="false" customHeight="false" outlineLevel="0" collapsed="false">
      <c r="A554" s="4" t="s">
        <v>3544</v>
      </c>
      <c r="B554" s="4" t="n">
        <v>1975</v>
      </c>
      <c r="C554" s="4" t="str">
        <f aca="false">FLOOR(B554,10)&amp;"s"</f>
        <v>1970s</v>
      </c>
      <c r="D554" s="4" t="s">
        <v>158</v>
      </c>
      <c r="E554" s="25" t="str">
        <f aca="false">IF(G554=1,"✓","")</f>
        <v/>
      </c>
      <c r="F554" s="4" t="n">
        <v>1</v>
      </c>
      <c r="G554" s="4" t="n">
        <f aca="false">IF(COUNTIF('Letterboxd Watched'!$E$2:$E$3000,M554)&gt;0,1,0)</f>
        <v>0</v>
      </c>
      <c r="H554" s="4" t="n">
        <v>1</v>
      </c>
      <c r="I554" s="4" t="s">
        <v>1327</v>
      </c>
      <c r="J554" s="4" t="s">
        <v>53</v>
      </c>
      <c r="K554" s="4" t="s">
        <v>158</v>
      </c>
      <c r="L554" s="48" t="str">
        <f aca="false">HYPERLINK("https://boxd.it/FxY","open")</f>
        <v>open</v>
      </c>
      <c r="M554" s="4" t="str">
        <f aca="false">LOWER(A554)&amp;"|"&amp;B554</f>
        <v>daguerréotypes|1975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1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</row>
    <row r="555" customFormat="false" ht="15" hidden="false" customHeight="false" outlineLevel="0" collapsed="false">
      <c r="A555" s="4" t="s">
        <v>227</v>
      </c>
      <c r="B555" s="4" t="n">
        <v>1966</v>
      </c>
      <c r="C555" s="4" t="str">
        <f aca="false">FLOOR(B555,10)&amp;"s"</f>
        <v>1960s</v>
      </c>
      <c r="D555" s="4" t="s">
        <v>228</v>
      </c>
      <c r="E555" s="25" t="str">
        <f aca="false">IF(G555=1,"✓","")</f>
        <v/>
      </c>
      <c r="F555" s="4" t="n">
        <v>6</v>
      </c>
      <c r="G555" s="4" t="n">
        <f aca="false">IF(COUNTIF('Letterboxd Watched'!$E$2:$E$3000,M555)&gt;0,1,0)</f>
        <v>0</v>
      </c>
      <c r="H555" s="4" t="n">
        <v>13</v>
      </c>
      <c r="I555" s="4" t="s">
        <v>144</v>
      </c>
      <c r="J555" s="4" t="s">
        <v>50</v>
      </c>
      <c r="K555" s="4" t="s">
        <v>5333</v>
      </c>
      <c r="L555" s="48" t="str">
        <f aca="false">HYPERLINK("https://boxd.it/LZk","open")</f>
        <v>open</v>
      </c>
      <c r="M555" s="4" t="str">
        <f aca="false">LOWER(A555)&amp;"|"&amp;B555</f>
        <v>daisies|1966</v>
      </c>
      <c r="N555" s="4" t="n">
        <v>0</v>
      </c>
      <c r="O555" s="4" t="n">
        <v>1</v>
      </c>
      <c r="P555" s="4" t="n">
        <v>1</v>
      </c>
      <c r="Q555" s="4" t="n">
        <v>0</v>
      </c>
      <c r="R555" s="4" t="n">
        <v>0</v>
      </c>
      <c r="S555" s="4" t="n">
        <v>1</v>
      </c>
      <c r="T555" s="4" t="n">
        <v>0</v>
      </c>
      <c r="U555" s="4" t="n">
        <v>0</v>
      </c>
      <c r="V555" s="4" t="n">
        <v>1</v>
      </c>
      <c r="W555" s="4" t="n">
        <v>1</v>
      </c>
    </row>
    <row r="556" customFormat="false" ht="15" hidden="false" customHeight="false" outlineLevel="0" collapsed="false">
      <c r="A556" s="4" t="s">
        <v>3542</v>
      </c>
      <c r="B556" s="4" t="n">
        <v>1974</v>
      </c>
      <c r="C556" s="4" t="str">
        <f aca="false">FLOOR(B556,10)&amp;"s"</f>
        <v>1970s</v>
      </c>
      <c r="D556" s="4" t="s">
        <v>389</v>
      </c>
      <c r="E556" s="25" t="str">
        <f aca="false">IF(G556=1,"✓","")</f>
        <v/>
      </c>
      <c r="F556" s="4" t="n">
        <v>1</v>
      </c>
      <c r="G556" s="4" t="n">
        <f aca="false">IF(COUNTIF('Letterboxd Watched'!$E$2:$E$3000,M556)&gt;0,1,0)</f>
        <v>0</v>
      </c>
      <c r="H556" s="4" t="n">
        <v>1</v>
      </c>
      <c r="I556" s="4" t="s">
        <v>1327</v>
      </c>
      <c r="J556" s="4" t="s">
        <v>56</v>
      </c>
      <c r="K556" s="4" t="s">
        <v>4414</v>
      </c>
      <c r="L556" s="48" t="str">
        <f aca="false">HYPERLINK("https://boxd.it/23W6","open")</f>
        <v>open</v>
      </c>
      <c r="M556" s="4" t="str">
        <f aca="false">LOWER(A556)&amp;"|"&amp;B556</f>
        <v>daisy miller|1974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1</v>
      </c>
      <c r="V556" s="4" t="n">
        <v>0</v>
      </c>
      <c r="W556" s="4" t="n">
        <v>0</v>
      </c>
    </row>
    <row r="557" customFormat="false" ht="15" hidden="false" customHeight="false" outlineLevel="0" collapsed="false">
      <c r="A557" s="4" t="s">
        <v>3345</v>
      </c>
      <c r="B557" s="4" t="n">
        <v>1945</v>
      </c>
      <c r="C557" s="4" t="str">
        <f aca="false">FLOOR(B557,10)&amp;"s"</f>
        <v>1940s</v>
      </c>
      <c r="D557" s="4" t="s">
        <v>215</v>
      </c>
      <c r="E557" s="25" t="str">
        <f aca="false">IF(G557=1,"✓","")</f>
        <v/>
      </c>
      <c r="F557" s="4" t="n">
        <v>1</v>
      </c>
      <c r="G557" s="4" t="n">
        <f aca="false">IF(COUNTIF('Letterboxd Watched'!$E$2:$E$3000,M557)&gt;0,1,0)</f>
        <v>0</v>
      </c>
      <c r="H557" s="4" t="n">
        <v>1</v>
      </c>
      <c r="I557" s="4" t="s">
        <v>1327</v>
      </c>
      <c r="J557" s="4" t="s">
        <v>53</v>
      </c>
      <c r="K557" s="4" t="s">
        <v>215</v>
      </c>
      <c r="L557" s="48" t="str">
        <f aca="false">HYPERLINK("https://boxd.it/F3k","open")</f>
        <v>open</v>
      </c>
      <c r="M557" s="4" t="str">
        <f aca="false">LOWER(A557)&amp;"|"&amp;B557</f>
        <v>les dames du bois de boulogne|1945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1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</row>
    <row r="558" customFormat="false" ht="15" hidden="false" customHeight="false" outlineLevel="0" collapsed="false">
      <c r="A558" s="4" t="s">
        <v>3646</v>
      </c>
      <c r="B558" s="4" t="n">
        <v>1988</v>
      </c>
      <c r="C558" s="4" t="str">
        <f aca="false">FLOOR(B558,10)&amp;"s"</f>
        <v>1980s</v>
      </c>
      <c r="D558" s="4" t="s">
        <v>618</v>
      </c>
      <c r="E558" s="25" t="str">
        <f aca="false">IF(G558=1,"✓","")</f>
        <v/>
      </c>
      <c r="F558" s="4" t="n">
        <v>1</v>
      </c>
      <c r="G558" s="4" t="n">
        <f aca="false">IF(COUNTIF('Letterboxd Watched'!$E$2:$E$3000,M558)&gt;0,1,0)</f>
        <v>0</v>
      </c>
      <c r="H558" s="4" t="n">
        <v>1</v>
      </c>
      <c r="I558" s="4" t="s">
        <v>1327</v>
      </c>
      <c r="J558" s="4" t="s">
        <v>51</v>
      </c>
      <c r="K558" s="4" t="s">
        <v>3998</v>
      </c>
      <c r="L558" s="48" t="str">
        <f aca="false">HYPERLINK("https://boxd.it/1E28","open")</f>
        <v>open</v>
      </c>
      <c r="M558" s="4" t="str">
        <f aca="false">LOWER(A558)&amp;"|"&amp;B558</f>
        <v>damnation|1988</v>
      </c>
      <c r="N558" s="4" t="n">
        <v>0</v>
      </c>
      <c r="O558" s="4" t="n">
        <v>0</v>
      </c>
      <c r="P558" s="4" t="n">
        <v>1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</row>
    <row r="559" customFormat="false" ht="15" hidden="false" customHeight="false" outlineLevel="0" collapsed="false">
      <c r="A559" s="4" t="s">
        <v>1790</v>
      </c>
      <c r="B559" s="4" t="n">
        <v>1940</v>
      </c>
      <c r="C559" s="4" t="str">
        <f aca="false">FLOOR(B559,10)&amp;"s"</f>
        <v>1940s</v>
      </c>
      <c r="D559" s="4" t="s">
        <v>1791</v>
      </c>
      <c r="E559" s="25" t="str">
        <f aca="false">IF(G559=1,"✓","")</f>
        <v/>
      </c>
      <c r="F559" s="4" t="n">
        <v>1</v>
      </c>
      <c r="G559" s="4" t="n">
        <f aca="false">IF(COUNTIF('Letterboxd Watched'!$E$2:$E$3000,M559)&gt;0,1,0)</f>
        <v>0</v>
      </c>
      <c r="H559" s="4" t="n">
        <v>2</v>
      </c>
      <c r="I559" s="4" t="s">
        <v>213</v>
      </c>
      <c r="J559" s="4" t="s">
        <v>54</v>
      </c>
      <c r="K559" s="4" t="s">
        <v>4280</v>
      </c>
      <c r="L559" s="48" t="str">
        <f aca="false">HYPERLINK("https://letterboxd.com/search/films/Dance+Girl+Dance+1940/","open")</f>
        <v>open</v>
      </c>
      <c r="M559" s="4" t="str">
        <f aca="false">LOWER(A559)&amp;"|"&amp;B559</f>
        <v>dance, girl, dance|1940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1</v>
      </c>
      <c r="T559" s="4" t="n">
        <v>0</v>
      </c>
      <c r="U559" s="4" t="n">
        <v>0</v>
      </c>
      <c r="V559" s="4" t="n">
        <v>0</v>
      </c>
      <c r="W559" s="4" t="n">
        <v>0</v>
      </c>
    </row>
    <row r="560" customFormat="false" ht="15" hidden="false" customHeight="false" outlineLevel="0" collapsed="false">
      <c r="A560" s="4" t="s">
        <v>1134</v>
      </c>
      <c r="B560" s="4" t="n">
        <v>2000</v>
      </c>
      <c r="C560" s="4" t="str">
        <f aca="false">FLOOR(B560,10)&amp;"s"</f>
        <v>2000s</v>
      </c>
      <c r="D560" s="4" t="s">
        <v>1135</v>
      </c>
      <c r="E560" s="25" t="str">
        <f aca="false">IF(G560=1,"✓","")</f>
        <v/>
      </c>
      <c r="F560" s="4" t="n">
        <v>2</v>
      </c>
      <c r="G560" s="4" t="n">
        <f aca="false">IF(COUNTIF('Letterboxd Watched'!$E$2:$E$3000,M560)&gt;0,1,0)</f>
        <v>0</v>
      </c>
      <c r="H560" s="4" t="n">
        <v>4</v>
      </c>
      <c r="I560" s="4" t="s">
        <v>213</v>
      </c>
      <c r="J560" s="4" t="s">
        <v>51</v>
      </c>
      <c r="K560" s="4" t="s">
        <v>5334</v>
      </c>
      <c r="L560" s="48" t="str">
        <f aca="false">HYPERLINK("https://boxd.it/71E","open")</f>
        <v>open</v>
      </c>
      <c r="M560" s="4" t="str">
        <f aca="false">LOWER(A560)&amp;"|"&amp;B560</f>
        <v>dancer in the dark|2000</v>
      </c>
      <c r="N560" s="4" t="n">
        <v>0</v>
      </c>
      <c r="O560" s="4" t="n">
        <v>0</v>
      </c>
      <c r="P560" s="4" t="n">
        <v>1</v>
      </c>
      <c r="Q560" s="4" t="n">
        <v>1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</row>
    <row r="561" customFormat="false" ht="15" hidden="false" customHeight="false" outlineLevel="0" collapsed="false">
      <c r="A561" s="4" t="s">
        <v>2510</v>
      </c>
      <c r="B561" s="4" t="n">
        <v>1990</v>
      </c>
      <c r="C561" s="4" t="str">
        <f aca="false">FLOOR(B561,10)&amp;"s"</f>
        <v>1990s</v>
      </c>
      <c r="D561" s="4" t="s">
        <v>2511</v>
      </c>
      <c r="E561" s="25" t="str">
        <f aca="false">IF(G561=1,"✓","")</f>
        <v/>
      </c>
      <c r="F561" s="4" t="n">
        <v>1</v>
      </c>
      <c r="G561" s="4" t="n">
        <f aca="false">IF(COUNTIF('Letterboxd Watched'!$E$2:$E$3000,M561)&gt;0,1,0)</f>
        <v>0</v>
      </c>
      <c r="H561" s="4" t="n">
        <v>2</v>
      </c>
      <c r="I561" s="4" t="s">
        <v>213</v>
      </c>
      <c r="J561" s="4" t="s">
        <v>52</v>
      </c>
      <c r="K561" s="4" t="s">
        <v>4052</v>
      </c>
      <c r="L561" s="48" t="str">
        <f aca="false">HYPERLINK("https://boxd.it/2a4K","open")</f>
        <v>open</v>
      </c>
      <c r="M561" s="4" t="str">
        <f aca="false">LOWER(A561)&amp;"|"&amp;B561</f>
        <v>dances with wolves|1990</v>
      </c>
      <c r="N561" s="4" t="n">
        <v>0</v>
      </c>
      <c r="O561" s="4" t="n">
        <v>0</v>
      </c>
      <c r="P561" s="4" t="n">
        <v>0</v>
      </c>
      <c r="Q561" s="4" t="n">
        <v>1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</row>
    <row r="562" customFormat="false" ht="15" hidden="false" customHeight="false" outlineLevel="0" collapsed="false">
      <c r="A562" s="4" t="s">
        <v>2884</v>
      </c>
      <c r="B562" s="4" t="n">
        <v>2007</v>
      </c>
      <c r="C562" s="4" t="str">
        <f aca="false">FLOOR(B562,10)&amp;"s"</f>
        <v>2000s</v>
      </c>
      <c r="D562" s="4" t="s">
        <v>274</v>
      </c>
      <c r="E562" s="25" t="str">
        <f aca="false">IF(G562=1,"✓","")</f>
        <v>✓</v>
      </c>
      <c r="F562" s="4" t="n">
        <v>1</v>
      </c>
      <c r="G562" s="4" t="n">
        <f aca="false">IF(COUNTIF('Letterboxd Watched'!$E$2:$E$3000,M562)&gt;0,1,0)</f>
        <v>1</v>
      </c>
      <c r="H562" s="4" t="n">
        <v>2</v>
      </c>
      <c r="I562" s="4" t="s">
        <v>213</v>
      </c>
      <c r="J562" s="4" t="s">
        <v>53</v>
      </c>
      <c r="K562" s="4" t="s">
        <v>274</v>
      </c>
      <c r="L562" s="48" t="str">
        <f aca="false">HYPERLINK("https://boxd.it/24as","open")</f>
        <v>open</v>
      </c>
      <c r="M562" s="4" t="str">
        <f aca="false">LOWER(A562)&amp;"|"&amp;B562</f>
        <v>the darjeeling limited|2007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1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</row>
    <row r="563" customFormat="false" ht="15" hidden="false" customHeight="false" outlineLevel="0" collapsed="false">
      <c r="A563" s="4" t="s">
        <v>2682</v>
      </c>
      <c r="B563" s="4" t="n">
        <v>1998</v>
      </c>
      <c r="C563" s="4" t="str">
        <f aca="false">FLOOR(B563,10)&amp;"s"</f>
        <v>1990s</v>
      </c>
      <c r="D563" s="4" t="s">
        <v>2683</v>
      </c>
      <c r="E563" s="25" t="str">
        <f aca="false">IF(G563=1,"✓","")</f>
        <v/>
      </c>
      <c r="F563" s="4" t="n">
        <v>1</v>
      </c>
      <c r="G563" s="4" t="n">
        <f aca="false">IF(COUNTIF('Letterboxd Watched'!$E$2:$E$3000,M563)&gt;0,1,0)</f>
        <v>0</v>
      </c>
      <c r="H563" s="4" t="n">
        <v>2</v>
      </c>
      <c r="I563" s="4" t="s">
        <v>213</v>
      </c>
      <c r="J563" s="4" t="s">
        <v>52</v>
      </c>
      <c r="K563" s="4" t="s">
        <v>4046</v>
      </c>
      <c r="L563" s="48" t="str">
        <f aca="false">HYPERLINK("https://boxd.it/26uk","open")</f>
        <v>open</v>
      </c>
      <c r="M563" s="4" t="str">
        <f aca="false">LOWER(A563)&amp;"|"&amp;B563</f>
        <v>dark city|1998</v>
      </c>
      <c r="N563" s="4" t="n">
        <v>0</v>
      </c>
      <c r="O563" s="4" t="n">
        <v>0</v>
      </c>
      <c r="P563" s="4" t="n">
        <v>0</v>
      </c>
      <c r="Q563" s="4" t="n">
        <v>1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</row>
    <row r="564" customFormat="false" ht="15" hidden="false" customHeight="false" outlineLevel="0" collapsed="false">
      <c r="A564" s="4" t="s">
        <v>1185</v>
      </c>
      <c r="B564" s="4" t="n">
        <v>2008</v>
      </c>
      <c r="C564" s="4" t="str">
        <f aca="false">FLOOR(B564,10)&amp;"s"</f>
        <v>2000s</v>
      </c>
      <c r="D564" s="4" t="s">
        <v>342</v>
      </c>
      <c r="E564" s="25" t="str">
        <f aca="false">IF(G564=1,"✓","")</f>
        <v/>
      </c>
      <c r="F564" s="4" t="n">
        <v>2</v>
      </c>
      <c r="G564" s="4" t="n">
        <f aca="false">IF(COUNTIF('Letterboxd Watched'!$E$2:$E$3000,M564)&gt;0,1,0)</f>
        <v>0</v>
      </c>
      <c r="H564" s="4" t="n">
        <v>4</v>
      </c>
      <c r="I564" s="4" t="s">
        <v>213</v>
      </c>
      <c r="J564" s="4" t="s">
        <v>52</v>
      </c>
      <c r="K564" s="4" t="s">
        <v>5335</v>
      </c>
      <c r="L564" s="48" t="str">
        <f aca="false">HYPERLINK("https://boxd.it/2b0k","open")</f>
        <v>open</v>
      </c>
      <c r="M564" s="4" t="str">
        <f aca="false">LOWER(A564)&amp;"|"&amp;B564</f>
        <v>the dark knight|2008</v>
      </c>
      <c r="N564" s="4" t="n">
        <v>0</v>
      </c>
      <c r="O564" s="4" t="n">
        <v>0</v>
      </c>
      <c r="P564" s="4" t="n">
        <v>0</v>
      </c>
      <c r="Q564" s="4" t="n">
        <v>1</v>
      </c>
      <c r="R564" s="4" t="n">
        <v>1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</row>
    <row r="565" customFormat="false" ht="15" hidden="false" customHeight="false" outlineLevel="0" collapsed="false">
      <c r="A565" s="4" t="s">
        <v>1846</v>
      </c>
      <c r="B565" s="4" t="n">
        <v>1947</v>
      </c>
      <c r="C565" s="4" t="str">
        <f aca="false">FLOOR(B565,10)&amp;"s"</f>
        <v>1940s</v>
      </c>
      <c r="D565" s="4" t="s">
        <v>1847</v>
      </c>
      <c r="E565" s="25" t="str">
        <f aca="false">IF(G565=1,"✓","")</f>
        <v/>
      </c>
      <c r="F565" s="4" t="n">
        <v>1</v>
      </c>
      <c r="G565" s="4" t="n">
        <f aca="false">IF(COUNTIF('Letterboxd Watched'!$E$2:$E$3000,M565)&gt;0,1,0)</f>
        <v>0</v>
      </c>
      <c r="H565" s="4" t="n">
        <v>2</v>
      </c>
      <c r="I565" s="4" t="s">
        <v>213</v>
      </c>
      <c r="J565" s="4" t="s">
        <v>55</v>
      </c>
      <c r="K565" s="4" t="s">
        <v>4360</v>
      </c>
      <c r="L565" s="48" t="str">
        <f aca="false">HYPERLINK("https://letterboxd.com/search/films/Dark+Passage+1947/","open")</f>
        <v>open</v>
      </c>
      <c r="M565" s="4" t="str">
        <f aca="false">LOWER(A565)&amp;"|"&amp;B565</f>
        <v>dark passage|1947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1</v>
      </c>
      <c r="U565" s="4" t="n">
        <v>0</v>
      </c>
      <c r="V565" s="4" t="n">
        <v>0</v>
      </c>
      <c r="W565" s="4" t="n">
        <v>0</v>
      </c>
    </row>
    <row r="566" customFormat="false" ht="15" hidden="false" customHeight="false" outlineLevel="0" collapsed="false">
      <c r="A566" s="4" t="s">
        <v>1650</v>
      </c>
      <c r="B566" s="4" t="n">
        <v>1974</v>
      </c>
      <c r="C566" s="4" t="str">
        <f aca="false">FLOOR(B566,10)&amp;"s"</f>
        <v>1970s</v>
      </c>
      <c r="D566" s="4" t="s">
        <v>266</v>
      </c>
      <c r="E566" s="25" t="str">
        <f aca="false">IF(G566=1,"✓","")</f>
        <v>✓</v>
      </c>
      <c r="F566" s="4" t="n">
        <v>2</v>
      </c>
      <c r="G566" s="4" t="n">
        <f aca="false">IF(COUNTIF('Letterboxd Watched'!$E$2:$E$3000,M566)&gt;0,1,0)</f>
        <v>1</v>
      </c>
      <c r="H566" s="4" t="n">
        <v>2</v>
      </c>
      <c r="I566" s="4" t="s">
        <v>1327</v>
      </c>
      <c r="J566" s="4" t="s">
        <v>52</v>
      </c>
      <c r="K566" s="4" t="s">
        <v>5336</v>
      </c>
      <c r="L566" s="48" t="str">
        <f aca="false">HYPERLINK("https://boxd.it/28Ow","open")</f>
        <v>open</v>
      </c>
      <c r="M566" s="4" t="str">
        <f aca="false">LOWER(A566)&amp;"|"&amp;B566</f>
        <v>dark star|1974</v>
      </c>
      <c r="N566" s="4" t="n">
        <v>0</v>
      </c>
      <c r="O566" s="4" t="n">
        <v>0</v>
      </c>
      <c r="P566" s="4" t="n">
        <v>0</v>
      </c>
      <c r="Q566" s="4" t="n">
        <v>1</v>
      </c>
      <c r="R566" s="4" t="n">
        <v>1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</row>
    <row r="567" customFormat="false" ht="15" hidden="false" customHeight="false" outlineLevel="0" collapsed="false">
      <c r="A567" s="4" t="s">
        <v>2771</v>
      </c>
      <c r="B567" s="4" t="n">
        <v>2002</v>
      </c>
      <c r="C567" s="4" t="str">
        <f aca="false">FLOOR(B567,10)&amp;"s"</f>
        <v>2000s</v>
      </c>
      <c r="D567" s="4" t="s">
        <v>845</v>
      </c>
      <c r="E567" s="25" t="str">
        <f aca="false">IF(G567=1,"✓","")</f>
        <v/>
      </c>
      <c r="F567" s="4" t="n">
        <v>1</v>
      </c>
      <c r="G567" s="4" t="n">
        <f aca="false">IF(COUNTIF('Letterboxd Watched'!$E$2:$E$3000,M567)&gt;0,1,0)</f>
        <v>0</v>
      </c>
      <c r="H567" s="4" t="n">
        <v>2</v>
      </c>
      <c r="I567" s="4" t="s">
        <v>213</v>
      </c>
      <c r="J567" s="4" t="s">
        <v>52</v>
      </c>
      <c r="K567" s="4" t="s">
        <v>4074</v>
      </c>
      <c r="L567" s="48" t="str">
        <f aca="false">HYPERLINK("https://letterboxd.com/search/films/Dark+Water+2002/","open")</f>
        <v>open</v>
      </c>
      <c r="M567" s="4" t="str">
        <f aca="false">LOWER(A567)&amp;"|"&amp;B567</f>
        <v>dark water|2002</v>
      </c>
      <c r="N567" s="4" t="n">
        <v>0</v>
      </c>
      <c r="O567" s="4" t="n">
        <v>0</v>
      </c>
      <c r="P567" s="4" t="n">
        <v>0</v>
      </c>
      <c r="Q567" s="4" t="n">
        <v>1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</row>
    <row r="568" customFormat="false" ht="15" hidden="false" customHeight="false" outlineLevel="0" collapsed="false">
      <c r="A568" s="4" t="s">
        <v>2058</v>
      </c>
      <c r="B568" s="4" t="n">
        <v>1965</v>
      </c>
      <c r="C568" s="4" t="str">
        <f aca="false">FLOOR(B568,10)&amp;"s"</f>
        <v>1960s</v>
      </c>
      <c r="D568" s="4" t="s">
        <v>589</v>
      </c>
      <c r="E568" s="25" t="str">
        <f aca="false">IF(G568=1,"✓","")</f>
        <v/>
      </c>
      <c r="F568" s="4" t="n">
        <v>1</v>
      </c>
      <c r="G568" s="4" t="n">
        <f aca="false">IF(COUNTIF('Letterboxd Watched'!$E$2:$E$3000,M568)&gt;0,1,0)</f>
        <v>0</v>
      </c>
      <c r="H568" s="4" t="n">
        <v>2</v>
      </c>
      <c r="I568" s="4" t="s">
        <v>213</v>
      </c>
      <c r="J568" s="4" t="s">
        <v>51</v>
      </c>
      <c r="K568" s="4" t="s">
        <v>3984</v>
      </c>
      <c r="L568" s="48" t="str">
        <f aca="false">HYPERLINK("https://boxd.it/1yfq","open")</f>
        <v>open</v>
      </c>
      <c r="M568" s="4" t="str">
        <f aca="false">LOWER(A568)&amp;"|"&amp;B568</f>
        <v>darling|1965</v>
      </c>
      <c r="N568" s="4" t="n">
        <v>0</v>
      </c>
      <c r="O568" s="4" t="n">
        <v>0</v>
      </c>
      <c r="P568" s="4" t="n">
        <v>1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 customFormat="false" ht="15" hidden="false" customHeight="false" outlineLevel="0" collapsed="false">
      <c r="A569" s="4" t="s">
        <v>552</v>
      </c>
      <c r="B569" s="4" t="n">
        <v>1991</v>
      </c>
      <c r="C569" s="4" t="str">
        <f aca="false">FLOOR(B569,10)&amp;"s"</f>
        <v>1990s</v>
      </c>
      <c r="D569" s="4" t="s">
        <v>553</v>
      </c>
      <c r="E569" s="25" t="str">
        <f aca="false">IF(G569=1,"✓","")</f>
        <v/>
      </c>
      <c r="F569" s="4" t="n">
        <v>3</v>
      </c>
      <c r="G569" s="4" t="n">
        <f aca="false">IF(COUNTIF('Letterboxd Watched'!$E$2:$E$3000,M569)&gt;0,1,0)</f>
        <v>0</v>
      </c>
      <c r="H569" s="4" t="n">
        <v>7</v>
      </c>
      <c r="I569" s="4" t="s">
        <v>144</v>
      </c>
      <c r="J569" s="4" t="s">
        <v>54</v>
      </c>
      <c r="K569" s="4" t="s">
        <v>5337</v>
      </c>
      <c r="L569" s="48" t="str">
        <f aca="false">HYPERLINK("https://boxd.it/2dkw","open")</f>
        <v>open</v>
      </c>
      <c r="M569" s="4" t="str">
        <f aca="false">LOWER(A569)&amp;"|"&amp;B569</f>
        <v>daughters of the dust|1991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1</v>
      </c>
      <c r="T569" s="4" t="n">
        <v>0</v>
      </c>
      <c r="U569" s="4" t="n">
        <v>0</v>
      </c>
      <c r="V569" s="4" t="n">
        <v>1</v>
      </c>
      <c r="W569" s="4" t="n">
        <v>0</v>
      </c>
    </row>
    <row r="570" customFormat="false" ht="15" hidden="false" customHeight="false" outlineLevel="0" collapsed="false">
      <c r="A570" s="4" t="s">
        <v>1510</v>
      </c>
      <c r="B570" s="4" t="n">
        <v>1978</v>
      </c>
      <c r="C570" s="4" t="str">
        <f aca="false">FLOOR(B570,10)&amp;"s"</f>
        <v>1970s</v>
      </c>
      <c r="D570" s="4" t="s">
        <v>475</v>
      </c>
      <c r="E570" s="25" t="str">
        <f aca="false">IF(G570=1,"✓","")</f>
        <v/>
      </c>
      <c r="F570" s="4" t="n">
        <v>1</v>
      </c>
      <c r="G570" s="4" t="n">
        <f aca="false">IF(COUNTIF('Letterboxd Watched'!$E$2:$E$3000,M570)&gt;0,1,0)</f>
        <v>0</v>
      </c>
      <c r="H570" s="4" t="n">
        <v>3</v>
      </c>
      <c r="I570" s="4" t="s">
        <v>144</v>
      </c>
      <c r="J570" s="4" t="s">
        <v>52</v>
      </c>
      <c r="K570" s="4" t="s">
        <v>4068</v>
      </c>
      <c r="L570" s="48" t="str">
        <f aca="false">HYPERLINK("https://boxd.it/29gU","open")</f>
        <v>open</v>
      </c>
      <c r="M570" s="4" t="str">
        <f aca="false">LOWER(A570)&amp;"|"&amp;B570</f>
        <v>dawn of the dead|1978</v>
      </c>
      <c r="N570" s="4" t="n">
        <v>0</v>
      </c>
      <c r="O570" s="4" t="n">
        <v>0</v>
      </c>
      <c r="P570" s="4" t="n">
        <v>0</v>
      </c>
      <c r="Q570" s="4" t="n">
        <v>1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</row>
    <row r="571" customFormat="false" ht="15" hidden="false" customHeight="false" outlineLevel="0" collapsed="false">
      <c r="A571" s="4" t="s">
        <v>2645</v>
      </c>
      <c r="B571" s="4" t="n">
        <v>1996</v>
      </c>
      <c r="C571" s="4" t="str">
        <f aca="false">FLOOR(B571,10)&amp;"s"</f>
        <v>1990s</v>
      </c>
      <c r="D571" s="4" t="s">
        <v>1628</v>
      </c>
      <c r="E571" s="25" t="str">
        <f aca="false">IF(G571=1,"✓","")</f>
        <v/>
      </c>
      <c r="F571" s="4" t="n">
        <v>1</v>
      </c>
      <c r="G571" s="4" t="n">
        <f aca="false">IF(COUNTIF('Letterboxd Watched'!$E$2:$E$3000,M571)&gt;0,1,0)</f>
        <v>0</v>
      </c>
      <c r="H571" s="4" t="n">
        <v>2</v>
      </c>
      <c r="I571" s="4" t="s">
        <v>213</v>
      </c>
      <c r="J571" s="4" t="s">
        <v>53</v>
      </c>
      <c r="K571" s="4" t="s">
        <v>1628</v>
      </c>
      <c r="L571" s="48" t="str">
        <f aca="false">HYPERLINK("https://letterboxd.com/search/films/The+Day+a+Pig+Fell+into+the+Well+1996/","open")</f>
        <v>open</v>
      </c>
      <c r="M571" s="4" t="str">
        <f aca="false">LOWER(A571)&amp;"|"&amp;B571</f>
        <v>the day a pig fell into the well|1996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1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</row>
    <row r="572" customFormat="false" ht="15" hidden="false" customHeight="false" outlineLevel="0" collapsed="false">
      <c r="A572" s="4" t="s">
        <v>3128</v>
      </c>
      <c r="B572" s="4" t="n">
        <v>2017</v>
      </c>
      <c r="C572" s="4" t="str">
        <f aca="false">FLOOR(B572,10)&amp;"s"</f>
        <v>2010s</v>
      </c>
      <c r="D572" s="4" t="s">
        <v>1628</v>
      </c>
      <c r="E572" s="25" t="str">
        <f aca="false">IF(G572=1,"✓","")</f>
        <v/>
      </c>
      <c r="F572" s="4" t="n">
        <v>1</v>
      </c>
      <c r="G572" s="4" t="n">
        <f aca="false">IF(COUNTIF('Letterboxd Watched'!$E$2:$E$3000,M572)&gt;0,1,0)</f>
        <v>0</v>
      </c>
      <c r="H572" s="4" t="n">
        <v>2</v>
      </c>
      <c r="I572" s="4" t="s">
        <v>213</v>
      </c>
      <c r="J572" s="4" t="s">
        <v>53</v>
      </c>
      <c r="K572" s="4" t="s">
        <v>1628</v>
      </c>
      <c r="L572" s="48" t="str">
        <f aca="false">HYPERLINK("https://letterboxd.com/search/films/The+Day+After+2017/","open")</f>
        <v>open</v>
      </c>
      <c r="M572" s="4" t="str">
        <f aca="false">LOWER(A572)&amp;"|"&amp;B572</f>
        <v>the day after|2017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1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</row>
    <row r="573" customFormat="false" ht="15" hidden="false" customHeight="false" outlineLevel="0" collapsed="false">
      <c r="A573" s="4" t="s">
        <v>1020</v>
      </c>
      <c r="B573" s="4" t="n">
        <v>1973</v>
      </c>
      <c r="C573" s="4" t="str">
        <f aca="false">FLOOR(B573,10)&amp;"s"</f>
        <v>1970s</v>
      </c>
      <c r="D573" s="4" t="s">
        <v>150</v>
      </c>
      <c r="E573" s="25" t="str">
        <f aca="false">IF(G573=1,"✓","")</f>
        <v/>
      </c>
      <c r="F573" s="4" t="n">
        <v>2</v>
      </c>
      <c r="G573" s="4" t="n">
        <f aca="false">IF(COUNTIF('Letterboxd Watched'!$E$2:$E$3000,M573)&gt;0,1,0)</f>
        <v>0</v>
      </c>
      <c r="H573" s="4" t="n">
        <v>4</v>
      </c>
      <c r="I573" s="4" t="s">
        <v>213</v>
      </c>
      <c r="J573" s="4" t="s">
        <v>53</v>
      </c>
      <c r="K573" s="4" t="s">
        <v>5338</v>
      </c>
      <c r="L573" s="48" t="str">
        <f aca="false">HYPERLINK("https://boxd.it/28kG","open")</f>
        <v>open</v>
      </c>
      <c r="M573" s="4" t="str">
        <f aca="false">LOWER(A573)&amp;"|"&amp;B573</f>
        <v>day for night|1973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1</v>
      </c>
      <c r="S573" s="4" t="n">
        <v>0</v>
      </c>
      <c r="T573" s="4" t="n">
        <v>1</v>
      </c>
      <c r="U573" s="4" t="n">
        <v>0</v>
      </c>
      <c r="V573" s="4" t="n">
        <v>0</v>
      </c>
      <c r="W573" s="4" t="n">
        <v>0</v>
      </c>
    </row>
    <row r="574" customFormat="false" ht="15" hidden="false" customHeight="false" outlineLevel="0" collapsed="false">
      <c r="A574" s="4" t="s">
        <v>1763</v>
      </c>
      <c r="B574" s="4" t="n">
        <v>1936</v>
      </c>
      <c r="C574" s="4" t="str">
        <f aca="false">FLOOR(B574,10)&amp;"s"</f>
        <v>1930s</v>
      </c>
      <c r="D574" s="4" t="s">
        <v>234</v>
      </c>
      <c r="E574" s="25" t="str">
        <f aca="false">IF(G574=1,"✓","")</f>
        <v/>
      </c>
      <c r="F574" s="4" t="n">
        <v>1</v>
      </c>
      <c r="G574" s="4" t="n">
        <f aca="false">IF(COUNTIF('Letterboxd Watched'!$E$2:$E$3000,M574)&gt;0,1,0)</f>
        <v>0</v>
      </c>
      <c r="H574" s="4" t="n">
        <v>2</v>
      </c>
      <c r="I574" s="4" t="s">
        <v>213</v>
      </c>
      <c r="J574" s="4" t="s">
        <v>53</v>
      </c>
      <c r="K574" s="4" t="s">
        <v>234</v>
      </c>
      <c r="L574" s="48" t="str">
        <f aca="false">HYPERLINK("https://letterboxd.com/search/films/A+Day+in+the+Country+1936/","open")</f>
        <v>open</v>
      </c>
      <c r="M574" s="4" t="str">
        <f aca="false">LOWER(A574)&amp;"|"&amp;B574</f>
        <v>a day in the country|1936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</row>
    <row r="575" customFormat="false" ht="15" hidden="false" customHeight="false" outlineLevel="0" collapsed="false">
      <c r="A575" s="4" t="s">
        <v>2413</v>
      </c>
      <c r="B575" s="4" t="n">
        <v>1985</v>
      </c>
      <c r="C575" s="4" t="str">
        <f aca="false">FLOOR(B575,10)&amp;"s"</f>
        <v>1980s</v>
      </c>
      <c r="D575" s="4" t="s">
        <v>475</v>
      </c>
      <c r="E575" s="25" t="str">
        <f aca="false">IF(G575=1,"✓","")</f>
        <v/>
      </c>
      <c r="F575" s="4" t="n">
        <v>1</v>
      </c>
      <c r="G575" s="4" t="n">
        <f aca="false">IF(COUNTIF('Letterboxd Watched'!$E$2:$E$3000,M575)&gt;0,1,0)</f>
        <v>0</v>
      </c>
      <c r="H575" s="4" t="n">
        <v>2</v>
      </c>
      <c r="I575" s="4" t="s">
        <v>213</v>
      </c>
      <c r="J575" s="4" t="s">
        <v>52</v>
      </c>
      <c r="K575" s="4" t="s">
        <v>4068</v>
      </c>
      <c r="L575" s="48" t="str">
        <f aca="false">HYPERLINK("https://boxd.it/20dM","open")</f>
        <v>open</v>
      </c>
      <c r="M575" s="4" t="str">
        <f aca="false">LOWER(A575)&amp;"|"&amp;B575</f>
        <v>day of the dead|1985</v>
      </c>
      <c r="N575" s="4" t="n">
        <v>0</v>
      </c>
      <c r="O575" s="4" t="n">
        <v>0</v>
      </c>
      <c r="P575" s="4" t="n">
        <v>0</v>
      </c>
      <c r="Q575" s="4" t="n">
        <v>1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</row>
    <row r="576" customFormat="false" ht="15" hidden="false" customHeight="false" outlineLevel="0" collapsed="false">
      <c r="A576" s="4" t="s">
        <v>3394</v>
      </c>
      <c r="B576" s="4" t="n">
        <v>1959</v>
      </c>
      <c r="C576" s="4" t="str">
        <f aca="false">FLOOR(B576,10)&amp;"s"</f>
        <v>1950s</v>
      </c>
      <c r="D576" s="4" t="s">
        <v>3395</v>
      </c>
      <c r="E576" s="25" t="str">
        <f aca="false">IF(G576=1,"✓","")</f>
        <v/>
      </c>
      <c r="F576" s="4" t="n">
        <v>1</v>
      </c>
      <c r="G576" s="4" t="n">
        <f aca="false">IF(COUNTIF('Letterboxd Watched'!$E$2:$E$3000,M576)&gt;0,1,0)</f>
        <v>0</v>
      </c>
      <c r="H576" s="4" t="n">
        <v>1</v>
      </c>
      <c r="I576" s="4" t="s">
        <v>1327</v>
      </c>
      <c r="J576" s="4" t="s">
        <v>52</v>
      </c>
      <c r="K576" s="4" t="s">
        <v>4050</v>
      </c>
      <c r="L576" s="48" t="str">
        <f aca="false">HYPERLINK("https://letterboxd.com/search/films/Day+of+the+Outlaw+1959/","open")</f>
        <v>open</v>
      </c>
      <c r="M576" s="4" t="str">
        <f aca="false">LOWER(A576)&amp;"|"&amp;B576</f>
        <v>day of the outlaw|1959</v>
      </c>
      <c r="N576" s="4" t="n">
        <v>0</v>
      </c>
      <c r="O576" s="4" t="n">
        <v>0</v>
      </c>
      <c r="P576" s="4" t="n">
        <v>0</v>
      </c>
      <c r="Q576" s="4" t="n">
        <v>1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</row>
    <row r="577" customFormat="false" ht="15" hidden="false" customHeight="false" outlineLevel="0" collapsed="false">
      <c r="A577" s="4" t="s">
        <v>1312</v>
      </c>
      <c r="B577" s="4" t="n">
        <v>1943</v>
      </c>
      <c r="C577" s="4" t="str">
        <f aca="false">FLOOR(B577,10)&amp;"s"</f>
        <v>1940s</v>
      </c>
      <c r="D577" s="4" t="s">
        <v>246</v>
      </c>
      <c r="E577" s="25" t="str">
        <f aca="false">IF(G577=1,"✓","")</f>
        <v/>
      </c>
      <c r="F577" s="4" t="n">
        <v>2</v>
      </c>
      <c r="G577" s="4" t="n">
        <f aca="false">IF(COUNTIF('Letterboxd Watched'!$E$2:$E$3000,M577)&gt;0,1,0)</f>
        <v>0</v>
      </c>
      <c r="H577" s="4" t="n">
        <v>3</v>
      </c>
      <c r="I577" s="4" t="s">
        <v>213</v>
      </c>
      <c r="J577" s="4" t="s">
        <v>49</v>
      </c>
      <c r="K577" s="4" t="s">
        <v>5339</v>
      </c>
      <c r="L577" s="48" t="str">
        <f aca="false">HYPERLINK("https://boxd.it/ZtM","open")</f>
        <v>open</v>
      </c>
      <c r="M577" s="4" t="str">
        <f aca="false">LOWER(A577)&amp;"|"&amp;B577</f>
        <v>day of wrath|1943</v>
      </c>
      <c r="N577" s="4" t="n">
        <v>1</v>
      </c>
      <c r="O577" s="4" t="n">
        <v>0</v>
      </c>
      <c r="P577" s="4" t="n">
        <v>1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</row>
    <row r="578" customFormat="false" ht="15" hidden="false" customHeight="false" outlineLevel="0" collapsed="false">
      <c r="A578" s="4" t="s">
        <v>1444</v>
      </c>
      <c r="B578" s="4" t="n">
        <v>1951</v>
      </c>
      <c r="C578" s="4" t="str">
        <f aca="false">FLOOR(B578,10)&amp;"s"</f>
        <v>1950s</v>
      </c>
      <c r="D578" s="4" t="s">
        <v>789</v>
      </c>
      <c r="E578" s="25" t="str">
        <f aca="false">IF(G578=1,"✓","")</f>
        <v/>
      </c>
      <c r="F578" s="4" t="n">
        <v>1</v>
      </c>
      <c r="G578" s="4" t="n">
        <f aca="false">IF(COUNTIF('Letterboxd Watched'!$E$2:$E$3000,M578)&gt;0,1,0)</f>
        <v>0</v>
      </c>
      <c r="H578" s="4" t="n">
        <v>3</v>
      </c>
      <c r="I578" s="4" t="s">
        <v>144</v>
      </c>
      <c r="J578" s="4" t="s">
        <v>52</v>
      </c>
      <c r="K578" s="4" t="s">
        <v>4084</v>
      </c>
      <c r="L578" s="48" t="str">
        <f aca="false">HYPERLINK("https://boxd.it/29w4","open")</f>
        <v>open</v>
      </c>
      <c r="M578" s="4" t="str">
        <f aca="false">LOWER(A578)&amp;"|"&amp;B578</f>
        <v>the day the earth stood still|1951</v>
      </c>
      <c r="N578" s="4" t="n">
        <v>0</v>
      </c>
      <c r="O578" s="4" t="n">
        <v>0</v>
      </c>
      <c r="P578" s="4" t="n">
        <v>0</v>
      </c>
      <c r="Q578" s="4" t="n">
        <v>1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</row>
    <row r="579" customFormat="false" ht="15" hidden="false" customHeight="false" outlineLevel="0" collapsed="false">
      <c r="A579" s="4" t="s">
        <v>1008</v>
      </c>
      <c r="B579" s="4" t="n">
        <v>1970</v>
      </c>
      <c r="C579" s="4" t="str">
        <f aca="false">FLOOR(B579,10)&amp;"s"</f>
        <v>1970s</v>
      </c>
      <c r="D579" s="4" t="s">
        <v>253</v>
      </c>
      <c r="E579" s="25" t="str">
        <f aca="false">IF(G579=1,"✓","")</f>
        <v/>
      </c>
      <c r="F579" s="4" t="n">
        <v>2</v>
      </c>
      <c r="G579" s="4" t="n">
        <f aca="false">IF(COUNTIF('Letterboxd Watched'!$E$2:$E$3000,M579)&gt;0,1,0)</f>
        <v>0</v>
      </c>
      <c r="H579" s="4" t="n">
        <v>4</v>
      </c>
      <c r="I579" s="4" t="s">
        <v>213</v>
      </c>
      <c r="J579" s="4" t="s">
        <v>51</v>
      </c>
      <c r="K579" s="4" t="s">
        <v>5188</v>
      </c>
      <c r="L579" s="48" t="str">
        <f aca="false">HYPERLINK("https://boxd.it/1bM2","open")</f>
        <v>open</v>
      </c>
      <c r="M579" s="4" t="str">
        <f aca="false">LOWER(A579)&amp;"|"&amp;B579</f>
        <v>days and nights in the forest|1970</v>
      </c>
      <c r="N579" s="4" t="n">
        <v>0</v>
      </c>
      <c r="O579" s="4" t="n">
        <v>0</v>
      </c>
      <c r="P579" s="4" t="n">
        <v>1</v>
      </c>
      <c r="Q579" s="4" t="n">
        <v>0</v>
      </c>
      <c r="R579" s="4" t="n">
        <v>1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</row>
    <row r="580" customFormat="false" ht="15" hidden="false" customHeight="false" outlineLevel="0" collapsed="false">
      <c r="A580" s="4" t="s">
        <v>1099</v>
      </c>
      <c r="B580" s="4" t="n">
        <v>1990</v>
      </c>
      <c r="C580" s="4" t="str">
        <f aca="false">FLOOR(B580,10)&amp;"s"</f>
        <v>1990s</v>
      </c>
      <c r="D580" s="4" t="s">
        <v>193</v>
      </c>
      <c r="E580" s="25" t="str">
        <f aca="false">IF(G580=1,"✓","")</f>
        <v/>
      </c>
      <c r="F580" s="4" t="n">
        <v>2</v>
      </c>
      <c r="G580" s="4" t="n">
        <f aca="false">IF(COUNTIF('Letterboxd Watched'!$E$2:$E$3000,M580)&gt;0,1,0)</f>
        <v>0</v>
      </c>
      <c r="H580" s="4" t="n">
        <v>4</v>
      </c>
      <c r="I580" s="4" t="s">
        <v>213</v>
      </c>
      <c r="J580" s="4" t="s">
        <v>51</v>
      </c>
      <c r="K580" s="4" t="s">
        <v>5340</v>
      </c>
      <c r="L580" s="48" t="str">
        <f aca="false">HYPERLINK("https://boxd.it/1HbC","open")</f>
        <v>open</v>
      </c>
      <c r="M580" s="4" t="str">
        <f aca="false">LOWER(A580)&amp;"|"&amp;B580</f>
        <v>days of being wild|1990</v>
      </c>
      <c r="N580" s="4" t="n">
        <v>0</v>
      </c>
      <c r="O580" s="4" t="n">
        <v>0</v>
      </c>
      <c r="P580" s="4" t="n">
        <v>1</v>
      </c>
      <c r="Q580" s="4" t="n">
        <v>0</v>
      </c>
      <c r="R580" s="4" t="n">
        <v>1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</row>
    <row r="581" customFormat="false" ht="15" hidden="false" customHeight="false" outlineLevel="0" collapsed="false">
      <c r="A581" s="4" t="s">
        <v>360</v>
      </c>
      <c r="B581" s="4" t="n">
        <v>1978</v>
      </c>
      <c r="C581" s="4" t="str">
        <f aca="false">FLOOR(B581,10)&amp;"s"</f>
        <v>1970s</v>
      </c>
      <c r="D581" s="4" t="s">
        <v>361</v>
      </c>
      <c r="E581" s="25" t="str">
        <f aca="false">IF(G581=1,"✓","")</f>
        <v>✓</v>
      </c>
      <c r="F581" s="4" t="n">
        <v>4</v>
      </c>
      <c r="G581" s="4" t="n">
        <f aca="false">IF(COUNTIF('Letterboxd Watched'!$E$2:$E$3000,M581)&gt;0,1,0)</f>
        <v>1</v>
      </c>
      <c r="H581" s="4" t="n">
        <v>9</v>
      </c>
      <c r="I581" s="4" t="s">
        <v>144</v>
      </c>
      <c r="J581" s="4" t="s">
        <v>49</v>
      </c>
      <c r="K581" s="4" t="s">
        <v>5341</v>
      </c>
      <c r="L581" s="48" t="str">
        <f aca="false">HYPERLINK("https://boxd.it/1JRg","open")</f>
        <v>open</v>
      </c>
      <c r="M581" s="4" t="str">
        <f aca="false">LOWER(A581)&amp;"|"&amp;B581</f>
        <v>days of heaven|1978</v>
      </c>
      <c r="N581" s="4" t="n">
        <v>1</v>
      </c>
      <c r="O581" s="4" t="n">
        <v>0</v>
      </c>
      <c r="P581" s="4" t="n">
        <v>0</v>
      </c>
      <c r="Q581" s="4" t="n">
        <v>0</v>
      </c>
      <c r="R581" s="4" t="n">
        <v>1</v>
      </c>
      <c r="S581" s="4" t="n">
        <v>0</v>
      </c>
      <c r="T581" s="4" t="n">
        <v>1</v>
      </c>
      <c r="U581" s="4" t="n">
        <v>0</v>
      </c>
      <c r="V581" s="4" t="n">
        <v>0</v>
      </c>
      <c r="W581" s="4" t="n">
        <v>1</v>
      </c>
    </row>
    <row r="582" customFormat="false" ht="15" hidden="false" customHeight="false" outlineLevel="0" collapsed="false">
      <c r="A582" s="4" t="s">
        <v>2660</v>
      </c>
      <c r="B582" s="4" t="n">
        <v>1996</v>
      </c>
      <c r="C582" s="4" t="str">
        <f aca="false">FLOOR(B582,10)&amp;"s"</f>
        <v>1990s</v>
      </c>
      <c r="D582" s="4" t="s">
        <v>2661</v>
      </c>
      <c r="E582" s="25" t="str">
        <f aca="false">IF(G582=1,"✓","")</f>
        <v>✓</v>
      </c>
      <c r="F582" s="4" t="n">
        <v>1</v>
      </c>
      <c r="G582" s="4" t="n">
        <f aca="false">IF(COUNTIF('Letterboxd Watched'!$E$2:$E$3000,M582)&gt;0,1,0)</f>
        <v>1</v>
      </c>
      <c r="H582" s="4" t="n">
        <v>2</v>
      </c>
      <c r="I582" s="4" t="s">
        <v>213</v>
      </c>
      <c r="J582" s="4" t="s">
        <v>56</v>
      </c>
      <c r="K582" s="4" t="s">
        <v>4398</v>
      </c>
      <c r="L582" s="48" t="str">
        <f aca="false">HYPERLINK("https://boxd.it/F9i","open")</f>
        <v>open</v>
      </c>
      <c r="M582" s="4" t="str">
        <f aca="false">LOWER(A582)&amp;"|"&amp;B582</f>
        <v>the daytrippers|1996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1</v>
      </c>
      <c r="V582" s="4" t="n">
        <v>0</v>
      </c>
      <c r="W582" s="4" t="n">
        <v>0</v>
      </c>
    </row>
    <row r="583" customFormat="false" ht="15" hidden="false" customHeight="false" outlineLevel="0" collapsed="false">
      <c r="A583" s="4" t="s">
        <v>319</v>
      </c>
      <c r="B583" s="4" t="n">
        <v>1993</v>
      </c>
      <c r="C583" s="4" t="str">
        <f aca="false">FLOOR(B583,10)&amp;"s"</f>
        <v>1990s</v>
      </c>
      <c r="D583" s="4" t="s">
        <v>320</v>
      </c>
      <c r="E583" s="25" t="str">
        <f aca="false">IF(G583=1,"✓","")</f>
        <v>✓</v>
      </c>
      <c r="F583" s="4" t="n">
        <v>4</v>
      </c>
      <c r="G583" s="4" t="n">
        <f aca="false">IF(COUNTIF('Letterboxd Watched'!$E$2:$E$3000,M583)&gt;0,1,0)</f>
        <v>1</v>
      </c>
      <c r="H583" s="4" t="n">
        <v>10</v>
      </c>
      <c r="I583" s="4" t="s">
        <v>144</v>
      </c>
      <c r="J583" s="4" t="s">
        <v>53</v>
      </c>
      <c r="K583" s="4" t="s">
        <v>5342</v>
      </c>
      <c r="L583" s="48" t="str">
        <f aca="false">HYPERLINK("https://boxd.it/1Ylk","open")</f>
        <v>open</v>
      </c>
      <c r="M583" s="4" t="str">
        <f aca="false">LOWER(A583)&amp;"|"&amp;B583</f>
        <v>dazed and confused|1993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</v>
      </c>
      <c r="S583" s="4" t="n">
        <v>0</v>
      </c>
      <c r="T583" s="4" t="n">
        <v>1</v>
      </c>
      <c r="U583" s="4" t="n">
        <v>1</v>
      </c>
      <c r="V583" s="4" t="n">
        <v>1</v>
      </c>
      <c r="W583" s="4" t="n">
        <v>0</v>
      </c>
    </row>
    <row r="584" customFormat="false" ht="15" hidden="false" customHeight="false" outlineLevel="0" collapsed="false">
      <c r="A584" s="4" t="s">
        <v>838</v>
      </c>
      <c r="B584" s="4" t="n">
        <v>1995</v>
      </c>
      <c r="C584" s="4" t="str">
        <f aca="false">FLOOR(B584,10)&amp;"s"</f>
        <v>1990s</v>
      </c>
      <c r="D584" s="4" t="s">
        <v>615</v>
      </c>
      <c r="E584" s="25" t="str">
        <f aca="false">IF(G584=1,"✓","")</f>
        <v/>
      </c>
      <c r="F584" s="4" t="n">
        <v>2</v>
      </c>
      <c r="G584" s="4" t="n">
        <f aca="false">IF(COUNTIF('Letterboxd Watched'!$E$2:$E$3000,M584)&gt;0,1,0)</f>
        <v>0</v>
      </c>
      <c r="H584" s="4" t="n">
        <v>5</v>
      </c>
      <c r="I584" s="4" t="s">
        <v>144</v>
      </c>
      <c r="J584" s="4" t="s">
        <v>52</v>
      </c>
      <c r="K584" s="4" t="s">
        <v>5343</v>
      </c>
      <c r="L584" s="48" t="str">
        <f aca="false">HYPERLINK("https://boxd.it/29h4","open")</f>
        <v>open</v>
      </c>
      <c r="M584" s="4" t="str">
        <f aca="false">LOWER(A584)&amp;"|"&amp;B584</f>
        <v>dead man|1995</v>
      </c>
      <c r="N584" s="4" t="n">
        <v>0</v>
      </c>
      <c r="O584" s="4" t="n">
        <v>0</v>
      </c>
      <c r="P584" s="4" t="n">
        <v>0</v>
      </c>
      <c r="Q584" s="4" t="n">
        <v>1</v>
      </c>
      <c r="R584" s="4" t="n">
        <v>1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</row>
    <row r="585" customFormat="false" ht="15" hidden="false" customHeight="false" outlineLevel="0" collapsed="false">
      <c r="A585" s="4" t="s">
        <v>922</v>
      </c>
      <c r="B585" s="4" t="n">
        <v>1945</v>
      </c>
      <c r="C585" s="4" t="str">
        <f aca="false">FLOOR(B585,10)&amp;"s"</f>
        <v>1940s</v>
      </c>
      <c r="D585" s="4" t="s">
        <v>923</v>
      </c>
      <c r="E585" s="25" t="str">
        <f aca="false">IF(G585=1,"✓","")</f>
        <v/>
      </c>
      <c r="F585" s="4" t="n">
        <v>2</v>
      </c>
      <c r="G585" s="4" t="n">
        <f aca="false">IF(COUNTIF('Letterboxd Watched'!$E$2:$E$3000,M585)&gt;0,1,0)</f>
        <v>0</v>
      </c>
      <c r="H585" s="4" t="n">
        <v>4</v>
      </c>
      <c r="I585" s="4" t="s">
        <v>213</v>
      </c>
      <c r="J585" s="4" t="s">
        <v>52</v>
      </c>
      <c r="K585" s="4" t="s">
        <v>5344</v>
      </c>
      <c r="L585" s="48" t="str">
        <f aca="false">HYPERLINK("https://boxd.it/1PQI","open")</f>
        <v>open</v>
      </c>
      <c r="M585" s="4" t="str">
        <f aca="false">LOWER(A585)&amp;"|"&amp;B585</f>
        <v>dead of night|1945</v>
      </c>
      <c r="N585" s="4" t="n">
        <v>0</v>
      </c>
      <c r="O585" s="4" t="n">
        <v>0</v>
      </c>
      <c r="P585" s="4" t="n">
        <v>0</v>
      </c>
      <c r="Q585" s="4" t="n">
        <v>1</v>
      </c>
      <c r="R585" s="4" t="n">
        <v>0</v>
      </c>
      <c r="S585" s="4" t="n">
        <v>0</v>
      </c>
      <c r="T585" s="4" t="n">
        <v>0</v>
      </c>
      <c r="U585" s="4" t="n">
        <v>1</v>
      </c>
      <c r="V585" s="4" t="n">
        <v>0</v>
      </c>
      <c r="W585" s="4" t="n">
        <v>0</v>
      </c>
    </row>
    <row r="586" customFormat="false" ht="15" hidden="false" customHeight="false" outlineLevel="0" collapsed="false">
      <c r="A586" s="4" t="s">
        <v>2694</v>
      </c>
      <c r="B586" s="4" t="n">
        <v>1999</v>
      </c>
      <c r="C586" s="4" t="str">
        <f aca="false">FLOOR(B586,10)&amp;"s"</f>
        <v>1990s</v>
      </c>
      <c r="D586" s="4" t="s">
        <v>1127</v>
      </c>
      <c r="E586" s="25" t="str">
        <f aca="false">IF(G586=1,"✓","")</f>
        <v/>
      </c>
      <c r="F586" s="4" t="n">
        <v>1</v>
      </c>
      <c r="G586" s="4" t="n">
        <f aca="false">IF(COUNTIF('Letterboxd Watched'!$E$2:$E$3000,M586)&gt;0,1,0)</f>
        <v>0</v>
      </c>
      <c r="H586" s="4" t="n">
        <v>2</v>
      </c>
      <c r="I586" s="4" t="s">
        <v>213</v>
      </c>
      <c r="J586" s="4" t="s">
        <v>51</v>
      </c>
      <c r="K586" s="4" t="s">
        <v>3936</v>
      </c>
      <c r="L586" s="48" t="str">
        <f aca="false">HYPERLINK("https://letterboxd.com/search/films/Dead+or+Alive+1999/","open")</f>
        <v>open</v>
      </c>
      <c r="M586" s="4" t="str">
        <f aca="false">LOWER(A586)&amp;"|"&amp;B586</f>
        <v>dead or alive|1999</v>
      </c>
      <c r="N586" s="4" t="n">
        <v>0</v>
      </c>
      <c r="O586" s="4" t="n">
        <v>0</v>
      </c>
      <c r="P586" s="4" t="n">
        <v>1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</row>
    <row r="587" customFormat="false" ht="15" hidden="false" customHeight="false" outlineLevel="0" collapsed="false">
      <c r="A587" s="4" t="s">
        <v>682</v>
      </c>
      <c r="B587" s="4" t="n">
        <v>1989</v>
      </c>
      <c r="C587" s="4" t="str">
        <f aca="false">FLOOR(B587,10)&amp;"s"</f>
        <v>1980s</v>
      </c>
      <c r="D587" s="4" t="s">
        <v>439</v>
      </c>
      <c r="E587" s="25" t="str">
        <f aca="false">IF(G587=1,"✓","")</f>
        <v>✓</v>
      </c>
      <c r="F587" s="4" t="n">
        <v>2</v>
      </c>
      <c r="G587" s="4" t="n">
        <f aca="false">IF(COUNTIF('Letterboxd Watched'!$E$2:$E$3000,M587)&gt;0,1,0)</f>
        <v>1</v>
      </c>
      <c r="H587" s="4" t="n">
        <v>6</v>
      </c>
      <c r="I587" s="4" t="s">
        <v>144</v>
      </c>
      <c r="J587" s="4" t="s">
        <v>55</v>
      </c>
      <c r="K587" s="4" t="s">
        <v>5345</v>
      </c>
      <c r="L587" s="48" t="str">
        <f aca="false">HYPERLINK("https://boxd.it/2aSg","open")</f>
        <v>open</v>
      </c>
      <c r="M587" s="4" t="str">
        <f aca="false">LOWER(A587)&amp;"|"&amp;B587</f>
        <v>dead poets society|1989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1</v>
      </c>
      <c r="U587" s="4" t="n">
        <v>1</v>
      </c>
      <c r="V587" s="4" t="n">
        <v>0</v>
      </c>
      <c r="W587" s="4" t="n">
        <v>0</v>
      </c>
    </row>
    <row r="588" customFormat="false" ht="15" hidden="false" customHeight="false" outlineLevel="0" collapsed="false">
      <c r="A588" s="4" t="s">
        <v>1374</v>
      </c>
      <c r="B588" s="4" t="n">
        <v>1988</v>
      </c>
      <c r="C588" s="4" t="str">
        <f aca="false">FLOOR(B588,10)&amp;"s"</f>
        <v>1980s</v>
      </c>
      <c r="D588" s="4" t="s">
        <v>316</v>
      </c>
      <c r="E588" s="25" t="str">
        <f aca="false">IF(G588=1,"✓","")</f>
        <v/>
      </c>
      <c r="F588" s="4" t="n">
        <v>2</v>
      </c>
      <c r="G588" s="4" t="n">
        <f aca="false">IF(COUNTIF('Letterboxd Watched'!$E$2:$E$3000,M588)&gt;0,1,0)</f>
        <v>0</v>
      </c>
      <c r="H588" s="4" t="n">
        <v>3</v>
      </c>
      <c r="I588" s="4" t="s">
        <v>213</v>
      </c>
      <c r="J588" s="4" t="s">
        <v>52</v>
      </c>
      <c r="K588" s="4" t="s">
        <v>5329</v>
      </c>
      <c r="L588" s="48" t="str">
        <f aca="false">HYPERLINK("https://boxd.it/1Yqk","open")</f>
        <v>open</v>
      </c>
      <c r="M588" s="4" t="str">
        <f aca="false">LOWER(A588)&amp;"|"&amp;B588</f>
        <v>dead ringers|1988</v>
      </c>
      <c r="N588" s="4" t="n">
        <v>0</v>
      </c>
      <c r="O588" s="4" t="n">
        <v>0</v>
      </c>
      <c r="P588" s="4" t="n">
        <v>0</v>
      </c>
      <c r="Q588" s="4" t="n">
        <v>1</v>
      </c>
      <c r="R588" s="4" t="n">
        <v>1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</row>
    <row r="589" customFormat="false" ht="15" hidden="false" customHeight="false" outlineLevel="0" collapsed="false">
      <c r="A589" s="4" t="s">
        <v>2386</v>
      </c>
      <c r="B589" s="4" t="n">
        <v>1983</v>
      </c>
      <c r="C589" s="4" t="str">
        <f aca="false">FLOOR(B589,10)&amp;"s"</f>
        <v>1980s</v>
      </c>
      <c r="D589" s="4" t="s">
        <v>316</v>
      </c>
      <c r="E589" s="25" t="str">
        <f aca="false">IF(G589=1,"✓","")</f>
        <v>✓</v>
      </c>
      <c r="F589" s="4" t="n">
        <v>1</v>
      </c>
      <c r="G589" s="4" t="n">
        <f aca="false">IF(COUNTIF('Letterboxd Watched'!$E$2:$E$3000,M589)&gt;0,1,0)</f>
        <v>1</v>
      </c>
      <c r="H589" s="4" t="n">
        <v>2</v>
      </c>
      <c r="I589" s="4" t="s">
        <v>213</v>
      </c>
      <c r="J589" s="4" t="s">
        <v>53</v>
      </c>
      <c r="K589" s="4" t="s">
        <v>316</v>
      </c>
      <c r="L589" s="48" t="str">
        <f aca="false">HYPERLINK("https://boxd.it/1U6g","open")</f>
        <v>open</v>
      </c>
      <c r="M589" s="4" t="str">
        <f aca="false">LOWER(A589)&amp;"|"&amp;B589</f>
        <v>the dead zone|1983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</row>
    <row r="590" customFormat="false" ht="15" hidden="false" customHeight="false" outlineLevel="0" collapsed="false">
      <c r="A590" s="4" t="s">
        <v>3778</v>
      </c>
      <c r="B590" s="4" t="n">
        <v>2008</v>
      </c>
      <c r="C590" s="4" t="str">
        <f aca="false">FLOOR(B590,10)&amp;"s"</f>
        <v>2000s</v>
      </c>
      <c r="D590" s="4" t="s">
        <v>3779</v>
      </c>
      <c r="E590" s="25" t="str">
        <f aca="false">IF(G590=1,"✓","")</f>
        <v/>
      </c>
      <c r="F590" s="4" t="n">
        <v>1</v>
      </c>
      <c r="G590" s="4" t="n">
        <f aca="false">IF(COUNTIF('Letterboxd Watched'!$E$2:$E$3000,M590)&gt;0,1,0)</f>
        <v>0</v>
      </c>
      <c r="H590" s="4" t="n">
        <v>1</v>
      </c>
      <c r="I590" s="4" t="s">
        <v>1327</v>
      </c>
      <c r="J590" s="4" t="s">
        <v>52</v>
      </c>
      <c r="K590" s="4" t="s">
        <v>4176</v>
      </c>
      <c r="L590" s="48" t="str">
        <f aca="false">HYPERLINK("https://letterboxd.com/search/films/Dear+Zachary+A+Letter+to+a+Son+About+His+Father+2008/","open")</f>
        <v>open</v>
      </c>
      <c r="M590" s="4" t="str">
        <f aca="false">LOWER(A590)&amp;"|"&amp;B590</f>
        <v>dear zachary: a letter to a son about his father|2008</v>
      </c>
      <c r="N590" s="4" t="n">
        <v>0</v>
      </c>
      <c r="O590" s="4" t="n">
        <v>0</v>
      </c>
      <c r="P590" s="4" t="n">
        <v>0</v>
      </c>
      <c r="Q590" s="4" t="n">
        <v>1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</row>
    <row r="591" customFormat="false" ht="15" hidden="false" customHeight="false" outlineLevel="0" collapsed="false">
      <c r="A591" s="4" t="s">
        <v>994</v>
      </c>
      <c r="B591" s="4" t="n">
        <v>1968</v>
      </c>
      <c r="C591" s="4" t="str">
        <f aca="false">FLOOR(B591,10)&amp;"s"</f>
        <v>1960s</v>
      </c>
      <c r="D591" s="4" t="s">
        <v>995</v>
      </c>
      <c r="E591" s="25" t="str">
        <f aca="false">IF(G591=1,"✓","")</f>
        <v/>
      </c>
      <c r="F591" s="4" t="n">
        <v>2</v>
      </c>
      <c r="G591" s="4" t="n">
        <f aca="false">IF(COUNTIF('Letterboxd Watched'!$E$2:$E$3000,M591)&gt;0,1,0)</f>
        <v>0</v>
      </c>
      <c r="H591" s="4" t="n">
        <v>4</v>
      </c>
      <c r="I591" s="4" t="s">
        <v>213</v>
      </c>
      <c r="J591" s="4" t="s">
        <v>50</v>
      </c>
      <c r="K591" s="4" t="s">
        <v>5346</v>
      </c>
      <c r="L591" s="48" t="str">
        <f aca="false">HYPERLINK("https://boxd.it/3nPm","open")</f>
        <v>open</v>
      </c>
      <c r="M591" s="4" t="str">
        <f aca="false">LOWER(A591)&amp;"|"&amp;B591</f>
        <v>death by hanging|1968</v>
      </c>
      <c r="N591" s="4" t="n">
        <v>0</v>
      </c>
      <c r="O591" s="4" t="n">
        <v>1</v>
      </c>
      <c r="P591" s="4" t="n">
        <v>1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</row>
    <row r="592" customFormat="false" ht="15" hidden="false" customHeight="false" outlineLevel="0" collapsed="false">
      <c r="A592" s="4" t="s">
        <v>3437</v>
      </c>
      <c r="B592" s="4" t="n">
        <v>1966</v>
      </c>
      <c r="C592" s="4" t="str">
        <f aca="false">FLOOR(B592,10)&amp;"s"</f>
        <v>1960s</v>
      </c>
      <c r="D592" s="4" t="s">
        <v>779</v>
      </c>
      <c r="E592" s="25" t="str">
        <f aca="false">IF(G592=1,"✓","")</f>
        <v/>
      </c>
      <c r="F592" s="4" t="n">
        <v>1</v>
      </c>
      <c r="G592" s="4" t="n">
        <f aca="false">IF(COUNTIF('Letterboxd Watched'!$E$2:$E$3000,M592)&gt;0,1,0)</f>
        <v>0</v>
      </c>
      <c r="H592" s="4" t="n">
        <v>1</v>
      </c>
      <c r="I592" s="4" t="s">
        <v>1327</v>
      </c>
      <c r="J592" s="4" t="s">
        <v>51</v>
      </c>
      <c r="K592" s="4" t="s">
        <v>4008</v>
      </c>
      <c r="L592" s="48" t="str">
        <f aca="false">HYPERLINK("https://letterboxd.com/search/films/Death+of+a+Bureaucrat+1966/","open")</f>
        <v>open</v>
      </c>
      <c r="M592" s="4" t="str">
        <f aca="false">LOWER(A592)&amp;"|"&amp;B592</f>
        <v>death of a bureaucrat|1966</v>
      </c>
      <c r="N592" s="4" t="n">
        <v>0</v>
      </c>
      <c r="O592" s="4" t="n">
        <v>0</v>
      </c>
      <c r="P592" s="4" t="n">
        <v>1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</row>
    <row r="593" customFormat="false" ht="15" hidden="false" customHeight="false" outlineLevel="0" collapsed="false">
      <c r="A593" s="4" t="s">
        <v>1917</v>
      </c>
      <c r="B593" s="4" t="n">
        <v>1955</v>
      </c>
      <c r="C593" s="4" t="str">
        <f aca="false">FLOOR(B593,10)&amp;"s"</f>
        <v>1950s</v>
      </c>
      <c r="D593" s="4" t="s">
        <v>1918</v>
      </c>
      <c r="E593" s="25" t="str">
        <f aca="false">IF(G593=1,"✓","")</f>
        <v/>
      </c>
      <c r="F593" s="4" t="n">
        <v>1</v>
      </c>
      <c r="G593" s="4" t="n">
        <f aca="false">IF(COUNTIF('Letterboxd Watched'!$E$2:$E$3000,M593)&gt;0,1,0)</f>
        <v>0</v>
      </c>
      <c r="H593" s="4" t="n">
        <v>2</v>
      </c>
      <c r="I593" s="4" t="s">
        <v>213</v>
      </c>
      <c r="J593" s="4" t="s">
        <v>51</v>
      </c>
      <c r="K593" s="4" t="s">
        <v>4002</v>
      </c>
      <c r="L593" s="48" t="str">
        <f aca="false">HYPERLINK("https://letterboxd.com/search/films/Death+of+a+Cyclist+1955/","open")</f>
        <v>open</v>
      </c>
      <c r="M593" s="4" t="str">
        <f aca="false">LOWER(A593)&amp;"|"&amp;B593</f>
        <v>death of a cyclist|1955</v>
      </c>
      <c r="N593" s="4" t="n">
        <v>0</v>
      </c>
      <c r="O593" s="4" t="n">
        <v>0</v>
      </c>
      <c r="P593" s="4" t="n">
        <v>1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</row>
    <row r="594" customFormat="false" ht="15" hidden="false" customHeight="false" outlineLevel="0" collapsed="false">
      <c r="A594" s="4" t="s">
        <v>1591</v>
      </c>
      <c r="B594" s="4" t="n">
        <v>2005</v>
      </c>
      <c r="C594" s="4" t="str">
        <f aca="false">FLOOR(B594,10)&amp;"s"</f>
        <v>2000s</v>
      </c>
      <c r="D594" s="4" t="s">
        <v>1592</v>
      </c>
      <c r="E594" s="25" t="str">
        <f aca="false">IF(G594=1,"✓","")</f>
        <v/>
      </c>
      <c r="F594" s="4" t="n">
        <v>1</v>
      </c>
      <c r="G594" s="4" t="n">
        <f aca="false">IF(COUNTIF('Letterboxd Watched'!$E$2:$E$3000,M594)&gt;0,1,0)</f>
        <v>0</v>
      </c>
      <c r="H594" s="4" t="n">
        <v>3</v>
      </c>
      <c r="I594" s="4" t="s">
        <v>144</v>
      </c>
      <c r="J594" s="4" t="s">
        <v>51</v>
      </c>
      <c r="K594" s="4" t="s">
        <v>4000</v>
      </c>
      <c r="L594" s="48" t="str">
        <f aca="false">HYPERLINK("https://boxd.it/1k1a","open")</f>
        <v>open</v>
      </c>
      <c r="M594" s="4" t="str">
        <f aca="false">LOWER(A594)&amp;"|"&amp;B594</f>
        <v>the death of mr. lazarescu|2005</v>
      </c>
      <c r="N594" s="4" t="n">
        <v>0</v>
      </c>
      <c r="O594" s="4" t="n">
        <v>0</v>
      </c>
      <c r="P594" s="4" t="n">
        <v>1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</row>
    <row r="595" customFormat="false" ht="15" hidden="false" customHeight="false" outlineLevel="0" collapsed="false">
      <c r="A595" s="4" t="s">
        <v>3124</v>
      </c>
      <c r="B595" s="4" t="n">
        <v>2017</v>
      </c>
      <c r="C595" s="4" t="str">
        <f aca="false">FLOOR(B595,10)&amp;"s"</f>
        <v>2010s</v>
      </c>
      <c r="D595" s="4" t="s">
        <v>2923</v>
      </c>
      <c r="E595" s="25" t="str">
        <f aca="false">IF(G595=1,"✓","")</f>
        <v>✓</v>
      </c>
      <c r="F595" s="4" t="n">
        <v>1</v>
      </c>
      <c r="G595" s="4" t="n">
        <f aca="false">IF(COUNTIF('Letterboxd Watched'!$E$2:$E$3000,M595)&gt;0,1,0)</f>
        <v>1</v>
      </c>
      <c r="H595" s="4" t="n">
        <v>2</v>
      </c>
      <c r="I595" s="4" t="s">
        <v>213</v>
      </c>
      <c r="J595" s="4" t="s">
        <v>52</v>
      </c>
      <c r="K595" s="4" t="s">
        <v>4100</v>
      </c>
      <c r="L595" s="48" t="str">
        <f aca="false">HYPERLINK("https://boxd.it/ea9Y","open")</f>
        <v>open</v>
      </c>
      <c r="M595" s="4" t="str">
        <f aca="false">LOWER(A595)&amp;"|"&amp;B595</f>
        <v>the death of stalin|2017</v>
      </c>
      <c r="N595" s="4" t="n">
        <v>0</v>
      </c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</row>
    <row r="596" customFormat="false" ht="15" hidden="false" customHeight="false" outlineLevel="0" collapsed="false">
      <c r="A596" s="4" t="s">
        <v>3767</v>
      </c>
      <c r="B596" s="4" t="n">
        <v>2007</v>
      </c>
      <c r="C596" s="4" t="str">
        <f aca="false">FLOOR(B596,10)&amp;"s"</f>
        <v>2000s</v>
      </c>
      <c r="D596" s="4" t="s">
        <v>208</v>
      </c>
      <c r="E596" s="25" t="str">
        <f aca="false">IF(G596=1,"✓","")</f>
        <v>✓</v>
      </c>
      <c r="F596" s="4" t="n">
        <v>1</v>
      </c>
      <c r="G596" s="4" t="n">
        <f aca="false">IF(COUNTIF('Letterboxd Watched'!$E$2:$E$3000,M596)&gt;0,1,0)</f>
        <v>1</v>
      </c>
      <c r="H596" s="4" t="n">
        <v>1</v>
      </c>
      <c r="I596" s="4" t="s">
        <v>1327</v>
      </c>
      <c r="J596" s="4" t="s">
        <v>53</v>
      </c>
      <c r="K596" s="4" t="s">
        <v>208</v>
      </c>
      <c r="L596" s="48" t="str">
        <f aca="false">HYPERLINK("https://boxd.it/27GG","open")</f>
        <v>open</v>
      </c>
      <c r="M596" s="4" t="str">
        <f aca="false">LOWER(A596)&amp;"|"&amp;B596</f>
        <v>death proof|2007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</row>
    <row r="597" customFormat="false" ht="15" hidden="false" customHeight="false" outlineLevel="0" collapsed="false">
      <c r="A597" s="4" t="s">
        <v>2276</v>
      </c>
      <c r="B597" s="4" t="n">
        <v>1975</v>
      </c>
      <c r="C597" s="4" t="str">
        <f aca="false">FLOOR(B597,10)&amp;"s"</f>
        <v>1970s</v>
      </c>
      <c r="D597" s="4" t="s">
        <v>2277</v>
      </c>
      <c r="E597" s="25" t="str">
        <f aca="false">IF(G597=1,"✓","")</f>
        <v/>
      </c>
      <c r="F597" s="4" t="n">
        <v>1</v>
      </c>
      <c r="G597" s="4" t="n">
        <f aca="false">IF(COUNTIF('Letterboxd Watched'!$E$2:$E$3000,M597)&gt;0,1,0)</f>
        <v>0</v>
      </c>
      <c r="H597" s="4" t="n">
        <v>2</v>
      </c>
      <c r="I597" s="4" t="s">
        <v>213</v>
      </c>
      <c r="J597" s="4" t="s">
        <v>54</v>
      </c>
      <c r="K597" s="4" t="s">
        <v>4308</v>
      </c>
      <c r="L597" s="48" t="str">
        <f aca="false">HYPERLINK("https://boxd.it/1QuI","open")</f>
        <v>open</v>
      </c>
      <c r="M597" s="4" t="str">
        <f aca="false">LOWER(A597)&amp;"|"&amp;B597</f>
        <v>death race 2000|1975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1</v>
      </c>
      <c r="T597" s="4" t="n">
        <v>0</v>
      </c>
      <c r="U597" s="4" t="n">
        <v>0</v>
      </c>
      <c r="V597" s="4" t="n">
        <v>0</v>
      </c>
      <c r="W597" s="4" t="n">
        <v>0</v>
      </c>
    </row>
    <row r="598" customFormat="false" ht="15" hidden="false" customHeight="false" outlineLevel="0" collapsed="false">
      <c r="A598" s="4" t="s">
        <v>3446</v>
      </c>
      <c r="B598" s="4" t="n">
        <v>1967</v>
      </c>
      <c r="C598" s="4" t="str">
        <f aca="false">FLOOR(B598,10)&amp;"s"</f>
        <v>1960s</v>
      </c>
      <c r="D598" s="4" t="s">
        <v>3447</v>
      </c>
      <c r="E598" s="25" t="str">
        <f aca="false">IF(G598=1,"✓","")</f>
        <v/>
      </c>
      <c r="F598" s="4" t="n">
        <v>1</v>
      </c>
      <c r="G598" s="4" t="n">
        <f aca="false">IF(COUNTIF('Letterboxd Watched'!$E$2:$E$3000,M598)&gt;0,1,0)</f>
        <v>0</v>
      </c>
      <c r="H598" s="4" t="n">
        <v>1</v>
      </c>
      <c r="I598" s="4" t="s">
        <v>1327</v>
      </c>
      <c r="J598" s="4" t="s">
        <v>51</v>
      </c>
      <c r="K598" s="4" t="s">
        <v>3948</v>
      </c>
      <c r="L598" s="48" t="str">
        <f aca="false">HYPERLINK("https://boxd.it/G9I","open")</f>
        <v>open</v>
      </c>
      <c r="M598" s="4" t="str">
        <f aca="false">LOWER(A598)&amp;"|"&amp;B598</f>
        <v>death rides a horse|1967</v>
      </c>
      <c r="N598" s="4" t="n">
        <v>0</v>
      </c>
      <c r="O598" s="4" t="n">
        <v>0</v>
      </c>
      <c r="P598" s="4" t="n">
        <v>1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 customFormat="false" ht="15" hidden="false" customHeight="false" outlineLevel="0" collapsed="false">
      <c r="A599" s="4" t="s">
        <v>3541</v>
      </c>
      <c r="B599" s="4" t="n">
        <v>1974</v>
      </c>
      <c r="C599" s="4" t="str">
        <f aca="false">FLOOR(B599,10)&amp;"s"</f>
        <v>1970s</v>
      </c>
      <c r="D599" s="4" t="s">
        <v>546</v>
      </c>
      <c r="E599" s="25" t="str">
        <f aca="false">IF(G599=1,"✓","")</f>
        <v/>
      </c>
      <c r="F599" s="4" t="n">
        <v>1</v>
      </c>
      <c r="G599" s="4" t="n">
        <f aca="false">IF(COUNTIF('Letterboxd Watched'!$E$2:$E$3000,M599)&gt;0,1,0)</f>
        <v>0</v>
      </c>
      <c r="H599" s="4" t="n">
        <v>1</v>
      </c>
      <c r="I599" s="4" t="s">
        <v>1327</v>
      </c>
      <c r="J599" s="4" t="s">
        <v>56</v>
      </c>
      <c r="K599" s="4" t="s">
        <v>4408</v>
      </c>
      <c r="L599" s="48" t="str">
        <f aca="false">HYPERLINK("https://letterboxd.com/search/films/Deathdream+1974/","open")</f>
        <v>open</v>
      </c>
      <c r="M599" s="4" t="str">
        <f aca="false">LOWER(A599)&amp;"|"&amp;B599</f>
        <v>deathdream|1974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1</v>
      </c>
      <c r="V599" s="4" t="n">
        <v>0</v>
      </c>
      <c r="W599" s="4" t="n">
        <v>0</v>
      </c>
    </row>
    <row r="600" customFormat="false" ht="15" hidden="false" customHeight="false" outlineLevel="0" collapsed="false">
      <c r="A600" s="4" t="s">
        <v>1941</v>
      </c>
      <c r="B600" s="4" t="n">
        <v>1957</v>
      </c>
      <c r="C600" s="4" t="str">
        <f aca="false">FLOOR(B600,10)&amp;"s"</f>
        <v>1950s</v>
      </c>
      <c r="D600" s="4" t="s">
        <v>1451</v>
      </c>
      <c r="E600" s="25" t="str">
        <f aca="false">IF(G600=1,"✓","")</f>
        <v/>
      </c>
      <c r="F600" s="4" t="n">
        <v>1</v>
      </c>
      <c r="G600" s="4" t="n">
        <f aca="false">IF(COUNTIF('Letterboxd Watched'!$E$2:$E$3000,M600)&gt;0,1,0)</f>
        <v>0</v>
      </c>
      <c r="H600" s="4" t="n">
        <v>2</v>
      </c>
      <c r="I600" s="4" t="s">
        <v>213</v>
      </c>
      <c r="J600" s="4" t="s">
        <v>52</v>
      </c>
      <c r="K600" s="4" t="s">
        <v>4050</v>
      </c>
      <c r="L600" s="48" t="str">
        <f aca="false">HYPERLINK("https://letterboxd.com/search/films/Decision+at+Sundown+1957/","open")</f>
        <v>open</v>
      </c>
      <c r="M600" s="4" t="str">
        <f aca="false">LOWER(A600)&amp;"|"&amp;B600</f>
        <v>decision at sundown|1957</v>
      </c>
      <c r="N600" s="4" t="n">
        <v>0</v>
      </c>
      <c r="O600" s="4" t="n">
        <v>0</v>
      </c>
      <c r="P600" s="4" t="n">
        <v>0</v>
      </c>
      <c r="Q600" s="4" t="n">
        <v>1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</row>
    <row r="601" customFormat="false" ht="15" hidden="false" customHeight="false" outlineLevel="0" collapsed="false">
      <c r="A601" s="4" t="s">
        <v>1263</v>
      </c>
      <c r="B601" s="4" t="n">
        <v>2022</v>
      </c>
      <c r="C601" s="4" t="str">
        <f aca="false">FLOOR(B601,10)&amp;"s"</f>
        <v>2020s</v>
      </c>
      <c r="D601" s="4" t="s">
        <v>685</v>
      </c>
      <c r="E601" s="25" t="str">
        <f aca="false">IF(G601=1,"✓","")</f>
        <v/>
      </c>
      <c r="F601" s="4" t="n">
        <v>2</v>
      </c>
      <c r="G601" s="4" t="n">
        <f aca="false">IF(COUNTIF('Letterboxd Watched'!$E$2:$E$3000,M601)&gt;0,1,0)</f>
        <v>0</v>
      </c>
      <c r="H601" s="4" t="n">
        <v>4</v>
      </c>
      <c r="I601" s="4" t="s">
        <v>213</v>
      </c>
      <c r="J601" s="4" t="s">
        <v>51</v>
      </c>
      <c r="K601" s="4" t="s">
        <v>5347</v>
      </c>
      <c r="L601" s="48" t="str">
        <f aca="false">HYPERLINK("https://boxd.it/qp9e","open")</f>
        <v>open</v>
      </c>
      <c r="M601" s="4" t="str">
        <f aca="false">LOWER(A601)&amp;"|"&amp;B601</f>
        <v>decision to leave|2022</v>
      </c>
      <c r="N601" s="4" t="n">
        <v>0</v>
      </c>
      <c r="O601" s="4" t="n">
        <v>0</v>
      </c>
      <c r="P601" s="4" t="n">
        <v>1</v>
      </c>
      <c r="Q601" s="4" t="n">
        <v>0</v>
      </c>
      <c r="R601" s="4" t="n">
        <v>1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</row>
    <row r="602" customFormat="false" ht="15" hidden="false" customHeight="false" outlineLevel="0" collapsed="false">
      <c r="A602" s="4" t="s">
        <v>2431</v>
      </c>
      <c r="B602" s="4" t="n">
        <v>1986</v>
      </c>
      <c r="C602" s="4" t="str">
        <f aca="false">FLOOR(B602,10)&amp;"s"</f>
        <v>1980s</v>
      </c>
      <c r="D602" s="4" t="s">
        <v>2432</v>
      </c>
      <c r="E602" s="25" t="str">
        <f aca="false">IF(G602=1,"✓","")</f>
        <v/>
      </c>
      <c r="F602" s="4" t="n">
        <v>1</v>
      </c>
      <c r="G602" s="4" t="n">
        <f aca="false">IF(COUNTIF('Letterboxd Watched'!$E$2:$E$3000,M602)&gt;0,1,0)</f>
        <v>0</v>
      </c>
      <c r="H602" s="4" t="n">
        <v>2</v>
      </c>
      <c r="I602" s="4" t="s">
        <v>213</v>
      </c>
      <c r="J602" s="4" t="s">
        <v>51</v>
      </c>
      <c r="K602" s="4" t="s">
        <v>4040</v>
      </c>
      <c r="L602" s="48" t="str">
        <f aca="false">HYPERLINK("https://letterboxd.com/search/films/The+Decline+of+the+American+Empire+1986/","open")</f>
        <v>open</v>
      </c>
      <c r="M602" s="4" t="str">
        <f aca="false">LOWER(A602)&amp;"|"&amp;B602</f>
        <v>the decline of the american empire|1986</v>
      </c>
      <c r="N602" s="4" t="n">
        <v>0</v>
      </c>
      <c r="O602" s="4" t="n">
        <v>0</v>
      </c>
      <c r="P602" s="4" t="n">
        <v>1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</row>
    <row r="603" customFormat="false" ht="15" hidden="false" customHeight="false" outlineLevel="0" collapsed="false">
      <c r="A603" s="4" t="s">
        <v>3602</v>
      </c>
      <c r="B603" s="4" t="n">
        <v>1981</v>
      </c>
      <c r="C603" s="4" t="str">
        <f aca="false">FLOOR(B603,10)&amp;"s"</f>
        <v>1980s</v>
      </c>
      <c r="D603" s="4" t="s">
        <v>3603</v>
      </c>
      <c r="E603" s="25" t="str">
        <f aca="false">IF(G603=1,"✓","")</f>
        <v/>
      </c>
      <c r="F603" s="4" t="n">
        <v>1</v>
      </c>
      <c r="G603" s="4" t="n">
        <f aca="false">IF(COUNTIF('Letterboxd Watched'!$E$2:$E$3000,M603)&gt;0,1,0)</f>
        <v>0</v>
      </c>
      <c r="H603" s="4" t="n">
        <v>1</v>
      </c>
      <c r="I603" s="4" t="s">
        <v>1327</v>
      </c>
      <c r="J603" s="4" t="s">
        <v>56</v>
      </c>
      <c r="K603" s="4" t="s">
        <v>4396</v>
      </c>
      <c r="L603" s="48" t="str">
        <f aca="false">HYPERLINK("https://boxd.it/1Com","open")</f>
        <v>open</v>
      </c>
      <c r="M603" s="4" t="str">
        <f aca="false">LOWER(A603)&amp;"|"&amp;B603</f>
        <v>the decline of western civilization|1981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1</v>
      </c>
      <c r="V603" s="4" t="n">
        <v>0</v>
      </c>
      <c r="W603" s="4" t="n">
        <v>0</v>
      </c>
    </row>
    <row r="604" customFormat="false" ht="15" hidden="false" customHeight="false" outlineLevel="0" collapsed="false">
      <c r="A604" s="4" t="s">
        <v>785</v>
      </c>
      <c r="B604" s="4" t="n">
        <v>1970</v>
      </c>
      <c r="C604" s="4" t="str">
        <f aca="false">FLOOR(B604,10)&amp;"s"</f>
        <v>1970s</v>
      </c>
      <c r="D604" s="4" t="s">
        <v>786</v>
      </c>
      <c r="E604" s="25" t="str">
        <f aca="false">IF(G604=1,"✓","")</f>
        <v/>
      </c>
      <c r="F604" s="4" t="n">
        <v>2</v>
      </c>
      <c r="G604" s="4" t="n">
        <f aca="false">IF(COUNTIF('Letterboxd Watched'!$E$2:$E$3000,M604)&gt;0,1,0)</f>
        <v>0</v>
      </c>
      <c r="H604" s="4" t="n">
        <v>5</v>
      </c>
      <c r="I604" s="4" t="s">
        <v>144</v>
      </c>
      <c r="J604" s="4" t="s">
        <v>51</v>
      </c>
      <c r="K604" s="4" t="s">
        <v>5272</v>
      </c>
      <c r="L604" s="48" t="str">
        <f aca="false">HYPERLINK("https://boxd.it/i8m","open")</f>
        <v>open</v>
      </c>
      <c r="M604" s="4" t="str">
        <f aca="false">LOWER(A604)&amp;"|"&amp;B604</f>
        <v>deep end|1970</v>
      </c>
      <c r="N604" s="4" t="n">
        <v>0</v>
      </c>
      <c r="O604" s="4" t="n">
        <v>0</v>
      </c>
      <c r="P604" s="4" t="n">
        <v>1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1</v>
      </c>
      <c r="W604" s="4" t="n">
        <v>0</v>
      </c>
    </row>
    <row r="605" customFormat="false" ht="15" hidden="false" customHeight="false" outlineLevel="0" collapsed="false">
      <c r="A605" s="4" t="s">
        <v>676</v>
      </c>
      <c r="B605" s="4" t="n">
        <v>1975</v>
      </c>
      <c r="C605" s="4" t="str">
        <f aca="false">FLOOR(B605,10)&amp;"s"</f>
        <v>1970s</v>
      </c>
      <c r="D605" s="4" t="s">
        <v>677</v>
      </c>
      <c r="E605" s="25" t="str">
        <f aca="false">IF(G605=1,"✓","")</f>
        <v/>
      </c>
      <c r="F605" s="4" t="n">
        <v>2</v>
      </c>
      <c r="G605" s="4" t="n">
        <f aca="false">IF(COUNTIF('Letterboxd Watched'!$E$2:$E$3000,M605)&gt;0,1,0)</f>
        <v>0</v>
      </c>
      <c r="H605" s="4" t="n">
        <v>6</v>
      </c>
      <c r="I605" s="4" t="s">
        <v>144</v>
      </c>
      <c r="J605" s="4" t="s">
        <v>51</v>
      </c>
      <c r="K605" s="4" t="s">
        <v>5233</v>
      </c>
      <c r="L605" s="48" t="str">
        <f aca="false">HYPERLINK("https://boxd.it/1E1E","open")</f>
        <v>open</v>
      </c>
      <c r="M605" s="4" t="str">
        <f aca="false">LOWER(A605)&amp;"|"&amp;B605</f>
        <v>deep red|1975</v>
      </c>
      <c r="N605" s="4" t="n">
        <v>0</v>
      </c>
      <c r="O605" s="4" t="n">
        <v>0</v>
      </c>
      <c r="P605" s="4" t="n">
        <v>1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1</v>
      </c>
      <c r="W605" s="4" t="n">
        <v>0</v>
      </c>
    </row>
    <row r="606" customFormat="false" ht="15" hidden="false" customHeight="false" outlineLevel="0" collapsed="false">
      <c r="A606" s="4" t="s">
        <v>605</v>
      </c>
      <c r="B606" s="4" t="n">
        <v>1978</v>
      </c>
      <c r="C606" s="4" t="str">
        <f aca="false">FLOOR(B606,10)&amp;"s"</f>
        <v>1970s</v>
      </c>
      <c r="D606" s="4" t="s">
        <v>606</v>
      </c>
      <c r="E606" s="25" t="str">
        <f aca="false">IF(G606=1,"✓","")</f>
        <v/>
      </c>
      <c r="F606" s="4" t="n">
        <v>3</v>
      </c>
      <c r="G606" s="4" t="n">
        <f aca="false">IF(COUNTIF('Letterboxd Watched'!$E$2:$E$3000,M606)&gt;0,1,0)</f>
        <v>0</v>
      </c>
      <c r="H606" s="4" t="n">
        <v>6</v>
      </c>
      <c r="I606" s="4" t="s">
        <v>213</v>
      </c>
      <c r="J606" s="4" t="s">
        <v>50</v>
      </c>
      <c r="K606" s="4" t="s">
        <v>5348</v>
      </c>
      <c r="L606" s="48" t="str">
        <f aca="false">HYPERLINK("https://boxd.it/1T6O","open")</f>
        <v>open</v>
      </c>
      <c r="M606" s="4" t="str">
        <f aca="false">LOWER(A606)&amp;"|"&amp;B606</f>
        <v>the deer hunter|1978</v>
      </c>
      <c r="N606" s="4" t="n">
        <v>0</v>
      </c>
      <c r="O606" s="4" t="n">
        <v>1</v>
      </c>
      <c r="P606" s="4" t="n">
        <v>0</v>
      </c>
      <c r="Q606" s="4" t="n">
        <v>1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1</v>
      </c>
      <c r="W606" s="4" t="n">
        <v>0</v>
      </c>
    </row>
    <row r="607" customFormat="false" ht="15" hidden="false" customHeight="false" outlineLevel="0" collapsed="false">
      <c r="A607" s="4" t="s">
        <v>2260</v>
      </c>
      <c r="B607" s="4" t="n">
        <v>1975</v>
      </c>
      <c r="C607" s="4" t="str">
        <f aca="false">FLOOR(B607,10)&amp;"s"</f>
        <v>1970s</v>
      </c>
      <c r="D607" s="4" t="s">
        <v>2261</v>
      </c>
      <c r="E607" s="25" t="str">
        <f aca="false">IF(G607=1,"✓","")</f>
        <v/>
      </c>
      <c r="F607" s="4" t="n">
        <v>1</v>
      </c>
      <c r="G607" s="4" t="n">
        <f aca="false">IF(COUNTIF('Letterboxd Watched'!$E$2:$E$3000,M607)&gt;0,1,0)</f>
        <v>0</v>
      </c>
      <c r="H607" s="4" t="n">
        <v>2</v>
      </c>
      <c r="I607" s="4" t="s">
        <v>213</v>
      </c>
      <c r="J607" s="4" t="s">
        <v>51</v>
      </c>
      <c r="K607" s="4" t="s">
        <v>4028</v>
      </c>
      <c r="L607" s="48" t="str">
        <f aca="false">HYPERLINK("https://letterboxd.com/search/films/Deewaar+1975/","open")</f>
        <v>open</v>
      </c>
      <c r="M607" s="4" t="str">
        <f aca="false">LOWER(A607)&amp;"|"&amp;B607</f>
        <v>deewaar|1975</v>
      </c>
      <c r="N607" s="4" t="n">
        <v>0</v>
      </c>
      <c r="O607" s="4" t="n">
        <v>0</v>
      </c>
      <c r="P607" s="4" t="n">
        <v>1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 customFormat="false" ht="15" hidden="false" customHeight="false" outlineLevel="0" collapsed="false">
      <c r="A608" s="4" t="s">
        <v>2864</v>
      </c>
      <c r="B608" s="4" t="n">
        <v>2006</v>
      </c>
      <c r="C608" s="4" t="str">
        <f aca="false">FLOOR(B608,10)&amp;"s"</f>
        <v>2000s</v>
      </c>
      <c r="D608" s="4" t="s">
        <v>2426</v>
      </c>
      <c r="E608" s="25" t="str">
        <f aca="false">IF(G608=1,"✓","")</f>
        <v>✓</v>
      </c>
      <c r="F608" s="4" t="n">
        <v>1</v>
      </c>
      <c r="G608" s="4" t="n">
        <f aca="false">IF(COUNTIF('Letterboxd Watched'!$E$2:$E$3000,M608)&gt;0,1,0)</f>
        <v>1</v>
      </c>
      <c r="H608" s="4" t="n">
        <v>2</v>
      </c>
      <c r="I608" s="4" t="s">
        <v>213</v>
      </c>
      <c r="J608" s="4" t="s">
        <v>54</v>
      </c>
      <c r="K608" s="4" t="s">
        <v>4310</v>
      </c>
      <c r="L608" s="48" t="str">
        <f aca="false">HYPERLINK("https://boxd.it/20PQ","open")</f>
        <v>open</v>
      </c>
      <c r="M608" s="4" t="str">
        <f aca="false">LOWER(A608)&amp;"|"&amp;B608</f>
        <v>déjà vu|2006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1</v>
      </c>
      <c r="T608" s="4" t="n">
        <v>0</v>
      </c>
      <c r="U608" s="4" t="n">
        <v>0</v>
      </c>
      <c r="V608" s="4" t="n">
        <v>0</v>
      </c>
      <c r="W608" s="4" t="n">
        <v>0</v>
      </c>
    </row>
    <row r="609" customFormat="false" ht="15" hidden="false" customHeight="false" outlineLevel="0" collapsed="false">
      <c r="A609" s="4" t="s">
        <v>2498</v>
      </c>
      <c r="B609" s="4" t="n">
        <v>1989</v>
      </c>
      <c r="C609" s="4" t="str">
        <f aca="false">FLOOR(B609,10)&amp;"s"</f>
        <v>1980s</v>
      </c>
      <c r="D609" s="4" t="s">
        <v>1042</v>
      </c>
      <c r="E609" s="25" t="str">
        <f aca="false">IF(G609=1,"✓","")</f>
        <v/>
      </c>
      <c r="F609" s="4" t="n">
        <v>1</v>
      </c>
      <c r="G609" s="4" t="n">
        <f aca="false">IF(COUNTIF('Letterboxd Watched'!$E$2:$E$3000,M609)&gt;0,1,0)</f>
        <v>0</v>
      </c>
      <c r="H609" s="4" t="n">
        <v>2</v>
      </c>
      <c r="I609" s="4" t="s">
        <v>213</v>
      </c>
      <c r="J609" s="4" t="s">
        <v>53</v>
      </c>
      <c r="K609" s="4" t="s">
        <v>1042</v>
      </c>
      <c r="L609" s="48" t="str">
        <f aca="false">HYPERLINK("https://boxd.it/bv4u","open")</f>
        <v>open</v>
      </c>
      <c r="M609" s="4" t="str">
        <f aca="false">LOWER(A609)&amp;"|"&amp;B609</f>
        <v>dekalog|1989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</row>
    <row r="610" customFormat="false" ht="15" hidden="false" customHeight="false" outlineLevel="0" collapsed="false">
      <c r="A610" s="4" t="s">
        <v>2519</v>
      </c>
      <c r="B610" s="4" t="n">
        <v>1991</v>
      </c>
      <c r="C610" s="4" t="str">
        <f aca="false">FLOOR(B610,10)&amp;"s"</f>
        <v>1990s</v>
      </c>
      <c r="D610" s="4" t="s">
        <v>2520</v>
      </c>
      <c r="E610" s="25" t="str">
        <f aca="false">IF(G610=1,"✓","")</f>
        <v/>
      </c>
      <c r="F610" s="4" t="n">
        <v>1</v>
      </c>
      <c r="G610" s="4" t="n">
        <f aca="false">IF(COUNTIF('Letterboxd Watched'!$E$2:$E$3000,M610)&gt;0,1,0)</f>
        <v>0</v>
      </c>
      <c r="H610" s="4" t="n">
        <v>2</v>
      </c>
      <c r="I610" s="4" t="s">
        <v>213</v>
      </c>
      <c r="J610" s="4" t="s">
        <v>51</v>
      </c>
      <c r="K610" s="4" t="s">
        <v>3966</v>
      </c>
      <c r="L610" s="48" t="str">
        <f aca="false">HYPERLINK("https://boxd.it/29lK","open")</f>
        <v>open</v>
      </c>
      <c r="M610" s="4" t="str">
        <f aca="false">LOWER(A610)&amp;"|"&amp;B610</f>
        <v>delicatessen|1991</v>
      </c>
      <c r="N610" s="4" t="n">
        <v>0</v>
      </c>
      <c r="O610" s="4" t="n">
        <v>0</v>
      </c>
      <c r="P610" s="4" t="n">
        <v>1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</row>
    <row r="611" customFormat="false" ht="15" hidden="false" customHeight="false" outlineLevel="0" collapsed="false">
      <c r="A611" s="4" t="s">
        <v>1492</v>
      </c>
      <c r="B611" s="4" t="n">
        <v>1972</v>
      </c>
      <c r="C611" s="4" t="str">
        <f aca="false">FLOOR(B611,10)&amp;"s"</f>
        <v>1970s</v>
      </c>
      <c r="D611" s="4" t="s">
        <v>775</v>
      </c>
      <c r="E611" s="25" t="str">
        <f aca="false">IF(G611=1,"✓","")</f>
        <v/>
      </c>
      <c r="F611" s="4" t="n">
        <v>1</v>
      </c>
      <c r="G611" s="4" t="n">
        <f aca="false">IF(COUNTIF('Letterboxd Watched'!$E$2:$E$3000,M611)&gt;0,1,0)</f>
        <v>0</v>
      </c>
      <c r="H611" s="4" t="n">
        <v>3</v>
      </c>
      <c r="I611" s="4" t="s">
        <v>144</v>
      </c>
      <c r="J611" s="4" t="s">
        <v>52</v>
      </c>
      <c r="K611" s="4" t="s">
        <v>4134</v>
      </c>
      <c r="L611" s="48" t="str">
        <f aca="false">HYPERLINK("https://boxd.it/1VGk","open")</f>
        <v>open</v>
      </c>
      <c r="M611" s="4" t="str">
        <f aca="false">LOWER(A611)&amp;"|"&amp;B611</f>
        <v>deliverance|1972</v>
      </c>
      <c r="N611" s="4" t="n">
        <v>0</v>
      </c>
      <c r="O611" s="4" t="n">
        <v>0</v>
      </c>
      <c r="P611" s="4" t="n">
        <v>0</v>
      </c>
      <c r="Q611" s="4" t="n">
        <v>1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</row>
    <row r="612" customFormat="false" ht="15" hidden="false" customHeight="false" outlineLevel="0" collapsed="false">
      <c r="A612" s="4" t="s">
        <v>1175</v>
      </c>
      <c r="B612" s="4" t="n">
        <v>2006</v>
      </c>
      <c r="C612" s="4" t="str">
        <f aca="false">FLOOR(B612,10)&amp;"s"</f>
        <v>2000s</v>
      </c>
      <c r="D612" s="4" t="s">
        <v>164</v>
      </c>
      <c r="E612" s="25" t="str">
        <f aca="false">IF(G612=1,"✓","")</f>
        <v>✓</v>
      </c>
      <c r="F612" s="4" t="n">
        <v>2</v>
      </c>
      <c r="G612" s="4" t="n">
        <f aca="false">IF(COUNTIF('Letterboxd Watched'!$E$2:$E$3000,M612)&gt;0,1,0)</f>
        <v>1</v>
      </c>
      <c r="H612" s="4" t="n">
        <v>4</v>
      </c>
      <c r="I612" s="4" t="s">
        <v>213</v>
      </c>
      <c r="J612" s="4" t="s">
        <v>53</v>
      </c>
      <c r="K612" s="4" t="s">
        <v>5349</v>
      </c>
      <c r="L612" s="48" t="str">
        <f aca="false">HYPERLINK("https://boxd.it/28MA","open")</f>
        <v>open</v>
      </c>
      <c r="M612" s="4" t="str">
        <f aca="false">LOWER(A612)&amp;"|"&amp;B612</f>
        <v>the departed|2006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</v>
      </c>
      <c r="S612" s="4" t="n">
        <v>0</v>
      </c>
      <c r="T612" s="4" t="n">
        <v>0</v>
      </c>
      <c r="U612" s="4" t="n">
        <v>1</v>
      </c>
      <c r="V612" s="4" t="n">
        <v>0</v>
      </c>
      <c r="W612" s="4" t="n">
        <v>0</v>
      </c>
    </row>
    <row r="613" customFormat="false" ht="15" hidden="false" customHeight="false" outlineLevel="0" collapsed="false">
      <c r="A613" s="4" t="s">
        <v>2271</v>
      </c>
      <c r="B613" s="4" t="n">
        <v>1975</v>
      </c>
      <c r="C613" s="4" t="str">
        <f aca="false">FLOOR(B613,10)&amp;"s"</f>
        <v>1970s</v>
      </c>
      <c r="D613" s="4" t="s">
        <v>156</v>
      </c>
      <c r="E613" s="25" t="str">
        <f aca="false">IF(G613=1,"✓","")</f>
        <v>✓</v>
      </c>
      <c r="F613" s="4" t="n">
        <v>1</v>
      </c>
      <c r="G613" s="4" t="n">
        <f aca="false">IF(COUNTIF('Letterboxd Watched'!$E$2:$E$3000,M613)&gt;0,1,0)</f>
        <v>1</v>
      </c>
      <c r="H613" s="4" t="n">
        <v>2</v>
      </c>
      <c r="I613" s="4" t="s">
        <v>213</v>
      </c>
      <c r="J613" s="4" t="s">
        <v>53</v>
      </c>
      <c r="K613" s="4" t="s">
        <v>156</v>
      </c>
      <c r="L613" s="48" t="str">
        <f aca="false">HYPERLINK("https://boxd.it/1XRO","open")</f>
        <v>open</v>
      </c>
      <c r="M613" s="4" t="str">
        <f aca="false">LOWER(A613)&amp;"|"&amp;B613</f>
        <v>dersu uzala|1975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</row>
    <row r="614" customFormat="false" ht="15" hidden="false" customHeight="false" outlineLevel="0" collapsed="false">
      <c r="A614" s="4" t="s">
        <v>1743</v>
      </c>
      <c r="B614" s="4" t="n">
        <v>1933</v>
      </c>
      <c r="C614" s="4" t="str">
        <f aca="false">FLOOR(B614,10)&amp;"s"</f>
        <v>1930s</v>
      </c>
      <c r="D614" s="4" t="s">
        <v>348</v>
      </c>
      <c r="E614" s="25" t="str">
        <f aca="false">IF(G614=1,"✓","")</f>
        <v/>
      </c>
      <c r="F614" s="4" t="n">
        <v>1</v>
      </c>
      <c r="G614" s="4" t="n">
        <f aca="false">IF(COUNTIF('Letterboxd Watched'!$E$2:$E$3000,M614)&gt;0,1,0)</f>
        <v>0</v>
      </c>
      <c r="H614" s="4" t="n">
        <v>2</v>
      </c>
      <c r="I614" s="4" t="s">
        <v>213</v>
      </c>
      <c r="J614" s="4" t="s">
        <v>50</v>
      </c>
      <c r="K614" s="4" t="s">
        <v>3908</v>
      </c>
      <c r="L614" s="48" t="str">
        <f aca="false">HYPERLINK("https://boxd.it/2FJE","open")</f>
        <v>open</v>
      </c>
      <c r="M614" s="4" t="str">
        <f aca="false">LOWER(A614)&amp;"|"&amp;B614</f>
        <v>design for living|1933</v>
      </c>
      <c r="N614" s="4" t="n">
        <v>0</v>
      </c>
      <c r="O614" s="4" t="n">
        <v>1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</row>
    <row r="615" customFormat="false" ht="15" hidden="false" customHeight="false" outlineLevel="0" collapsed="false">
      <c r="A615" s="4" t="s">
        <v>3458</v>
      </c>
      <c r="B615" s="4" t="n">
        <v>1968</v>
      </c>
      <c r="C615" s="4" t="str">
        <f aca="false">FLOOR(B615,10)&amp;"s"</f>
        <v>1960s</v>
      </c>
      <c r="D615" s="4" t="s">
        <v>407</v>
      </c>
      <c r="E615" s="25" t="str">
        <f aca="false">IF(G615=1,"✓","")</f>
        <v/>
      </c>
      <c r="F615" s="4" t="n">
        <v>1</v>
      </c>
      <c r="G615" s="4" t="n">
        <f aca="false">IF(COUNTIF('Letterboxd Watched'!$E$2:$E$3000,M615)&gt;0,1,0)</f>
        <v>0</v>
      </c>
      <c r="H615" s="4" t="n">
        <v>1</v>
      </c>
      <c r="I615" s="4" t="s">
        <v>1327</v>
      </c>
      <c r="J615" s="4" t="s">
        <v>56</v>
      </c>
      <c r="K615" s="4" t="s">
        <v>4390</v>
      </c>
      <c r="L615" s="48" t="str">
        <f aca="false">HYPERLINK("https://letterboxd.com/search/films/Destroy+All+Monsters+1968/","open")</f>
        <v>open</v>
      </c>
      <c r="M615" s="4" t="str">
        <f aca="false">LOWER(A615)&amp;"|"&amp;B615</f>
        <v>destroy all monsters|1968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1</v>
      </c>
      <c r="V615" s="4" t="n">
        <v>0</v>
      </c>
      <c r="W615" s="4" t="n">
        <v>0</v>
      </c>
    </row>
    <row r="616" customFormat="false" ht="15" hidden="false" customHeight="false" outlineLevel="0" collapsed="false">
      <c r="A616" s="4" t="s">
        <v>2980</v>
      </c>
      <c r="B616" s="4" t="n">
        <v>2011</v>
      </c>
      <c r="C616" s="4" t="str">
        <f aca="false">FLOOR(B616,10)&amp;"s"</f>
        <v>2010s</v>
      </c>
      <c r="D616" s="4" t="s">
        <v>2981</v>
      </c>
      <c r="E616" s="25" t="str">
        <f aca="false">IF(G616=1,"✓","")</f>
        <v>✓</v>
      </c>
      <c r="F616" s="4" t="n">
        <v>1</v>
      </c>
      <c r="G616" s="4" t="n">
        <f aca="false">IF(COUNTIF('Letterboxd Watched'!$E$2:$E$3000,M616)&gt;0,1,0)</f>
        <v>1</v>
      </c>
      <c r="H616" s="4" t="n">
        <v>2</v>
      </c>
      <c r="I616" s="4" t="s">
        <v>213</v>
      </c>
      <c r="J616" s="4" t="s">
        <v>55</v>
      </c>
      <c r="K616" s="4" t="s">
        <v>4346</v>
      </c>
      <c r="L616" s="48" t="str">
        <f aca="false">HYPERLINK("https://boxd.it/2BiY","open")</f>
        <v>open</v>
      </c>
      <c r="M616" s="4" t="str">
        <f aca="false">LOWER(A616)&amp;"|"&amp;B616</f>
        <v>detachment|2011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1</v>
      </c>
      <c r="U616" s="4" t="n">
        <v>0</v>
      </c>
      <c r="V616" s="4" t="n">
        <v>0</v>
      </c>
      <c r="W616" s="4" t="n">
        <v>0</v>
      </c>
    </row>
    <row r="617" customFormat="false" ht="15" hidden="false" customHeight="false" outlineLevel="0" collapsed="false">
      <c r="A617" s="4" t="s">
        <v>1826</v>
      </c>
      <c r="B617" s="4" t="n">
        <v>1945</v>
      </c>
      <c r="C617" s="4" t="str">
        <f aca="false">FLOOR(B617,10)&amp;"s"</f>
        <v>1940s</v>
      </c>
      <c r="D617" s="4" t="s">
        <v>1752</v>
      </c>
      <c r="E617" s="25" t="str">
        <f aca="false">IF(G617=1,"✓","")</f>
        <v/>
      </c>
      <c r="F617" s="4" t="n">
        <v>1</v>
      </c>
      <c r="G617" s="4" t="n">
        <f aca="false">IF(COUNTIF('Letterboxd Watched'!$E$2:$E$3000,M617)&gt;0,1,0)</f>
        <v>0</v>
      </c>
      <c r="H617" s="4" t="n">
        <v>2</v>
      </c>
      <c r="I617" s="4" t="s">
        <v>213</v>
      </c>
      <c r="J617" s="4" t="s">
        <v>52</v>
      </c>
      <c r="K617" s="4" t="s">
        <v>4042</v>
      </c>
      <c r="L617" s="48" t="str">
        <f aca="false">HYPERLINK("https://boxd.it/1DB2","open")</f>
        <v>open</v>
      </c>
      <c r="M617" s="4" t="str">
        <f aca="false">LOWER(A617)&amp;"|"&amp;B617</f>
        <v>detour|1945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</row>
    <row r="618" customFormat="false" ht="15" hidden="false" customHeight="false" outlineLevel="0" collapsed="false">
      <c r="A618" s="4" t="s">
        <v>3132</v>
      </c>
      <c r="B618" s="4" t="n">
        <v>2017</v>
      </c>
      <c r="C618" s="4" t="str">
        <f aca="false">FLOOR(B618,10)&amp;"s"</f>
        <v>2010s</v>
      </c>
      <c r="D618" s="4" t="s">
        <v>865</v>
      </c>
      <c r="E618" s="25" t="str">
        <f aca="false">IF(G618=1,"✓","")</f>
        <v/>
      </c>
      <c r="F618" s="4" t="n">
        <v>1</v>
      </c>
      <c r="G618" s="4" t="n">
        <f aca="false">IF(COUNTIF('Letterboxd Watched'!$E$2:$E$3000,M618)&gt;0,1,0)</f>
        <v>0</v>
      </c>
      <c r="H618" s="4" t="n">
        <v>2</v>
      </c>
      <c r="I618" s="4" t="s">
        <v>213</v>
      </c>
      <c r="J618" s="4" t="s">
        <v>55</v>
      </c>
      <c r="K618" s="4" t="s">
        <v>4374</v>
      </c>
      <c r="L618" s="48" t="str">
        <f aca="false">HYPERLINK("https://boxd.it/el3C","open")</f>
        <v>open</v>
      </c>
      <c r="M618" s="4" t="str">
        <f aca="false">LOWER(A618)&amp;"|"&amp;B618</f>
        <v>detroit|2017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1</v>
      </c>
      <c r="U618" s="4" t="n">
        <v>0</v>
      </c>
      <c r="V618" s="4" t="n">
        <v>0</v>
      </c>
      <c r="W618" s="4" t="n">
        <v>0</v>
      </c>
    </row>
    <row r="619" customFormat="false" ht="15" hidden="false" customHeight="false" outlineLevel="0" collapsed="false">
      <c r="A619" s="4" t="s">
        <v>3435</v>
      </c>
      <c r="B619" s="4" t="n">
        <v>1966</v>
      </c>
      <c r="C619" s="4" t="str">
        <f aca="false">FLOOR(B619,10)&amp;"s"</f>
        <v>1960s</v>
      </c>
      <c r="D619" s="4" t="s">
        <v>290</v>
      </c>
      <c r="E619" s="25" t="str">
        <f aca="false">IF(G619=1,"✓","")</f>
        <v/>
      </c>
      <c r="F619" s="4" t="n">
        <v>1</v>
      </c>
      <c r="G619" s="4" t="n">
        <f aca="false">IF(COUNTIF('Letterboxd Watched'!$E$2:$E$3000,M619)&gt;0,1,0)</f>
        <v>0</v>
      </c>
      <c r="H619" s="4" t="n">
        <v>1</v>
      </c>
      <c r="I619" s="4" t="s">
        <v>1327</v>
      </c>
      <c r="J619" s="4" t="s">
        <v>51</v>
      </c>
      <c r="K619" s="4" t="s">
        <v>3964</v>
      </c>
      <c r="L619" s="48" t="str">
        <f aca="false">HYPERLINK("https://boxd.it/1wvG","open")</f>
        <v>open</v>
      </c>
      <c r="M619" s="4" t="str">
        <f aca="false">LOWER(A619)&amp;"|"&amp;B619</f>
        <v>le deuxième souffle|1966</v>
      </c>
      <c r="N619" s="4" t="n">
        <v>0</v>
      </c>
      <c r="O619" s="4" t="n">
        <v>0</v>
      </c>
      <c r="P619" s="4" t="n">
        <v>1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</row>
    <row r="620" customFormat="false" ht="15" hidden="false" customHeight="false" outlineLevel="0" collapsed="false">
      <c r="A620" s="4" t="s">
        <v>1983</v>
      </c>
      <c r="B620" s="4" t="n">
        <v>1960</v>
      </c>
      <c r="C620" s="4" t="str">
        <f aca="false">FLOOR(B620,10)&amp;"s"</f>
        <v>1960s</v>
      </c>
      <c r="D620" s="4" t="s">
        <v>253</v>
      </c>
      <c r="E620" s="25" t="str">
        <f aca="false">IF(G620=1,"✓","")</f>
        <v/>
      </c>
      <c r="F620" s="4" t="n">
        <v>1</v>
      </c>
      <c r="G620" s="4" t="n">
        <f aca="false">IF(COUNTIF('Letterboxd Watched'!$E$2:$E$3000,M620)&gt;0,1,0)</f>
        <v>0</v>
      </c>
      <c r="H620" s="4" t="n">
        <v>2</v>
      </c>
      <c r="I620" s="4" t="s">
        <v>213</v>
      </c>
      <c r="J620" s="4" t="s">
        <v>53</v>
      </c>
      <c r="K620" s="4" t="s">
        <v>253</v>
      </c>
      <c r="L620" s="48" t="str">
        <f aca="false">HYPERLINK("https://boxd.it/Vt4","open")</f>
        <v>open</v>
      </c>
      <c r="M620" s="4" t="str">
        <f aca="false">LOWER(A620)&amp;"|"&amp;B620</f>
        <v>devi|1960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</row>
    <row r="621" customFormat="false" ht="15" hidden="false" customHeight="false" outlineLevel="0" collapsed="false">
      <c r="A621" s="4" t="s">
        <v>2609</v>
      </c>
      <c r="B621" s="4" t="n">
        <v>1995</v>
      </c>
      <c r="C621" s="4" t="str">
        <f aca="false">FLOOR(B621,10)&amp;"s"</f>
        <v>1990s</v>
      </c>
      <c r="D621" s="4" t="s">
        <v>2610</v>
      </c>
      <c r="E621" s="25" t="str">
        <f aca="false">IF(G621=1,"✓","")</f>
        <v/>
      </c>
      <c r="F621" s="4" t="n">
        <v>1</v>
      </c>
      <c r="G621" s="4" t="n">
        <f aca="false">IF(COUNTIF('Letterboxd Watched'!$E$2:$E$3000,M621)&gt;0,1,0)</f>
        <v>0</v>
      </c>
      <c r="H621" s="4" t="n">
        <v>2</v>
      </c>
      <c r="I621" s="4" t="s">
        <v>213</v>
      </c>
      <c r="J621" s="4" t="s">
        <v>52</v>
      </c>
      <c r="K621" s="4" t="s">
        <v>4044</v>
      </c>
      <c r="L621" s="48" t="str">
        <f aca="false">HYPERLINK("https://boxd.it/204A","open")</f>
        <v>open</v>
      </c>
      <c r="M621" s="4" t="str">
        <f aca="false">LOWER(A621)&amp;"|"&amp;B621</f>
        <v>devil in a blue dress|1995</v>
      </c>
      <c r="N621" s="4" t="n">
        <v>0</v>
      </c>
      <c r="O621" s="4" t="n">
        <v>0</v>
      </c>
      <c r="P621" s="4" t="n">
        <v>0</v>
      </c>
      <c r="Q621" s="4" t="n">
        <v>1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</row>
    <row r="622" customFormat="false" ht="15" hidden="false" customHeight="false" outlineLevel="0" collapsed="false">
      <c r="A622" s="4" t="s">
        <v>2122</v>
      </c>
      <c r="B622" s="4" t="n">
        <v>1968</v>
      </c>
      <c r="C622" s="4" t="str">
        <f aca="false">FLOOR(B622,10)&amp;"s"</f>
        <v>1960s</v>
      </c>
      <c r="D622" s="4" t="s">
        <v>1453</v>
      </c>
      <c r="E622" s="25" t="str">
        <f aca="false">IF(G622=1,"✓","")</f>
        <v/>
      </c>
      <c r="F622" s="4" t="n">
        <v>1</v>
      </c>
      <c r="G622" s="4" t="n">
        <f aca="false">IF(COUNTIF('Letterboxd Watched'!$E$2:$E$3000,M622)&gt;0,1,0)</f>
        <v>0</v>
      </c>
      <c r="H622" s="4" t="n">
        <v>2</v>
      </c>
      <c r="I622" s="4" t="s">
        <v>213</v>
      </c>
      <c r="J622" s="4" t="s">
        <v>52</v>
      </c>
      <c r="K622" s="4" t="s">
        <v>4062</v>
      </c>
      <c r="L622" s="48" t="str">
        <f aca="false">HYPERLINK("https://boxd.it/12Z2","open")</f>
        <v>open</v>
      </c>
      <c r="M622" s="4" t="str">
        <f aca="false">LOWER(A622)&amp;"|"&amp;B622</f>
        <v>the devil rides out|1968</v>
      </c>
      <c r="N622" s="4" t="n">
        <v>0</v>
      </c>
      <c r="O622" s="4" t="n">
        <v>0</v>
      </c>
      <c r="P622" s="4" t="n">
        <v>0</v>
      </c>
      <c r="Q622" s="4" t="n">
        <v>1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 customFormat="false" ht="15" hidden="false" customHeight="false" outlineLevel="0" collapsed="false">
      <c r="A623" s="4" t="s">
        <v>1146</v>
      </c>
      <c r="B623" s="4" t="n">
        <v>2001</v>
      </c>
      <c r="C623" s="4" t="str">
        <f aca="false">FLOOR(B623,10)&amp;"s"</f>
        <v>2000s</v>
      </c>
      <c r="D623" s="4" t="s">
        <v>1147</v>
      </c>
      <c r="E623" s="25" t="str">
        <f aca="false">IF(G623=1,"✓","")</f>
        <v/>
      </c>
      <c r="F623" s="4" t="n">
        <v>2</v>
      </c>
      <c r="G623" s="4" t="n">
        <f aca="false">IF(COUNTIF('Letterboxd Watched'!$E$2:$E$3000,M623)&gt;0,1,0)</f>
        <v>0</v>
      </c>
      <c r="H623" s="4" t="n">
        <v>4</v>
      </c>
      <c r="I623" s="4" t="s">
        <v>213</v>
      </c>
      <c r="J623" s="4" t="s">
        <v>51</v>
      </c>
      <c r="K623" s="4" t="s">
        <v>5350</v>
      </c>
      <c r="L623" s="48" t="str">
        <f aca="false">HYPERLINK("https://boxd.it/28Li","open")</f>
        <v>open</v>
      </c>
      <c r="M623" s="4" t="str">
        <f aca="false">LOWER(A623)&amp;"|"&amp;B623</f>
        <v>the devil's backbone|2001</v>
      </c>
      <c r="N623" s="4" t="n">
        <v>0</v>
      </c>
      <c r="O623" s="4" t="n">
        <v>0</v>
      </c>
      <c r="P623" s="4" t="n">
        <v>1</v>
      </c>
      <c r="Q623" s="4" t="n">
        <v>1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</row>
    <row r="624" customFormat="false" ht="15" hidden="false" customHeight="false" outlineLevel="0" collapsed="false">
      <c r="A624" s="4" t="s">
        <v>2177</v>
      </c>
      <c r="B624" s="4" t="n">
        <v>1971</v>
      </c>
      <c r="C624" s="4" t="str">
        <f aca="false">FLOOR(B624,10)&amp;"s"</f>
        <v>1970s</v>
      </c>
      <c r="D624" s="4" t="s">
        <v>2178</v>
      </c>
      <c r="E624" s="25" t="str">
        <f aca="false">IF(G624=1,"✓","")</f>
        <v/>
      </c>
      <c r="F624" s="4" t="n">
        <v>1</v>
      </c>
      <c r="G624" s="4" t="n">
        <f aca="false">IF(COUNTIF('Letterboxd Watched'!$E$2:$E$3000,M624)&gt;0,1,0)</f>
        <v>0</v>
      </c>
      <c r="H624" s="4" t="n">
        <v>2</v>
      </c>
      <c r="I624" s="4" t="s">
        <v>213</v>
      </c>
      <c r="J624" s="4" t="s">
        <v>52</v>
      </c>
      <c r="K624" s="4" t="s">
        <v>4066</v>
      </c>
      <c r="L624" s="48" t="str">
        <f aca="false">HYPERLINK("https://boxd.it/1inI","open")</f>
        <v>open</v>
      </c>
      <c r="M624" s="4" t="str">
        <f aca="false">LOWER(A624)&amp;"|"&amp;B624</f>
        <v>the devils|1971</v>
      </c>
      <c r="N624" s="4" t="n">
        <v>0</v>
      </c>
      <c r="O624" s="4" t="n">
        <v>0</v>
      </c>
      <c r="P624" s="4" t="n">
        <v>0</v>
      </c>
      <c r="Q624" s="4" t="n">
        <v>1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</row>
    <row r="625" customFormat="false" ht="15" hidden="false" customHeight="false" outlineLevel="0" collapsed="false">
      <c r="A625" s="4" t="s">
        <v>1924</v>
      </c>
      <c r="B625" s="4" t="n">
        <v>1955</v>
      </c>
      <c r="C625" s="4" t="str">
        <f aca="false">FLOOR(B625,10)&amp;"s"</f>
        <v>1950s</v>
      </c>
      <c r="D625" s="4" t="s">
        <v>1317</v>
      </c>
      <c r="E625" s="25" t="str">
        <f aca="false">IF(G625=1,"✓","")</f>
        <v/>
      </c>
      <c r="F625" s="4" t="n">
        <v>1</v>
      </c>
      <c r="G625" s="4" t="n">
        <f aca="false">IF(COUNTIF('Letterboxd Watched'!$E$2:$E$3000,M625)&gt;0,1,0)</f>
        <v>0</v>
      </c>
      <c r="H625" s="4" t="n">
        <v>2</v>
      </c>
      <c r="I625" s="4" t="s">
        <v>213</v>
      </c>
      <c r="J625" s="4" t="s">
        <v>52</v>
      </c>
      <c r="K625" s="4" t="s">
        <v>4124</v>
      </c>
      <c r="L625" s="48" t="str">
        <f aca="false">HYPERLINK("https://boxd.it/29we","open")</f>
        <v>open</v>
      </c>
      <c r="M625" s="4" t="str">
        <f aca="false">LOWER(A625)&amp;"|"&amp;B625</f>
        <v>diabolique|1955</v>
      </c>
      <c r="N625" s="4" t="n">
        <v>0</v>
      </c>
      <c r="O625" s="4" t="n">
        <v>0</v>
      </c>
      <c r="P625" s="4" t="n">
        <v>0</v>
      </c>
      <c r="Q625" s="4" t="n">
        <v>1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</row>
    <row r="626" customFormat="false" ht="15" hidden="false" customHeight="false" outlineLevel="0" collapsed="false">
      <c r="A626" s="4" t="s">
        <v>1909</v>
      </c>
      <c r="B626" s="4" t="n">
        <v>1954</v>
      </c>
      <c r="C626" s="4" t="str">
        <f aca="false">FLOOR(B626,10)&amp;"s"</f>
        <v>1950s</v>
      </c>
      <c r="D626" s="4" t="s">
        <v>162</v>
      </c>
      <c r="E626" s="25" t="str">
        <f aca="false">IF(G626=1,"✓","")</f>
        <v>✓</v>
      </c>
      <c r="F626" s="4" t="n">
        <v>1</v>
      </c>
      <c r="G626" s="4" t="n">
        <f aca="false">IF(COUNTIF('Letterboxd Watched'!$E$2:$E$3000,M626)&gt;0,1,0)</f>
        <v>1</v>
      </c>
      <c r="H626" s="4" t="n">
        <v>2</v>
      </c>
      <c r="I626" s="4" t="s">
        <v>213</v>
      </c>
      <c r="J626" s="4" t="s">
        <v>53</v>
      </c>
      <c r="K626" s="4" t="s">
        <v>162</v>
      </c>
      <c r="L626" s="48" t="str">
        <f aca="false">HYPERLINK("https://boxd.it/2adW","open")</f>
        <v>open</v>
      </c>
      <c r="M626" s="4" t="str">
        <f aca="false">LOWER(A626)&amp;"|"&amp;B626</f>
        <v>dial m for murder|1954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1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</row>
    <row r="627" customFormat="false" ht="15" hidden="false" customHeight="false" outlineLevel="0" collapsed="false">
      <c r="A627" s="4" t="s">
        <v>979</v>
      </c>
      <c r="B627" s="4" t="n">
        <v>1964</v>
      </c>
      <c r="C627" s="4" t="str">
        <f aca="false">FLOOR(B627,10)&amp;"s"</f>
        <v>1960s</v>
      </c>
      <c r="D627" s="4" t="s">
        <v>980</v>
      </c>
      <c r="E627" s="25" t="str">
        <f aca="false">IF(G627=1,"✓","")</f>
        <v/>
      </c>
      <c r="F627" s="4" t="n">
        <v>2</v>
      </c>
      <c r="G627" s="4" t="n">
        <f aca="false">IF(COUNTIF('Letterboxd Watched'!$E$2:$E$3000,M627)&gt;0,1,0)</f>
        <v>0</v>
      </c>
      <c r="H627" s="4" t="n">
        <v>4</v>
      </c>
      <c r="I627" s="4" t="s">
        <v>144</v>
      </c>
      <c r="J627" s="4" t="s">
        <v>51</v>
      </c>
      <c r="K627" s="4" t="s">
        <v>5327</v>
      </c>
      <c r="L627" s="48" t="str">
        <f aca="false">HYPERLINK("https://letterboxd.com/search/films/Diamonds+of+the+Night+1964/","open")</f>
        <v>open</v>
      </c>
      <c r="M627" s="4" t="str">
        <f aca="false">LOWER(A627)&amp;"|"&amp;B627</f>
        <v>diamonds of the night|1964</v>
      </c>
      <c r="N627" s="4" t="n">
        <v>0</v>
      </c>
      <c r="O627" s="4" t="n">
        <v>0</v>
      </c>
      <c r="P627" s="4" t="n">
        <v>1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1</v>
      </c>
      <c r="W627" s="4" t="n">
        <v>0</v>
      </c>
    </row>
    <row r="628" customFormat="false" ht="15" hidden="false" customHeight="false" outlineLevel="0" collapsed="false">
      <c r="A628" s="4" t="s">
        <v>3425</v>
      </c>
      <c r="B628" s="4" t="n">
        <v>1964</v>
      </c>
      <c r="C628" s="4" t="str">
        <f aca="false">FLOOR(B628,10)&amp;"s"</f>
        <v>1960s</v>
      </c>
      <c r="D628" s="4" t="s">
        <v>402</v>
      </c>
      <c r="E628" s="25" t="str">
        <f aca="false">IF(G628=1,"✓","")</f>
        <v/>
      </c>
      <c r="F628" s="4" t="n">
        <v>1</v>
      </c>
      <c r="G628" s="4" t="n">
        <f aca="false">IF(COUNTIF('Letterboxd Watched'!$E$2:$E$3000,M628)&gt;0,1,0)</f>
        <v>0</v>
      </c>
      <c r="H628" s="4" t="n">
        <v>1</v>
      </c>
      <c r="I628" s="4" t="s">
        <v>1327</v>
      </c>
      <c r="J628" s="4" t="s">
        <v>53</v>
      </c>
      <c r="K628" s="4" t="s">
        <v>402</v>
      </c>
      <c r="L628" s="48" t="str">
        <f aca="false">HYPERLINK("https://letterboxd.com/search/films/Diary+of+a+Chambermaid+1964/","open")</f>
        <v>open</v>
      </c>
      <c r="M628" s="4" t="str">
        <f aca="false">LOWER(A628)&amp;"|"&amp;B628</f>
        <v>diary of a chambermaid|1964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1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</row>
    <row r="629" customFormat="false" ht="15" hidden="false" customHeight="false" outlineLevel="0" collapsed="false">
      <c r="A629" s="4" t="s">
        <v>214</v>
      </c>
      <c r="B629" s="4" t="n">
        <v>1951</v>
      </c>
      <c r="C629" s="4" t="str">
        <f aca="false">FLOOR(B629,10)&amp;"s"</f>
        <v>1950s</v>
      </c>
      <c r="D629" s="4" t="s">
        <v>215</v>
      </c>
      <c r="E629" s="25" t="str">
        <f aca="false">IF(G629=1,"✓","")</f>
        <v/>
      </c>
      <c r="F629" s="4" t="n">
        <v>6</v>
      </c>
      <c r="G629" s="4" t="n">
        <f aca="false">IF(COUNTIF('Letterboxd Watched'!$E$2:$E$3000,M629)&gt;0,1,0)</f>
        <v>0</v>
      </c>
      <c r="H629" s="4" t="n">
        <v>14</v>
      </c>
      <c r="I629" s="4" t="s">
        <v>144</v>
      </c>
      <c r="J629" s="4" t="s">
        <v>53</v>
      </c>
      <c r="K629" s="4" t="s">
        <v>5351</v>
      </c>
      <c r="L629" s="48" t="str">
        <f aca="false">HYPERLINK("https://boxd.it/UDC","open")</f>
        <v>open</v>
      </c>
      <c r="M629" s="4" t="str">
        <f aca="false">LOWER(A629)&amp;"|"&amp;B629</f>
        <v>diary of a country priest|1951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</v>
      </c>
      <c r="S629" s="4" t="n">
        <v>1</v>
      </c>
      <c r="T629" s="4" t="n">
        <v>1</v>
      </c>
      <c r="U629" s="4" t="n">
        <v>0</v>
      </c>
      <c r="V629" s="4" t="n">
        <v>1</v>
      </c>
      <c r="W629" s="4" t="n">
        <v>1</v>
      </c>
    </row>
    <row r="630" customFormat="false" ht="15" hidden="false" customHeight="false" outlineLevel="0" collapsed="false">
      <c r="A630" s="4" t="s">
        <v>3663</v>
      </c>
      <c r="B630" s="4" t="n">
        <v>1990</v>
      </c>
      <c r="C630" s="4" t="str">
        <f aca="false">FLOOR(B630,10)&amp;"s"</f>
        <v>1990s</v>
      </c>
      <c r="D630" s="4" t="s">
        <v>3601</v>
      </c>
      <c r="E630" s="25" t="str">
        <f aca="false">IF(G630=1,"✓","")</f>
        <v/>
      </c>
      <c r="F630" s="4" t="n">
        <v>1</v>
      </c>
      <c r="G630" s="4" t="n">
        <f aca="false">IF(COUNTIF('Letterboxd Watched'!$E$2:$E$3000,M630)&gt;0,1,0)</f>
        <v>0</v>
      </c>
      <c r="H630" s="4" t="n">
        <v>1</v>
      </c>
      <c r="I630" s="4" t="s">
        <v>1327</v>
      </c>
      <c r="J630" s="4" t="s">
        <v>54</v>
      </c>
      <c r="K630" s="4" t="s">
        <v>4302</v>
      </c>
      <c r="L630" s="48" t="str">
        <f aca="false">HYPERLINK("https://boxd.it/201w","open")</f>
        <v>open</v>
      </c>
      <c r="M630" s="4" t="str">
        <f aca="false">LOWER(A630)&amp;"|"&amp;B630</f>
        <v>dick tracy|1990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1</v>
      </c>
      <c r="T630" s="4" t="n">
        <v>0</v>
      </c>
      <c r="U630" s="4" t="n">
        <v>0</v>
      </c>
      <c r="V630" s="4" t="n">
        <v>0</v>
      </c>
      <c r="W630" s="4" t="n">
        <v>0</v>
      </c>
    </row>
    <row r="631" customFormat="false" ht="15" hidden="false" customHeight="false" outlineLevel="0" collapsed="false">
      <c r="A631" s="4" t="s">
        <v>1674</v>
      </c>
      <c r="B631" s="4" t="n">
        <v>1919</v>
      </c>
      <c r="C631" s="4" t="str">
        <f aca="false">FLOOR(B631,10)&amp;"s"</f>
        <v>1910s</v>
      </c>
      <c r="D631" s="4" t="s">
        <v>1675</v>
      </c>
      <c r="E631" s="25" t="str">
        <f aca="false">IF(G631=1,"✓","")</f>
        <v/>
      </c>
      <c r="F631" s="4" t="n">
        <v>1</v>
      </c>
      <c r="G631" s="4" t="n">
        <f aca="false">IF(COUNTIF('Letterboxd Watched'!$E$2:$E$3000,M631)&gt;0,1,0)</f>
        <v>0</v>
      </c>
      <c r="H631" s="4" t="n">
        <v>2</v>
      </c>
      <c r="I631" s="4" t="s">
        <v>213</v>
      </c>
      <c r="J631" s="4" t="s">
        <v>54</v>
      </c>
      <c r="K631" s="4" t="s">
        <v>4296</v>
      </c>
      <c r="L631" s="48" t="str">
        <f aca="false">HYPERLINK("https://letterboxd.com/search/films/Different+from+the+Others+1919/","open")</f>
        <v>open</v>
      </c>
      <c r="M631" s="4" t="str">
        <f aca="false">LOWER(A631)&amp;"|"&amp;B631</f>
        <v>different from the others|1919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</v>
      </c>
      <c r="T631" s="4" t="n">
        <v>0</v>
      </c>
      <c r="U631" s="4" t="n">
        <v>0</v>
      </c>
      <c r="V631" s="4" t="n">
        <v>0</v>
      </c>
      <c r="W631" s="4" t="n">
        <v>0</v>
      </c>
    </row>
    <row r="632" customFormat="false" ht="15" hidden="false" customHeight="false" outlineLevel="0" collapsed="false">
      <c r="A632" s="4" t="s">
        <v>2605</v>
      </c>
      <c r="B632" s="4" t="n">
        <v>1995</v>
      </c>
      <c r="C632" s="4" t="str">
        <f aca="false">FLOOR(B632,10)&amp;"s"</f>
        <v>1990s</v>
      </c>
      <c r="D632" s="4" t="s">
        <v>2606</v>
      </c>
      <c r="E632" s="25" t="str">
        <f aca="false">IF(G632=1,"✓","")</f>
        <v/>
      </c>
      <c r="F632" s="4" t="n">
        <v>1</v>
      </c>
      <c r="G632" s="4" t="n">
        <f aca="false">IF(COUNTIF('Letterboxd Watched'!$E$2:$E$3000,M632)&gt;0,1,0)</f>
        <v>0</v>
      </c>
      <c r="H632" s="4" t="n">
        <v>2</v>
      </c>
      <c r="I632" s="4" t="s">
        <v>213</v>
      </c>
      <c r="J632" s="4" t="s">
        <v>51</v>
      </c>
      <c r="K632" s="4" t="s">
        <v>4028</v>
      </c>
      <c r="L632" s="48" t="str">
        <f aca="false">HYPERLINK("https://letterboxd.com/search/films/Dilwale+Dulhania+Le+Jayenge+1995/","open")</f>
        <v>open</v>
      </c>
      <c r="M632" s="4" t="str">
        <f aca="false">LOWER(A632)&amp;"|"&amp;B632</f>
        <v>dilwale dulhania le jayenge|1995</v>
      </c>
      <c r="N632" s="4" t="n">
        <v>0</v>
      </c>
      <c r="O632" s="4" t="n">
        <v>0</v>
      </c>
      <c r="P632" s="4" t="n">
        <v>1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</row>
    <row r="633" customFormat="false" ht="15" hidden="false" customHeight="false" outlineLevel="0" collapsed="false">
      <c r="A633" s="4" t="s">
        <v>2373</v>
      </c>
      <c r="B633" s="4" t="n">
        <v>1982</v>
      </c>
      <c r="C633" s="4" t="str">
        <f aca="false">FLOOR(B633,10)&amp;"s"</f>
        <v>1980s</v>
      </c>
      <c r="D633" s="4" t="s">
        <v>2374</v>
      </c>
      <c r="E633" s="25" t="str">
        <f aca="false">IF(G633=1,"✓","")</f>
        <v/>
      </c>
      <c r="F633" s="4" t="n">
        <v>1</v>
      </c>
      <c r="G633" s="4" t="n">
        <f aca="false">IF(COUNTIF('Letterboxd Watched'!$E$2:$E$3000,M633)&gt;0,1,0)</f>
        <v>0</v>
      </c>
      <c r="H633" s="4" t="n">
        <v>2</v>
      </c>
      <c r="I633" s="4" t="s">
        <v>213</v>
      </c>
      <c r="J633" s="4" t="s">
        <v>56</v>
      </c>
      <c r="K633" s="4" t="s">
        <v>4398</v>
      </c>
      <c r="L633" s="48" t="str">
        <f aca="false">HYPERLINK("https://boxd.it/1Pro","open")</f>
        <v>open</v>
      </c>
      <c r="M633" s="4" t="str">
        <f aca="false">LOWER(A633)&amp;"|"&amp;B633</f>
        <v>diner|1982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1</v>
      </c>
      <c r="V633" s="4" t="n">
        <v>0</v>
      </c>
      <c r="W633" s="4" t="n">
        <v>0</v>
      </c>
    </row>
    <row r="634" customFormat="false" ht="15" hidden="false" customHeight="false" outlineLevel="0" collapsed="false">
      <c r="A634" s="4" t="s">
        <v>1013</v>
      </c>
      <c r="B634" s="4" t="n">
        <v>1971</v>
      </c>
      <c r="C634" s="4" t="str">
        <f aca="false">FLOOR(B634,10)&amp;"s"</f>
        <v>1970s</v>
      </c>
      <c r="D634" s="4" t="s">
        <v>409</v>
      </c>
      <c r="E634" s="25" t="str">
        <f aca="false">IF(G634=1,"✓","")</f>
        <v>✓</v>
      </c>
      <c r="F634" s="4" t="n">
        <v>2</v>
      </c>
      <c r="G634" s="4" t="n">
        <f aca="false">IF(COUNTIF('Letterboxd Watched'!$E$2:$E$3000,M634)&gt;0,1,0)</f>
        <v>1</v>
      </c>
      <c r="H634" s="4" t="n">
        <v>4</v>
      </c>
      <c r="I634" s="4" t="s">
        <v>213</v>
      </c>
      <c r="J634" s="4" t="s">
        <v>52</v>
      </c>
      <c r="K634" s="4" t="s">
        <v>5352</v>
      </c>
      <c r="L634" s="48" t="str">
        <f aca="false">HYPERLINK("https://boxd.it/299E","open")</f>
        <v>open</v>
      </c>
      <c r="M634" s="4" t="str">
        <f aca="false">LOWER(A634)&amp;"|"&amp;B634</f>
        <v>dirty harry|1971</v>
      </c>
      <c r="N634" s="4" t="n">
        <v>0</v>
      </c>
      <c r="O634" s="4" t="n">
        <v>0</v>
      </c>
      <c r="P634" s="4" t="n">
        <v>0</v>
      </c>
      <c r="Q634" s="4" t="n">
        <v>1</v>
      </c>
      <c r="R634" s="4" t="n">
        <v>0</v>
      </c>
      <c r="S634" s="4" t="n">
        <v>0</v>
      </c>
      <c r="T634" s="4" t="n">
        <v>1</v>
      </c>
      <c r="U634" s="4" t="n">
        <v>0</v>
      </c>
      <c r="V634" s="4" t="n">
        <v>0</v>
      </c>
      <c r="W634" s="4" t="n">
        <v>0</v>
      </c>
    </row>
    <row r="635" customFormat="false" ht="15" hidden="false" customHeight="false" outlineLevel="0" collapsed="false">
      <c r="A635" s="4" t="s">
        <v>3647</v>
      </c>
      <c r="B635" s="4" t="n">
        <v>1988</v>
      </c>
      <c r="C635" s="4" t="str">
        <f aca="false">FLOOR(B635,10)&amp;"s"</f>
        <v>1980s</v>
      </c>
      <c r="D635" s="4" t="s">
        <v>2434</v>
      </c>
      <c r="E635" s="25" t="str">
        <f aca="false">IF(G635=1,"✓","")</f>
        <v>✓</v>
      </c>
      <c r="F635" s="4" t="n">
        <v>1</v>
      </c>
      <c r="G635" s="4" t="n">
        <f aca="false">IF(COUNTIF('Letterboxd Watched'!$E$2:$E$3000,M635)&gt;0,1,0)</f>
        <v>1</v>
      </c>
      <c r="H635" s="4" t="n">
        <v>1</v>
      </c>
      <c r="I635" s="4" t="s">
        <v>1327</v>
      </c>
      <c r="J635" s="4" t="s">
        <v>52</v>
      </c>
      <c r="K635" s="4" t="s">
        <v>4122</v>
      </c>
      <c r="L635" s="48" t="str">
        <f aca="false">HYPERLINK("https://boxd.it/1WZi","open")</f>
        <v>open</v>
      </c>
      <c r="M635" s="4" t="str">
        <f aca="false">LOWER(A635)&amp;"|"&amp;B635</f>
        <v>dirty rotten scoundrels|1988</v>
      </c>
      <c r="N635" s="4" t="n">
        <v>0</v>
      </c>
      <c r="O635" s="4" t="n">
        <v>0</v>
      </c>
      <c r="P635" s="4" t="n">
        <v>0</v>
      </c>
      <c r="Q635" s="4" t="n">
        <v>1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</row>
    <row r="636" customFormat="false" ht="15" hidden="false" customHeight="false" outlineLevel="0" collapsed="false">
      <c r="A636" s="4" t="s">
        <v>3130</v>
      </c>
      <c r="B636" s="4" t="n">
        <v>2017</v>
      </c>
      <c r="C636" s="4" t="str">
        <f aca="false">FLOOR(B636,10)&amp;"s"</f>
        <v>2010s</v>
      </c>
      <c r="D636" s="4" t="s">
        <v>3131</v>
      </c>
      <c r="E636" s="25" t="str">
        <f aca="false">IF(G636=1,"✓","")</f>
        <v>✓</v>
      </c>
      <c r="F636" s="4" t="n">
        <v>1</v>
      </c>
      <c r="G636" s="4" t="n">
        <f aca="false">IF(COUNTIF('Letterboxd Watched'!$E$2:$E$3000,M636)&gt;0,1,0)</f>
        <v>1</v>
      </c>
      <c r="H636" s="4" t="n">
        <v>2</v>
      </c>
      <c r="I636" s="4" t="s">
        <v>213</v>
      </c>
      <c r="J636" s="4" t="s">
        <v>54</v>
      </c>
      <c r="K636" s="4" t="s">
        <v>4306</v>
      </c>
      <c r="L636" s="48" t="str">
        <f aca="false">HYPERLINK("https://boxd.it/cTqc","open")</f>
        <v>open</v>
      </c>
      <c r="M636" s="4" t="str">
        <f aca="false">LOWER(A636)&amp;"|"&amp;B636</f>
        <v>the disaster artist|2017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1</v>
      </c>
      <c r="T636" s="4" t="n">
        <v>0</v>
      </c>
      <c r="U636" s="4" t="n">
        <v>0</v>
      </c>
      <c r="V636" s="4" t="n">
        <v>0</v>
      </c>
      <c r="W636" s="4" t="n">
        <v>0</v>
      </c>
    </row>
    <row r="637" customFormat="false" ht="15" hidden="false" customHeight="false" outlineLevel="0" collapsed="false">
      <c r="A637" s="4" t="s">
        <v>669</v>
      </c>
      <c r="B637" s="4" t="n">
        <v>1972</v>
      </c>
      <c r="C637" s="4" t="str">
        <f aca="false">FLOOR(B637,10)&amp;"s"</f>
        <v>1970s</v>
      </c>
      <c r="D637" s="4" t="s">
        <v>402</v>
      </c>
      <c r="E637" s="25" t="str">
        <f aca="false">IF(G637=1,"✓","")</f>
        <v/>
      </c>
      <c r="F637" s="4" t="n">
        <v>3</v>
      </c>
      <c r="G637" s="4" t="n">
        <f aca="false">IF(COUNTIF('Letterboxd Watched'!$E$2:$E$3000,M637)&gt;0,1,0)</f>
        <v>0</v>
      </c>
      <c r="H637" s="4" t="n">
        <v>6</v>
      </c>
      <c r="I637" s="4" t="s">
        <v>144</v>
      </c>
      <c r="J637" s="4" t="s">
        <v>52</v>
      </c>
      <c r="K637" s="4" t="s">
        <v>5353</v>
      </c>
      <c r="L637" s="48" t="str">
        <f aca="false">HYPERLINK("https://boxd.it/2440","open")</f>
        <v>open</v>
      </c>
      <c r="M637" s="4" t="str">
        <f aca="false">LOWER(A637)&amp;"|"&amp;B637</f>
        <v>the discreet charm of the bourgeoisie|1972</v>
      </c>
      <c r="N637" s="4" t="n">
        <v>0</v>
      </c>
      <c r="O637" s="4" t="n">
        <v>0</v>
      </c>
      <c r="P637" s="4" t="n">
        <v>0</v>
      </c>
      <c r="Q637" s="4" t="n">
        <v>1</v>
      </c>
      <c r="R637" s="4" t="n">
        <v>1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</row>
    <row r="638" customFormat="false" ht="15" hidden="false" customHeight="false" outlineLevel="0" collapsed="false">
      <c r="A638" s="4" t="s">
        <v>3522</v>
      </c>
      <c r="B638" s="4" t="n">
        <v>1973</v>
      </c>
      <c r="C638" s="4" t="str">
        <f aca="false">FLOOR(B638,10)&amp;"s"</f>
        <v>1970s</v>
      </c>
      <c r="D638" s="4" t="s">
        <v>253</v>
      </c>
      <c r="E638" s="25" t="str">
        <f aca="false">IF(G638=1,"✓","")</f>
        <v/>
      </c>
      <c r="F638" s="4" t="n">
        <v>1</v>
      </c>
      <c r="G638" s="4" t="n">
        <f aca="false">IF(COUNTIF('Letterboxd Watched'!$E$2:$E$3000,M638)&gt;0,1,0)</f>
        <v>0</v>
      </c>
      <c r="H638" s="4" t="n">
        <v>1</v>
      </c>
      <c r="I638" s="4" t="s">
        <v>1327</v>
      </c>
      <c r="J638" s="4" t="s">
        <v>53</v>
      </c>
      <c r="K638" s="4" t="s">
        <v>253</v>
      </c>
      <c r="L638" s="48" t="str">
        <f aca="false">HYPERLINK("https://boxd.it/3MIU","open")</f>
        <v>open</v>
      </c>
      <c r="M638" s="4" t="str">
        <f aca="false">LOWER(A638)&amp;"|"&amp;B638</f>
        <v>distant thunder|1973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1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</row>
    <row r="639" customFormat="false" ht="15" hidden="false" customHeight="false" outlineLevel="0" collapsed="false">
      <c r="A639" s="4" t="s">
        <v>3644</v>
      </c>
      <c r="B639" s="4" t="n">
        <v>1988</v>
      </c>
      <c r="C639" s="4" t="str">
        <f aca="false">FLOOR(B639,10)&amp;"s"</f>
        <v>1980s</v>
      </c>
      <c r="D639" s="4" t="s">
        <v>3645</v>
      </c>
      <c r="E639" s="25" t="str">
        <f aca="false">IF(G639=1,"✓","")</f>
        <v/>
      </c>
      <c r="F639" s="4" t="n">
        <v>1</v>
      </c>
      <c r="G639" s="4" t="n">
        <f aca="false">IF(COUNTIF('Letterboxd Watched'!$E$2:$E$3000,M639)&gt;0,1,0)</f>
        <v>0</v>
      </c>
      <c r="H639" s="4" t="n">
        <v>1</v>
      </c>
      <c r="I639" s="4" t="s">
        <v>1327</v>
      </c>
      <c r="J639" s="4" t="s">
        <v>51</v>
      </c>
      <c r="K639" s="4" t="s">
        <v>3982</v>
      </c>
      <c r="L639" s="48" t="str">
        <f aca="false">HYPERLINK("https://boxd.it/Yv8","open")</f>
        <v>open</v>
      </c>
      <c r="M639" s="4" t="str">
        <f aca="false">LOWER(A639)&amp;"|"&amp;B639</f>
        <v>distant voices, still lives|1988</v>
      </c>
      <c r="N639" s="4" t="n">
        <v>0</v>
      </c>
      <c r="O639" s="4" t="n">
        <v>0</v>
      </c>
      <c r="P639" s="4" t="n">
        <v>1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</row>
    <row r="640" customFormat="false" ht="15" hidden="false" customHeight="false" outlineLevel="0" collapsed="false">
      <c r="A640" s="4" t="s">
        <v>1524</v>
      </c>
      <c r="B640" s="4" t="n">
        <v>1981</v>
      </c>
      <c r="C640" s="4" t="str">
        <f aca="false">FLOOR(B640,10)&amp;"s"</f>
        <v>1980s</v>
      </c>
      <c r="D640" s="4" t="s">
        <v>1525</v>
      </c>
      <c r="E640" s="25" t="str">
        <f aca="false">IF(G640=1,"✓","")</f>
        <v/>
      </c>
      <c r="F640" s="4" t="n">
        <v>1</v>
      </c>
      <c r="G640" s="4" t="n">
        <f aca="false">IF(COUNTIF('Letterboxd Watched'!$E$2:$E$3000,M640)&gt;0,1,0)</f>
        <v>0</v>
      </c>
      <c r="H640" s="4" t="n">
        <v>3</v>
      </c>
      <c r="I640" s="4" t="s">
        <v>144</v>
      </c>
      <c r="J640" s="4" t="s">
        <v>51</v>
      </c>
      <c r="K640" s="4" t="s">
        <v>3966</v>
      </c>
      <c r="L640" s="48" t="str">
        <f aca="false">HYPERLINK("https://boxd.it/24fW","open")</f>
        <v>open</v>
      </c>
      <c r="M640" s="4" t="str">
        <f aca="false">LOWER(A640)&amp;"|"&amp;B640</f>
        <v>diva|1981</v>
      </c>
      <c r="N640" s="4" t="n">
        <v>0</v>
      </c>
      <c r="O640" s="4" t="n">
        <v>0</v>
      </c>
      <c r="P640" s="4" t="n">
        <v>1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</row>
    <row r="641" customFormat="false" ht="15" hidden="false" customHeight="false" outlineLevel="0" collapsed="false">
      <c r="A641" s="4" t="s">
        <v>2769</v>
      </c>
      <c r="B641" s="4" t="n">
        <v>2002</v>
      </c>
      <c r="C641" s="4" t="str">
        <f aca="false">FLOOR(B641,10)&amp;"s"</f>
        <v>2000s</v>
      </c>
      <c r="D641" s="4" t="s">
        <v>2770</v>
      </c>
      <c r="E641" s="25" t="str">
        <f aca="false">IF(G641=1,"✓","")</f>
        <v/>
      </c>
      <c r="F641" s="4" t="n">
        <v>1</v>
      </c>
      <c r="G641" s="4" t="n">
        <f aca="false">IF(COUNTIF('Letterboxd Watched'!$E$2:$E$3000,M641)&gt;0,1,0)</f>
        <v>0</v>
      </c>
      <c r="H641" s="4" t="n">
        <v>2</v>
      </c>
      <c r="I641" s="4" t="s">
        <v>213</v>
      </c>
      <c r="J641" s="4" t="s">
        <v>51</v>
      </c>
      <c r="K641" s="4" t="s">
        <v>4034</v>
      </c>
      <c r="L641" s="48" t="str">
        <f aca="false">HYPERLINK("https://letterboxd.com/search/films/Divine+Intervention+2002/","open")</f>
        <v>open</v>
      </c>
      <c r="M641" s="4" t="str">
        <f aca="false">LOWER(A641)&amp;"|"&amp;B641</f>
        <v>divine intervention|2002</v>
      </c>
      <c r="N641" s="4" t="n">
        <v>0</v>
      </c>
      <c r="O641" s="4" t="n">
        <v>0</v>
      </c>
      <c r="P641" s="4" t="n">
        <v>1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</row>
    <row r="642" customFormat="false" ht="15" hidden="false" customHeight="false" outlineLevel="0" collapsed="false">
      <c r="A642" s="4" t="s">
        <v>2897</v>
      </c>
      <c r="B642" s="4" t="n">
        <v>2008</v>
      </c>
      <c r="C642" s="4" t="str">
        <f aca="false">FLOOR(B642,10)&amp;"s"</f>
        <v>2000s</v>
      </c>
      <c r="D642" s="4" t="s">
        <v>1620</v>
      </c>
      <c r="E642" s="25" t="str">
        <f aca="false">IF(G642=1,"✓","")</f>
        <v/>
      </c>
      <c r="F642" s="4" t="n">
        <v>1</v>
      </c>
      <c r="G642" s="4" t="n">
        <f aca="false">IF(COUNTIF('Letterboxd Watched'!$E$2:$E$3000,M642)&gt;0,1,0)</f>
        <v>0</v>
      </c>
      <c r="H642" s="4" t="n">
        <v>2</v>
      </c>
      <c r="I642" s="4" t="s">
        <v>213</v>
      </c>
      <c r="J642" s="4" t="s">
        <v>51</v>
      </c>
      <c r="K642" s="4" t="s">
        <v>3956</v>
      </c>
      <c r="L642" s="48" t="str">
        <f aca="false">HYPERLINK("https://letterboxd.com/search/films/Il+Divo+2008/","open")</f>
        <v>open</v>
      </c>
      <c r="M642" s="4" t="str">
        <f aca="false">LOWER(A642)&amp;"|"&amp;B642</f>
        <v>il divo|2008</v>
      </c>
      <c r="N642" s="4" t="n">
        <v>0</v>
      </c>
      <c r="O642" s="4" t="n">
        <v>0</v>
      </c>
      <c r="P642" s="4" t="n">
        <v>1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</row>
    <row r="643" customFormat="false" ht="15" hidden="false" customHeight="false" outlineLevel="0" collapsed="false">
      <c r="A643" s="4" t="s">
        <v>1458</v>
      </c>
      <c r="B643" s="4" t="n">
        <v>1961</v>
      </c>
      <c r="C643" s="4" t="str">
        <f aca="false">FLOOR(B643,10)&amp;"s"</f>
        <v>1960s</v>
      </c>
      <c r="D643" s="4" t="s">
        <v>1459</v>
      </c>
      <c r="E643" s="25" t="str">
        <f aca="false">IF(G643=1,"✓","")</f>
        <v/>
      </c>
      <c r="F643" s="4" t="n">
        <v>1</v>
      </c>
      <c r="G643" s="4" t="n">
        <f aca="false">IF(COUNTIF('Letterboxd Watched'!$E$2:$E$3000,M643)&gt;0,1,0)</f>
        <v>0</v>
      </c>
      <c r="H643" s="4" t="n">
        <v>3</v>
      </c>
      <c r="I643" s="4" t="s">
        <v>144</v>
      </c>
      <c r="J643" s="4" t="s">
        <v>51</v>
      </c>
      <c r="K643" s="4" t="s">
        <v>3946</v>
      </c>
      <c r="L643" s="48" t="str">
        <f aca="false">HYPERLINK("https://boxd.it/1DNs","open")</f>
        <v>open</v>
      </c>
      <c r="M643" s="4" t="str">
        <f aca="false">LOWER(A643)&amp;"|"&amp;B643</f>
        <v>divorce italian style|1961</v>
      </c>
      <c r="N643" s="4" t="n">
        <v>0</v>
      </c>
      <c r="O643" s="4" t="n">
        <v>0</v>
      </c>
      <c r="P643" s="4" t="n">
        <v>1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</row>
    <row r="644" customFormat="false" ht="15" hidden="false" customHeight="false" outlineLevel="0" collapsed="false">
      <c r="A644" s="4" t="s">
        <v>988</v>
      </c>
      <c r="B644" s="4" t="n">
        <v>1966</v>
      </c>
      <c r="C644" s="4" t="str">
        <f aca="false">FLOOR(B644,10)&amp;"s"</f>
        <v>1960s</v>
      </c>
      <c r="D644" s="4" t="s">
        <v>668</v>
      </c>
      <c r="E644" s="25" t="str">
        <f aca="false">IF(G644=1,"✓","")</f>
        <v/>
      </c>
      <c r="F644" s="4" t="n">
        <v>2</v>
      </c>
      <c r="G644" s="4" t="n">
        <f aca="false">IF(COUNTIF('Letterboxd Watched'!$E$2:$E$3000,M644)&gt;0,1,0)</f>
        <v>0</v>
      </c>
      <c r="H644" s="4" t="n">
        <v>4</v>
      </c>
      <c r="I644" s="4" t="s">
        <v>213</v>
      </c>
      <c r="J644" s="4" t="s">
        <v>51</v>
      </c>
      <c r="K644" s="4" t="s">
        <v>5354</v>
      </c>
      <c r="L644" s="48" t="str">
        <f aca="false">HYPERLINK("https://boxd.it/1Vr0","open")</f>
        <v>open</v>
      </c>
      <c r="M644" s="4" t="str">
        <f aca="false">LOWER(A644)&amp;"|"&amp;B644</f>
        <v>django|1966</v>
      </c>
      <c r="N644" s="4" t="n">
        <v>0</v>
      </c>
      <c r="O644" s="4" t="n">
        <v>0</v>
      </c>
      <c r="P644" s="4" t="n">
        <v>1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1</v>
      </c>
      <c r="V644" s="4" t="n">
        <v>0</v>
      </c>
      <c r="W644" s="4" t="n">
        <v>0</v>
      </c>
    </row>
    <row r="645" customFormat="false" ht="15" hidden="false" customHeight="false" outlineLevel="0" collapsed="false">
      <c r="A645" s="4" t="s">
        <v>3006</v>
      </c>
      <c r="B645" s="4" t="n">
        <v>2012</v>
      </c>
      <c r="C645" s="4" t="str">
        <f aca="false">FLOOR(B645,10)&amp;"s"</f>
        <v>2010s</v>
      </c>
      <c r="D645" s="4" t="s">
        <v>208</v>
      </c>
      <c r="E645" s="25" t="str">
        <f aca="false">IF(G645=1,"✓","")</f>
        <v>✓</v>
      </c>
      <c r="F645" s="4" t="n">
        <v>1</v>
      </c>
      <c r="G645" s="4" t="n">
        <f aca="false">IF(COUNTIF('Letterboxd Watched'!$E$2:$E$3000,M645)&gt;0,1,0)</f>
        <v>1</v>
      </c>
      <c r="H645" s="4" t="n">
        <v>2</v>
      </c>
      <c r="I645" s="4" t="s">
        <v>213</v>
      </c>
      <c r="J645" s="4" t="s">
        <v>53</v>
      </c>
      <c r="K645" s="4" t="s">
        <v>208</v>
      </c>
      <c r="L645" s="48" t="str">
        <f aca="false">HYPERLINK("https://boxd.it/2cCk","open")</f>
        <v>open</v>
      </c>
      <c r="M645" s="4" t="str">
        <f aca="false">LOWER(A645)&amp;"|"&amp;B645</f>
        <v>django unchained|2012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1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</row>
    <row r="646" customFormat="false" ht="15" hidden="false" customHeight="false" outlineLevel="0" collapsed="false">
      <c r="A646" s="4" t="s">
        <v>3863</v>
      </c>
      <c r="B646" s="4" t="n">
        <v>2023</v>
      </c>
      <c r="C646" s="4" t="str">
        <f aca="false">FLOOR(B646,10)&amp;"s"</f>
        <v>2020s</v>
      </c>
      <c r="D646" s="4" t="s">
        <v>3205</v>
      </c>
      <c r="E646" s="25" t="str">
        <f aca="false">IF(G646=1,"✓","")</f>
        <v/>
      </c>
      <c r="F646" s="4" t="n">
        <v>1</v>
      </c>
      <c r="G646" s="4" t="n">
        <f aca="false">IF(COUNTIF('Letterboxd Watched'!$E$2:$E$3000,M646)&gt;0,1,0)</f>
        <v>0</v>
      </c>
      <c r="H646" s="4" t="n">
        <v>1</v>
      </c>
      <c r="I646" s="4" t="s">
        <v>1327</v>
      </c>
      <c r="J646" s="4" t="s">
        <v>51</v>
      </c>
      <c r="K646" s="4" t="s">
        <v>4000</v>
      </c>
      <c r="L646" s="48" t="str">
        <f aca="false">HYPERLINK("https://letterboxd.com/search/films/Do+Not+Expect+Too+Much+from+the+End+of+the+World+2023/","open")</f>
        <v>open</v>
      </c>
      <c r="M646" s="4" t="str">
        <f aca="false">LOWER(A646)&amp;"|"&amp;B646</f>
        <v>do not expect too much from the end of the world|2023</v>
      </c>
      <c r="N646" s="4" t="n">
        <v>0</v>
      </c>
      <c r="O646" s="4" t="n">
        <v>0</v>
      </c>
      <c r="P646" s="4" t="n">
        <v>1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</row>
    <row r="647" customFormat="false" ht="15" hidden="false" customHeight="false" outlineLevel="0" collapsed="false">
      <c r="A647" s="4" t="s">
        <v>147</v>
      </c>
      <c r="B647" s="4" t="n">
        <v>1989</v>
      </c>
      <c r="C647" s="4" t="str">
        <f aca="false">FLOOR(B647,10)&amp;"s"</f>
        <v>1980s</v>
      </c>
      <c r="D647" s="4" t="s">
        <v>148</v>
      </c>
      <c r="E647" s="25" t="str">
        <f aca="false">IF(G647=1,"✓","")</f>
        <v>✓</v>
      </c>
      <c r="F647" s="4" t="n">
        <v>11</v>
      </c>
      <c r="G647" s="4" t="n">
        <f aca="false">IF(COUNTIF('Letterboxd Watched'!$E$2:$E$3000,M647)&gt;0,1,0)</f>
        <v>1</v>
      </c>
      <c r="H647" s="4" t="n">
        <v>25</v>
      </c>
      <c r="I647" s="4" t="s">
        <v>144</v>
      </c>
      <c r="J647" s="4" t="s">
        <v>49</v>
      </c>
      <c r="K647" s="4" t="s">
        <v>5355</v>
      </c>
      <c r="L647" s="48" t="str">
        <f aca="false">HYPERLINK("https://boxd.it/29gA","open")</f>
        <v>open</v>
      </c>
      <c r="M647" s="4" t="str">
        <f aca="false">LOWER(A647)&amp;"|"&amp;B647</f>
        <v>do the right thing|1989</v>
      </c>
      <c r="N647" s="4" t="n">
        <v>1</v>
      </c>
      <c r="O647" s="4" t="n">
        <v>1</v>
      </c>
      <c r="P647" s="4" t="n">
        <v>0</v>
      </c>
      <c r="Q647" s="4" t="n">
        <v>0</v>
      </c>
      <c r="R647" s="4" t="n">
        <v>1</v>
      </c>
      <c r="S647" s="4" t="n">
        <v>1</v>
      </c>
      <c r="T647" s="4" t="n">
        <v>1</v>
      </c>
      <c r="U647" s="4" t="n">
        <v>1</v>
      </c>
      <c r="V647" s="4" t="n">
        <v>1</v>
      </c>
      <c r="W647" s="4" t="n">
        <v>0</v>
      </c>
    </row>
    <row r="648" customFormat="false" ht="15" hidden="false" customHeight="false" outlineLevel="0" collapsed="false">
      <c r="A648" s="4" t="s">
        <v>3302</v>
      </c>
      <c r="B648" s="4" t="n">
        <v>1928</v>
      </c>
      <c r="C648" s="4" t="str">
        <f aca="false">FLOOR(B648,10)&amp;"s"</f>
        <v>1920s</v>
      </c>
      <c r="D648" s="4" t="s">
        <v>1710</v>
      </c>
      <c r="E648" s="25" t="str">
        <f aca="false">IF(G648=1,"✓","")</f>
        <v/>
      </c>
      <c r="F648" s="4" t="n">
        <v>1</v>
      </c>
      <c r="G648" s="4" t="n">
        <f aca="false">IF(COUNTIF('Letterboxd Watched'!$E$2:$E$3000,M648)&gt;0,1,0)</f>
        <v>0</v>
      </c>
      <c r="H648" s="4" t="n">
        <v>1</v>
      </c>
      <c r="I648" s="4" t="s">
        <v>1327</v>
      </c>
      <c r="J648" s="4" t="s">
        <v>50</v>
      </c>
      <c r="K648" s="4" t="s">
        <v>3904</v>
      </c>
      <c r="L648" s="48" t="str">
        <f aca="false">HYPERLINK("https://letterboxd.com/search/films/The+Docks+of+New+York+1928/","open")</f>
        <v>open</v>
      </c>
      <c r="M648" s="4" t="str">
        <f aca="false">LOWER(A648)&amp;"|"&amp;B648</f>
        <v>the docks of new york|1928</v>
      </c>
      <c r="N648" s="4" t="n">
        <v>0</v>
      </c>
      <c r="O648" s="4" t="n">
        <v>1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</row>
    <row r="649" customFormat="false" ht="15" hidden="false" customHeight="false" outlineLevel="0" collapsed="false">
      <c r="A649" s="4" t="s">
        <v>2072</v>
      </c>
      <c r="B649" s="4" t="n">
        <v>1965</v>
      </c>
      <c r="C649" s="4" t="str">
        <f aca="false">FLOOR(B649,10)&amp;"s"</f>
        <v>1960s</v>
      </c>
      <c r="D649" s="4" t="s">
        <v>255</v>
      </c>
      <c r="E649" s="25" t="str">
        <f aca="false">IF(G649=1,"✓","")</f>
        <v/>
      </c>
      <c r="F649" s="4" t="n">
        <v>1</v>
      </c>
      <c r="G649" s="4" t="n">
        <f aca="false">IF(COUNTIF('Letterboxd Watched'!$E$2:$E$3000,M649)&gt;0,1,0)</f>
        <v>0</v>
      </c>
      <c r="H649" s="4" t="n">
        <v>2</v>
      </c>
      <c r="I649" s="4" t="s">
        <v>213</v>
      </c>
      <c r="J649" s="4" t="s">
        <v>53</v>
      </c>
      <c r="K649" s="4" t="s">
        <v>255</v>
      </c>
      <c r="L649" s="48" t="str">
        <f aca="false">HYPERLINK("https://boxd.it/29jk","open")</f>
        <v>open</v>
      </c>
      <c r="M649" s="4" t="str">
        <f aca="false">LOWER(A649)&amp;"|"&amp;B649</f>
        <v>doctor zhivago|1965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1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</row>
    <row r="650" customFormat="false" ht="15" hidden="false" customHeight="false" outlineLevel="0" collapsed="false">
      <c r="A650" s="4" t="s">
        <v>3479</v>
      </c>
      <c r="B650" s="4" t="n">
        <v>1970</v>
      </c>
      <c r="C650" s="4" t="str">
        <f aca="false">FLOOR(B650,10)&amp;"s"</f>
        <v>1970s</v>
      </c>
      <c r="D650" s="4" t="s">
        <v>156</v>
      </c>
      <c r="E650" s="25" t="str">
        <f aca="false">IF(G650=1,"✓","")</f>
        <v>✓</v>
      </c>
      <c r="F650" s="4" t="n">
        <v>1</v>
      </c>
      <c r="G650" s="4" t="n">
        <f aca="false">IF(COUNTIF('Letterboxd Watched'!$E$2:$E$3000,M650)&gt;0,1,0)</f>
        <v>1</v>
      </c>
      <c r="H650" s="4" t="n">
        <v>1</v>
      </c>
      <c r="I650" s="4" t="s">
        <v>1327</v>
      </c>
      <c r="J650" s="4" t="s">
        <v>53</v>
      </c>
      <c r="K650" s="4" t="s">
        <v>156</v>
      </c>
      <c r="L650" s="48" t="str">
        <f aca="false">HYPERLINK("https://boxd.it/1fVs","open")</f>
        <v>open</v>
      </c>
      <c r="M650" s="4" t="str">
        <f aca="false">LOWER(A650)&amp;"|"&amp;B650</f>
        <v>dodes'ka-den|1970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</row>
    <row r="651" customFormat="false" ht="15" hidden="false" customHeight="false" outlineLevel="0" collapsed="false">
      <c r="A651" s="4" t="s">
        <v>482</v>
      </c>
      <c r="B651" s="4" t="n">
        <v>1975</v>
      </c>
      <c r="C651" s="4" t="str">
        <f aca="false">FLOOR(B651,10)&amp;"s"</f>
        <v>1970s</v>
      </c>
      <c r="D651" s="4" t="s">
        <v>189</v>
      </c>
      <c r="E651" s="25" t="str">
        <f aca="false">IF(G651=1,"✓","")</f>
        <v>✓</v>
      </c>
      <c r="F651" s="4" t="n">
        <v>3</v>
      </c>
      <c r="G651" s="4" t="n">
        <f aca="false">IF(COUNTIF('Letterboxd Watched'!$E$2:$E$3000,M651)&gt;0,1,0)</f>
        <v>1</v>
      </c>
      <c r="H651" s="4" t="n">
        <v>7</v>
      </c>
      <c r="I651" s="4" t="s">
        <v>144</v>
      </c>
      <c r="J651" s="4" t="s">
        <v>50</v>
      </c>
      <c r="K651" s="4" t="s">
        <v>5356</v>
      </c>
      <c r="L651" s="48" t="str">
        <f aca="false">HYPERLINK("https://boxd.it/29bg","open")</f>
        <v>open</v>
      </c>
      <c r="M651" s="4" t="str">
        <f aca="false">LOWER(A651)&amp;"|"&amp;B651</f>
        <v>dog day afternoon|1975</v>
      </c>
      <c r="N651" s="4" t="n">
        <v>0</v>
      </c>
      <c r="O651" s="4" t="n">
        <v>1</v>
      </c>
      <c r="P651" s="4" t="n">
        <v>0</v>
      </c>
      <c r="Q651" s="4" t="n">
        <v>1</v>
      </c>
      <c r="R651" s="4" t="n">
        <v>1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</row>
    <row r="652" customFormat="false" ht="15" hidden="false" customHeight="false" outlineLevel="0" collapsed="false">
      <c r="A652" s="4" t="s">
        <v>2067</v>
      </c>
      <c r="B652" s="4" t="n">
        <v>1965</v>
      </c>
      <c r="C652" s="4" t="str">
        <f aca="false">FLOOR(B652,10)&amp;"s"</f>
        <v>1960s</v>
      </c>
      <c r="D652" s="4" t="s">
        <v>1966</v>
      </c>
      <c r="E652" s="25" t="str">
        <f aca="false">IF(G652=1,"✓","")</f>
        <v/>
      </c>
      <c r="F652" s="4" t="n">
        <v>1</v>
      </c>
      <c r="G652" s="4" t="n">
        <f aca="false">IF(COUNTIF('Letterboxd Watched'!$E$2:$E$3000,M652)&gt;0,1,0)</f>
        <v>0</v>
      </c>
      <c r="H652" s="4" t="n">
        <v>2</v>
      </c>
      <c r="I652" s="4" t="s">
        <v>213</v>
      </c>
      <c r="J652" s="4" t="s">
        <v>52</v>
      </c>
      <c r="K652" s="4" t="s">
        <v>4182</v>
      </c>
      <c r="L652" s="48" t="str">
        <f aca="false">HYPERLINK("https://boxd.it/eQCS","open")</f>
        <v>open</v>
      </c>
      <c r="M652" s="4" t="str">
        <f aca="false">LOWER(A652)&amp;"|"&amp;B652</f>
        <v>dog star man|1965</v>
      </c>
      <c r="N652" s="4" t="n">
        <v>0</v>
      </c>
      <c r="O652" s="4" t="n">
        <v>0</v>
      </c>
      <c r="P652" s="4" t="n">
        <v>0</v>
      </c>
      <c r="Q652" s="4" t="n">
        <v>1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</row>
    <row r="653" customFormat="false" ht="15" hidden="false" customHeight="false" outlineLevel="0" collapsed="false">
      <c r="A653" s="4" t="s">
        <v>3135</v>
      </c>
      <c r="B653" s="4" t="n">
        <v>2018</v>
      </c>
      <c r="C653" s="4" t="str">
        <f aca="false">FLOOR(B653,10)&amp;"s"</f>
        <v>2010s</v>
      </c>
      <c r="D653" s="4" t="s">
        <v>1603</v>
      </c>
      <c r="E653" s="25" t="str">
        <f aca="false">IF(G653=1,"✓","")</f>
        <v/>
      </c>
      <c r="F653" s="4" t="n">
        <v>1</v>
      </c>
      <c r="G653" s="4" t="n">
        <f aca="false">IF(COUNTIF('Letterboxd Watched'!$E$2:$E$3000,M653)&gt;0,1,0)</f>
        <v>0</v>
      </c>
      <c r="H653" s="4" t="n">
        <v>2</v>
      </c>
      <c r="I653" s="4" t="s">
        <v>213</v>
      </c>
      <c r="J653" s="4" t="s">
        <v>51</v>
      </c>
      <c r="K653" s="4" t="s">
        <v>3956</v>
      </c>
      <c r="L653" s="48" t="str">
        <f aca="false">HYPERLINK("https://letterboxd.com/search/films/Dogman+2018/","open")</f>
        <v>open</v>
      </c>
      <c r="M653" s="4" t="str">
        <f aca="false">LOWER(A653)&amp;"|"&amp;B653</f>
        <v>dogman|2018</v>
      </c>
      <c r="N653" s="4" t="n">
        <v>0</v>
      </c>
      <c r="O653" s="4" t="n">
        <v>0</v>
      </c>
      <c r="P653" s="4" t="n">
        <v>1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</row>
    <row r="654" customFormat="false" ht="15" hidden="false" customHeight="false" outlineLevel="0" collapsed="false">
      <c r="A654" s="4" t="s">
        <v>1609</v>
      </c>
      <c r="B654" s="4" t="n">
        <v>2009</v>
      </c>
      <c r="C654" s="4" t="str">
        <f aca="false">FLOOR(B654,10)&amp;"s"</f>
        <v>2000s</v>
      </c>
      <c r="D654" s="4" t="s">
        <v>874</v>
      </c>
      <c r="E654" s="25" t="str">
        <f aca="false">IF(G654=1,"✓","")</f>
        <v>✓</v>
      </c>
      <c r="F654" s="4" t="n">
        <v>1</v>
      </c>
      <c r="G654" s="4" t="n">
        <f aca="false">IF(COUNTIF('Letterboxd Watched'!$E$2:$E$3000,M654)&gt;0,1,0)</f>
        <v>1</v>
      </c>
      <c r="H654" s="4" t="n">
        <v>3</v>
      </c>
      <c r="I654" s="4" t="s">
        <v>144</v>
      </c>
      <c r="J654" s="4" t="s">
        <v>53</v>
      </c>
      <c r="K654" s="4" t="s">
        <v>4242</v>
      </c>
      <c r="L654" s="48" t="str">
        <f aca="false">HYPERLINK("https://boxd.it/158K","open")</f>
        <v>open</v>
      </c>
      <c r="M654" s="4" t="str">
        <f aca="false">LOWER(A654)&amp;"|"&amp;B654</f>
        <v>dogtooth|2009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1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</row>
    <row r="655" customFormat="false" ht="15" hidden="false" customHeight="false" outlineLevel="0" collapsed="false">
      <c r="A655" s="4" t="s">
        <v>2759</v>
      </c>
      <c r="B655" s="4" t="n">
        <v>2001</v>
      </c>
      <c r="C655" s="4" t="str">
        <f aca="false">FLOOR(B655,10)&amp;"s"</f>
        <v>2000s</v>
      </c>
      <c r="D655" s="4" t="s">
        <v>2760</v>
      </c>
      <c r="E655" s="25" t="str">
        <f aca="false">IF(G655=1,"✓","")</f>
        <v/>
      </c>
      <c r="F655" s="4" t="n">
        <v>1</v>
      </c>
      <c r="G655" s="4" t="n">
        <f aca="false">IF(COUNTIF('Letterboxd Watched'!$E$2:$E$3000,M655)&gt;0,1,0)</f>
        <v>0</v>
      </c>
      <c r="H655" s="4" t="n">
        <v>2</v>
      </c>
      <c r="I655" s="4" t="s">
        <v>213</v>
      </c>
      <c r="J655" s="4" t="s">
        <v>56</v>
      </c>
      <c r="K655" s="4" t="s">
        <v>4396</v>
      </c>
      <c r="L655" s="48" t="str">
        <f aca="false">HYPERLINK("https://letterboxd.com/search/films/Dogtown+and+ZBoys+2001/","open")</f>
        <v>open</v>
      </c>
      <c r="M655" s="4" t="str">
        <f aca="false">LOWER(A655)&amp;"|"&amp;B655</f>
        <v>dogtown and z-boys|2001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1</v>
      </c>
      <c r="V655" s="4" t="n">
        <v>0</v>
      </c>
      <c r="W655" s="4" t="n">
        <v>0</v>
      </c>
    </row>
    <row r="656" customFormat="false" ht="15" hidden="false" customHeight="false" outlineLevel="0" collapsed="false">
      <c r="A656" s="4" t="s">
        <v>287</v>
      </c>
      <c r="B656" s="4" t="n">
        <v>1960</v>
      </c>
      <c r="C656" s="4" t="str">
        <f aca="false">FLOOR(B656,10)&amp;"s"</f>
        <v>1960s</v>
      </c>
      <c r="D656" s="4" t="s">
        <v>179</v>
      </c>
      <c r="E656" s="25" t="str">
        <f aca="false">IF(G656=1,"✓","")</f>
        <v>✓</v>
      </c>
      <c r="F656" s="4" t="n">
        <v>5</v>
      </c>
      <c r="G656" s="4" t="n">
        <f aca="false">IF(COUNTIF('Letterboxd Watched'!$E$2:$E$3000,M656)&gt;0,1,0)</f>
        <v>1</v>
      </c>
      <c r="H656" s="4" t="n">
        <v>11</v>
      </c>
      <c r="I656" s="4" t="s">
        <v>144</v>
      </c>
      <c r="J656" s="4" t="s">
        <v>50</v>
      </c>
      <c r="K656" s="4" t="s">
        <v>5357</v>
      </c>
      <c r="L656" s="48" t="str">
        <f aca="false">HYPERLINK("https://boxd.it/2anC","open")</f>
        <v>open</v>
      </c>
      <c r="M656" s="4" t="str">
        <f aca="false">LOWER(A656)&amp;"|"&amp;B656</f>
        <v>la dolce vita|1960</v>
      </c>
      <c r="N656" s="4" t="n">
        <v>0</v>
      </c>
      <c r="O656" s="4" t="n">
        <v>1</v>
      </c>
      <c r="P656" s="4" t="n">
        <v>1</v>
      </c>
      <c r="Q656" s="4" t="n">
        <v>0</v>
      </c>
      <c r="R656" s="4" t="n">
        <v>1</v>
      </c>
      <c r="S656" s="4" t="n">
        <v>0</v>
      </c>
      <c r="T656" s="4" t="n">
        <v>0</v>
      </c>
      <c r="U656" s="4" t="n">
        <v>0</v>
      </c>
      <c r="V656" s="4" t="n">
        <v>1</v>
      </c>
      <c r="W656" s="4" t="n">
        <v>0</v>
      </c>
    </row>
    <row r="657" customFormat="false" ht="15" hidden="false" customHeight="false" outlineLevel="0" collapsed="false">
      <c r="A657" s="4" t="s">
        <v>2274</v>
      </c>
      <c r="B657" s="4" t="n">
        <v>1975</v>
      </c>
      <c r="C657" s="4" t="str">
        <f aca="false">FLOOR(B657,10)&amp;"s"</f>
        <v>1970s</v>
      </c>
      <c r="D657" s="4" t="s">
        <v>2275</v>
      </c>
      <c r="E657" s="25" t="str">
        <f aca="false">IF(G657=1,"✓","")</f>
        <v/>
      </c>
      <c r="F657" s="4" t="n">
        <v>1</v>
      </c>
      <c r="G657" s="4" t="n">
        <f aca="false">IF(COUNTIF('Letterboxd Watched'!$E$2:$E$3000,M657)&gt;0,1,0)</f>
        <v>0</v>
      </c>
      <c r="H657" s="4" t="n">
        <v>2</v>
      </c>
      <c r="I657" s="4" t="s">
        <v>213</v>
      </c>
      <c r="J657" s="4" t="s">
        <v>54</v>
      </c>
      <c r="K657" s="4" t="s">
        <v>4288</v>
      </c>
      <c r="L657" s="48" t="str">
        <f aca="false">HYPERLINK("https://boxd.it/1Fxw","open")</f>
        <v>open</v>
      </c>
      <c r="M657" s="4" t="str">
        <f aca="false">LOWER(A657)&amp;"|"&amp;B657</f>
        <v>dolemite|1975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1</v>
      </c>
      <c r="T657" s="4" t="n">
        <v>0</v>
      </c>
      <c r="U657" s="4" t="n">
        <v>0</v>
      </c>
      <c r="V657" s="4" t="n">
        <v>0</v>
      </c>
      <c r="W657" s="4" t="n">
        <v>0</v>
      </c>
    </row>
    <row r="658" customFormat="false" ht="15" hidden="false" customHeight="false" outlineLevel="0" collapsed="false">
      <c r="A658" s="4" t="s">
        <v>2841</v>
      </c>
      <c r="B658" s="4" t="n">
        <v>2005</v>
      </c>
      <c r="C658" s="4" t="str">
        <f aca="false">FLOOR(B658,10)&amp;"s"</f>
        <v>2000s</v>
      </c>
      <c r="D658" s="4" t="s">
        <v>2426</v>
      </c>
      <c r="E658" s="25" t="str">
        <f aca="false">IF(G658=1,"✓","")</f>
        <v/>
      </c>
      <c r="F658" s="4" t="n">
        <v>1</v>
      </c>
      <c r="G658" s="4" t="n">
        <f aca="false">IF(COUNTIF('Letterboxd Watched'!$E$2:$E$3000,M658)&gt;0,1,0)</f>
        <v>0</v>
      </c>
      <c r="H658" s="4" t="n">
        <v>2</v>
      </c>
      <c r="I658" s="4" t="s">
        <v>213</v>
      </c>
      <c r="J658" s="4" t="s">
        <v>54</v>
      </c>
      <c r="K658" s="4" t="s">
        <v>4310</v>
      </c>
      <c r="L658" s="48" t="str">
        <f aca="false">HYPERLINK("https://boxd.it/1Xw2","open")</f>
        <v>open</v>
      </c>
      <c r="M658" s="4" t="str">
        <f aca="false">LOWER(A658)&amp;"|"&amp;B658</f>
        <v>domino|2005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1</v>
      </c>
      <c r="T658" s="4" t="n">
        <v>0</v>
      </c>
      <c r="U658" s="4" t="n">
        <v>0</v>
      </c>
      <c r="V658" s="4" t="n">
        <v>0</v>
      </c>
      <c r="W658" s="4" t="n">
        <v>0</v>
      </c>
    </row>
    <row r="659" customFormat="false" ht="15" hidden="false" customHeight="false" outlineLevel="0" collapsed="false">
      <c r="A659" s="4" t="s">
        <v>2104</v>
      </c>
      <c r="B659" s="4" t="n">
        <v>1967</v>
      </c>
      <c r="C659" s="4" t="str">
        <f aca="false">FLOOR(B659,10)&amp;"s"</f>
        <v>1960s</v>
      </c>
      <c r="D659" s="4" t="s">
        <v>2105</v>
      </c>
      <c r="E659" s="25" t="str">
        <f aca="false">IF(G659=1,"✓","")</f>
        <v/>
      </c>
      <c r="F659" s="4" t="n">
        <v>1</v>
      </c>
      <c r="G659" s="4" t="n">
        <f aca="false">IF(COUNTIF('Letterboxd Watched'!$E$2:$E$3000,M659)&gt;0,1,0)</f>
        <v>0</v>
      </c>
      <c r="H659" s="4" t="n">
        <v>2</v>
      </c>
      <c r="I659" s="4" t="s">
        <v>213</v>
      </c>
      <c r="J659" s="4" t="s">
        <v>52</v>
      </c>
      <c r="K659" s="4" t="s">
        <v>4172</v>
      </c>
      <c r="L659" s="48" t="str">
        <f aca="false">HYPERLINK("https://letterboxd.com/search/films/Dont+Look+Back+1967/","open")</f>
        <v>open</v>
      </c>
      <c r="M659" s="4" t="str">
        <f aca="false">LOWER(A659)&amp;"|"&amp;B659</f>
        <v>don't look back|1967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</row>
    <row r="660" customFormat="false" ht="15" hidden="false" customHeight="false" outlineLevel="0" collapsed="false">
      <c r="A660" s="4" t="s">
        <v>390</v>
      </c>
      <c r="B660" s="4" t="n">
        <v>1973</v>
      </c>
      <c r="C660" s="4" t="str">
        <f aca="false">FLOOR(B660,10)&amp;"s"</f>
        <v>1970s</v>
      </c>
      <c r="D660" s="4" t="s">
        <v>391</v>
      </c>
      <c r="E660" s="25" t="str">
        <f aca="false">IF(G660=1,"✓","")</f>
        <v/>
      </c>
      <c r="F660" s="4" t="n">
        <v>4</v>
      </c>
      <c r="G660" s="4" t="n">
        <f aca="false">IF(COUNTIF('Letterboxd Watched'!$E$2:$E$3000,M660)&gt;0,1,0)</f>
        <v>0</v>
      </c>
      <c r="H660" s="4" t="n">
        <v>8</v>
      </c>
      <c r="I660" s="4" t="s">
        <v>213</v>
      </c>
      <c r="J660" s="4" t="s">
        <v>49</v>
      </c>
      <c r="K660" s="4" t="s">
        <v>5358</v>
      </c>
      <c r="L660" s="48" t="str">
        <f aca="false">HYPERLINK("https://boxd.it/29fC","open")</f>
        <v>open</v>
      </c>
      <c r="M660" s="4" t="str">
        <f aca="false">LOWER(A660)&amp;"|"&amp;B660</f>
        <v>don't look now|1973</v>
      </c>
      <c r="N660" s="4" t="n">
        <v>1</v>
      </c>
      <c r="O660" s="4" t="n">
        <v>0</v>
      </c>
      <c r="P660" s="4" t="n">
        <v>1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1</v>
      </c>
      <c r="W660" s="4" t="n">
        <v>1</v>
      </c>
    </row>
    <row r="661" customFormat="false" ht="15" hidden="false" customHeight="false" outlineLevel="0" collapsed="false">
      <c r="A661" s="4" t="s">
        <v>2194</v>
      </c>
      <c r="B661" s="4" t="n">
        <v>1972</v>
      </c>
      <c r="C661" s="4" t="str">
        <f aca="false">FLOOR(B661,10)&amp;"s"</f>
        <v>1970s</v>
      </c>
      <c r="D661" s="4" t="s">
        <v>709</v>
      </c>
      <c r="E661" s="25" t="str">
        <f aca="false">IF(G661=1,"✓","")</f>
        <v/>
      </c>
      <c r="F661" s="4" t="n">
        <v>1</v>
      </c>
      <c r="G661" s="4" t="n">
        <f aca="false">IF(COUNTIF('Letterboxd Watched'!$E$2:$E$3000,M661)&gt;0,1,0)</f>
        <v>0</v>
      </c>
      <c r="H661" s="4" t="n">
        <v>2</v>
      </c>
      <c r="I661" s="4" t="s">
        <v>213</v>
      </c>
      <c r="J661" s="4" t="s">
        <v>51</v>
      </c>
      <c r="K661" s="4" t="s">
        <v>3950</v>
      </c>
      <c r="L661" s="48" t="str">
        <f aca="false">HYPERLINK("https://boxd.it/Gfc","open")</f>
        <v>open</v>
      </c>
      <c r="M661" s="4" t="str">
        <f aca="false">LOWER(A661)&amp;"|"&amp;B661</f>
        <v>don't torture a duckling|1972</v>
      </c>
      <c r="N661" s="4" t="n">
        <v>0</v>
      </c>
      <c r="O661" s="4" t="n">
        <v>0</v>
      </c>
      <c r="P661" s="4" t="n">
        <v>1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</row>
    <row r="662" customFormat="false" ht="15" hidden="false" customHeight="false" outlineLevel="0" collapsed="false">
      <c r="A662" s="4" t="s">
        <v>2155</v>
      </c>
      <c r="B662" s="4" t="n">
        <v>1970</v>
      </c>
      <c r="C662" s="4" t="str">
        <f aca="false">FLOOR(B662,10)&amp;"s"</f>
        <v>1970s</v>
      </c>
      <c r="D662" s="4" t="s">
        <v>777</v>
      </c>
      <c r="E662" s="25" t="str">
        <f aca="false">IF(G662=1,"✓","")</f>
        <v/>
      </c>
      <c r="F662" s="4" t="n">
        <v>1</v>
      </c>
      <c r="G662" s="4" t="n">
        <f aca="false">IF(COUNTIF('Letterboxd Watched'!$E$2:$E$3000,M662)&gt;0,1,0)</f>
        <v>0</v>
      </c>
      <c r="H662" s="4" t="n">
        <v>2</v>
      </c>
      <c r="I662" s="4" t="s">
        <v>213</v>
      </c>
      <c r="J662" s="4" t="s">
        <v>52</v>
      </c>
      <c r="K662" s="4" t="s">
        <v>4114</v>
      </c>
      <c r="L662" s="48" t="str">
        <f aca="false">HYPERLINK("https://letterboxd.com/search/films/Donkey+Skin+1970/","open")</f>
        <v>open</v>
      </c>
      <c r="M662" s="4" t="str">
        <f aca="false">LOWER(A662)&amp;"|"&amp;B662</f>
        <v>donkey skin|1970</v>
      </c>
      <c r="N662" s="4" t="n">
        <v>0</v>
      </c>
      <c r="O662" s="4" t="n">
        <v>0</v>
      </c>
      <c r="P662" s="4" t="n">
        <v>0</v>
      </c>
      <c r="Q662" s="4" t="n">
        <v>1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</row>
    <row r="663" customFormat="false" ht="15" hidden="false" customHeight="false" outlineLevel="0" collapsed="false">
      <c r="A663" s="4" t="s">
        <v>1150</v>
      </c>
      <c r="B663" s="4" t="n">
        <v>2001</v>
      </c>
      <c r="C663" s="4" t="str">
        <f aca="false">FLOOR(B663,10)&amp;"s"</f>
        <v>2000s</v>
      </c>
      <c r="D663" s="4" t="s">
        <v>1151</v>
      </c>
      <c r="E663" s="25" t="str">
        <f aca="false">IF(G663=1,"✓","")</f>
        <v>✓</v>
      </c>
      <c r="F663" s="4" t="n">
        <v>2</v>
      </c>
      <c r="G663" s="4" t="n">
        <f aca="false">IF(COUNTIF('Letterboxd Watched'!$E$2:$E$3000,M663)&gt;0,1,0)</f>
        <v>1</v>
      </c>
      <c r="H663" s="4" t="n">
        <v>4</v>
      </c>
      <c r="I663" s="4" t="s">
        <v>213</v>
      </c>
      <c r="J663" s="4" t="s">
        <v>54</v>
      </c>
      <c r="K663" s="4" t="s">
        <v>5359</v>
      </c>
      <c r="L663" s="48" t="str">
        <f aca="false">HYPERLINK("https://boxd.it/2b2A","open")</f>
        <v>open</v>
      </c>
      <c r="M663" s="4" t="str">
        <f aca="false">LOWER(A663)&amp;"|"&amp;B663</f>
        <v>donnie darko|2001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1</v>
      </c>
      <c r="T663" s="4" t="n">
        <v>0</v>
      </c>
      <c r="U663" s="4" t="n">
        <v>0</v>
      </c>
      <c r="V663" s="4" t="n">
        <v>1</v>
      </c>
      <c r="W663" s="4" t="n">
        <v>0</v>
      </c>
    </row>
    <row r="664" customFormat="false" ht="15" hidden="false" customHeight="false" outlineLevel="0" collapsed="false">
      <c r="A664" s="4" t="s">
        <v>219</v>
      </c>
      <c r="B664" s="4" t="n">
        <v>1944</v>
      </c>
      <c r="C664" s="4" t="str">
        <f aca="false">FLOOR(B664,10)&amp;"s"</f>
        <v>1940s</v>
      </c>
      <c r="D664" s="4" t="s">
        <v>200</v>
      </c>
      <c r="E664" s="25" t="str">
        <f aca="false">IF(G664=1,"✓","")</f>
        <v>✓</v>
      </c>
      <c r="F664" s="4" t="n">
        <v>6</v>
      </c>
      <c r="G664" s="4" t="n">
        <f aca="false">IF(COUNTIF('Letterboxd Watched'!$E$2:$E$3000,M664)&gt;0,1,0)</f>
        <v>1</v>
      </c>
      <c r="H664" s="4" t="n">
        <v>14</v>
      </c>
      <c r="I664" s="4" t="s">
        <v>144</v>
      </c>
      <c r="J664" s="4" t="s">
        <v>52</v>
      </c>
      <c r="K664" s="4" t="s">
        <v>5360</v>
      </c>
      <c r="L664" s="48" t="str">
        <f aca="false">HYPERLINK("https://boxd.it/297I","open")</f>
        <v>open</v>
      </c>
      <c r="M664" s="4" t="str">
        <f aca="false">LOWER(A664)&amp;"|"&amp;B664</f>
        <v>double indemnity|1944</v>
      </c>
      <c r="N664" s="4" t="n">
        <v>0</v>
      </c>
      <c r="O664" s="4" t="n">
        <v>0</v>
      </c>
      <c r="P664" s="4" t="n">
        <v>0</v>
      </c>
      <c r="Q664" s="4" t="n">
        <v>1</v>
      </c>
      <c r="R664" s="4" t="n">
        <v>1</v>
      </c>
      <c r="S664" s="4" t="n">
        <v>0</v>
      </c>
      <c r="T664" s="4" t="n">
        <v>1</v>
      </c>
      <c r="U664" s="4" t="n">
        <v>0</v>
      </c>
      <c r="V664" s="4" t="n">
        <v>1</v>
      </c>
      <c r="W664" s="4" t="n">
        <v>0</v>
      </c>
    </row>
    <row r="665" customFormat="false" ht="15" hidden="false" customHeight="false" outlineLevel="0" collapsed="false">
      <c r="A665" s="4" t="s">
        <v>1542</v>
      </c>
      <c r="B665" s="4" t="n">
        <v>1991</v>
      </c>
      <c r="C665" s="4" t="str">
        <f aca="false">FLOOR(B665,10)&amp;"s"</f>
        <v>1990s</v>
      </c>
      <c r="D665" s="4" t="s">
        <v>1042</v>
      </c>
      <c r="E665" s="25" t="str">
        <f aca="false">IF(G665=1,"✓","")</f>
        <v/>
      </c>
      <c r="F665" s="4" t="n">
        <v>1</v>
      </c>
      <c r="G665" s="4" t="n">
        <f aca="false">IF(COUNTIF('Letterboxd Watched'!$E$2:$E$3000,M665)&gt;0,1,0)</f>
        <v>0</v>
      </c>
      <c r="H665" s="4" t="n">
        <v>3</v>
      </c>
      <c r="I665" s="4" t="s">
        <v>144</v>
      </c>
      <c r="J665" s="4" t="s">
        <v>53</v>
      </c>
      <c r="K665" s="4" t="s">
        <v>1042</v>
      </c>
      <c r="L665" s="48" t="str">
        <f aca="false">HYPERLINK("https://boxd.it/28va","open")</f>
        <v>open</v>
      </c>
      <c r="M665" s="4" t="str">
        <f aca="false">LOWER(A665)&amp;"|"&amp;B665</f>
        <v>the double life of véronique|1991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1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</row>
    <row r="666" customFormat="false" ht="15" hidden="false" customHeight="false" outlineLevel="0" collapsed="false">
      <c r="A666" s="4" t="s">
        <v>2014</v>
      </c>
      <c r="B666" s="4" t="n">
        <v>1962</v>
      </c>
      <c r="C666" s="4" t="str">
        <f aca="false">FLOOR(B666,10)&amp;"s"</f>
        <v>1960s</v>
      </c>
      <c r="D666" s="4" t="s">
        <v>290</v>
      </c>
      <c r="E666" s="25" t="str">
        <f aca="false">IF(G666=1,"✓","")</f>
        <v/>
      </c>
      <c r="F666" s="4" t="n">
        <v>1</v>
      </c>
      <c r="G666" s="4" t="n">
        <f aca="false">IF(COUNTIF('Letterboxd Watched'!$E$2:$E$3000,M666)&gt;0,1,0)</f>
        <v>0</v>
      </c>
      <c r="H666" s="4" t="n">
        <v>2</v>
      </c>
      <c r="I666" s="4" t="s">
        <v>213</v>
      </c>
      <c r="J666" s="4" t="s">
        <v>53</v>
      </c>
      <c r="K666" s="4" t="s">
        <v>4265</v>
      </c>
      <c r="L666" s="48" t="str">
        <f aca="false">HYPERLINK("https://boxd.it/1CVg","open")</f>
        <v>open</v>
      </c>
      <c r="M666" s="4" t="str">
        <f aca="false">LOWER(A666)&amp;"|"&amp;B666</f>
        <v>le doulos|1962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1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</row>
    <row r="667" customFormat="false" ht="15" hidden="false" customHeight="false" outlineLevel="0" collapsed="false">
      <c r="A667" s="4" t="s">
        <v>3547</v>
      </c>
      <c r="B667" s="4" t="n">
        <v>1976</v>
      </c>
      <c r="C667" s="4" t="str">
        <f aca="false">FLOOR(B667,10)&amp;"s"</f>
        <v>1970s</v>
      </c>
      <c r="D667" s="4" t="s">
        <v>2236</v>
      </c>
      <c r="E667" s="25" t="str">
        <f aca="false">IF(G667=1,"✓","")</f>
        <v/>
      </c>
      <c r="F667" s="4" t="n">
        <v>1</v>
      </c>
      <c r="G667" s="4" t="n">
        <f aca="false">IF(COUNTIF('Letterboxd Watched'!$E$2:$E$3000,M667)&gt;0,1,0)</f>
        <v>0</v>
      </c>
      <c r="H667" s="4" t="n">
        <v>1</v>
      </c>
      <c r="I667" s="4" t="s">
        <v>1327</v>
      </c>
      <c r="J667" s="4" t="s">
        <v>51</v>
      </c>
      <c r="K667" s="4" t="s">
        <v>3946</v>
      </c>
      <c r="L667" s="48" t="str">
        <f aca="false">HYPERLINK("https://letterboxd.com/search/films/Down+and+Dirty+1976/","open")</f>
        <v>open</v>
      </c>
      <c r="M667" s="4" t="str">
        <f aca="false">LOWER(A667)&amp;"|"&amp;B667</f>
        <v>down and dirty|1976</v>
      </c>
      <c r="N667" s="4" t="n">
        <v>0</v>
      </c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</row>
    <row r="668" customFormat="false" ht="15" hidden="false" customHeight="false" outlineLevel="0" collapsed="false">
      <c r="A668" s="4" t="s">
        <v>2436</v>
      </c>
      <c r="B668" s="4" t="n">
        <v>1986</v>
      </c>
      <c r="C668" s="4" t="str">
        <f aca="false">FLOOR(B668,10)&amp;"s"</f>
        <v>1980s</v>
      </c>
      <c r="D668" s="4" t="s">
        <v>615</v>
      </c>
      <c r="E668" s="25" t="str">
        <f aca="false">IF(G668=1,"✓","")</f>
        <v/>
      </c>
      <c r="F668" s="4" t="n">
        <v>1</v>
      </c>
      <c r="G668" s="4" t="n">
        <f aca="false">IF(COUNTIF('Letterboxd Watched'!$E$2:$E$3000,M668)&gt;0,1,0)</f>
        <v>0</v>
      </c>
      <c r="H668" s="4" t="n">
        <v>2</v>
      </c>
      <c r="I668" s="4" t="s">
        <v>213</v>
      </c>
      <c r="J668" s="4" t="s">
        <v>53</v>
      </c>
      <c r="K668" s="4" t="s">
        <v>615</v>
      </c>
      <c r="L668" s="48" t="str">
        <f aca="false">HYPERLINK("https://boxd.it/28CA","open")</f>
        <v>open</v>
      </c>
      <c r="M668" s="4" t="str">
        <f aca="false">LOWER(A668)&amp;"|"&amp;B668</f>
        <v>down by law|1986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1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</row>
    <row r="669" customFormat="false" ht="15" hidden="false" customHeight="false" outlineLevel="0" collapsed="false">
      <c r="A669" s="4" t="s">
        <v>3505</v>
      </c>
      <c r="B669" s="4" t="n">
        <v>1972</v>
      </c>
      <c r="C669" s="4" t="str">
        <f aca="false">FLOOR(B669,10)&amp;"s"</f>
        <v>1970s</v>
      </c>
      <c r="D669" s="4" t="s">
        <v>3506</v>
      </c>
      <c r="E669" s="25" t="str">
        <f aca="false">IF(G669=1,"✓","")</f>
        <v/>
      </c>
      <c r="F669" s="4" t="n">
        <v>1</v>
      </c>
      <c r="G669" s="4" t="n">
        <f aca="false">IF(COUNTIF('Letterboxd Watched'!$E$2:$E$3000,M669)&gt;0,1,0)</f>
        <v>0</v>
      </c>
      <c r="H669" s="4" t="n">
        <v>1</v>
      </c>
      <c r="I669" s="4" t="s">
        <v>1327</v>
      </c>
      <c r="J669" s="4" t="s">
        <v>57</v>
      </c>
      <c r="K669" s="4" t="s">
        <v>4448</v>
      </c>
      <c r="L669" s="48" t="str">
        <f aca="false">HYPERLINK("https://letterboxd.com/search/films/Downpour+1972/","open")</f>
        <v>open</v>
      </c>
      <c r="M669" s="4" t="str">
        <f aca="false">LOWER(A669)&amp;"|"&amp;B669</f>
        <v>downpour|1972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1</v>
      </c>
      <c r="W669" s="4" t="n">
        <v>0</v>
      </c>
    </row>
    <row r="670" customFormat="false" ht="15" hidden="false" customHeight="false" outlineLevel="0" collapsed="false">
      <c r="A670" s="4" t="s">
        <v>898</v>
      </c>
      <c r="B670" s="4" t="n">
        <v>1922</v>
      </c>
      <c r="C670" s="4" t="str">
        <f aca="false">FLOOR(B670,10)&amp;"s"</f>
        <v>1920s</v>
      </c>
      <c r="D670" s="4" t="s">
        <v>248</v>
      </c>
      <c r="E670" s="25" t="str">
        <f aca="false">IF(G670=1,"✓","")</f>
        <v/>
      </c>
      <c r="F670" s="4" t="n">
        <v>2</v>
      </c>
      <c r="G670" s="4" t="n">
        <f aca="false">IF(COUNTIF('Letterboxd Watched'!$E$2:$E$3000,M670)&gt;0,1,0)</f>
        <v>0</v>
      </c>
      <c r="H670" s="4" t="n">
        <v>4</v>
      </c>
      <c r="I670" s="4" t="s">
        <v>213</v>
      </c>
      <c r="J670" s="4" t="s">
        <v>50</v>
      </c>
      <c r="K670" s="4" t="s">
        <v>5361</v>
      </c>
      <c r="L670" s="48" t="str">
        <f aca="false">HYPERLINK("https://boxd.it/22dE","open")</f>
        <v>open</v>
      </c>
      <c r="M670" s="4" t="str">
        <f aca="false">LOWER(A670)&amp;"|"&amp;B670</f>
        <v>dr. mabuse, the gambler|1922</v>
      </c>
      <c r="N670" s="4" t="n">
        <v>0</v>
      </c>
      <c r="O670" s="4" t="n">
        <v>1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1</v>
      </c>
      <c r="W670" s="4" t="n">
        <v>0</v>
      </c>
    </row>
    <row r="671" customFormat="false" ht="15" hidden="false" customHeight="false" outlineLevel="0" collapsed="false">
      <c r="A671" s="4" t="s">
        <v>2011</v>
      </c>
      <c r="B671" s="4" t="n">
        <v>1962</v>
      </c>
      <c r="C671" s="4" t="str">
        <f aca="false">FLOOR(B671,10)&amp;"s"</f>
        <v>1960s</v>
      </c>
      <c r="D671" s="4" t="s">
        <v>1465</v>
      </c>
      <c r="E671" s="25" t="str">
        <f aca="false">IF(G671=1,"✓","")</f>
        <v>✓</v>
      </c>
      <c r="F671" s="4" t="n">
        <v>1</v>
      </c>
      <c r="G671" s="4" t="n">
        <f aca="false">IF(COUNTIF('Letterboxd Watched'!$E$2:$E$3000,M671)&gt;0,1,0)</f>
        <v>1</v>
      </c>
      <c r="H671" s="4" t="n">
        <v>2</v>
      </c>
      <c r="I671" s="4" t="s">
        <v>213</v>
      </c>
      <c r="J671" s="4" t="s">
        <v>52</v>
      </c>
      <c r="K671" s="4" t="s">
        <v>4132</v>
      </c>
      <c r="L671" s="48" t="str">
        <f aca="false">HYPERLINK("https://boxd.it/29UU","open")</f>
        <v>open</v>
      </c>
      <c r="M671" s="4" t="str">
        <f aca="false">LOWER(A671)&amp;"|"&amp;B671</f>
        <v>dr. no|1962</v>
      </c>
      <c r="N671" s="4" t="n">
        <v>0</v>
      </c>
      <c r="O671" s="4" t="n">
        <v>0</v>
      </c>
      <c r="P671" s="4" t="n">
        <v>0</v>
      </c>
      <c r="Q671" s="4" t="n">
        <v>1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</row>
    <row r="672" customFormat="false" ht="15" hidden="false" customHeight="false" outlineLevel="0" collapsed="false">
      <c r="A672" s="4" t="s">
        <v>237</v>
      </c>
      <c r="B672" s="4" t="n">
        <v>1964</v>
      </c>
      <c r="C672" s="4" t="str">
        <f aca="false">FLOOR(B672,10)&amp;"s"</f>
        <v>1960s</v>
      </c>
      <c r="D672" s="4" t="s">
        <v>187</v>
      </c>
      <c r="E672" s="25" t="str">
        <f aca="false">IF(G672=1,"✓","")</f>
        <v>✓</v>
      </c>
      <c r="F672" s="4" t="n">
        <v>5</v>
      </c>
      <c r="G672" s="4" t="n">
        <f aca="false">IF(COUNTIF('Letterboxd Watched'!$E$2:$E$3000,M672)&gt;0,1,0)</f>
        <v>1</v>
      </c>
      <c r="H672" s="4" t="n">
        <v>13</v>
      </c>
      <c r="I672" s="4" t="s">
        <v>144</v>
      </c>
      <c r="J672" s="4" t="s">
        <v>52</v>
      </c>
      <c r="K672" s="4" t="s">
        <v>5362</v>
      </c>
      <c r="L672" s="48" t="str">
        <f aca="false">HYPERLINK("https://boxd.it/29eY","open")</f>
        <v>open</v>
      </c>
      <c r="M672" s="4" t="str">
        <f aca="false">LOWER(A672)&amp;"|"&amp;B672</f>
        <v>dr. strangelove or: how i learned to stop worrying and love the bomb|1964</v>
      </c>
      <c r="N672" s="4" t="n">
        <v>0</v>
      </c>
      <c r="O672" s="4" t="n">
        <v>0</v>
      </c>
      <c r="P672" s="4" t="n">
        <v>0</v>
      </c>
      <c r="Q672" s="4" t="n">
        <v>1</v>
      </c>
      <c r="R672" s="4" t="n">
        <v>1</v>
      </c>
      <c r="S672" s="4" t="n">
        <v>0</v>
      </c>
      <c r="T672" s="4" t="n">
        <v>1</v>
      </c>
      <c r="U672" s="4" t="n">
        <v>0</v>
      </c>
      <c r="V672" s="4" t="n">
        <v>1</v>
      </c>
      <c r="W672" s="4" t="n">
        <v>0</v>
      </c>
    </row>
    <row r="673" customFormat="false" ht="15" hidden="false" customHeight="false" outlineLevel="0" collapsed="false">
      <c r="A673" s="4" t="s">
        <v>1454</v>
      </c>
      <c r="B673" s="4" t="n">
        <v>1931</v>
      </c>
      <c r="C673" s="4" t="str">
        <f aca="false">FLOOR(B673,10)&amp;"s"</f>
        <v>1930s</v>
      </c>
      <c r="D673" s="4" t="s">
        <v>907</v>
      </c>
      <c r="E673" s="25" t="str">
        <f aca="false">IF(G673=1,"✓","")</f>
        <v/>
      </c>
      <c r="F673" s="4" t="n">
        <v>1</v>
      </c>
      <c r="G673" s="4" t="n">
        <f aca="false">IF(COUNTIF('Letterboxd Watched'!$E$2:$E$3000,M673)&gt;0,1,0)</f>
        <v>0</v>
      </c>
      <c r="H673" s="4" t="n">
        <v>2</v>
      </c>
      <c r="I673" s="4" t="s">
        <v>213</v>
      </c>
      <c r="J673" s="4" t="s">
        <v>52</v>
      </c>
      <c r="K673" s="4" t="s">
        <v>4058</v>
      </c>
      <c r="L673" s="48" t="str">
        <f aca="false">HYPERLINK("https://boxd.it/2b34","open")</f>
        <v>open</v>
      </c>
      <c r="M673" s="4" t="str">
        <f aca="false">LOWER(A673)&amp;"|"&amp;B673</f>
        <v>dracula|1931</v>
      </c>
      <c r="N673" s="4" t="n">
        <v>0</v>
      </c>
      <c r="O673" s="4" t="n">
        <v>0</v>
      </c>
      <c r="P673" s="4" t="n">
        <v>0</v>
      </c>
      <c r="Q673" s="4" t="n">
        <v>1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</row>
    <row r="674" customFormat="false" ht="15" hidden="false" customHeight="false" outlineLevel="0" collapsed="false">
      <c r="A674" s="4" t="s">
        <v>1454</v>
      </c>
      <c r="B674" s="4" t="n">
        <v>1958</v>
      </c>
      <c r="C674" s="4" t="str">
        <f aca="false">FLOOR(B674,10)&amp;"s"</f>
        <v>1950s</v>
      </c>
      <c r="D674" s="4" t="s">
        <v>1453</v>
      </c>
      <c r="E674" s="25" t="str">
        <f aca="false">IF(G674=1,"✓","")</f>
        <v/>
      </c>
      <c r="F674" s="4" t="n">
        <v>1</v>
      </c>
      <c r="G674" s="4" t="n">
        <f aca="false">IF(COUNTIF('Letterboxd Watched'!$E$2:$E$3000,M674)&gt;0,1,0)</f>
        <v>0</v>
      </c>
      <c r="H674" s="4" t="n">
        <v>3</v>
      </c>
      <c r="I674" s="4" t="s">
        <v>144</v>
      </c>
      <c r="J674" s="4" t="s">
        <v>52</v>
      </c>
      <c r="K674" s="4" t="s">
        <v>4062</v>
      </c>
      <c r="L674" s="48" t="str">
        <f aca="false">HYPERLINK("https://boxd.it/1STA","open")</f>
        <v>open</v>
      </c>
      <c r="M674" s="4" t="str">
        <f aca="false">LOWER(A674)&amp;"|"&amp;B674</f>
        <v>dracula|1958</v>
      </c>
      <c r="N674" s="4" t="n">
        <v>0</v>
      </c>
      <c r="O674" s="4" t="n">
        <v>0</v>
      </c>
      <c r="P674" s="4" t="n">
        <v>0</v>
      </c>
      <c r="Q674" s="4" t="n">
        <v>1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</row>
    <row r="675" customFormat="false" ht="15" hidden="false" customHeight="false" outlineLevel="0" collapsed="false">
      <c r="A675" s="4" t="s">
        <v>2101</v>
      </c>
      <c r="B675" s="4" t="n">
        <v>1967</v>
      </c>
      <c r="C675" s="4" t="str">
        <f aca="false">FLOOR(B675,10)&amp;"s"</f>
        <v>1960s</v>
      </c>
      <c r="D675" s="4" t="s">
        <v>1483</v>
      </c>
      <c r="E675" s="25" t="str">
        <f aca="false">IF(G675=1,"✓","")</f>
        <v/>
      </c>
      <c r="F675" s="4" t="n">
        <v>1</v>
      </c>
      <c r="G675" s="4" t="n">
        <f aca="false">IF(COUNTIF('Letterboxd Watched'!$E$2:$E$3000,M675)&gt;0,1,0)</f>
        <v>0</v>
      </c>
      <c r="H675" s="4" t="n">
        <v>2</v>
      </c>
      <c r="I675" s="4" t="s">
        <v>213</v>
      </c>
      <c r="J675" s="4" t="s">
        <v>51</v>
      </c>
      <c r="K675" s="4" t="s">
        <v>4014</v>
      </c>
      <c r="L675" s="48" t="str">
        <f aca="false">HYPERLINK("https://boxd.it/3xGa","open")</f>
        <v>open</v>
      </c>
      <c r="M675" s="4" t="str">
        <f aca="false">LOWER(A675)&amp;"|"&amp;B675</f>
        <v>dragon inn|1967</v>
      </c>
      <c r="N675" s="4" t="n">
        <v>0</v>
      </c>
      <c r="O675" s="4" t="n">
        <v>0</v>
      </c>
      <c r="P675" s="4" t="n">
        <v>1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</row>
    <row r="676" customFormat="false" ht="15" hidden="false" customHeight="false" outlineLevel="0" collapsed="false">
      <c r="A676" s="4" t="s">
        <v>1377</v>
      </c>
      <c r="B676" s="4" t="n">
        <v>1990</v>
      </c>
      <c r="C676" s="4" t="str">
        <f aca="false">FLOOR(B676,10)&amp;"s"</f>
        <v>1990s</v>
      </c>
      <c r="D676" s="4" t="s">
        <v>156</v>
      </c>
      <c r="E676" s="25" t="str">
        <f aca="false">IF(G676=1,"✓","")</f>
        <v/>
      </c>
      <c r="F676" s="4" t="n">
        <v>2</v>
      </c>
      <c r="G676" s="4" t="n">
        <f aca="false">IF(COUNTIF('Letterboxd Watched'!$E$2:$E$3000,M676)&gt;0,1,0)</f>
        <v>0</v>
      </c>
      <c r="H676" s="4" t="n">
        <v>3</v>
      </c>
      <c r="I676" s="4" t="s">
        <v>213</v>
      </c>
      <c r="J676" s="4" t="s">
        <v>53</v>
      </c>
      <c r="K676" s="4" t="s">
        <v>5363</v>
      </c>
      <c r="L676" s="48" t="str">
        <f aca="false">HYPERLINK("https://boxd.it/1ROu","open")</f>
        <v>open</v>
      </c>
      <c r="M676" s="4" t="str">
        <f aca="false">LOWER(A676)&amp;"|"&amp;B676</f>
        <v>dreams|1990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1</v>
      </c>
      <c r="S676" s="4" t="n">
        <v>0</v>
      </c>
      <c r="T676" s="4" t="n">
        <v>0</v>
      </c>
      <c r="U676" s="4" t="n">
        <v>1</v>
      </c>
      <c r="V676" s="4" t="n">
        <v>0</v>
      </c>
      <c r="W676" s="4" t="n">
        <v>0</v>
      </c>
    </row>
    <row r="677" customFormat="false" ht="15" hidden="false" customHeight="false" outlineLevel="0" collapsed="false">
      <c r="A677" s="4" t="s">
        <v>3800</v>
      </c>
      <c r="B677" s="4" t="n">
        <v>2012</v>
      </c>
      <c r="C677" s="4" t="str">
        <f aca="false">FLOOR(B677,10)&amp;"s"</f>
        <v>2010s</v>
      </c>
      <c r="D677" s="4" t="s">
        <v>3801</v>
      </c>
      <c r="E677" s="25" t="str">
        <f aca="false">IF(G677=1,"✓","")</f>
        <v/>
      </c>
      <c r="F677" s="4" t="n">
        <v>1</v>
      </c>
      <c r="G677" s="4" t="n">
        <f aca="false">IF(COUNTIF('Letterboxd Watched'!$E$2:$E$3000,M677)&gt;0,1,0)</f>
        <v>0</v>
      </c>
      <c r="H677" s="4" t="n">
        <v>1</v>
      </c>
      <c r="I677" s="4" t="s">
        <v>1327</v>
      </c>
      <c r="J677" s="4" t="s">
        <v>52</v>
      </c>
      <c r="K677" s="4" t="s">
        <v>4160</v>
      </c>
      <c r="L677" s="48" t="str">
        <f aca="false">HYPERLINK("https://boxd.it/GZE","open")</f>
        <v>open</v>
      </c>
      <c r="M677" s="4" t="str">
        <f aca="false">LOWER(A677)&amp;"|"&amp;B677</f>
        <v>dredd|2012</v>
      </c>
      <c r="N677" s="4" t="n">
        <v>0</v>
      </c>
      <c r="O677" s="4" t="n">
        <v>0</v>
      </c>
      <c r="P677" s="4" t="n">
        <v>0</v>
      </c>
      <c r="Q677" s="4" t="n">
        <v>1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</row>
    <row r="678" customFormat="false" ht="15" hidden="false" customHeight="false" outlineLevel="0" collapsed="false">
      <c r="A678" s="4" t="s">
        <v>679</v>
      </c>
      <c r="B678" s="4" t="n">
        <v>1980</v>
      </c>
      <c r="C678" s="4" t="str">
        <f aca="false">FLOOR(B678,10)&amp;"s"</f>
        <v>1980s</v>
      </c>
      <c r="D678" s="4" t="s">
        <v>488</v>
      </c>
      <c r="E678" s="25" t="str">
        <f aca="false">IF(G678=1,"✓","")</f>
        <v/>
      </c>
      <c r="F678" s="4" t="n">
        <v>3</v>
      </c>
      <c r="G678" s="4" t="n">
        <f aca="false">IF(COUNTIF('Letterboxd Watched'!$E$2:$E$3000,M678)&gt;0,1,0)</f>
        <v>0</v>
      </c>
      <c r="H678" s="4" t="n">
        <v>6</v>
      </c>
      <c r="I678" s="4" t="s">
        <v>213</v>
      </c>
      <c r="J678" s="4" t="s">
        <v>52</v>
      </c>
      <c r="K678" s="4" t="s">
        <v>5251</v>
      </c>
      <c r="L678" s="48" t="str">
        <f aca="false">HYPERLINK("https://boxd.it/1UO8","open")</f>
        <v>open</v>
      </c>
      <c r="M678" s="4" t="str">
        <f aca="false">LOWER(A678)&amp;"|"&amp;B678</f>
        <v>dressed to kill|1980</v>
      </c>
      <c r="N678" s="4" t="n">
        <v>0</v>
      </c>
      <c r="O678" s="4" t="n">
        <v>0</v>
      </c>
      <c r="P678" s="4" t="n">
        <v>0</v>
      </c>
      <c r="Q678" s="4" t="n">
        <v>1</v>
      </c>
      <c r="R678" s="4" t="n">
        <v>1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</row>
    <row r="679" customFormat="false" ht="15" hidden="false" customHeight="false" outlineLevel="0" collapsed="false">
      <c r="A679" s="4" t="s">
        <v>2644</v>
      </c>
      <c r="B679" s="4" t="n">
        <v>1996</v>
      </c>
      <c r="C679" s="4" t="str">
        <f aca="false">FLOOR(B679,10)&amp;"s"</f>
        <v>1990s</v>
      </c>
      <c r="D679" s="4" t="s">
        <v>1155</v>
      </c>
      <c r="E679" s="25" t="str">
        <f aca="false">IF(G679=1,"✓","")</f>
        <v/>
      </c>
      <c r="F679" s="4" t="n">
        <v>1</v>
      </c>
      <c r="G679" s="4" t="n">
        <f aca="false">IF(COUNTIF('Letterboxd Watched'!$E$2:$E$3000,M679)&gt;0,1,0)</f>
        <v>0</v>
      </c>
      <c r="H679" s="4" t="n">
        <v>2</v>
      </c>
      <c r="I679" s="4" t="s">
        <v>213</v>
      </c>
      <c r="J679" s="4" t="s">
        <v>53</v>
      </c>
      <c r="K679" s="4" t="s">
        <v>4240</v>
      </c>
      <c r="L679" s="48" t="str">
        <f aca="false">HYPERLINK("https://letterboxd.com/search/films/Drifting+Clouds+1996/","open")</f>
        <v>open</v>
      </c>
      <c r="M679" s="4" t="str">
        <f aca="false">LOWER(A679)&amp;"|"&amp;B679</f>
        <v>drifting clouds|1996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1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</row>
    <row r="680" customFormat="false" ht="15" hidden="false" customHeight="false" outlineLevel="0" collapsed="false">
      <c r="A680" s="4" t="s">
        <v>3815</v>
      </c>
      <c r="B680" s="4" t="n">
        <v>2013</v>
      </c>
      <c r="C680" s="4" t="str">
        <f aca="false">FLOOR(B680,10)&amp;"s"</f>
        <v>2010s</v>
      </c>
      <c r="D680" s="4" t="s">
        <v>2889</v>
      </c>
      <c r="E680" s="25" t="str">
        <f aca="false">IF(G680=1,"✓","")</f>
        <v/>
      </c>
      <c r="F680" s="4" t="n">
        <v>1</v>
      </c>
      <c r="G680" s="4" t="n">
        <f aca="false">IF(COUNTIF('Letterboxd Watched'!$E$2:$E$3000,M680)&gt;0,1,0)</f>
        <v>0</v>
      </c>
      <c r="H680" s="4" t="n">
        <v>1</v>
      </c>
      <c r="I680" s="4" t="s">
        <v>1327</v>
      </c>
      <c r="J680" s="4" t="s">
        <v>54</v>
      </c>
      <c r="K680" s="4" t="s">
        <v>4312</v>
      </c>
      <c r="L680" s="48" t="str">
        <f aca="false">HYPERLINK("https://boxd.it/5jhk","open")</f>
        <v>open</v>
      </c>
      <c r="M680" s="4" t="str">
        <f aca="false">LOWER(A680)&amp;"|"&amp;B680</f>
        <v>drinking buddies|2013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1</v>
      </c>
      <c r="T680" s="4" t="n">
        <v>0</v>
      </c>
      <c r="U680" s="4" t="n">
        <v>0</v>
      </c>
      <c r="V680" s="4" t="n">
        <v>0</v>
      </c>
      <c r="W680" s="4" t="n">
        <v>0</v>
      </c>
    </row>
    <row r="681" customFormat="false" ht="15" hidden="false" customHeight="false" outlineLevel="0" collapsed="false">
      <c r="A681" s="4" t="s">
        <v>520</v>
      </c>
      <c r="B681" s="4" t="n">
        <v>2011</v>
      </c>
      <c r="C681" s="4" t="str">
        <f aca="false">FLOOR(B681,10)&amp;"s"</f>
        <v>2010s</v>
      </c>
      <c r="D681" s="4" t="s">
        <v>521</v>
      </c>
      <c r="E681" s="25" t="str">
        <f aca="false">IF(G681=1,"✓","")</f>
        <v/>
      </c>
      <c r="F681" s="4" t="n">
        <v>3</v>
      </c>
      <c r="G681" s="4" t="n">
        <f aca="false">IF(COUNTIF('Letterboxd Watched'!$E$2:$E$3000,M681)&gt;0,1,0)</f>
        <v>0</v>
      </c>
      <c r="H681" s="4" t="n">
        <v>7</v>
      </c>
      <c r="I681" s="4" t="s">
        <v>144</v>
      </c>
      <c r="J681" s="4" t="s">
        <v>52</v>
      </c>
      <c r="K681" s="4" t="s">
        <v>5364</v>
      </c>
      <c r="L681" s="48" t="str">
        <f aca="false">HYPERLINK("https://boxd.it/IG","open")</f>
        <v>open</v>
      </c>
      <c r="M681" s="4" t="str">
        <f aca="false">LOWER(A681)&amp;"|"&amp;B681</f>
        <v>drive|2011</v>
      </c>
      <c r="N681" s="4" t="n">
        <v>0</v>
      </c>
      <c r="O681" s="4" t="n">
        <v>0</v>
      </c>
      <c r="P681" s="4" t="n">
        <v>0</v>
      </c>
      <c r="Q681" s="4" t="n">
        <v>1</v>
      </c>
      <c r="R681" s="4" t="n">
        <v>0</v>
      </c>
      <c r="S681" s="4" t="n">
        <v>0</v>
      </c>
      <c r="T681" s="4" t="n">
        <v>0</v>
      </c>
      <c r="U681" s="4" t="n">
        <v>1</v>
      </c>
      <c r="V681" s="4" t="n">
        <v>0</v>
      </c>
      <c r="W681" s="4" t="n">
        <v>1</v>
      </c>
    </row>
    <row r="682" customFormat="false" ht="15" hidden="false" customHeight="false" outlineLevel="0" collapsed="false">
      <c r="A682" s="4" t="s">
        <v>880</v>
      </c>
      <c r="B682" s="4" t="n">
        <v>2021</v>
      </c>
      <c r="C682" s="4" t="str">
        <f aca="false">FLOOR(B682,10)&amp;"s"</f>
        <v>2020s</v>
      </c>
      <c r="D682" s="4" t="s">
        <v>881</v>
      </c>
      <c r="E682" s="25" t="str">
        <f aca="false">IF(G682=1,"✓","")</f>
        <v/>
      </c>
      <c r="F682" s="4" t="n">
        <v>2</v>
      </c>
      <c r="G682" s="4" t="n">
        <f aca="false">IF(COUNTIF('Letterboxd Watched'!$E$2:$E$3000,M682)&gt;0,1,0)</f>
        <v>0</v>
      </c>
      <c r="H682" s="4" t="n">
        <v>5</v>
      </c>
      <c r="I682" s="4" t="s">
        <v>144</v>
      </c>
      <c r="J682" s="4" t="s">
        <v>50</v>
      </c>
      <c r="K682" s="4" t="s">
        <v>5365</v>
      </c>
      <c r="L682" s="48" t="str">
        <f aca="false">HYPERLINK("https://boxd.it/sv94","open")</f>
        <v>open</v>
      </c>
      <c r="M682" s="4" t="str">
        <f aca="false">LOWER(A682)&amp;"|"&amp;B682</f>
        <v>drive my car|2021</v>
      </c>
      <c r="N682" s="4" t="n">
        <v>0</v>
      </c>
      <c r="O682" s="4" t="n">
        <v>1</v>
      </c>
      <c r="P682" s="4" t="n">
        <v>1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</row>
    <row r="683" customFormat="false" ht="15" hidden="false" customHeight="false" outlineLevel="0" collapsed="false">
      <c r="A683" s="4" t="s">
        <v>1512</v>
      </c>
      <c r="B683" s="4" t="n">
        <v>1978</v>
      </c>
      <c r="C683" s="4" t="str">
        <f aca="false">FLOOR(B683,10)&amp;"s"</f>
        <v>1970s</v>
      </c>
      <c r="D683" s="4" t="s">
        <v>1513</v>
      </c>
      <c r="E683" s="25" t="str">
        <f aca="false">IF(G683=1,"✓","")</f>
        <v/>
      </c>
      <c r="F683" s="4" t="n">
        <v>1</v>
      </c>
      <c r="G683" s="4" t="n">
        <f aca="false">IF(COUNTIF('Letterboxd Watched'!$E$2:$E$3000,M683)&gt;0,1,0)</f>
        <v>0</v>
      </c>
      <c r="H683" s="4" t="n">
        <v>3</v>
      </c>
      <c r="I683" s="4" t="s">
        <v>144</v>
      </c>
      <c r="J683" s="4" t="s">
        <v>58</v>
      </c>
      <c r="K683" s="4" t="s">
        <v>4478</v>
      </c>
      <c r="L683" s="48" t="str">
        <f aca="false">HYPERLINK("https://boxd.it/27jW","open")</f>
        <v>open</v>
      </c>
      <c r="M683" s="4" t="str">
        <f aca="false">LOWER(A683)&amp;"|"&amp;B683</f>
        <v>the driver|1978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1</v>
      </c>
    </row>
    <row r="684" customFormat="false" ht="15" hidden="false" customHeight="false" outlineLevel="0" collapsed="false">
      <c r="A684" s="4" t="s">
        <v>1858</v>
      </c>
      <c r="B684" s="4" t="n">
        <v>1948</v>
      </c>
      <c r="C684" s="4" t="str">
        <f aca="false">FLOOR(B684,10)&amp;"s"</f>
        <v>1940s</v>
      </c>
      <c r="D684" s="4" t="s">
        <v>156</v>
      </c>
      <c r="E684" s="25" t="str">
        <f aca="false">IF(G684=1,"✓","")</f>
        <v/>
      </c>
      <c r="F684" s="4" t="n">
        <v>1</v>
      </c>
      <c r="G684" s="4" t="n">
        <f aca="false">IF(COUNTIF('Letterboxd Watched'!$E$2:$E$3000,M684)&gt;0,1,0)</f>
        <v>0</v>
      </c>
      <c r="H684" s="4" t="n">
        <v>2</v>
      </c>
      <c r="I684" s="4" t="s">
        <v>213</v>
      </c>
      <c r="J684" s="4" t="s">
        <v>53</v>
      </c>
      <c r="K684" s="4" t="s">
        <v>156</v>
      </c>
      <c r="L684" s="48" t="str">
        <f aca="false">HYPERLINK("https://boxd.it/1uYQ","open")</f>
        <v>open</v>
      </c>
      <c r="M684" s="4" t="str">
        <f aca="false">LOWER(A684)&amp;"|"&amp;B684</f>
        <v>drunken angel|1948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1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</row>
    <row r="685" customFormat="false" ht="15" hidden="false" customHeight="false" outlineLevel="0" collapsed="false">
      <c r="A685" s="4" t="s">
        <v>2579</v>
      </c>
      <c r="B685" s="4" t="n">
        <v>1994</v>
      </c>
      <c r="C685" s="4" t="str">
        <f aca="false">FLOOR(B685,10)&amp;"s"</f>
        <v>1990s</v>
      </c>
      <c r="D685" s="4" t="s">
        <v>2306</v>
      </c>
      <c r="E685" s="25" t="str">
        <f aca="false">IF(G685=1,"✓","")</f>
        <v/>
      </c>
      <c r="F685" s="4" t="n">
        <v>1</v>
      </c>
      <c r="G685" s="4" t="n">
        <f aca="false">IF(COUNTIF('Letterboxd Watched'!$E$2:$E$3000,M685)&gt;0,1,0)</f>
        <v>0</v>
      </c>
      <c r="H685" s="4" t="n">
        <v>2</v>
      </c>
      <c r="I685" s="4" t="s">
        <v>213</v>
      </c>
      <c r="J685" s="4" t="s">
        <v>51</v>
      </c>
      <c r="K685" s="4" t="s">
        <v>4012</v>
      </c>
      <c r="L685" s="48" t="str">
        <f aca="false">HYPERLINK("https://boxd.it/1Si0","open")</f>
        <v>open</v>
      </c>
      <c r="M685" s="4" t="str">
        <f aca="false">LOWER(A685)&amp;"|"&amp;B685</f>
        <v>drunken master ii|1994</v>
      </c>
      <c r="N685" s="4" t="n">
        <v>0</v>
      </c>
      <c r="O685" s="4" t="n">
        <v>0</v>
      </c>
      <c r="P685" s="4" t="n">
        <v>1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</row>
    <row r="686" customFormat="false" ht="15" hidden="false" customHeight="false" outlineLevel="0" collapsed="false">
      <c r="A686" s="4" t="s">
        <v>1328</v>
      </c>
      <c r="B686" s="4" t="n">
        <v>1964</v>
      </c>
      <c r="C686" s="4" t="str">
        <f aca="false">FLOOR(B686,10)&amp;"s"</f>
        <v>1960s</v>
      </c>
      <c r="D686" s="4" t="s">
        <v>1329</v>
      </c>
      <c r="E686" s="25" t="str">
        <f aca="false">IF(G686=1,"✓","")</f>
        <v/>
      </c>
      <c r="F686" s="4" t="n">
        <v>2</v>
      </c>
      <c r="G686" s="4" t="n">
        <f aca="false">IF(COUNTIF('Letterboxd Watched'!$E$2:$E$3000,M686)&gt;0,1,0)</f>
        <v>0</v>
      </c>
      <c r="H686" s="4" t="n">
        <v>3</v>
      </c>
      <c r="I686" s="4" t="s">
        <v>213</v>
      </c>
      <c r="J686" s="4" t="s">
        <v>51</v>
      </c>
      <c r="K686" s="4" t="s">
        <v>5366</v>
      </c>
      <c r="L686" s="48" t="str">
        <f aca="false">HYPERLINK("https://letterboxd.com/search/films/Dry+Summer+1964/","open")</f>
        <v>open</v>
      </c>
      <c r="M686" s="4" t="str">
        <f aca="false">LOWER(A686)&amp;"|"&amp;B686</f>
        <v>dry summer|1964</v>
      </c>
      <c r="N686" s="4" t="n">
        <v>0</v>
      </c>
      <c r="O686" s="4" t="n">
        <v>0</v>
      </c>
      <c r="P686" s="4" t="n">
        <v>1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1</v>
      </c>
      <c r="W686" s="4" t="n">
        <v>0</v>
      </c>
    </row>
    <row r="687" customFormat="false" ht="15" hidden="false" customHeight="false" outlineLevel="0" collapsed="false">
      <c r="A687" s="4" t="s">
        <v>449</v>
      </c>
      <c r="B687" s="4" t="n">
        <v>1933</v>
      </c>
      <c r="C687" s="4" t="str">
        <f aca="false">FLOOR(B687,10)&amp;"s"</f>
        <v>1930s</v>
      </c>
      <c r="D687" s="4" t="s">
        <v>450</v>
      </c>
      <c r="E687" s="25" t="str">
        <f aca="false">IF(G687=1,"✓","")</f>
        <v/>
      </c>
      <c r="F687" s="4" t="n">
        <v>3</v>
      </c>
      <c r="G687" s="4" t="n">
        <f aca="false">IF(COUNTIF('Letterboxd Watched'!$E$2:$E$3000,M687)&gt;0,1,0)</f>
        <v>0</v>
      </c>
      <c r="H687" s="4" t="n">
        <v>7</v>
      </c>
      <c r="I687" s="4" t="s">
        <v>144</v>
      </c>
      <c r="J687" s="4" t="s">
        <v>50</v>
      </c>
      <c r="K687" s="4" t="s">
        <v>5367</v>
      </c>
      <c r="L687" s="48" t="str">
        <f aca="false">HYPERLINK("https://boxd.it/25PG","open")</f>
        <v>open</v>
      </c>
      <c r="M687" s="4" t="str">
        <f aca="false">LOWER(A687)&amp;"|"&amp;B687</f>
        <v>duck soup|1933</v>
      </c>
      <c r="N687" s="4" t="n">
        <v>0</v>
      </c>
      <c r="O687" s="4" t="n">
        <v>1</v>
      </c>
      <c r="P687" s="4" t="n">
        <v>0</v>
      </c>
      <c r="Q687" s="4" t="n">
        <v>1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1</v>
      </c>
      <c r="W687" s="4" t="n">
        <v>0</v>
      </c>
    </row>
    <row r="688" customFormat="false" ht="15" hidden="false" customHeight="false" outlineLevel="0" collapsed="false">
      <c r="A688" s="4" t="s">
        <v>1011</v>
      </c>
      <c r="B688" s="4" t="n">
        <v>1971</v>
      </c>
      <c r="C688" s="4" t="str">
        <f aca="false">FLOOR(B688,10)&amp;"s"</f>
        <v>1970s</v>
      </c>
      <c r="D688" s="4" t="s">
        <v>395</v>
      </c>
      <c r="E688" s="25" t="str">
        <f aca="false">IF(G688=1,"✓","")</f>
        <v/>
      </c>
      <c r="F688" s="4" t="n">
        <v>2</v>
      </c>
      <c r="G688" s="4" t="n">
        <f aca="false">IF(COUNTIF('Letterboxd Watched'!$E$2:$E$3000,M688)&gt;0,1,0)</f>
        <v>0</v>
      </c>
      <c r="H688" s="4" t="n">
        <v>4</v>
      </c>
      <c r="I688" s="4" t="s">
        <v>213</v>
      </c>
      <c r="J688" s="4" t="s">
        <v>51</v>
      </c>
      <c r="K688" s="4" t="s">
        <v>5368</v>
      </c>
      <c r="L688" s="48" t="str">
        <f aca="false">HYPERLINK("https://boxd.it/2ayU","open")</f>
        <v>open</v>
      </c>
      <c r="M688" s="4" t="str">
        <f aca="false">LOWER(A688)&amp;"|"&amp;B688</f>
        <v>duck, you sucker|1971</v>
      </c>
      <c r="N688" s="4" t="n">
        <v>0</v>
      </c>
      <c r="O688" s="4" t="n">
        <v>0</v>
      </c>
      <c r="P688" s="4" t="n">
        <v>1</v>
      </c>
      <c r="Q688" s="4" t="n">
        <v>0</v>
      </c>
      <c r="R688" s="4" t="n">
        <v>1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</row>
    <row r="689" customFormat="false" ht="15" hidden="false" customHeight="false" outlineLevel="0" collapsed="false">
      <c r="A689" s="4" t="s">
        <v>1014</v>
      </c>
      <c r="B689" s="4" t="n">
        <v>1971</v>
      </c>
      <c r="C689" s="4" t="str">
        <f aca="false">FLOOR(B689,10)&amp;"s"</f>
        <v>1970s</v>
      </c>
      <c r="D689" s="4" t="s">
        <v>183</v>
      </c>
      <c r="E689" s="25" t="str">
        <f aca="false">IF(G689=1,"✓","")</f>
        <v/>
      </c>
      <c r="F689" s="4" t="n">
        <v>2</v>
      </c>
      <c r="G689" s="4" t="n">
        <f aca="false">IF(COUNTIF('Letterboxd Watched'!$E$2:$E$3000,M689)&gt;0,1,0)</f>
        <v>0</v>
      </c>
      <c r="H689" s="4" t="n">
        <v>4</v>
      </c>
      <c r="I689" s="4" t="s">
        <v>213</v>
      </c>
      <c r="J689" s="4" t="s">
        <v>53</v>
      </c>
      <c r="K689" s="4" t="s">
        <v>5369</v>
      </c>
      <c r="L689" s="48" t="str">
        <f aca="false">HYPERLINK("https://boxd.it/29ui","open")</f>
        <v>open</v>
      </c>
      <c r="M689" s="4" t="str">
        <f aca="false">LOWER(A689)&amp;"|"&amp;B689</f>
        <v>duel|1971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1</v>
      </c>
      <c r="S689" s="4" t="n">
        <v>0</v>
      </c>
      <c r="T689" s="4" t="n">
        <v>0</v>
      </c>
      <c r="U689" s="4" t="n">
        <v>1</v>
      </c>
      <c r="V689" s="4" t="n">
        <v>0</v>
      </c>
      <c r="W689" s="4" t="n">
        <v>0</v>
      </c>
    </row>
    <row r="690" customFormat="false" ht="15" hidden="false" customHeight="false" outlineLevel="0" collapsed="false">
      <c r="A690" s="4" t="s">
        <v>3494</v>
      </c>
      <c r="B690" s="4" t="n">
        <v>1971</v>
      </c>
      <c r="C690" s="4" t="str">
        <f aca="false">FLOOR(B690,10)&amp;"s"</f>
        <v>1970s</v>
      </c>
      <c r="D690" s="4" t="s">
        <v>3495</v>
      </c>
      <c r="E690" s="25" t="str">
        <f aca="false">IF(G690=1,"✓","")</f>
        <v/>
      </c>
      <c r="F690" s="4" t="n">
        <v>1</v>
      </c>
      <c r="G690" s="4" t="n">
        <f aca="false">IF(COUNTIF('Letterboxd Watched'!$E$2:$E$3000,M690)&gt;0,1,0)</f>
        <v>0</v>
      </c>
      <c r="H690" s="4" t="n">
        <v>1</v>
      </c>
      <c r="I690" s="4" t="s">
        <v>1327</v>
      </c>
      <c r="J690" s="4" t="s">
        <v>57</v>
      </c>
      <c r="K690" s="4" t="s">
        <v>4442</v>
      </c>
      <c r="L690" s="48" t="str">
        <f aca="false">HYPERLINK("https://letterboxd.com/search/films/Duffer+1971/","open")</f>
        <v>open</v>
      </c>
      <c r="M690" s="4" t="str">
        <f aca="false">LOWER(A690)&amp;"|"&amp;B690</f>
        <v>duffer|1971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1</v>
      </c>
      <c r="W690" s="4" t="n">
        <v>0</v>
      </c>
    </row>
    <row r="691" customFormat="false" ht="15" hidden="false" customHeight="false" outlineLevel="0" collapsed="false">
      <c r="A691" s="4" t="s">
        <v>2582</v>
      </c>
      <c r="B691" s="4" t="n">
        <v>1994</v>
      </c>
      <c r="C691" s="4" t="str">
        <f aca="false">FLOOR(B691,10)&amp;"s"</f>
        <v>1990s</v>
      </c>
      <c r="D691" s="4" t="s">
        <v>2583</v>
      </c>
      <c r="E691" s="25" t="str">
        <f aca="false">IF(G691=1,"✓","")</f>
        <v>✓</v>
      </c>
      <c r="F691" s="4" t="n">
        <v>1</v>
      </c>
      <c r="G691" s="4" t="n">
        <f aca="false">IF(COUNTIF('Letterboxd Watched'!$E$2:$E$3000,M691)&gt;0,1,0)</f>
        <v>1</v>
      </c>
      <c r="H691" s="4" t="n">
        <v>2</v>
      </c>
      <c r="I691" s="4" t="s">
        <v>213</v>
      </c>
      <c r="J691" s="4" t="s">
        <v>52</v>
      </c>
      <c r="K691" s="4" t="s">
        <v>4108</v>
      </c>
      <c r="L691" s="48" t="str">
        <f aca="false">HYPERLINK("https://boxd.it/206m","open")</f>
        <v>open</v>
      </c>
      <c r="M691" s="4" t="str">
        <f aca="false">LOWER(A691)&amp;"|"&amp;B691</f>
        <v>dumb and dumber|1994</v>
      </c>
      <c r="N691" s="4" t="n">
        <v>0</v>
      </c>
      <c r="O691" s="4" t="n">
        <v>0</v>
      </c>
      <c r="P691" s="4" t="n">
        <v>0</v>
      </c>
      <c r="Q691" s="4" t="n">
        <v>1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</row>
    <row r="692" customFormat="false" ht="15" hidden="false" customHeight="false" outlineLevel="0" collapsed="false">
      <c r="A692" s="4" t="s">
        <v>1794</v>
      </c>
      <c r="B692" s="4" t="n">
        <v>1941</v>
      </c>
      <c r="C692" s="4" t="str">
        <f aca="false">FLOOR(B692,10)&amp;"s"</f>
        <v>1940s</v>
      </c>
      <c r="D692" s="4" t="s">
        <v>1795</v>
      </c>
      <c r="E692" s="25" t="str">
        <f aca="false">IF(G692=1,"✓","")</f>
        <v/>
      </c>
      <c r="F692" s="4" t="n">
        <v>1</v>
      </c>
      <c r="G692" s="4" t="n">
        <f aca="false">IF(COUNTIF('Letterboxd Watched'!$E$2:$E$3000,M692)&gt;0,1,0)</f>
        <v>0</v>
      </c>
      <c r="H692" s="4" t="n">
        <v>2</v>
      </c>
      <c r="I692" s="4" t="s">
        <v>213</v>
      </c>
      <c r="J692" s="4" t="s">
        <v>52</v>
      </c>
      <c r="K692" s="4" t="s">
        <v>4162</v>
      </c>
      <c r="L692" s="48" t="str">
        <f aca="false">HYPERLINK("https://boxd.it/1U2o","open")</f>
        <v>open</v>
      </c>
      <c r="M692" s="4" t="str">
        <f aca="false">LOWER(A692)&amp;"|"&amp;B692</f>
        <v>dumbo|1941</v>
      </c>
      <c r="N692" s="4" t="n">
        <v>0</v>
      </c>
      <c r="O692" s="4" t="n">
        <v>0</v>
      </c>
      <c r="P692" s="4" t="n">
        <v>0</v>
      </c>
      <c r="Q692" s="4" t="n">
        <v>1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</row>
    <row r="693" customFormat="false" ht="15" hidden="false" customHeight="false" outlineLevel="0" collapsed="false">
      <c r="A693" s="4" t="s">
        <v>3207</v>
      </c>
      <c r="B693" s="4" t="n">
        <v>1984</v>
      </c>
      <c r="C693" s="4" t="str">
        <f aca="false">FLOOR(B693,10)&amp;"s"</f>
        <v>1980s</v>
      </c>
      <c r="D693" s="4" t="s">
        <v>154</v>
      </c>
      <c r="E693" s="25" t="str">
        <f aca="false">IF(G693=1,"✓","")</f>
        <v/>
      </c>
      <c r="F693" s="4" t="n">
        <v>1</v>
      </c>
      <c r="G693" s="4" t="n">
        <f aca="false">IF(COUNTIF('Letterboxd Watched'!$E$2:$E$3000,M693)&gt;0,1,0)</f>
        <v>0</v>
      </c>
      <c r="H693" s="4" t="n">
        <v>1</v>
      </c>
      <c r="I693" s="4" t="s">
        <v>1327</v>
      </c>
      <c r="J693" s="4" t="s">
        <v>53</v>
      </c>
      <c r="K693" s="4" t="s">
        <v>154</v>
      </c>
      <c r="L693" s="48" t="str">
        <f aca="false">HYPERLINK("https://boxd.it/29tY","open")</f>
        <v>open</v>
      </c>
      <c r="M693" s="4" t="str">
        <f aca="false">LOWER(A693)&amp;"|"&amp;B693</f>
        <v>dune|1984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1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</row>
    <row r="694" customFormat="false" ht="15" hidden="false" customHeight="false" outlineLevel="0" collapsed="false">
      <c r="A694" s="4" t="s">
        <v>3207</v>
      </c>
      <c r="B694" s="4" t="n">
        <v>2021</v>
      </c>
      <c r="C694" s="4" t="str">
        <f aca="false">FLOOR(B694,10)&amp;"s"</f>
        <v>2020s</v>
      </c>
      <c r="D694" s="4" t="s">
        <v>327</v>
      </c>
      <c r="E694" s="25" t="str">
        <f aca="false">IF(G694=1,"✓","")</f>
        <v/>
      </c>
      <c r="F694" s="4" t="n">
        <v>1</v>
      </c>
      <c r="G694" s="4" t="n">
        <f aca="false">IF(COUNTIF('Letterboxd Watched'!$E$2:$E$3000,M694)&gt;0,1,0)</f>
        <v>0</v>
      </c>
      <c r="H694" s="4" t="n">
        <v>2</v>
      </c>
      <c r="I694" s="4" t="s">
        <v>213</v>
      </c>
      <c r="J694" s="4" t="s">
        <v>52</v>
      </c>
      <c r="K694" s="4" t="s">
        <v>4094</v>
      </c>
      <c r="L694" s="48" t="str">
        <f aca="false">HYPERLINK("https://boxd.it/fA7G","open")</f>
        <v>open</v>
      </c>
      <c r="M694" s="4" t="str">
        <f aca="false">LOWER(A694)&amp;"|"&amp;B694</f>
        <v>dune|2021</v>
      </c>
      <c r="N694" s="4" t="n">
        <v>0</v>
      </c>
      <c r="O694" s="4" t="n">
        <v>0</v>
      </c>
      <c r="P694" s="4" t="n">
        <v>0</v>
      </c>
      <c r="Q694" s="4" t="n">
        <v>1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</row>
    <row r="695" customFormat="false" ht="15" hidden="false" customHeight="false" outlineLevel="0" collapsed="false">
      <c r="A695" s="4" t="s">
        <v>3258</v>
      </c>
      <c r="B695" s="4" t="n">
        <v>2024</v>
      </c>
      <c r="C695" s="4" t="str">
        <f aca="false">FLOOR(B695,10)&amp;"s"</f>
        <v>2020s</v>
      </c>
      <c r="D695" s="4" t="s">
        <v>327</v>
      </c>
      <c r="E695" s="25" t="str">
        <f aca="false">IF(G695=1,"✓","")</f>
        <v/>
      </c>
      <c r="F695" s="4" t="n">
        <v>1</v>
      </c>
      <c r="G695" s="4" t="n">
        <f aca="false">IF(COUNTIF('Letterboxd Watched'!$E$2:$E$3000,M695)&gt;0,1,0)</f>
        <v>0</v>
      </c>
      <c r="H695" s="4" t="n">
        <v>2</v>
      </c>
      <c r="I695" s="4" t="s">
        <v>213</v>
      </c>
      <c r="J695" s="4" t="s">
        <v>52</v>
      </c>
      <c r="K695" s="4" t="s">
        <v>4094</v>
      </c>
      <c r="L695" s="48" t="str">
        <f aca="false">HYPERLINK("https://boxd.it/pUfA","open")</f>
        <v>open</v>
      </c>
      <c r="M695" s="4" t="str">
        <f aca="false">LOWER(A695)&amp;"|"&amp;B695</f>
        <v>dune: part two|2024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</row>
    <row r="696" customFormat="false" ht="15" hidden="false" customHeight="false" outlineLevel="0" collapsed="false">
      <c r="A696" s="4" t="s">
        <v>1235</v>
      </c>
      <c r="B696" s="4" t="n">
        <v>2017</v>
      </c>
      <c r="C696" s="4" t="str">
        <f aca="false">FLOOR(B696,10)&amp;"s"</f>
        <v>2010s</v>
      </c>
      <c r="D696" s="4" t="s">
        <v>342</v>
      </c>
      <c r="E696" s="25" t="str">
        <f aca="false">IF(G696=1,"✓","")</f>
        <v/>
      </c>
      <c r="F696" s="4" t="n">
        <v>2</v>
      </c>
      <c r="G696" s="4" t="n">
        <f aca="false">IF(COUNTIF('Letterboxd Watched'!$E$2:$E$3000,M696)&gt;0,1,0)</f>
        <v>0</v>
      </c>
      <c r="H696" s="4" t="n">
        <v>4</v>
      </c>
      <c r="I696" s="4" t="s">
        <v>213</v>
      </c>
      <c r="J696" s="4" t="s">
        <v>52</v>
      </c>
      <c r="K696" s="4" t="s">
        <v>5370</v>
      </c>
      <c r="L696" s="48" t="str">
        <f aca="false">HYPERLINK("https://boxd.it/d0Y6","open")</f>
        <v>open</v>
      </c>
      <c r="M696" s="4" t="str">
        <f aca="false">LOWER(A696)&amp;"|"&amp;B696</f>
        <v>dunkirk|2017</v>
      </c>
      <c r="N696" s="4" t="n">
        <v>0</v>
      </c>
      <c r="O696" s="4" t="n">
        <v>0</v>
      </c>
      <c r="P696" s="4" t="n">
        <v>0</v>
      </c>
      <c r="Q696" s="4" t="n">
        <v>1</v>
      </c>
      <c r="R696" s="4" t="n">
        <v>1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</row>
    <row r="697" customFormat="false" ht="15" hidden="false" customHeight="false" outlineLevel="0" collapsed="false">
      <c r="A697" s="4" t="s">
        <v>3634</v>
      </c>
      <c r="B697" s="4" t="n">
        <v>1986</v>
      </c>
      <c r="C697" s="4" t="str">
        <f aca="false">FLOOR(B697,10)&amp;"s"</f>
        <v>1980s</v>
      </c>
      <c r="D697" s="4" t="s">
        <v>492</v>
      </c>
      <c r="E697" s="25" t="str">
        <f aca="false">IF(G697=1,"✓","")</f>
        <v/>
      </c>
      <c r="F697" s="4" t="n">
        <v>1</v>
      </c>
      <c r="G697" s="4" t="n">
        <f aca="false">IF(COUNTIF('Letterboxd Watched'!$E$2:$E$3000,M697)&gt;0,1,0)</f>
        <v>0</v>
      </c>
      <c r="H697" s="4" t="n">
        <v>1</v>
      </c>
      <c r="I697" s="4" t="s">
        <v>1327</v>
      </c>
      <c r="J697" s="4" t="s">
        <v>51</v>
      </c>
      <c r="K697" s="4" t="s">
        <v>4018</v>
      </c>
      <c r="L697" s="48" t="str">
        <f aca="false">HYPERLINK("https://letterboxd.com/search/films/Dust+in+the+Wind+1986/","open")</f>
        <v>open</v>
      </c>
      <c r="M697" s="4" t="str">
        <f aca="false">LOWER(A697)&amp;"|"&amp;B697</f>
        <v>dust in the wind|1986</v>
      </c>
      <c r="N697" s="4" t="n">
        <v>0</v>
      </c>
      <c r="O697" s="4" t="n">
        <v>0</v>
      </c>
      <c r="P697" s="4" t="n">
        <v>1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</row>
    <row r="698" customFormat="false" ht="15" hidden="false" customHeight="false" outlineLevel="0" collapsed="false">
      <c r="A698" s="4" t="s">
        <v>609</v>
      </c>
      <c r="B698" s="4" t="n">
        <v>1982</v>
      </c>
      <c r="C698" s="4" t="str">
        <f aca="false">FLOOR(B698,10)&amp;"s"</f>
        <v>1980s</v>
      </c>
      <c r="D698" s="4" t="s">
        <v>183</v>
      </c>
      <c r="E698" s="25" t="str">
        <f aca="false">IF(G698=1,"✓","")</f>
        <v>✓</v>
      </c>
      <c r="F698" s="4" t="n">
        <v>3</v>
      </c>
      <c r="G698" s="4" t="n">
        <f aca="false">IF(COUNTIF('Letterboxd Watched'!$E$2:$E$3000,M698)&gt;0,1,0)</f>
        <v>1</v>
      </c>
      <c r="H698" s="4" t="n">
        <v>6</v>
      </c>
      <c r="I698" s="4" t="s">
        <v>213</v>
      </c>
      <c r="J698" s="4" t="s">
        <v>50</v>
      </c>
      <c r="K698" s="4" t="s">
        <v>5371</v>
      </c>
      <c r="L698" s="48" t="str">
        <f aca="false">HYPERLINK("https://boxd.it/2a1G","open")</f>
        <v>open</v>
      </c>
      <c r="M698" s="4" t="str">
        <f aca="false">LOWER(A698)&amp;"|"&amp;B698</f>
        <v>e.t. the extra-terrestrial|1982</v>
      </c>
      <c r="N698" s="4" t="n">
        <v>0</v>
      </c>
      <c r="O698" s="4" t="n">
        <v>1</v>
      </c>
      <c r="P698" s="4" t="n">
        <v>0</v>
      </c>
      <c r="Q698" s="4" t="n">
        <v>0</v>
      </c>
      <c r="R698" s="4" t="n">
        <v>1</v>
      </c>
      <c r="S698" s="4" t="n">
        <v>0</v>
      </c>
      <c r="T698" s="4" t="n">
        <v>0</v>
      </c>
      <c r="U698" s="4" t="n">
        <v>0</v>
      </c>
      <c r="V698" s="4" t="n">
        <v>1</v>
      </c>
      <c r="W698" s="4" t="n">
        <v>0</v>
      </c>
    </row>
    <row r="699" customFormat="false" ht="15" hidden="false" customHeight="false" outlineLevel="0" collapsed="false">
      <c r="A699" s="4" t="s">
        <v>934</v>
      </c>
      <c r="B699" s="4" t="n">
        <v>1951</v>
      </c>
      <c r="C699" s="4" t="str">
        <f aca="false">FLOOR(B699,10)&amp;"s"</f>
        <v>1950s</v>
      </c>
      <c r="D699" s="4" t="s">
        <v>146</v>
      </c>
      <c r="E699" s="25" t="str">
        <f aca="false">IF(G699=1,"✓","")</f>
        <v/>
      </c>
      <c r="F699" s="4" t="n">
        <v>2</v>
      </c>
      <c r="G699" s="4" t="n">
        <f aca="false">IF(COUNTIF('Letterboxd Watched'!$E$2:$E$3000,M699)&gt;0,1,0)</f>
        <v>0</v>
      </c>
      <c r="H699" s="4" t="n">
        <v>4</v>
      </c>
      <c r="I699" s="4" t="s">
        <v>213</v>
      </c>
      <c r="J699" s="4" t="s">
        <v>51</v>
      </c>
      <c r="K699" s="4" t="s">
        <v>5372</v>
      </c>
      <c r="L699" s="48" t="str">
        <f aca="false">HYPERLINK("https://boxd.it/E4G","open")</f>
        <v>open</v>
      </c>
      <c r="M699" s="4" t="str">
        <f aca="false">LOWER(A699)&amp;"|"&amp;B699</f>
        <v>early summer|1951</v>
      </c>
      <c r="N699" s="4" t="n">
        <v>0</v>
      </c>
      <c r="O699" s="4" t="n">
        <v>0</v>
      </c>
      <c r="P699" s="4" t="n">
        <v>1</v>
      </c>
      <c r="Q699" s="4" t="n">
        <v>0</v>
      </c>
      <c r="R699" s="4" t="n">
        <v>1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</row>
    <row r="700" customFormat="false" ht="15" hidden="false" customHeight="false" outlineLevel="0" collapsed="false">
      <c r="A700" s="4" t="s">
        <v>2136</v>
      </c>
      <c r="B700" s="4" t="n">
        <v>1969</v>
      </c>
      <c r="C700" s="4" t="str">
        <f aca="false">FLOOR(B700,10)&amp;"s"</f>
        <v>1960s</v>
      </c>
      <c r="D700" s="4" t="s">
        <v>2137</v>
      </c>
      <c r="E700" s="25" t="str">
        <f aca="false">IF(G700=1,"✓","")</f>
        <v/>
      </c>
      <c r="F700" s="4" t="n">
        <v>1</v>
      </c>
      <c r="G700" s="4" t="n">
        <f aca="false">IF(COUNTIF('Letterboxd Watched'!$E$2:$E$3000,M700)&gt;0,1,0)</f>
        <v>0</v>
      </c>
      <c r="H700" s="4" t="n">
        <v>2</v>
      </c>
      <c r="I700" s="4" t="s">
        <v>213</v>
      </c>
      <c r="J700" s="4" t="s">
        <v>51</v>
      </c>
      <c r="K700" s="4" t="s">
        <v>3996</v>
      </c>
      <c r="L700" s="48" t="str">
        <f aca="false">HYPERLINK("https://letterboxd.com/search/films/Early+Works+1969/","open")</f>
        <v>open</v>
      </c>
      <c r="M700" s="4" t="str">
        <f aca="false">LOWER(A700)&amp;"|"&amp;B700</f>
        <v>early works|1969</v>
      </c>
      <c r="N700" s="4" t="n">
        <v>0</v>
      </c>
      <c r="O700" s="4" t="n">
        <v>0</v>
      </c>
      <c r="P700" s="4" t="n">
        <v>1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</row>
    <row r="701" customFormat="false" ht="15" hidden="false" customHeight="false" outlineLevel="0" collapsed="false">
      <c r="A701" s="4" t="s">
        <v>1897</v>
      </c>
      <c r="B701" s="4" t="n">
        <v>1953</v>
      </c>
      <c r="C701" s="4" t="str">
        <f aca="false">FLOOR(B701,10)&amp;"s"</f>
        <v>1950s</v>
      </c>
      <c r="D701" s="4" t="s">
        <v>1856</v>
      </c>
      <c r="E701" s="25" t="str">
        <f aca="false">IF(G701=1,"✓","")</f>
        <v/>
      </c>
      <c r="F701" s="4" t="n">
        <v>1</v>
      </c>
      <c r="G701" s="4" t="n">
        <f aca="false">IF(COUNTIF('Letterboxd Watched'!$E$2:$E$3000,M701)&gt;0,1,0)</f>
        <v>0</v>
      </c>
      <c r="H701" s="4" t="n">
        <v>2</v>
      </c>
      <c r="I701" s="4" t="s">
        <v>213</v>
      </c>
      <c r="J701" s="4" t="s">
        <v>52</v>
      </c>
      <c r="K701" s="4" t="s">
        <v>4148</v>
      </c>
      <c r="L701" s="48" t="str">
        <f aca="false">HYPERLINK("https://boxd.it/2lom","open")</f>
        <v>open</v>
      </c>
      <c r="M701" s="4" t="str">
        <f aca="false">LOWER(A701)&amp;"|"&amp;B701</f>
        <v>the earrings of madame de...|1953</v>
      </c>
      <c r="N701" s="4" t="n">
        <v>0</v>
      </c>
      <c r="O701" s="4" t="n">
        <v>0</v>
      </c>
      <c r="P701" s="4" t="n">
        <v>0</v>
      </c>
      <c r="Q701" s="4" t="n">
        <v>1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</row>
    <row r="702" customFormat="false" ht="15" hidden="false" customHeight="false" outlineLevel="0" collapsed="false">
      <c r="A702" s="4" t="s">
        <v>1707</v>
      </c>
      <c r="B702" s="4" t="n">
        <v>1930</v>
      </c>
      <c r="C702" s="4" t="str">
        <f aca="false">FLOOR(B702,10)&amp;"s"</f>
        <v>1930s</v>
      </c>
      <c r="D702" s="4" t="s">
        <v>1708</v>
      </c>
      <c r="E702" s="25" t="str">
        <f aca="false">IF(G702=1,"✓","")</f>
        <v/>
      </c>
      <c r="F702" s="4" t="n">
        <v>1</v>
      </c>
      <c r="G702" s="4" t="n">
        <f aca="false">IF(COUNTIF('Letterboxd Watched'!$E$2:$E$3000,M702)&gt;0,1,0)</f>
        <v>0</v>
      </c>
      <c r="H702" s="4" t="n">
        <v>2</v>
      </c>
      <c r="I702" s="4" t="s">
        <v>213</v>
      </c>
      <c r="J702" s="4" t="s">
        <v>50</v>
      </c>
      <c r="K702" s="4" t="s">
        <v>3900</v>
      </c>
      <c r="L702" s="48" t="str">
        <f aca="false">HYPERLINK("https://letterboxd.com/search/films/Earth+1930/","open")</f>
        <v>open</v>
      </c>
      <c r="M702" s="4" t="str">
        <f aca="false">LOWER(A702)&amp;"|"&amp;B702</f>
        <v>earth|1930</v>
      </c>
      <c r="N702" s="4" t="n">
        <v>0</v>
      </c>
      <c r="O702" s="4" t="n">
        <v>1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</row>
    <row r="703" customFormat="false" ht="15" hidden="false" customHeight="false" outlineLevel="0" collapsed="false">
      <c r="A703" s="4" t="s">
        <v>2253</v>
      </c>
      <c r="B703" s="4" t="n">
        <v>1974</v>
      </c>
      <c r="C703" s="4" t="str">
        <f aca="false">FLOOR(B703,10)&amp;"s"</f>
        <v>1970s</v>
      </c>
      <c r="D703" s="4" t="s">
        <v>1807</v>
      </c>
      <c r="E703" s="25" t="str">
        <f aca="false">IF(G703=1,"✓","")</f>
        <v/>
      </c>
      <c r="F703" s="4" t="n">
        <v>1</v>
      </c>
      <c r="G703" s="4" t="n">
        <f aca="false">IF(COUNTIF('Letterboxd Watched'!$E$2:$E$3000,M703)&gt;0,1,0)</f>
        <v>0</v>
      </c>
      <c r="H703" s="4" t="n">
        <v>2</v>
      </c>
      <c r="I703" s="4" t="s">
        <v>213</v>
      </c>
      <c r="J703" s="4" t="s">
        <v>56</v>
      </c>
      <c r="K703" s="4" t="s">
        <v>4388</v>
      </c>
      <c r="L703" s="48" t="str">
        <f aca="false">HYPERLINK("https://boxd.it/1UA6","open")</f>
        <v>open</v>
      </c>
      <c r="M703" s="4" t="str">
        <f aca="false">LOWER(A703)&amp;"|"&amp;B703</f>
        <v>earthquake|1974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1</v>
      </c>
      <c r="V703" s="4" t="n">
        <v>0</v>
      </c>
      <c r="W703" s="4" t="n">
        <v>0</v>
      </c>
    </row>
    <row r="704" customFormat="false" ht="15" hidden="false" customHeight="false" outlineLevel="0" collapsed="false">
      <c r="A704" s="4" t="s">
        <v>1275</v>
      </c>
      <c r="B704" s="4" t="n">
        <v>1955</v>
      </c>
      <c r="C704" s="4" t="str">
        <f aca="false">FLOOR(B704,10)&amp;"s"</f>
        <v>1950s</v>
      </c>
      <c r="D704" s="4" t="s">
        <v>375</v>
      </c>
      <c r="E704" s="25" t="str">
        <f aca="false">IF(G704=1,"✓","")</f>
        <v/>
      </c>
      <c r="F704" s="4" t="n">
        <v>2</v>
      </c>
      <c r="G704" s="4" t="n">
        <f aca="false">IF(COUNTIF('Letterboxd Watched'!$E$2:$E$3000,M704)&gt;0,1,0)</f>
        <v>0</v>
      </c>
      <c r="H704" s="4" t="n">
        <v>4</v>
      </c>
      <c r="I704" s="4" t="s">
        <v>213</v>
      </c>
      <c r="J704" s="4" t="s">
        <v>55</v>
      </c>
      <c r="K704" s="4" t="s">
        <v>5373</v>
      </c>
      <c r="L704" s="48" t="str">
        <f aca="false">HYPERLINK("https://boxd.it/2aQE","open")</f>
        <v>open</v>
      </c>
      <c r="M704" s="4" t="str">
        <f aca="false">LOWER(A704)&amp;"|"&amp;B704</f>
        <v>east of eden|1955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4" t="n">
        <v>1</v>
      </c>
      <c r="U704" s="4" t="n">
        <v>0</v>
      </c>
      <c r="V704" s="4" t="n">
        <v>0</v>
      </c>
      <c r="W704" s="4" t="n">
        <v>0</v>
      </c>
    </row>
    <row r="705" customFormat="false" ht="15" hidden="false" customHeight="false" outlineLevel="0" collapsed="false">
      <c r="A705" s="4" t="s">
        <v>2883</v>
      </c>
      <c r="B705" s="4" t="n">
        <v>2007</v>
      </c>
      <c r="C705" s="4" t="str">
        <f aca="false">FLOOR(B705,10)&amp;"s"</f>
        <v>2000s</v>
      </c>
      <c r="D705" s="4" t="s">
        <v>316</v>
      </c>
      <c r="E705" s="25" t="str">
        <f aca="false">IF(G705=1,"✓","")</f>
        <v>✓</v>
      </c>
      <c r="F705" s="4" t="n">
        <v>1</v>
      </c>
      <c r="G705" s="4" t="n">
        <f aca="false">IF(COUNTIF('Letterboxd Watched'!$E$2:$E$3000,M705)&gt;0,1,0)</f>
        <v>1</v>
      </c>
      <c r="H705" s="4" t="n">
        <v>2</v>
      </c>
      <c r="I705" s="4" t="s">
        <v>213</v>
      </c>
      <c r="J705" s="4" t="s">
        <v>53</v>
      </c>
      <c r="K705" s="4" t="s">
        <v>316</v>
      </c>
      <c r="L705" s="48" t="str">
        <f aca="false">HYPERLINK("https://boxd.it/275q","open")</f>
        <v>open</v>
      </c>
      <c r="M705" s="4" t="str">
        <f aca="false">LOWER(A705)&amp;"|"&amp;B705</f>
        <v>eastern promises|2007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1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</row>
    <row r="706" customFormat="false" ht="15" hidden="false" customHeight="false" outlineLevel="0" collapsed="false">
      <c r="A706" s="4" t="s">
        <v>3324</v>
      </c>
      <c r="B706" s="4" t="n">
        <v>1937</v>
      </c>
      <c r="C706" s="4" t="str">
        <f aca="false">FLOOR(B706,10)&amp;"s"</f>
        <v>1930s</v>
      </c>
      <c r="D706" s="4" t="s">
        <v>3325</v>
      </c>
      <c r="E706" s="25" t="str">
        <f aca="false">IF(G706=1,"✓","")</f>
        <v/>
      </c>
      <c r="F706" s="4" t="n">
        <v>1</v>
      </c>
      <c r="G706" s="4" t="n">
        <f aca="false">IF(COUNTIF('Letterboxd Watched'!$E$2:$E$3000,M706)&gt;0,1,0)</f>
        <v>0</v>
      </c>
      <c r="H706" s="4" t="n">
        <v>1</v>
      </c>
      <c r="I706" s="4" t="s">
        <v>1327</v>
      </c>
      <c r="J706" s="4" t="s">
        <v>52</v>
      </c>
      <c r="K706" s="4" t="s">
        <v>4096</v>
      </c>
      <c r="L706" s="48" t="str">
        <f aca="false">HYPERLINK("https://boxd.it/2NPq","open")</f>
        <v>open</v>
      </c>
      <c r="M706" s="4" t="str">
        <f aca="false">LOWER(A706)&amp;"|"&amp;B706</f>
        <v>easy living|1937</v>
      </c>
      <c r="N706" s="4" t="n">
        <v>0</v>
      </c>
      <c r="O706" s="4" t="n">
        <v>0</v>
      </c>
      <c r="P706" s="4" t="n">
        <v>0</v>
      </c>
      <c r="Q706" s="4" t="n">
        <v>1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</row>
    <row r="707" customFormat="false" ht="15" hidden="false" customHeight="false" outlineLevel="0" collapsed="false">
      <c r="A707" s="4" t="s">
        <v>476</v>
      </c>
      <c r="B707" s="4" t="n">
        <v>1969</v>
      </c>
      <c r="C707" s="4" t="str">
        <f aca="false">FLOOR(B707,10)&amp;"s"</f>
        <v>1960s</v>
      </c>
      <c r="D707" s="4" t="s">
        <v>477</v>
      </c>
      <c r="E707" s="25" t="str">
        <f aca="false">IF(G707=1,"✓","")</f>
        <v/>
      </c>
      <c r="F707" s="4" t="n">
        <v>3</v>
      </c>
      <c r="G707" s="4" t="n">
        <f aca="false">IF(COUNTIF('Letterboxd Watched'!$E$2:$E$3000,M707)&gt;0,1,0)</f>
        <v>0</v>
      </c>
      <c r="H707" s="4" t="n">
        <v>7</v>
      </c>
      <c r="I707" s="4" t="s">
        <v>144</v>
      </c>
      <c r="J707" s="4" t="s">
        <v>50</v>
      </c>
      <c r="K707" s="4" t="s">
        <v>5374</v>
      </c>
      <c r="L707" s="48" t="str">
        <f aca="false">HYPERLINK("https://boxd.it/29Ys","open")</f>
        <v>open</v>
      </c>
      <c r="M707" s="4" t="str">
        <f aca="false">LOWER(A707)&amp;"|"&amp;B707</f>
        <v>easy rider|1969</v>
      </c>
      <c r="N707" s="4" t="n">
        <v>0</v>
      </c>
      <c r="O707" s="4" t="n">
        <v>1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1</v>
      </c>
      <c r="U707" s="4" t="n">
        <v>0</v>
      </c>
      <c r="V707" s="4" t="n">
        <v>1</v>
      </c>
      <c r="W707" s="4" t="n">
        <v>0</v>
      </c>
    </row>
    <row r="708" customFormat="false" ht="15" hidden="false" customHeight="false" outlineLevel="0" collapsed="false">
      <c r="A708" s="4" t="s">
        <v>2597</v>
      </c>
      <c r="B708" s="4" t="n">
        <v>1994</v>
      </c>
      <c r="C708" s="4" t="str">
        <f aca="false">FLOOR(B708,10)&amp;"s"</f>
        <v>1990s</v>
      </c>
      <c r="D708" s="4" t="s">
        <v>1169</v>
      </c>
      <c r="E708" s="25" t="str">
        <f aca="false">IF(G708=1,"✓","")</f>
        <v/>
      </c>
      <c r="F708" s="4" t="n">
        <v>1</v>
      </c>
      <c r="G708" s="4" t="n">
        <f aca="false">IF(COUNTIF('Letterboxd Watched'!$E$2:$E$3000,M708)&gt;0,1,0)</f>
        <v>0</v>
      </c>
      <c r="H708" s="4" t="n">
        <v>2</v>
      </c>
      <c r="I708" s="4" t="s">
        <v>213</v>
      </c>
      <c r="J708" s="4" t="s">
        <v>55</v>
      </c>
      <c r="K708" s="4" t="s">
        <v>4368</v>
      </c>
      <c r="L708" s="48" t="str">
        <f aca="false">HYPERLINK("https://boxd.it/1Wem","open")</f>
        <v>open</v>
      </c>
      <c r="M708" s="4" t="str">
        <f aca="false">LOWER(A708)&amp;"|"&amp;B708</f>
        <v>eat drink man woman|1994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1</v>
      </c>
      <c r="U708" s="4" t="n">
        <v>0</v>
      </c>
      <c r="V708" s="4" t="n">
        <v>0</v>
      </c>
      <c r="W708" s="4" t="n">
        <v>0</v>
      </c>
    </row>
    <row r="709" customFormat="false" ht="15" hidden="false" customHeight="false" outlineLevel="0" collapsed="false">
      <c r="A709" s="4" t="s">
        <v>958</v>
      </c>
      <c r="B709" s="4" t="n">
        <v>1962</v>
      </c>
      <c r="C709" s="4" t="str">
        <f aca="false">FLOOR(B709,10)&amp;"s"</f>
        <v>1960s</v>
      </c>
      <c r="D709" s="4" t="s">
        <v>217</v>
      </c>
      <c r="E709" s="25" t="str">
        <f aca="false">IF(G709=1,"✓","")</f>
        <v/>
      </c>
      <c r="F709" s="4" t="n">
        <v>2</v>
      </c>
      <c r="G709" s="4" t="n">
        <f aca="false">IF(COUNTIF('Letterboxd Watched'!$E$2:$E$3000,M709)&gt;0,1,0)</f>
        <v>0</v>
      </c>
      <c r="H709" s="4" t="n">
        <v>4</v>
      </c>
      <c r="I709" s="4" t="s">
        <v>213</v>
      </c>
      <c r="J709" s="4" t="s">
        <v>51</v>
      </c>
      <c r="K709" s="4" t="s">
        <v>5375</v>
      </c>
      <c r="L709" s="48" t="str">
        <f aca="false">HYPERLINK("https://boxd.it/1CoG","open")</f>
        <v>open</v>
      </c>
      <c r="M709" s="4" t="str">
        <f aca="false">LOWER(A709)&amp;"|"&amp;B709</f>
        <v>l'eclisse|1962</v>
      </c>
      <c r="N709" s="4" t="n">
        <v>0</v>
      </c>
      <c r="O709" s="4" t="n">
        <v>0</v>
      </c>
      <c r="P709" s="4" t="n">
        <v>1</v>
      </c>
      <c r="Q709" s="4" t="n">
        <v>0</v>
      </c>
      <c r="R709" s="4" t="n">
        <v>1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</row>
    <row r="710" customFormat="false" ht="15" hidden="false" customHeight="false" outlineLevel="0" collapsed="false">
      <c r="A710" s="4" t="s">
        <v>1110</v>
      </c>
      <c r="B710" s="4" t="n">
        <v>1994</v>
      </c>
      <c r="C710" s="4" t="str">
        <f aca="false">FLOOR(B710,10)&amp;"s"</f>
        <v>1990s</v>
      </c>
      <c r="D710" s="4" t="s">
        <v>1111</v>
      </c>
      <c r="E710" s="25" t="str">
        <f aca="false">IF(G710=1,"✓","")</f>
        <v/>
      </c>
      <c r="F710" s="4" t="n">
        <v>2</v>
      </c>
      <c r="G710" s="4" t="n">
        <f aca="false">IF(COUNTIF('Letterboxd Watched'!$E$2:$E$3000,M710)&gt;0,1,0)</f>
        <v>0</v>
      </c>
      <c r="H710" s="4" t="n">
        <v>4</v>
      </c>
      <c r="I710" s="4" t="s">
        <v>213</v>
      </c>
      <c r="J710" s="4" t="s">
        <v>54</v>
      </c>
      <c r="K710" s="4" t="s">
        <v>5376</v>
      </c>
      <c r="L710" s="48" t="str">
        <f aca="false">HYPERLINK("https://boxd.it/2adM","open")</f>
        <v>open</v>
      </c>
      <c r="M710" s="4" t="str">
        <f aca="false">LOWER(A710)&amp;"|"&amp;B710</f>
        <v>ed wood|1994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1</v>
      </c>
      <c r="T710" s="4" t="n">
        <v>1</v>
      </c>
      <c r="U710" s="4" t="n">
        <v>0</v>
      </c>
      <c r="V710" s="4" t="n">
        <v>0</v>
      </c>
      <c r="W710" s="4" t="n">
        <v>0</v>
      </c>
    </row>
    <row r="711" customFormat="false" ht="15" hidden="false" customHeight="false" outlineLevel="0" collapsed="false">
      <c r="A711" s="4" t="s">
        <v>3270</v>
      </c>
      <c r="B711" s="4" t="n">
        <v>1894</v>
      </c>
      <c r="C711" s="4" t="str">
        <f aca="false">FLOOR(B711,10)&amp;"s"</f>
        <v>1890s</v>
      </c>
      <c r="D711" s="4" t="s">
        <v>3271</v>
      </c>
      <c r="E711" s="25" t="str">
        <f aca="false">IF(G711=1,"✓","")</f>
        <v>✓</v>
      </c>
      <c r="F711" s="4" t="n">
        <v>1</v>
      </c>
      <c r="G711" s="4" t="n">
        <f aca="false">IF(COUNTIF('Letterboxd Watched'!$E$2:$E$3000,M711)&gt;0,1,0)</f>
        <v>1</v>
      </c>
      <c r="H711" s="4" t="n">
        <v>1</v>
      </c>
      <c r="I711" s="4" t="s">
        <v>1327</v>
      </c>
      <c r="J711" s="4" t="s">
        <v>50</v>
      </c>
      <c r="K711" s="4" t="s">
        <v>3892</v>
      </c>
      <c r="L711" s="48" t="str">
        <f aca="false">HYPERLINK("https://boxd.it/3zn0","open")</f>
        <v>open</v>
      </c>
      <c r="M711" s="4" t="str">
        <f aca="false">LOWER(A711)&amp;"|"&amp;B711</f>
        <v>edison kinetoscopic record of a sneeze|1894</v>
      </c>
      <c r="N711" s="4" t="n">
        <v>0</v>
      </c>
      <c r="O711" s="4" t="n">
        <v>1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</row>
    <row r="712" customFormat="false" ht="15" hidden="false" customHeight="false" outlineLevel="0" collapsed="false">
      <c r="A712" s="4" t="s">
        <v>3667</v>
      </c>
      <c r="B712" s="4" t="n">
        <v>1991</v>
      </c>
      <c r="C712" s="4" t="str">
        <f aca="false">FLOOR(B712,10)&amp;"s"</f>
        <v>1990s</v>
      </c>
      <c r="D712" s="4" t="s">
        <v>3668</v>
      </c>
      <c r="E712" s="25" t="str">
        <f aca="false">IF(G712=1,"✓","")</f>
        <v/>
      </c>
      <c r="F712" s="4" t="n">
        <v>1</v>
      </c>
      <c r="G712" s="4" t="n">
        <f aca="false">IF(COUNTIF('Letterboxd Watched'!$E$2:$E$3000,M712)&gt;0,1,0)</f>
        <v>0</v>
      </c>
      <c r="H712" s="4" t="n">
        <v>1</v>
      </c>
      <c r="I712" s="4" t="s">
        <v>1327</v>
      </c>
      <c r="J712" s="4" t="s">
        <v>54</v>
      </c>
      <c r="K712" s="4" t="s">
        <v>4298</v>
      </c>
      <c r="L712" s="48" t="str">
        <f aca="false">HYPERLINK("https://letterboxd.com/search/films/Edward+II+1991/","open")</f>
        <v>open</v>
      </c>
      <c r="M712" s="4" t="str">
        <f aca="false">LOWER(A712)&amp;"|"&amp;B712</f>
        <v>edward ii|1991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1</v>
      </c>
      <c r="T712" s="4" t="n">
        <v>0</v>
      </c>
      <c r="U712" s="4" t="n">
        <v>0</v>
      </c>
      <c r="V712" s="4" t="n">
        <v>0</v>
      </c>
      <c r="W712" s="4" t="n">
        <v>0</v>
      </c>
    </row>
    <row r="713" customFormat="false" ht="15" hidden="false" customHeight="false" outlineLevel="0" collapsed="false">
      <c r="A713" s="4" t="s">
        <v>2278</v>
      </c>
      <c r="B713" s="4" t="n">
        <v>1975</v>
      </c>
      <c r="C713" s="4" t="str">
        <f aca="false">FLOOR(B713,10)&amp;"s"</f>
        <v>1970s</v>
      </c>
      <c r="D713" s="4" t="s">
        <v>829</v>
      </c>
      <c r="E713" s="25" t="str">
        <f aca="false">IF(G713=1,"✓","")</f>
        <v/>
      </c>
      <c r="F713" s="4" t="n">
        <v>1</v>
      </c>
      <c r="G713" s="4" t="n">
        <f aca="false">IF(COUNTIF('Letterboxd Watched'!$E$2:$E$3000,M713)&gt;0,1,0)</f>
        <v>0</v>
      </c>
      <c r="H713" s="4" t="n">
        <v>2</v>
      </c>
      <c r="I713" s="4" t="s">
        <v>213</v>
      </c>
      <c r="J713" s="4" t="s">
        <v>56</v>
      </c>
      <c r="K713" s="4" t="s">
        <v>4386</v>
      </c>
      <c r="L713" s="48" t="str">
        <f aca="false">HYPERLINK("https://boxd.it/1DUo","open")</f>
        <v>open</v>
      </c>
      <c r="M713" s="4" t="str">
        <f aca="false">LOWER(A713)&amp;"|"&amp;B713</f>
        <v>the eiger sanction|1975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1</v>
      </c>
      <c r="V713" s="4" t="n">
        <v>0</v>
      </c>
      <c r="W713" s="4" t="n">
        <v>0</v>
      </c>
    </row>
    <row r="714" customFormat="false" ht="15" hidden="false" customHeight="false" outlineLevel="0" collapsed="false">
      <c r="A714" s="4" t="s">
        <v>3650</v>
      </c>
      <c r="B714" s="4" t="n">
        <v>1988</v>
      </c>
      <c r="C714" s="4" t="str">
        <f aca="false">FLOOR(B714,10)&amp;"s"</f>
        <v>1980s</v>
      </c>
      <c r="D714" s="4" t="s">
        <v>1280</v>
      </c>
      <c r="E714" s="25" t="str">
        <f aca="false">IF(G714=1,"✓","")</f>
        <v/>
      </c>
      <c r="F714" s="4" t="n">
        <v>1</v>
      </c>
      <c r="G714" s="4" t="n">
        <f aca="false">IF(COUNTIF('Letterboxd Watched'!$E$2:$E$3000,M714)&gt;0,1,0)</f>
        <v>0</v>
      </c>
      <c r="H714" s="4" t="n">
        <v>1</v>
      </c>
      <c r="I714" s="4" t="s">
        <v>1327</v>
      </c>
      <c r="J714" s="4" t="s">
        <v>55</v>
      </c>
      <c r="K714" s="4" t="s">
        <v>4374</v>
      </c>
      <c r="L714" s="48" t="str">
        <f aca="false">HYPERLINK("https://boxd.it/1PUU","open")</f>
        <v>open</v>
      </c>
      <c r="M714" s="4" t="str">
        <f aca="false">LOWER(A714)&amp;"|"&amp;B714</f>
        <v>eight men out|1988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4" t="n">
        <v>1</v>
      </c>
      <c r="U714" s="4" t="n">
        <v>0</v>
      </c>
      <c r="V714" s="4" t="n">
        <v>0</v>
      </c>
      <c r="W714" s="4" t="n">
        <v>0</v>
      </c>
    </row>
    <row r="715" customFormat="false" ht="15" hidden="false" customHeight="false" outlineLevel="0" collapsed="false">
      <c r="A715" s="4" t="s">
        <v>3156</v>
      </c>
      <c r="B715" s="4" t="n">
        <v>2018</v>
      </c>
      <c r="C715" s="4" t="str">
        <f aca="false">FLOOR(B715,10)&amp;"s"</f>
        <v>2010s</v>
      </c>
      <c r="D715" s="4" t="s">
        <v>3157</v>
      </c>
      <c r="E715" s="25" t="str">
        <f aca="false">IF(G715=1,"✓","")</f>
        <v/>
      </c>
      <c r="F715" s="4" t="n">
        <v>1</v>
      </c>
      <c r="G715" s="4" t="n">
        <f aca="false">IF(COUNTIF('Letterboxd Watched'!$E$2:$E$3000,M715)&gt;0,1,0)</f>
        <v>0</v>
      </c>
      <c r="H715" s="4" t="n">
        <v>2</v>
      </c>
      <c r="I715" s="4" t="s">
        <v>213</v>
      </c>
      <c r="J715" s="4" t="s">
        <v>55</v>
      </c>
      <c r="K715" s="4" t="s">
        <v>4344</v>
      </c>
      <c r="L715" s="48" t="str">
        <f aca="false">HYPERLINK("https://boxd.it/hDMG","open")</f>
        <v>open</v>
      </c>
      <c r="M715" s="4" t="str">
        <f aca="false">LOWER(A715)&amp;"|"&amp;B715</f>
        <v>eighth grade|2018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1</v>
      </c>
      <c r="U715" s="4" t="n">
        <v>0</v>
      </c>
      <c r="V715" s="4" t="n">
        <v>0</v>
      </c>
      <c r="W715" s="4" t="n">
        <v>0</v>
      </c>
    </row>
    <row r="716" customFormat="false" ht="15" hidden="false" customHeight="false" outlineLevel="0" collapsed="false">
      <c r="A716" s="4" t="s">
        <v>1900</v>
      </c>
      <c r="B716" s="4" t="n">
        <v>1953</v>
      </c>
      <c r="C716" s="4" t="str">
        <f aca="false">FLOOR(B716,10)&amp;"s"</f>
        <v>1950s</v>
      </c>
      <c r="D716" s="4" t="s">
        <v>402</v>
      </c>
      <c r="E716" s="25" t="str">
        <f aca="false">IF(G716=1,"✓","")</f>
        <v/>
      </c>
      <c r="F716" s="4" t="n">
        <v>1</v>
      </c>
      <c r="G716" s="4" t="n">
        <f aca="false">IF(COUNTIF('Letterboxd Watched'!$E$2:$E$3000,M716)&gt;0,1,0)</f>
        <v>0</v>
      </c>
      <c r="H716" s="4" t="n">
        <v>2</v>
      </c>
      <c r="I716" s="4" t="s">
        <v>213</v>
      </c>
      <c r="J716" s="4" t="s">
        <v>53</v>
      </c>
      <c r="K716" s="4" t="s">
        <v>402</v>
      </c>
      <c r="L716" s="48" t="str">
        <f aca="false">HYPERLINK("https://letterboxd.com/search/films/El+1953/","open")</f>
        <v>open</v>
      </c>
      <c r="M716" s="4" t="str">
        <f aca="false">LOWER(A716)&amp;"|"&amp;B716</f>
        <v>el|1953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</row>
    <row r="717" customFormat="false" ht="15" hidden="false" customHeight="false" outlineLevel="0" collapsed="false">
      <c r="A717" s="4" t="s">
        <v>428</v>
      </c>
      <c r="B717" s="4" t="n">
        <v>1999</v>
      </c>
      <c r="C717" s="4" t="str">
        <f aca="false">FLOOR(B717,10)&amp;"s"</f>
        <v>1990s</v>
      </c>
      <c r="D717" s="4" t="s">
        <v>429</v>
      </c>
      <c r="E717" s="25" t="str">
        <f aca="false">IF(G717=1,"✓","")</f>
        <v>✓</v>
      </c>
      <c r="F717" s="4" t="n">
        <v>4</v>
      </c>
      <c r="G717" s="4" t="n">
        <f aca="false">IF(COUNTIF('Letterboxd Watched'!$E$2:$E$3000,M717)&gt;0,1,0)</f>
        <v>1</v>
      </c>
      <c r="H717" s="4" t="n">
        <v>8</v>
      </c>
      <c r="I717" s="4" t="s">
        <v>213</v>
      </c>
      <c r="J717" s="4" t="s">
        <v>50</v>
      </c>
      <c r="K717" s="4" t="s">
        <v>5377</v>
      </c>
      <c r="L717" s="48" t="str">
        <f aca="false">HYPERLINK("https://boxd.it/1YEc","open")</f>
        <v>open</v>
      </c>
      <c r="M717" s="4" t="str">
        <f aca="false">LOWER(A717)&amp;"|"&amp;B717</f>
        <v>election|1999</v>
      </c>
      <c r="N717" s="4" t="n">
        <v>0</v>
      </c>
      <c r="O717" s="4" t="n">
        <v>1</v>
      </c>
      <c r="P717" s="4" t="n">
        <v>0</v>
      </c>
      <c r="Q717" s="4" t="n">
        <v>1</v>
      </c>
      <c r="R717" s="4" t="n">
        <v>0</v>
      </c>
      <c r="S717" s="4" t="n">
        <v>0</v>
      </c>
      <c r="T717" s="4" t="n">
        <v>1</v>
      </c>
      <c r="U717" s="4" t="n">
        <v>0</v>
      </c>
      <c r="V717" s="4" t="n">
        <v>0</v>
      </c>
      <c r="W717" s="4" t="n">
        <v>0</v>
      </c>
    </row>
    <row r="718" customFormat="false" ht="15" hidden="false" customHeight="false" outlineLevel="0" collapsed="false">
      <c r="A718" s="4" t="s">
        <v>3732</v>
      </c>
      <c r="B718" s="4" t="n">
        <v>2003</v>
      </c>
      <c r="C718" s="4" t="str">
        <f aca="false">FLOOR(B718,10)&amp;"s"</f>
        <v>2000s</v>
      </c>
      <c r="D718" s="4" t="s">
        <v>827</v>
      </c>
      <c r="E718" s="25" t="str">
        <f aca="false">IF(G718=1,"✓","")</f>
        <v/>
      </c>
      <c r="F718" s="4" t="n">
        <v>1</v>
      </c>
      <c r="G718" s="4" t="n">
        <f aca="false">IF(COUNTIF('Letterboxd Watched'!$E$2:$E$3000,M718)&gt;0,1,0)</f>
        <v>0</v>
      </c>
      <c r="H718" s="4" t="n">
        <v>1</v>
      </c>
      <c r="I718" s="4" t="s">
        <v>1327</v>
      </c>
      <c r="J718" s="4" t="s">
        <v>49</v>
      </c>
      <c r="K718" s="4" t="s">
        <v>3886</v>
      </c>
      <c r="L718" s="48" t="str">
        <f aca="false">HYPERLINK("https://boxd.it/287i","open")</f>
        <v>open</v>
      </c>
      <c r="M718" s="4" t="str">
        <f aca="false">LOWER(A718)&amp;"|"&amp;B718</f>
        <v>elephant|2003</v>
      </c>
      <c r="N718" s="4" t="n">
        <v>1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</row>
    <row r="719" customFormat="false" ht="15" hidden="false" customHeight="false" outlineLevel="0" collapsed="false">
      <c r="A719" s="4" t="s">
        <v>2342</v>
      </c>
      <c r="B719" s="4" t="n">
        <v>1980</v>
      </c>
      <c r="C719" s="4" t="str">
        <f aca="false">FLOOR(B719,10)&amp;"s"</f>
        <v>1980s</v>
      </c>
      <c r="D719" s="4" t="s">
        <v>154</v>
      </c>
      <c r="E719" s="25" t="str">
        <f aca="false">IF(G719=1,"✓","")</f>
        <v>✓</v>
      </c>
      <c r="F719" s="4" t="n">
        <v>1</v>
      </c>
      <c r="G719" s="4" t="n">
        <f aca="false">IF(COUNTIF('Letterboxd Watched'!$E$2:$E$3000,M719)&gt;0,1,0)</f>
        <v>1</v>
      </c>
      <c r="H719" s="4" t="n">
        <v>2</v>
      </c>
      <c r="I719" s="4" t="s">
        <v>213</v>
      </c>
      <c r="J719" s="4" t="s">
        <v>53</v>
      </c>
      <c r="K719" s="4" t="s">
        <v>154</v>
      </c>
      <c r="L719" s="48" t="str">
        <f aca="false">HYPERLINK("https://boxd.it/27LQ","open")</f>
        <v>open</v>
      </c>
      <c r="M719" s="4" t="str">
        <f aca="false">LOWER(A719)&amp;"|"&amp;B719</f>
        <v>the elephant man|1980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1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</row>
    <row r="720" customFormat="false" ht="15" hidden="false" customHeight="false" outlineLevel="0" collapsed="false">
      <c r="A720" s="4" t="s">
        <v>3845</v>
      </c>
      <c r="B720" s="4" t="n">
        <v>2018</v>
      </c>
      <c r="C720" s="4" t="str">
        <f aca="false">FLOOR(B720,10)&amp;"s"</f>
        <v>2010s</v>
      </c>
      <c r="D720" s="4" t="s">
        <v>3846</v>
      </c>
      <c r="E720" s="25" t="str">
        <f aca="false">IF(G720=1,"✓","")</f>
        <v/>
      </c>
      <c r="F720" s="4" t="n">
        <v>1</v>
      </c>
      <c r="G720" s="4" t="n">
        <f aca="false">IF(COUNTIF('Letterboxd Watched'!$E$2:$E$3000,M720)&gt;0,1,0)</f>
        <v>0</v>
      </c>
      <c r="H720" s="4" t="n">
        <v>1</v>
      </c>
      <c r="I720" s="4" t="s">
        <v>1327</v>
      </c>
      <c r="J720" s="4" t="s">
        <v>51</v>
      </c>
      <c r="K720" s="4" t="s">
        <v>4020</v>
      </c>
      <c r="L720" s="48" t="str">
        <f aca="false">HYPERLINK("https://boxd.it/i1EQ","open")</f>
        <v>open</v>
      </c>
      <c r="M720" s="4" t="str">
        <f aca="false">LOWER(A720)&amp;"|"&amp;B720</f>
        <v>an elephant sitting still|2018</v>
      </c>
      <c r="N720" s="4" t="n">
        <v>0</v>
      </c>
      <c r="O720" s="4" t="n">
        <v>0</v>
      </c>
      <c r="P720" s="4" t="n">
        <v>1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</row>
    <row r="721" customFormat="false" ht="15" hidden="false" customHeight="false" outlineLevel="0" collapsed="false">
      <c r="A721" s="4" t="s">
        <v>1953</v>
      </c>
      <c r="B721" s="4" t="n">
        <v>1958</v>
      </c>
      <c r="C721" s="4" t="str">
        <f aca="false">FLOOR(B721,10)&amp;"s"</f>
        <v>1950s</v>
      </c>
      <c r="D721" s="4" t="s">
        <v>813</v>
      </c>
      <c r="E721" s="25" t="str">
        <f aca="false">IF(G721=1,"✓","")</f>
        <v/>
      </c>
      <c r="F721" s="4" t="n">
        <v>1</v>
      </c>
      <c r="G721" s="4" t="n">
        <f aca="false">IF(COUNTIF('Letterboxd Watched'!$E$2:$E$3000,M721)&gt;0,1,0)</f>
        <v>0</v>
      </c>
      <c r="H721" s="4" t="n">
        <v>2</v>
      </c>
      <c r="I721" s="4" t="s">
        <v>213</v>
      </c>
      <c r="J721" s="4" t="s">
        <v>51</v>
      </c>
      <c r="K721" s="4" t="s">
        <v>3964</v>
      </c>
      <c r="L721" s="48" t="str">
        <f aca="false">HYPERLINK("https://boxd.it/294u","open")</f>
        <v>open</v>
      </c>
      <c r="M721" s="4" t="str">
        <f aca="false">LOWER(A721)&amp;"|"&amp;B721</f>
        <v>elevator to the gallows|1958</v>
      </c>
      <c r="N721" s="4" t="n">
        <v>0</v>
      </c>
      <c r="O721" s="4" t="n">
        <v>0</v>
      </c>
      <c r="P721" s="4" t="n">
        <v>1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</row>
    <row r="722" customFormat="false" ht="15" hidden="false" customHeight="false" outlineLevel="0" collapsed="false">
      <c r="A722" s="4" t="s">
        <v>3604</v>
      </c>
      <c r="B722" s="4" t="n">
        <v>1982</v>
      </c>
      <c r="C722" s="4" t="str">
        <f aca="false">FLOOR(B722,10)&amp;"s"</f>
        <v>1980s</v>
      </c>
      <c r="D722" s="4" t="s">
        <v>3605</v>
      </c>
      <c r="E722" s="25" t="str">
        <f aca="false">IF(G722=1,"✓","")</f>
        <v/>
      </c>
      <c r="F722" s="4" t="n">
        <v>1</v>
      </c>
      <c r="G722" s="4" t="n">
        <f aca="false">IF(COUNTIF('Letterboxd Watched'!$E$2:$E$3000,M722)&gt;0,1,0)</f>
        <v>0</v>
      </c>
      <c r="H722" s="4" t="n">
        <v>1</v>
      </c>
      <c r="I722" s="4" t="s">
        <v>1327</v>
      </c>
      <c r="J722" s="4" t="s">
        <v>51</v>
      </c>
      <c r="K722" s="4" t="s">
        <v>4026</v>
      </c>
      <c r="L722" s="48" t="str">
        <f aca="false">HYPERLINK("https://boxd.it/37x2","open")</f>
        <v>open</v>
      </c>
      <c r="M722" s="4" t="str">
        <f aca="false">LOWER(A722)&amp;"|"&amp;B722</f>
        <v>elippathayam|1982</v>
      </c>
      <c r="N722" s="4" t="n">
        <v>0</v>
      </c>
      <c r="O722" s="4" t="n">
        <v>0</v>
      </c>
      <c r="P722" s="4" t="n">
        <v>1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</row>
    <row r="723" customFormat="false" ht="15" hidden="false" customHeight="false" outlineLevel="0" collapsed="false">
      <c r="A723" s="4" t="s">
        <v>3068</v>
      </c>
      <c r="B723" s="4" t="n">
        <v>2015</v>
      </c>
      <c r="C723" s="4" t="str">
        <f aca="false">FLOOR(B723,10)&amp;"s"</f>
        <v>2010s</v>
      </c>
      <c r="D723" s="4" t="s">
        <v>3069</v>
      </c>
      <c r="E723" s="25" t="str">
        <f aca="false">IF(G723=1,"✓","")</f>
        <v/>
      </c>
      <c r="F723" s="4" t="n">
        <v>1</v>
      </c>
      <c r="G723" s="4" t="n">
        <f aca="false">IF(COUNTIF('Letterboxd Watched'!$E$2:$E$3000,M723)&gt;0,1,0)</f>
        <v>0</v>
      </c>
      <c r="H723" s="4" t="n">
        <v>2</v>
      </c>
      <c r="I723" s="4" t="s">
        <v>213</v>
      </c>
      <c r="J723" s="4" t="s">
        <v>51</v>
      </c>
      <c r="K723" s="4" t="s">
        <v>4010</v>
      </c>
      <c r="L723" s="48" t="str">
        <f aca="false">HYPERLINK("https://letterboxd.com/search/films/Embrace+of+the+Serpent+2015/","open")</f>
        <v>open</v>
      </c>
      <c r="M723" s="4" t="str">
        <f aca="false">LOWER(A723)&amp;"|"&amp;B723</f>
        <v>embrace of the serpent|2015</v>
      </c>
      <c r="N723" s="4" t="n">
        <v>0</v>
      </c>
      <c r="O723" s="4" t="n">
        <v>0</v>
      </c>
      <c r="P723" s="4" t="n">
        <v>1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</row>
    <row r="724" customFormat="false" ht="15" hidden="false" customHeight="false" outlineLevel="0" collapsed="false">
      <c r="A724" s="4" t="s">
        <v>3485</v>
      </c>
      <c r="B724" s="4" t="n">
        <v>1971</v>
      </c>
      <c r="C724" s="4" t="str">
        <f aca="false">FLOOR(B724,10)&amp;"s"</f>
        <v>1970s</v>
      </c>
      <c r="D724" s="4" t="s">
        <v>3486</v>
      </c>
      <c r="E724" s="25" t="str">
        <f aca="false">IF(G724=1,"✓","")</f>
        <v/>
      </c>
      <c r="F724" s="4" t="n">
        <v>1</v>
      </c>
      <c r="G724" s="4" t="n">
        <f aca="false">IF(COUNTIF('Letterboxd Watched'!$E$2:$E$3000,M724)&gt;0,1,0)</f>
        <v>0</v>
      </c>
      <c r="H724" s="4" t="n">
        <v>1</v>
      </c>
      <c r="I724" s="4" t="s">
        <v>1327</v>
      </c>
      <c r="J724" s="4" t="s">
        <v>51</v>
      </c>
      <c r="K724" s="4" t="s">
        <v>3986</v>
      </c>
      <c r="L724" s="48" t="str">
        <f aca="false">HYPERLINK("https://letterboxd.com/search/films/The+Emigrants+1971/","open")</f>
        <v>open</v>
      </c>
      <c r="M724" s="4" t="str">
        <f aca="false">LOWER(A724)&amp;"|"&amp;B724</f>
        <v>the emigrants|1971</v>
      </c>
      <c r="N724" s="4" t="n">
        <v>0</v>
      </c>
      <c r="O724" s="4" t="n">
        <v>0</v>
      </c>
      <c r="P724" s="4" t="n">
        <v>1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</row>
    <row r="725" customFormat="false" ht="15" hidden="false" customHeight="false" outlineLevel="0" collapsed="false">
      <c r="A725" s="4" t="s">
        <v>2050</v>
      </c>
      <c r="B725" s="4" t="n">
        <v>1964</v>
      </c>
      <c r="C725" s="4" t="str">
        <f aca="false">FLOOR(B725,10)&amp;"s"</f>
        <v>1960s</v>
      </c>
      <c r="D725" s="4" t="s">
        <v>2051</v>
      </c>
      <c r="E725" s="25" t="str">
        <f aca="false">IF(G725=1,"✓","")</f>
        <v/>
      </c>
      <c r="F725" s="4" t="n">
        <v>1</v>
      </c>
      <c r="G725" s="4" t="n">
        <f aca="false">IF(COUNTIF('Letterboxd Watched'!$E$2:$E$3000,M725)&gt;0,1,0)</f>
        <v>0</v>
      </c>
      <c r="H725" s="4" t="n">
        <v>2</v>
      </c>
      <c r="I725" s="4" t="s">
        <v>213</v>
      </c>
      <c r="J725" s="4" t="s">
        <v>52</v>
      </c>
      <c r="K725" s="4" t="s">
        <v>4182</v>
      </c>
      <c r="L725" s="48" t="str">
        <f aca="false">HYPERLINK("https://letterboxd.com/search/films/Empire+1964/","open")</f>
        <v>open</v>
      </c>
      <c r="M725" s="4" t="str">
        <f aca="false">LOWER(A725)&amp;"|"&amp;B725</f>
        <v>empire|1964</v>
      </c>
      <c r="N725" s="4" t="n">
        <v>0</v>
      </c>
      <c r="O725" s="4" t="n">
        <v>0</v>
      </c>
      <c r="P725" s="4" t="n">
        <v>0</v>
      </c>
      <c r="Q725" s="4" t="n">
        <v>1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</row>
    <row r="726" customFormat="false" ht="15" hidden="false" customHeight="false" outlineLevel="0" collapsed="false">
      <c r="A726" s="4" t="s">
        <v>2457</v>
      </c>
      <c r="B726" s="4" t="n">
        <v>1987</v>
      </c>
      <c r="C726" s="4" t="str">
        <f aca="false">FLOOR(B726,10)&amp;"s"</f>
        <v>1980s</v>
      </c>
      <c r="D726" s="4" t="s">
        <v>183</v>
      </c>
      <c r="E726" s="25" t="str">
        <f aca="false">IF(G726=1,"✓","")</f>
        <v/>
      </c>
      <c r="F726" s="4" t="n">
        <v>1</v>
      </c>
      <c r="G726" s="4" t="n">
        <f aca="false">IF(COUNTIF('Letterboxd Watched'!$E$2:$E$3000,M726)&gt;0,1,0)</f>
        <v>0</v>
      </c>
      <c r="H726" s="4" t="n">
        <v>2</v>
      </c>
      <c r="I726" s="4" t="s">
        <v>213</v>
      </c>
      <c r="J726" s="4" t="s">
        <v>53</v>
      </c>
      <c r="K726" s="4" t="s">
        <v>183</v>
      </c>
      <c r="L726" s="48" t="str">
        <f aca="false">HYPERLINK("https://boxd.it/1X4i","open")</f>
        <v>open</v>
      </c>
      <c r="M726" s="4" t="str">
        <f aca="false">LOWER(A726)&amp;"|"&amp;B726</f>
        <v>empire of the sun|1987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</row>
    <row r="727" customFormat="false" ht="15" hidden="false" customHeight="false" outlineLevel="0" collapsed="false">
      <c r="A727" s="4" t="s">
        <v>2338</v>
      </c>
      <c r="B727" s="4" t="n">
        <v>1980</v>
      </c>
      <c r="C727" s="4" t="str">
        <f aca="false">FLOOR(B727,10)&amp;"s"</f>
        <v>1980s</v>
      </c>
      <c r="D727" s="4" t="s">
        <v>2339</v>
      </c>
      <c r="E727" s="25" t="str">
        <f aca="false">IF(G727=1,"✓","")</f>
        <v>✓</v>
      </c>
      <c r="F727" s="4" t="n">
        <v>1</v>
      </c>
      <c r="G727" s="4" t="n">
        <f aca="false">IF(COUNTIF('Letterboxd Watched'!$E$2:$E$3000,M727)&gt;0,1,0)</f>
        <v>1</v>
      </c>
      <c r="H727" s="4" t="n">
        <v>2</v>
      </c>
      <c r="I727" s="4" t="s">
        <v>213</v>
      </c>
      <c r="J727" s="4" t="s">
        <v>52</v>
      </c>
      <c r="K727" s="4" t="s">
        <v>4094</v>
      </c>
      <c r="L727" s="48" t="str">
        <f aca="false">HYPERLINK("https://boxd.it/27Vw","open")</f>
        <v>open</v>
      </c>
      <c r="M727" s="4" t="str">
        <f aca="false">LOWER(A727)&amp;"|"&amp;B727</f>
        <v>the empire strikes back|1980</v>
      </c>
      <c r="N727" s="4" t="n">
        <v>0</v>
      </c>
      <c r="O727" s="4" t="n">
        <v>0</v>
      </c>
      <c r="P727" s="4" t="n">
        <v>0</v>
      </c>
      <c r="Q727" s="4" t="n">
        <v>1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</row>
    <row r="728" customFormat="false" ht="15" hidden="false" customHeight="false" outlineLevel="0" collapsed="false">
      <c r="A728" s="4" t="s">
        <v>1741</v>
      </c>
      <c r="B728" s="4" t="n">
        <v>1933</v>
      </c>
      <c r="C728" s="4" t="str">
        <f aca="false">FLOOR(B728,10)&amp;"s"</f>
        <v>1930s</v>
      </c>
      <c r="D728" s="4" t="s">
        <v>1742</v>
      </c>
      <c r="E728" s="25" t="str">
        <f aca="false">IF(G728=1,"✓","")</f>
        <v/>
      </c>
      <c r="F728" s="4" t="n">
        <v>1</v>
      </c>
      <c r="G728" s="4" t="n">
        <f aca="false">IF(COUNTIF('Letterboxd Watched'!$E$2:$E$3000,M728)&gt;0,1,0)</f>
        <v>0</v>
      </c>
      <c r="H728" s="4" t="n">
        <v>2</v>
      </c>
      <c r="I728" s="4" t="s">
        <v>213</v>
      </c>
      <c r="J728" s="4" t="s">
        <v>50</v>
      </c>
      <c r="K728" s="4" t="s">
        <v>3908</v>
      </c>
      <c r="L728" s="48" t="str">
        <f aca="false">HYPERLINK("https://letterboxd.com/search/films/Employees+Entrance+1933/","open")</f>
        <v>open</v>
      </c>
      <c r="M728" s="4" t="str">
        <f aca="false">LOWER(A728)&amp;"|"&amp;B728</f>
        <v>employees' entrance|1933</v>
      </c>
      <c r="N728" s="4" t="n">
        <v>0</v>
      </c>
      <c r="O728" s="4" t="n">
        <v>1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</row>
    <row r="729" customFormat="false" ht="15" hidden="false" customHeight="false" outlineLevel="0" collapsed="false">
      <c r="A729" s="4" t="s">
        <v>1834</v>
      </c>
      <c r="B729" s="4" t="n">
        <v>1946</v>
      </c>
      <c r="C729" s="4" t="str">
        <f aca="false">FLOOR(B729,10)&amp;"s"</f>
        <v>1940s</v>
      </c>
      <c r="D729" s="4" t="s">
        <v>1835</v>
      </c>
      <c r="E729" s="25" t="str">
        <f aca="false">IF(G729=1,"✓","")</f>
        <v/>
      </c>
      <c r="F729" s="4" t="n">
        <v>1</v>
      </c>
      <c r="G729" s="4" t="n">
        <f aca="false">IF(COUNTIF('Letterboxd Watched'!$E$2:$E$3000,M729)&gt;0,1,0)</f>
        <v>0</v>
      </c>
      <c r="H729" s="4" t="n">
        <v>2</v>
      </c>
      <c r="I729" s="4" t="s">
        <v>213</v>
      </c>
      <c r="J729" s="4" t="s">
        <v>51</v>
      </c>
      <c r="K729" s="4" t="s">
        <v>4004</v>
      </c>
      <c r="L729" s="48" t="str">
        <f aca="false">HYPERLINK("https://letterboxd.com/search/films/Enamorada+1946/","open")</f>
        <v>open</v>
      </c>
      <c r="M729" s="4" t="str">
        <f aca="false">LOWER(A729)&amp;"|"&amp;B729</f>
        <v>enamorada|1946</v>
      </c>
      <c r="N729" s="4" t="n">
        <v>0</v>
      </c>
      <c r="O729" s="4" t="n">
        <v>0</v>
      </c>
      <c r="P729" s="4" t="n">
        <v>1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 customFormat="false" ht="15" hidden="false" customHeight="false" outlineLevel="0" collapsed="false">
      <c r="A730" s="4" t="s">
        <v>2885</v>
      </c>
      <c r="B730" s="4" t="n">
        <v>2007</v>
      </c>
      <c r="C730" s="4" t="str">
        <f aca="false">FLOOR(B730,10)&amp;"s"</f>
        <v>2000s</v>
      </c>
      <c r="D730" s="4" t="s">
        <v>292</v>
      </c>
      <c r="E730" s="25" t="str">
        <f aca="false">IF(G730=1,"✓","")</f>
        <v/>
      </c>
      <c r="F730" s="4" t="n">
        <v>1</v>
      </c>
      <c r="G730" s="4" t="n">
        <f aca="false">IF(COUNTIF('Letterboxd Watched'!$E$2:$E$3000,M730)&gt;0,1,0)</f>
        <v>0</v>
      </c>
      <c r="H730" s="4" t="n">
        <v>2</v>
      </c>
      <c r="I730" s="4" t="s">
        <v>213</v>
      </c>
      <c r="J730" s="4" t="s">
        <v>53</v>
      </c>
      <c r="K730" s="4" t="s">
        <v>292</v>
      </c>
      <c r="L730" s="48" t="str">
        <f aca="false">HYPERLINK("https://boxd.it/1SmQ","open")</f>
        <v>open</v>
      </c>
      <c r="M730" s="4" t="str">
        <f aca="false">LOWER(A730)&amp;"|"&amp;B730</f>
        <v>encounters at the end of the world|2007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</row>
    <row r="731" customFormat="false" ht="15" hidden="false" customHeight="false" outlineLevel="0" collapsed="false">
      <c r="A731" s="4" t="s">
        <v>3122</v>
      </c>
      <c r="B731" s="4" t="n">
        <v>2017</v>
      </c>
      <c r="C731" s="4" t="str">
        <f aca="false">FLOOR(B731,10)&amp;"s"</f>
        <v>2010s</v>
      </c>
      <c r="D731" s="4" t="s">
        <v>3123</v>
      </c>
      <c r="E731" s="25" t="str">
        <f aca="false">IF(G731=1,"✓","")</f>
        <v/>
      </c>
      <c r="F731" s="4" t="n">
        <v>1</v>
      </c>
      <c r="G731" s="4" t="n">
        <f aca="false">IF(COUNTIF('Letterboxd Watched'!$E$2:$E$3000,M731)&gt;0,1,0)</f>
        <v>0</v>
      </c>
      <c r="H731" s="4" t="n">
        <v>2</v>
      </c>
      <c r="I731" s="4" t="s">
        <v>213</v>
      </c>
      <c r="J731" s="4" t="s">
        <v>52</v>
      </c>
      <c r="K731" s="4" t="s">
        <v>4080</v>
      </c>
      <c r="L731" s="48" t="str">
        <f aca="false">HYPERLINK("https://boxd.it/ffyw","open")</f>
        <v>open</v>
      </c>
      <c r="M731" s="4" t="str">
        <f aca="false">LOWER(A731)&amp;"|"&amp;B731</f>
        <v>the endless|2017</v>
      </c>
      <c r="N731" s="4" t="n">
        <v>0</v>
      </c>
      <c r="O731" s="4" t="n">
        <v>0</v>
      </c>
      <c r="P731" s="4" t="n">
        <v>0</v>
      </c>
      <c r="Q731" s="4" t="n">
        <v>1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</row>
    <row r="732" customFormat="false" ht="15" hidden="false" customHeight="false" outlineLevel="0" collapsed="false">
      <c r="A732" s="4" t="s">
        <v>2088</v>
      </c>
      <c r="B732" s="4" t="n">
        <v>1966</v>
      </c>
      <c r="C732" s="4" t="str">
        <f aca="false">FLOOR(B732,10)&amp;"s"</f>
        <v>1960s</v>
      </c>
      <c r="D732" s="4" t="s">
        <v>2089</v>
      </c>
      <c r="E732" s="25" t="str">
        <f aca="false">IF(G732=1,"✓","")</f>
        <v/>
      </c>
      <c r="F732" s="4" t="n">
        <v>1</v>
      </c>
      <c r="G732" s="4" t="n">
        <f aca="false">IF(COUNTIF('Letterboxd Watched'!$E$2:$E$3000,M732)&gt;0,1,0)</f>
        <v>0</v>
      </c>
      <c r="H732" s="4" t="n">
        <v>2</v>
      </c>
      <c r="I732" s="4" t="s">
        <v>213</v>
      </c>
      <c r="J732" s="4" t="s">
        <v>56</v>
      </c>
      <c r="K732" s="4" t="s">
        <v>4396</v>
      </c>
      <c r="L732" s="48" t="str">
        <f aca="false">HYPERLINK("https://boxd.it/70Q","open")</f>
        <v>open</v>
      </c>
      <c r="M732" s="4" t="str">
        <f aca="false">LOWER(A732)&amp;"|"&amp;B732</f>
        <v>the endless summer|1966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1</v>
      </c>
      <c r="V732" s="4" t="n">
        <v>0</v>
      </c>
      <c r="W732" s="4" t="n">
        <v>0</v>
      </c>
    </row>
    <row r="733" customFormat="false" ht="15" hidden="false" customHeight="false" outlineLevel="0" collapsed="false">
      <c r="A733" s="4" t="s">
        <v>445</v>
      </c>
      <c r="B733" s="4" t="n">
        <v>2013</v>
      </c>
      <c r="C733" s="4" t="str">
        <f aca="false">FLOOR(B733,10)&amp;"s"</f>
        <v>2010s</v>
      </c>
      <c r="D733" s="4" t="s">
        <v>327</v>
      </c>
      <c r="E733" s="25" t="str">
        <f aca="false">IF(G733=1,"✓","")</f>
        <v>✓</v>
      </c>
      <c r="F733" s="4" t="n">
        <v>4</v>
      </c>
      <c r="G733" s="4" t="n">
        <f aca="false">IF(COUNTIF('Letterboxd Watched'!$E$2:$E$3000,M733)&gt;0,1,0)</f>
        <v>1</v>
      </c>
      <c r="H733" s="4" t="n">
        <v>7</v>
      </c>
      <c r="I733" s="4" t="s">
        <v>213</v>
      </c>
      <c r="J733" s="4" t="s">
        <v>53</v>
      </c>
      <c r="K733" s="4" t="s">
        <v>5378</v>
      </c>
      <c r="L733" s="48" t="str">
        <f aca="false">HYPERLINK("https://boxd.it/5xtO","open")</f>
        <v>open</v>
      </c>
      <c r="M733" s="4" t="str">
        <f aca="false">LOWER(A733)&amp;"|"&amp;B733</f>
        <v>enemy|2013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1</v>
      </c>
      <c r="S733" s="4" t="n">
        <v>1</v>
      </c>
      <c r="T733" s="4" t="n">
        <v>0</v>
      </c>
      <c r="U733" s="4" t="n">
        <v>0</v>
      </c>
      <c r="V733" s="4" t="n">
        <v>1</v>
      </c>
      <c r="W733" s="4" t="n">
        <v>1</v>
      </c>
    </row>
    <row r="734" customFormat="false" ht="15" hidden="false" customHeight="false" outlineLevel="0" collapsed="false">
      <c r="A734" s="4" t="s">
        <v>1024</v>
      </c>
      <c r="B734" s="4" t="n">
        <v>1974</v>
      </c>
      <c r="C734" s="4" t="str">
        <f aca="false">FLOOR(B734,10)&amp;"s"</f>
        <v>1970s</v>
      </c>
      <c r="D734" s="4" t="s">
        <v>292</v>
      </c>
      <c r="E734" s="25" t="str">
        <f aca="false">IF(G734=1,"✓","")</f>
        <v/>
      </c>
      <c r="F734" s="4" t="n">
        <v>2</v>
      </c>
      <c r="G734" s="4" t="n">
        <f aca="false">IF(COUNTIF('Letterboxd Watched'!$E$2:$E$3000,M734)&gt;0,1,0)</f>
        <v>0</v>
      </c>
      <c r="H734" s="4" t="n">
        <v>4</v>
      </c>
      <c r="I734" s="4" t="s">
        <v>213</v>
      </c>
      <c r="J734" s="4" t="s">
        <v>51</v>
      </c>
      <c r="K734" s="4" t="s">
        <v>5379</v>
      </c>
      <c r="L734" s="48" t="str">
        <f aca="false">HYPERLINK("https://boxd.it/1Tba","open")</f>
        <v>open</v>
      </c>
      <c r="M734" s="4" t="str">
        <f aca="false">LOWER(A734)&amp;"|"&amp;B734</f>
        <v>the enigma of kaspar hauser|1974</v>
      </c>
      <c r="N734" s="4" t="n">
        <v>0</v>
      </c>
      <c r="O734" s="4" t="n">
        <v>0</v>
      </c>
      <c r="P734" s="4" t="n">
        <v>1</v>
      </c>
      <c r="Q734" s="4" t="n">
        <v>0</v>
      </c>
      <c r="R734" s="4" t="n">
        <v>1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</row>
    <row r="735" customFormat="false" ht="15" hidden="false" customHeight="false" outlineLevel="0" collapsed="false">
      <c r="A735" s="4" t="s">
        <v>3751</v>
      </c>
      <c r="B735" s="4" t="n">
        <v>2005</v>
      </c>
      <c r="C735" s="4" t="str">
        <f aca="false">FLOOR(B735,10)&amp;"s"</f>
        <v>2000s</v>
      </c>
      <c r="D735" s="4" t="s">
        <v>3752</v>
      </c>
      <c r="E735" s="25" t="str">
        <f aca="false">IF(G735=1,"✓","")</f>
        <v/>
      </c>
      <c r="F735" s="4" t="n">
        <v>1</v>
      </c>
      <c r="G735" s="4" t="n">
        <f aca="false">IF(COUNTIF('Letterboxd Watched'!$E$2:$E$3000,M735)&gt;0,1,0)</f>
        <v>0</v>
      </c>
      <c r="H735" s="4" t="n">
        <v>1</v>
      </c>
      <c r="I735" s="4" t="s">
        <v>1327</v>
      </c>
      <c r="J735" s="4" t="s">
        <v>55</v>
      </c>
      <c r="K735" s="4" t="s">
        <v>4314</v>
      </c>
      <c r="L735" s="48" t="str">
        <f aca="false">HYPERLINK("https://boxd.it/1R0k","open")</f>
        <v>open</v>
      </c>
      <c r="M735" s="4" t="str">
        <f aca="false">LOWER(A735)&amp;"|"&amp;B735</f>
        <v>enron: the smartest guys in the room|2005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1</v>
      </c>
      <c r="U735" s="4" t="n">
        <v>0</v>
      </c>
      <c r="V735" s="4" t="n">
        <v>0</v>
      </c>
      <c r="W735" s="4" t="n">
        <v>0</v>
      </c>
    </row>
    <row r="736" customFormat="false" ht="15" hidden="false" customHeight="false" outlineLevel="0" collapsed="false">
      <c r="A736" s="4" t="s">
        <v>2939</v>
      </c>
      <c r="B736" s="4" t="n">
        <v>2009</v>
      </c>
      <c r="C736" s="4" t="str">
        <f aca="false">FLOOR(B736,10)&amp;"s"</f>
        <v>2000s</v>
      </c>
      <c r="D736" s="4" t="s">
        <v>1399</v>
      </c>
      <c r="E736" s="25" t="str">
        <f aca="false">IF(G736=1,"✓","")</f>
        <v/>
      </c>
      <c r="F736" s="4" t="n">
        <v>1</v>
      </c>
      <c r="G736" s="4" t="n">
        <f aca="false">IF(COUNTIF('Letterboxd Watched'!$E$2:$E$3000,M736)&gt;0,1,0)</f>
        <v>0</v>
      </c>
      <c r="H736" s="4" t="n">
        <v>2</v>
      </c>
      <c r="I736" s="4" t="s">
        <v>213</v>
      </c>
      <c r="J736" s="4" t="s">
        <v>56</v>
      </c>
      <c r="K736" s="4" t="s">
        <v>4402</v>
      </c>
      <c r="L736" s="48" t="str">
        <f aca="false">HYPERLINK("https://boxd.it/1dy2","open")</f>
        <v>open</v>
      </c>
      <c r="M736" s="4" t="str">
        <f aca="false">LOWER(A736)&amp;"|"&amp;B736</f>
        <v>enter the void|2009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1</v>
      </c>
      <c r="V736" s="4" t="n">
        <v>0</v>
      </c>
      <c r="W736" s="4" t="n">
        <v>0</v>
      </c>
    </row>
    <row r="737" customFormat="false" ht="15" hidden="false" customHeight="false" outlineLevel="0" collapsed="false">
      <c r="A737" s="4" t="s">
        <v>1719</v>
      </c>
      <c r="B737" s="4" t="n">
        <v>1931</v>
      </c>
      <c r="C737" s="4" t="str">
        <f aca="false">FLOOR(B737,10)&amp;"s"</f>
        <v>1930s</v>
      </c>
      <c r="D737" s="4" t="s">
        <v>181</v>
      </c>
      <c r="E737" s="25" t="str">
        <f aca="false">IF(G737=1,"✓","")</f>
        <v/>
      </c>
      <c r="F737" s="4" t="n">
        <v>1</v>
      </c>
      <c r="G737" s="4" t="n">
        <f aca="false">IF(COUNTIF('Letterboxd Watched'!$E$2:$E$3000,M737)&gt;0,1,0)</f>
        <v>0</v>
      </c>
      <c r="H737" s="4" t="n">
        <v>2</v>
      </c>
      <c r="I737" s="4" t="s">
        <v>213</v>
      </c>
      <c r="J737" s="4" t="s">
        <v>54</v>
      </c>
      <c r="K737" s="4" t="s">
        <v>4272</v>
      </c>
      <c r="L737" s="48" t="str">
        <f aca="false">HYPERLINK("https://letterboxd.com/search/films/Enthusiasm+1931/","open")</f>
        <v>open</v>
      </c>
      <c r="M737" s="4" t="str">
        <f aca="false">LOWER(A737)&amp;"|"&amp;B737</f>
        <v>enthusiasm|1931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1</v>
      </c>
      <c r="T737" s="4" t="n">
        <v>0</v>
      </c>
      <c r="U737" s="4" t="n">
        <v>0</v>
      </c>
      <c r="V737" s="4" t="n">
        <v>0</v>
      </c>
      <c r="W737" s="4" t="n">
        <v>0</v>
      </c>
    </row>
    <row r="738" customFormat="false" ht="15" hidden="false" customHeight="false" outlineLevel="0" collapsed="false">
      <c r="A738" s="4" t="s">
        <v>3289</v>
      </c>
      <c r="B738" s="4" t="n">
        <v>1924</v>
      </c>
      <c r="C738" s="4" t="str">
        <f aca="false">FLOOR(B738,10)&amp;"s"</f>
        <v>1920s</v>
      </c>
      <c r="D738" s="4" t="s">
        <v>1712</v>
      </c>
      <c r="E738" s="25" t="str">
        <f aca="false">IF(G738=1,"✓","")</f>
        <v/>
      </c>
      <c r="F738" s="4" t="n">
        <v>1</v>
      </c>
      <c r="G738" s="4" t="n">
        <f aca="false">IF(COUNTIF('Letterboxd Watched'!$E$2:$E$3000,M738)&gt;0,1,0)</f>
        <v>0</v>
      </c>
      <c r="H738" s="4" t="n">
        <v>1</v>
      </c>
      <c r="I738" s="4" t="s">
        <v>1327</v>
      </c>
      <c r="J738" s="4" t="s">
        <v>50</v>
      </c>
      <c r="K738" s="4" t="s">
        <v>3902</v>
      </c>
      <c r="L738" s="48" t="str">
        <f aca="false">HYPERLINK("https://letterboxd.com/search/films/Entracte+1924/","open")</f>
        <v>open</v>
      </c>
      <c r="M738" s="4" t="str">
        <f aca="false">LOWER(A738)&amp;"|"&amp;B738</f>
        <v>entr'acte|1924</v>
      </c>
      <c r="N738" s="4" t="n">
        <v>0</v>
      </c>
      <c r="O738" s="4" t="n">
        <v>1</v>
      </c>
      <c r="P738" s="4" t="n">
        <v>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</row>
    <row r="739" customFormat="false" ht="15" hidden="false" customHeight="false" outlineLevel="0" collapsed="false">
      <c r="A739" s="4" t="s">
        <v>2100</v>
      </c>
      <c r="B739" s="4" t="n">
        <v>1967</v>
      </c>
      <c r="C739" s="4" t="str">
        <f aca="false">FLOOR(B739,10)&amp;"s"</f>
        <v>1960s</v>
      </c>
      <c r="D739" s="4" t="s">
        <v>464</v>
      </c>
      <c r="E739" s="25" t="str">
        <f aca="false">IF(G739=1,"✓","")</f>
        <v/>
      </c>
      <c r="F739" s="4" t="n">
        <v>1</v>
      </c>
      <c r="G739" s="4" t="n">
        <f aca="false">IF(COUNTIF('Letterboxd Watched'!$E$2:$E$3000,M739)&gt;0,1,0)</f>
        <v>0</v>
      </c>
      <c r="H739" s="4" t="n">
        <v>2</v>
      </c>
      <c r="I739" s="4" t="s">
        <v>213</v>
      </c>
      <c r="J739" s="4" t="s">
        <v>51</v>
      </c>
      <c r="K739" s="4" t="s">
        <v>4006</v>
      </c>
      <c r="L739" s="48" t="str">
        <f aca="false">HYPERLINK("https://letterboxd.com/search/films/Entranced+Earth+1967/","open")</f>
        <v>open</v>
      </c>
      <c r="M739" s="4" t="str">
        <f aca="false">LOWER(A739)&amp;"|"&amp;B739</f>
        <v>entranced earth|1967</v>
      </c>
      <c r="N739" s="4" t="n">
        <v>0</v>
      </c>
      <c r="O739" s="4" t="n">
        <v>0</v>
      </c>
      <c r="P739" s="4" t="n">
        <v>1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</row>
    <row r="740" customFormat="false" ht="15" hidden="false" customHeight="false" outlineLevel="0" collapsed="false">
      <c r="A740" s="4" t="s">
        <v>3219</v>
      </c>
      <c r="B740" s="4" t="n">
        <v>2022</v>
      </c>
      <c r="C740" s="4" t="str">
        <f aca="false">FLOOR(B740,10)&amp;"s"</f>
        <v>2020s</v>
      </c>
      <c r="D740" s="4" t="s">
        <v>3220</v>
      </c>
      <c r="E740" s="25" t="str">
        <f aca="false">IF(G740=1,"✓","")</f>
        <v/>
      </c>
      <c r="F740" s="4" t="n">
        <v>1</v>
      </c>
      <c r="G740" s="4" t="n">
        <f aca="false">IF(COUNTIF('Letterboxd Watched'!$E$2:$E$3000,M740)&gt;0,1,0)</f>
        <v>0</v>
      </c>
      <c r="H740" s="4" t="n">
        <v>2</v>
      </c>
      <c r="I740" s="4" t="s">
        <v>213</v>
      </c>
      <c r="J740" s="4" t="s">
        <v>52</v>
      </c>
      <c r="K740" s="4" t="s">
        <v>4064</v>
      </c>
      <c r="L740" s="48" t="str">
        <f aca="false">HYPERLINK("https://boxd.it/rM0m","open")</f>
        <v>open</v>
      </c>
      <c r="M740" s="4" t="str">
        <f aca="false">LOWER(A740)&amp;"|"&amp;B740</f>
        <v>enys men|2022</v>
      </c>
      <c r="N740" s="4" t="n">
        <v>0</v>
      </c>
      <c r="O740" s="4" t="n">
        <v>0</v>
      </c>
      <c r="P740" s="4" t="n">
        <v>0</v>
      </c>
      <c r="Q740" s="4" t="n">
        <v>1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</row>
    <row r="741" customFormat="false" ht="15" hidden="false" customHeight="false" outlineLevel="0" collapsed="false">
      <c r="A741" s="4" t="s">
        <v>218</v>
      </c>
      <c r="B741" s="4" t="n">
        <v>1977</v>
      </c>
      <c r="C741" s="4" t="str">
        <f aca="false">FLOOR(B741,10)&amp;"s"</f>
        <v>1970s</v>
      </c>
      <c r="D741" s="4" t="s">
        <v>154</v>
      </c>
      <c r="E741" s="25" t="str">
        <f aca="false">IF(G741=1,"✓","")</f>
        <v>✓</v>
      </c>
      <c r="F741" s="4" t="n">
        <v>6</v>
      </c>
      <c r="G741" s="4" t="n">
        <f aca="false">IF(COUNTIF('Letterboxd Watched'!$E$2:$E$3000,M741)&gt;0,1,0)</f>
        <v>1</v>
      </c>
      <c r="H741" s="4" t="n">
        <v>14</v>
      </c>
      <c r="I741" s="4" t="s">
        <v>144</v>
      </c>
      <c r="J741" s="4" t="s">
        <v>49</v>
      </c>
      <c r="K741" s="4" t="s">
        <v>5380</v>
      </c>
      <c r="L741" s="48" t="str">
        <f aca="false">HYPERLINK("https://boxd.it/299u","open")</f>
        <v>open</v>
      </c>
      <c r="M741" s="4" t="str">
        <f aca="false">LOWER(A741)&amp;"|"&amp;B741</f>
        <v>eraserhead|1977</v>
      </c>
      <c r="N741" s="4" t="n">
        <v>1</v>
      </c>
      <c r="O741" s="4" t="n">
        <v>0</v>
      </c>
      <c r="P741" s="4" t="n">
        <v>0</v>
      </c>
      <c r="Q741" s="4" t="n">
        <v>0</v>
      </c>
      <c r="R741" s="4" t="n">
        <v>1</v>
      </c>
      <c r="S741" s="4" t="n">
        <v>1</v>
      </c>
      <c r="T741" s="4" t="n">
        <v>0</v>
      </c>
      <c r="U741" s="4" t="n">
        <v>1</v>
      </c>
      <c r="V741" s="4" t="n">
        <v>0</v>
      </c>
      <c r="W741" s="4" t="n">
        <v>1</v>
      </c>
    </row>
    <row r="742" customFormat="false" ht="15" hidden="false" customHeight="false" outlineLevel="0" collapsed="false">
      <c r="A742" s="4" t="s">
        <v>2723</v>
      </c>
      <c r="B742" s="4" t="n">
        <v>2000</v>
      </c>
      <c r="C742" s="4" t="str">
        <f aca="false">FLOOR(B742,10)&amp;"s"</f>
        <v>2000s</v>
      </c>
      <c r="D742" s="4" t="s">
        <v>490</v>
      </c>
      <c r="E742" s="25" t="str">
        <f aca="false">IF(G742=1,"✓","")</f>
        <v>✓</v>
      </c>
      <c r="F742" s="4" t="n">
        <v>1</v>
      </c>
      <c r="G742" s="4" t="n">
        <f aca="false">IF(COUNTIF('Letterboxd Watched'!$E$2:$E$3000,M742)&gt;0,1,0)</f>
        <v>1</v>
      </c>
      <c r="H742" s="4" t="n">
        <v>2</v>
      </c>
      <c r="I742" s="4" t="s">
        <v>213</v>
      </c>
      <c r="J742" s="4" t="s">
        <v>53</v>
      </c>
      <c r="K742" s="4" t="s">
        <v>490</v>
      </c>
      <c r="L742" s="48" t="str">
        <f aca="false">HYPERLINK("https://boxd.it/2al2","open")</f>
        <v>open</v>
      </c>
      <c r="M742" s="4" t="str">
        <f aca="false">LOWER(A742)&amp;"|"&amp;B742</f>
        <v>erin brockovich|2000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1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</row>
    <row r="743" customFormat="false" ht="15" hidden="false" customHeight="false" outlineLevel="0" collapsed="false">
      <c r="A743" s="4" t="s">
        <v>2134</v>
      </c>
      <c r="B743" s="4" t="n">
        <v>1969</v>
      </c>
      <c r="C743" s="4" t="str">
        <f aca="false">FLOOR(B743,10)&amp;"s"</f>
        <v>1960s</v>
      </c>
      <c r="D743" s="4" t="s">
        <v>2135</v>
      </c>
      <c r="E743" s="25" t="str">
        <f aca="false">IF(G743=1,"✓","")</f>
        <v/>
      </c>
      <c r="F743" s="4" t="n">
        <v>1</v>
      </c>
      <c r="G743" s="4" t="n">
        <f aca="false">IF(COUNTIF('Letterboxd Watched'!$E$2:$E$3000,M743)&gt;0,1,0)</f>
        <v>0</v>
      </c>
      <c r="H743" s="4" t="n">
        <v>2</v>
      </c>
      <c r="I743" s="4" t="s">
        <v>213</v>
      </c>
      <c r="J743" s="4" t="s">
        <v>51</v>
      </c>
      <c r="K743" s="4" t="s">
        <v>3932</v>
      </c>
      <c r="L743" s="48" t="str">
        <f aca="false">HYPERLINK("https://letterboxd.com/search/films/Eros+Massacre+1969/","open")</f>
        <v>open</v>
      </c>
      <c r="M743" s="4" t="str">
        <f aca="false">LOWER(A743)&amp;"|"&amp;B743</f>
        <v>eros + massacre|1969</v>
      </c>
      <c r="N743" s="4" t="n">
        <v>0</v>
      </c>
      <c r="O743" s="4" t="n">
        <v>0</v>
      </c>
      <c r="P743" s="4" t="n">
        <v>1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</row>
    <row r="744" customFormat="false" ht="15" hidden="false" customHeight="false" outlineLevel="0" collapsed="false">
      <c r="A744" s="4" t="s">
        <v>888</v>
      </c>
      <c r="B744" s="4" t="n">
        <v>1979</v>
      </c>
      <c r="C744" s="4" t="str">
        <f aca="false">FLOOR(B744,10)&amp;"s"</f>
        <v>1970s</v>
      </c>
      <c r="D744" s="4" t="s">
        <v>409</v>
      </c>
      <c r="E744" s="25" t="str">
        <f aca="false">IF(G744=1,"✓","")</f>
        <v/>
      </c>
      <c r="F744" s="4" t="n">
        <v>2</v>
      </c>
      <c r="G744" s="4" t="n">
        <f aca="false">IF(COUNTIF('Letterboxd Watched'!$E$2:$E$3000,M744)&gt;0,1,0)</f>
        <v>0</v>
      </c>
      <c r="H744" s="4" t="n">
        <v>5</v>
      </c>
      <c r="I744" s="4" t="s">
        <v>144</v>
      </c>
      <c r="J744" s="4" t="s">
        <v>55</v>
      </c>
      <c r="K744" s="4" t="s">
        <v>5381</v>
      </c>
      <c r="L744" s="48" t="str">
        <f aca="false">HYPERLINK("https://boxd.it/1Vwk","open")</f>
        <v>open</v>
      </c>
      <c r="M744" s="4" t="str">
        <f aca="false">LOWER(A744)&amp;"|"&amp;B744</f>
        <v>escape from alcatraz|1979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1</v>
      </c>
      <c r="U744" s="4" t="n">
        <v>0</v>
      </c>
      <c r="V744" s="4" t="n">
        <v>0</v>
      </c>
      <c r="W744" s="4" t="n">
        <v>0</v>
      </c>
    </row>
    <row r="745" customFormat="false" ht="15" hidden="false" customHeight="false" outlineLevel="0" collapsed="false">
      <c r="A745" s="4" t="s">
        <v>2352</v>
      </c>
      <c r="B745" s="4" t="n">
        <v>1981</v>
      </c>
      <c r="C745" s="4" t="str">
        <f aca="false">FLOOR(B745,10)&amp;"s"</f>
        <v>1980s</v>
      </c>
      <c r="D745" s="4" t="s">
        <v>266</v>
      </c>
      <c r="E745" s="25" t="str">
        <f aca="false">IF(G745=1,"✓","")</f>
        <v>✓</v>
      </c>
      <c r="F745" s="4" t="n">
        <v>1</v>
      </c>
      <c r="G745" s="4" t="n">
        <f aca="false">IF(COUNTIF('Letterboxd Watched'!$E$2:$E$3000,M745)&gt;0,1,0)</f>
        <v>1</v>
      </c>
      <c r="H745" s="4" t="n">
        <v>2</v>
      </c>
      <c r="I745" s="4" t="s">
        <v>213</v>
      </c>
      <c r="J745" s="4" t="s">
        <v>53</v>
      </c>
      <c r="K745" s="4" t="s">
        <v>266</v>
      </c>
      <c r="L745" s="48" t="str">
        <f aca="false">HYPERLINK("https://boxd.it/294k","open")</f>
        <v>open</v>
      </c>
      <c r="M745" s="4" t="str">
        <f aca="false">LOWER(A745)&amp;"|"&amp;B745</f>
        <v>escape from new york|1981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1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</row>
    <row r="746" customFormat="false" ht="15" hidden="false" customHeight="false" outlineLevel="0" collapsed="false">
      <c r="A746" s="4" t="s">
        <v>510</v>
      </c>
      <c r="B746" s="4" t="n">
        <v>2004</v>
      </c>
      <c r="C746" s="4" t="str">
        <f aca="false">FLOOR(B746,10)&amp;"s"</f>
        <v>2000s</v>
      </c>
      <c r="D746" s="4" t="s">
        <v>511</v>
      </c>
      <c r="E746" s="25" t="str">
        <f aca="false">IF(G746=1,"✓","")</f>
        <v>✓</v>
      </c>
      <c r="F746" s="4" t="n">
        <v>3</v>
      </c>
      <c r="G746" s="4" t="n">
        <f aca="false">IF(COUNTIF('Letterboxd Watched'!$E$2:$E$3000,M746)&gt;0,1,0)</f>
        <v>1</v>
      </c>
      <c r="H746" s="4" t="n">
        <v>7</v>
      </c>
      <c r="I746" s="4" t="s">
        <v>144</v>
      </c>
      <c r="J746" s="4" t="s">
        <v>49</v>
      </c>
      <c r="K746" s="4" t="s">
        <v>5382</v>
      </c>
      <c r="L746" s="48" t="str">
        <f aca="false">HYPERLINK("https://boxd.it/6YK","open")</f>
        <v>open</v>
      </c>
      <c r="M746" s="4" t="str">
        <f aca="false">LOWER(A746)&amp;"|"&amp;B746</f>
        <v>eternal sunshine of the spotless mind|2004</v>
      </c>
      <c r="N746" s="4" t="n">
        <v>1</v>
      </c>
      <c r="O746" s="4" t="n">
        <v>0</v>
      </c>
      <c r="P746" s="4" t="n">
        <v>0</v>
      </c>
      <c r="Q746" s="4" t="n">
        <v>0</v>
      </c>
      <c r="R746" s="4" t="n">
        <v>1</v>
      </c>
      <c r="S746" s="4" t="n">
        <v>1</v>
      </c>
      <c r="T746" s="4" t="n">
        <v>0</v>
      </c>
      <c r="U746" s="4" t="n">
        <v>0</v>
      </c>
      <c r="V746" s="4" t="n">
        <v>0</v>
      </c>
      <c r="W746" s="4" t="n">
        <v>0</v>
      </c>
    </row>
    <row r="747" customFormat="false" ht="15" hidden="false" customHeight="false" outlineLevel="0" collapsed="false">
      <c r="A747" s="4" t="s">
        <v>3730</v>
      </c>
      <c r="B747" s="4" t="n">
        <v>2002</v>
      </c>
      <c r="C747" s="4" t="str">
        <f aca="false">FLOOR(B747,10)&amp;"s"</f>
        <v>2000s</v>
      </c>
      <c r="D747" s="4" t="s">
        <v>3731</v>
      </c>
      <c r="E747" s="25" t="str">
        <f aca="false">IF(G747=1,"✓","")</f>
        <v/>
      </c>
      <c r="F747" s="4" t="n">
        <v>1</v>
      </c>
      <c r="G747" s="4" t="n">
        <f aca="false">IF(COUNTIF('Letterboxd Watched'!$E$2:$E$3000,M747)&gt;0,1,0)</f>
        <v>0</v>
      </c>
      <c r="H747" s="4" t="n">
        <v>1</v>
      </c>
      <c r="I747" s="4" t="s">
        <v>1327</v>
      </c>
      <c r="J747" s="4" t="s">
        <v>55</v>
      </c>
      <c r="K747" s="4" t="s">
        <v>4346</v>
      </c>
      <c r="L747" s="48" t="str">
        <f aca="false">HYPERLINK("https://letterboxd.com/search/films/Etre+et+avoir+2002/","open")</f>
        <v>open</v>
      </c>
      <c r="M747" s="4" t="str">
        <f aca="false">LOWER(A747)&amp;"|"&amp;B747</f>
        <v>etre et avoir|2002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1</v>
      </c>
      <c r="U747" s="4" t="n">
        <v>0</v>
      </c>
      <c r="V747" s="4" t="n">
        <v>0</v>
      </c>
      <c r="W747" s="4" t="n">
        <v>0</v>
      </c>
    </row>
    <row r="748" customFormat="false" ht="15" hidden="false" customHeight="false" outlineLevel="0" collapsed="false">
      <c r="A748" s="4" t="s">
        <v>3713</v>
      </c>
      <c r="B748" s="4" t="n">
        <v>2000</v>
      </c>
      <c r="C748" s="4" t="str">
        <f aca="false">FLOOR(B748,10)&amp;"s"</f>
        <v>2000s</v>
      </c>
      <c r="D748" s="4" t="s">
        <v>3714</v>
      </c>
      <c r="E748" s="25" t="str">
        <f aca="false">IF(G748=1,"✓","")</f>
        <v/>
      </c>
      <c r="F748" s="4" t="n">
        <v>1</v>
      </c>
      <c r="G748" s="4" t="n">
        <f aca="false">IF(COUNTIF('Letterboxd Watched'!$E$2:$E$3000,M748)&gt;0,1,0)</f>
        <v>0</v>
      </c>
      <c r="H748" s="4" t="n">
        <v>1</v>
      </c>
      <c r="I748" s="4" t="s">
        <v>1327</v>
      </c>
      <c r="J748" s="4" t="s">
        <v>51</v>
      </c>
      <c r="K748" s="4" t="s">
        <v>3940</v>
      </c>
      <c r="L748" s="48" t="str">
        <f aca="false">HYPERLINK("https://boxd.it/16TC","open")</f>
        <v>open</v>
      </c>
      <c r="M748" s="4" t="str">
        <f aca="false">LOWER(A748)&amp;"|"&amp;B748</f>
        <v>eureka|2000</v>
      </c>
      <c r="N748" s="4" t="n">
        <v>0</v>
      </c>
      <c r="O748" s="4" t="n">
        <v>0</v>
      </c>
      <c r="P748" s="4" t="n">
        <v>1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</row>
    <row r="749" customFormat="false" ht="15" hidden="false" customHeight="false" outlineLevel="0" collapsed="false">
      <c r="A749" s="4" t="s">
        <v>3365</v>
      </c>
      <c r="B749" s="4" t="n">
        <v>1952</v>
      </c>
      <c r="C749" s="4" t="str">
        <f aca="false">FLOOR(B749,10)&amp;"s"</f>
        <v>1950s</v>
      </c>
      <c r="D749" s="4" t="s">
        <v>268</v>
      </c>
      <c r="E749" s="25" t="str">
        <f aca="false">IF(G749=1,"✓","")</f>
        <v/>
      </c>
      <c r="F749" s="4" t="n">
        <v>1</v>
      </c>
      <c r="G749" s="4" t="n">
        <f aca="false">IF(COUNTIF('Letterboxd Watched'!$E$2:$E$3000,M749)&gt;0,1,0)</f>
        <v>0</v>
      </c>
      <c r="H749" s="4" t="n">
        <v>1</v>
      </c>
      <c r="I749" s="4" t="s">
        <v>1327</v>
      </c>
      <c r="J749" s="4" t="s">
        <v>54</v>
      </c>
      <c r="K749" s="4" t="s">
        <v>4274</v>
      </c>
      <c r="L749" s="48" t="str">
        <f aca="false">HYPERLINK("https://letterboxd.com/search/films/Europe+51+1952/","open")</f>
        <v>open</v>
      </c>
      <c r="M749" s="4" t="str">
        <f aca="false">LOWER(A749)&amp;"|"&amp;B749</f>
        <v>europe '51|1952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1</v>
      </c>
      <c r="T749" s="4" t="n">
        <v>0</v>
      </c>
      <c r="U749" s="4" t="n">
        <v>0</v>
      </c>
      <c r="V749" s="4" t="n">
        <v>0</v>
      </c>
      <c r="W749" s="4" t="n">
        <v>0</v>
      </c>
    </row>
    <row r="750" customFormat="false" ht="15" hidden="false" customHeight="false" outlineLevel="0" collapsed="false">
      <c r="A750" s="4" t="s">
        <v>840</v>
      </c>
      <c r="B750" s="4" t="n">
        <v>1997</v>
      </c>
      <c r="C750" s="4" t="str">
        <f aca="false">FLOOR(B750,10)&amp;"s"</f>
        <v>1990s</v>
      </c>
      <c r="D750" s="4" t="s">
        <v>841</v>
      </c>
      <c r="E750" s="25" t="str">
        <f aca="false">IF(G750=1,"✓","")</f>
        <v/>
      </c>
      <c r="F750" s="4" t="n">
        <v>2</v>
      </c>
      <c r="G750" s="4" t="n">
        <f aca="false">IF(COUNTIF('Letterboxd Watched'!$E$2:$E$3000,M750)&gt;0,1,0)</f>
        <v>0</v>
      </c>
      <c r="H750" s="4" t="n">
        <v>5</v>
      </c>
      <c r="I750" s="4" t="s">
        <v>144</v>
      </c>
      <c r="J750" s="4" t="s">
        <v>54</v>
      </c>
      <c r="K750" s="4" t="s">
        <v>5383</v>
      </c>
      <c r="L750" s="48" t="str">
        <f aca="false">HYPERLINK("https://boxd.it/QdU","open")</f>
        <v>open</v>
      </c>
      <c r="M750" s="4" t="str">
        <f aca="false">LOWER(A750)&amp;"|"&amp;B750</f>
        <v>eve's bayou|1997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1</v>
      </c>
      <c r="T750" s="4" t="n">
        <v>0</v>
      </c>
      <c r="U750" s="4" t="n">
        <v>1</v>
      </c>
      <c r="V750" s="4" t="n">
        <v>0</v>
      </c>
      <c r="W750" s="4" t="n">
        <v>0</v>
      </c>
    </row>
    <row r="751" customFormat="false" ht="15" hidden="false" customHeight="false" outlineLevel="0" collapsed="false">
      <c r="A751" s="4" t="s">
        <v>2161</v>
      </c>
      <c r="B751" s="4" t="n">
        <v>1970</v>
      </c>
      <c r="C751" s="4" t="str">
        <f aca="false">FLOOR(B751,10)&amp;"s"</f>
        <v>1970s</v>
      </c>
      <c r="D751" s="4" t="s">
        <v>292</v>
      </c>
      <c r="E751" s="25" t="str">
        <f aca="false">IF(G751=1,"✓","")</f>
        <v/>
      </c>
      <c r="F751" s="4" t="n">
        <v>1</v>
      </c>
      <c r="G751" s="4" t="n">
        <f aca="false">IF(COUNTIF('Letterboxd Watched'!$E$2:$E$3000,M751)&gt;0,1,0)</f>
        <v>0</v>
      </c>
      <c r="H751" s="4" t="n">
        <v>2</v>
      </c>
      <c r="I751" s="4" t="s">
        <v>213</v>
      </c>
      <c r="J751" s="4" t="s">
        <v>53</v>
      </c>
      <c r="K751" s="4" t="s">
        <v>292</v>
      </c>
      <c r="L751" s="48" t="str">
        <f aca="false">HYPERLINK("https://boxd.it/1SOU","open")</f>
        <v>open</v>
      </c>
      <c r="M751" s="4" t="str">
        <f aca="false">LOWER(A751)&amp;"|"&amp;B751</f>
        <v>even dwarfs started small|1970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1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 customFormat="false" ht="15" hidden="false" customHeight="false" outlineLevel="0" collapsed="false">
      <c r="A752" s="4" t="s">
        <v>1118</v>
      </c>
      <c r="B752" s="4" t="n">
        <v>1997</v>
      </c>
      <c r="C752" s="4" t="str">
        <f aca="false">FLOOR(B752,10)&amp;"s"</f>
        <v>1990s</v>
      </c>
      <c r="D752" s="4" t="s">
        <v>1119</v>
      </c>
      <c r="E752" s="25" t="str">
        <f aca="false">IF(G752=1,"✓","")</f>
        <v/>
      </c>
      <c r="F752" s="4" t="n">
        <v>2</v>
      </c>
      <c r="G752" s="4" t="n">
        <f aca="false">IF(COUNTIF('Letterboxd Watched'!$E$2:$E$3000,M752)&gt;0,1,0)</f>
        <v>0</v>
      </c>
      <c r="H752" s="4" t="n">
        <v>4</v>
      </c>
      <c r="I752" s="4" t="s">
        <v>213</v>
      </c>
      <c r="J752" s="4" t="s">
        <v>52</v>
      </c>
      <c r="K752" s="4" t="s">
        <v>5384</v>
      </c>
      <c r="L752" s="48" t="str">
        <f aca="false">HYPERLINK("https://boxd.it/20d8","open")</f>
        <v>open</v>
      </c>
      <c r="M752" s="4" t="str">
        <f aca="false">LOWER(A752)&amp;"|"&amp;B752</f>
        <v>event horizon|1997</v>
      </c>
      <c r="N752" s="4" t="n">
        <v>0</v>
      </c>
      <c r="O752" s="4" t="n">
        <v>0</v>
      </c>
      <c r="P752" s="4" t="n">
        <v>0</v>
      </c>
      <c r="Q752" s="4" t="n">
        <v>1</v>
      </c>
      <c r="R752" s="4" t="n">
        <v>0</v>
      </c>
      <c r="S752" s="4" t="n">
        <v>1</v>
      </c>
      <c r="T752" s="4" t="n">
        <v>0</v>
      </c>
      <c r="U752" s="4" t="n">
        <v>0</v>
      </c>
      <c r="V752" s="4" t="n">
        <v>0</v>
      </c>
      <c r="W752" s="4" t="n">
        <v>0</v>
      </c>
    </row>
    <row r="753" customFormat="false" ht="15" hidden="false" customHeight="false" outlineLevel="0" collapsed="false">
      <c r="A753" s="4" t="s">
        <v>1230</v>
      </c>
      <c r="B753" s="4" t="n">
        <v>2016</v>
      </c>
      <c r="C753" s="4" t="str">
        <f aca="false">FLOOR(B753,10)&amp;"s"</f>
        <v>2010s</v>
      </c>
      <c r="D753" s="4" t="s">
        <v>320</v>
      </c>
      <c r="E753" s="25" t="str">
        <f aca="false">IF(G753=1,"✓","")</f>
        <v/>
      </c>
      <c r="F753" s="4" t="n">
        <v>2</v>
      </c>
      <c r="G753" s="4" t="n">
        <f aca="false">IF(COUNTIF('Letterboxd Watched'!$E$2:$E$3000,M753)&gt;0,1,0)</f>
        <v>0</v>
      </c>
      <c r="H753" s="4" t="n">
        <v>4</v>
      </c>
      <c r="I753" s="4" t="s">
        <v>213</v>
      </c>
      <c r="J753" s="4" t="s">
        <v>53</v>
      </c>
      <c r="K753" s="4" t="s">
        <v>5385</v>
      </c>
      <c r="L753" s="48" t="str">
        <f aca="false">HYPERLINK("https://boxd.it/9mgM","open")</f>
        <v>open</v>
      </c>
      <c r="M753" s="4" t="str">
        <f aca="false">LOWER(A753)&amp;"|"&amp;B753</f>
        <v>everybody wants some!!|2016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1</v>
      </c>
      <c r="S753" s="4" t="n">
        <v>0</v>
      </c>
      <c r="T753" s="4" t="n">
        <v>0</v>
      </c>
      <c r="U753" s="4" t="n">
        <v>1</v>
      </c>
      <c r="V753" s="4" t="n">
        <v>0</v>
      </c>
      <c r="W753" s="4" t="n">
        <v>0</v>
      </c>
    </row>
    <row r="754" customFormat="false" ht="15" hidden="false" customHeight="false" outlineLevel="0" collapsed="false">
      <c r="A754" s="4" t="s">
        <v>1642</v>
      </c>
      <c r="B754" s="4" t="n">
        <v>2022</v>
      </c>
      <c r="C754" s="4" t="str">
        <f aca="false">FLOOR(B754,10)&amp;"s"</f>
        <v>2020s</v>
      </c>
      <c r="D754" s="4" t="s">
        <v>1643</v>
      </c>
      <c r="E754" s="25" t="str">
        <f aca="false">IF(G754=1,"✓","")</f>
        <v>✓</v>
      </c>
      <c r="F754" s="4" t="n">
        <v>1</v>
      </c>
      <c r="G754" s="4" t="n">
        <f aca="false">IF(COUNTIF('Letterboxd Watched'!$E$2:$E$3000,M754)&gt;0,1,0)</f>
        <v>1</v>
      </c>
      <c r="H754" s="4" t="n">
        <v>3</v>
      </c>
      <c r="I754" s="4" t="s">
        <v>144</v>
      </c>
      <c r="J754" s="4" t="s">
        <v>57</v>
      </c>
      <c r="K754" s="4" t="s">
        <v>4450</v>
      </c>
      <c r="L754" s="48" t="str">
        <f aca="false">HYPERLINK("https://boxd.it/jUk4","open")</f>
        <v>open</v>
      </c>
      <c r="M754" s="4" t="str">
        <f aca="false">LOWER(A754)&amp;"|"&amp;B754</f>
        <v>everything everywhere all at once|2022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1</v>
      </c>
      <c r="W754" s="4" t="n">
        <v>0</v>
      </c>
    </row>
    <row r="755" customFormat="false" ht="15" hidden="false" customHeight="false" outlineLevel="0" collapsed="false">
      <c r="A755" s="4" t="s">
        <v>1526</v>
      </c>
      <c r="B755" s="4" t="n">
        <v>1981</v>
      </c>
      <c r="C755" s="4" t="str">
        <f aca="false">FLOOR(B755,10)&amp;"s"</f>
        <v>1980s</v>
      </c>
      <c r="D755" s="4" t="s">
        <v>1527</v>
      </c>
      <c r="E755" s="25" t="str">
        <f aca="false">IF(G755=1,"✓","")</f>
        <v/>
      </c>
      <c r="F755" s="4" t="n">
        <v>1</v>
      </c>
      <c r="G755" s="4" t="n">
        <f aca="false">IF(COUNTIF('Letterboxd Watched'!$E$2:$E$3000,M755)&gt;0,1,0)</f>
        <v>0</v>
      </c>
      <c r="H755" s="4" t="n">
        <v>3</v>
      </c>
      <c r="I755" s="4" t="s">
        <v>144</v>
      </c>
      <c r="J755" s="4" t="s">
        <v>56</v>
      </c>
      <c r="K755" s="4" t="s">
        <v>4406</v>
      </c>
      <c r="L755" s="48" t="str">
        <f aca="false">HYPERLINK("https://boxd.it/29Go","open")</f>
        <v>open</v>
      </c>
      <c r="M755" s="4" t="str">
        <f aca="false">LOWER(A755)&amp;"|"&amp;B755</f>
        <v>the evil dead|1981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1</v>
      </c>
      <c r="V755" s="4" t="n">
        <v>0</v>
      </c>
      <c r="W755" s="4" t="n">
        <v>0</v>
      </c>
    </row>
    <row r="756" customFormat="false" ht="15" hidden="false" customHeight="false" outlineLevel="0" collapsed="false">
      <c r="A756" s="4" t="s">
        <v>1423</v>
      </c>
      <c r="B756" s="4" t="n">
        <v>2023</v>
      </c>
      <c r="C756" s="4" t="str">
        <f aca="false">FLOOR(B756,10)&amp;"s"</f>
        <v>2020s</v>
      </c>
      <c r="D756" s="4" t="s">
        <v>881</v>
      </c>
      <c r="E756" s="25" t="str">
        <f aca="false">IF(G756=1,"✓","")</f>
        <v/>
      </c>
      <c r="F756" s="4" t="n">
        <v>2</v>
      </c>
      <c r="G756" s="4" t="n">
        <f aca="false">IF(COUNTIF('Letterboxd Watched'!$E$2:$E$3000,M756)&gt;0,1,0)</f>
        <v>0</v>
      </c>
      <c r="H756" s="4" t="n">
        <v>3</v>
      </c>
      <c r="I756" s="4" t="s">
        <v>213</v>
      </c>
      <c r="J756" s="4" t="s">
        <v>50</v>
      </c>
      <c r="K756" s="4" t="s">
        <v>5365</v>
      </c>
      <c r="L756" s="48" t="str">
        <f aca="false">HYPERLINK("https://boxd.it/HJrc","open")</f>
        <v>open</v>
      </c>
      <c r="M756" s="4" t="str">
        <f aca="false">LOWER(A756)&amp;"|"&amp;B756</f>
        <v>evil does not exist|2023</v>
      </c>
      <c r="N756" s="4" t="n">
        <v>0</v>
      </c>
      <c r="O756" s="4" t="n">
        <v>1</v>
      </c>
      <c r="P756" s="4" t="n">
        <v>1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</row>
    <row r="757" customFormat="false" ht="15" hidden="false" customHeight="false" outlineLevel="0" collapsed="false">
      <c r="A757" s="4" t="s">
        <v>645</v>
      </c>
      <c r="B757" s="4" t="n">
        <v>2015</v>
      </c>
      <c r="C757" s="4" t="str">
        <f aca="false">FLOOR(B757,10)&amp;"s"</f>
        <v>2010s</v>
      </c>
      <c r="D757" s="4" t="s">
        <v>646</v>
      </c>
      <c r="E757" s="25" t="str">
        <f aca="false">IF(G757=1,"✓","")</f>
        <v/>
      </c>
      <c r="F757" s="4" t="n">
        <v>3</v>
      </c>
      <c r="G757" s="4" t="n">
        <f aca="false">IF(COUNTIF('Letterboxd Watched'!$E$2:$E$3000,M757)&gt;0,1,0)</f>
        <v>0</v>
      </c>
      <c r="H757" s="4" t="n">
        <v>6</v>
      </c>
      <c r="I757" s="4" t="s">
        <v>213</v>
      </c>
      <c r="J757" s="4" t="s">
        <v>52</v>
      </c>
      <c r="K757" s="4" t="s">
        <v>5386</v>
      </c>
      <c r="L757" s="48" t="str">
        <f aca="false">HYPERLINK("https://boxd.it/7T2k","open")</f>
        <v>open</v>
      </c>
      <c r="M757" s="4" t="str">
        <f aca="false">LOWER(A757)&amp;"|"&amp;B757</f>
        <v>ex machina|2015</v>
      </c>
      <c r="N757" s="4" t="n">
        <v>0</v>
      </c>
      <c r="O757" s="4" t="n">
        <v>0</v>
      </c>
      <c r="P757" s="4" t="n">
        <v>0</v>
      </c>
      <c r="Q757" s="4" t="n">
        <v>1</v>
      </c>
      <c r="R757" s="4" t="n">
        <v>0</v>
      </c>
      <c r="S757" s="4" t="n">
        <v>0</v>
      </c>
      <c r="T757" s="4" t="n">
        <v>1</v>
      </c>
      <c r="U757" s="4" t="n">
        <v>0</v>
      </c>
      <c r="V757" s="4" t="n">
        <v>1</v>
      </c>
      <c r="W757" s="4" t="n">
        <v>0</v>
      </c>
    </row>
    <row r="758" customFormat="false" ht="15" hidden="false" customHeight="false" outlineLevel="0" collapsed="false">
      <c r="A758" s="4" t="s">
        <v>2024</v>
      </c>
      <c r="B758" s="4" t="n">
        <v>1963</v>
      </c>
      <c r="C758" s="4" t="str">
        <f aca="false">FLOOR(B758,10)&amp;"s"</f>
        <v>1960s</v>
      </c>
      <c r="D758" s="4" t="s">
        <v>1891</v>
      </c>
      <c r="E758" s="25" t="str">
        <f aca="false">IF(G758=1,"✓","")</f>
        <v/>
      </c>
      <c r="F758" s="4" t="n">
        <v>1</v>
      </c>
      <c r="G758" s="4" t="n">
        <f aca="false">IF(COUNTIF('Letterboxd Watched'!$E$2:$E$3000,M758)&gt;0,1,0)</f>
        <v>0</v>
      </c>
      <c r="H758" s="4" t="n">
        <v>2</v>
      </c>
      <c r="I758" s="4" t="s">
        <v>213</v>
      </c>
      <c r="J758" s="4" t="s">
        <v>51</v>
      </c>
      <c r="K758" s="4" t="s">
        <v>4002</v>
      </c>
      <c r="L758" s="48" t="str">
        <f aca="false">HYPERLINK("https://letterboxd.com/search/films/The+Executioner+1963/","open")</f>
        <v>open</v>
      </c>
      <c r="M758" s="4" t="str">
        <f aca="false">LOWER(A758)&amp;"|"&amp;B758</f>
        <v>the executioner|1963</v>
      </c>
      <c r="N758" s="4" t="n">
        <v>0</v>
      </c>
      <c r="O758" s="4" t="n">
        <v>0</v>
      </c>
      <c r="P758" s="4" t="n">
        <v>1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</row>
    <row r="759" customFormat="false" ht="15" hidden="false" customHeight="false" outlineLevel="0" collapsed="false">
      <c r="A759" s="4" t="s">
        <v>3517</v>
      </c>
      <c r="B759" s="4" t="n">
        <v>1973</v>
      </c>
      <c r="C759" s="4" t="str">
        <f aca="false">FLOOR(B759,10)&amp;"s"</f>
        <v>1970s</v>
      </c>
      <c r="D759" s="4" t="s">
        <v>3416</v>
      </c>
      <c r="E759" s="25" t="str">
        <f aca="false">IF(G759=1,"✓","")</f>
        <v/>
      </c>
      <c r="F759" s="4" t="n">
        <v>1</v>
      </c>
      <c r="G759" s="4" t="n">
        <f aca="false">IF(COUNTIF('Letterboxd Watched'!$E$2:$E$3000,M759)&gt;0,1,0)</f>
        <v>0</v>
      </c>
      <c r="H759" s="4" t="n">
        <v>1</v>
      </c>
      <c r="I759" s="4" t="s">
        <v>1327</v>
      </c>
      <c r="J759" s="4" t="s">
        <v>52</v>
      </c>
      <c r="K759" s="4" t="s">
        <v>4126</v>
      </c>
      <c r="L759" s="48" t="str">
        <f aca="false">HYPERLINK("https://boxd.it/1o6S","open")</f>
        <v>open</v>
      </c>
      <c r="M759" s="4" t="str">
        <f aca="false">LOWER(A759)&amp;"|"&amp;B759</f>
        <v>executive action|1973</v>
      </c>
      <c r="N759" s="4" t="n">
        <v>0</v>
      </c>
      <c r="O759" s="4" t="n">
        <v>0</v>
      </c>
      <c r="P759" s="4" t="n">
        <v>0</v>
      </c>
      <c r="Q759" s="4" t="n">
        <v>1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</row>
    <row r="760" customFormat="false" ht="15" hidden="false" customHeight="false" outlineLevel="0" collapsed="false">
      <c r="A760" s="4" t="s">
        <v>944</v>
      </c>
      <c r="B760" s="4" t="n">
        <v>1954</v>
      </c>
      <c r="C760" s="4" t="str">
        <f aca="false">FLOOR(B760,10)&amp;"s"</f>
        <v>1950s</v>
      </c>
      <c r="D760" s="4" t="s">
        <v>789</v>
      </c>
      <c r="E760" s="25" t="str">
        <f aca="false">IF(G760=1,"✓","")</f>
        <v/>
      </c>
      <c r="F760" s="4" t="n">
        <v>2</v>
      </c>
      <c r="G760" s="4" t="n">
        <f aca="false">IF(COUNTIF('Letterboxd Watched'!$E$2:$E$3000,M760)&gt;0,1,0)</f>
        <v>0</v>
      </c>
      <c r="H760" s="4" t="n">
        <v>4</v>
      </c>
      <c r="I760" s="4" t="s">
        <v>213</v>
      </c>
      <c r="J760" s="4" t="s">
        <v>55</v>
      </c>
      <c r="K760" s="4" t="s">
        <v>5387</v>
      </c>
      <c r="L760" s="48" t="str">
        <f aca="false">HYPERLINK("https://letterboxd.com/search/films/Executive+Suite+1954/","open")</f>
        <v>open</v>
      </c>
      <c r="M760" s="4" t="str">
        <f aca="false">LOWER(A760)&amp;"|"&amp;B760</f>
        <v>executive suite|1954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1</v>
      </c>
      <c r="U760" s="4" t="n">
        <v>0</v>
      </c>
      <c r="V760" s="4" t="n">
        <v>0</v>
      </c>
      <c r="W760" s="4" t="n">
        <v>1</v>
      </c>
    </row>
    <row r="761" customFormat="false" ht="15" hidden="false" customHeight="false" outlineLevel="0" collapsed="false">
      <c r="A761" s="4" t="s">
        <v>3755</v>
      </c>
      <c r="B761" s="4" t="n">
        <v>2006</v>
      </c>
      <c r="C761" s="4" t="str">
        <f aca="false">FLOOR(B761,10)&amp;"s"</f>
        <v>2000s</v>
      </c>
      <c r="D761" s="4" t="s">
        <v>3738</v>
      </c>
      <c r="E761" s="25" t="str">
        <f aca="false">IF(G761=1,"✓","")</f>
        <v/>
      </c>
      <c r="F761" s="4" t="n">
        <v>1</v>
      </c>
      <c r="G761" s="4" t="n">
        <f aca="false">IF(COUNTIF('Letterboxd Watched'!$E$2:$E$3000,M761)&gt;0,1,0)</f>
        <v>0</v>
      </c>
      <c r="H761" s="4" t="n">
        <v>1</v>
      </c>
      <c r="I761" s="4" t="s">
        <v>1327</v>
      </c>
      <c r="J761" s="4" t="s">
        <v>51</v>
      </c>
      <c r="K761" s="4" t="s">
        <v>4012</v>
      </c>
      <c r="L761" s="48" t="str">
        <f aca="false">HYPERLINK("https://letterboxd.com/search/films/Exiled+2006/","open")</f>
        <v>open</v>
      </c>
      <c r="M761" s="4" t="str">
        <f aca="false">LOWER(A761)&amp;"|"&amp;B761</f>
        <v>exiled|2006</v>
      </c>
      <c r="N761" s="4" t="n">
        <v>0</v>
      </c>
      <c r="O761" s="4" t="n">
        <v>0</v>
      </c>
      <c r="P761" s="4" t="n">
        <v>1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 customFormat="false" ht="15" hidden="false" customHeight="false" outlineLevel="0" collapsed="false">
      <c r="A762" s="4" t="s">
        <v>2700</v>
      </c>
      <c r="B762" s="4" t="n">
        <v>1999</v>
      </c>
      <c r="C762" s="4" t="str">
        <f aca="false">FLOOR(B762,10)&amp;"s"</f>
        <v>1990s</v>
      </c>
      <c r="D762" s="4" t="s">
        <v>316</v>
      </c>
      <c r="E762" s="25" t="str">
        <f aca="false">IF(G762=1,"✓","")</f>
        <v/>
      </c>
      <c r="F762" s="4" t="n">
        <v>1</v>
      </c>
      <c r="G762" s="4" t="n">
        <f aca="false">IF(COUNTIF('Letterboxd Watched'!$E$2:$E$3000,M762)&gt;0,1,0)</f>
        <v>0</v>
      </c>
      <c r="H762" s="4" t="n">
        <v>2</v>
      </c>
      <c r="I762" s="4" t="s">
        <v>213</v>
      </c>
      <c r="J762" s="4" t="s">
        <v>52</v>
      </c>
      <c r="K762" s="4" t="s">
        <v>4088</v>
      </c>
      <c r="L762" s="48" t="str">
        <f aca="false">HYPERLINK("https://boxd.it/27Ni","open")</f>
        <v>open</v>
      </c>
      <c r="M762" s="4" t="str">
        <f aca="false">LOWER(A762)&amp;"|"&amp;B762</f>
        <v>existenz|1999</v>
      </c>
      <c r="N762" s="4" t="n">
        <v>0</v>
      </c>
      <c r="O762" s="4" t="n">
        <v>0</v>
      </c>
      <c r="P762" s="4" t="n">
        <v>0</v>
      </c>
      <c r="Q762" s="4" t="n">
        <v>1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</row>
    <row r="763" customFormat="false" ht="15" hidden="false" customHeight="false" outlineLevel="0" collapsed="false">
      <c r="A763" s="4" t="s">
        <v>2948</v>
      </c>
      <c r="B763" s="4" t="n">
        <v>2010</v>
      </c>
      <c r="C763" s="4" t="str">
        <f aca="false">FLOOR(B763,10)&amp;"s"</f>
        <v>2010s</v>
      </c>
      <c r="D763" s="4" t="s">
        <v>2949</v>
      </c>
      <c r="E763" s="25" t="str">
        <f aca="false">IF(G763=1,"✓","")</f>
        <v/>
      </c>
      <c r="F763" s="4" t="n">
        <v>1</v>
      </c>
      <c r="G763" s="4" t="n">
        <f aca="false">IF(COUNTIF('Letterboxd Watched'!$E$2:$E$3000,M763)&gt;0,1,0)</f>
        <v>0</v>
      </c>
      <c r="H763" s="4" t="n">
        <v>2</v>
      </c>
      <c r="I763" s="4" t="s">
        <v>213</v>
      </c>
      <c r="J763" s="4" t="s">
        <v>52</v>
      </c>
      <c r="K763" s="4" t="s">
        <v>4174</v>
      </c>
      <c r="L763" s="48" t="str">
        <f aca="false">HYPERLINK("https://boxd.it/13E0","open")</f>
        <v>open</v>
      </c>
      <c r="M763" s="4" t="str">
        <f aca="false">LOWER(A763)&amp;"|"&amp;B763</f>
        <v>exit through the gift shop|2010</v>
      </c>
      <c r="N763" s="4" t="n">
        <v>0</v>
      </c>
      <c r="O763" s="4" t="n">
        <v>0</v>
      </c>
      <c r="P763" s="4" t="n">
        <v>0</v>
      </c>
      <c r="Q763" s="4" t="n">
        <v>1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 customFormat="false" ht="15" hidden="false" customHeight="false" outlineLevel="0" collapsed="false">
      <c r="A764" s="4" t="s">
        <v>794</v>
      </c>
      <c r="B764" s="4" t="n">
        <v>1973</v>
      </c>
      <c r="C764" s="4" t="str">
        <f aca="false">FLOOR(B764,10)&amp;"s"</f>
        <v>1970s</v>
      </c>
      <c r="D764" s="4" t="s">
        <v>479</v>
      </c>
      <c r="E764" s="25" t="str">
        <f aca="false">IF(G764=1,"✓","")</f>
        <v>✓</v>
      </c>
      <c r="F764" s="4" t="n">
        <v>2</v>
      </c>
      <c r="G764" s="4" t="n">
        <f aca="false">IF(COUNTIF('Letterboxd Watched'!$E$2:$E$3000,M764)&gt;0,1,0)</f>
        <v>1</v>
      </c>
      <c r="H764" s="4" t="n">
        <v>5</v>
      </c>
      <c r="I764" s="4" t="s">
        <v>144</v>
      </c>
      <c r="J764" s="4" t="s">
        <v>52</v>
      </c>
      <c r="K764" s="4" t="s">
        <v>5388</v>
      </c>
      <c r="L764" s="48" t="str">
        <f aca="false">HYPERLINK("https://boxd.it/1Yoo","open")</f>
        <v>open</v>
      </c>
      <c r="M764" s="4" t="str">
        <f aca="false">LOWER(A764)&amp;"|"&amp;B764</f>
        <v>the exorcist|1973</v>
      </c>
      <c r="N764" s="4" t="n">
        <v>0</v>
      </c>
      <c r="O764" s="4" t="n">
        <v>0</v>
      </c>
      <c r="P764" s="4" t="n">
        <v>0</v>
      </c>
      <c r="Q764" s="4" t="n">
        <v>1</v>
      </c>
      <c r="R764" s="4" t="n">
        <v>0</v>
      </c>
      <c r="S764" s="4" t="n">
        <v>1</v>
      </c>
      <c r="T764" s="4" t="n">
        <v>0</v>
      </c>
      <c r="U764" s="4" t="n">
        <v>0</v>
      </c>
      <c r="V764" s="4" t="n">
        <v>0</v>
      </c>
      <c r="W764" s="4" t="n">
        <v>0</v>
      </c>
    </row>
    <row r="765" customFormat="false" ht="15" hidden="false" customHeight="false" outlineLevel="0" collapsed="false">
      <c r="A765" s="4" t="s">
        <v>3660</v>
      </c>
      <c r="B765" s="4" t="n">
        <v>1990</v>
      </c>
      <c r="C765" s="4" t="str">
        <f aca="false">FLOOR(B765,10)&amp;"s"</f>
        <v>1990s</v>
      </c>
      <c r="D765" s="4" t="s">
        <v>2335</v>
      </c>
      <c r="E765" s="25" t="str">
        <f aca="false">IF(G765=1,"✓","")</f>
        <v/>
      </c>
      <c r="F765" s="4" t="n">
        <v>1</v>
      </c>
      <c r="G765" s="4" t="n">
        <f aca="false">IF(COUNTIF('Letterboxd Watched'!$E$2:$E$3000,M765)&gt;0,1,0)</f>
        <v>0</v>
      </c>
      <c r="H765" s="4" t="n">
        <v>1</v>
      </c>
      <c r="I765" s="4" t="s">
        <v>1327</v>
      </c>
      <c r="J765" s="4" t="s">
        <v>52</v>
      </c>
      <c r="K765" s="4" t="s">
        <v>4066</v>
      </c>
      <c r="L765" s="48" t="str">
        <f aca="false">HYPERLINK("https://letterboxd.com/search/films/The+Exorcist+III+1990/","open")</f>
        <v>open</v>
      </c>
      <c r="M765" s="4" t="str">
        <f aca="false">LOWER(A765)&amp;"|"&amp;B765</f>
        <v>the exorcist iii|1990</v>
      </c>
      <c r="N765" s="4" t="n">
        <v>0</v>
      </c>
      <c r="O765" s="4" t="n">
        <v>0</v>
      </c>
      <c r="P765" s="4" t="n">
        <v>0</v>
      </c>
      <c r="Q765" s="4" t="n">
        <v>1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</row>
    <row r="766" customFormat="false" ht="15" hidden="false" customHeight="false" outlineLevel="0" collapsed="false">
      <c r="A766" s="4" t="s">
        <v>584</v>
      </c>
      <c r="B766" s="4" t="n">
        <v>1962</v>
      </c>
      <c r="C766" s="4" t="str">
        <f aca="false">FLOOR(B766,10)&amp;"s"</f>
        <v>1960s</v>
      </c>
      <c r="D766" s="4" t="s">
        <v>402</v>
      </c>
      <c r="E766" s="25" t="str">
        <f aca="false">IF(G766=1,"✓","")</f>
        <v/>
      </c>
      <c r="F766" s="4" t="n">
        <v>3</v>
      </c>
      <c r="G766" s="4" t="n">
        <f aca="false">IF(COUNTIF('Letterboxd Watched'!$E$2:$E$3000,M766)&gt;0,1,0)</f>
        <v>0</v>
      </c>
      <c r="H766" s="4" t="n">
        <v>6</v>
      </c>
      <c r="I766" s="4" t="s">
        <v>213</v>
      </c>
      <c r="J766" s="4" t="s">
        <v>51</v>
      </c>
      <c r="K766" s="4" t="s">
        <v>5389</v>
      </c>
      <c r="L766" s="48" t="str">
        <f aca="false">HYPERLINK("https://boxd.it/1nRS","open")</f>
        <v>open</v>
      </c>
      <c r="M766" s="4" t="str">
        <f aca="false">LOWER(A766)&amp;"|"&amp;B766</f>
        <v>the exterminating angel|1962</v>
      </c>
      <c r="N766" s="4" t="n">
        <v>0</v>
      </c>
      <c r="O766" s="4" t="n">
        <v>0</v>
      </c>
      <c r="P766" s="4" t="n">
        <v>1</v>
      </c>
      <c r="Q766" s="4" t="n">
        <v>0</v>
      </c>
      <c r="R766" s="4" t="n">
        <v>1</v>
      </c>
      <c r="S766" s="4" t="n">
        <v>0</v>
      </c>
      <c r="T766" s="4" t="n">
        <v>0</v>
      </c>
      <c r="U766" s="4" t="n">
        <v>1</v>
      </c>
      <c r="V766" s="4" t="n">
        <v>0</v>
      </c>
      <c r="W766" s="4" t="n">
        <v>0</v>
      </c>
    </row>
    <row r="767" customFormat="false" ht="15" hidden="false" customHeight="false" outlineLevel="0" collapsed="false">
      <c r="A767" s="4" t="s">
        <v>3285</v>
      </c>
      <c r="B767" s="4" t="n">
        <v>1924</v>
      </c>
      <c r="C767" s="4" t="str">
        <f aca="false">FLOOR(B767,10)&amp;"s"</f>
        <v>1920s</v>
      </c>
      <c r="D767" s="4" t="s">
        <v>3286</v>
      </c>
      <c r="E767" s="25" t="str">
        <f aca="false">IF(G767=1,"✓","")</f>
        <v/>
      </c>
      <c r="F767" s="4" t="n">
        <v>1</v>
      </c>
      <c r="G767" s="4" t="n">
        <f aca="false">IF(COUNTIF('Letterboxd Watched'!$E$2:$E$3000,M767)&gt;0,1,0)</f>
        <v>0</v>
      </c>
      <c r="H767" s="4" t="n">
        <v>1</v>
      </c>
      <c r="I767" s="4" t="s">
        <v>1327</v>
      </c>
      <c r="J767" s="4" t="s">
        <v>50</v>
      </c>
      <c r="K767" s="4" t="s">
        <v>3900</v>
      </c>
      <c r="L767" s="48" t="str">
        <f aca="false">HYPERLINK("https://boxd.it/1gnG","open")</f>
        <v>open</v>
      </c>
      <c r="M767" s="4" t="str">
        <f aca="false">LOWER(A767)&amp;"|"&amp;B767</f>
        <v>the extraordinary adventures of mr. west in the land of the bolsheviks|1924</v>
      </c>
      <c r="N767" s="4" t="n">
        <v>0</v>
      </c>
      <c r="O767" s="4" t="n">
        <v>1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</row>
    <row r="768" customFormat="false" ht="15" hidden="false" customHeight="false" outlineLevel="0" collapsed="false">
      <c r="A768" s="4" t="s">
        <v>629</v>
      </c>
      <c r="B768" s="4" t="n">
        <v>1999</v>
      </c>
      <c r="C768" s="4" t="str">
        <f aca="false">FLOOR(B768,10)&amp;"s"</f>
        <v>1990s</v>
      </c>
      <c r="D768" s="4" t="s">
        <v>187</v>
      </c>
      <c r="E768" s="25" t="str">
        <f aca="false">IF(G768=1,"✓","")</f>
        <v>✓</v>
      </c>
      <c r="F768" s="4" t="n">
        <v>3</v>
      </c>
      <c r="G768" s="4" t="n">
        <f aca="false">IF(COUNTIF('Letterboxd Watched'!$E$2:$E$3000,M768)&gt;0,1,0)</f>
        <v>1</v>
      </c>
      <c r="H768" s="4" t="n">
        <v>6</v>
      </c>
      <c r="I768" s="4" t="s">
        <v>213</v>
      </c>
      <c r="J768" s="4" t="s">
        <v>52</v>
      </c>
      <c r="K768" s="4" t="s">
        <v>5390</v>
      </c>
      <c r="L768" s="48" t="str">
        <f aca="false">HYPERLINK("https://boxd.it/2axs","open")</f>
        <v>open</v>
      </c>
      <c r="M768" s="4" t="str">
        <f aca="false">LOWER(A768)&amp;"|"&amp;B768</f>
        <v>eyes wide shut|1999</v>
      </c>
      <c r="N768" s="4" t="n">
        <v>0</v>
      </c>
      <c r="O768" s="4" t="n">
        <v>0</v>
      </c>
      <c r="P768" s="4" t="n">
        <v>0</v>
      </c>
      <c r="Q768" s="4" t="n">
        <v>1</v>
      </c>
      <c r="R768" s="4" t="n">
        <v>1</v>
      </c>
      <c r="S768" s="4" t="n">
        <v>0</v>
      </c>
      <c r="T768" s="4" t="n">
        <v>0</v>
      </c>
      <c r="U768" s="4" t="n">
        <v>1</v>
      </c>
      <c r="V768" s="4" t="n">
        <v>0</v>
      </c>
      <c r="W768" s="4" t="n">
        <v>0</v>
      </c>
    </row>
    <row r="769" customFormat="false" ht="15" hidden="false" customHeight="false" outlineLevel="0" collapsed="false">
      <c r="A769" s="4" t="s">
        <v>674</v>
      </c>
      <c r="B769" s="4" t="n">
        <v>1973</v>
      </c>
      <c r="C769" s="4" t="str">
        <f aca="false">FLOOR(B769,10)&amp;"s"</f>
        <v>1970s</v>
      </c>
      <c r="D769" s="4" t="s">
        <v>143</v>
      </c>
      <c r="E769" s="25" t="str">
        <f aca="false">IF(G769=1,"✓","")</f>
        <v>✓</v>
      </c>
      <c r="F769" s="4" t="n">
        <v>3</v>
      </c>
      <c r="G769" s="4" t="n">
        <f aca="false">IF(COUNTIF('Letterboxd Watched'!$E$2:$E$3000,M769)&gt;0,1,0)</f>
        <v>1</v>
      </c>
      <c r="H769" s="4" t="n">
        <v>6</v>
      </c>
      <c r="I769" s="4" t="s">
        <v>144</v>
      </c>
      <c r="J769" s="4" t="s">
        <v>52</v>
      </c>
      <c r="K769" s="4" t="s">
        <v>5391</v>
      </c>
      <c r="L769" s="48" t="str">
        <f aca="false">HYPERLINK("https://boxd.it/VxA","open")</f>
        <v>open</v>
      </c>
      <c r="M769" s="4" t="str">
        <f aca="false">LOWER(A769)&amp;"|"&amp;B769</f>
        <v>f for fake|1973</v>
      </c>
      <c r="N769" s="4" t="n">
        <v>0</v>
      </c>
      <c r="O769" s="4" t="n">
        <v>0</v>
      </c>
      <c r="P769" s="4" t="n">
        <v>0</v>
      </c>
      <c r="Q769" s="4" t="n">
        <v>1</v>
      </c>
      <c r="R769" s="4" t="n">
        <v>1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</row>
    <row r="770" customFormat="false" ht="15" hidden="false" customHeight="false" outlineLevel="0" collapsed="false">
      <c r="A770" s="4" t="s">
        <v>1266</v>
      </c>
      <c r="B770" s="4" t="n">
        <v>2022</v>
      </c>
      <c r="C770" s="4" t="str">
        <f aca="false">FLOOR(B770,10)&amp;"s"</f>
        <v>2020s</v>
      </c>
      <c r="D770" s="4" t="s">
        <v>183</v>
      </c>
      <c r="E770" s="25" t="str">
        <f aca="false">IF(G770=1,"✓","")</f>
        <v/>
      </c>
      <c r="F770" s="4" t="n">
        <v>2</v>
      </c>
      <c r="G770" s="4" t="n">
        <f aca="false">IF(COUNTIF('Letterboxd Watched'!$E$2:$E$3000,M770)&gt;0,1,0)</f>
        <v>0</v>
      </c>
      <c r="H770" s="4" t="n">
        <v>4</v>
      </c>
      <c r="I770" s="4" t="s">
        <v>213</v>
      </c>
      <c r="J770" s="4" t="s">
        <v>53</v>
      </c>
      <c r="K770" s="4" t="s">
        <v>5392</v>
      </c>
      <c r="L770" s="48" t="str">
        <f aca="false">HYPERLINK("https://boxd.it/ugoM","open")</f>
        <v>open</v>
      </c>
      <c r="M770" s="4" t="str">
        <f aca="false">LOWER(A770)&amp;"|"&amp;B770</f>
        <v>the fabelmans|2022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1</v>
      </c>
      <c r="S770" s="4" t="n">
        <v>0</v>
      </c>
      <c r="T770" s="4" t="n">
        <v>1</v>
      </c>
      <c r="U770" s="4" t="n">
        <v>0</v>
      </c>
      <c r="V770" s="4" t="n">
        <v>0</v>
      </c>
      <c r="W770" s="4" t="n">
        <v>0</v>
      </c>
    </row>
    <row r="771" customFormat="false" ht="15" hidden="false" customHeight="false" outlineLevel="0" collapsed="false">
      <c r="A771" s="4" t="s">
        <v>1321</v>
      </c>
      <c r="B771" s="4" t="n">
        <v>1957</v>
      </c>
      <c r="C771" s="4" t="str">
        <f aca="false">FLOOR(B771,10)&amp;"s"</f>
        <v>1950s</v>
      </c>
      <c r="D771" s="4" t="s">
        <v>375</v>
      </c>
      <c r="E771" s="25" t="str">
        <f aca="false">IF(G771=1,"✓","")</f>
        <v/>
      </c>
      <c r="F771" s="4" t="n">
        <v>2</v>
      </c>
      <c r="G771" s="4" t="n">
        <f aca="false">IF(COUNTIF('Letterboxd Watched'!$E$2:$E$3000,M771)&gt;0,1,0)</f>
        <v>0</v>
      </c>
      <c r="H771" s="4" t="n">
        <v>3</v>
      </c>
      <c r="I771" s="4" t="s">
        <v>213</v>
      </c>
      <c r="J771" s="4" t="s">
        <v>50</v>
      </c>
      <c r="K771" s="4" t="s">
        <v>5393</v>
      </c>
      <c r="L771" s="48" t="str">
        <f aca="false">HYPERLINK("https://boxd.it/2lyc","open")</f>
        <v>open</v>
      </c>
      <c r="M771" s="4" t="str">
        <f aca="false">LOWER(A771)&amp;"|"&amp;B771</f>
        <v>a face in the crowd|1957</v>
      </c>
      <c r="N771" s="4" t="n">
        <v>0</v>
      </c>
      <c r="O771" s="4" t="n">
        <v>1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1</v>
      </c>
      <c r="U771" s="4" t="n">
        <v>0</v>
      </c>
      <c r="V771" s="4" t="n">
        <v>0</v>
      </c>
      <c r="W771" s="4" t="n">
        <v>0</v>
      </c>
    </row>
    <row r="772" customFormat="false" ht="15" hidden="false" customHeight="false" outlineLevel="0" collapsed="false">
      <c r="A772" s="4" t="s">
        <v>3434</v>
      </c>
      <c r="B772" s="4" t="n">
        <v>1966</v>
      </c>
      <c r="C772" s="4" t="str">
        <f aca="false">FLOOR(B772,10)&amp;"s"</f>
        <v>1960s</v>
      </c>
      <c r="D772" s="4" t="s">
        <v>466</v>
      </c>
      <c r="E772" s="25" t="str">
        <f aca="false">IF(G772=1,"✓","")</f>
        <v/>
      </c>
      <c r="F772" s="4" t="n">
        <v>1</v>
      </c>
      <c r="G772" s="4" t="n">
        <f aca="false">IF(COUNTIF('Letterboxd Watched'!$E$2:$E$3000,M772)&gt;0,1,0)</f>
        <v>0</v>
      </c>
      <c r="H772" s="4" t="n">
        <v>1</v>
      </c>
      <c r="I772" s="4" t="s">
        <v>1327</v>
      </c>
      <c r="J772" s="4" t="s">
        <v>51</v>
      </c>
      <c r="K772" s="4" t="s">
        <v>3932</v>
      </c>
      <c r="L772" s="48" t="str">
        <f aca="false">HYPERLINK("https://boxd.it/1nso","open")</f>
        <v>open</v>
      </c>
      <c r="M772" s="4" t="str">
        <f aca="false">LOWER(A772)&amp;"|"&amp;B772</f>
        <v>the face of another|1966</v>
      </c>
      <c r="N772" s="4" t="n">
        <v>0</v>
      </c>
      <c r="O772" s="4" t="n">
        <v>0</v>
      </c>
      <c r="P772" s="4" t="n">
        <v>1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</row>
    <row r="773" customFormat="false" ht="15" hidden="false" customHeight="false" outlineLevel="0" collapsed="false">
      <c r="A773" s="4" t="s">
        <v>2672</v>
      </c>
      <c r="B773" s="4" t="n">
        <v>1997</v>
      </c>
      <c r="C773" s="4" t="str">
        <f aca="false">FLOOR(B773,10)&amp;"s"</f>
        <v>1990s</v>
      </c>
      <c r="D773" s="4" t="s">
        <v>1387</v>
      </c>
      <c r="E773" s="25" t="str">
        <f aca="false">IF(G773=1,"✓","")</f>
        <v/>
      </c>
      <c r="F773" s="4" t="n">
        <v>1</v>
      </c>
      <c r="G773" s="4" t="n">
        <f aca="false">IF(COUNTIF('Letterboxd Watched'!$E$2:$E$3000,M773)&gt;0,1,0)</f>
        <v>0</v>
      </c>
      <c r="H773" s="4" t="n">
        <v>2</v>
      </c>
      <c r="I773" s="4" t="s">
        <v>213</v>
      </c>
      <c r="J773" s="4" t="s">
        <v>52</v>
      </c>
      <c r="K773" s="4" t="s">
        <v>4158</v>
      </c>
      <c r="L773" s="48" t="str">
        <f aca="false">HYPERLINK("https://boxd.it/29I0","open")</f>
        <v>open</v>
      </c>
      <c r="M773" s="4" t="str">
        <f aca="false">LOWER(A773)&amp;"|"&amp;B773</f>
        <v>face/off|1997</v>
      </c>
      <c r="N773" s="4" t="n">
        <v>0</v>
      </c>
      <c r="O773" s="4" t="n">
        <v>0</v>
      </c>
      <c r="P773" s="4" t="n">
        <v>0</v>
      </c>
      <c r="Q773" s="4" t="n">
        <v>1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</row>
    <row r="774" customFormat="false" ht="15" hidden="false" customHeight="false" outlineLevel="0" collapsed="false">
      <c r="A774" s="4" t="s">
        <v>1002</v>
      </c>
      <c r="B774" s="4" t="n">
        <v>1968</v>
      </c>
      <c r="C774" s="4" t="str">
        <f aca="false">FLOOR(B774,10)&amp;"s"</f>
        <v>1960s</v>
      </c>
      <c r="D774" s="4" t="s">
        <v>801</v>
      </c>
      <c r="E774" s="25" t="str">
        <f aca="false">IF(G774=1,"✓","")</f>
        <v/>
      </c>
      <c r="F774" s="4" t="n">
        <v>2</v>
      </c>
      <c r="G774" s="4" t="n">
        <f aca="false">IF(COUNTIF('Letterboxd Watched'!$E$2:$E$3000,M774)&gt;0,1,0)</f>
        <v>0</v>
      </c>
      <c r="H774" s="4" t="n">
        <v>4</v>
      </c>
      <c r="I774" s="4" t="s">
        <v>144</v>
      </c>
      <c r="J774" s="4" t="s">
        <v>53</v>
      </c>
      <c r="K774" s="4" t="s">
        <v>5394</v>
      </c>
      <c r="L774" s="48" t="str">
        <f aca="false">HYPERLINK("https://boxd.it/29Ia","open")</f>
        <v>open</v>
      </c>
      <c r="M774" s="4" t="str">
        <f aca="false">LOWER(A774)&amp;"|"&amp;B774</f>
        <v>faces|1968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1</v>
      </c>
      <c r="S774" s="4" t="n">
        <v>0</v>
      </c>
      <c r="T774" s="4" t="n">
        <v>1</v>
      </c>
      <c r="U774" s="4" t="n">
        <v>0</v>
      </c>
      <c r="V774" s="4" t="n">
        <v>0</v>
      </c>
      <c r="W774" s="4" t="n">
        <v>0</v>
      </c>
    </row>
    <row r="775" customFormat="false" ht="15" hidden="false" customHeight="false" outlineLevel="0" collapsed="false">
      <c r="A775" s="4" t="s">
        <v>3125</v>
      </c>
      <c r="B775" s="4" t="n">
        <v>2017</v>
      </c>
      <c r="C775" s="4" t="str">
        <f aca="false">FLOOR(B775,10)&amp;"s"</f>
        <v>2010s</v>
      </c>
      <c r="D775" s="4" t="s">
        <v>3126</v>
      </c>
      <c r="E775" s="25" t="str">
        <f aca="false">IF(G775=1,"✓","")</f>
        <v/>
      </c>
      <c r="F775" s="4" t="n">
        <v>1</v>
      </c>
      <c r="G775" s="4" t="n">
        <f aca="false">IF(COUNTIF('Letterboxd Watched'!$E$2:$E$3000,M775)&gt;0,1,0)</f>
        <v>0</v>
      </c>
      <c r="H775" s="4" t="n">
        <v>2</v>
      </c>
      <c r="I775" s="4" t="s">
        <v>213</v>
      </c>
      <c r="J775" s="4" t="s">
        <v>53</v>
      </c>
      <c r="K775" s="4" t="s">
        <v>158</v>
      </c>
      <c r="L775" s="48" t="str">
        <f aca="false">HYPERLINK("https://boxd.it/g7ck","open")</f>
        <v>open</v>
      </c>
      <c r="M775" s="4" t="str">
        <f aca="false">LOWER(A775)&amp;"|"&amp;B775</f>
        <v>faces places|2017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1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</row>
    <row r="776" customFormat="false" ht="15" hidden="false" customHeight="false" outlineLevel="0" collapsed="false">
      <c r="A776" s="4" t="s">
        <v>2080</v>
      </c>
      <c r="B776" s="4" t="n">
        <v>1966</v>
      </c>
      <c r="C776" s="4" t="str">
        <f aca="false">FLOOR(B776,10)&amp;"s"</f>
        <v>1960s</v>
      </c>
      <c r="D776" s="4" t="s">
        <v>150</v>
      </c>
      <c r="E776" s="25" t="str">
        <f aca="false">IF(G776=1,"✓","")</f>
        <v/>
      </c>
      <c r="F776" s="4" t="n">
        <v>1</v>
      </c>
      <c r="G776" s="4" t="n">
        <f aca="false">IF(COUNTIF('Letterboxd Watched'!$E$2:$E$3000,M776)&gt;0,1,0)</f>
        <v>0</v>
      </c>
      <c r="H776" s="4" t="n">
        <v>2</v>
      </c>
      <c r="I776" s="4" t="s">
        <v>213</v>
      </c>
      <c r="J776" s="4" t="s">
        <v>52</v>
      </c>
      <c r="K776" s="4" t="s">
        <v>4086</v>
      </c>
      <c r="L776" s="48" t="str">
        <f aca="false">HYPERLINK("https://boxd.it/28fw","open")</f>
        <v>open</v>
      </c>
      <c r="M776" s="4" t="str">
        <f aca="false">LOWER(A776)&amp;"|"&amp;B776</f>
        <v>fahrenheit 451|1966</v>
      </c>
      <c r="N776" s="4" t="n">
        <v>0</v>
      </c>
      <c r="O776" s="4" t="n">
        <v>0</v>
      </c>
      <c r="P776" s="4" t="n">
        <v>0</v>
      </c>
      <c r="Q776" s="4" t="n">
        <v>1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</row>
    <row r="777" customFormat="false" ht="15" hidden="false" customHeight="false" outlineLevel="0" collapsed="false">
      <c r="A777" s="4" t="s">
        <v>982</v>
      </c>
      <c r="B777" s="4" t="n">
        <v>1964</v>
      </c>
      <c r="C777" s="4" t="str">
        <f aca="false">FLOOR(B777,10)&amp;"s"</f>
        <v>1960s</v>
      </c>
      <c r="D777" s="4" t="s">
        <v>189</v>
      </c>
      <c r="E777" s="25" t="str">
        <f aca="false">IF(G777=1,"✓","")</f>
        <v>✓</v>
      </c>
      <c r="F777" s="4" t="n">
        <v>2</v>
      </c>
      <c r="G777" s="4" t="n">
        <f aca="false">IF(COUNTIF('Letterboxd Watched'!$E$2:$E$3000,M777)&gt;0,1,0)</f>
        <v>1</v>
      </c>
      <c r="H777" s="4" t="n">
        <v>4</v>
      </c>
      <c r="I777" s="4" t="s">
        <v>213</v>
      </c>
      <c r="J777" s="4" t="s">
        <v>53</v>
      </c>
      <c r="K777" s="4" t="s">
        <v>5395</v>
      </c>
      <c r="L777" s="48" t="str">
        <f aca="false">HYPERLINK("https://boxd.it/2afS","open")</f>
        <v>open</v>
      </c>
      <c r="M777" s="4" t="str">
        <f aca="false">LOWER(A777)&amp;"|"&amp;B777</f>
        <v>fail safe|1964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1</v>
      </c>
      <c r="S777" s="4" t="n">
        <v>0</v>
      </c>
      <c r="T777" s="4" t="n">
        <v>1</v>
      </c>
      <c r="U777" s="4" t="n">
        <v>0</v>
      </c>
      <c r="V777" s="4" t="n">
        <v>0</v>
      </c>
      <c r="W777" s="4" t="n">
        <v>0</v>
      </c>
    </row>
    <row r="778" customFormat="false" ht="15" hidden="false" customHeight="false" outlineLevel="0" collapsed="false">
      <c r="A778" s="4" t="s">
        <v>1696</v>
      </c>
      <c r="B778" s="4" t="n">
        <v>1928</v>
      </c>
      <c r="C778" s="4" t="str">
        <f aca="false">FLOOR(B778,10)&amp;"s"</f>
        <v>1920s</v>
      </c>
      <c r="D778" s="4" t="s">
        <v>1697</v>
      </c>
      <c r="E778" s="25" t="str">
        <f aca="false">IF(G778=1,"✓","")</f>
        <v/>
      </c>
      <c r="F778" s="4" t="n">
        <v>1</v>
      </c>
      <c r="G778" s="4" t="n">
        <f aca="false">IF(COUNTIF('Letterboxd Watched'!$E$2:$E$3000,M778)&gt;0,1,0)</f>
        <v>0</v>
      </c>
      <c r="H778" s="4" t="n">
        <v>2</v>
      </c>
      <c r="I778" s="4" t="s">
        <v>213</v>
      </c>
      <c r="J778" s="4" t="s">
        <v>50</v>
      </c>
      <c r="K778" s="4" t="s">
        <v>3902</v>
      </c>
      <c r="L778" s="48" t="str">
        <f aca="false">HYPERLINK("https://letterboxd.com/search/films/The+Fall+of+the+House+of+Usher+1928/","open")</f>
        <v>open</v>
      </c>
      <c r="M778" s="4" t="str">
        <f aca="false">LOWER(A778)&amp;"|"&amp;B778</f>
        <v>the fall of the house of usher|1928</v>
      </c>
      <c r="N778" s="4" t="n">
        <v>0</v>
      </c>
      <c r="O778" s="4" t="n">
        <v>1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</row>
    <row r="779" customFormat="false" ht="15" hidden="false" customHeight="false" outlineLevel="0" collapsed="false">
      <c r="A779" s="4" t="s">
        <v>619</v>
      </c>
      <c r="B779" s="4" t="n">
        <v>1995</v>
      </c>
      <c r="C779" s="4" t="str">
        <f aca="false">FLOOR(B779,10)&amp;"s"</f>
        <v>1990s</v>
      </c>
      <c r="D779" s="4" t="s">
        <v>193</v>
      </c>
      <c r="E779" s="25" t="str">
        <f aca="false">IF(G779=1,"✓","")</f>
        <v/>
      </c>
      <c r="F779" s="4" t="n">
        <v>3</v>
      </c>
      <c r="G779" s="4" t="n">
        <f aca="false">IF(COUNTIF('Letterboxd Watched'!$E$2:$E$3000,M779)&gt;0,1,0)</f>
        <v>0</v>
      </c>
      <c r="H779" s="4" t="n">
        <v>6</v>
      </c>
      <c r="I779" s="4" t="s">
        <v>213</v>
      </c>
      <c r="J779" s="4" t="s">
        <v>51</v>
      </c>
      <c r="K779" s="4" t="s">
        <v>5396</v>
      </c>
      <c r="L779" s="48" t="str">
        <f aca="false">HYPERLINK("https://boxd.it/1UkW","open")</f>
        <v>open</v>
      </c>
      <c r="M779" s="4" t="str">
        <f aca="false">LOWER(A779)&amp;"|"&amp;B779</f>
        <v>fallen angels|1995</v>
      </c>
      <c r="N779" s="4" t="n">
        <v>0</v>
      </c>
      <c r="O779" s="4" t="n">
        <v>0</v>
      </c>
      <c r="P779" s="4" t="n">
        <v>1</v>
      </c>
      <c r="Q779" s="4" t="n">
        <v>0</v>
      </c>
      <c r="R779" s="4" t="n">
        <v>1</v>
      </c>
      <c r="S779" s="4" t="n">
        <v>0</v>
      </c>
      <c r="T779" s="4" t="n">
        <v>0</v>
      </c>
      <c r="U779" s="4" t="n">
        <v>1</v>
      </c>
      <c r="V779" s="4" t="n">
        <v>0</v>
      </c>
      <c r="W779" s="4" t="n">
        <v>0</v>
      </c>
    </row>
    <row r="780" customFormat="false" ht="15" hidden="false" customHeight="false" outlineLevel="0" collapsed="false">
      <c r="A780" s="4" t="s">
        <v>1424</v>
      </c>
      <c r="B780" s="4" t="n">
        <v>2023</v>
      </c>
      <c r="C780" s="4" t="str">
        <f aca="false">FLOOR(B780,10)&amp;"s"</f>
        <v>2020s</v>
      </c>
      <c r="D780" s="4" t="s">
        <v>1155</v>
      </c>
      <c r="E780" s="25" t="str">
        <f aca="false">IF(G780=1,"✓","")</f>
        <v/>
      </c>
      <c r="F780" s="4" t="n">
        <v>2</v>
      </c>
      <c r="G780" s="4" t="n">
        <f aca="false">IF(COUNTIF('Letterboxd Watched'!$E$2:$E$3000,M780)&gt;0,1,0)</f>
        <v>0</v>
      </c>
      <c r="H780" s="4" t="n">
        <v>3</v>
      </c>
      <c r="I780" s="4" t="s">
        <v>213</v>
      </c>
      <c r="J780" s="4" t="s">
        <v>52</v>
      </c>
      <c r="K780" s="4" t="s">
        <v>5397</v>
      </c>
      <c r="L780" s="48" t="str">
        <f aca="false">HYPERLINK("https://boxd.it/Bgew","open")</f>
        <v>open</v>
      </c>
      <c r="M780" s="4" t="str">
        <f aca="false">LOWER(A780)&amp;"|"&amp;B780</f>
        <v>fallen leaves|2023</v>
      </c>
      <c r="N780" s="4" t="n">
        <v>0</v>
      </c>
      <c r="O780" s="4" t="n">
        <v>0</v>
      </c>
      <c r="P780" s="4" t="n">
        <v>0</v>
      </c>
      <c r="Q780" s="4" t="n">
        <v>1</v>
      </c>
      <c r="R780" s="4" t="n">
        <v>1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</row>
    <row r="781" customFormat="false" ht="15" hidden="false" customHeight="false" outlineLevel="0" collapsed="false">
      <c r="A781" s="4" t="s">
        <v>711</v>
      </c>
      <c r="B781" s="4" t="n">
        <v>1982</v>
      </c>
      <c r="C781" s="4" t="str">
        <f aca="false">FLOOR(B781,10)&amp;"s"</f>
        <v>1980s</v>
      </c>
      <c r="D781" s="4" t="s">
        <v>170</v>
      </c>
      <c r="E781" s="25" t="str">
        <f aca="false">IF(G781=1,"✓","")</f>
        <v/>
      </c>
      <c r="F781" s="4" t="n">
        <v>3</v>
      </c>
      <c r="G781" s="4" t="n">
        <f aca="false">IF(COUNTIF('Letterboxd Watched'!$E$2:$E$3000,M781)&gt;0,1,0)</f>
        <v>0</v>
      </c>
      <c r="H781" s="4" t="n">
        <v>5</v>
      </c>
      <c r="I781" s="4" t="s">
        <v>213</v>
      </c>
      <c r="J781" s="4" t="s">
        <v>53</v>
      </c>
      <c r="K781" s="4" t="s">
        <v>5398</v>
      </c>
      <c r="L781" s="48" t="str">
        <f aca="false">HYPERLINK("https://boxd.it/22go","open")</f>
        <v>open</v>
      </c>
      <c r="M781" s="4" t="str">
        <f aca="false">LOWER(A781)&amp;"|"&amp;B781</f>
        <v>fanny and alexander|1982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1</v>
      </c>
      <c r="S781" s="4" t="n">
        <v>0</v>
      </c>
      <c r="T781" s="4" t="n">
        <v>0</v>
      </c>
      <c r="U781" s="4" t="n">
        <v>1</v>
      </c>
      <c r="V781" s="4" t="n">
        <v>1</v>
      </c>
      <c r="W781" s="4" t="n">
        <v>0</v>
      </c>
    </row>
    <row r="782" customFormat="false" ht="15" hidden="false" customHeight="false" outlineLevel="0" collapsed="false">
      <c r="A782" s="4" t="s">
        <v>1787</v>
      </c>
      <c r="B782" s="4" t="n">
        <v>1940</v>
      </c>
      <c r="C782" s="4" t="str">
        <f aca="false">FLOOR(B782,10)&amp;"s"</f>
        <v>1940s</v>
      </c>
      <c r="D782" s="4" t="s">
        <v>1788</v>
      </c>
      <c r="E782" s="25" t="str">
        <f aca="false">IF(G782=1,"✓","")</f>
        <v>✓</v>
      </c>
      <c r="F782" s="4" t="n">
        <v>1</v>
      </c>
      <c r="G782" s="4" t="n">
        <f aca="false">IF(COUNTIF('Letterboxd Watched'!$E$2:$E$3000,M782)&gt;0,1,0)</f>
        <v>1</v>
      </c>
      <c r="H782" s="4" t="n">
        <v>2</v>
      </c>
      <c r="I782" s="4" t="s">
        <v>213</v>
      </c>
      <c r="J782" s="4" t="s">
        <v>52</v>
      </c>
      <c r="K782" s="4" t="s">
        <v>4162</v>
      </c>
      <c r="L782" s="48" t="str">
        <f aca="false">HYPERLINK("https://boxd.it/29HG","open")</f>
        <v>open</v>
      </c>
      <c r="M782" s="4" t="str">
        <f aca="false">LOWER(A782)&amp;"|"&amp;B782</f>
        <v>fantasia|1940</v>
      </c>
      <c r="N782" s="4" t="n">
        <v>0</v>
      </c>
      <c r="O782" s="4" t="n">
        <v>0</v>
      </c>
      <c r="P782" s="4" t="n">
        <v>0</v>
      </c>
      <c r="Q782" s="4" t="n">
        <v>1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</row>
    <row r="783" customFormat="false" ht="15" hidden="false" customHeight="false" outlineLevel="0" collapsed="false">
      <c r="A783" s="4" t="s">
        <v>1667</v>
      </c>
      <c r="B783" s="4" t="n">
        <v>1908</v>
      </c>
      <c r="C783" s="4" t="str">
        <f aca="false">FLOOR(B783,10)&amp;"s"</f>
        <v>1900s</v>
      </c>
      <c r="D783" s="4" t="s">
        <v>1668</v>
      </c>
      <c r="E783" s="25" t="str">
        <f aca="false">IF(G783=1,"✓","")</f>
        <v/>
      </c>
      <c r="F783" s="4" t="n">
        <v>1</v>
      </c>
      <c r="G783" s="4" t="n">
        <f aca="false">IF(COUNTIF('Letterboxd Watched'!$E$2:$E$3000,M783)&gt;0,1,0)</f>
        <v>0</v>
      </c>
      <c r="H783" s="4" t="n">
        <v>2</v>
      </c>
      <c r="I783" s="4" t="s">
        <v>213</v>
      </c>
      <c r="J783" s="4" t="s">
        <v>50</v>
      </c>
      <c r="K783" s="4" t="s">
        <v>3892</v>
      </c>
      <c r="L783" s="48" t="str">
        <f aca="false">HYPERLINK("https://boxd.it/30CY","open")</f>
        <v>open</v>
      </c>
      <c r="M783" s="4" t="str">
        <f aca="false">LOWER(A783)&amp;"|"&amp;B783</f>
        <v>fantasmagorie|1908</v>
      </c>
      <c r="N783" s="4" t="n">
        <v>0</v>
      </c>
      <c r="O783" s="4" t="n">
        <v>1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</row>
    <row r="784" customFormat="false" ht="15" hidden="false" customHeight="false" outlineLevel="0" collapsed="false">
      <c r="A784" s="4" t="s">
        <v>430</v>
      </c>
      <c r="B784" s="4" t="n">
        <v>2009</v>
      </c>
      <c r="C784" s="4" t="str">
        <f aca="false">FLOOR(B784,10)&amp;"s"</f>
        <v>2000s</v>
      </c>
      <c r="D784" s="4" t="s">
        <v>274</v>
      </c>
      <c r="E784" s="25" t="str">
        <f aca="false">IF(G784=1,"✓","")</f>
        <v>✓</v>
      </c>
      <c r="F784" s="4" t="n">
        <v>3</v>
      </c>
      <c r="G784" s="4" t="n">
        <f aca="false">IF(COUNTIF('Letterboxd Watched'!$E$2:$E$3000,M784)&gt;0,1,0)</f>
        <v>1</v>
      </c>
      <c r="H784" s="4" t="n">
        <v>8</v>
      </c>
      <c r="I784" s="4" t="s">
        <v>144</v>
      </c>
      <c r="J784" s="4" t="s">
        <v>52</v>
      </c>
      <c r="K784" s="4" t="s">
        <v>5399</v>
      </c>
      <c r="L784" s="48" t="str">
        <f aca="false">HYPERLINK("https://boxd.it/1WyQ","open")</f>
        <v>open</v>
      </c>
      <c r="M784" s="4" t="str">
        <f aca="false">LOWER(A784)&amp;"|"&amp;B784</f>
        <v>fantastic mr. fox|2009</v>
      </c>
      <c r="N784" s="4" t="n">
        <v>0</v>
      </c>
      <c r="O784" s="4" t="n">
        <v>0</v>
      </c>
      <c r="P784" s="4" t="n">
        <v>0</v>
      </c>
      <c r="Q784" s="4" t="n">
        <v>1</v>
      </c>
      <c r="R784" s="4" t="n">
        <v>1</v>
      </c>
      <c r="S784" s="4" t="n">
        <v>0</v>
      </c>
      <c r="T784" s="4" t="n">
        <v>0</v>
      </c>
      <c r="U784" s="4" t="n">
        <v>1</v>
      </c>
      <c r="V784" s="4" t="n">
        <v>0</v>
      </c>
      <c r="W784" s="4" t="n">
        <v>0</v>
      </c>
    </row>
    <row r="785" customFormat="false" ht="15" hidden="false" customHeight="false" outlineLevel="0" collapsed="false">
      <c r="A785" s="4" t="s">
        <v>2226</v>
      </c>
      <c r="B785" s="4" t="n">
        <v>1973</v>
      </c>
      <c r="C785" s="4" t="str">
        <f aca="false">FLOOR(B785,10)&amp;"s"</f>
        <v>1970s</v>
      </c>
      <c r="D785" s="4" t="s">
        <v>2227</v>
      </c>
      <c r="E785" s="25" t="str">
        <f aca="false">IF(G785=1,"✓","")</f>
        <v/>
      </c>
      <c r="F785" s="4" t="n">
        <v>1</v>
      </c>
      <c r="G785" s="4" t="n">
        <f aca="false">IF(COUNTIF('Letterboxd Watched'!$E$2:$E$3000,M785)&gt;0,1,0)</f>
        <v>0</v>
      </c>
      <c r="H785" s="4" t="n">
        <v>2</v>
      </c>
      <c r="I785" s="4" t="s">
        <v>213</v>
      </c>
      <c r="J785" s="4" t="s">
        <v>52</v>
      </c>
      <c r="K785" s="4" t="s">
        <v>4166</v>
      </c>
      <c r="L785" s="48" t="str">
        <f aca="false">HYPERLINK("https://boxd.it/1KnQ","open")</f>
        <v>open</v>
      </c>
      <c r="M785" s="4" t="str">
        <f aca="false">LOWER(A785)&amp;"|"&amp;B785</f>
        <v>fantastic planet|1973</v>
      </c>
      <c r="N785" s="4" t="n">
        <v>0</v>
      </c>
      <c r="O785" s="4" t="n">
        <v>0</v>
      </c>
      <c r="P785" s="4" t="n">
        <v>0</v>
      </c>
      <c r="Q785" s="4" t="n">
        <v>1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</row>
    <row r="786" customFormat="false" ht="15" hidden="false" customHeight="false" outlineLevel="0" collapsed="false">
      <c r="A786" s="4" t="s">
        <v>1162</v>
      </c>
      <c r="B786" s="4" t="n">
        <v>2002</v>
      </c>
      <c r="C786" s="4" t="str">
        <f aca="false">FLOOR(B786,10)&amp;"s"</f>
        <v>2000s</v>
      </c>
      <c r="D786" s="4" t="s">
        <v>718</v>
      </c>
      <c r="E786" s="25" t="str">
        <f aca="false">IF(G786=1,"✓","")</f>
        <v/>
      </c>
      <c r="F786" s="4" t="n">
        <v>2</v>
      </c>
      <c r="G786" s="4" t="n">
        <f aca="false">IF(COUNTIF('Letterboxd Watched'!$E$2:$E$3000,M786)&gt;0,1,0)</f>
        <v>0</v>
      </c>
      <c r="H786" s="4" t="n">
        <v>4</v>
      </c>
      <c r="I786" s="4" t="s">
        <v>213</v>
      </c>
      <c r="J786" s="4" t="s">
        <v>52</v>
      </c>
      <c r="K786" s="4" t="s">
        <v>5400</v>
      </c>
      <c r="L786" s="48" t="str">
        <f aca="false">HYPERLINK("https://boxd.it/1VzS","open")</f>
        <v>open</v>
      </c>
      <c r="M786" s="4" t="str">
        <f aca="false">LOWER(A786)&amp;"|"&amp;B786</f>
        <v>far from heaven|2002</v>
      </c>
      <c r="N786" s="4" t="n">
        <v>0</v>
      </c>
      <c r="O786" s="4" t="n">
        <v>0</v>
      </c>
      <c r="P786" s="4" t="n">
        <v>0</v>
      </c>
      <c r="Q786" s="4" t="n">
        <v>1</v>
      </c>
      <c r="R786" s="4" t="n">
        <v>0</v>
      </c>
      <c r="S786" s="4" t="n">
        <v>1</v>
      </c>
      <c r="T786" s="4" t="n">
        <v>0</v>
      </c>
      <c r="U786" s="4" t="n">
        <v>0</v>
      </c>
      <c r="V786" s="4" t="n">
        <v>0</v>
      </c>
      <c r="W786" s="4" t="n">
        <v>0</v>
      </c>
    </row>
    <row r="787" customFormat="false" ht="15" hidden="false" customHeight="false" outlineLevel="0" collapsed="false">
      <c r="A787" s="4" t="s">
        <v>1550</v>
      </c>
      <c r="B787" s="4" t="n">
        <v>1993</v>
      </c>
      <c r="C787" s="4" t="str">
        <f aca="false">FLOOR(B787,10)&amp;"s"</f>
        <v>1990s</v>
      </c>
      <c r="D787" s="4" t="s">
        <v>1551</v>
      </c>
      <c r="E787" s="25" t="str">
        <f aca="false">IF(G787=1,"✓","")</f>
        <v/>
      </c>
      <c r="F787" s="4" t="n">
        <v>1</v>
      </c>
      <c r="G787" s="4" t="n">
        <f aca="false">IF(COUNTIF('Letterboxd Watched'!$E$2:$E$3000,M787)&gt;0,1,0)</f>
        <v>0</v>
      </c>
      <c r="H787" s="4" t="n">
        <v>3</v>
      </c>
      <c r="I787" s="4" t="s">
        <v>144</v>
      </c>
      <c r="J787" s="4" t="s">
        <v>51</v>
      </c>
      <c r="K787" s="4" t="s">
        <v>4020</v>
      </c>
      <c r="L787" s="48" t="str">
        <f aca="false">HYPERLINK("https://boxd.it/1UTM","open")</f>
        <v>open</v>
      </c>
      <c r="M787" s="4" t="str">
        <f aca="false">LOWER(A787)&amp;"|"&amp;B787</f>
        <v>farewell my concubine|1993</v>
      </c>
      <c r="N787" s="4" t="n">
        <v>0</v>
      </c>
      <c r="O787" s="4" t="n">
        <v>0</v>
      </c>
      <c r="P787" s="4" t="n">
        <v>1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</row>
    <row r="788" customFormat="false" ht="15" hidden="false" customHeight="false" outlineLevel="0" collapsed="false">
      <c r="A788" s="4" t="s">
        <v>427</v>
      </c>
      <c r="B788" s="4" t="n">
        <v>1996</v>
      </c>
      <c r="C788" s="4" t="str">
        <f aca="false">FLOOR(B788,10)&amp;"s"</f>
        <v>1990s</v>
      </c>
      <c r="D788" s="4" t="s">
        <v>397</v>
      </c>
      <c r="E788" s="25" t="str">
        <f aca="false">IF(G788=1,"✓","")</f>
        <v>✓</v>
      </c>
      <c r="F788" s="4" t="n">
        <v>3</v>
      </c>
      <c r="G788" s="4" t="n">
        <f aca="false">IF(COUNTIF('Letterboxd Watched'!$E$2:$E$3000,M788)&gt;0,1,0)</f>
        <v>1</v>
      </c>
      <c r="H788" s="4" t="n">
        <v>8</v>
      </c>
      <c r="I788" s="4" t="s">
        <v>144</v>
      </c>
      <c r="J788" s="4" t="s">
        <v>50</v>
      </c>
      <c r="K788" s="4" t="s">
        <v>5401</v>
      </c>
      <c r="L788" s="48" t="str">
        <f aca="false">HYPERLINK("https://boxd.it/2aHM","open")</f>
        <v>open</v>
      </c>
      <c r="M788" s="4" t="str">
        <f aca="false">LOWER(A788)&amp;"|"&amp;B788</f>
        <v>fargo|1996</v>
      </c>
      <c r="N788" s="4" t="n">
        <v>0</v>
      </c>
      <c r="O788" s="4" t="n">
        <v>1</v>
      </c>
      <c r="P788" s="4" t="n">
        <v>0</v>
      </c>
      <c r="Q788" s="4" t="n">
        <v>0</v>
      </c>
      <c r="R788" s="4" t="n">
        <v>1</v>
      </c>
      <c r="S788" s="4" t="n">
        <v>0</v>
      </c>
      <c r="T788" s="4" t="n">
        <v>0</v>
      </c>
      <c r="U788" s="4" t="n">
        <v>1</v>
      </c>
      <c r="V788" s="4" t="n">
        <v>0</v>
      </c>
      <c r="W788" s="4" t="n">
        <v>0</v>
      </c>
    </row>
    <row r="789" customFormat="false" ht="15" hidden="false" customHeight="false" outlineLevel="0" collapsed="false">
      <c r="A789" s="4" t="s">
        <v>1468</v>
      </c>
      <c r="B789" s="4" t="n">
        <v>1965</v>
      </c>
      <c r="C789" s="4" t="str">
        <f aca="false">FLOOR(B789,10)&amp;"s"</f>
        <v>1960s</v>
      </c>
      <c r="D789" s="4" t="s">
        <v>1469</v>
      </c>
      <c r="E789" s="25" t="str">
        <f aca="false">IF(G789=1,"✓","")</f>
        <v/>
      </c>
      <c r="F789" s="4" t="n">
        <v>1</v>
      </c>
      <c r="G789" s="4" t="n">
        <f aca="false">IF(COUNTIF('Letterboxd Watched'!$E$2:$E$3000,M789)&gt;0,1,0)</f>
        <v>0</v>
      </c>
      <c r="H789" s="4" t="n">
        <v>3</v>
      </c>
      <c r="I789" s="4" t="s">
        <v>144</v>
      </c>
      <c r="J789" s="4" t="s">
        <v>54</v>
      </c>
      <c r="K789" s="4" t="s">
        <v>4308</v>
      </c>
      <c r="L789" s="48" t="str">
        <f aca="false">HYPERLINK("https://letterboxd.com/search/films/Faster+Pussycat+Kill+Kill+1965/","open")</f>
        <v>open</v>
      </c>
      <c r="M789" s="4" t="str">
        <f aca="false">LOWER(A789)&amp;"|"&amp;B789</f>
        <v>faster, pussycat! kill! kill!|1965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1</v>
      </c>
      <c r="T789" s="4" t="n">
        <v>0</v>
      </c>
      <c r="U789" s="4" t="n">
        <v>0</v>
      </c>
      <c r="V789" s="4" t="n">
        <v>0</v>
      </c>
      <c r="W789" s="4" t="n">
        <v>0</v>
      </c>
    </row>
    <row r="790" customFormat="false" ht="15" hidden="false" customHeight="false" outlineLevel="0" collapsed="false">
      <c r="A790" s="4" t="s">
        <v>2213</v>
      </c>
      <c r="B790" s="4" t="n">
        <v>1972</v>
      </c>
      <c r="C790" s="4" t="str">
        <f aca="false">FLOOR(B790,10)&amp;"s"</f>
        <v>1970s</v>
      </c>
      <c r="D790" s="4" t="s">
        <v>283</v>
      </c>
      <c r="E790" s="25" t="str">
        <f aca="false">IF(G790=1,"✓","")</f>
        <v/>
      </c>
      <c r="F790" s="4" t="n">
        <v>1</v>
      </c>
      <c r="G790" s="4" t="n">
        <f aca="false">IF(COUNTIF('Letterboxd Watched'!$E$2:$E$3000,M790)&gt;0,1,0)</f>
        <v>0</v>
      </c>
      <c r="H790" s="4" t="n">
        <v>2</v>
      </c>
      <c r="I790" s="4" t="s">
        <v>213</v>
      </c>
      <c r="J790" s="4" t="s">
        <v>55</v>
      </c>
      <c r="K790" s="4" t="s">
        <v>4364</v>
      </c>
      <c r="L790" s="48" t="str">
        <f aca="false">HYPERLINK("https://boxd.it/1JnU","open")</f>
        <v>open</v>
      </c>
      <c r="M790" s="4" t="str">
        <f aca="false">LOWER(A790)&amp;"|"&amp;B790</f>
        <v>fat city|1972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1</v>
      </c>
      <c r="U790" s="4" t="n">
        <v>0</v>
      </c>
      <c r="V790" s="4" t="n">
        <v>0</v>
      </c>
      <c r="W790" s="4" t="n">
        <v>0</v>
      </c>
    </row>
    <row r="791" customFormat="false" ht="15" hidden="false" customHeight="false" outlineLevel="0" collapsed="false">
      <c r="A791" s="4" t="s">
        <v>3726</v>
      </c>
      <c r="B791" s="4" t="n">
        <v>2001</v>
      </c>
      <c r="C791" s="4" t="str">
        <f aca="false">FLOOR(B791,10)&amp;"s"</f>
        <v>2000s</v>
      </c>
      <c r="D791" s="4" t="s">
        <v>3727</v>
      </c>
      <c r="E791" s="25" t="str">
        <f aca="false">IF(G791=1,"✓","")</f>
        <v/>
      </c>
      <c r="F791" s="4" t="n">
        <v>1</v>
      </c>
      <c r="G791" s="4" t="n">
        <f aca="false">IF(COUNTIF('Letterboxd Watched'!$E$2:$E$3000,M791)&gt;0,1,0)</f>
        <v>0</v>
      </c>
      <c r="H791" s="4" t="n">
        <v>1</v>
      </c>
      <c r="I791" s="4" t="s">
        <v>1327</v>
      </c>
      <c r="J791" s="4" t="s">
        <v>55</v>
      </c>
      <c r="K791" s="4" t="s">
        <v>4344</v>
      </c>
      <c r="L791" s="48" t="str">
        <f aca="false">HYPERLINK("https://letterboxd.com/search/films/Fat+Girl+2001/","open")</f>
        <v>open</v>
      </c>
      <c r="M791" s="4" t="str">
        <f aca="false">LOWER(A791)&amp;"|"&amp;B791</f>
        <v>fat girl|2001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1</v>
      </c>
      <c r="U791" s="4" t="n">
        <v>0</v>
      </c>
      <c r="V791" s="4" t="n">
        <v>0</v>
      </c>
      <c r="W791" s="4" t="n">
        <v>0</v>
      </c>
    </row>
    <row r="792" customFormat="false" ht="15" hidden="false" customHeight="false" outlineLevel="0" collapsed="false">
      <c r="A792" s="4" t="s">
        <v>2502</v>
      </c>
      <c r="B792" s="4" t="n">
        <v>1989</v>
      </c>
      <c r="C792" s="4" t="str">
        <f aca="false">FLOOR(B792,10)&amp;"s"</f>
        <v>1980s</v>
      </c>
      <c r="D792" s="4" t="s">
        <v>2503</v>
      </c>
      <c r="E792" s="25" t="str">
        <f aca="false">IF(G792=1,"✓","")</f>
        <v/>
      </c>
      <c r="F792" s="4" t="n">
        <v>1</v>
      </c>
      <c r="G792" s="4" t="n">
        <f aca="false">IF(COUNTIF('Letterboxd Watched'!$E$2:$E$3000,M792)&gt;0,1,0)</f>
        <v>0</v>
      </c>
      <c r="H792" s="4" t="n">
        <v>2</v>
      </c>
      <c r="I792" s="4" t="s">
        <v>213</v>
      </c>
      <c r="J792" s="4" t="s">
        <v>55</v>
      </c>
      <c r="K792" s="4" t="s">
        <v>4338</v>
      </c>
      <c r="L792" s="48" t="str">
        <f aca="false">HYPERLINK("https://boxd.it/1rKG","open")</f>
        <v>open</v>
      </c>
      <c r="M792" s="4" t="str">
        <f aca="false">LOWER(A792)&amp;"|"&amp;B792</f>
        <v>fat man and little boy|1989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1</v>
      </c>
      <c r="U792" s="4" t="n">
        <v>0</v>
      </c>
      <c r="V792" s="4" t="n">
        <v>0</v>
      </c>
      <c r="W792" s="4" t="n">
        <v>0</v>
      </c>
    </row>
    <row r="793" customFormat="false" ht="15" hidden="false" customHeight="false" outlineLevel="0" collapsed="false">
      <c r="A793" s="4" t="s">
        <v>2452</v>
      </c>
      <c r="B793" s="4" t="n">
        <v>1987</v>
      </c>
      <c r="C793" s="4" t="str">
        <f aca="false">FLOOR(B793,10)&amp;"s"</f>
        <v>1980s</v>
      </c>
      <c r="D793" s="4" t="s">
        <v>2453</v>
      </c>
      <c r="E793" s="25" t="str">
        <f aca="false">IF(G793=1,"✓","")</f>
        <v/>
      </c>
      <c r="F793" s="4" t="n">
        <v>1</v>
      </c>
      <c r="G793" s="4" t="n">
        <f aca="false">IF(COUNTIF('Letterboxd Watched'!$E$2:$E$3000,M793)&gt;0,1,0)</f>
        <v>0</v>
      </c>
      <c r="H793" s="4" t="n">
        <v>2</v>
      </c>
      <c r="I793" s="4" t="s">
        <v>213</v>
      </c>
      <c r="J793" s="4" t="s">
        <v>52</v>
      </c>
      <c r="K793" s="4" t="s">
        <v>4128</v>
      </c>
      <c r="L793" s="48" t="str">
        <f aca="false">HYPERLINK("https://boxd.it/1UTC","open")</f>
        <v>open</v>
      </c>
      <c r="M793" s="4" t="str">
        <f aca="false">LOWER(A793)&amp;"|"&amp;B793</f>
        <v>fatal attraction|1987</v>
      </c>
      <c r="N793" s="4" t="n">
        <v>0</v>
      </c>
      <c r="O793" s="4" t="n">
        <v>0</v>
      </c>
      <c r="P793" s="4" t="n">
        <v>0</v>
      </c>
      <c r="Q793" s="4" t="n">
        <v>1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</row>
    <row r="794" customFormat="false" ht="15" hidden="false" customHeight="false" outlineLevel="0" collapsed="false">
      <c r="A794" s="4" t="s">
        <v>3200</v>
      </c>
      <c r="B794" s="4" t="n">
        <v>2020</v>
      </c>
      <c r="C794" s="4" t="str">
        <f aca="false">FLOOR(B794,10)&amp;"s"</f>
        <v>2020s</v>
      </c>
      <c r="D794" s="4" t="s">
        <v>3201</v>
      </c>
      <c r="E794" s="25" t="str">
        <f aca="false">IF(G794=1,"✓","")</f>
        <v/>
      </c>
      <c r="F794" s="4" t="n">
        <v>1</v>
      </c>
      <c r="G794" s="4" t="n">
        <f aca="false">IF(COUNTIF('Letterboxd Watched'!$E$2:$E$3000,M794)&gt;0,1,0)</f>
        <v>0</v>
      </c>
      <c r="H794" s="4" t="n">
        <v>2</v>
      </c>
      <c r="I794" s="4" t="s">
        <v>213</v>
      </c>
      <c r="J794" s="4" t="s">
        <v>55</v>
      </c>
      <c r="K794" s="4" t="s">
        <v>4350</v>
      </c>
      <c r="L794" s="48" t="str">
        <f aca="false">HYPERLINK("https://boxd.it/m8Ie","open")</f>
        <v>open</v>
      </c>
      <c r="M794" s="4" t="str">
        <f aca="false">LOWER(A794)&amp;"|"&amp;B794</f>
        <v>the father|2020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1</v>
      </c>
      <c r="U794" s="4" t="n">
        <v>0</v>
      </c>
      <c r="V794" s="4" t="n">
        <v>0</v>
      </c>
      <c r="W794" s="4" t="n">
        <v>0</v>
      </c>
    </row>
    <row r="795" customFormat="false" ht="15" hidden="false" customHeight="false" outlineLevel="0" collapsed="false">
      <c r="A795" s="4" t="s">
        <v>901</v>
      </c>
      <c r="B795" s="4" t="n">
        <v>1926</v>
      </c>
      <c r="C795" s="4" t="str">
        <f aca="false">FLOOR(B795,10)&amp;"s"</f>
        <v>1920s</v>
      </c>
      <c r="D795" s="4" t="s">
        <v>299</v>
      </c>
      <c r="E795" s="25" t="str">
        <f aca="false">IF(G795=1,"✓","")</f>
        <v/>
      </c>
      <c r="F795" s="4" t="n">
        <v>2</v>
      </c>
      <c r="G795" s="4" t="n">
        <f aca="false">IF(COUNTIF('Letterboxd Watched'!$E$2:$E$3000,M795)&gt;0,1,0)</f>
        <v>0</v>
      </c>
      <c r="H795" s="4" t="n">
        <v>4</v>
      </c>
      <c r="I795" s="4" t="s">
        <v>213</v>
      </c>
      <c r="J795" s="4" t="s">
        <v>50</v>
      </c>
      <c r="K795" s="4" t="s">
        <v>5361</v>
      </c>
      <c r="L795" s="48" t="str">
        <f aca="false">HYPERLINK("https://boxd.it/1Vxi","open")</f>
        <v>open</v>
      </c>
      <c r="M795" s="4" t="str">
        <f aca="false">LOWER(A795)&amp;"|"&amp;B795</f>
        <v>faust|1926</v>
      </c>
      <c r="N795" s="4" t="n">
        <v>0</v>
      </c>
      <c r="O795" s="4" t="n">
        <v>1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1</v>
      </c>
      <c r="W795" s="4" t="n">
        <v>0</v>
      </c>
    </row>
    <row r="796" customFormat="false" ht="15" hidden="false" customHeight="false" outlineLevel="0" collapsed="false">
      <c r="A796" s="4" t="s">
        <v>3154</v>
      </c>
      <c r="B796" s="4" t="n">
        <v>2018</v>
      </c>
      <c r="C796" s="4" t="str">
        <f aca="false">FLOOR(B796,10)&amp;"s"</f>
        <v>2010s</v>
      </c>
      <c r="D796" s="4" t="s">
        <v>874</v>
      </c>
      <c r="E796" s="25" t="str">
        <f aca="false">IF(G796=1,"✓","")</f>
        <v/>
      </c>
      <c r="F796" s="4" t="n">
        <v>1</v>
      </c>
      <c r="G796" s="4" t="n">
        <f aca="false">IF(COUNTIF('Letterboxd Watched'!$E$2:$E$3000,M796)&gt;0,1,0)</f>
        <v>0</v>
      </c>
      <c r="H796" s="4" t="n">
        <v>2</v>
      </c>
      <c r="I796" s="4" t="s">
        <v>213</v>
      </c>
      <c r="J796" s="4" t="s">
        <v>53</v>
      </c>
      <c r="K796" s="4" t="s">
        <v>4242</v>
      </c>
      <c r="L796" s="48" t="str">
        <f aca="false">HYPERLINK("https://boxd.it/d2hI","open")</f>
        <v>open</v>
      </c>
      <c r="M796" s="4" t="str">
        <f aca="false">LOWER(A796)&amp;"|"&amp;B796</f>
        <v>the favourite|2018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1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</row>
    <row r="797" customFormat="false" ht="15" hidden="false" customHeight="false" outlineLevel="0" collapsed="false">
      <c r="A797" s="4" t="s">
        <v>3362</v>
      </c>
      <c r="B797" s="4" t="n">
        <v>1952</v>
      </c>
      <c r="C797" s="4" t="str">
        <f aca="false">FLOOR(B797,10)&amp;"s"</f>
        <v>1950s</v>
      </c>
      <c r="D797" s="4" t="s">
        <v>187</v>
      </c>
      <c r="E797" s="25" t="str">
        <f aca="false">IF(G797=1,"✓","")</f>
        <v>✓</v>
      </c>
      <c r="F797" s="4" t="n">
        <v>1</v>
      </c>
      <c r="G797" s="4" t="n">
        <f aca="false">IF(COUNTIF('Letterboxd Watched'!$E$2:$E$3000,M797)&gt;0,1,0)</f>
        <v>1</v>
      </c>
      <c r="H797" s="4" t="n">
        <v>1</v>
      </c>
      <c r="I797" s="4" t="s">
        <v>1327</v>
      </c>
      <c r="J797" s="4" t="s">
        <v>53</v>
      </c>
      <c r="K797" s="4" t="s">
        <v>187</v>
      </c>
      <c r="L797" s="48" t="str">
        <f aca="false">HYPERLINK("https://boxd.it/1WVq","open")</f>
        <v>open</v>
      </c>
      <c r="M797" s="4" t="str">
        <f aca="false">LOWER(A797)&amp;"|"&amp;B797</f>
        <v>fear and desire|1952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1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</row>
    <row r="798" customFormat="false" ht="15" hidden="false" customHeight="false" outlineLevel="0" collapsed="false">
      <c r="A798" s="4" t="s">
        <v>3465</v>
      </c>
      <c r="B798" s="4" t="n">
        <v>1969</v>
      </c>
      <c r="C798" s="4" t="str">
        <f aca="false">FLOOR(B798,10)&amp;"s"</f>
        <v>1960s</v>
      </c>
      <c r="D798" s="4" t="s">
        <v>179</v>
      </c>
      <c r="E798" s="25" t="str">
        <f aca="false">IF(G798=1,"✓","")</f>
        <v/>
      </c>
      <c r="F798" s="4" t="n">
        <v>1</v>
      </c>
      <c r="G798" s="4" t="n">
        <f aca="false">IF(COUNTIF('Letterboxd Watched'!$E$2:$E$3000,M798)&gt;0,1,0)</f>
        <v>0</v>
      </c>
      <c r="H798" s="4" t="n">
        <v>1</v>
      </c>
      <c r="I798" s="4" t="s">
        <v>1327</v>
      </c>
      <c r="J798" s="4" t="s">
        <v>53</v>
      </c>
      <c r="K798" s="4" t="s">
        <v>179</v>
      </c>
      <c r="L798" s="48" t="str">
        <f aca="false">HYPERLINK("https://letterboxd.com/search/films/Fellini+Satyricon+1969/","open")</f>
        <v>open</v>
      </c>
      <c r="M798" s="4" t="str">
        <f aca="false">LOWER(A798)&amp;"|"&amp;B798</f>
        <v>fellini satyricon|1969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1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</row>
    <row r="799" customFormat="false" ht="15" hidden="false" customHeight="false" outlineLevel="0" collapsed="false">
      <c r="A799" s="4" t="s">
        <v>3317</v>
      </c>
      <c r="B799" s="4" t="n">
        <v>1933</v>
      </c>
      <c r="C799" s="4" t="str">
        <f aca="false">FLOOR(B799,10)&amp;"s"</f>
        <v>1930s</v>
      </c>
      <c r="D799" s="4" t="s">
        <v>335</v>
      </c>
      <c r="E799" s="25" t="str">
        <f aca="false">IF(G799=1,"✓","")</f>
        <v/>
      </c>
      <c r="F799" s="4" t="n">
        <v>1</v>
      </c>
      <c r="G799" s="4" t="n">
        <f aca="false">IF(COUNTIF('Letterboxd Watched'!$E$2:$E$3000,M799)&gt;0,1,0)</f>
        <v>0</v>
      </c>
      <c r="H799" s="4" t="n">
        <v>1</v>
      </c>
      <c r="I799" s="4" t="s">
        <v>1327</v>
      </c>
      <c r="J799" s="4" t="s">
        <v>50</v>
      </c>
      <c r="K799" s="4" t="s">
        <v>3908</v>
      </c>
      <c r="L799" s="48" t="str">
        <f aca="false">HYPERLINK("https://boxd.it/2WSo","open")</f>
        <v>open</v>
      </c>
      <c r="M799" s="4" t="str">
        <f aca="false">LOWER(A799)&amp;"|"&amp;B799</f>
        <v>female|1933</v>
      </c>
      <c r="N799" s="4" t="n">
        <v>0</v>
      </c>
      <c r="O799" s="4" t="n">
        <v>1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</row>
    <row r="800" customFormat="false" ht="15" hidden="false" customHeight="false" outlineLevel="0" collapsed="false">
      <c r="A800" s="4" t="s">
        <v>2215</v>
      </c>
      <c r="B800" s="4" t="n">
        <v>1972</v>
      </c>
      <c r="C800" s="4" t="str">
        <f aca="false">FLOOR(B800,10)&amp;"s"</f>
        <v>1970s</v>
      </c>
      <c r="D800" s="4" t="s">
        <v>2216</v>
      </c>
      <c r="E800" s="25" t="str">
        <f aca="false">IF(G800=1,"✓","")</f>
        <v/>
      </c>
      <c r="F800" s="4" t="n">
        <v>1</v>
      </c>
      <c r="G800" s="4" t="n">
        <f aca="false">IF(COUNTIF('Letterboxd Watched'!$E$2:$E$3000,M800)&gt;0,1,0)</f>
        <v>0</v>
      </c>
      <c r="H800" s="4" t="n">
        <v>2</v>
      </c>
      <c r="I800" s="4" t="s">
        <v>213</v>
      </c>
      <c r="J800" s="4" t="s">
        <v>56</v>
      </c>
      <c r="K800" s="4" t="s">
        <v>4410</v>
      </c>
      <c r="L800" s="48" t="str">
        <f aca="false">HYPERLINK("https://letterboxd.com/search/films/Female+Prisoner+701+Scorpion+1972/","open")</f>
        <v>open</v>
      </c>
      <c r="M800" s="4" t="str">
        <f aca="false">LOWER(A800)&amp;"|"&amp;B800</f>
        <v>female prisoner #701: scorpion|1972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1</v>
      </c>
      <c r="V800" s="4" t="n">
        <v>0</v>
      </c>
      <c r="W800" s="4" t="n">
        <v>0</v>
      </c>
    </row>
    <row r="801" customFormat="false" ht="15" hidden="false" customHeight="false" outlineLevel="0" collapsed="false">
      <c r="A801" s="4" t="s">
        <v>3540</v>
      </c>
      <c r="B801" s="4" t="n">
        <v>1974</v>
      </c>
      <c r="C801" s="4" t="str">
        <f aca="false">FLOOR(B801,10)&amp;"s"</f>
        <v>1970s</v>
      </c>
      <c r="D801" s="4" t="s">
        <v>671</v>
      </c>
      <c r="E801" s="25" t="str">
        <f aca="false">IF(G801=1,"✓","")</f>
        <v/>
      </c>
      <c r="F801" s="4" t="n">
        <v>1</v>
      </c>
      <c r="G801" s="4" t="n">
        <f aca="false">IF(COUNTIF('Letterboxd Watched'!$E$2:$E$3000,M801)&gt;0,1,0)</f>
        <v>0</v>
      </c>
      <c r="H801" s="4" t="n">
        <v>1</v>
      </c>
      <c r="I801" s="4" t="s">
        <v>1327</v>
      </c>
      <c r="J801" s="4" t="s">
        <v>56</v>
      </c>
      <c r="K801" s="4" t="s">
        <v>4404</v>
      </c>
      <c r="L801" s="48" t="str">
        <f aca="false">HYPERLINK("https://boxd.it/1Oqk","open")</f>
        <v>open</v>
      </c>
      <c r="M801" s="4" t="str">
        <f aca="false">LOWER(A801)&amp;"|"&amp;B801</f>
        <v>female trouble|1974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1</v>
      </c>
      <c r="V801" s="4" t="n">
        <v>0</v>
      </c>
      <c r="W801" s="4" t="n">
        <v>0</v>
      </c>
    </row>
    <row r="802" customFormat="false" ht="15" hidden="false" customHeight="false" outlineLevel="0" collapsed="false">
      <c r="A802" s="4" t="s">
        <v>3728</v>
      </c>
      <c r="B802" s="4" t="n">
        <v>2002</v>
      </c>
      <c r="C802" s="4" t="str">
        <f aca="false">FLOOR(B802,10)&amp;"s"</f>
        <v>2000s</v>
      </c>
      <c r="D802" s="4" t="s">
        <v>488</v>
      </c>
      <c r="E802" s="25" t="str">
        <f aca="false">IF(G802=1,"✓","")</f>
        <v/>
      </c>
      <c r="F802" s="4" t="n">
        <v>1</v>
      </c>
      <c r="G802" s="4" t="n">
        <f aca="false">IF(COUNTIF('Letterboxd Watched'!$E$2:$E$3000,M802)&gt;0,1,0)</f>
        <v>0</v>
      </c>
      <c r="H802" s="4" t="n">
        <v>1</v>
      </c>
      <c r="I802" s="4" t="s">
        <v>1327</v>
      </c>
      <c r="J802" s="4" t="s">
        <v>53</v>
      </c>
      <c r="K802" s="4" t="s">
        <v>488</v>
      </c>
      <c r="L802" s="48" t="str">
        <f aca="false">HYPERLINK("https://boxd.it/1Z4Y","open")</f>
        <v>open</v>
      </c>
      <c r="M802" s="4" t="str">
        <f aca="false">LOWER(A802)&amp;"|"&amp;B802</f>
        <v>femme fatale|2002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1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</row>
    <row r="803" customFormat="false" ht="15" hidden="false" customHeight="false" outlineLevel="0" collapsed="false">
      <c r="A803" s="4" t="s">
        <v>3026</v>
      </c>
      <c r="B803" s="4" t="n">
        <v>2013</v>
      </c>
      <c r="C803" s="4" t="str">
        <f aca="false">FLOOR(B803,10)&amp;"s"</f>
        <v>2010s</v>
      </c>
      <c r="D803" s="4" t="s">
        <v>2971</v>
      </c>
      <c r="E803" s="25" t="str">
        <f aca="false">IF(G803=1,"✓","")</f>
        <v/>
      </c>
      <c r="F803" s="4" t="n">
        <v>1</v>
      </c>
      <c r="G803" s="4" t="n">
        <f aca="false">IF(COUNTIF('Letterboxd Watched'!$E$2:$E$3000,M803)&gt;0,1,0)</f>
        <v>0</v>
      </c>
      <c r="H803" s="4" t="n">
        <v>2</v>
      </c>
      <c r="I803" s="4" t="s">
        <v>213</v>
      </c>
      <c r="J803" s="4" t="s">
        <v>52</v>
      </c>
      <c r="K803" s="4" t="s">
        <v>4064</v>
      </c>
      <c r="L803" s="48" t="str">
        <f aca="false">HYPERLINK("https://letterboxd.com/search/films/A+Field+in+England+2013/","open")</f>
        <v>open</v>
      </c>
      <c r="M803" s="4" t="str">
        <f aca="false">LOWER(A803)&amp;"|"&amp;B803</f>
        <v>a field in england|2013</v>
      </c>
      <c r="N803" s="4" t="n">
        <v>0</v>
      </c>
      <c r="O803" s="4" t="n">
        <v>0</v>
      </c>
      <c r="P803" s="4" t="n">
        <v>0</v>
      </c>
      <c r="Q803" s="4" t="n">
        <v>1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</row>
    <row r="804" customFormat="false" ht="15" hidden="false" customHeight="false" outlineLevel="0" collapsed="false">
      <c r="A804" s="4" t="s">
        <v>1281</v>
      </c>
      <c r="B804" s="4" t="n">
        <v>1989</v>
      </c>
      <c r="C804" s="4" t="str">
        <f aca="false">FLOOR(B804,10)&amp;"s"</f>
        <v>1980s</v>
      </c>
      <c r="D804" s="4" t="s">
        <v>1282</v>
      </c>
      <c r="E804" s="25" t="str">
        <f aca="false">IF(G804=1,"✓","")</f>
        <v>✓</v>
      </c>
      <c r="F804" s="4" t="n">
        <v>2</v>
      </c>
      <c r="G804" s="4" t="n">
        <f aca="false">IF(COUNTIF('Letterboxd Watched'!$E$2:$E$3000,M804)&gt;0,1,0)</f>
        <v>1</v>
      </c>
      <c r="H804" s="4" t="n">
        <v>4</v>
      </c>
      <c r="I804" s="4" t="s">
        <v>213</v>
      </c>
      <c r="J804" s="4" t="s">
        <v>55</v>
      </c>
      <c r="K804" s="4" t="s">
        <v>5402</v>
      </c>
      <c r="L804" s="48" t="str">
        <f aca="false">HYPERLINK("https://boxd.it/26VK","open")</f>
        <v>open</v>
      </c>
      <c r="M804" s="4" t="str">
        <f aca="false">LOWER(A804)&amp;"|"&amp;B804</f>
        <v>field of dreams|1989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4" t="n">
        <v>1</v>
      </c>
      <c r="U804" s="4" t="n">
        <v>0</v>
      </c>
      <c r="V804" s="4" t="n">
        <v>0</v>
      </c>
      <c r="W804" s="4" t="n">
        <v>0</v>
      </c>
    </row>
    <row r="805" customFormat="false" ht="15" hidden="false" customHeight="false" outlineLevel="0" collapsed="false">
      <c r="A805" s="4" t="s">
        <v>849</v>
      </c>
      <c r="B805" s="4" t="n">
        <v>1999</v>
      </c>
      <c r="C805" s="4" t="str">
        <f aca="false">FLOOR(B805,10)&amp;"s"</f>
        <v>1990s</v>
      </c>
      <c r="D805" s="4" t="s">
        <v>325</v>
      </c>
      <c r="E805" s="25" t="str">
        <f aca="false">IF(G805=1,"✓","")</f>
        <v>✓</v>
      </c>
      <c r="F805" s="4" t="n">
        <v>2</v>
      </c>
      <c r="G805" s="4" t="n">
        <f aca="false">IF(COUNTIF('Letterboxd Watched'!$E$2:$E$3000,M805)&gt;0,1,0)</f>
        <v>1</v>
      </c>
      <c r="H805" s="4" t="n">
        <v>5</v>
      </c>
      <c r="I805" s="4" t="s">
        <v>144</v>
      </c>
      <c r="J805" s="4" t="s">
        <v>53</v>
      </c>
      <c r="K805" s="4" t="s">
        <v>5403</v>
      </c>
      <c r="L805" s="48" t="str">
        <f aca="false">HYPERLINK("https://boxd.it/2a9q","open")</f>
        <v>open</v>
      </c>
      <c r="M805" s="4" t="str">
        <f aca="false">LOWER(A805)&amp;"|"&amp;B805</f>
        <v>fight club|1999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1</v>
      </c>
      <c r="S805" s="4" t="n">
        <v>1</v>
      </c>
      <c r="T805" s="4" t="n">
        <v>0</v>
      </c>
      <c r="U805" s="4" t="n">
        <v>0</v>
      </c>
      <c r="V805" s="4" t="n">
        <v>0</v>
      </c>
      <c r="W805" s="4" t="n">
        <v>0</v>
      </c>
    </row>
    <row r="806" customFormat="false" ht="15" hidden="false" customHeight="false" outlineLevel="0" collapsed="false">
      <c r="A806" s="4" t="s">
        <v>2805</v>
      </c>
      <c r="B806" s="4" t="n">
        <v>2003</v>
      </c>
      <c r="C806" s="4" t="str">
        <f aca="false">FLOOR(B806,10)&amp;"s"</f>
        <v>2000s</v>
      </c>
      <c r="D806" s="4" t="s">
        <v>1605</v>
      </c>
      <c r="E806" s="25" t="str">
        <f aca="false">IF(G806=1,"✓","")</f>
        <v/>
      </c>
      <c r="F806" s="4" t="n">
        <v>1</v>
      </c>
      <c r="G806" s="4" t="n">
        <f aca="false">IF(COUNTIF('Letterboxd Watched'!$E$2:$E$3000,M806)&gt;0,1,0)</f>
        <v>0</v>
      </c>
      <c r="H806" s="4" t="n">
        <v>2</v>
      </c>
      <c r="I806" s="4" t="s">
        <v>213</v>
      </c>
      <c r="J806" s="4" t="s">
        <v>52</v>
      </c>
      <c r="K806" s="4" t="s">
        <v>4168</v>
      </c>
      <c r="L806" s="48" t="str">
        <f aca="false">HYPERLINK("https://boxd.it/72i","open")</f>
        <v>open</v>
      </c>
      <c r="M806" s="4" t="str">
        <f aca="false">LOWER(A806)&amp;"|"&amp;B806</f>
        <v>finding nemo|2003</v>
      </c>
      <c r="N806" s="4" t="n">
        <v>0</v>
      </c>
      <c r="O806" s="4" t="n">
        <v>0</v>
      </c>
      <c r="P806" s="4" t="n">
        <v>0</v>
      </c>
      <c r="Q806" s="4" t="n">
        <v>1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</row>
    <row r="807" customFormat="false" ht="15" hidden="false" customHeight="false" outlineLevel="0" collapsed="false">
      <c r="A807" s="4" t="s">
        <v>2096</v>
      </c>
      <c r="B807" s="4" t="n">
        <v>1967</v>
      </c>
      <c r="C807" s="4" t="str">
        <f aca="false">FLOOR(B807,10)&amp;"s"</f>
        <v>1960s</v>
      </c>
      <c r="D807" s="4" t="s">
        <v>548</v>
      </c>
      <c r="E807" s="25" t="str">
        <f aca="false">IF(G807=1,"✓","")</f>
        <v/>
      </c>
      <c r="F807" s="4" t="n">
        <v>1</v>
      </c>
      <c r="G807" s="4" t="n">
        <f aca="false">IF(COUNTIF('Letterboxd Watched'!$E$2:$E$3000,M807)&gt;0,1,0)</f>
        <v>0</v>
      </c>
      <c r="H807" s="4" t="n">
        <v>2</v>
      </c>
      <c r="I807" s="4" t="s">
        <v>213</v>
      </c>
      <c r="J807" s="4" t="s">
        <v>51</v>
      </c>
      <c r="K807" s="4" t="s">
        <v>3992</v>
      </c>
      <c r="L807" s="48" t="str">
        <f aca="false">HYPERLINK("https://boxd.it/15Yc","open")</f>
        <v>open</v>
      </c>
      <c r="M807" s="4" t="str">
        <f aca="false">LOWER(A807)&amp;"|"&amp;B807</f>
        <v>the firemen's ball|1967</v>
      </c>
      <c r="N807" s="4" t="n">
        <v>0</v>
      </c>
      <c r="O807" s="4" t="n">
        <v>0</v>
      </c>
      <c r="P807" s="4" t="n">
        <v>1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</row>
    <row r="808" customFormat="false" ht="15" hidden="false" customHeight="false" outlineLevel="0" collapsed="false">
      <c r="A808" s="4" t="s">
        <v>3399</v>
      </c>
      <c r="B808" s="4" t="n">
        <v>1959</v>
      </c>
      <c r="C808" s="4" t="str">
        <f aca="false">FLOOR(B808,10)&amp;"s"</f>
        <v>1950s</v>
      </c>
      <c r="D808" s="4" t="s">
        <v>3400</v>
      </c>
      <c r="E808" s="25" t="str">
        <f aca="false">IF(G808=1,"✓","")</f>
        <v/>
      </c>
      <c r="F808" s="4" t="n">
        <v>1</v>
      </c>
      <c r="G808" s="4" t="n">
        <f aca="false">IF(COUNTIF('Letterboxd Watched'!$E$2:$E$3000,M808)&gt;0,1,0)</f>
        <v>0</v>
      </c>
      <c r="H808" s="4" t="n">
        <v>1</v>
      </c>
      <c r="I808" s="4" t="s">
        <v>1327</v>
      </c>
      <c r="J808" s="4" t="s">
        <v>52</v>
      </c>
      <c r="K808" s="4" t="s">
        <v>4142</v>
      </c>
      <c r="L808" s="48" t="str">
        <f aca="false">HYPERLINK("https://boxd.it/1j8a","open")</f>
        <v>open</v>
      </c>
      <c r="M808" s="4" t="str">
        <f aca="false">LOWER(A808)&amp;"|"&amp;B808</f>
        <v>fires on the plain|1959</v>
      </c>
      <c r="N808" s="4" t="n">
        <v>0</v>
      </c>
      <c r="O808" s="4" t="n">
        <v>0</v>
      </c>
      <c r="P808" s="4" t="n">
        <v>0</v>
      </c>
      <c r="Q808" s="4" t="n">
        <v>1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</row>
    <row r="809" customFormat="false" ht="15" hidden="false" customHeight="false" outlineLevel="0" collapsed="false">
      <c r="A809" s="4" t="s">
        <v>2361</v>
      </c>
      <c r="B809" s="4" t="n">
        <v>1982</v>
      </c>
      <c r="C809" s="4" t="str">
        <f aca="false">FLOOR(B809,10)&amp;"s"</f>
        <v>1980s</v>
      </c>
      <c r="D809" s="4" t="s">
        <v>2170</v>
      </c>
      <c r="E809" s="25" t="str">
        <f aca="false">IF(G809=1,"✓","")</f>
        <v/>
      </c>
      <c r="F809" s="4" t="n">
        <v>1</v>
      </c>
      <c r="G809" s="4" t="n">
        <f aca="false">IF(COUNTIF('Letterboxd Watched'!$E$2:$E$3000,M809)&gt;0,1,0)</f>
        <v>0</v>
      </c>
      <c r="H809" s="4" t="n">
        <v>2</v>
      </c>
      <c r="I809" s="4" t="s">
        <v>213</v>
      </c>
      <c r="J809" s="4" t="s">
        <v>52</v>
      </c>
      <c r="K809" s="4" t="s">
        <v>4158</v>
      </c>
      <c r="L809" s="48" t="str">
        <f aca="false">HYPERLINK("https://boxd.it/28U0","open")</f>
        <v>open</v>
      </c>
      <c r="M809" s="4" t="str">
        <f aca="false">LOWER(A809)&amp;"|"&amp;B809</f>
        <v>first blood|1982</v>
      </c>
      <c r="N809" s="4" t="n">
        <v>0</v>
      </c>
      <c r="O809" s="4" t="n">
        <v>0</v>
      </c>
      <c r="P809" s="4" t="n">
        <v>0</v>
      </c>
      <c r="Q809" s="4" t="n">
        <v>1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</row>
    <row r="810" customFormat="false" ht="15" hidden="false" customHeight="false" outlineLevel="0" collapsed="false">
      <c r="A810" s="4" t="s">
        <v>879</v>
      </c>
      <c r="B810" s="4" t="n">
        <v>2019</v>
      </c>
      <c r="C810" s="4" t="str">
        <f aca="false">FLOOR(B810,10)&amp;"s"</f>
        <v>2010s</v>
      </c>
      <c r="D810" s="4" t="s">
        <v>867</v>
      </c>
      <c r="E810" s="25" t="str">
        <f aca="false">IF(G810=1,"✓","")</f>
        <v/>
      </c>
      <c r="F810" s="4" t="n">
        <v>2</v>
      </c>
      <c r="G810" s="4" t="n">
        <f aca="false">IF(COUNTIF('Letterboxd Watched'!$E$2:$E$3000,M810)&gt;0,1,0)</f>
        <v>0</v>
      </c>
      <c r="H810" s="4" t="n">
        <v>5</v>
      </c>
      <c r="I810" s="4" t="s">
        <v>144</v>
      </c>
      <c r="J810" s="4" t="s">
        <v>52</v>
      </c>
      <c r="K810" s="4" t="s">
        <v>5404</v>
      </c>
      <c r="L810" s="48" t="str">
        <f aca="false">HYPERLINK("https://boxd.it/krga","open")</f>
        <v>open</v>
      </c>
      <c r="M810" s="4" t="str">
        <f aca="false">LOWER(A810)&amp;"|"&amp;B810</f>
        <v>first cow|2019</v>
      </c>
      <c r="N810" s="4" t="n">
        <v>0</v>
      </c>
      <c r="O810" s="4" t="n">
        <v>0</v>
      </c>
      <c r="P810" s="4" t="n">
        <v>0</v>
      </c>
      <c r="Q810" s="4" t="n">
        <v>1</v>
      </c>
      <c r="R810" s="4" t="n">
        <v>1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</row>
    <row r="811" customFormat="false" ht="15" hidden="false" customHeight="false" outlineLevel="0" collapsed="false">
      <c r="A811" s="4" t="s">
        <v>1416</v>
      </c>
      <c r="B811" s="4" t="n">
        <v>2017</v>
      </c>
      <c r="C811" s="4" t="str">
        <f aca="false">FLOOR(B811,10)&amp;"s"</f>
        <v>2010s</v>
      </c>
      <c r="D811" s="4" t="s">
        <v>1417</v>
      </c>
      <c r="E811" s="25" t="str">
        <f aca="false">IF(G811=1,"✓","")</f>
        <v>✓</v>
      </c>
      <c r="F811" s="4" t="n">
        <v>2</v>
      </c>
      <c r="G811" s="4" t="n">
        <f aca="false">IF(COUNTIF('Letterboxd Watched'!$E$2:$E$3000,M811)&gt;0,1,0)</f>
        <v>1</v>
      </c>
      <c r="H811" s="4" t="n">
        <v>3</v>
      </c>
      <c r="I811" s="4" t="s">
        <v>213</v>
      </c>
      <c r="J811" s="4" t="s">
        <v>54</v>
      </c>
      <c r="K811" s="4" t="s">
        <v>5405</v>
      </c>
      <c r="L811" s="48" t="str">
        <f aca="false">HYPERLINK("https://boxd.it/go9C","open")</f>
        <v>open</v>
      </c>
      <c r="M811" s="4" t="str">
        <f aca="false">LOWER(A811)&amp;"|"&amp;B811</f>
        <v>first reformed|2017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1</v>
      </c>
      <c r="T811" s="4" t="n">
        <v>0</v>
      </c>
      <c r="U811" s="4" t="n">
        <v>0</v>
      </c>
      <c r="V811" s="4" t="n">
        <v>1</v>
      </c>
      <c r="W811" s="4" t="n">
        <v>0</v>
      </c>
    </row>
    <row r="812" customFormat="false" ht="15" hidden="false" customHeight="false" outlineLevel="0" collapsed="false">
      <c r="A812" s="4" t="s">
        <v>1190</v>
      </c>
      <c r="B812" s="4" t="n">
        <v>2009</v>
      </c>
      <c r="C812" s="4" t="str">
        <f aca="false">FLOOR(B812,10)&amp;"s"</f>
        <v>2000s</v>
      </c>
      <c r="D812" s="4" t="s">
        <v>1191</v>
      </c>
      <c r="E812" s="25" t="str">
        <f aca="false">IF(G812=1,"✓","")</f>
        <v/>
      </c>
      <c r="F812" s="4" t="n">
        <v>2</v>
      </c>
      <c r="G812" s="4" t="n">
        <f aca="false">IF(COUNTIF('Letterboxd Watched'!$E$2:$E$3000,M812)&gt;0,1,0)</f>
        <v>0</v>
      </c>
      <c r="H812" s="4" t="n">
        <v>4</v>
      </c>
      <c r="I812" s="4" t="s">
        <v>213</v>
      </c>
      <c r="J812" s="4" t="s">
        <v>51</v>
      </c>
      <c r="K812" s="4" t="s">
        <v>5406</v>
      </c>
      <c r="L812" s="48" t="str">
        <f aca="false">HYPERLINK("https://boxd.it/1xBg","open")</f>
        <v>open</v>
      </c>
      <c r="M812" s="4" t="str">
        <f aca="false">LOWER(A812)&amp;"|"&amp;B812</f>
        <v>fish tank|2009</v>
      </c>
      <c r="N812" s="4" t="n">
        <v>0</v>
      </c>
      <c r="O812" s="4" t="n">
        <v>0</v>
      </c>
      <c r="P812" s="4" t="n">
        <v>1</v>
      </c>
      <c r="Q812" s="4" t="n">
        <v>0</v>
      </c>
      <c r="R812" s="4" t="n">
        <v>0</v>
      </c>
      <c r="S812" s="4" t="n">
        <v>1</v>
      </c>
      <c r="T812" s="4" t="n">
        <v>0</v>
      </c>
      <c r="U812" s="4" t="n">
        <v>0</v>
      </c>
      <c r="V812" s="4" t="n">
        <v>0</v>
      </c>
      <c r="W812" s="4" t="n">
        <v>0</v>
      </c>
    </row>
    <row r="813" customFormat="false" ht="15" hidden="false" customHeight="false" outlineLevel="0" collapsed="false">
      <c r="A813" s="4" t="s">
        <v>467</v>
      </c>
      <c r="B813" s="4" t="n">
        <v>1964</v>
      </c>
      <c r="C813" s="4" t="str">
        <f aca="false">FLOOR(B813,10)&amp;"s"</f>
        <v>1960s</v>
      </c>
      <c r="D813" s="4" t="s">
        <v>395</v>
      </c>
      <c r="E813" s="25" t="str">
        <f aca="false">IF(G813=1,"✓","")</f>
        <v>✓</v>
      </c>
      <c r="F813" s="4" t="n">
        <v>3</v>
      </c>
      <c r="G813" s="4" t="n">
        <f aca="false">IF(COUNTIF('Letterboxd Watched'!$E$2:$E$3000,M813)&gt;0,1,0)</f>
        <v>1</v>
      </c>
      <c r="H813" s="4" t="n">
        <v>7</v>
      </c>
      <c r="I813" s="4" t="s">
        <v>144</v>
      </c>
      <c r="J813" s="4" t="s">
        <v>51</v>
      </c>
      <c r="K813" s="4" t="s">
        <v>5407</v>
      </c>
      <c r="L813" s="48" t="str">
        <f aca="false">HYPERLINK("https://boxd.it/2auo","open")</f>
        <v>open</v>
      </c>
      <c r="M813" s="4" t="str">
        <f aca="false">LOWER(A813)&amp;"|"&amp;B813</f>
        <v>a fistful of dollars|1964</v>
      </c>
      <c r="N813" s="4" t="n">
        <v>0</v>
      </c>
      <c r="O813" s="4" t="n">
        <v>0</v>
      </c>
      <c r="P813" s="4" t="n">
        <v>1</v>
      </c>
      <c r="Q813" s="4" t="n">
        <v>0</v>
      </c>
      <c r="R813" s="4" t="n">
        <v>1</v>
      </c>
      <c r="S813" s="4" t="n">
        <v>0</v>
      </c>
      <c r="T813" s="4" t="n">
        <v>0</v>
      </c>
      <c r="U813" s="4" t="n">
        <v>1</v>
      </c>
      <c r="V813" s="4" t="n">
        <v>0</v>
      </c>
      <c r="W813" s="4" t="n">
        <v>0</v>
      </c>
    </row>
    <row r="814" customFormat="false" ht="15" hidden="false" customHeight="false" outlineLevel="0" collapsed="false">
      <c r="A814" s="4" t="s">
        <v>3428</v>
      </c>
      <c r="B814" s="4" t="n">
        <v>1965</v>
      </c>
      <c r="C814" s="4" t="str">
        <f aca="false">FLOOR(B814,10)&amp;"s"</f>
        <v>1960s</v>
      </c>
      <c r="D814" s="4" t="s">
        <v>3429</v>
      </c>
      <c r="E814" s="25" t="str">
        <f aca="false">IF(G814=1,"✓","")</f>
        <v/>
      </c>
      <c r="F814" s="4" t="n">
        <v>1</v>
      </c>
      <c r="G814" s="4" t="n">
        <f aca="false">IF(COUNTIF('Letterboxd Watched'!$E$2:$E$3000,M814)&gt;0,1,0)</f>
        <v>0</v>
      </c>
      <c r="H814" s="4" t="n">
        <v>1</v>
      </c>
      <c r="I814" s="4" t="s">
        <v>1327</v>
      </c>
      <c r="J814" s="4" t="s">
        <v>51</v>
      </c>
      <c r="K814" s="4" t="s">
        <v>3944</v>
      </c>
      <c r="L814" s="48" t="str">
        <f aca="false">HYPERLINK("https://boxd.it/MPA","open")</f>
        <v>open</v>
      </c>
      <c r="M814" s="4" t="str">
        <f aca="false">LOWER(A814)&amp;"|"&amp;B814</f>
        <v>fists in the pocket|1965</v>
      </c>
      <c r="N814" s="4" t="n">
        <v>0</v>
      </c>
      <c r="O814" s="4" t="n">
        <v>0</v>
      </c>
      <c r="P814" s="4" t="n">
        <v>1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</row>
    <row r="815" customFormat="false" ht="15" hidden="false" customHeight="false" outlineLevel="0" collapsed="false">
      <c r="A815" s="4" t="s">
        <v>710</v>
      </c>
      <c r="B815" s="4" t="n">
        <v>1982</v>
      </c>
      <c r="C815" s="4" t="str">
        <f aca="false">FLOOR(B815,10)&amp;"s"</f>
        <v>1980s</v>
      </c>
      <c r="D815" s="4" t="s">
        <v>292</v>
      </c>
      <c r="E815" s="25" t="str">
        <f aca="false">IF(G815=1,"✓","")</f>
        <v/>
      </c>
      <c r="F815" s="4" t="n">
        <v>3</v>
      </c>
      <c r="G815" s="4" t="n">
        <f aca="false">IF(COUNTIF('Letterboxd Watched'!$E$2:$E$3000,M815)&gt;0,1,0)</f>
        <v>0</v>
      </c>
      <c r="H815" s="4" t="n">
        <v>5</v>
      </c>
      <c r="I815" s="4" t="s">
        <v>213</v>
      </c>
      <c r="J815" s="4" t="s">
        <v>51</v>
      </c>
      <c r="K815" s="4" t="s">
        <v>5408</v>
      </c>
      <c r="L815" s="48" t="str">
        <f aca="false">HYPERLINK("https://boxd.it/1YV8","open")</f>
        <v>open</v>
      </c>
      <c r="M815" s="4" t="str">
        <f aca="false">LOWER(A815)&amp;"|"&amp;B815</f>
        <v>fitzcarraldo|1982</v>
      </c>
      <c r="N815" s="4" t="n">
        <v>0</v>
      </c>
      <c r="O815" s="4" t="n">
        <v>0</v>
      </c>
      <c r="P815" s="4" t="n">
        <v>1</v>
      </c>
      <c r="Q815" s="4" t="n">
        <v>0</v>
      </c>
      <c r="R815" s="4" t="n">
        <v>1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1</v>
      </c>
    </row>
    <row r="816" customFormat="false" ht="15" hidden="false" customHeight="false" outlineLevel="0" collapsed="false">
      <c r="A816" s="4" t="s">
        <v>1038</v>
      </c>
      <c r="B816" s="4" t="n">
        <v>1978</v>
      </c>
      <c r="C816" s="4" t="str">
        <f aca="false">FLOOR(B816,10)&amp;"s"</f>
        <v>1970s</v>
      </c>
      <c r="D816" s="4" t="s">
        <v>1039</v>
      </c>
      <c r="E816" s="25" t="str">
        <f aca="false">IF(G816=1,"✓","")</f>
        <v/>
      </c>
      <c r="F816" s="4" t="n">
        <v>2</v>
      </c>
      <c r="G816" s="4" t="n">
        <f aca="false">IF(COUNTIF('Letterboxd Watched'!$E$2:$E$3000,M816)&gt;0,1,0)</f>
        <v>0</v>
      </c>
      <c r="H816" s="4" t="n">
        <v>4</v>
      </c>
      <c r="I816" s="4" t="s">
        <v>213</v>
      </c>
      <c r="J816" s="4" t="s">
        <v>51</v>
      </c>
      <c r="K816" s="4" t="s">
        <v>5409</v>
      </c>
      <c r="L816" s="48" t="str">
        <f aca="false">HYPERLINK("https://letterboxd.com/search/films/Five+Deadly+Venoms+1978/","open")</f>
        <v>open</v>
      </c>
      <c r="M816" s="4" t="str">
        <f aca="false">LOWER(A816)&amp;"|"&amp;B816</f>
        <v>five deadly venoms|1978</v>
      </c>
      <c r="N816" s="4" t="n">
        <v>0</v>
      </c>
      <c r="O816" s="4" t="n">
        <v>0</v>
      </c>
      <c r="P816" s="4" t="n">
        <v>1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1</v>
      </c>
      <c r="V816" s="4" t="n">
        <v>0</v>
      </c>
      <c r="W816" s="4" t="n">
        <v>0</v>
      </c>
    </row>
    <row r="817" customFormat="false" ht="15" hidden="false" customHeight="false" outlineLevel="0" collapsed="false">
      <c r="A817" s="4" t="s">
        <v>593</v>
      </c>
      <c r="B817" s="4" t="n">
        <v>1970</v>
      </c>
      <c r="C817" s="4" t="str">
        <f aca="false">FLOOR(B817,10)&amp;"s"</f>
        <v>1970s</v>
      </c>
      <c r="D817" s="4" t="s">
        <v>594</v>
      </c>
      <c r="E817" s="25" t="str">
        <f aca="false">IF(G817=1,"✓","")</f>
        <v>✓</v>
      </c>
      <c r="F817" s="4" t="n">
        <v>3</v>
      </c>
      <c r="G817" s="4" t="n">
        <f aca="false">IF(COUNTIF('Letterboxd Watched'!$E$2:$E$3000,M817)&gt;0,1,0)</f>
        <v>1</v>
      </c>
      <c r="H817" s="4" t="n">
        <v>6</v>
      </c>
      <c r="I817" s="4" t="s">
        <v>213</v>
      </c>
      <c r="J817" s="4" t="s">
        <v>50</v>
      </c>
      <c r="K817" s="4" t="s">
        <v>5410</v>
      </c>
      <c r="L817" s="48" t="str">
        <f aca="false">HYPERLINK("https://boxd.it/1tww","open")</f>
        <v>open</v>
      </c>
      <c r="M817" s="4" t="str">
        <f aca="false">LOWER(A817)&amp;"|"&amp;B817</f>
        <v>five easy pieces|1970</v>
      </c>
      <c r="N817" s="4" t="n">
        <v>0</v>
      </c>
      <c r="O817" s="4" t="n">
        <v>1</v>
      </c>
      <c r="P817" s="4" t="n">
        <v>0</v>
      </c>
      <c r="Q817" s="4" t="n">
        <v>0</v>
      </c>
      <c r="R817" s="4" t="n">
        <v>1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1</v>
      </c>
    </row>
    <row r="818" customFormat="false" ht="15" hidden="false" customHeight="false" outlineLevel="0" collapsed="false">
      <c r="A818" s="4" t="s">
        <v>2033</v>
      </c>
      <c r="B818" s="4" t="n">
        <v>1963</v>
      </c>
      <c r="C818" s="4" t="str">
        <f aca="false">FLOOR(B818,10)&amp;"s"</f>
        <v>1960s</v>
      </c>
      <c r="D818" s="4" t="s">
        <v>2034</v>
      </c>
      <c r="E818" s="25" t="str">
        <f aca="false">IF(G818=1,"✓","")</f>
        <v/>
      </c>
      <c r="F818" s="4" t="n">
        <v>1</v>
      </c>
      <c r="G818" s="4" t="n">
        <f aca="false">IF(COUNTIF('Letterboxd Watched'!$E$2:$E$3000,M818)&gt;0,1,0)</f>
        <v>0</v>
      </c>
      <c r="H818" s="4" t="n">
        <v>2</v>
      </c>
      <c r="I818" s="4" t="s">
        <v>213</v>
      </c>
      <c r="J818" s="4" t="s">
        <v>52</v>
      </c>
      <c r="K818" s="4" t="s">
        <v>4182</v>
      </c>
      <c r="L818" s="48" t="str">
        <f aca="false">HYPERLINK("https://letterboxd.com/search/films/Flaming+Creatures+1963/","open")</f>
        <v>open</v>
      </c>
      <c r="M818" s="4" t="str">
        <f aca="false">LOWER(A818)&amp;"|"&amp;B818</f>
        <v>flaming creatures|1963</v>
      </c>
      <c r="N818" s="4" t="n">
        <v>0</v>
      </c>
      <c r="O818" s="4" t="n">
        <v>0</v>
      </c>
      <c r="P818" s="4" t="n">
        <v>0</v>
      </c>
      <c r="Q818" s="4" t="n">
        <v>1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</row>
    <row r="819" customFormat="false" ht="15" hidden="false" customHeight="false" outlineLevel="0" collapsed="false">
      <c r="A819" s="4" t="s">
        <v>3613</v>
      </c>
      <c r="B819" s="4" t="n">
        <v>1983</v>
      </c>
      <c r="C819" s="4" t="str">
        <f aca="false">FLOOR(B819,10)&amp;"s"</f>
        <v>1980s</v>
      </c>
      <c r="D819" s="4" t="s">
        <v>2453</v>
      </c>
      <c r="E819" s="25" t="str">
        <f aca="false">IF(G819=1,"✓","")</f>
        <v/>
      </c>
      <c r="F819" s="4" t="n">
        <v>1</v>
      </c>
      <c r="G819" s="4" t="n">
        <f aca="false">IF(COUNTIF('Letterboxd Watched'!$E$2:$E$3000,M819)&gt;0,1,0)</f>
        <v>0</v>
      </c>
      <c r="H819" s="4" t="n">
        <v>1</v>
      </c>
      <c r="I819" s="4" t="s">
        <v>1327</v>
      </c>
      <c r="J819" s="4" t="s">
        <v>50</v>
      </c>
      <c r="K819" s="4" t="s">
        <v>3920</v>
      </c>
      <c r="L819" s="48" t="str">
        <f aca="false">HYPERLINK("https://boxd.it/2abG","open")</f>
        <v>open</v>
      </c>
      <c r="M819" s="4" t="str">
        <f aca="false">LOWER(A819)&amp;"|"&amp;B819</f>
        <v>flashdance|1983</v>
      </c>
      <c r="N819" s="4" t="n">
        <v>0</v>
      </c>
      <c r="O819" s="4" t="n">
        <v>1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 customFormat="false" ht="15" hidden="false" customHeight="false" outlineLevel="0" collapsed="false">
      <c r="A820" s="4" t="s">
        <v>3211</v>
      </c>
      <c r="B820" s="4" t="n">
        <v>2021</v>
      </c>
      <c r="C820" s="4" t="str">
        <f aca="false">FLOOR(B820,10)&amp;"s"</f>
        <v>2020s</v>
      </c>
      <c r="D820" s="4" t="s">
        <v>3212</v>
      </c>
      <c r="E820" s="25" t="str">
        <f aca="false">IF(G820=1,"✓","")</f>
        <v/>
      </c>
      <c r="F820" s="4" t="n">
        <v>1</v>
      </c>
      <c r="G820" s="4" t="n">
        <f aca="false">IF(COUNTIF('Letterboxd Watched'!$E$2:$E$3000,M820)&gt;0,1,0)</f>
        <v>0</v>
      </c>
      <c r="H820" s="4" t="n">
        <v>2</v>
      </c>
      <c r="I820" s="4" t="s">
        <v>213</v>
      </c>
      <c r="J820" s="4" t="s">
        <v>52</v>
      </c>
      <c r="K820" s="4" t="s">
        <v>4166</v>
      </c>
      <c r="L820" s="48" t="str">
        <f aca="false">HYPERLINK("https://boxd.it/ponM","open")</f>
        <v>open</v>
      </c>
      <c r="M820" s="4" t="str">
        <f aca="false">LOWER(A820)&amp;"|"&amp;B820</f>
        <v>flee|2021</v>
      </c>
      <c r="N820" s="4" t="n">
        <v>0</v>
      </c>
      <c r="O820" s="4" t="n">
        <v>0</v>
      </c>
      <c r="P820" s="4" t="n">
        <v>0</v>
      </c>
      <c r="Q820" s="4" t="n">
        <v>1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</row>
    <row r="821" customFormat="false" ht="15" hidden="false" customHeight="false" outlineLevel="0" collapsed="false">
      <c r="A821" s="4" t="s">
        <v>2084</v>
      </c>
      <c r="B821" s="4" t="n">
        <v>1966</v>
      </c>
      <c r="C821" s="4" t="str">
        <f aca="false">FLOOR(B821,10)&amp;"s"</f>
        <v>1960s</v>
      </c>
      <c r="D821" s="4" t="s">
        <v>2085</v>
      </c>
      <c r="E821" s="25" t="str">
        <f aca="false">IF(G821=1,"✓","")</f>
        <v/>
      </c>
      <c r="F821" s="4" t="n">
        <v>1</v>
      </c>
      <c r="G821" s="4" t="n">
        <f aca="false">IF(COUNTIF('Letterboxd Watched'!$E$2:$E$3000,M821)&gt;0,1,0)</f>
        <v>0</v>
      </c>
      <c r="H821" s="4" t="n">
        <v>2</v>
      </c>
      <c r="I821" s="4" t="s">
        <v>213</v>
      </c>
      <c r="J821" s="4" t="s">
        <v>52</v>
      </c>
      <c r="K821" s="4" t="s">
        <v>4182</v>
      </c>
      <c r="L821" s="48" t="str">
        <f aca="false">HYPERLINK("https://letterboxd.com/search/films/The+Flicker+1966/","open")</f>
        <v>open</v>
      </c>
      <c r="M821" s="4" t="str">
        <f aca="false">LOWER(A821)&amp;"|"&amp;B821</f>
        <v>the flicker|1966</v>
      </c>
      <c r="N821" s="4" t="n">
        <v>0</v>
      </c>
      <c r="O821" s="4" t="n">
        <v>0</v>
      </c>
      <c r="P821" s="4" t="n">
        <v>0</v>
      </c>
      <c r="Q821" s="4" t="n">
        <v>1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</row>
    <row r="822" customFormat="false" ht="15" hidden="false" customHeight="false" outlineLevel="0" collapsed="false">
      <c r="A822" s="4" t="s">
        <v>945</v>
      </c>
      <c r="B822" s="4" t="n">
        <v>1955</v>
      </c>
      <c r="C822" s="4" t="str">
        <f aca="false">FLOOR(B822,10)&amp;"s"</f>
        <v>1950s</v>
      </c>
      <c r="D822" s="4" t="s">
        <v>759</v>
      </c>
      <c r="E822" s="25" t="str">
        <f aca="false">IF(G822=1,"✓","")</f>
        <v/>
      </c>
      <c r="F822" s="4" t="n">
        <v>2</v>
      </c>
      <c r="G822" s="4" t="n">
        <f aca="false">IF(COUNTIF('Letterboxd Watched'!$E$2:$E$3000,M822)&gt;0,1,0)</f>
        <v>0</v>
      </c>
      <c r="H822" s="4" t="n">
        <v>4</v>
      </c>
      <c r="I822" s="4" t="s">
        <v>213</v>
      </c>
      <c r="J822" s="4" t="s">
        <v>51</v>
      </c>
      <c r="K822" s="4" t="s">
        <v>5411</v>
      </c>
      <c r="L822" s="48" t="str">
        <f aca="false">HYPERLINK("https://boxd.it/2FLU","open")</f>
        <v>open</v>
      </c>
      <c r="M822" s="4" t="str">
        <f aca="false">LOWER(A822)&amp;"|"&amp;B822</f>
        <v>floating clouds|1955</v>
      </c>
      <c r="N822" s="4" t="n">
        <v>0</v>
      </c>
      <c r="O822" s="4" t="n">
        <v>0</v>
      </c>
      <c r="P822" s="4" t="n">
        <v>1</v>
      </c>
      <c r="Q822" s="4" t="n">
        <v>0</v>
      </c>
      <c r="R822" s="4" t="n">
        <v>1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</row>
    <row r="823" customFormat="false" ht="15" hidden="false" customHeight="false" outlineLevel="0" collapsed="false">
      <c r="A823" s="4" t="s">
        <v>757</v>
      </c>
      <c r="B823" s="4" t="n">
        <v>1959</v>
      </c>
      <c r="C823" s="4" t="str">
        <f aca="false">FLOOR(B823,10)&amp;"s"</f>
        <v>1950s</v>
      </c>
      <c r="D823" s="4" t="s">
        <v>146</v>
      </c>
      <c r="E823" s="25" t="str">
        <f aca="false">IF(G823=1,"✓","")</f>
        <v/>
      </c>
      <c r="F823" s="4" t="n">
        <v>2</v>
      </c>
      <c r="G823" s="4" t="n">
        <f aca="false">IF(COUNTIF('Letterboxd Watched'!$E$2:$E$3000,M823)&gt;0,1,0)</f>
        <v>0</v>
      </c>
      <c r="H823" s="4" t="n">
        <v>5</v>
      </c>
      <c r="I823" s="4" t="s">
        <v>144</v>
      </c>
      <c r="J823" s="4" t="s">
        <v>53</v>
      </c>
      <c r="K823" s="4" t="s">
        <v>5412</v>
      </c>
      <c r="L823" s="48" t="str">
        <f aca="false">HYPERLINK("https://boxd.it/LZu","open")</f>
        <v>open</v>
      </c>
      <c r="M823" s="4" t="str">
        <f aca="false">LOWER(A823)&amp;"|"&amp;B823</f>
        <v>floating weeds|1959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1</v>
      </c>
      <c r="S823" s="4" t="n">
        <v>0</v>
      </c>
      <c r="T823" s="4" t="n">
        <v>0</v>
      </c>
      <c r="U823" s="4" t="n">
        <v>0</v>
      </c>
      <c r="V823" s="4" t="n">
        <v>1</v>
      </c>
      <c r="W823" s="4" t="n">
        <v>0</v>
      </c>
    </row>
    <row r="824" customFormat="false" ht="15" hidden="false" customHeight="false" outlineLevel="0" collapsed="false">
      <c r="A824" s="4" t="s">
        <v>1238</v>
      </c>
      <c r="B824" s="4" t="n">
        <v>2017</v>
      </c>
      <c r="C824" s="4" t="str">
        <f aca="false">FLOOR(B824,10)&amp;"s"</f>
        <v>2010s</v>
      </c>
      <c r="D824" s="4" t="s">
        <v>694</v>
      </c>
      <c r="E824" s="25" t="str">
        <f aca="false">IF(G824=1,"✓","")</f>
        <v>✓</v>
      </c>
      <c r="F824" s="4" t="n">
        <v>2</v>
      </c>
      <c r="G824" s="4" t="n">
        <f aca="false">IF(COUNTIF('Letterboxd Watched'!$E$2:$E$3000,M824)&gt;0,1,0)</f>
        <v>1</v>
      </c>
      <c r="H824" s="4" t="n">
        <v>4</v>
      </c>
      <c r="I824" s="4" t="s">
        <v>213</v>
      </c>
      <c r="J824" s="4" t="s">
        <v>54</v>
      </c>
      <c r="K824" s="4" t="s">
        <v>5413</v>
      </c>
      <c r="L824" s="48" t="str">
        <f aca="false">HYPERLINK("https://boxd.it/dMG0","open")</f>
        <v>open</v>
      </c>
      <c r="M824" s="4" t="str">
        <f aca="false">LOWER(A824)&amp;"|"&amp;B824</f>
        <v>the florida project|2017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1</v>
      </c>
      <c r="T824" s="4" t="n">
        <v>0</v>
      </c>
      <c r="U824" s="4" t="n">
        <v>0</v>
      </c>
      <c r="V824" s="4" t="n">
        <v>1</v>
      </c>
      <c r="W824" s="4" t="n">
        <v>0</v>
      </c>
    </row>
    <row r="825" customFormat="false" ht="15" hidden="false" customHeight="false" outlineLevel="0" collapsed="false">
      <c r="A825" s="4" t="s">
        <v>3261</v>
      </c>
      <c r="B825" s="4" t="n">
        <v>2024</v>
      </c>
      <c r="C825" s="4" t="str">
        <f aca="false">FLOOR(B825,10)&amp;"s"</f>
        <v>2020s</v>
      </c>
      <c r="D825" s="4" t="s">
        <v>3262</v>
      </c>
      <c r="E825" s="25" t="str">
        <f aca="false">IF(G825=1,"✓","")</f>
        <v/>
      </c>
      <c r="F825" s="4" t="n">
        <v>1</v>
      </c>
      <c r="G825" s="4" t="n">
        <f aca="false">IF(COUNTIF('Letterboxd Watched'!$E$2:$E$3000,M825)&gt;0,1,0)</f>
        <v>0</v>
      </c>
      <c r="H825" s="4" t="n">
        <v>2</v>
      </c>
      <c r="I825" s="4" t="s">
        <v>213</v>
      </c>
      <c r="J825" s="4" t="s">
        <v>52</v>
      </c>
      <c r="K825" s="4" t="s">
        <v>4166</v>
      </c>
      <c r="L825" s="48" t="str">
        <f aca="false">HYPERLINK("https://boxd.it/v1Ei","open")</f>
        <v>open</v>
      </c>
      <c r="M825" s="4" t="str">
        <f aca="false">LOWER(A825)&amp;"|"&amp;B825</f>
        <v>flow|2024</v>
      </c>
      <c r="N825" s="4" t="n">
        <v>0</v>
      </c>
      <c r="O825" s="4" t="n">
        <v>0</v>
      </c>
      <c r="P825" s="4" t="n">
        <v>0</v>
      </c>
      <c r="Q825" s="4" t="n">
        <v>1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</row>
    <row r="826" customFormat="false" ht="15" hidden="false" customHeight="false" outlineLevel="0" collapsed="false">
      <c r="A826" s="4" t="s">
        <v>2685</v>
      </c>
      <c r="B826" s="4" t="n">
        <v>1998</v>
      </c>
      <c r="C826" s="4" t="str">
        <f aca="false">FLOOR(B826,10)&amp;"s"</f>
        <v>1990s</v>
      </c>
      <c r="D826" s="4" t="s">
        <v>492</v>
      </c>
      <c r="E826" s="25" t="str">
        <f aca="false">IF(G826=1,"✓","")</f>
        <v/>
      </c>
      <c r="F826" s="4" t="n">
        <v>1</v>
      </c>
      <c r="G826" s="4" t="n">
        <f aca="false">IF(COUNTIF('Letterboxd Watched'!$E$2:$E$3000,M826)&gt;0,1,0)</f>
        <v>0</v>
      </c>
      <c r="H826" s="4" t="n">
        <v>2</v>
      </c>
      <c r="I826" s="4" t="s">
        <v>213</v>
      </c>
      <c r="J826" s="4" t="s">
        <v>53</v>
      </c>
      <c r="K826" s="4" t="s">
        <v>4255</v>
      </c>
      <c r="L826" s="48" t="str">
        <f aca="false">HYPERLINK("https://boxd.it/Omq","open")</f>
        <v>open</v>
      </c>
      <c r="M826" s="4" t="str">
        <f aca="false">LOWER(A826)&amp;"|"&amp;B826</f>
        <v>flowers of shanghai|1998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1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</row>
    <row r="827" customFormat="false" ht="15" hidden="false" customHeight="false" outlineLevel="0" collapsed="false">
      <c r="A827" s="4" t="s">
        <v>3386</v>
      </c>
      <c r="B827" s="4" t="n">
        <v>1956</v>
      </c>
      <c r="C827" s="4" t="str">
        <f aca="false">FLOOR(B827,10)&amp;"s"</f>
        <v>1950s</v>
      </c>
      <c r="D827" s="4" t="s">
        <v>759</v>
      </c>
      <c r="E827" s="25" t="str">
        <f aca="false">IF(G827=1,"✓","")</f>
        <v/>
      </c>
      <c r="F827" s="4" t="n">
        <v>1</v>
      </c>
      <c r="G827" s="4" t="n">
        <f aca="false">IF(COUNTIF('Letterboxd Watched'!$E$2:$E$3000,M827)&gt;0,1,0)</f>
        <v>0</v>
      </c>
      <c r="H827" s="4" t="n">
        <v>1</v>
      </c>
      <c r="I827" s="4" t="s">
        <v>1327</v>
      </c>
      <c r="J827" s="4" t="s">
        <v>53</v>
      </c>
      <c r="K827" s="4" t="s">
        <v>4246</v>
      </c>
      <c r="L827" s="48" t="str">
        <f aca="false">HYPERLINK("https://letterboxd.com/search/films/Flowing+1956/","open")</f>
        <v>open</v>
      </c>
      <c r="M827" s="4" t="str">
        <f aca="false">LOWER(A827)&amp;"|"&amp;B827</f>
        <v>flowing|1956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1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 customFormat="false" ht="15" hidden="false" customHeight="false" outlineLevel="0" collapsed="false">
      <c r="A828" s="4" t="s">
        <v>681</v>
      </c>
      <c r="B828" s="4" t="n">
        <v>1986</v>
      </c>
      <c r="C828" s="4" t="str">
        <f aca="false">FLOOR(B828,10)&amp;"s"</f>
        <v>1980s</v>
      </c>
      <c r="D828" s="4" t="s">
        <v>316</v>
      </c>
      <c r="E828" s="25" t="str">
        <f aca="false">IF(G828=1,"✓","")</f>
        <v>✓</v>
      </c>
      <c r="F828" s="4" t="n">
        <v>2</v>
      </c>
      <c r="G828" s="4" t="n">
        <f aca="false">IF(COUNTIF('Letterboxd Watched'!$E$2:$E$3000,M828)&gt;0,1,0)</f>
        <v>1</v>
      </c>
      <c r="H828" s="4" t="n">
        <v>6</v>
      </c>
      <c r="I828" s="4" t="s">
        <v>144</v>
      </c>
      <c r="J828" s="4" t="s">
        <v>52</v>
      </c>
      <c r="K828" s="4" t="s">
        <v>5329</v>
      </c>
      <c r="L828" s="48" t="str">
        <f aca="false">HYPERLINK("https://boxd.it/1YIe","open")</f>
        <v>open</v>
      </c>
      <c r="M828" s="4" t="str">
        <f aca="false">LOWER(A828)&amp;"|"&amp;B828</f>
        <v>the fly|1986</v>
      </c>
      <c r="N828" s="4" t="n">
        <v>0</v>
      </c>
      <c r="O828" s="4" t="n">
        <v>0</v>
      </c>
      <c r="P828" s="4" t="n">
        <v>0</v>
      </c>
      <c r="Q828" s="4" t="n">
        <v>1</v>
      </c>
      <c r="R828" s="4" t="n">
        <v>1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</row>
    <row r="829" customFormat="false" ht="15" hidden="false" customHeight="false" outlineLevel="0" collapsed="false">
      <c r="A829" s="4" t="s">
        <v>2341</v>
      </c>
      <c r="B829" s="4" t="n">
        <v>1980</v>
      </c>
      <c r="C829" s="4" t="str">
        <f aca="false">FLOOR(B829,10)&amp;"s"</f>
        <v>1980s</v>
      </c>
      <c r="D829" s="4" t="s">
        <v>266</v>
      </c>
      <c r="E829" s="25" t="str">
        <f aca="false">IF(G829=1,"✓","")</f>
        <v>✓</v>
      </c>
      <c r="F829" s="4" t="n">
        <v>1</v>
      </c>
      <c r="G829" s="4" t="n">
        <f aca="false">IF(COUNTIF('Letterboxd Watched'!$E$2:$E$3000,M829)&gt;0,1,0)</f>
        <v>1</v>
      </c>
      <c r="H829" s="4" t="n">
        <v>2</v>
      </c>
      <c r="I829" s="4" t="s">
        <v>213</v>
      </c>
      <c r="J829" s="4" t="s">
        <v>53</v>
      </c>
      <c r="K829" s="4" t="s">
        <v>266</v>
      </c>
      <c r="L829" s="48" t="str">
        <f aca="false">HYPERLINK("https://boxd.it/29Cc","open")</f>
        <v>open</v>
      </c>
      <c r="M829" s="4" t="str">
        <f aca="false">LOWER(A829)&amp;"|"&amp;B829</f>
        <v>the fog|1980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1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</row>
    <row r="830" customFormat="false" ht="15" hidden="false" customHeight="false" outlineLevel="0" collapsed="false">
      <c r="A830" s="4" t="s">
        <v>1124</v>
      </c>
      <c r="B830" s="4" t="n">
        <v>1998</v>
      </c>
      <c r="C830" s="4" t="str">
        <f aca="false">FLOOR(B830,10)&amp;"s"</f>
        <v>1990s</v>
      </c>
      <c r="D830" s="4" t="s">
        <v>342</v>
      </c>
      <c r="E830" s="25" t="str">
        <f aca="false">IF(G830=1,"✓","")</f>
        <v>✓</v>
      </c>
      <c r="F830" s="4" t="n">
        <v>2</v>
      </c>
      <c r="G830" s="4" t="n">
        <f aca="false">IF(COUNTIF('Letterboxd Watched'!$E$2:$E$3000,M830)&gt;0,1,0)</f>
        <v>1</v>
      </c>
      <c r="H830" s="4" t="n">
        <v>4</v>
      </c>
      <c r="I830" s="4" t="s">
        <v>213</v>
      </c>
      <c r="J830" s="4" t="s">
        <v>53</v>
      </c>
      <c r="K830" s="4" t="s">
        <v>5414</v>
      </c>
      <c r="L830" s="48" t="str">
        <f aca="false">HYPERLINK("https://boxd.it/1Tj4","open")</f>
        <v>open</v>
      </c>
      <c r="M830" s="4" t="str">
        <f aca="false">LOWER(A830)&amp;"|"&amp;B830</f>
        <v>following|1998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1</v>
      </c>
      <c r="S830" s="4" t="n">
        <v>0</v>
      </c>
      <c r="T830" s="4" t="n">
        <v>0</v>
      </c>
      <c r="U830" s="4" t="n">
        <v>1</v>
      </c>
      <c r="V830" s="4" t="n">
        <v>0</v>
      </c>
      <c r="W830" s="4" t="n">
        <v>0</v>
      </c>
    </row>
    <row r="831" customFormat="false" ht="15" hidden="false" customHeight="false" outlineLevel="0" collapsed="false">
      <c r="A831" s="4" t="s">
        <v>1749</v>
      </c>
      <c r="B831" s="4" t="n">
        <v>1933</v>
      </c>
      <c r="C831" s="4" t="str">
        <f aca="false">FLOOR(B831,10)&amp;"s"</f>
        <v>1930s</v>
      </c>
      <c r="D831" s="4" t="s">
        <v>1747</v>
      </c>
      <c r="E831" s="25" t="str">
        <f aca="false">IF(G831=1,"✓","")</f>
        <v/>
      </c>
      <c r="F831" s="4" t="n">
        <v>1</v>
      </c>
      <c r="G831" s="4" t="n">
        <f aca="false">IF(COUNTIF('Letterboxd Watched'!$E$2:$E$3000,M831)&gt;0,1,0)</f>
        <v>0</v>
      </c>
      <c r="H831" s="4" t="n">
        <v>2</v>
      </c>
      <c r="I831" s="4" t="s">
        <v>213</v>
      </c>
      <c r="J831" s="4" t="s">
        <v>52</v>
      </c>
      <c r="K831" s="4" t="s">
        <v>4110</v>
      </c>
      <c r="L831" s="48" t="str">
        <f aca="false">HYPERLINK("https://letterboxd.com/search/films/Footlight+Parade+1933/","open")</f>
        <v>open</v>
      </c>
      <c r="M831" s="4" t="str">
        <f aca="false">LOWER(A831)&amp;"|"&amp;B831</f>
        <v>footlight parade|1933</v>
      </c>
      <c r="N831" s="4" t="n">
        <v>0</v>
      </c>
      <c r="O831" s="4" t="n">
        <v>0</v>
      </c>
      <c r="P831" s="4" t="n">
        <v>0</v>
      </c>
      <c r="Q831" s="4" t="n">
        <v>1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</row>
    <row r="832" customFormat="false" ht="15" hidden="false" customHeight="false" outlineLevel="0" collapsed="false">
      <c r="A832" s="4" t="s">
        <v>983</v>
      </c>
      <c r="B832" s="4" t="n">
        <v>1965</v>
      </c>
      <c r="C832" s="4" t="str">
        <f aca="false">FLOOR(B832,10)&amp;"s"</f>
        <v>1960s</v>
      </c>
      <c r="D832" s="4" t="s">
        <v>395</v>
      </c>
      <c r="E832" s="25" t="str">
        <f aca="false">IF(G832=1,"✓","")</f>
        <v>✓</v>
      </c>
      <c r="F832" s="4" t="n">
        <v>2</v>
      </c>
      <c r="G832" s="4" t="n">
        <f aca="false">IF(COUNTIF('Letterboxd Watched'!$E$2:$E$3000,M832)&gt;0,1,0)</f>
        <v>1</v>
      </c>
      <c r="H832" s="4" t="n">
        <v>4</v>
      </c>
      <c r="I832" s="4" t="s">
        <v>213</v>
      </c>
      <c r="J832" s="4" t="s">
        <v>51</v>
      </c>
      <c r="K832" s="4" t="s">
        <v>5368</v>
      </c>
      <c r="L832" s="48" t="str">
        <f aca="false">HYPERLINK("https://boxd.it/29eu","open")</f>
        <v>open</v>
      </c>
      <c r="M832" s="4" t="str">
        <f aca="false">LOWER(A832)&amp;"|"&amp;B832</f>
        <v>for a few dollars more|1965</v>
      </c>
      <c r="N832" s="4" t="n">
        <v>0</v>
      </c>
      <c r="O832" s="4" t="n">
        <v>0</v>
      </c>
      <c r="P832" s="4" t="n">
        <v>1</v>
      </c>
      <c r="Q832" s="4" t="n">
        <v>0</v>
      </c>
      <c r="R832" s="4" t="n">
        <v>1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</row>
    <row r="833" customFormat="false" ht="15" hidden="false" customHeight="false" outlineLevel="0" collapsed="false">
      <c r="A833" s="4" t="s">
        <v>1932</v>
      </c>
      <c r="B833" s="4" t="n">
        <v>1956</v>
      </c>
      <c r="C833" s="4" t="str">
        <f aca="false">FLOOR(B833,10)&amp;"s"</f>
        <v>1950s</v>
      </c>
      <c r="D833" s="4" t="s">
        <v>1933</v>
      </c>
      <c r="E833" s="25" t="str">
        <f aca="false">IF(G833=1,"✓","")</f>
        <v/>
      </c>
      <c r="F833" s="4" t="n">
        <v>1</v>
      </c>
      <c r="G833" s="4" t="n">
        <f aca="false">IF(COUNTIF('Letterboxd Watched'!$E$2:$E$3000,M833)&gt;0,1,0)</f>
        <v>0</v>
      </c>
      <c r="H833" s="4" t="n">
        <v>2</v>
      </c>
      <c r="I833" s="4" t="s">
        <v>213</v>
      </c>
      <c r="J833" s="4" t="s">
        <v>52</v>
      </c>
      <c r="K833" s="4" t="s">
        <v>4084</v>
      </c>
      <c r="L833" s="48" t="str">
        <f aca="false">HYPERLINK("https://boxd.it/29vK","open")</f>
        <v>open</v>
      </c>
      <c r="M833" s="4" t="str">
        <f aca="false">LOWER(A833)&amp;"|"&amp;B833</f>
        <v>forbidden planet|1956</v>
      </c>
      <c r="N833" s="4" t="n">
        <v>0</v>
      </c>
      <c r="O833" s="4" t="n">
        <v>0</v>
      </c>
      <c r="P833" s="4" t="n">
        <v>0</v>
      </c>
      <c r="Q833" s="4" t="n">
        <v>1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</row>
    <row r="834" customFormat="false" ht="15" hidden="false" customHeight="false" outlineLevel="0" collapsed="false">
      <c r="A834" s="4" t="s">
        <v>642</v>
      </c>
      <c r="B834" s="4" t="n">
        <v>2014</v>
      </c>
      <c r="C834" s="4" t="str">
        <f aca="false">FLOOR(B834,10)&amp;"s"</f>
        <v>2010s</v>
      </c>
      <c r="D834" s="4" t="s">
        <v>643</v>
      </c>
      <c r="E834" s="25" t="str">
        <f aca="false">IF(G834=1,"✓","")</f>
        <v/>
      </c>
      <c r="F834" s="4" t="n">
        <v>3</v>
      </c>
      <c r="G834" s="4" t="n">
        <f aca="false">IF(COUNTIF('Letterboxd Watched'!$E$2:$E$3000,M834)&gt;0,1,0)</f>
        <v>0</v>
      </c>
      <c r="H834" s="4" t="n">
        <v>6</v>
      </c>
      <c r="I834" s="4" t="s">
        <v>213</v>
      </c>
      <c r="J834" s="4" t="s">
        <v>51</v>
      </c>
      <c r="K834" s="4" t="s">
        <v>5415</v>
      </c>
      <c r="L834" s="48" t="str">
        <f aca="false">HYPERLINK("https://boxd.it/7UcA","open")</f>
        <v>open</v>
      </c>
      <c r="M834" s="4" t="str">
        <f aca="false">LOWER(A834)&amp;"|"&amp;B834</f>
        <v>force majeure|2014</v>
      </c>
      <c r="N834" s="4" t="n">
        <v>0</v>
      </c>
      <c r="O834" s="4" t="n">
        <v>0</v>
      </c>
      <c r="P834" s="4" t="n">
        <v>1</v>
      </c>
      <c r="Q834" s="4" t="n">
        <v>1</v>
      </c>
      <c r="R834" s="4" t="n">
        <v>0</v>
      </c>
      <c r="S834" s="4" t="n">
        <v>0</v>
      </c>
      <c r="T834" s="4" t="n">
        <v>1</v>
      </c>
      <c r="U834" s="4" t="n">
        <v>0</v>
      </c>
      <c r="V834" s="4" t="n">
        <v>0</v>
      </c>
      <c r="W834" s="4" t="n">
        <v>0</v>
      </c>
    </row>
    <row r="835" customFormat="false" ht="15" hidden="false" customHeight="false" outlineLevel="0" collapsed="false">
      <c r="A835" s="4" t="s">
        <v>1853</v>
      </c>
      <c r="B835" s="4" t="n">
        <v>1948</v>
      </c>
      <c r="C835" s="4" t="str">
        <f aca="false">FLOOR(B835,10)&amp;"s"</f>
        <v>1940s</v>
      </c>
      <c r="D835" s="4" t="s">
        <v>1854</v>
      </c>
      <c r="E835" s="25" t="str">
        <f aca="false">IF(G835=1,"✓","")</f>
        <v/>
      </c>
      <c r="F835" s="4" t="n">
        <v>1</v>
      </c>
      <c r="G835" s="4" t="n">
        <f aca="false">IF(COUNTIF('Letterboxd Watched'!$E$2:$E$3000,M835)&gt;0,1,0)</f>
        <v>0</v>
      </c>
      <c r="H835" s="4" t="n">
        <v>2</v>
      </c>
      <c r="I835" s="4" t="s">
        <v>213</v>
      </c>
      <c r="J835" s="4" t="s">
        <v>52</v>
      </c>
      <c r="K835" s="4" t="s">
        <v>4042</v>
      </c>
      <c r="L835" s="48" t="str">
        <f aca="false">HYPERLINK("https://boxd.it/1tgI","open")</f>
        <v>open</v>
      </c>
      <c r="M835" s="4" t="str">
        <f aca="false">LOWER(A835)&amp;"|"&amp;B835</f>
        <v>force of evil|1948</v>
      </c>
      <c r="N835" s="4" t="n">
        <v>0</v>
      </c>
      <c r="O835" s="4" t="n">
        <v>0</v>
      </c>
      <c r="P835" s="4" t="n">
        <v>0</v>
      </c>
      <c r="Q835" s="4" t="n">
        <v>1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</row>
    <row r="836" customFormat="false" ht="15" hidden="false" customHeight="false" outlineLevel="0" collapsed="false">
      <c r="A836" s="4" t="s">
        <v>3184</v>
      </c>
      <c r="B836" s="4" t="n">
        <v>2019</v>
      </c>
      <c r="C836" s="4" t="str">
        <f aca="false">FLOOR(B836,10)&amp;"s"</f>
        <v>2010s</v>
      </c>
      <c r="D836" s="4" t="s">
        <v>2711</v>
      </c>
      <c r="E836" s="25" t="str">
        <f aca="false">IF(G836=1,"✓","")</f>
        <v/>
      </c>
      <c r="F836" s="4" t="n">
        <v>1</v>
      </c>
      <c r="G836" s="4" t="n">
        <f aca="false">IF(COUNTIF('Letterboxd Watched'!$E$2:$E$3000,M836)&gt;0,1,0)</f>
        <v>0</v>
      </c>
      <c r="H836" s="4" t="n">
        <v>2</v>
      </c>
      <c r="I836" s="4" t="s">
        <v>213</v>
      </c>
      <c r="J836" s="4" t="s">
        <v>56</v>
      </c>
      <c r="K836" s="4" t="s">
        <v>4400</v>
      </c>
      <c r="L836" s="48" t="str">
        <f aca="false">HYPERLINK("https://boxd.it/ce74","open")</f>
        <v>open</v>
      </c>
      <c r="M836" s="4" t="str">
        <f aca="false">LOWER(A836)&amp;"|"&amp;B836</f>
        <v>ford v ferrari|2019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1</v>
      </c>
      <c r="V836" s="4" t="n">
        <v>0</v>
      </c>
      <c r="W836" s="4" t="n">
        <v>0</v>
      </c>
    </row>
    <row r="837" customFormat="false" ht="15" hidden="false" customHeight="false" outlineLevel="0" collapsed="false">
      <c r="A837" s="4" t="s">
        <v>3690</v>
      </c>
      <c r="B837" s="4" t="n">
        <v>1995</v>
      </c>
      <c r="C837" s="4" t="str">
        <f aca="false">FLOOR(B837,10)&amp;"s"</f>
        <v>1990s</v>
      </c>
      <c r="D837" s="4" t="s">
        <v>3691</v>
      </c>
      <c r="E837" s="25" t="str">
        <f aca="false">IF(G837=1,"✓","")</f>
        <v/>
      </c>
      <c r="F837" s="4" t="n">
        <v>1</v>
      </c>
      <c r="G837" s="4" t="n">
        <f aca="false">IF(COUNTIF('Letterboxd Watched'!$E$2:$E$3000,M837)&gt;0,1,0)</f>
        <v>0</v>
      </c>
      <c r="H837" s="4" t="n">
        <v>1</v>
      </c>
      <c r="I837" s="4" t="s">
        <v>1327</v>
      </c>
      <c r="J837" s="4" t="s">
        <v>52</v>
      </c>
      <c r="K837" s="4" t="s">
        <v>4104</v>
      </c>
      <c r="L837" s="48" t="str">
        <f aca="false">HYPERLINK("https://letterboxd.com/search/films/Forgotten+Silver+1995/","open")</f>
        <v>open</v>
      </c>
      <c r="M837" s="4" t="str">
        <f aca="false">LOWER(A837)&amp;"|"&amp;B837</f>
        <v>forgotten silver|1995</v>
      </c>
      <c r="N837" s="4" t="n">
        <v>0</v>
      </c>
      <c r="O837" s="4" t="n">
        <v>0</v>
      </c>
      <c r="P837" s="4" t="n">
        <v>0</v>
      </c>
      <c r="Q837" s="4" t="n">
        <v>1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</row>
    <row r="838" customFormat="false" ht="15" hidden="false" customHeight="false" outlineLevel="0" collapsed="false">
      <c r="A838" s="4" t="s">
        <v>2600</v>
      </c>
      <c r="B838" s="4" t="n">
        <v>1994</v>
      </c>
      <c r="C838" s="4" t="str">
        <f aca="false">FLOOR(B838,10)&amp;"s"</f>
        <v>1990s</v>
      </c>
      <c r="D838" s="4" t="s">
        <v>1070</v>
      </c>
      <c r="E838" s="25" t="str">
        <f aca="false">IF(G838=1,"✓","")</f>
        <v>✓</v>
      </c>
      <c r="F838" s="4" t="n">
        <v>1</v>
      </c>
      <c r="G838" s="4" t="n">
        <f aca="false">IF(COUNTIF('Letterboxd Watched'!$E$2:$E$3000,M838)&gt;0,1,0)</f>
        <v>1</v>
      </c>
      <c r="H838" s="4" t="n">
        <v>2</v>
      </c>
      <c r="I838" s="4" t="s">
        <v>213</v>
      </c>
      <c r="J838" s="4" t="s">
        <v>57</v>
      </c>
      <c r="K838" s="4" t="s">
        <v>4428</v>
      </c>
      <c r="L838" s="48" t="str">
        <f aca="false">HYPERLINK("https://boxd.it/728","open")</f>
        <v>open</v>
      </c>
      <c r="M838" s="4" t="str">
        <f aca="false">LOWER(A838)&amp;"|"&amp;B838</f>
        <v>forrest gump|1994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1</v>
      </c>
      <c r="W838" s="4" t="n">
        <v>0</v>
      </c>
    </row>
    <row r="839" customFormat="false" ht="15" hidden="false" customHeight="false" outlineLevel="0" collapsed="false">
      <c r="A839" s="4" t="s">
        <v>930</v>
      </c>
      <c r="B839" s="4" t="n">
        <v>1948</v>
      </c>
      <c r="C839" s="4" t="str">
        <f aca="false">FLOOR(B839,10)&amp;"s"</f>
        <v>1940s</v>
      </c>
      <c r="D839" s="4" t="s">
        <v>205</v>
      </c>
      <c r="E839" s="25" t="str">
        <f aca="false">IF(G839=1,"✓","")</f>
        <v/>
      </c>
      <c r="F839" s="4" t="n">
        <v>2</v>
      </c>
      <c r="G839" s="4" t="n">
        <f aca="false">IF(COUNTIF('Letterboxd Watched'!$E$2:$E$3000,M839)&gt;0,1,0)</f>
        <v>0</v>
      </c>
      <c r="H839" s="4" t="n">
        <v>4</v>
      </c>
      <c r="I839" s="4" t="s">
        <v>213</v>
      </c>
      <c r="J839" s="4" t="s">
        <v>52</v>
      </c>
      <c r="K839" s="4" t="s">
        <v>5416</v>
      </c>
      <c r="L839" s="48" t="str">
        <f aca="false">HYPERLINK("https://boxd.it/18u0","open")</f>
        <v>open</v>
      </c>
      <c r="M839" s="4" t="str">
        <f aca="false">LOWER(A839)&amp;"|"&amp;B839</f>
        <v>fort apache|1948</v>
      </c>
      <c r="N839" s="4" t="n">
        <v>0</v>
      </c>
      <c r="O839" s="4" t="n">
        <v>0</v>
      </c>
      <c r="P839" s="4" t="n">
        <v>0</v>
      </c>
      <c r="Q839" s="4" t="n">
        <v>1</v>
      </c>
      <c r="R839" s="4" t="n">
        <v>1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</row>
    <row r="840" customFormat="false" ht="15" hidden="false" customHeight="false" outlineLevel="0" collapsed="false">
      <c r="A840" s="4" t="s">
        <v>3442</v>
      </c>
      <c r="B840" s="4" t="n">
        <v>1966</v>
      </c>
      <c r="C840" s="4" t="str">
        <f aca="false">FLOOR(B840,10)&amp;"s"</f>
        <v>1960s</v>
      </c>
      <c r="D840" s="4" t="s">
        <v>200</v>
      </c>
      <c r="E840" s="25" t="str">
        <f aca="false">IF(G840=1,"✓","")</f>
        <v/>
      </c>
      <c r="F840" s="4" t="n">
        <v>1</v>
      </c>
      <c r="G840" s="4" t="n">
        <f aca="false">IF(COUNTIF('Letterboxd Watched'!$E$2:$E$3000,M840)&gt;0,1,0)</f>
        <v>0</v>
      </c>
      <c r="H840" s="4" t="n">
        <v>1</v>
      </c>
      <c r="I840" s="4" t="s">
        <v>1327</v>
      </c>
      <c r="J840" s="4" t="s">
        <v>53</v>
      </c>
      <c r="K840" s="4" t="s">
        <v>200</v>
      </c>
      <c r="L840" s="48" t="str">
        <f aca="false">HYPERLINK("https://boxd.it/27W0","open")</f>
        <v>open</v>
      </c>
      <c r="M840" s="4" t="str">
        <f aca="false">LOWER(A840)&amp;"|"&amp;B840</f>
        <v>the fortune cookie|1966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1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</row>
    <row r="841" customFormat="false" ht="15" hidden="false" customHeight="false" outlineLevel="0" collapsed="false">
      <c r="A841" s="4" t="s">
        <v>3387</v>
      </c>
      <c r="B841" s="4" t="n">
        <v>1957</v>
      </c>
      <c r="C841" s="4" t="str">
        <f aca="false">FLOOR(B841,10)&amp;"s"</f>
        <v>1950s</v>
      </c>
      <c r="D841" s="4" t="s">
        <v>940</v>
      </c>
      <c r="E841" s="25" t="str">
        <f aca="false">IF(G841=1,"✓","")</f>
        <v/>
      </c>
      <c r="F841" s="4" t="n">
        <v>1</v>
      </c>
      <c r="G841" s="4" t="n">
        <f aca="false">IF(COUNTIF('Letterboxd Watched'!$E$2:$E$3000,M841)&gt;0,1,0)</f>
        <v>0</v>
      </c>
      <c r="H841" s="4" t="n">
        <v>1</v>
      </c>
      <c r="I841" s="4" t="s">
        <v>1327</v>
      </c>
      <c r="J841" s="4" t="s">
        <v>52</v>
      </c>
      <c r="K841" s="4" t="s">
        <v>4050</v>
      </c>
      <c r="L841" s="48" t="str">
        <f aca="false">HYPERLINK("https://boxd.it/1NhG","open")</f>
        <v>open</v>
      </c>
      <c r="M841" s="4" t="str">
        <f aca="false">LOWER(A841)&amp;"|"&amp;B841</f>
        <v>forty guns|1957</v>
      </c>
      <c r="N841" s="4" t="n">
        <v>0</v>
      </c>
      <c r="O841" s="4" t="n">
        <v>0</v>
      </c>
      <c r="P841" s="4" t="n">
        <v>0</v>
      </c>
      <c r="Q841" s="4" t="n">
        <v>1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</row>
    <row r="842" customFormat="false" ht="15" hidden="false" customHeight="false" outlineLevel="0" collapsed="false">
      <c r="A842" s="4" t="s">
        <v>2623</v>
      </c>
      <c r="B842" s="4" t="n">
        <v>1995</v>
      </c>
      <c r="C842" s="4" t="str">
        <f aca="false">FLOOR(B842,10)&amp;"s"</f>
        <v>1990s</v>
      </c>
      <c r="D842" s="4" t="s">
        <v>2624</v>
      </c>
      <c r="E842" s="25" t="str">
        <f aca="false">IF(G842=1,"✓","")</f>
        <v/>
      </c>
      <c r="F842" s="4" t="n">
        <v>1</v>
      </c>
      <c r="G842" s="4" t="n">
        <f aca="false">IF(COUNTIF('Letterboxd Watched'!$E$2:$E$3000,M842)&gt;0,1,0)</f>
        <v>0</v>
      </c>
      <c r="H842" s="4" t="n">
        <v>2</v>
      </c>
      <c r="I842" s="4" t="s">
        <v>213</v>
      </c>
      <c r="J842" s="4" t="s">
        <v>56</v>
      </c>
      <c r="K842" s="4" t="s">
        <v>4380</v>
      </c>
      <c r="L842" s="48" t="str">
        <f aca="false">HYPERLINK("https://boxd.it/73g","open")</f>
        <v>open</v>
      </c>
      <c r="M842" s="4" t="str">
        <f aca="false">LOWER(A842)&amp;"|"&amp;B842</f>
        <v>four rooms|1995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1</v>
      </c>
      <c r="V842" s="4" t="n">
        <v>0</v>
      </c>
      <c r="W842" s="4" t="n">
        <v>0</v>
      </c>
    </row>
    <row r="843" customFormat="false" ht="15" hidden="false" customHeight="false" outlineLevel="0" collapsed="false">
      <c r="A843" s="4" t="s">
        <v>2270</v>
      </c>
      <c r="B843" s="4" t="n">
        <v>1975</v>
      </c>
      <c r="C843" s="4" t="str">
        <f aca="false">FLOOR(B843,10)&amp;"s"</f>
        <v>1970s</v>
      </c>
      <c r="D843" s="4" t="s">
        <v>312</v>
      </c>
      <c r="E843" s="25" t="str">
        <f aca="false">IF(G843=1,"✓","")</f>
        <v/>
      </c>
      <c r="F843" s="4" t="n">
        <v>1</v>
      </c>
      <c r="G843" s="4" t="n">
        <f aca="false">IF(COUNTIF('Letterboxd Watched'!$E$2:$E$3000,M843)&gt;0,1,0)</f>
        <v>0</v>
      </c>
      <c r="H843" s="4" t="n">
        <v>2</v>
      </c>
      <c r="I843" s="4" t="s">
        <v>213</v>
      </c>
      <c r="J843" s="4" t="s">
        <v>53</v>
      </c>
      <c r="K843" s="4" t="s">
        <v>312</v>
      </c>
      <c r="L843" s="48" t="str">
        <f aca="false">HYPERLINK("https://boxd.it/Xma","open")</f>
        <v>open</v>
      </c>
      <c r="M843" s="4" t="str">
        <f aca="false">LOWER(A843)&amp;"|"&amp;B843</f>
        <v>fox and his friends|1975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1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</row>
    <row r="844" customFormat="false" ht="15" hidden="false" customHeight="false" outlineLevel="0" collapsed="false">
      <c r="A844" s="4" t="s">
        <v>3065</v>
      </c>
      <c r="B844" s="4" t="n">
        <v>2014</v>
      </c>
      <c r="C844" s="4" t="str">
        <f aca="false">FLOOR(B844,10)&amp;"s"</f>
        <v>2010s</v>
      </c>
      <c r="D844" s="4" t="s">
        <v>2983</v>
      </c>
      <c r="E844" s="25" t="str">
        <f aca="false">IF(G844=1,"✓","")</f>
        <v>✓</v>
      </c>
      <c r="F844" s="4" t="n">
        <v>1</v>
      </c>
      <c r="G844" s="4" t="n">
        <f aca="false">IF(COUNTIF('Letterboxd Watched'!$E$2:$E$3000,M844)&gt;0,1,0)</f>
        <v>1</v>
      </c>
      <c r="H844" s="4" t="n">
        <v>2</v>
      </c>
      <c r="I844" s="4" t="s">
        <v>213</v>
      </c>
      <c r="J844" s="4" t="s">
        <v>55</v>
      </c>
      <c r="K844" s="4" t="s">
        <v>4364</v>
      </c>
      <c r="L844" s="48" t="str">
        <f aca="false">HYPERLINK("https://boxd.it/35Di","open")</f>
        <v>open</v>
      </c>
      <c r="M844" s="4" t="str">
        <f aca="false">LOWER(A844)&amp;"|"&amp;B844</f>
        <v>foxcatcher|2014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1</v>
      </c>
      <c r="U844" s="4" t="n">
        <v>0</v>
      </c>
      <c r="V844" s="4" t="n">
        <v>0</v>
      </c>
      <c r="W844" s="4" t="n">
        <v>0</v>
      </c>
    </row>
    <row r="845" customFormat="false" ht="15" hidden="false" customHeight="false" outlineLevel="0" collapsed="false">
      <c r="A845" s="4" t="s">
        <v>2251</v>
      </c>
      <c r="B845" s="4" t="n">
        <v>1974</v>
      </c>
      <c r="C845" s="4" t="str">
        <f aca="false">FLOOR(B845,10)&amp;"s"</f>
        <v>1970s</v>
      </c>
      <c r="D845" s="4" t="s">
        <v>1022</v>
      </c>
      <c r="E845" s="25" t="str">
        <f aca="false">IF(G845=1,"✓","")</f>
        <v/>
      </c>
      <c r="F845" s="4" t="n">
        <v>1</v>
      </c>
      <c r="G845" s="4" t="n">
        <f aca="false">IF(COUNTIF('Letterboxd Watched'!$E$2:$E$3000,M845)&gt;0,1,0)</f>
        <v>0</v>
      </c>
      <c r="H845" s="4" t="n">
        <v>2</v>
      </c>
      <c r="I845" s="4" t="s">
        <v>213</v>
      </c>
      <c r="J845" s="4" t="s">
        <v>54</v>
      </c>
      <c r="K845" s="4" t="s">
        <v>4288</v>
      </c>
      <c r="L845" s="48" t="str">
        <f aca="false">HYPERLINK("https://letterboxd.com/search/films/Foxy+Brown+1974/","open")</f>
        <v>open</v>
      </c>
      <c r="M845" s="4" t="str">
        <f aca="false">LOWER(A845)&amp;"|"&amp;B845</f>
        <v>foxy brown|1974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1</v>
      </c>
      <c r="T845" s="4" t="n">
        <v>0</v>
      </c>
      <c r="U845" s="4" t="n">
        <v>0</v>
      </c>
      <c r="V845" s="4" t="n">
        <v>0</v>
      </c>
      <c r="W845" s="4" t="n">
        <v>0</v>
      </c>
    </row>
    <row r="846" customFormat="false" ht="15" hidden="false" customHeight="false" outlineLevel="0" collapsed="false">
      <c r="A846" s="4" t="s">
        <v>869</v>
      </c>
      <c r="B846" s="4" t="n">
        <v>2012</v>
      </c>
      <c r="C846" s="4" t="str">
        <f aca="false">FLOOR(B846,10)&amp;"s"</f>
        <v>2010s</v>
      </c>
      <c r="D846" s="4" t="s">
        <v>870</v>
      </c>
      <c r="E846" s="25" t="str">
        <f aca="false">IF(G846=1,"✓","")</f>
        <v>✓</v>
      </c>
      <c r="F846" s="4" t="n">
        <v>2</v>
      </c>
      <c r="G846" s="4" t="n">
        <f aca="false">IF(COUNTIF('Letterboxd Watched'!$E$2:$E$3000,M846)&gt;0,1,0)</f>
        <v>1</v>
      </c>
      <c r="H846" s="4" t="n">
        <v>5</v>
      </c>
      <c r="I846" s="4" t="s">
        <v>144</v>
      </c>
      <c r="J846" s="4" t="s">
        <v>54</v>
      </c>
      <c r="K846" s="4" t="s">
        <v>5417</v>
      </c>
      <c r="L846" s="48" t="str">
        <f aca="false">HYPERLINK("https://boxd.it/41Xg","open")</f>
        <v>open</v>
      </c>
      <c r="M846" s="4" t="str">
        <f aca="false">LOWER(A846)&amp;"|"&amp;B846</f>
        <v>frances ha|2012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1</v>
      </c>
      <c r="T846" s="4" t="n">
        <v>1</v>
      </c>
      <c r="U846" s="4" t="n">
        <v>0</v>
      </c>
      <c r="V846" s="4" t="n">
        <v>0</v>
      </c>
      <c r="W846" s="4" t="n">
        <v>0</v>
      </c>
    </row>
    <row r="847" customFormat="false" ht="15" hidden="false" customHeight="false" outlineLevel="0" collapsed="false">
      <c r="A847" s="4" t="s">
        <v>1431</v>
      </c>
      <c r="B847" s="4" t="n">
        <v>1931</v>
      </c>
      <c r="C847" s="4" t="str">
        <f aca="false">FLOOR(B847,10)&amp;"s"</f>
        <v>1930s</v>
      </c>
      <c r="D847" s="4" t="s">
        <v>1432</v>
      </c>
      <c r="E847" s="25" t="str">
        <f aca="false">IF(G847=1,"✓","")</f>
        <v/>
      </c>
      <c r="F847" s="4" t="n">
        <v>1</v>
      </c>
      <c r="G847" s="4" t="n">
        <f aca="false">IF(COUNTIF('Letterboxd Watched'!$E$2:$E$3000,M847)&gt;0,1,0)</f>
        <v>0</v>
      </c>
      <c r="H847" s="4" t="n">
        <v>3</v>
      </c>
      <c r="I847" s="4" t="s">
        <v>144</v>
      </c>
      <c r="J847" s="4" t="s">
        <v>52</v>
      </c>
      <c r="K847" s="4" t="s">
        <v>4058</v>
      </c>
      <c r="L847" s="48" t="str">
        <f aca="false">HYPERLINK("https://boxd.it/25Te","open")</f>
        <v>open</v>
      </c>
      <c r="M847" s="4" t="str">
        <f aca="false">LOWER(A847)&amp;"|"&amp;B847</f>
        <v>frankenstein|1931</v>
      </c>
      <c r="N847" s="4" t="n">
        <v>0</v>
      </c>
      <c r="O847" s="4" t="n">
        <v>0</v>
      </c>
      <c r="P847" s="4" t="n">
        <v>0</v>
      </c>
      <c r="Q847" s="4" t="n">
        <v>1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 customFormat="false" ht="15" hidden="false" customHeight="false" outlineLevel="0" collapsed="false">
      <c r="A848" s="4" t="s">
        <v>2470</v>
      </c>
      <c r="B848" s="4" t="n">
        <v>1988</v>
      </c>
      <c r="C848" s="4" t="str">
        <f aca="false">FLOOR(B848,10)&amp;"s"</f>
        <v>1980s</v>
      </c>
      <c r="D848" s="4" t="s">
        <v>195</v>
      </c>
      <c r="E848" s="25" t="str">
        <f aca="false">IF(G848=1,"✓","")</f>
        <v/>
      </c>
      <c r="F848" s="4" t="n">
        <v>1</v>
      </c>
      <c r="G848" s="4" t="n">
        <f aca="false">IF(COUNTIF('Letterboxd Watched'!$E$2:$E$3000,M848)&gt;0,1,0)</f>
        <v>0</v>
      </c>
      <c r="H848" s="4" t="n">
        <v>2</v>
      </c>
      <c r="I848" s="4" t="s">
        <v>213</v>
      </c>
      <c r="J848" s="4" t="s">
        <v>52</v>
      </c>
      <c r="K848" s="4" t="s">
        <v>4124</v>
      </c>
      <c r="L848" s="48" t="str">
        <f aca="false">HYPERLINK("https://boxd.it/1VFm","open")</f>
        <v>open</v>
      </c>
      <c r="M848" s="4" t="str">
        <f aca="false">LOWER(A848)&amp;"|"&amp;B848</f>
        <v>frantic|1988</v>
      </c>
      <c r="N848" s="4" t="n">
        <v>0</v>
      </c>
      <c r="O848" s="4" t="n">
        <v>0</v>
      </c>
      <c r="P848" s="4" t="n">
        <v>0</v>
      </c>
      <c r="Q848" s="4" t="n">
        <v>1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 customFormat="false" ht="15" hidden="false" customHeight="false" outlineLevel="0" collapsed="false">
      <c r="A849" s="4" t="s">
        <v>906</v>
      </c>
      <c r="B849" s="4" t="n">
        <v>1932</v>
      </c>
      <c r="C849" s="4" t="str">
        <f aca="false">FLOOR(B849,10)&amp;"s"</f>
        <v>1930s</v>
      </c>
      <c r="D849" s="4" t="s">
        <v>907</v>
      </c>
      <c r="E849" s="25" t="str">
        <f aca="false">IF(G849=1,"✓","")</f>
        <v/>
      </c>
      <c r="F849" s="4" t="n">
        <v>2</v>
      </c>
      <c r="G849" s="4" t="n">
        <f aca="false">IF(COUNTIF('Letterboxd Watched'!$E$2:$E$3000,M849)&gt;0,1,0)</f>
        <v>0</v>
      </c>
      <c r="H849" s="4" t="n">
        <v>4</v>
      </c>
      <c r="I849" s="4" t="s">
        <v>213</v>
      </c>
      <c r="J849" s="4" t="s">
        <v>50</v>
      </c>
      <c r="K849" s="4" t="s">
        <v>5418</v>
      </c>
      <c r="L849" s="48" t="str">
        <f aca="false">HYPERLINK("https://boxd.it/2b3o","open")</f>
        <v>open</v>
      </c>
      <c r="M849" s="4" t="str">
        <f aca="false">LOWER(A849)&amp;"|"&amp;B849</f>
        <v>freaks|1932</v>
      </c>
      <c r="N849" s="4" t="n">
        <v>0</v>
      </c>
      <c r="O849" s="4" t="n">
        <v>1</v>
      </c>
      <c r="P849" s="4" t="n">
        <v>0</v>
      </c>
      <c r="Q849" s="4" t="n">
        <v>0</v>
      </c>
      <c r="R849" s="4" t="n">
        <v>0</v>
      </c>
      <c r="S849" s="4" t="n">
        <v>1</v>
      </c>
      <c r="T849" s="4" t="n">
        <v>0</v>
      </c>
      <c r="U849" s="4" t="n">
        <v>0</v>
      </c>
      <c r="V849" s="4" t="n">
        <v>0</v>
      </c>
      <c r="W849" s="4" t="n">
        <v>0</v>
      </c>
    </row>
    <row r="850" customFormat="false" ht="15" hidden="false" customHeight="false" outlineLevel="0" collapsed="false">
      <c r="A850" s="4" t="s">
        <v>3160</v>
      </c>
      <c r="B850" s="4" t="n">
        <v>2018</v>
      </c>
      <c r="C850" s="4" t="str">
        <f aca="false">FLOOR(B850,10)&amp;"s"</f>
        <v>2010s</v>
      </c>
      <c r="D850" s="4" t="s">
        <v>3161</v>
      </c>
      <c r="E850" s="25" t="str">
        <f aca="false">IF(G850=1,"✓","")</f>
        <v/>
      </c>
      <c r="F850" s="4" t="n">
        <v>1</v>
      </c>
      <c r="G850" s="4" t="n">
        <f aca="false">IF(COUNTIF('Letterboxd Watched'!$E$2:$E$3000,M850)&gt;0,1,0)</f>
        <v>0</v>
      </c>
      <c r="H850" s="4" t="n">
        <v>2</v>
      </c>
      <c r="I850" s="4" t="s">
        <v>213</v>
      </c>
      <c r="J850" s="4" t="s">
        <v>56</v>
      </c>
      <c r="K850" s="4" t="s">
        <v>4386</v>
      </c>
      <c r="L850" s="48" t="str">
        <f aca="false">HYPERLINK("https://boxd.it/iEEq","open")</f>
        <v>open</v>
      </c>
      <c r="M850" s="4" t="str">
        <f aca="false">LOWER(A850)&amp;"|"&amp;B850</f>
        <v>free solo|2018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1</v>
      </c>
      <c r="V850" s="4" t="n">
        <v>0</v>
      </c>
      <c r="W850" s="4" t="n">
        <v>0</v>
      </c>
    </row>
    <row r="851" customFormat="false" ht="15" hidden="false" customHeight="false" outlineLevel="0" collapsed="false">
      <c r="A851" s="4" t="s">
        <v>1927</v>
      </c>
      <c r="B851" s="4" t="n">
        <v>1955</v>
      </c>
      <c r="C851" s="4" t="str">
        <f aca="false">FLOOR(B851,10)&amp;"s"</f>
        <v>1950s</v>
      </c>
      <c r="D851" s="4" t="s">
        <v>234</v>
      </c>
      <c r="E851" s="25" t="str">
        <f aca="false">IF(G851=1,"✓","")</f>
        <v/>
      </c>
      <c r="F851" s="4" t="n">
        <v>1</v>
      </c>
      <c r="G851" s="4" t="n">
        <f aca="false">IF(COUNTIF('Letterboxd Watched'!$E$2:$E$3000,M851)&gt;0,1,0)</f>
        <v>0</v>
      </c>
      <c r="H851" s="4" t="n">
        <v>2</v>
      </c>
      <c r="I851" s="4" t="s">
        <v>213</v>
      </c>
      <c r="J851" s="4" t="s">
        <v>53</v>
      </c>
      <c r="K851" s="4" t="s">
        <v>234</v>
      </c>
      <c r="L851" s="48" t="str">
        <f aca="false">HYPERLINK("https://letterboxd.com/search/films/French+Cancan+1955/","open")</f>
        <v>open</v>
      </c>
      <c r="M851" s="4" t="str">
        <f aca="false">LOWER(A851)&amp;"|"&amp;B851</f>
        <v>french cancan|1955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1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 customFormat="false" ht="15" hidden="false" customHeight="false" outlineLevel="0" collapsed="false">
      <c r="A852" s="4" t="s">
        <v>478</v>
      </c>
      <c r="B852" s="4" t="n">
        <v>1971</v>
      </c>
      <c r="C852" s="4" t="str">
        <f aca="false">FLOOR(B852,10)&amp;"s"</f>
        <v>1970s</v>
      </c>
      <c r="D852" s="4" t="s">
        <v>479</v>
      </c>
      <c r="E852" s="25" t="str">
        <f aca="false">IF(G852=1,"✓","")</f>
        <v>✓</v>
      </c>
      <c r="F852" s="4" t="n">
        <v>3</v>
      </c>
      <c r="G852" s="4" t="n">
        <f aca="false">IF(COUNTIF('Letterboxd Watched'!$E$2:$E$3000,M852)&gt;0,1,0)</f>
        <v>1</v>
      </c>
      <c r="H852" s="4" t="n">
        <v>7</v>
      </c>
      <c r="I852" s="4" t="s">
        <v>144</v>
      </c>
      <c r="J852" s="4" t="s">
        <v>49</v>
      </c>
      <c r="K852" s="4" t="s">
        <v>5419</v>
      </c>
      <c r="L852" s="48" t="str">
        <f aca="false">HYPERLINK("https://boxd.it/296g","open")</f>
        <v>open</v>
      </c>
      <c r="M852" s="4" t="str">
        <f aca="false">LOWER(A852)&amp;"|"&amp;B852</f>
        <v>the french connection|1971</v>
      </c>
      <c r="N852" s="4" t="n">
        <v>1</v>
      </c>
      <c r="O852" s="4" t="n">
        <v>0</v>
      </c>
      <c r="P852" s="4" t="n">
        <v>0</v>
      </c>
      <c r="Q852" s="4" t="n">
        <v>1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1</v>
      </c>
      <c r="W852" s="4" t="n">
        <v>0</v>
      </c>
    </row>
    <row r="853" customFormat="false" ht="15" hidden="false" customHeight="false" outlineLevel="0" collapsed="false">
      <c r="A853" s="4" t="s">
        <v>3215</v>
      </c>
      <c r="B853" s="4" t="n">
        <v>2021</v>
      </c>
      <c r="C853" s="4" t="str">
        <f aca="false">FLOOR(B853,10)&amp;"s"</f>
        <v>2020s</v>
      </c>
      <c r="D853" s="4" t="s">
        <v>274</v>
      </c>
      <c r="E853" s="25" t="str">
        <f aca="false">IF(G853=1,"✓","")</f>
        <v/>
      </c>
      <c r="F853" s="4" t="n">
        <v>1</v>
      </c>
      <c r="G853" s="4" t="n">
        <f aca="false">IF(COUNTIF('Letterboxd Watched'!$E$2:$E$3000,M853)&gt;0,1,0)</f>
        <v>0</v>
      </c>
      <c r="H853" s="4" t="n">
        <v>2</v>
      </c>
      <c r="I853" s="4" t="s">
        <v>213</v>
      </c>
      <c r="J853" s="4" t="s">
        <v>53</v>
      </c>
      <c r="K853" s="4" t="s">
        <v>274</v>
      </c>
      <c r="L853" s="48" t="str">
        <f aca="false">HYPERLINK("https://letterboxd.com/search/films/The+French+Dispatch+2021/","open")</f>
        <v>open</v>
      </c>
      <c r="M853" s="4" t="str">
        <f aca="false">LOWER(A853)&amp;"|"&amp;B853</f>
        <v>the french dispatch|2021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1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 customFormat="false" ht="15" hidden="false" customHeight="false" outlineLevel="0" collapsed="false">
      <c r="A854" s="4" t="s">
        <v>3502</v>
      </c>
      <c r="B854" s="4" t="n">
        <v>1972</v>
      </c>
      <c r="C854" s="4" t="str">
        <f aca="false">FLOOR(B854,10)&amp;"s"</f>
        <v>1970s</v>
      </c>
      <c r="D854" s="4" t="s">
        <v>162</v>
      </c>
      <c r="E854" s="25" t="str">
        <f aca="false">IF(G854=1,"✓","")</f>
        <v/>
      </c>
      <c r="F854" s="4" t="n">
        <v>1</v>
      </c>
      <c r="G854" s="4" t="n">
        <f aca="false">IF(COUNTIF('Letterboxd Watched'!$E$2:$E$3000,M854)&gt;0,1,0)</f>
        <v>0</v>
      </c>
      <c r="H854" s="4" t="n">
        <v>1</v>
      </c>
      <c r="I854" s="4" t="s">
        <v>1327</v>
      </c>
      <c r="J854" s="4" t="s">
        <v>53</v>
      </c>
      <c r="K854" s="4" t="s">
        <v>162</v>
      </c>
      <c r="L854" s="48" t="str">
        <f aca="false">HYPERLINK("https://boxd.it/2a62","open")</f>
        <v>open</v>
      </c>
      <c r="M854" s="4" t="str">
        <f aca="false">LOWER(A854)&amp;"|"&amp;B854</f>
        <v>frenzy|1972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1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 customFormat="false" ht="15" hidden="false" customHeight="false" outlineLevel="0" collapsed="false">
      <c r="A855" s="4" t="s">
        <v>1685</v>
      </c>
      <c r="B855" s="4" t="n">
        <v>1925</v>
      </c>
      <c r="C855" s="4" t="str">
        <f aca="false">FLOOR(B855,10)&amp;"s"</f>
        <v>1920s</v>
      </c>
      <c r="D855" s="4" t="s">
        <v>1680</v>
      </c>
      <c r="E855" s="25" t="str">
        <f aca="false">IF(G855=1,"✓","")</f>
        <v/>
      </c>
      <c r="F855" s="4" t="n">
        <v>1</v>
      </c>
      <c r="G855" s="4" t="n">
        <f aca="false">IF(COUNTIF('Letterboxd Watched'!$E$2:$E$3000,M855)&gt;0,1,0)</f>
        <v>0</v>
      </c>
      <c r="H855" s="4" t="n">
        <v>2</v>
      </c>
      <c r="I855" s="4" t="s">
        <v>213</v>
      </c>
      <c r="J855" s="4" t="s">
        <v>50</v>
      </c>
      <c r="K855" s="4" t="s">
        <v>3896</v>
      </c>
      <c r="L855" s="48" t="str">
        <f aca="false">HYPERLINK("https://boxd.it/X5S","open")</f>
        <v>open</v>
      </c>
      <c r="M855" s="4" t="str">
        <f aca="false">LOWER(A855)&amp;"|"&amp;B855</f>
        <v>the freshman|1925</v>
      </c>
      <c r="N855" s="4" t="n">
        <v>0</v>
      </c>
      <c r="O855" s="4" t="n">
        <v>1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</row>
    <row r="856" customFormat="false" ht="15" hidden="false" customHeight="false" outlineLevel="0" collapsed="false">
      <c r="A856" s="4" t="s">
        <v>1286</v>
      </c>
      <c r="B856" s="4" t="n">
        <v>1995</v>
      </c>
      <c r="C856" s="4" t="str">
        <f aca="false">FLOOR(B856,10)&amp;"s"</f>
        <v>1990s</v>
      </c>
      <c r="D856" s="4" t="s">
        <v>1287</v>
      </c>
      <c r="E856" s="25" t="str">
        <f aca="false">IF(G856=1,"✓","")</f>
        <v>✓</v>
      </c>
      <c r="F856" s="4" t="n">
        <v>2</v>
      </c>
      <c r="G856" s="4" t="n">
        <f aca="false">IF(COUNTIF('Letterboxd Watched'!$E$2:$E$3000,M856)&gt;0,1,0)</f>
        <v>1</v>
      </c>
      <c r="H856" s="4" t="n">
        <v>4</v>
      </c>
      <c r="I856" s="4" t="s">
        <v>213</v>
      </c>
      <c r="J856" s="4" t="s">
        <v>56</v>
      </c>
      <c r="K856" s="4" t="s">
        <v>5420</v>
      </c>
      <c r="L856" s="48" t="str">
        <f aca="false">HYPERLINK("https://boxd.it/1VLO","open")</f>
        <v>open</v>
      </c>
      <c r="M856" s="4" t="str">
        <f aca="false">LOWER(A856)&amp;"|"&amp;B856</f>
        <v>friday|1995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1</v>
      </c>
      <c r="V856" s="4" t="n">
        <v>0</v>
      </c>
      <c r="W856" s="4" t="n">
        <v>0</v>
      </c>
    </row>
    <row r="857" customFormat="false" ht="15" hidden="false" customHeight="false" outlineLevel="0" collapsed="false">
      <c r="A857" s="4" t="s">
        <v>2783</v>
      </c>
      <c r="B857" s="4" t="n">
        <v>2002</v>
      </c>
      <c r="C857" s="4" t="str">
        <f aca="false">FLOOR(B857,10)&amp;"s"</f>
        <v>2000s</v>
      </c>
      <c r="D857" s="4" t="s">
        <v>262</v>
      </c>
      <c r="E857" s="25" t="str">
        <f aca="false">IF(G857=1,"✓","")</f>
        <v/>
      </c>
      <c r="F857" s="4" t="n">
        <v>1</v>
      </c>
      <c r="G857" s="4" t="n">
        <f aca="false">IF(COUNTIF('Letterboxd Watched'!$E$2:$E$3000,M857)&gt;0,1,0)</f>
        <v>0</v>
      </c>
      <c r="H857" s="4" t="n">
        <v>2</v>
      </c>
      <c r="I857" s="4" t="s">
        <v>213</v>
      </c>
      <c r="J857" s="4" t="s">
        <v>53</v>
      </c>
      <c r="K857" s="4" t="s">
        <v>262</v>
      </c>
      <c r="L857" s="48" t="str">
        <f aca="false">HYPERLINK("https://boxd.it/QtS","open")</f>
        <v>open</v>
      </c>
      <c r="M857" s="4" t="str">
        <f aca="false">LOWER(A857)&amp;"|"&amp;B857</f>
        <v>friday night|2002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1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</row>
    <row r="858" customFormat="false" ht="15" hidden="false" customHeight="false" outlineLevel="0" collapsed="false">
      <c r="A858" s="4" t="s">
        <v>2829</v>
      </c>
      <c r="B858" s="4" t="n">
        <v>2004</v>
      </c>
      <c r="C858" s="4" t="str">
        <f aca="false">FLOOR(B858,10)&amp;"s"</f>
        <v>2000s</v>
      </c>
      <c r="D858" s="4" t="s">
        <v>2830</v>
      </c>
      <c r="E858" s="25" t="str">
        <f aca="false">IF(G858=1,"✓","")</f>
        <v/>
      </c>
      <c r="F858" s="4" t="n">
        <v>1</v>
      </c>
      <c r="G858" s="4" t="n">
        <f aca="false">IF(COUNTIF('Letterboxd Watched'!$E$2:$E$3000,M858)&gt;0,1,0)</f>
        <v>0</v>
      </c>
      <c r="H858" s="4" t="n">
        <v>2</v>
      </c>
      <c r="I858" s="4" t="s">
        <v>213</v>
      </c>
      <c r="J858" s="4" t="s">
        <v>55</v>
      </c>
      <c r="K858" s="4" t="s">
        <v>4364</v>
      </c>
      <c r="L858" s="48" t="str">
        <f aca="false">HYPERLINK("https://boxd.it/1Qdi","open")</f>
        <v>open</v>
      </c>
      <c r="M858" s="4" t="str">
        <f aca="false">LOWER(A858)&amp;"|"&amp;B858</f>
        <v>friday night lights|2004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1</v>
      </c>
      <c r="U858" s="4" t="n">
        <v>0</v>
      </c>
      <c r="V858" s="4" t="n">
        <v>0</v>
      </c>
      <c r="W858" s="4" t="n">
        <v>0</v>
      </c>
    </row>
    <row r="859" customFormat="false" ht="15" hidden="false" customHeight="false" outlineLevel="0" collapsed="false">
      <c r="A859" s="4" t="s">
        <v>2336</v>
      </c>
      <c r="B859" s="4" t="n">
        <v>1980</v>
      </c>
      <c r="C859" s="4" t="str">
        <f aca="false">FLOOR(B859,10)&amp;"s"</f>
        <v>1980s</v>
      </c>
      <c r="D859" s="4" t="s">
        <v>2337</v>
      </c>
      <c r="E859" s="25" t="str">
        <f aca="false">IF(G859=1,"✓","")</f>
        <v/>
      </c>
      <c r="F859" s="4" t="n">
        <v>1</v>
      </c>
      <c r="G859" s="4" t="n">
        <f aca="false">IF(COUNTIF('Letterboxd Watched'!$E$2:$E$3000,M859)&gt;0,1,0)</f>
        <v>0</v>
      </c>
      <c r="H859" s="4" t="n">
        <v>2</v>
      </c>
      <c r="I859" s="4" t="s">
        <v>213</v>
      </c>
      <c r="J859" s="4" t="s">
        <v>52</v>
      </c>
      <c r="K859" s="4" t="s">
        <v>4070</v>
      </c>
      <c r="L859" s="48" t="str">
        <f aca="false">HYPERLINK("https://boxd.it/24fs","open")</f>
        <v>open</v>
      </c>
      <c r="M859" s="4" t="str">
        <f aca="false">LOWER(A859)&amp;"|"&amp;B859</f>
        <v>friday the 13th|1980</v>
      </c>
      <c r="N859" s="4" t="n">
        <v>0</v>
      </c>
      <c r="O859" s="4" t="n">
        <v>0</v>
      </c>
      <c r="P859" s="4" t="n">
        <v>0</v>
      </c>
      <c r="Q859" s="4" t="n">
        <v>1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</row>
    <row r="860" customFormat="false" ht="15" hidden="false" customHeight="false" outlineLevel="0" collapsed="false">
      <c r="A860" s="4" t="s">
        <v>3511</v>
      </c>
      <c r="B860" s="4" t="n">
        <v>1973</v>
      </c>
      <c r="C860" s="4" t="str">
        <f aca="false">FLOOR(B860,10)&amp;"s"</f>
        <v>1970s</v>
      </c>
      <c r="D860" s="4" t="s">
        <v>587</v>
      </c>
      <c r="E860" s="25" t="str">
        <f aca="false">IF(G860=1,"✓","")</f>
        <v/>
      </c>
      <c r="F860" s="4" t="n">
        <v>1</v>
      </c>
      <c r="G860" s="4" t="n">
        <f aca="false">IF(COUNTIF('Letterboxd Watched'!$E$2:$E$3000,M860)&gt;0,1,0)</f>
        <v>0</v>
      </c>
      <c r="H860" s="4" t="n">
        <v>1</v>
      </c>
      <c r="I860" s="4" t="s">
        <v>1327</v>
      </c>
      <c r="J860" s="4" t="s">
        <v>52</v>
      </c>
      <c r="K860" s="4" t="s">
        <v>4044</v>
      </c>
      <c r="L860" s="48" t="str">
        <f aca="false">HYPERLINK("https://boxd.it/1vki","open")</f>
        <v>open</v>
      </c>
      <c r="M860" s="4" t="str">
        <f aca="false">LOWER(A860)&amp;"|"&amp;B860</f>
        <v>the friends of eddie coyle|1973</v>
      </c>
      <c r="N860" s="4" t="n">
        <v>0</v>
      </c>
      <c r="O860" s="4" t="n">
        <v>0</v>
      </c>
      <c r="P860" s="4" t="n">
        <v>0</v>
      </c>
      <c r="Q860" s="4" t="n">
        <v>1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 customFormat="false" ht="15" hidden="false" customHeight="false" outlineLevel="0" collapsed="false">
      <c r="A861" s="4" t="s">
        <v>3636</v>
      </c>
      <c r="B861" s="4" t="n">
        <v>1986</v>
      </c>
      <c r="C861" s="4" t="str">
        <f aca="false">FLOOR(B861,10)&amp;"s"</f>
        <v>1980s</v>
      </c>
      <c r="D861" s="4" t="s">
        <v>1074</v>
      </c>
      <c r="E861" s="25" t="str">
        <f aca="false">IF(G861=1,"✓","")</f>
        <v/>
      </c>
      <c r="F861" s="4" t="n">
        <v>1</v>
      </c>
      <c r="G861" s="4" t="n">
        <f aca="false">IF(COUNTIF('Letterboxd Watched'!$E$2:$E$3000,M861)&gt;0,1,0)</f>
        <v>0</v>
      </c>
      <c r="H861" s="4" t="n">
        <v>1</v>
      </c>
      <c r="I861" s="4" t="s">
        <v>1327</v>
      </c>
      <c r="J861" s="4" t="s">
        <v>52</v>
      </c>
      <c r="K861" s="4" t="s">
        <v>4080</v>
      </c>
      <c r="L861" s="48" t="str">
        <f aca="false">HYPERLINK("https://boxd.it/1NXi","open")</f>
        <v>open</v>
      </c>
      <c r="M861" s="4" t="str">
        <f aca="false">LOWER(A861)&amp;"|"&amp;B861</f>
        <v>from beyond|1986</v>
      </c>
      <c r="N861" s="4" t="n">
        <v>0</v>
      </c>
      <c r="O861" s="4" t="n">
        <v>0</v>
      </c>
      <c r="P861" s="4" t="n">
        <v>0</v>
      </c>
      <c r="Q861" s="4" t="n">
        <v>1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 customFormat="false" ht="15" hidden="false" customHeight="false" outlineLevel="0" collapsed="false">
      <c r="A862" s="4" t="s">
        <v>1464</v>
      </c>
      <c r="B862" s="4" t="n">
        <v>1963</v>
      </c>
      <c r="C862" s="4" t="str">
        <f aca="false">FLOOR(B862,10)&amp;"s"</f>
        <v>1960s</v>
      </c>
      <c r="D862" s="4" t="s">
        <v>1465</v>
      </c>
      <c r="E862" s="25" t="str">
        <f aca="false">IF(G862=1,"✓","")</f>
        <v/>
      </c>
      <c r="F862" s="4" t="n">
        <v>1</v>
      </c>
      <c r="G862" s="4" t="n">
        <f aca="false">IF(COUNTIF('Letterboxd Watched'!$E$2:$E$3000,M862)&gt;0,1,0)</f>
        <v>0</v>
      </c>
      <c r="H862" s="4" t="n">
        <v>3</v>
      </c>
      <c r="I862" s="4" t="s">
        <v>144</v>
      </c>
      <c r="J862" s="4" t="s">
        <v>52</v>
      </c>
      <c r="K862" s="4" t="s">
        <v>4132</v>
      </c>
      <c r="L862" s="48" t="str">
        <f aca="false">HYPERLINK("https://boxd.it/29T8","open")</f>
        <v>open</v>
      </c>
      <c r="M862" s="4" t="str">
        <f aca="false">LOWER(A862)&amp;"|"&amp;B862</f>
        <v>from russia with love|1963</v>
      </c>
      <c r="N862" s="4" t="n">
        <v>0</v>
      </c>
      <c r="O862" s="4" t="n">
        <v>0</v>
      </c>
      <c r="P862" s="4" t="n">
        <v>0</v>
      </c>
      <c r="Q862" s="4" t="n">
        <v>1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 customFormat="false" ht="15" hidden="false" customHeight="false" outlineLevel="0" collapsed="false">
      <c r="A863" s="4" t="s">
        <v>1722</v>
      </c>
      <c r="B863" s="4" t="n">
        <v>1931</v>
      </c>
      <c r="C863" s="4" t="str">
        <f aca="false">FLOOR(B863,10)&amp;"s"</f>
        <v>1930s</v>
      </c>
      <c r="D863" s="4" t="s">
        <v>730</v>
      </c>
      <c r="E863" s="25" t="str">
        <f aca="false">IF(G863=1,"✓","")</f>
        <v/>
      </c>
      <c r="F863" s="4" t="n">
        <v>1</v>
      </c>
      <c r="G863" s="4" t="n">
        <f aca="false">IF(COUNTIF('Letterboxd Watched'!$E$2:$E$3000,M863)&gt;0,1,0)</f>
        <v>0</v>
      </c>
      <c r="H863" s="4" t="n">
        <v>2</v>
      </c>
      <c r="I863" s="4" t="s">
        <v>213</v>
      </c>
      <c r="J863" s="4" t="s">
        <v>55</v>
      </c>
      <c r="K863" s="4" t="s">
        <v>4320</v>
      </c>
      <c r="L863" s="48" t="str">
        <f aca="false">HYPERLINK("https://boxd.it/VXy","open")</f>
        <v>open</v>
      </c>
      <c r="M863" s="4" t="str">
        <f aca="false">LOWER(A863)&amp;"|"&amp;B863</f>
        <v>the front page|1931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1</v>
      </c>
      <c r="U863" s="4" t="n">
        <v>0</v>
      </c>
      <c r="V863" s="4" t="n">
        <v>0</v>
      </c>
      <c r="W863" s="4" t="n">
        <v>0</v>
      </c>
    </row>
    <row r="864" customFormat="false" ht="15" hidden="false" customHeight="false" outlineLevel="0" collapsed="false">
      <c r="A864" s="4" t="s">
        <v>2911</v>
      </c>
      <c r="B864" s="4" t="n">
        <v>2008</v>
      </c>
      <c r="C864" s="4" t="str">
        <f aca="false">FLOOR(B864,10)&amp;"s"</f>
        <v>2000s</v>
      </c>
      <c r="D864" s="4" t="s">
        <v>1115</v>
      </c>
      <c r="E864" s="25" t="str">
        <f aca="false">IF(G864=1,"✓","")</f>
        <v/>
      </c>
      <c r="F864" s="4" t="n">
        <v>1</v>
      </c>
      <c r="G864" s="4" t="n">
        <f aca="false">IF(COUNTIF('Letterboxd Watched'!$E$2:$E$3000,M864)&gt;0,1,0)</f>
        <v>0</v>
      </c>
      <c r="H864" s="4" t="n">
        <v>2</v>
      </c>
      <c r="I864" s="4" t="s">
        <v>213</v>
      </c>
      <c r="J864" s="4" t="s">
        <v>55</v>
      </c>
      <c r="K864" s="4" t="s">
        <v>4318</v>
      </c>
      <c r="L864" s="48" t="str">
        <f aca="false">HYPERLINK("https://boxd.it/1TI4","open")</f>
        <v>open</v>
      </c>
      <c r="M864" s="4" t="str">
        <f aca="false">LOWER(A864)&amp;"|"&amp;B864</f>
        <v>frost/nixon|2008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1</v>
      </c>
      <c r="U864" s="4" t="n">
        <v>0</v>
      </c>
      <c r="V864" s="4" t="n">
        <v>0</v>
      </c>
      <c r="W864" s="4" t="n">
        <v>0</v>
      </c>
    </row>
    <row r="865" customFormat="false" ht="15" hidden="false" customHeight="false" outlineLevel="0" collapsed="false">
      <c r="A865" s="4" t="s">
        <v>3038</v>
      </c>
      <c r="B865" s="4" t="n">
        <v>2013</v>
      </c>
      <c r="C865" s="4" t="str">
        <f aca="false">FLOOR(B865,10)&amp;"s"</f>
        <v>2010s</v>
      </c>
      <c r="D865" s="4" t="s">
        <v>3039</v>
      </c>
      <c r="E865" s="25" t="str">
        <f aca="false">IF(G865=1,"✓","")</f>
        <v>✓</v>
      </c>
      <c r="F865" s="4" t="n">
        <v>1</v>
      </c>
      <c r="G865" s="4" t="n">
        <f aca="false">IF(COUNTIF('Letterboxd Watched'!$E$2:$E$3000,M865)&gt;0,1,0)</f>
        <v>1</v>
      </c>
      <c r="H865" s="4" t="n">
        <v>2</v>
      </c>
      <c r="I865" s="4" t="s">
        <v>213</v>
      </c>
      <c r="J865" s="4" t="s">
        <v>54</v>
      </c>
      <c r="K865" s="4" t="s">
        <v>4290</v>
      </c>
      <c r="L865" s="48" t="str">
        <f aca="false">HYPERLINK("https://boxd.it/4VRy","open")</f>
        <v>open</v>
      </c>
      <c r="M865" s="4" t="str">
        <f aca="false">LOWER(A865)&amp;"|"&amp;B865</f>
        <v>fruitvale station|2013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1</v>
      </c>
      <c r="T865" s="4" t="n">
        <v>0</v>
      </c>
      <c r="U865" s="4" t="n">
        <v>0</v>
      </c>
      <c r="V865" s="4" t="n">
        <v>0</v>
      </c>
      <c r="W865" s="4" t="n">
        <v>0</v>
      </c>
    </row>
    <row r="866" customFormat="false" ht="15" hidden="false" customHeight="false" outlineLevel="0" collapsed="false">
      <c r="A866" s="4" t="s">
        <v>3241</v>
      </c>
      <c r="B866" s="4" t="n">
        <v>2023</v>
      </c>
      <c r="C866" s="4" t="str">
        <f aca="false">FLOOR(B866,10)&amp;"s"</f>
        <v>2020s</v>
      </c>
      <c r="D866" s="4" t="s">
        <v>3242</v>
      </c>
      <c r="E866" s="25" t="str">
        <f aca="false">IF(G866=1,"✓","")</f>
        <v/>
      </c>
      <c r="F866" s="4" t="n">
        <v>1</v>
      </c>
      <c r="G866" s="4" t="n">
        <f aca="false">IF(COUNTIF('Letterboxd Watched'!$E$2:$E$3000,M866)&gt;0,1,0)</f>
        <v>0</v>
      </c>
      <c r="H866" s="4" t="n">
        <v>2</v>
      </c>
      <c r="I866" s="4" t="s">
        <v>213</v>
      </c>
      <c r="J866" s="4" t="s">
        <v>54</v>
      </c>
      <c r="K866" s="4" t="s">
        <v>4294</v>
      </c>
      <c r="L866" s="48" t="str">
        <f aca="false">HYPERLINK("https://letterboxd.com/search/films/Frybread+Face+and+Me+2023/","open")</f>
        <v>open</v>
      </c>
      <c r="M866" s="4" t="str">
        <f aca="false">LOWER(A866)&amp;"|"&amp;B866</f>
        <v>frybread face and me|2023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1</v>
      </c>
      <c r="T866" s="4" t="n">
        <v>0</v>
      </c>
      <c r="U866" s="4" t="n">
        <v>0</v>
      </c>
      <c r="V866" s="4" t="n">
        <v>0</v>
      </c>
      <c r="W866" s="4" t="n">
        <v>0</v>
      </c>
    </row>
    <row r="867" customFormat="false" ht="15" hidden="false" customHeight="false" outlineLevel="0" collapsed="false">
      <c r="A867" s="4" t="s">
        <v>1555</v>
      </c>
      <c r="B867" s="4" t="n">
        <v>1993</v>
      </c>
      <c r="C867" s="4" t="str">
        <f aca="false">FLOOR(B867,10)&amp;"s"</f>
        <v>1990s</v>
      </c>
      <c r="D867" s="4" t="s">
        <v>1556</v>
      </c>
      <c r="E867" s="25" t="str">
        <f aca="false">IF(G867=1,"✓","")</f>
        <v>✓</v>
      </c>
      <c r="F867" s="4" t="n">
        <v>1</v>
      </c>
      <c r="G867" s="4" t="n">
        <f aca="false">IF(COUNTIF('Letterboxd Watched'!$E$2:$E$3000,M867)&gt;0,1,0)</f>
        <v>1</v>
      </c>
      <c r="H867" s="4" t="n">
        <v>3</v>
      </c>
      <c r="I867" s="4" t="s">
        <v>144</v>
      </c>
      <c r="J867" s="4" t="s">
        <v>56</v>
      </c>
      <c r="K867" s="4" t="s">
        <v>4400</v>
      </c>
      <c r="L867" s="48" t="str">
        <f aca="false">HYPERLINK("https://boxd.it/230G","open")</f>
        <v>open</v>
      </c>
      <c r="M867" s="4" t="str">
        <f aca="false">LOWER(A867)&amp;"|"&amp;B867</f>
        <v>the fugitive|1993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1</v>
      </c>
      <c r="V867" s="4" t="n">
        <v>0</v>
      </c>
      <c r="W867" s="4" t="n">
        <v>0</v>
      </c>
    </row>
    <row r="868" customFormat="false" ht="15" hidden="false" customHeight="false" outlineLevel="0" collapsed="false">
      <c r="A868" s="4" t="s">
        <v>3671</v>
      </c>
      <c r="B868" s="4" t="n">
        <v>1992</v>
      </c>
      <c r="C868" s="4" t="str">
        <f aca="false">FLOOR(B868,10)&amp;"s"</f>
        <v>1990s</v>
      </c>
      <c r="D868" s="4" t="s">
        <v>1539</v>
      </c>
      <c r="E868" s="25" t="str">
        <f aca="false">IF(G868=1,"✓","")</f>
        <v/>
      </c>
      <c r="F868" s="4" t="n">
        <v>1</v>
      </c>
      <c r="G868" s="4" t="n">
        <f aca="false">IF(COUNTIF('Letterboxd Watched'!$E$2:$E$3000,M868)&gt;0,1,0)</f>
        <v>0</v>
      </c>
      <c r="H868" s="4" t="n">
        <v>1</v>
      </c>
      <c r="I868" s="4" t="s">
        <v>1327</v>
      </c>
      <c r="J868" s="4" t="s">
        <v>51</v>
      </c>
      <c r="K868" s="4" t="s">
        <v>4012</v>
      </c>
      <c r="L868" s="48" t="str">
        <f aca="false">HYPERLINK("https://boxd.it/1sAC","open")</f>
        <v>open</v>
      </c>
      <c r="M868" s="4" t="str">
        <f aca="false">LOWER(A868)&amp;"|"&amp;B868</f>
        <v>full contact|1992</v>
      </c>
      <c r="N868" s="4" t="n">
        <v>0</v>
      </c>
      <c r="O868" s="4" t="n">
        <v>0</v>
      </c>
      <c r="P868" s="4" t="n">
        <v>1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</row>
    <row r="869" customFormat="false" ht="15" hidden="false" customHeight="false" outlineLevel="0" collapsed="false">
      <c r="A869" s="4" t="s">
        <v>1084</v>
      </c>
      <c r="B869" s="4" t="n">
        <v>1987</v>
      </c>
      <c r="C869" s="4" t="str">
        <f aca="false">FLOOR(B869,10)&amp;"s"</f>
        <v>1980s</v>
      </c>
      <c r="D869" s="4" t="s">
        <v>187</v>
      </c>
      <c r="E869" s="25" t="str">
        <f aca="false">IF(G869=1,"✓","")</f>
        <v>✓</v>
      </c>
      <c r="F869" s="4" t="n">
        <v>2</v>
      </c>
      <c r="G869" s="4" t="n">
        <f aca="false">IF(COUNTIF('Letterboxd Watched'!$E$2:$E$3000,M869)&gt;0,1,0)</f>
        <v>1</v>
      </c>
      <c r="H869" s="4" t="n">
        <v>4</v>
      </c>
      <c r="I869" s="4" t="s">
        <v>213</v>
      </c>
      <c r="J869" s="4" t="s">
        <v>52</v>
      </c>
      <c r="K869" s="4" t="s">
        <v>5421</v>
      </c>
      <c r="L869" s="48" t="str">
        <f aca="false">HYPERLINK("https://boxd.it/2a1Q","open")</f>
        <v>open</v>
      </c>
      <c r="M869" s="4" t="str">
        <f aca="false">LOWER(A869)&amp;"|"&amp;B869</f>
        <v>full metal jacket|1987</v>
      </c>
      <c r="N869" s="4" t="n">
        <v>0</v>
      </c>
      <c r="O869" s="4" t="n">
        <v>0</v>
      </c>
      <c r="P869" s="4" t="n">
        <v>0</v>
      </c>
      <c r="Q869" s="4" t="n">
        <v>1</v>
      </c>
      <c r="R869" s="4" t="n">
        <v>1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</row>
    <row r="870" customFormat="false" ht="15" hidden="false" customHeight="false" outlineLevel="0" collapsed="false">
      <c r="A870" s="4" t="s">
        <v>3624</v>
      </c>
      <c r="B870" s="4" t="n">
        <v>1984</v>
      </c>
      <c r="C870" s="4" t="str">
        <f aca="false">FLOOR(B870,10)&amp;"s"</f>
        <v>1980s</v>
      </c>
      <c r="D870" s="4" t="s">
        <v>419</v>
      </c>
      <c r="E870" s="25" t="str">
        <f aca="false">IF(G870=1,"✓","")</f>
        <v/>
      </c>
      <c r="F870" s="4" t="n">
        <v>1</v>
      </c>
      <c r="G870" s="4" t="n">
        <f aca="false">IF(COUNTIF('Letterboxd Watched'!$E$2:$E$3000,M870)&gt;0,1,0)</f>
        <v>0</v>
      </c>
      <c r="H870" s="4" t="n">
        <v>1</v>
      </c>
      <c r="I870" s="4" t="s">
        <v>1327</v>
      </c>
      <c r="J870" s="4" t="s">
        <v>53</v>
      </c>
      <c r="K870" s="4" t="s">
        <v>4226</v>
      </c>
      <c r="L870" s="48" t="str">
        <f aca="false">HYPERLINK("https://boxd.it/1sxe","open")</f>
        <v>open</v>
      </c>
      <c r="M870" s="4" t="str">
        <f aca="false">LOWER(A870)&amp;"|"&amp;B870</f>
        <v>full moon in paris|1984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1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</row>
    <row r="871" customFormat="false" ht="15" hidden="false" customHeight="false" outlineLevel="0" collapsed="false">
      <c r="A871" s="4" t="s">
        <v>1003</v>
      </c>
      <c r="B871" s="4" t="n">
        <v>1969</v>
      </c>
      <c r="C871" s="4" t="str">
        <f aca="false">FLOOR(B871,10)&amp;"s"</f>
        <v>1960s</v>
      </c>
      <c r="D871" s="4" t="s">
        <v>1004</v>
      </c>
      <c r="E871" s="25" t="str">
        <f aca="false">IF(G871=1,"✓","")</f>
        <v/>
      </c>
      <c r="F871" s="4" t="n">
        <v>2</v>
      </c>
      <c r="G871" s="4" t="n">
        <f aca="false">IF(COUNTIF('Letterboxd Watched'!$E$2:$E$3000,M871)&gt;0,1,0)</f>
        <v>0</v>
      </c>
      <c r="H871" s="4" t="n">
        <v>4</v>
      </c>
      <c r="I871" s="4" t="s">
        <v>213</v>
      </c>
      <c r="J871" s="4" t="s">
        <v>51</v>
      </c>
      <c r="K871" s="4" t="s">
        <v>5422</v>
      </c>
      <c r="L871" s="48" t="str">
        <f aca="false">HYPERLINK("https://boxd.it/28Cg","open")</f>
        <v>open</v>
      </c>
      <c r="M871" s="4" t="str">
        <f aca="false">LOWER(A871)&amp;"|"&amp;B871</f>
        <v>funeral parade of roses|1969</v>
      </c>
      <c r="N871" s="4" t="n">
        <v>0</v>
      </c>
      <c r="O871" s="4" t="n">
        <v>0</v>
      </c>
      <c r="P871" s="4" t="n">
        <v>1</v>
      </c>
      <c r="Q871" s="4" t="n">
        <v>0</v>
      </c>
      <c r="R871" s="4" t="n">
        <v>0</v>
      </c>
      <c r="S871" s="4" t="n">
        <v>1</v>
      </c>
      <c r="T871" s="4" t="n">
        <v>0</v>
      </c>
      <c r="U871" s="4" t="n">
        <v>0</v>
      </c>
      <c r="V871" s="4" t="n">
        <v>0</v>
      </c>
      <c r="W871" s="4" t="n">
        <v>0</v>
      </c>
    </row>
    <row r="872" customFormat="false" ht="15" hidden="false" customHeight="false" outlineLevel="0" collapsed="false">
      <c r="A872" s="4" t="s">
        <v>1117</v>
      </c>
      <c r="B872" s="4" t="n">
        <v>1997</v>
      </c>
      <c r="C872" s="4" t="str">
        <f aca="false">FLOOR(B872,10)&amp;"s"</f>
        <v>1990s</v>
      </c>
      <c r="D872" s="4" t="s">
        <v>516</v>
      </c>
      <c r="E872" s="25" t="str">
        <f aca="false">IF(G872=1,"✓","")</f>
        <v>✓</v>
      </c>
      <c r="F872" s="4" t="n">
        <v>2</v>
      </c>
      <c r="G872" s="4" t="n">
        <f aca="false">IF(COUNTIF('Letterboxd Watched'!$E$2:$E$3000,M872)&gt;0,1,0)</f>
        <v>1</v>
      </c>
      <c r="H872" s="4" t="n">
        <v>4</v>
      </c>
      <c r="I872" s="4" t="s">
        <v>213</v>
      </c>
      <c r="J872" s="4" t="s">
        <v>51</v>
      </c>
      <c r="K872" s="4" t="s">
        <v>5423</v>
      </c>
      <c r="L872" s="48" t="str">
        <f aca="false">HYPERLINK("https://boxd.it/1WKM","open")</f>
        <v>open</v>
      </c>
      <c r="M872" s="4" t="str">
        <f aca="false">LOWER(A872)&amp;"|"&amp;B872</f>
        <v>funny games|1997</v>
      </c>
      <c r="N872" s="4" t="n">
        <v>0</v>
      </c>
      <c r="O872" s="4" t="n">
        <v>0</v>
      </c>
      <c r="P872" s="4" t="n">
        <v>1</v>
      </c>
      <c r="Q872" s="4" t="n">
        <v>0</v>
      </c>
      <c r="R872" s="4" t="n">
        <v>1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</row>
    <row r="873" customFormat="false" ht="15" hidden="false" customHeight="false" outlineLevel="0" collapsed="false">
      <c r="A873" s="4" t="s">
        <v>1583</v>
      </c>
      <c r="B873" s="4" t="n">
        <v>2002</v>
      </c>
      <c r="C873" s="4" t="str">
        <f aca="false">FLOOR(B873,10)&amp;"s"</f>
        <v>2000s</v>
      </c>
      <c r="D873" s="4" t="s">
        <v>1584</v>
      </c>
      <c r="E873" s="25" t="str">
        <f aca="false">IF(G873=1,"✓","")</f>
        <v/>
      </c>
      <c r="F873" s="4" t="n">
        <v>1</v>
      </c>
      <c r="G873" s="4" t="n">
        <f aca="false">IF(COUNTIF('Letterboxd Watched'!$E$2:$E$3000,M873)&gt;0,1,0)</f>
        <v>0</v>
      </c>
      <c r="H873" s="4" t="n">
        <v>3</v>
      </c>
      <c r="I873" s="4" t="s">
        <v>144</v>
      </c>
      <c r="J873" s="4" t="s">
        <v>54</v>
      </c>
      <c r="K873" s="4" t="s">
        <v>4312</v>
      </c>
      <c r="L873" s="48" t="str">
        <f aca="false">HYPERLINK("https://letterboxd.com/search/films/Funny+Ha+Ha+2002/","open")</f>
        <v>open</v>
      </c>
      <c r="M873" s="4" t="str">
        <f aca="false">LOWER(A873)&amp;"|"&amp;B873</f>
        <v>funny ha ha|2002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1</v>
      </c>
      <c r="T873" s="4" t="n">
        <v>0</v>
      </c>
      <c r="U873" s="4" t="n">
        <v>0</v>
      </c>
      <c r="V873" s="4" t="n">
        <v>0</v>
      </c>
      <c r="W873" s="4" t="n">
        <v>0</v>
      </c>
    </row>
    <row r="874" customFormat="false" ht="15" hidden="false" customHeight="false" outlineLevel="0" collapsed="false">
      <c r="A874" s="4" t="s">
        <v>1055</v>
      </c>
      <c r="B874" s="4" t="n">
        <v>1981</v>
      </c>
      <c r="C874" s="4" t="str">
        <f aca="false">FLOOR(B874,10)&amp;"s"</f>
        <v>1980s</v>
      </c>
      <c r="D874" s="4" t="s">
        <v>439</v>
      </c>
      <c r="E874" s="25" t="str">
        <f aca="false">IF(G874=1,"✓","")</f>
        <v>✓</v>
      </c>
      <c r="F874" s="4" t="n">
        <v>2</v>
      </c>
      <c r="G874" s="4" t="n">
        <f aca="false">IF(COUNTIF('Letterboxd Watched'!$E$2:$E$3000,M874)&gt;0,1,0)</f>
        <v>1</v>
      </c>
      <c r="H874" s="4" t="n">
        <v>4</v>
      </c>
      <c r="I874" s="4" t="s">
        <v>213</v>
      </c>
      <c r="J874" s="4" t="s">
        <v>51</v>
      </c>
      <c r="K874" s="4" t="s">
        <v>5424</v>
      </c>
      <c r="L874" s="48" t="str">
        <f aca="false">HYPERLINK("https://boxd.it/1Tlk","open")</f>
        <v>open</v>
      </c>
      <c r="M874" s="4" t="str">
        <f aca="false">LOWER(A874)&amp;"|"&amp;B874</f>
        <v>gallipoli|1981</v>
      </c>
      <c r="N874" s="4" t="n">
        <v>0</v>
      </c>
      <c r="O874" s="4" t="n">
        <v>0</v>
      </c>
      <c r="P874" s="4" t="n">
        <v>1</v>
      </c>
      <c r="Q874" s="4" t="n">
        <v>1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 customFormat="false" ht="15" hidden="false" customHeight="false" outlineLevel="0" collapsed="false">
      <c r="A875" s="4" t="s">
        <v>622</v>
      </c>
      <c r="B875" s="4" t="n">
        <v>1997</v>
      </c>
      <c r="C875" s="4" t="str">
        <f aca="false">FLOOR(B875,10)&amp;"s"</f>
        <v>1990s</v>
      </c>
      <c r="D875" s="4" t="s">
        <v>325</v>
      </c>
      <c r="E875" s="25" t="str">
        <f aca="false">IF(G875=1,"✓","")</f>
        <v>✓</v>
      </c>
      <c r="F875" s="4" t="n">
        <v>3</v>
      </c>
      <c r="G875" s="4" t="n">
        <f aca="false">IF(COUNTIF('Letterboxd Watched'!$E$2:$E$3000,M875)&gt;0,1,0)</f>
        <v>1</v>
      </c>
      <c r="H875" s="4" t="n">
        <v>6</v>
      </c>
      <c r="I875" s="4" t="s">
        <v>213</v>
      </c>
      <c r="J875" s="4" t="s">
        <v>52</v>
      </c>
      <c r="K875" s="4" t="s">
        <v>5425</v>
      </c>
      <c r="L875" s="48" t="str">
        <f aca="false">HYPERLINK("https://boxd.it/26vC","open")</f>
        <v>open</v>
      </c>
      <c r="M875" s="4" t="str">
        <f aca="false">LOWER(A875)&amp;"|"&amp;B875</f>
        <v>the game|1997</v>
      </c>
      <c r="N875" s="4" t="n">
        <v>0</v>
      </c>
      <c r="O875" s="4" t="n">
        <v>0</v>
      </c>
      <c r="P875" s="4" t="n">
        <v>0</v>
      </c>
      <c r="Q875" s="4" t="n">
        <v>1</v>
      </c>
      <c r="R875" s="4" t="n">
        <v>1</v>
      </c>
      <c r="S875" s="4" t="n">
        <v>1</v>
      </c>
      <c r="T875" s="4" t="n">
        <v>0</v>
      </c>
      <c r="U875" s="4" t="n">
        <v>0</v>
      </c>
      <c r="V875" s="4" t="n">
        <v>0</v>
      </c>
      <c r="W875" s="4" t="n">
        <v>0</v>
      </c>
    </row>
    <row r="876" customFormat="false" ht="15" hidden="false" customHeight="false" outlineLevel="0" collapsed="false">
      <c r="A876" s="4" t="s">
        <v>2626</v>
      </c>
      <c r="B876" s="4" t="n">
        <v>1995</v>
      </c>
      <c r="C876" s="4" t="str">
        <f aca="false">FLOOR(B876,10)&amp;"s"</f>
        <v>1990s</v>
      </c>
      <c r="D876" s="4" t="s">
        <v>2627</v>
      </c>
      <c r="E876" s="25" t="str">
        <f aca="false">IF(G876=1,"✓","")</f>
        <v/>
      </c>
      <c r="F876" s="4" t="n">
        <v>1</v>
      </c>
      <c r="G876" s="4" t="n">
        <f aca="false">IF(COUNTIF('Letterboxd Watched'!$E$2:$E$3000,M876)&gt;0,1,0)</f>
        <v>0</v>
      </c>
      <c r="H876" s="4" t="n">
        <v>2</v>
      </c>
      <c r="I876" s="4" t="s">
        <v>213</v>
      </c>
      <c r="J876" s="4" t="s">
        <v>56</v>
      </c>
      <c r="K876" s="4" t="s">
        <v>4390</v>
      </c>
      <c r="L876" s="48" t="str">
        <f aca="false">HYPERLINK("https://letterboxd.com/search/films/Gamera+Guardian+of+the+Universe+1995/","open")</f>
        <v>open</v>
      </c>
      <c r="M876" s="4" t="str">
        <f aca="false">LOWER(A876)&amp;"|"&amp;B876</f>
        <v>gamera: guardian of the universe|1995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1</v>
      </c>
      <c r="V876" s="4" t="n">
        <v>0</v>
      </c>
      <c r="W876" s="4" t="n">
        <v>0</v>
      </c>
    </row>
    <row r="877" customFormat="false" ht="15" hidden="false" customHeight="false" outlineLevel="0" collapsed="false">
      <c r="A877" s="4" t="s">
        <v>2791</v>
      </c>
      <c r="B877" s="4" t="n">
        <v>2002</v>
      </c>
      <c r="C877" s="4" t="str">
        <f aca="false">FLOOR(B877,10)&amp;"s"</f>
        <v>2000s</v>
      </c>
      <c r="D877" s="4" t="s">
        <v>164</v>
      </c>
      <c r="E877" s="25" t="str">
        <f aca="false">IF(G877=1,"✓","")</f>
        <v>✓</v>
      </c>
      <c r="F877" s="4" t="n">
        <v>1</v>
      </c>
      <c r="G877" s="4" t="n">
        <f aca="false">IF(COUNTIF('Letterboxd Watched'!$E$2:$E$3000,M877)&gt;0,1,0)</f>
        <v>1</v>
      </c>
      <c r="H877" s="4" t="n">
        <v>2</v>
      </c>
      <c r="I877" s="4" t="s">
        <v>213</v>
      </c>
      <c r="J877" s="4" t="s">
        <v>55</v>
      </c>
      <c r="K877" s="4" t="s">
        <v>4374</v>
      </c>
      <c r="L877" s="48" t="str">
        <f aca="false">HYPERLINK("https://boxd.it/25FG","open")</f>
        <v>open</v>
      </c>
      <c r="M877" s="4" t="str">
        <f aca="false">LOWER(A877)&amp;"|"&amp;B877</f>
        <v>gangs of new york|2002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1</v>
      </c>
      <c r="U877" s="4" t="n">
        <v>0</v>
      </c>
      <c r="V877" s="4" t="n">
        <v>0</v>
      </c>
      <c r="W877" s="4" t="n">
        <v>0</v>
      </c>
    </row>
    <row r="878" customFormat="false" ht="15" hidden="false" customHeight="false" outlineLevel="0" collapsed="false">
      <c r="A878" s="4" t="s">
        <v>2996</v>
      </c>
      <c r="B878" s="4" t="n">
        <v>2012</v>
      </c>
      <c r="C878" s="4" t="str">
        <f aca="false">FLOOR(B878,10)&amp;"s"</f>
        <v>2010s</v>
      </c>
      <c r="D878" s="4" t="s">
        <v>2997</v>
      </c>
      <c r="E878" s="25" t="str">
        <f aca="false">IF(G878=1,"✓","")</f>
        <v/>
      </c>
      <c r="F878" s="4" t="n">
        <v>1</v>
      </c>
      <c r="G878" s="4" t="n">
        <f aca="false">IF(COUNTIF('Letterboxd Watched'!$E$2:$E$3000,M878)&gt;0,1,0)</f>
        <v>0</v>
      </c>
      <c r="H878" s="4" t="n">
        <v>2</v>
      </c>
      <c r="I878" s="4" t="s">
        <v>213</v>
      </c>
      <c r="J878" s="4" t="s">
        <v>51</v>
      </c>
      <c r="K878" s="4" t="s">
        <v>4028</v>
      </c>
      <c r="L878" s="48" t="str">
        <f aca="false">HYPERLINK("https://letterboxd.com/search/films/Gangs+of+Wasseypur+2012/","open")</f>
        <v>open</v>
      </c>
      <c r="M878" s="4" t="str">
        <f aca="false">LOWER(A878)&amp;"|"&amp;B878</f>
        <v>gangs of wasseypur|2012</v>
      </c>
      <c r="N878" s="4" t="n">
        <v>0</v>
      </c>
      <c r="O878" s="4" t="n">
        <v>0</v>
      </c>
      <c r="P878" s="4" t="n">
        <v>1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</row>
    <row r="879" customFormat="false" ht="15" hidden="false" customHeight="false" outlineLevel="0" collapsed="false">
      <c r="A879" s="4" t="s">
        <v>2219</v>
      </c>
      <c r="B879" s="4" t="n">
        <v>1973</v>
      </c>
      <c r="C879" s="4" t="str">
        <f aca="false">FLOOR(B879,10)&amp;"s"</f>
        <v>1970s</v>
      </c>
      <c r="D879" s="4" t="s">
        <v>2220</v>
      </c>
      <c r="E879" s="25" t="str">
        <f aca="false">IF(G879=1,"✓","")</f>
        <v/>
      </c>
      <c r="F879" s="4" t="n">
        <v>1</v>
      </c>
      <c r="G879" s="4" t="n">
        <f aca="false">IF(COUNTIF('Letterboxd Watched'!$E$2:$E$3000,M879)&gt;0,1,0)</f>
        <v>0</v>
      </c>
      <c r="H879" s="4" t="n">
        <v>2</v>
      </c>
      <c r="I879" s="4" t="s">
        <v>213</v>
      </c>
      <c r="J879" s="4" t="s">
        <v>51</v>
      </c>
      <c r="K879" s="4" t="s">
        <v>4026</v>
      </c>
      <c r="L879" s="48" t="str">
        <f aca="false">HYPERLINK("https://boxd.it/5A2w","open")</f>
        <v>open</v>
      </c>
      <c r="M879" s="4" t="str">
        <f aca="false">LOWER(A879)&amp;"|"&amp;B879</f>
        <v>garm hava|1973</v>
      </c>
      <c r="N879" s="4" t="n">
        <v>0</v>
      </c>
      <c r="O879" s="4" t="n">
        <v>0</v>
      </c>
      <c r="P879" s="4" t="n">
        <v>1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</row>
    <row r="880" customFormat="false" ht="15" hidden="false" customHeight="false" outlineLevel="0" collapsed="false">
      <c r="A880" s="4" t="s">
        <v>3669</v>
      </c>
      <c r="B880" s="4" t="n">
        <v>1992</v>
      </c>
      <c r="C880" s="4" t="str">
        <f aca="false">FLOOR(B880,10)&amp;"s"</f>
        <v>1990s</v>
      </c>
      <c r="D880" s="4" t="s">
        <v>3670</v>
      </c>
      <c r="E880" s="25" t="str">
        <f aca="false">IF(G880=1,"✓","")</f>
        <v/>
      </c>
      <c r="F880" s="4" t="n">
        <v>1</v>
      </c>
      <c r="G880" s="4" t="n">
        <f aca="false">IF(COUNTIF('Letterboxd Watched'!$E$2:$E$3000,M880)&gt;0,1,0)</f>
        <v>0</v>
      </c>
      <c r="H880" s="4" t="n">
        <v>1</v>
      </c>
      <c r="I880" s="4" t="s">
        <v>1327</v>
      </c>
      <c r="J880" s="4" t="s">
        <v>50</v>
      </c>
      <c r="K880" s="4" t="s">
        <v>3924</v>
      </c>
      <c r="L880" s="48" t="str">
        <f aca="false">HYPERLINK("https://boxd.it/JGU","open")</f>
        <v>open</v>
      </c>
      <c r="M880" s="4" t="str">
        <f aca="false">LOWER(A880)&amp;"|"&amp;B880</f>
        <v>gas food lodging|1992</v>
      </c>
      <c r="N880" s="4" t="n">
        <v>0</v>
      </c>
      <c r="O880" s="4" t="n">
        <v>1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</row>
    <row r="881" customFormat="false" ht="15" hidden="false" customHeight="false" outlineLevel="0" collapsed="false">
      <c r="A881" s="4" t="s">
        <v>1818</v>
      </c>
      <c r="B881" s="4" t="n">
        <v>1944</v>
      </c>
      <c r="C881" s="4" t="str">
        <f aca="false">FLOOR(B881,10)&amp;"s"</f>
        <v>1940s</v>
      </c>
      <c r="D881" s="4" t="s">
        <v>537</v>
      </c>
      <c r="E881" s="25" t="str">
        <f aca="false">IF(G881=1,"✓","")</f>
        <v/>
      </c>
      <c r="F881" s="4" t="n">
        <v>1</v>
      </c>
      <c r="G881" s="4" t="n">
        <f aca="false">IF(COUNTIF('Letterboxd Watched'!$E$2:$E$3000,M881)&gt;0,1,0)</f>
        <v>0</v>
      </c>
      <c r="H881" s="4" t="n">
        <v>2</v>
      </c>
      <c r="I881" s="4" t="s">
        <v>213</v>
      </c>
      <c r="J881" s="4" t="s">
        <v>52</v>
      </c>
      <c r="K881" s="4" t="s">
        <v>4148</v>
      </c>
      <c r="L881" s="48" t="str">
        <f aca="false">HYPERLINK("https://boxd.it/1PYs","open")</f>
        <v>open</v>
      </c>
      <c r="M881" s="4" t="str">
        <f aca="false">LOWER(A881)&amp;"|"&amp;B881</f>
        <v>gaslight|1944</v>
      </c>
      <c r="N881" s="4" t="n">
        <v>0</v>
      </c>
      <c r="O881" s="4" t="n">
        <v>0</v>
      </c>
      <c r="P881" s="4" t="n">
        <v>0</v>
      </c>
      <c r="Q881" s="4" t="n">
        <v>1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</row>
    <row r="882" customFormat="false" ht="15" hidden="false" customHeight="false" outlineLevel="0" collapsed="false">
      <c r="A882" s="4" t="s">
        <v>2321</v>
      </c>
      <c r="B882" s="4" t="n">
        <v>1978</v>
      </c>
      <c r="C882" s="4" t="str">
        <f aca="false">FLOOR(B882,10)&amp;"s"</f>
        <v>1970s</v>
      </c>
      <c r="D882" s="4" t="s">
        <v>1090</v>
      </c>
      <c r="E882" s="25" t="str">
        <f aca="false">IF(G882=1,"✓","")</f>
        <v/>
      </c>
      <c r="F882" s="4" t="n">
        <v>1</v>
      </c>
      <c r="G882" s="4" t="n">
        <f aca="false">IF(COUNTIF('Letterboxd Watched'!$E$2:$E$3000,M882)&gt;0,1,0)</f>
        <v>0</v>
      </c>
      <c r="H882" s="4" t="n">
        <v>2</v>
      </c>
      <c r="I882" s="4" t="s">
        <v>213</v>
      </c>
      <c r="J882" s="4" t="s">
        <v>57</v>
      </c>
      <c r="K882" s="4" t="s">
        <v>4432</v>
      </c>
      <c r="L882" s="48" t="str">
        <f aca="false">HYPERLINK("https://boxd.it/1wBu","open")</f>
        <v>open</v>
      </c>
      <c r="M882" s="4" t="str">
        <f aca="false">LOWER(A882)&amp;"|"&amp;B882</f>
        <v>gates of heaven|1978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1</v>
      </c>
      <c r="W882" s="4" t="n">
        <v>0</v>
      </c>
    </row>
    <row r="883" customFormat="false" ht="15" hidden="false" customHeight="false" outlineLevel="0" collapsed="false">
      <c r="A883" s="4" t="s">
        <v>893</v>
      </c>
      <c r="B883" s="4" t="n">
        <v>1997</v>
      </c>
      <c r="C883" s="4" t="str">
        <f aca="false">FLOOR(B883,10)&amp;"s"</f>
        <v>1990s</v>
      </c>
      <c r="D883" s="4" t="s">
        <v>894</v>
      </c>
      <c r="E883" s="25" t="str">
        <f aca="false">IF(G883=1,"✓","")</f>
        <v/>
      </c>
      <c r="F883" s="4" t="n">
        <v>3</v>
      </c>
      <c r="G883" s="4" t="n">
        <f aca="false">IF(COUNTIF('Letterboxd Watched'!$E$2:$E$3000,M883)&gt;0,1,0)</f>
        <v>0</v>
      </c>
      <c r="H883" s="4" t="n">
        <v>5</v>
      </c>
      <c r="I883" s="4" t="s">
        <v>213</v>
      </c>
      <c r="J883" s="4" t="s">
        <v>52</v>
      </c>
      <c r="K883" s="4" t="s">
        <v>5426</v>
      </c>
      <c r="L883" s="48" t="str">
        <f aca="false">HYPERLINK("https://boxd.it/29Du","open")</f>
        <v>open</v>
      </c>
      <c r="M883" s="4" t="str">
        <f aca="false">LOWER(A883)&amp;"|"&amp;B883</f>
        <v>gattaca|1997</v>
      </c>
      <c r="N883" s="4" t="n">
        <v>0</v>
      </c>
      <c r="O883" s="4" t="n">
        <v>0</v>
      </c>
      <c r="P883" s="4" t="n">
        <v>0</v>
      </c>
      <c r="Q883" s="4" t="n">
        <v>1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</row>
    <row r="884" customFormat="false" ht="15" hidden="false" customHeight="false" outlineLevel="0" collapsed="false">
      <c r="A884" s="4" t="s">
        <v>532</v>
      </c>
      <c r="B884" s="4" t="n">
        <v>1926</v>
      </c>
      <c r="C884" s="4" t="str">
        <f aca="false">FLOOR(B884,10)&amp;"s"</f>
        <v>1920s</v>
      </c>
      <c r="D884" s="4" t="s">
        <v>533</v>
      </c>
      <c r="E884" s="25" t="str">
        <f aca="false">IF(G884=1,"✓","")</f>
        <v/>
      </c>
      <c r="F884" s="4" t="n">
        <v>3</v>
      </c>
      <c r="G884" s="4" t="n">
        <f aca="false">IF(COUNTIF('Letterboxd Watched'!$E$2:$E$3000,M884)&gt;0,1,0)</f>
        <v>0</v>
      </c>
      <c r="H884" s="4" t="n">
        <v>7</v>
      </c>
      <c r="I884" s="4" t="s">
        <v>144</v>
      </c>
      <c r="J884" s="4" t="s">
        <v>50</v>
      </c>
      <c r="K884" s="4" t="s">
        <v>5427</v>
      </c>
      <c r="L884" s="48" t="str">
        <f aca="false">HYPERLINK("https://boxd.it/29co","open")</f>
        <v>open</v>
      </c>
      <c r="M884" s="4" t="str">
        <f aca="false">LOWER(A884)&amp;"|"&amp;B884</f>
        <v>the general|1926</v>
      </c>
      <c r="N884" s="4" t="n">
        <v>0</v>
      </c>
      <c r="O884" s="4" t="n">
        <v>1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1</v>
      </c>
      <c r="W884" s="4" t="n">
        <v>0</v>
      </c>
    </row>
    <row r="885" customFormat="false" ht="15" hidden="false" customHeight="false" outlineLevel="0" collapsed="false">
      <c r="A885" s="4" t="s">
        <v>1916</v>
      </c>
      <c r="B885" s="4" t="n">
        <v>1955</v>
      </c>
      <c r="C885" s="4" t="str">
        <f aca="false">FLOOR(B885,10)&amp;"s"</f>
        <v>1950s</v>
      </c>
      <c r="D885" s="4" t="s">
        <v>753</v>
      </c>
      <c r="E885" s="25" t="str">
        <f aca="false">IF(G885=1,"✓","")</f>
        <v/>
      </c>
      <c r="F885" s="4" t="n">
        <v>1</v>
      </c>
      <c r="G885" s="4" t="n">
        <f aca="false">IF(COUNTIF('Letterboxd Watched'!$E$2:$E$3000,M885)&gt;0,1,0)</f>
        <v>0</v>
      </c>
      <c r="H885" s="4" t="n">
        <v>2</v>
      </c>
      <c r="I885" s="4" t="s">
        <v>213</v>
      </c>
      <c r="J885" s="4" t="s">
        <v>51</v>
      </c>
      <c r="K885" s="4" t="s">
        <v>3994</v>
      </c>
      <c r="L885" s="48" t="str">
        <f aca="false">HYPERLINK("https://boxd.it/UMk","open")</f>
        <v>open</v>
      </c>
      <c r="M885" s="4" t="str">
        <f aca="false">LOWER(A885)&amp;"|"&amp;B885</f>
        <v>a generation|1955</v>
      </c>
      <c r="N885" s="4" t="n">
        <v>0</v>
      </c>
      <c r="O885" s="4" t="n">
        <v>0</v>
      </c>
      <c r="P885" s="4" t="n">
        <v>1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</row>
    <row r="886" customFormat="false" ht="15" hidden="false" customHeight="false" outlineLevel="0" collapsed="false">
      <c r="A886" s="4" t="s">
        <v>1896</v>
      </c>
      <c r="B886" s="4" t="n">
        <v>1953</v>
      </c>
      <c r="C886" s="4" t="str">
        <f aca="false">FLOOR(B886,10)&amp;"s"</f>
        <v>1950s</v>
      </c>
      <c r="D886" s="4" t="s">
        <v>168</v>
      </c>
      <c r="E886" s="25" t="str">
        <f aca="false">IF(G886=1,"✓","")</f>
        <v/>
      </c>
      <c r="F886" s="4" t="n">
        <v>1</v>
      </c>
      <c r="G886" s="4" t="n">
        <f aca="false">IF(COUNTIF('Letterboxd Watched'!$E$2:$E$3000,M886)&gt;0,1,0)</f>
        <v>0</v>
      </c>
      <c r="H886" s="4" t="n">
        <v>2</v>
      </c>
      <c r="I886" s="4" t="s">
        <v>213</v>
      </c>
      <c r="J886" s="4" t="s">
        <v>52</v>
      </c>
      <c r="K886" s="4" t="s">
        <v>4110</v>
      </c>
      <c r="L886" s="48" t="str">
        <f aca="false">HYPERLINK("https://boxd.it/29Hc","open")</f>
        <v>open</v>
      </c>
      <c r="M886" s="4" t="str">
        <f aca="false">LOWER(A886)&amp;"|"&amp;B886</f>
        <v>gentlemen prefer blondes|1953</v>
      </c>
      <c r="N886" s="4" t="n">
        <v>0</v>
      </c>
      <c r="O886" s="4" t="n">
        <v>0</v>
      </c>
      <c r="P886" s="4" t="n">
        <v>0</v>
      </c>
      <c r="Q886" s="4" t="n">
        <v>1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</row>
    <row r="887" customFormat="false" ht="15" hidden="false" customHeight="false" outlineLevel="0" collapsed="false">
      <c r="A887" s="4" t="s">
        <v>927</v>
      </c>
      <c r="B887" s="4" t="n">
        <v>1948</v>
      </c>
      <c r="C887" s="4" t="str">
        <f aca="false">FLOOR(B887,10)&amp;"s"</f>
        <v>1940s</v>
      </c>
      <c r="D887" s="4" t="s">
        <v>268</v>
      </c>
      <c r="E887" s="25" t="str">
        <f aca="false">IF(G887=1,"✓","")</f>
        <v/>
      </c>
      <c r="F887" s="4" t="n">
        <v>2</v>
      </c>
      <c r="G887" s="4" t="n">
        <f aca="false">IF(COUNTIF('Letterboxd Watched'!$E$2:$E$3000,M887)&gt;0,1,0)</f>
        <v>0</v>
      </c>
      <c r="H887" s="4" t="n">
        <v>4</v>
      </c>
      <c r="I887" s="4" t="s">
        <v>213</v>
      </c>
      <c r="J887" s="4" t="s">
        <v>51</v>
      </c>
      <c r="K887" s="4" t="s">
        <v>5428</v>
      </c>
      <c r="L887" s="48" t="str">
        <f aca="false">HYPERLINK("https://boxd.it/20FG","open")</f>
        <v>open</v>
      </c>
      <c r="M887" s="4" t="str">
        <f aca="false">LOWER(A887)&amp;"|"&amp;B887</f>
        <v>germany, year zero|1948</v>
      </c>
      <c r="N887" s="4" t="n">
        <v>0</v>
      </c>
      <c r="O887" s="4" t="n">
        <v>0</v>
      </c>
      <c r="P887" s="4" t="n">
        <v>1</v>
      </c>
      <c r="Q887" s="4" t="n">
        <v>0</v>
      </c>
      <c r="R887" s="4" t="n">
        <v>0</v>
      </c>
      <c r="S887" s="4" t="n">
        <v>1</v>
      </c>
      <c r="T887" s="4" t="n">
        <v>0</v>
      </c>
      <c r="U887" s="4" t="n">
        <v>0</v>
      </c>
      <c r="V887" s="4" t="n">
        <v>0</v>
      </c>
      <c r="W887" s="4" t="n">
        <v>0</v>
      </c>
    </row>
    <row r="888" customFormat="false" ht="15" hidden="false" customHeight="false" outlineLevel="0" collapsed="false">
      <c r="A888" s="4" t="s">
        <v>2046</v>
      </c>
      <c r="B888" s="4" t="n">
        <v>1964</v>
      </c>
      <c r="C888" s="4" t="str">
        <f aca="false">FLOOR(B888,10)&amp;"s"</f>
        <v>1960s</v>
      </c>
      <c r="D888" s="4" t="s">
        <v>246</v>
      </c>
      <c r="E888" s="25" t="str">
        <f aca="false">IF(G888=1,"✓","")</f>
        <v/>
      </c>
      <c r="F888" s="4" t="n">
        <v>1</v>
      </c>
      <c r="G888" s="4" t="n">
        <f aca="false">IF(COUNTIF('Letterboxd Watched'!$E$2:$E$3000,M888)&gt;0,1,0)</f>
        <v>0</v>
      </c>
      <c r="H888" s="4" t="n">
        <v>2</v>
      </c>
      <c r="I888" s="4" t="s">
        <v>213</v>
      </c>
      <c r="J888" s="4" t="s">
        <v>51</v>
      </c>
      <c r="K888" s="4" t="s">
        <v>3986</v>
      </c>
      <c r="L888" s="48" t="str">
        <f aca="false">HYPERLINK("https://boxd.it/1ec2","open")</f>
        <v>open</v>
      </c>
      <c r="M888" s="4" t="str">
        <f aca="false">LOWER(A888)&amp;"|"&amp;B888</f>
        <v>gertrud|1964</v>
      </c>
      <c r="N888" s="4" t="n">
        <v>0</v>
      </c>
      <c r="O888" s="4" t="n">
        <v>0</v>
      </c>
      <c r="P888" s="4" t="n">
        <v>1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 customFormat="false" ht="15" hidden="false" customHeight="false" outlineLevel="0" collapsed="false">
      <c r="A889" s="4" t="s">
        <v>2188</v>
      </c>
      <c r="B889" s="4" t="n">
        <v>1971</v>
      </c>
      <c r="C889" s="4" t="str">
        <f aca="false">FLOOR(B889,10)&amp;"s"</f>
        <v>1970s</v>
      </c>
      <c r="D889" s="4" t="s">
        <v>2189</v>
      </c>
      <c r="E889" s="25" t="str">
        <f aca="false">IF(G889=1,"✓","")</f>
        <v/>
      </c>
      <c r="F889" s="4" t="n">
        <v>1</v>
      </c>
      <c r="G889" s="4" t="n">
        <f aca="false">IF(COUNTIF('Letterboxd Watched'!$E$2:$E$3000,M889)&gt;0,1,0)</f>
        <v>0</v>
      </c>
      <c r="H889" s="4" t="n">
        <v>2</v>
      </c>
      <c r="I889" s="4" t="s">
        <v>213</v>
      </c>
      <c r="J889" s="4" t="s">
        <v>57</v>
      </c>
      <c r="K889" s="4" t="s">
        <v>4430</v>
      </c>
      <c r="L889" s="48" t="str">
        <f aca="false">HYPERLINK("https://boxd.it/28HU","open")</f>
        <v>open</v>
      </c>
      <c r="M889" s="4" t="str">
        <f aca="false">LOWER(A889)&amp;"|"&amp;B889</f>
        <v>get carter|1971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1</v>
      </c>
      <c r="W889" s="4" t="n">
        <v>0</v>
      </c>
    </row>
    <row r="890" customFormat="false" ht="15" hidden="false" customHeight="false" outlineLevel="0" collapsed="false">
      <c r="A890" s="4" t="s">
        <v>279</v>
      </c>
      <c r="B890" s="4" t="n">
        <v>2017</v>
      </c>
      <c r="C890" s="4" t="str">
        <f aca="false">FLOOR(B890,10)&amp;"s"</f>
        <v>2010s</v>
      </c>
      <c r="D890" s="4" t="s">
        <v>280</v>
      </c>
      <c r="E890" s="25" t="str">
        <f aca="false">IF(G890=1,"✓","")</f>
        <v>✓</v>
      </c>
      <c r="F890" s="4" t="n">
        <v>5</v>
      </c>
      <c r="G890" s="4" t="n">
        <f aca="false">IF(COUNTIF('Letterboxd Watched'!$E$2:$E$3000,M890)&gt;0,1,0)</f>
        <v>1</v>
      </c>
      <c r="H890" s="4" t="n">
        <v>11</v>
      </c>
      <c r="I890" s="4" t="s">
        <v>144</v>
      </c>
      <c r="J890" s="4" t="s">
        <v>50</v>
      </c>
      <c r="K890" s="4" t="s">
        <v>5429</v>
      </c>
      <c r="L890" s="48" t="str">
        <f aca="false">HYPERLINK("https://boxd.it/eOCm","open")</f>
        <v>open</v>
      </c>
      <c r="M890" s="4" t="str">
        <f aca="false">LOWER(A890)&amp;"|"&amp;B890</f>
        <v>get out|2017</v>
      </c>
      <c r="N890" s="4" t="n">
        <v>0</v>
      </c>
      <c r="O890" s="4" t="n">
        <v>1</v>
      </c>
      <c r="P890" s="4" t="n">
        <v>0</v>
      </c>
      <c r="Q890" s="4" t="n">
        <v>1</v>
      </c>
      <c r="R890" s="4" t="n">
        <v>0</v>
      </c>
      <c r="S890" s="4" t="n">
        <v>1</v>
      </c>
      <c r="T890" s="4" t="n">
        <v>0</v>
      </c>
      <c r="U890" s="4" t="n">
        <v>1</v>
      </c>
      <c r="V890" s="4" t="n">
        <v>1</v>
      </c>
      <c r="W890" s="4" t="n">
        <v>0</v>
      </c>
    </row>
    <row r="891" customFormat="false" ht="15" hidden="false" customHeight="false" outlineLevel="0" collapsed="false">
      <c r="A891" s="4" t="s">
        <v>1129</v>
      </c>
      <c r="B891" s="4" t="n">
        <v>1999</v>
      </c>
      <c r="C891" s="4" t="str">
        <f aca="false">FLOOR(B891,10)&amp;"s"</f>
        <v>1990s</v>
      </c>
      <c r="D891" s="4" t="s">
        <v>615</v>
      </c>
      <c r="E891" s="25" t="str">
        <f aca="false">IF(G891=1,"✓","")</f>
        <v>✓</v>
      </c>
      <c r="F891" s="4" t="n">
        <v>2</v>
      </c>
      <c r="G891" s="4" t="n">
        <f aca="false">IF(COUNTIF('Letterboxd Watched'!$E$2:$E$3000,M891)&gt;0,1,0)</f>
        <v>1</v>
      </c>
      <c r="H891" s="4" t="n">
        <v>4</v>
      </c>
      <c r="I891" s="4" t="s">
        <v>213</v>
      </c>
      <c r="J891" s="4" t="s">
        <v>53</v>
      </c>
      <c r="K891" s="4" t="s">
        <v>5430</v>
      </c>
      <c r="L891" s="48" t="str">
        <f aca="false">HYPERLINK("https://boxd.it/23Ne","open")</f>
        <v>open</v>
      </c>
      <c r="M891" s="4" t="str">
        <f aca="false">LOWER(A891)&amp;"|"&amp;B891</f>
        <v>ghost dog: the way of the samurai|1999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1</v>
      </c>
      <c r="S891" s="4" t="n">
        <v>0</v>
      </c>
      <c r="T891" s="4" t="n">
        <v>0</v>
      </c>
      <c r="U891" s="4" t="n">
        <v>1</v>
      </c>
      <c r="V891" s="4" t="n">
        <v>0</v>
      </c>
      <c r="W891" s="4" t="n">
        <v>0</v>
      </c>
    </row>
    <row r="892" customFormat="false" ht="15" hidden="false" customHeight="false" outlineLevel="0" collapsed="false">
      <c r="A892" s="4" t="s">
        <v>836</v>
      </c>
      <c r="B892" s="4" t="n">
        <v>1995</v>
      </c>
      <c r="C892" s="4" t="str">
        <f aca="false">FLOOR(B892,10)&amp;"s"</f>
        <v>1990s</v>
      </c>
      <c r="D892" s="4" t="s">
        <v>837</v>
      </c>
      <c r="E892" s="25" t="str">
        <f aca="false">IF(G892=1,"✓","")</f>
        <v>✓</v>
      </c>
      <c r="F892" s="4" t="n">
        <v>2</v>
      </c>
      <c r="G892" s="4" t="n">
        <f aca="false">IF(COUNTIF('Letterboxd Watched'!$E$2:$E$3000,M892)&gt;0,1,0)</f>
        <v>1</v>
      </c>
      <c r="H892" s="4" t="n">
        <v>5</v>
      </c>
      <c r="I892" s="4" t="s">
        <v>144</v>
      </c>
      <c r="J892" s="4" t="s">
        <v>51</v>
      </c>
      <c r="K892" s="4" t="s">
        <v>5165</v>
      </c>
      <c r="L892" s="48" t="str">
        <f aca="false">HYPERLINK("https://boxd.it/1YYc","open")</f>
        <v>open</v>
      </c>
      <c r="M892" s="4" t="str">
        <f aca="false">LOWER(A892)&amp;"|"&amp;B892</f>
        <v>ghost in the shell|1995</v>
      </c>
      <c r="N892" s="4" t="n">
        <v>0</v>
      </c>
      <c r="O892" s="4" t="n">
        <v>0</v>
      </c>
      <c r="P892" s="4" t="n">
        <v>1</v>
      </c>
      <c r="Q892" s="4" t="n">
        <v>1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 customFormat="false" ht="15" hidden="false" customHeight="false" outlineLevel="0" collapsed="false">
      <c r="A893" s="4" t="s">
        <v>3838</v>
      </c>
      <c r="B893" s="4" t="n">
        <v>2017</v>
      </c>
      <c r="C893" s="4" t="str">
        <f aca="false">FLOOR(B893,10)&amp;"s"</f>
        <v>2010s</v>
      </c>
      <c r="D893" s="4" t="s">
        <v>3839</v>
      </c>
      <c r="E893" s="25" t="str">
        <f aca="false">IF(G893=1,"✓","")</f>
        <v>✓</v>
      </c>
      <c r="F893" s="4" t="n">
        <v>1</v>
      </c>
      <c r="G893" s="4" t="n">
        <f aca="false">IF(COUNTIF('Letterboxd Watched'!$E$2:$E$3000,M893)&gt;0,1,0)</f>
        <v>1</v>
      </c>
      <c r="H893" s="4" t="n">
        <v>1</v>
      </c>
      <c r="I893" s="4" t="s">
        <v>1327</v>
      </c>
      <c r="J893" s="4" t="s">
        <v>52</v>
      </c>
      <c r="K893" s="4" t="s">
        <v>4078</v>
      </c>
      <c r="L893" s="48" t="str">
        <f aca="false">HYPERLINK("https://boxd.it/fb0K","open")</f>
        <v>open</v>
      </c>
      <c r="M893" s="4" t="str">
        <f aca="false">LOWER(A893)&amp;"|"&amp;B893</f>
        <v>a ghost story|2017</v>
      </c>
      <c r="N893" s="4" t="n">
        <v>0</v>
      </c>
      <c r="O893" s="4" t="n">
        <v>0</v>
      </c>
      <c r="P893" s="4" t="n">
        <v>0</v>
      </c>
      <c r="Q893" s="4" t="n">
        <v>1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</row>
    <row r="894" customFormat="false" ht="15" hidden="false" customHeight="false" outlineLevel="0" collapsed="false">
      <c r="A894" s="4" t="s">
        <v>3396</v>
      </c>
      <c r="B894" s="4" t="n">
        <v>1959</v>
      </c>
      <c r="C894" s="4" t="str">
        <f aca="false">FLOOR(B894,10)&amp;"s"</f>
        <v>1950s</v>
      </c>
      <c r="D894" s="4" t="s">
        <v>3397</v>
      </c>
      <c r="E894" s="25" t="str">
        <f aca="false">IF(G894=1,"✓","")</f>
        <v/>
      </c>
      <c r="F894" s="4" t="n">
        <v>1</v>
      </c>
      <c r="G894" s="4" t="n">
        <f aca="false">IF(COUNTIF('Letterboxd Watched'!$E$2:$E$3000,M894)&gt;0,1,0)</f>
        <v>0</v>
      </c>
      <c r="H894" s="4" t="n">
        <v>1</v>
      </c>
      <c r="I894" s="4" t="s">
        <v>1327</v>
      </c>
      <c r="J894" s="4" t="s">
        <v>52</v>
      </c>
      <c r="K894" s="4" t="s">
        <v>4074</v>
      </c>
      <c r="L894" s="48" t="str">
        <f aca="false">HYPERLINK("https://letterboxd.com/search/films/Ghost+Story+of+Yotsuya+1959/","open")</f>
        <v>open</v>
      </c>
      <c r="M894" s="4" t="str">
        <f aca="false">LOWER(A894)&amp;"|"&amp;B894</f>
        <v>ghost story of yotsuya|1959</v>
      </c>
      <c r="N894" s="4" t="n">
        <v>0</v>
      </c>
      <c r="O894" s="4" t="n">
        <v>0</v>
      </c>
      <c r="P894" s="4" t="n">
        <v>0</v>
      </c>
      <c r="Q894" s="4" t="n">
        <v>1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 customFormat="false" ht="15" hidden="false" customHeight="false" outlineLevel="0" collapsed="false">
      <c r="A895" s="4" t="s">
        <v>2403</v>
      </c>
      <c r="B895" s="4" t="n">
        <v>1984</v>
      </c>
      <c r="C895" s="4" t="str">
        <f aca="false">FLOOR(B895,10)&amp;"s"</f>
        <v>1980s</v>
      </c>
      <c r="D895" s="4" t="s">
        <v>2404</v>
      </c>
      <c r="E895" s="25" t="str">
        <f aca="false">IF(G895=1,"✓","")</f>
        <v>✓</v>
      </c>
      <c r="F895" s="4" t="n">
        <v>1</v>
      </c>
      <c r="G895" s="4" t="n">
        <f aca="false">IF(COUNTIF('Letterboxd Watched'!$E$2:$E$3000,M895)&gt;0,1,0)</f>
        <v>1</v>
      </c>
      <c r="H895" s="4" t="n">
        <v>2</v>
      </c>
      <c r="I895" s="4" t="s">
        <v>213</v>
      </c>
      <c r="J895" s="4" t="s">
        <v>52</v>
      </c>
      <c r="K895" s="4" t="s">
        <v>4108</v>
      </c>
      <c r="L895" s="48" t="str">
        <f aca="false">HYPERLINK("https://boxd.it/g2w","open")</f>
        <v>open</v>
      </c>
      <c r="M895" s="4" t="str">
        <f aca="false">LOWER(A895)&amp;"|"&amp;B895</f>
        <v>ghostbusters|1984</v>
      </c>
      <c r="N895" s="4" t="n">
        <v>0</v>
      </c>
      <c r="O895" s="4" t="n">
        <v>0</v>
      </c>
      <c r="P895" s="4" t="n">
        <v>0</v>
      </c>
      <c r="Q895" s="4" t="n">
        <v>1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</row>
    <row r="896" customFormat="false" ht="15" hidden="false" customHeight="false" outlineLevel="0" collapsed="false">
      <c r="A896" s="4" t="s">
        <v>3672</v>
      </c>
      <c r="B896" s="4" t="n">
        <v>1992</v>
      </c>
      <c r="C896" s="4" t="str">
        <f aca="false">FLOOR(B896,10)&amp;"s"</f>
        <v>1990s</v>
      </c>
      <c r="D896" s="4" t="s">
        <v>3673</v>
      </c>
      <c r="E896" s="25" t="str">
        <f aca="false">IF(G896=1,"✓","")</f>
        <v/>
      </c>
      <c r="F896" s="4" t="n">
        <v>1</v>
      </c>
      <c r="G896" s="4" t="n">
        <f aca="false">IF(COUNTIF('Letterboxd Watched'!$E$2:$E$3000,M896)&gt;0,1,0)</f>
        <v>0</v>
      </c>
      <c r="H896" s="4" t="n">
        <v>1</v>
      </c>
      <c r="I896" s="4" t="s">
        <v>1327</v>
      </c>
      <c r="J896" s="4" t="s">
        <v>52</v>
      </c>
      <c r="K896" s="4" t="s">
        <v>4076</v>
      </c>
      <c r="L896" s="48" t="str">
        <f aca="false">HYPERLINK("https://boxd.it/MIO","open")</f>
        <v>open</v>
      </c>
      <c r="M896" s="4" t="str">
        <f aca="false">LOWER(A896)&amp;"|"&amp;B896</f>
        <v>ghostwatch|1992</v>
      </c>
      <c r="N896" s="4" t="n">
        <v>0</v>
      </c>
      <c r="O896" s="4" t="n">
        <v>0</v>
      </c>
      <c r="P896" s="4" t="n">
        <v>0</v>
      </c>
      <c r="Q896" s="4" t="n">
        <v>1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</row>
    <row r="897" customFormat="false" ht="15" hidden="false" customHeight="false" outlineLevel="0" collapsed="false">
      <c r="A897" s="4" t="s">
        <v>1838</v>
      </c>
      <c r="B897" s="4" t="n">
        <v>1946</v>
      </c>
      <c r="C897" s="4" t="str">
        <f aca="false">FLOOR(B897,10)&amp;"s"</f>
        <v>1940s</v>
      </c>
      <c r="D897" s="4" t="s">
        <v>1839</v>
      </c>
      <c r="E897" s="25" t="str">
        <f aca="false">IF(G897=1,"✓","")</f>
        <v/>
      </c>
      <c r="F897" s="4" t="n">
        <v>1</v>
      </c>
      <c r="G897" s="4" t="n">
        <f aca="false">IF(COUNTIF('Letterboxd Watched'!$E$2:$E$3000,M897)&gt;0,1,0)</f>
        <v>0</v>
      </c>
      <c r="H897" s="4" t="n">
        <v>2</v>
      </c>
      <c r="I897" s="4" t="s">
        <v>213</v>
      </c>
      <c r="J897" s="4" t="s">
        <v>52</v>
      </c>
      <c r="K897" s="4" t="s">
        <v>4042</v>
      </c>
      <c r="L897" s="48" t="str">
        <f aca="false">HYPERLINK("https://boxd.it/251G","open")</f>
        <v>open</v>
      </c>
      <c r="M897" s="4" t="str">
        <f aca="false">LOWER(A897)&amp;"|"&amp;B897</f>
        <v>gilda|1946</v>
      </c>
      <c r="N897" s="4" t="n">
        <v>0</v>
      </c>
      <c r="O897" s="4" t="n">
        <v>0</v>
      </c>
      <c r="P897" s="4" t="n">
        <v>0</v>
      </c>
      <c r="Q897" s="4" t="n">
        <v>1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 customFormat="false" ht="15" hidden="false" customHeight="false" outlineLevel="0" collapsed="false">
      <c r="A898" s="4" t="s">
        <v>2156</v>
      </c>
      <c r="B898" s="4" t="n">
        <v>1970</v>
      </c>
      <c r="C898" s="4" t="str">
        <f aca="false">FLOOR(B898,10)&amp;"s"</f>
        <v>1970s</v>
      </c>
      <c r="D898" s="4" t="s">
        <v>1479</v>
      </c>
      <c r="E898" s="25" t="str">
        <f aca="false">IF(G898=1,"✓","")</f>
        <v/>
      </c>
      <c r="F898" s="4" t="n">
        <v>1</v>
      </c>
      <c r="G898" s="4" t="n">
        <f aca="false">IF(COUNTIF('Letterboxd Watched'!$E$2:$E$3000,M898)&gt;0,1,0)</f>
        <v>0</v>
      </c>
      <c r="H898" s="4" t="n">
        <v>2</v>
      </c>
      <c r="I898" s="4" t="s">
        <v>213</v>
      </c>
      <c r="J898" s="4" t="s">
        <v>52</v>
      </c>
      <c r="K898" s="4" t="s">
        <v>4172</v>
      </c>
      <c r="L898" s="48" t="str">
        <f aca="false">HYPERLINK("https://boxd.it/2b42","open")</f>
        <v>open</v>
      </c>
      <c r="M898" s="4" t="str">
        <f aca="false">LOWER(A898)&amp;"|"&amp;B898</f>
        <v>gimme shelter|1970</v>
      </c>
      <c r="N898" s="4" t="n">
        <v>0</v>
      </c>
      <c r="O898" s="4" t="n">
        <v>0</v>
      </c>
      <c r="P898" s="4" t="n">
        <v>0</v>
      </c>
      <c r="Q898" s="4" t="n">
        <v>1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 customFormat="false" ht="15" hidden="false" customHeight="false" outlineLevel="0" collapsed="false">
      <c r="A899" s="4" t="s">
        <v>2731</v>
      </c>
      <c r="B899" s="4" t="n">
        <v>2000</v>
      </c>
      <c r="C899" s="4" t="str">
        <f aca="false">FLOOR(B899,10)&amp;"s"</f>
        <v>2000s</v>
      </c>
      <c r="D899" s="4" t="s">
        <v>2732</v>
      </c>
      <c r="E899" s="25" t="str">
        <f aca="false">IF(G899=1,"✓","")</f>
        <v/>
      </c>
      <c r="F899" s="4" t="n">
        <v>1</v>
      </c>
      <c r="G899" s="4" t="n">
        <f aca="false">IF(COUNTIF('Letterboxd Watched'!$E$2:$E$3000,M899)&gt;0,1,0)</f>
        <v>0</v>
      </c>
      <c r="H899" s="4" t="n">
        <v>2</v>
      </c>
      <c r="I899" s="4" t="s">
        <v>213</v>
      </c>
      <c r="J899" s="4" t="s">
        <v>56</v>
      </c>
      <c r="K899" s="4" t="s">
        <v>4408</v>
      </c>
      <c r="L899" s="48" t="str">
        <f aca="false">HYPERLINK("https://boxd.it/1XEg","open")</f>
        <v>open</v>
      </c>
      <c r="M899" s="4" t="str">
        <f aca="false">LOWER(A899)&amp;"|"&amp;B899</f>
        <v>ginger snaps|2000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1</v>
      </c>
      <c r="V899" s="4" t="n">
        <v>0</v>
      </c>
      <c r="W899" s="4" t="n">
        <v>0</v>
      </c>
    </row>
    <row r="900" customFormat="false" ht="15" hidden="false" customHeight="false" outlineLevel="0" collapsed="false">
      <c r="A900" s="4" t="s">
        <v>2710</v>
      </c>
      <c r="B900" s="4" t="n">
        <v>1999</v>
      </c>
      <c r="C900" s="4" t="str">
        <f aca="false">FLOOR(B900,10)&amp;"s"</f>
        <v>1990s</v>
      </c>
      <c r="D900" s="4" t="s">
        <v>2711</v>
      </c>
      <c r="E900" s="25" t="str">
        <f aca="false">IF(G900=1,"✓","")</f>
        <v/>
      </c>
      <c r="F900" s="4" t="n">
        <v>1</v>
      </c>
      <c r="G900" s="4" t="n">
        <f aca="false">IF(COUNTIF('Letterboxd Watched'!$E$2:$E$3000,M900)&gt;0,1,0)</f>
        <v>0</v>
      </c>
      <c r="H900" s="4" t="n">
        <v>2</v>
      </c>
      <c r="I900" s="4" t="s">
        <v>213</v>
      </c>
      <c r="J900" s="4" t="s">
        <v>55</v>
      </c>
      <c r="K900" s="4" t="s">
        <v>4332</v>
      </c>
      <c r="L900" s="48" t="str">
        <f aca="false">HYPERLINK("https://boxd.it/25ds","open")</f>
        <v>open</v>
      </c>
      <c r="M900" s="4" t="str">
        <f aca="false">LOWER(A900)&amp;"|"&amp;B900</f>
        <v>girl, interrupted|1999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1</v>
      </c>
      <c r="U900" s="4" t="n">
        <v>0</v>
      </c>
      <c r="V900" s="4" t="n">
        <v>0</v>
      </c>
      <c r="W900" s="4" t="n">
        <v>0</v>
      </c>
    </row>
    <row r="901" customFormat="false" ht="15" hidden="false" customHeight="false" outlineLevel="0" collapsed="false">
      <c r="A901" s="4" t="s">
        <v>2020</v>
      </c>
      <c r="B901" s="4" t="n">
        <v>1963</v>
      </c>
      <c r="C901" s="4" t="str">
        <f aca="false">FLOOR(B901,10)&amp;"s"</f>
        <v>1960s</v>
      </c>
      <c r="D901" s="4" t="s">
        <v>761</v>
      </c>
      <c r="E901" s="25" t="str">
        <f aca="false">IF(G901=1,"✓","")</f>
        <v/>
      </c>
      <c r="F901" s="4" t="n">
        <v>1</v>
      </c>
      <c r="G901" s="4" t="n">
        <f aca="false">IF(COUNTIF('Letterboxd Watched'!$E$2:$E$3000,M901)&gt;0,1,0)</f>
        <v>0</v>
      </c>
      <c r="H901" s="4" t="n">
        <v>2</v>
      </c>
      <c r="I901" s="4" t="s">
        <v>213</v>
      </c>
      <c r="J901" s="4" t="s">
        <v>51</v>
      </c>
      <c r="K901" s="4" t="s">
        <v>3950</v>
      </c>
      <c r="L901" s="48" t="str">
        <f aca="false">HYPERLINK("https://letterboxd.com/search/films/The+Girl+Who+Knew+Too+Much+1963/","open")</f>
        <v>open</v>
      </c>
      <c r="M901" s="4" t="str">
        <f aca="false">LOWER(A901)&amp;"|"&amp;B901</f>
        <v>the girl who knew too much|1963</v>
      </c>
      <c r="N901" s="4" t="n">
        <v>0</v>
      </c>
      <c r="O901" s="4" t="n">
        <v>0</v>
      </c>
      <c r="P901" s="4" t="n">
        <v>1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</row>
    <row r="902" customFormat="false" ht="15" hidden="false" customHeight="false" outlineLevel="0" collapsed="false">
      <c r="A902" s="4" t="s">
        <v>2975</v>
      </c>
      <c r="B902" s="4" t="n">
        <v>2011</v>
      </c>
      <c r="C902" s="4" t="str">
        <f aca="false">FLOOR(B902,10)&amp;"s"</f>
        <v>2010s</v>
      </c>
      <c r="D902" s="4" t="s">
        <v>325</v>
      </c>
      <c r="E902" s="25" t="str">
        <f aca="false">IF(G902=1,"✓","")</f>
        <v/>
      </c>
      <c r="F902" s="4" t="n">
        <v>1</v>
      </c>
      <c r="G902" s="4" t="n">
        <f aca="false">IF(COUNTIF('Letterboxd Watched'!$E$2:$E$3000,M902)&gt;0,1,0)</f>
        <v>0</v>
      </c>
      <c r="H902" s="4" t="n">
        <v>2</v>
      </c>
      <c r="I902" s="4" t="s">
        <v>213</v>
      </c>
      <c r="J902" s="4" t="s">
        <v>53</v>
      </c>
      <c r="K902" s="4" t="s">
        <v>325</v>
      </c>
      <c r="L902" s="48" t="str">
        <f aca="false">HYPERLINK("https://boxd.it/2Pa","open")</f>
        <v>open</v>
      </c>
      <c r="M902" s="4" t="str">
        <f aca="false">LOWER(A902)&amp;"|"&amp;B902</f>
        <v>the girl with the dragon tattoo|2011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1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</row>
    <row r="903" customFormat="false" ht="15" hidden="false" customHeight="false" outlineLevel="0" collapsed="false">
      <c r="A903" s="4" t="s">
        <v>3046</v>
      </c>
      <c r="B903" s="4" t="n">
        <v>2014</v>
      </c>
      <c r="C903" s="4" t="str">
        <f aca="false">FLOOR(B903,10)&amp;"s"</f>
        <v>2010s</v>
      </c>
      <c r="D903" s="4" t="s">
        <v>241</v>
      </c>
      <c r="E903" s="25" t="str">
        <f aca="false">IF(G903=1,"✓","")</f>
        <v/>
      </c>
      <c r="F903" s="4" t="n">
        <v>1</v>
      </c>
      <c r="G903" s="4" t="n">
        <f aca="false">IF(COUNTIF('Letterboxd Watched'!$E$2:$E$3000,M903)&gt;0,1,0)</f>
        <v>0</v>
      </c>
      <c r="H903" s="4" t="n">
        <v>2</v>
      </c>
      <c r="I903" s="4" t="s">
        <v>213</v>
      </c>
      <c r="J903" s="4" t="s">
        <v>51</v>
      </c>
      <c r="K903" s="4" t="s">
        <v>3970</v>
      </c>
      <c r="L903" s="48" t="str">
        <f aca="false">HYPERLINK("https://boxd.it/7WyI","open")</f>
        <v>open</v>
      </c>
      <c r="M903" s="4" t="str">
        <f aca="false">LOWER(A903)&amp;"|"&amp;B903</f>
        <v>girlhood|2014</v>
      </c>
      <c r="N903" s="4" t="n">
        <v>0</v>
      </c>
      <c r="O903" s="4" t="n">
        <v>0</v>
      </c>
      <c r="P903" s="4" t="n">
        <v>1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 customFormat="false" ht="15" hidden="false" customHeight="false" outlineLevel="0" collapsed="false">
      <c r="A904" s="4" t="s">
        <v>380</v>
      </c>
      <c r="B904" s="4" t="n">
        <v>2000</v>
      </c>
      <c r="C904" s="4" t="str">
        <f aca="false">FLOOR(B904,10)&amp;"s"</f>
        <v>2000s</v>
      </c>
      <c r="D904" s="4" t="s">
        <v>158</v>
      </c>
      <c r="E904" s="25" t="str">
        <f aca="false">IF(G904=1,"✓","")</f>
        <v/>
      </c>
      <c r="F904" s="4" t="n">
        <v>4</v>
      </c>
      <c r="G904" s="4" t="n">
        <f aca="false">IF(COUNTIF('Letterboxd Watched'!$E$2:$E$3000,M904)&gt;0,1,0)</f>
        <v>0</v>
      </c>
      <c r="H904" s="4" t="n">
        <v>9</v>
      </c>
      <c r="I904" s="4" t="s">
        <v>144</v>
      </c>
      <c r="J904" s="4" t="s">
        <v>52</v>
      </c>
      <c r="K904" s="4" t="s">
        <v>5431</v>
      </c>
      <c r="L904" s="48" t="str">
        <f aca="false">HYPERLINK("https://boxd.it/S6c","open")</f>
        <v>open</v>
      </c>
      <c r="M904" s="4" t="str">
        <f aca="false">LOWER(A904)&amp;"|"&amp;B904</f>
        <v>the gleaners and i|2000</v>
      </c>
      <c r="N904" s="4" t="n">
        <v>0</v>
      </c>
      <c r="O904" s="4" t="n">
        <v>0</v>
      </c>
      <c r="P904" s="4" t="n">
        <v>0</v>
      </c>
      <c r="Q904" s="4" t="n">
        <v>1</v>
      </c>
      <c r="R904" s="4" t="n">
        <v>1</v>
      </c>
      <c r="S904" s="4" t="n">
        <v>0</v>
      </c>
      <c r="T904" s="4" t="n">
        <v>0</v>
      </c>
      <c r="U904" s="4" t="n">
        <v>0</v>
      </c>
      <c r="V904" s="4" t="n">
        <v>1</v>
      </c>
      <c r="W904" s="4" t="n">
        <v>0</v>
      </c>
    </row>
    <row r="905" customFormat="false" ht="15" hidden="false" customHeight="false" outlineLevel="0" collapsed="false">
      <c r="A905" s="4" t="s">
        <v>2553</v>
      </c>
      <c r="B905" s="4" t="n">
        <v>1992</v>
      </c>
      <c r="C905" s="4" t="str">
        <f aca="false">FLOOR(B905,10)&amp;"s"</f>
        <v>1990s</v>
      </c>
      <c r="D905" s="4" t="s">
        <v>2554</v>
      </c>
      <c r="E905" s="25" t="str">
        <f aca="false">IF(G905=1,"✓","")</f>
        <v/>
      </c>
      <c r="F905" s="4" t="n">
        <v>1</v>
      </c>
      <c r="G905" s="4" t="n">
        <f aca="false">IF(COUNTIF('Letterboxd Watched'!$E$2:$E$3000,M905)&gt;0,1,0)</f>
        <v>0</v>
      </c>
      <c r="H905" s="4" t="n">
        <v>2</v>
      </c>
      <c r="I905" s="4" t="s">
        <v>213</v>
      </c>
      <c r="J905" s="4" t="s">
        <v>55</v>
      </c>
      <c r="K905" s="4" t="s">
        <v>4314</v>
      </c>
      <c r="L905" s="48" t="str">
        <f aca="false">HYPERLINK("https://boxd.it/1Yw8","open")</f>
        <v>open</v>
      </c>
      <c r="M905" s="4" t="str">
        <f aca="false">LOWER(A905)&amp;"|"&amp;B905</f>
        <v>glengarry glen ross|1992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1</v>
      </c>
      <c r="U905" s="4" t="n">
        <v>0</v>
      </c>
      <c r="V905" s="4" t="n">
        <v>0</v>
      </c>
      <c r="W905" s="4" t="n">
        <v>0</v>
      </c>
    </row>
    <row r="906" customFormat="false" ht="15" hidden="false" customHeight="false" outlineLevel="0" collapsed="false">
      <c r="A906" s="4" t="s">
        <v>3584</v>
      </c>
      <c r="B906" s="4" t="n">
        <v>1980</v>
      </c>
      <c r="C906" s="4" t="str">
        <f aca="false">FLOOR(B906,10)&amp;"s"</f>
        <v>1980s</v>
      </c>
      <c r="D906" s="4" t="s">
        <v>801</v>
      </c>
      <c r="E906" s="25" t="str">
        <f aca="false">IF(G906=1,"✓","")</f>
        <v/>
      </c>
      <c r="F906" s="4" t="n">
        <v>1</v>
      </c>
      <c r="G906" s="4" t="n">
        <f aca="false">IF(COUNTIF('Letterboxd Watched'!$E$2:$E$3000,M906)&gt;0,1,0)</f>
        <v>0</v>
      </c>
      <c r="H906" s="4" t="n">
        <v>1</v>
      </c>
      <c r="I906" s="4" t="s">
        <v>1327</v>
      </c>
      <c r="J906" s="4" t="s">
        <v>53</v>
      </c>
      <c r="K906" s="4" t="s">
        <v>801</v>
      </c>
      <c r="L906" s="48" t="str">
        <f aca="false">HYPERLINK("https://boxd.it/gYg","open")</f>
        <v>open</v>
      </c>
      <c r="M906" s="4" t="str">
        <f aca="false">LOWER(A906)&amp;"|"&amp;B906</f>
        <v>gloria|1980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1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 customFormat="false" ht="15" hidden="false" customHeight="false" outlineLevel="0" collapsed="false">
      <c r="A907" s="4" t="s">
        <v>2506</v>
      </c>
      <c r="B907" s="4" t="n">
        <v>1989</v>
      </c>
      <c r="C907" s="4" t="str">
        <f aca="false">FLOOR(B907,10)&amp;"s"</f>
        <v>1980s</v>
      </c>
      <c r="D907" s="4" t="s">
        <v>2507</v>
      </c>
      <c r="E907" s="25" t="str">
        <f aca="false">IF(G907=1,"✓","")</f>
        <v/>
      </c>
      <c r="F907" s="4" t="n">
        <v>1</v>
      </c>
      <c r="G907" s="4" t="n">
        <f aca="false">IF(COUNTIF('Letterboxd Watched'!$E$2:$E$3000,M907)&gt;0,1,0)</f>
        <v>0</v>
      </c>
      <c r="H907" s="4" t="n">
        <v>2</v>
      </c>
      <c r="I907" s="4" t="s">
        <v>213</v>
      </c>
      <c r="J907" s="4" t="s">
        <v>55</v>
      </c>
      <c r="K907" s="4" t="s">
        <v>4374</v>
      </c>
      <c r="L907" s="48" t="str">
        <f aca="false">HYPERLINK("https://boxd.it/1Y6u","open")</f>
        <v>open</v>
      </c>
      <c r="M907" s="4" t="str">
        <f aca="false">LOWER(A907)&amp;"|"&amp;B907</f>
        <v>glory|1989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1</v>
      </c>
      <c r="U907" s="4" t="n">
        <v>0</v>
      </c>
      <c r="V907" s="4" t="n">
        <v>0</v>
      </c>
      <c r="W907" s="4" t="n">
        <v>0</v>
      </c>
    </row>
    <row r="908" customFormat="false" ht="15" hidden="false" customHeight="false" outlineLevel="0" collapsed="false">
      <c r="A908" s="4" t="s">
        <v>3683</v>
      </c>
      <c r="B908" s="4" t="n">
        <v>1994</v>
      </c>
      <c r="C908" s="4" t="str">
        <f aca="false">FLOOR(B908,10)&amp;"s"</f>
        <v>1990s</v>
      </c>
      <c r="D908" s="4" t="s">
        <v>3684</v>
      </c>
      <c r="E908" s="25" t="str">
        <f aca="false">IF(G908=1,"✓","")</f>
        <v/>
      </c>
      <c r="F908" s="4" t="n">
        <v>1</v>
      </c>
      <c r="G908" s="4" t="n">
        <f aca="false">IF(COUNTIF('Letterboxd Watched'!$E$2:$E$3000,M908)&gt;0,1,0)</f>
        <v>0</v>
      </c>
      <c r="H908" s="4" t="n">
        <v>1</v>
      </c>
      <c r="I908" s="4" t="s">
        <v>1327</v>
      </c>
      <c r="J908" s="4" t="s">
        <v>54</v>
      </c>
      <c r="K908" s="4" t="s">
        <v>4298</v>
      </c>
      <c r="L908" s="48" t="str">
        <f aca="false">HYPERLINK("https://letterboxd.com/search/films/Go+Fish+1994/","open")</f>
        <v>open</v>
      </c>
      <c r="M908" s="4" t="str">
        <f aca="false">LOWER(A908)&amp;"|"&amp;B908</f>
        <v>go fish|1994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1</v>
      </c>
      <c r="T908" s="4" t="n">
        <v>0</v>
      </c>
      <c r="U908" s="4" t="n">
        <v>0</v>
      </c>
      <c r="V908" s="4" t="n">
        <v>0</v>
      </c>
      <c r="W908" s="4" t="n">
        <v>0</v>
      </c>
    </row>
    <row r="909" customFormat="false" ht="15" hidden="false" customHeight="false" outlineLevel="0" collapsed="false">
      <c r="A909" s="4" t="s">
        <v>3572</v>
      </c>
      <c r="B909" s="4" t="n">
        <v>1978</v>
      </c>
      <c r="C909" s="4" t="str">
        <f aca="false">FLOOR(B909,10)&amp;"s"</f>
        <v>1970s</v>
      </c>
      <c r="D909" s="4" t="s">
        <v>3573</v>
      </c>
      <c r="E909" s="25" t="str">
        <f aca="false">IF(G909=1,"✓","")</f>
        <v/>
      </c>
      <c r="F909" s="4" t="n">
        <v>1</v>
      </c>
      <c r="G909" s="4" t="n">
        <f aca="false">IF(COUNTIF('Letterboxd Watched'!$E$2:$E$3000,M909)&gt;0,1,0)</f>
        <v>0</v>
      </c>
      <c r="H909" s="4" t="n">
        <v>1</v>
      </c>
      <c r="I909" s="4" t="s">
        <v>1327</v>
      </c>
      <c r="J909" s="4" t="s">
        <v>52</v>
      </c>
      <c r="K909" s="4" t="s">
        <v>4140</v>
      </c>
      <c r="L909" s="48" t="str">
        <f aca="false">HYPERLINK("https://boxd.it/1hQa","open")</f>
        <v>open</v>
      </c>
      <c r="M909" s="4" t="str">
        <f aca="false">LOWER(A909)&amp;"|"&amp;B909</f>
        <v>go tell the spartans|1978</v>
      </c>
      <c r="N909" s="4" t="n">
        <v>0</v>
      </c>
      <c r="O909" s="4" t="n">
        <v>0</v>
      </c>
      <c r="P909" s="4" t="n">
        <v>0</v>
      </c>
      <c r="Q909" s="4" t="n">
        <v>1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 customFormat="false" ht="15" hidden="false" customHeight="false" outlineLevel="0" collapsed="false">
      <c r="A910" s="4" t="s">
        <v>206</v>
      </c>
      <c r="B910" s="4" t="n">
        <v>1972</v>
      </c>
      <c r="C910" s="4" t="str">
        <f aca="false">FLOOR(B910,10)&amp;"s"</f>
        <v>1970s</v>
      </c>
      <c r="D910" s="4" t="s">
        <v>172</v>
      </c>
      <c r="E910" s="25" t="str">
        <f aca="false">IF(G910=1,"✓","")</f>
        <v>✓</v>
      </c>
      <c r="F910" s="4" t="n">
        <v>6</v>
      </c>
      <c r="G910" s="4" t="n">
        <f aca="false">IF(COUNTIF('Letterboxd Watched'!$E$2:$E$3000,M910)&gt;0,1,0)</f>
        <v>1</v>
      </c>
      <c r="H910" s="4" t="n">
        <v>15</v>
      </c>
      <c r="I910" s="4" t="s">
        <v>144</v>
      </c>
      <c r="J910" s="4" t="s">
        <v>50</v>
      </c>
      <c r="K910" s="4" t="s">
        <v>5432</v>
      </c>
      <c r="L910" s="48" t="str">
        <f aca="false">HYPERLINK("https://boxd.it/2aNK","open")</f>
        <v>open</v>
      </c>
      <c r="M910" s="4" t="str">
        <f aca="false">LOWER(A910)&amp;"|"&amp;B910</f>
        <v>the godfather|1972</v>
      </c>
      <c r="N910" s="4" t="n">
        <v>0</v>
      </c>
      <c r="O910" s="4" t="n">
        <v>1</v>
      </c>
      <c r="P910" s="4" t="n">
        <v>0</v>
      </c>
      <c r="Q910" s="4" t="n">
        <v>1</v>
      </c>
      <c r="R910" s="4" t="n">
        <v>1</v>
      </c>
      <c r="S910" s="4" t="n">
        <v>0</v>
      </c>
      <c r="T910" s="4" t="n">
        <v>0</v>
      </c>
      <c r="U910" s="4" t="n">
        <v>0</v>
      </c>
      <c r="V910" s="4" t="n">
        <v>1</v>
      </c>
      <c r="W910" s="4" t="n">
        <v>0</v>
      </c>
    </row>
    <row r="911" customFormat="false" ht="15" hidden="false" customHeight="false" outlineLevel="0" collapsed="false">
      <c r="A911" s="4" t="s">
        <v>393</v>
      </c>
      <c r="B911" s="4" t="n">
        <v>1974</v>
      </c>
      <c r="C911" s="4" t="str">
        <f aca="false">FLOOR(B911,10)&amp;"s"</f>
        <v>1970s</v>
      </c>
      <c r="D911" s="4" t="s">
        <v>172</v>
      </c>
      <c r="E911" s="25" t="str">
        <f aca="false">IF(G911=1,"✓","")</f>
        <v/>
      </c>
      <c r="F911" s="4" t="n">
        <v>4</v>
      </c>
      <c r="G911" s="4" t="n">
        <f aca="false">IF(COUNTIF('Letterboxd Watched'!$E$2:$E$3000,M911)&gt;0,1,0)</f>
        <v>0</v>
      </c>
      <c r="H911" s="4" t="n">
        <v>8</v>
      </c>
      <c r="I911" s="4" t="s">
        <v>213</v>
      </c>
      <c r="J911" s="4" t="s">
        <v>52</v>
      </c>
      <c r="K911" s="4" t="s">
        <v>5433</v>
      </c>
      <c r="L911" s="48" t="str">
        <f aca="false">HYPERLINK("https://boxd.it/2aNq","open")</f>
        <v>open</v>
      </c>
      <c r="M911" s="4" t="str">
        <f aca="false">LOWER(A911)&amp;"|"&amp;B911</f>
        <v>the godfather part ii|1974</v>
      </c>
      <c r="N911" s="4" t="n">
        <v>0</v>
      </c>
      <c r="O911" s="4" t="n">
        <v>0</v>
      </c>
      <c r="P911" s="4" t="n">
        <v>0</v>
      </c>
      <c r="Q911" s="4" t="n">
        <v>1</v>
      </c>
      <c r="R911" s="4" t="n">
        <v>1</v>
      </c>
      <c r="S911" s="4" t="n">
        <v>0</v>
      </c>
      <c r="T911" s="4" t="n">
        <v>0</v>
      </c>
      <c r="U911" s="4" t="n">
        <v>0</v>
      </c>
      <c r="V911" s="4" t="n">
        <v>1</v>
      </c>
      <c r="W911" s="4" t="n">
        <v>1</v>
      </c>
    </row>
    <row r="912" customFormat="false" ht="15" hidden="false" customHeight="false" outlineLevel="0" collapsed="false">
      <c r="A912" s="4" t="s">
        <v>406</v>
      </c>
      <c r="B912" s="4" t="n">
        <v>1954</v>
      </c>
      <c r="C912" s="4" t="str">
        <f aca="false">FLOOR(B912,10)&amp;"s"</f>
        <v>1950s</v>
      </c>
      <c r="D912" s="4" t="s">
        <v>407</v>
      </c>
      <c r="E912" s="25" t="str">
        <f aca="false">IF(G912=1,"✓","")</f>
        <v/>
      </c>
      <c r="F912" s="4" t="n">
        <v>3</v>
      </c>
      <c r="G912" s="4" t="n">
        <f aca="false">IF(COUNTIF('Letterboxd Watched'!$E$2:$E$3000,M912)&gt;0,1,0)</f>
        <v>0</v>
      </c>
      <c r="H912" s="4" t="n">
        <v>8</v>
      </c>
      <c r="I912" s="4" t="s">
        <v>144</v>
      </c>
      <c r="J912" s="4" t="s">
        <v>52</v>
      </c>
      <c r="K912" s="4" t="s">
        <v>5434</v>
      </c>
      <c r="L912" s="48" t="str">
        <f aca="false">HYPERLINK("https://boxd.it/28kc","open")</f>
        <v>open</v>
      </c>
      <c r="M912" s="4" t="str">
        <f aca="false">LOWER(A912)&amp;"|"&amp;B912</f>
        <v>godzilla|1954</v>
      </c>
      <c r="N912" s="4" t="n">
        <v>0</v>
      </c>
      <c r="O912" s="4" t="n">
        <v>0</v>
      </c>
      <c r="P912" s="4" t="n">
        <v>0</v>
      </c>
      <c r="Q912" s="4" t="n">
        <v>1</v>
      </c>
      <c r="R912" s="4" t="n">
        <v>0</v>
      </c>
      <c r="S912" s="4" t="n">
        <v>0</v>
      </c>
      <c r="T912" s="4" t="n">
        <v>1</v>
      </c>
      <c r="U912" s="4" t="n">
        <v>1</v>
      </c>
      <c r="V912" s="4" t="n">
        <v>0</v>
      </c>
      <c r="W912" s="4" t="n">
        <v>0</v>
      </c>
    </row>
    <row r="913" customFormat="false" ht="15" hidden="false" customHeight="false" outlineLevel="0" collapsed="false">
      <c r="A913" s="4" t="s">
        <v>3249</v>
      </c>
      <c r="B913" s="4" t="n">
        <v>2023</v>
      </c>
      <c r="C913" s="4" t="str">
        <f aca="false">FLOOR(B913,10)&amp;"s"</f>
        <v>2020s</v>
      </c>
      <c r="D913" s="4" t="s">
        <v>3250</v>
      </c>
      <c r="E913" s="25" t="str">
        <f aca="false">IF(G913=1,"✓","")</f>
        <v/>
      </c>
      <c r="F913" s="4" t="n">
        <v>1</v>
      </c>
      <c r="G913" s="4" t="n">
        <f aca="false">IF(COUNTIF('Letterboxd Watched'!$E$2:$E$3000,M913)&gt;0,1,0)</f>
        <v>0</v>
      </c>
      <c r="H913" s="4" t="n">
        <v>2</v>
      </c>
      <c r="I913" s="4" t="s">
        <v>213</v>
      </c>
      <c r="J913" s="4" t="s">
        <v>56</v>
      </c>
      <c r="K913" s="4" t="s">
        <v>4390</v>
      </c>
      <c r="L913" s="48" t="str">
        <f aca="false">HYPERLINK("https://letterboxd.com/search/films/Godzilla+Minus+One+2023/","open")</f>
        <v>open</v>
      </c>
      <c r="M913" s="4" t="str">
        <f aca="false">LOWER(A913)&amp;"|"&amp;B913</f>
        <v>godzilla minus one|2023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1</v>
      </c>
      <c r="V913" s="4" t="n">
        <v>0</v>
      </c>
      <c r="W913" s="4" t="n">
        <v>0</v>
      </c>
    </row>
    <row r="914" customFormat="false" ht="15" hidden="false" customHeight="false" outlineLevel="0" collapsed="false">
      <c r="A914" s="4" t="s">
        <v>3469</v>
      </c>
      <c r="B914" s="4" t="n">
        <v>1970</v>
      </c>
      <c r="C914" s="4" t="str">
        <f aca="false">FLOOR(B914,10)&amp;"s"</f>
        <v>1970s</v>
      </c>
      <c r="D914" s="4" t="s">
        <v>3470</v>
      </c>
      <c r="E914" s="25" t="str">
        <f aca="false">IF(G914=1,"✓","")</f>
        <v/>
      </c>
      <c r="F914" s="4" t="n">
        <v>1</v>
      </c>
      <c r="G914" s="4" t="n">
        <f aca="false">IF(COUNTIF('Letterboxd Watched'!$E$2:$E$3000,M914)&gt;0,1,0)</f>
        <v>0</v>
      </c>
      <c r="H914" s="4" t="n">
        <v>1</v>
      </c>
      <c r="I914" s="4" t="s">
        <v>1327</v>
      </c>
      <c r="J914" s="4" t="s">
        <v>51</v>
      </c>
      <c r="K914" s="4" t="s">
        <v>4040</v>
      </c>
      <c r="L914" s="48" t="str">
        <f aca="false">HYPERLINK("https://letterboxd.com/search/films/Goin+Down+the+Road+1970/","open")</f>
        <v>open</v>
      </c>
      <c r="M914" s="4" t="str">
        <f aca="false">LOWER(A914)&amp;"|"&amp;B914</f>
        <v>goin' down the road|1970</v>
      </c>
      <c r="N914" s="4" t="n">
        <v>0</v>
      </c>
      <c r="O914" s="4" t="n">
        <v>0</v>
      </c>
      <c r="P914" s="4" t="n">
        <v>1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 customFormat="false" ht="15" hidden="false" customHeight="false" outlineLevel="0" collapsed="false">
      <c r="A915" s="4" t="s">
        <v>3459</v>
      </c>
      <c r="B915" s="4" t="n">
        <v>1968</v>
      </c>
      <c r="C915" s="4" t="str">
        <f aca="false">FLOOR(B915,10)&amp;"s"</f>
        <v>1960s</v>
      </c>
      <c r="D915" s="4" t="s">
        <v>3460</v>
      </c>
      <c r="E915" s="25" t="str">
        <f aca="false">IF(G915=1,"✓","")</f>
        <v/>
      </c>
      <c r="F915" s="4" t="n">
        <v>1</v>
      </c>
      <c r="G915" s="4" t="n">
        <f aca="false">IF(COUNTIF('Letterboxd Watched'!$E$2:$E$3000,M915)&gt;0,1,0)</f>
        <v>0</v>
      </c>
      <c r="H915" s="4" t="n">
        <v>1</v>
      </c>
      <c r="I915" s="4" t="s">
        <v>1327</v>
      </c>
      <c r="J915" s="4" t="s">
        <v>56</v>
      </c>
      <c r="K915" s="4" t="s">
        <v>4410</v>
      </c>
      <c r="L915" s="48" t="str">
        <f aca="false">HYPERLINK("https://letterboxd.com/search/films/Goke+Body+Snatcher+from+Hell+1968/","open")</f>
        <v>open</v>
      </c>
      <c r="M915" s="4" t="str">
        <f aca="false">LOWER(A915)&amp;"|"&amp;B915</f>
        <v>goke, body snatcher from hell|1968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1</v>
      </c>
      <c r="V915" s="4" t="n">
        <v>0</v>
      </c>
      <c r="W915" s="4" t="n">
        <v>0</v>
      </c>
    </row>
    <row r="916" customFormat="false" ht="15" hidden="false" customHeight="false" outlineLevel="0" collapsed="false">
      <c r="A916" s="4" t="s">
        <v>1748</v>
      </c>
      <c r="B916" s="4" t="n">
        <v>1933</v>
      </c>
      <c r="C916" s="4" t="str">
        <f aca="false">FLOOR(B916,10)&amp;"s"</f>
        <v>1930s</v>
      </c>
      <c r="D916" s="4" t="s">
        <v>909</v>
      </c>
      <c r="E916" s="25" t="str">
        <f aca="false">IF(G916=1,"✓","")</f>
        <v/>
      </c>
      <c r="F916" s="4" t="n">
        <v>1</v>
      </c>
      <c r="G916" s="4" t="n">
        <f aca="false">IF(COUNTIF('Letterboxd Watched'!$E$2:$E$3000,M916)&gt;0,1,0)</f>
        <v>0</v>
      </c>
      <c r="H916" s="4" t="n">
        <v>2</v>
      </c>
      <c r="I916" s="4" t="s">
        <v>213</v>
      </c>
      <c r="J916" s="4" t="s">
        <v>52</v>
      </c>
      <c r="K916" s="4" t="s">
        <v>4110</v>
      </c>
      <c r="L916" s="48" t="str">
        <f aca="false">HYPERLINK("https://letterboxd.com/search/films/Gold+Diggers+of+1933+1933/","open")</f>
        <v>open</v>
      </c>
      <c r="M916" s="4" t="str">
        <f aca="false">LOWER(A916)&amp;"|"&amp;B916</f>
        <v>gold diggers of 1933|1933</v>
      </c>
      <c r="N916" s="4" t="n">
        <v>0</v>
      </c>
      <c r="O916" s="4" t="n">
        <v>0</v>
      </c>
      <c r="P916" s="4" t="n">
        <v>0</v>
      </c>
      <c r="Q916" s="4" t="n">
        <v>1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 customFormat="false" ht="15" hidden="false" customHeight="false" outlineLevel="0" collapsed="false">
      <c r="A917" s="4" t="s">
        <v>655</v>
      </c>
      <c r="B917" s="4" t="n">
        <v>1925</v>
      </c>
      <c r="C917" s="4" t="str">
        <f aca="false">FLOOR(B917,10)&amp;"s"</f>
        <v>1920s</v>
      </c>
      <c r="D917" s="4" t="s">
        <v>344</v>
      </c>
      <c r="E917" s="25" t="str">
        <f aca="false">IF(G917=1,"✓","")</f>
        <v>✓</v>
      </c>
      <c r="F917" s="4" t="n">
        <v>3</v>
      </c>
      <c r="G917" s="4" t="n">
        <f aca="false">IF(COUNTIF('Letterboxd Watched'!$E$2:$E$3000,M917)&gt;0,1,0)</f>
        <v>1</v>
      </c>
      <c r="H917" s="4" t="n">
        <v>6</v>
      </c>
      <c r="I917" s="4" t="s">
        <v>213</v>
      </c>
      <c r="J917" s="4" t="s">
        <v>50</v>
      </c>
      <c r="K917" s="4" t="s">
        <v>5435</v>
      </c>
      <c r="L917" s="48" t="str">
        <f aca="false">HYPERLINK("https://boxd.it/29ce","open")</f>
        <v>open</v>
      </c>
      <c r="M917" s="4" t="str">
        <f aca="false">LOWER(A917)&amp;"|"&amp;B917</f>
        <v>the gold rush|1925</v>
      </c>
      <c r="N917" s="4" t="n">
        <v>0</v>
      </c>
      <c r="O917" s="4" t="n">
        <v>1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1</v>
      </c>
      <c r="W917" s="4" t="n">
        <v>0</v>
      </c>
    </row>
    <row r="918" customFormat="false" ht="15" hidden="false" customHeight="false" outlineLevel="0" collapsed="false">
      <c r="A918" s="4" t="s">
        <v>3364</v>
      </c>
      <c r="B918" s="4" t="n">
        <v>1952</v>
      </c>
      <c r="C918" s="4" t="str">
        <f aca="false">FLOOR(B918,10)&amp;"s"</f>
        <v>1950s</v>
      </c>
      <c r="D918" s="4" t="s">
        <v>234</v>
      </c>
      <c r="E918" s="25" t="str">
        <f aca="false">IF(G918=1,"✓","")</f>
        <v/>
      </c>
      <c r="F918" s="4" t="n">
        <v>1</v>
      </c>
      <c r="G918" s="4" t="n">
        <f aca="false">IF(COUNTIF('Letterboxd Watched'!$E$2:$E$3000,M918)&gt;0,1,0)</f>
        <v>0</v>
      </c>
      <c r="H918" s="4" t="n">
        <v>1</v>
      </c>
      <c r="I918" s="4" t="s">
        <v>1327</v>
      </c>
      <c r="J918" s="4" t="s">
        <v>53</v>
      </c>
      <c r="K918" s="4" t="s">
        <v>234</v>
      </c>
      <c r="L918" s="48" t="str">
        <f aca="false">HYPERLINK("https://letterboxd.com/search/films/The+Golden+Coach+1952/","open")</f>
        <v>open</v>
      </c>
      <c r="M918" s="4" t="str">
        <f aca="false">LOWER(A918)&amp;"|"&amp;B918</f>
        <v>the golden coach|1952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1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 customFormat="false" ht="15" hidden="false" customHeight="false" outlineLevel="0" collapsed="false">
      <c r="A919" s="4" t="s">
        <v>2437</v>
      </c>
      <c r="B919" s="4" t="n">
        <v>1986</v>
      </c>
      <c r="C919" s="4" t="str">
        <f aca="false">FLOOR(B919,10)&amp;"s"</f>
        <v>1980s</v>
      </c>
      <c r="D919" s="4" t="s">
        <v>185</v>
      </c>
      <c r="E919" s="25" t="str">
        <f aca="false">IF(G919=1,"✓","")</f>
        <v/>
      </c>
      <c r="F919" s="4" t="n">
        <v>1</v>
      </c>
      <c r="G919" s="4" t="n">
        <f aca="false">IF(COUNTIF('Letterboxd Watched'!$E$2:$E$3000,M919)&gt;0,1,0)</f>
        <v>0</v>
      </c>
      <c r="H919" s="4" t="n">
        <v>2</v>
      </c>
      <c r="I919" s="4" t="s">
        <v>213</v>
      </c>
      <c r="J919" s="4" t="s">
        <v>53</v>
      </c>
      <c r="K919" s="4" t="s">
        <v>185</v>
      </c>
      <c r="L919" s="48" t="str">
        <f aca="false">HYPERLINK("https://letterboxd.com/search/films/Golden+Eighties+1986/","open")</f>
        <v>open</v>
      </c>
      <c r="M919" s="4" t="str">
        <f aca="false">LOWER(A919)&amp;"|"&amp;B919</f>
        <v>golden eighties|1986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1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</row>
    <row r="920" customFormat="false" ht="15" hidden="false" customHeight="false" outlineLevel="0" collapsed="false">
      <c r="A920" s="4" t="s">
        <v>2048</v>
      </c>
      <c r="B920" s="4" t="n">
        <v>1964</v>
      </c>
      <c r="C920" s="4" t="str">
        <f aca="false">FLOOR(B920,10)&amp;"s"</f>
        <v>1960s</v>
      </c>
      <c r="D920" s="4" t="s">
        <v>2049</v>
      </c>
      <c r="E920" s="25" t="str">
        <f aca="false">IF(G920=1,"✓","")</f>
        <v/>
      </c>
      <c r="F920" s="4" t="n">
        <v>1</v>
      </c>
      <c r="G920" s="4" t="n">
        <f aca="false">IF(COUNTIF('Letterboxd Watched'!$E$2:$E$3000,M920)&gt;0,1,0)</f>
        <v>0</v>
      </c>
      <c r="H920" s="4" t="n">
        <v>2</v>
      </c>
      <c r="I920" s="4" t="s">
        <v>213</v>
      </c>
      <c r="J920" s="4" t="s">
        <v>52</v>
      </c>
      <c r="K920" s="4" t="s">
        <v>4132</v>
      </c>
      <c r="L920" s="48" t="str">
        <f aca="false">HYPERLINK("https://boxd.it/29SY","open")</f>
        <v>open</v>
      </c>
      <c r="M920" s="4" t="str">
        <f aca="false">LOWER(A920)&amp;"|"&amp;B920</f>
        <v>goldfinger|1964</v>
      </c>
      <c r="N920" s="4" t="n">
        <v>0</v>
      </c>
      <c r="O920" s="4" t="n">
        <v>0</v>
      </c>
      <c r="P920" s="4" t="n">
        <v>0</v>
      </c>
      <c r="Q920" s="4" t="n">
        <v>1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</row>
    <row r="921" customFormat="false" ht="15" hidden="false" customHeight="false" outlineLevel="0" collapsed="false">
      <c r="A921" s="4" t="s">
        <v>1676</v>
      </c>
      <c r="B921" s="4" t="n">
        <v>1920</v>
      </c>
      <c r="C921" s="4" t="str">
        <f aca="false">FLOOR(B921,10)&amp;"s"</f>
        <v>1920s</v>
      </c>
      <c r="D921" s="4" t="s">
        <v>1677</v>
      </c>
      <c r="E921" s="25" t="str">
        <f aca="false">IF(G921=1,"✓","")</f>
        <v/>
      </c>
      <c r="F921" s="4" t="n">
        <v>1</v>
      </c>
      <c r="G921" s="4" t="n">
        <f aca="false">IF(COUNTIF('Letterboxd Watched'!$E$2:$E$3000,M921)&gt;0,1,0)</f>
        <v>0</v>
      </c>
      <c r="H921" s="4" t="n">
        <v>2</v>
      </c>
      <c r="I921" s="4" t="s">
        <v>213</v>
      </c>
      <c r="J921" s="4" t="s">
        <v>50</v>
      </c>
      <c r="K921" s="4" t="s">
        <v>3898</v>
      </c>
      <c r="L921" s="48" t="str">
        <f aca="false">HYPERLINK("https://letterboxd.com/search/films/The+Golem+1920/","open")</f>
        <v>open</v>
      </c>
      <c r="M921" s="4" t="str">
        <f aca="false">LOWER(A921)&amp;"|"&amp;B921</f>
        <v>the golem|1920</v>
      </c>
      <c r="N921" s="4" t="n">
        <v>0</v>
      </c>
      <c r="O921" s="4" t="n">
        <v>1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 customFormat="false" ht="15" hidden="false" customHeight="false" outlineLevel="0" collapsed="false">
      <c r="A922" s="4" t="s">
        <v>1602</v>
      </c>
      <c r="B922" s="4" t="n">
        <v>2008</v>
      </c>
      <c r="C922" s="4" t="str">
        <f aca="false">FLOOR(B922,10)&amp;"s"</f>
        <v>2000s</v>
      </c>
      <c r="D922" s="4" t="s">
        <v>1603</v>
      </c>
      <c r="E922" s="25" t="str">
        <f aca="false">IF(G922=1,"✓","")</f>
        <v/>
      </c>
      <c r="F922" s="4" t="n">
        <v>1</v>
      </c>
      <c r="G922" s="4" t="n">
        <f aca="false">IF(COUNTIF('Letterboxd Watched'!$E$2:$E$3000,M922)&gt;0,1,0)</f>
        <v>0</v>
      </c>
      <c r="H922" s="4" t="n">
        <v>3</v>
      </c>
      <c r="I922" s="4" t="s">
        <v>144</v>
      </c>
      <c r="J922" s="4" t="s">
        <v>51</v>
      </c>
      <c r="K922" s="4" t="s">
        <v>3956</v>
      </c>
      <c r="L922" s="48" t="str">
        <f aca="false">HYPERLINK("https://boxd.it/1ZG4","open")</f>
        <v>open</v>
      </c>
      <c r="M922" s="4" t="str">
        <f aca="false">LOWER(A922)&amp;"|"&amp;B922</f>
        <v>gomorrah|2008</v>
      </c>
      <c r="N922" s="4" t="n">
        <v>0</v>
      </c>
      <c r="O922" s="4" t="n">
        <v>0</v>
      </c>
      <c r="P922" s="4" t="n">
        <v>1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</row>
    <row r="923" customFormat="false" ht="15" hidden="false" customHeight="false" outlineLevel="0" collapsed="false">
      <c r="A923" s="4" t="s">
        <v>1217</v>
      </c>
      <c r="B923" s="4" t="n">
        <v>2014</v>
      </c>
      <c r="C923" s="4" t="str">
        <f aca="false">FLOOR(B923,10)&amp;"s"</f>
        <v>2010s</v>
      </c>
      <c r="D923" s="4" t="s">
        <v>325</v>
      </c>
      <c r="E923" s="25" t="str">
        <f aca="false">IF(G923=1,"✓","")</f>
        <v>✓</v>
      </c>
      <c r="F923" s="4" t="n">
        <v>2</v>
      </c>
      <c r="G923" s="4" t="n">
        <f aca="false">IF(COUNTIF('Letterboxd Watched'!$E$2:$E$3000,M923)&gt;0,1,0)</f>
        <v>1</v>
      </c>
      <c r="H923" s="4" t="n">
        <v>4</v>
      </c>
      <c r="I923" s="4" t="s">
        <v>213</v>
      </c>
      <c r="J923" s="4" t="s">
        <v>52</v>
      </c>
      <c r="K923" s="4" t="s">
        <v>5436</v>
      </c>
      <c r="L923" s="48" t="str">
        <f aca="false">HYPERLINK("https://boxd.it/6hQu","open")</f>
        <v>open</v>
      </c>
      <c r="M923" s="4" t="str">
        <f aca="false">LOWER(A923)&amp;"|"&amp;B923</f>
        <v>gone girl|2014</v>
      </c>
      <c r="N923" s="4" t="n">
        <v>0</v>
      </c>
      <c r="O923" s="4" t="n">
        <v>0</v>
      </c>
      <c r="P923" s="4" t="n">
        <v>0</v>
      </c>
      <c r="Q923" s="4" t="n">
        <v>1</v>
      </c>
      <c r="R923" s="4" t="n">
        <v>1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 customFormat="false" ht="15" hidden="false" customHeight="false" outlineLevel="0" collapsed="false">
      <c r="A924" s="4" t="s">
        <v>914</v>
      </c>
      <c r="B924" s="4" t="n">
        <v>1939</v>
      </c>
      <c r="C924" s="4" t="str">
        <f aca="false">FLOOR(B924,10)&amp;"s"</f>
        <v>1930s</v>
      </c>
      <c r="D924" s="4" t="s">
        <v>346</v>
      </c>
      <c r="E924" s="25" t="str">
        <f aca="false">IF(G924=1,"✓","")</f>
        <v/>
      </c>
      <c r="F924" s="4" t="n">
        <v>2</v>
      </c>
      <c r="G924" s="4" t="n">
        <f aca="false">IF(COUNTIF('Letterboxd Watched'!$E$2:$E$3000,M924)&gt;0,1,0)</f>
        <v>0</v>
      </c>
      <c r="H924" s="4" t="n">
        <v>4</v>
      </c>
      <c r="I924" s="4" t="s">
        <v>213</v>
      </c>
      <c r="J924" s="4" t="s">
        <v>50</v>
      </c>
      <c r="K924" s="4" t="s">
        <v>5170</v>
      </c>
      <c r="L924" s="48" t="str">
        <f aca="false">HYPERLINK("https://boxd.it/29Fq","open")</f>
        <v>open</v>
      </c>
      <c r="M924" s="4" t="str">
        <f aca="false">LOWER(A924)&amp;"|"&amp;B924</f>
        <v>gone with the wind|1939</v>
      </c>
      <c r="N924" s="4" t="n">
        <v>0</v>
      </c>
      <c r="O924" s="4" t="n">
        <v>1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1</v>
      </c>
      <c r="W924" s="4" t="n">
        <v>0</v>
      </c>
    </row>
    <row r="925" customFormat="false" ht="15" hidden="false" customHeight="false" outlineLevel="0" collapsed="false">
      <c r="A925" s="4" t="s">
        <v>3735</v>
      </c>
      <c r="B925" s="4" t="n">
        <v>2003</v>
      </c>
      <c r="C925" s="4" t="str">
        <f aca="false">FLOOR(B925,10)&amp;"s"</f>
        <v>2000s</v>
      </c>
      <c r="D925" s="4" t="s">
        <v>3736</v>
      </c>
      <c r="E925" s="25" t="str">
        <f aca="false">IF(G925=1,"✓","")</f>
        <v/>
      </c>
      <c r="F925" s="4" t="n">
        <v>1</v>
      </c>
      <c r="G925" s="4" t="n">
        <f aca="false">IF(COUNTIF('Letterboxd Watched'!$E$2:$E$3000,M925)&gt;0,1,0)</f>
        <v>0</v>
      </c>
      <c r="H925" s="4" t="n">
        <v>1</v>
      </c>
      <c r="I925" s="4" t="s">
        <v>1327</v>
      </c>
      <c r="J925" s="4" t="s">
        <v>51</v>
      </c>
      <c r="K925" s="4" t="s">
        <v>3974</v>
      </c>
      <c r="L925" s="48" t="str">
        <f aca="false">HYPERLINK("https://letterboxd.com/search/films/Good+Bye+Lenin+2003/","open")</f>
        <v>open</v>
      </c>
      <c r="M925" s="4" t="str">
        <f aca="false">LOWER(A925)&amp;"|"&amp;B925</f>
        <v>good bye lenin!|2003</v>
      </c>
      <c r="N925" s="4" t="n">
        <v>0</v>
      </c>
      <c r="O925" s="4" t="n">
        <v>0</v>
      </c>
      <c r="P925" s="4" t="n">
        <v>1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</row>
    <row r="926" customFormat="false" ht="15" hidden="false" customHeight="false" outlineLevel="0" collapsed="false">
      <c r="A926" s="4" t="s">
        <v>1967</v>
      </c>
      <c r="B926" s="4" t="n">
        <v>1959</v>
      </c>
      <c r="C926" s="4" t="str">
        <f aca="false">FLOOR(B926,10)&amp;"s"</f>
        <v>1950s</v>
      </c>
      <c r="D926" s="4" t="s">
        <v>146</v>
      </c>
      <c r="E926" s="25" t="str">
        <f aca="false">IF(G926=1,"✓","")</f>
        <v/>
      </c>
      <c r="F926" s="4" t="n">
        <v>1</v>
      </c>
      <c r="G926" s="4" t="n">
        <f aca="false">IF(COUNTIF('Letterboxd Watched'!$E$2:$E$3000,M926)&gt;0,1,0)</f>
        <v>0</v>
      </c>
      <c r="H926" s="4" t="n">
        <v>2</v>
      </c>
      <c r="I926" s="4" t="s">
        <v>213</v>
      </c>
      <c r="J926" s="4" t="s">
        <v>53</v>
      </c>
      <c r="K926" s="4" t="s">
        <v>146</v>
      </c>
      <c r="L926" s="48" t="str">
        <f aca="false">HYPERLINK("https://boxd.it/2lkk","open")</f>
        <v>open</v>
      </c>
      <c r="M926" s="4" t="str">
        <f aca="false">LOWER(A926)&amp;"|"&amp;B926</f>
        <v>good morning|1959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1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 customFormat="false" ht="15" hidden="false" customHeight="false" outlineLevel="0" collapsed="false">
      <c r="A927" s="4" t="s">
        <v>2845</v>
      </c>
      <c r="B927" s="4" t="n">
        <v>2005</v>
      </c>
      <c r="C927" s="4" t="str">
        <f aca="false">FLOOR(B927,10)&amp;"s"</f>
        <v>2000s</v>
      </c>
      <c r="D927" s="4" t="s">
        <v>2781</v>
      </c>
      <c r="E927" s="25" t="str">
        <f aca="false">IF(G927=1,"✓","")</f>
        <v/>
      </c>
      <c r="F927" s="4" t="n">
        <v>1</v>
      </c>
      <c r="G927" s="4" t="n">
        <f aca="false">IF(COUNTIF('Letterboxd Watched'!$E$2:$E$3000,M927)&gt;0,1,0)</f>
        <v>0</v>
      </c>
      <c r="H927" s="4" t="n">
        <v>2</v>
      </c>
      <c r="I927" s="4" t="s">
        <v>213</v>
      </c>
      <c r="J927" s="4" t="s">
        <v>55</v>
      </c>
      <c r="K927" s="4" t="s">
        <v>4320</v>
      </c>
      <c r="L927" s="48" t="str">
        <f aca="false">HYPERLINK("https://boxd.it/25vG","open")</f>
        <v>open</v>
      </c>
      <c r="M927" s="4" t="str">
        <f aca="false">LOWER(A927)&amp;"|"&amp;B927</f>
        <v>good night, and good luck.|2005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1</v>
      </c>
      <c r="U927" s="4" t="n">
        <v>0</v>
      </c>
      <c r="V927" s="4" t="n">
        <v>0</v>
      </c>
      <c r="W927" s="4" t="n">
        <v>0</v>
      </c>
    </row>
    <row r="928" customFormat="false" ht="15" hidden="false" customHeight="false" outlineLevel="0" collapsed="false">
      <c r="A928" s="4" t="s">
        <v>3758</v>
      </c>
      <c r="B928" s="4" t="n">
        <v>2006</v>
      </c>
      <c r="C928" s="4" t="str">
        <f aca="false">FLOOR(B928,10)&amp;"s"</f>
        <v>2000s</v>
      </c>
      <c r="D928" s="4" t="s">
        <v>3759</v>
      </c>
      <c r="E928" s="25" t="str">
        <f aca="false">IF(G928=1,"✓","")</f>
        <v/>
      </c>
      <c r="F928" s="4" t="n">
        <v>1</v>
      </c>
      <c r="G928" s="4" t="n">
        <f aca="false">IF(COUNTIF('Letterboxd Watched'!$E$2:$E$3000,M928)&gt;0,1,0)</f>
        <v>0</v>
      </c>
      <c r="H928" s="4" t="n">
        <v>1</v>
      </c>
      <c r="I928" s="4" t="s">
        <v>1327</v>
      </c>
      <c r="J928" s="4" t="s">
        <v>52</v>
      </c>
      <c r="K928" s="4" t="s">
        <v>4132</v>
      </c>
      <c r="L928" s="48" t="str">
        <f aca="false">HYPERLINK("https://boxd.it/291g","open")</f>
        <v>open</v>
      </c>
      <c r="M928" s="4" t="str">
        <f aca="false">LOWER(A928)&amp;"|"&amp;B928</f>
        <v>the good shepherd|2006</v>
      </c>
      <c r="N928" s="4" t="n">
        <v>0</v>
      </c>
      <c r="O928" s="4" t="n">
        <v>0</v>
      </c>
      <c r="P928" s="4" t="n">
        <v>0</v>
      </c>
      <c r="Q928" s="4" t="n">
        <v>1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</row>
    <row r="929" customFormat="false" ht="15" hidden="false" customHeight="false" outlineLevel="0" collapsed="false">
      <c r="A929" s="4" t="s">
        <v>665</v>
      </c>
      <c r="B929" s="4" t="n">
        <v>1966</v>
      </c>
      <c r="C929" s="4" t="str">
        <f aca="false">FLOOR(B929,10)&amp;"s"</f>
        <v>1960s</v>
      </c>
      <c r="D929" s="4" t="s">
        <v>395</v>
      </c>
      <c r="E929" s="25" t="str">
        <f aca="false">IF(G929=1,"✓","")</f>
        <v/>
      </c>
      <c r="F929" s="4" t="n">
        <v>2</v>
      </c>
      <c r="G929" s="4" t="n">
        <f aca="false">IF(COUNTIF('Letterboxd Watched'!$E$2:$E$3000,M929)&gt;0,1,0)</f>
        <v>0</v>
      </c>
      <c r="H929" s="4" t="n">
        <v>6</v>
      </c>
      <c r="I929" s="4" t="s">
        <v>144</v>
      </c>
      <c r="J929" s="4" t="s">
        <v>51</v>
      </c>
      <c r="K929" s="4" t="s">
        <v>5368</v>
      </c>
      <c r="L929" s="48" t="str">
        <f aca="false">HYPERLINK("https://boxd.it/2ape","open")</f>
        <v>open</v>
      </c>
      <c r="M929" s="4" t="str">
        <f aca="false">LOWER(A929)&amp;"|"&amp;B929</f>
        <v>the good, the bad and the ugly|1966</v>
      </c>
      <c r="N929" s="4" t="n">
        <v>0</v>
      </c>
      <c r="O929" s="4" t="n">
        <v>0</v>
      </c>
      <c r="P929" s="4" t="n">
        <v>1</v>
      </c>
      <c r="Q929" s="4" t="n">
        <v>0</v>
      </c>
      <c r="R929" s="4" t="n">
        <v>1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 customFormat="false" ht="15" hidden="false" customHeight="false" outlineLevel="0" collapsed="false">
      <c r="A930" s="4" t="s">
        <v>3775</v>
      </c>
      <c r="B930" s="4" t="n">
        <v>2008</v>
      </c>
      <c r="C930" s="4" t="str">
        <f aca="false">FLOOR(B930,10)&amp;"s"</f>
        <v>2000s</v>
      </c>
      <c r="D930" s="4" t="s">
        <v>1401</v>
      </c>
      <c r="E930" s="25" t="str">
        <f aca="false">IF(G930=1,"✓","")</f>
        <v/>
      </c>
      <c r="F930" s="4" t="n">
        <v>1</v>
      </c>
      <c r="G930" s="4" t="n">
        <f aca="false">IF(COUNTIF('Letterboxd Watched'!$E$2:$E$3000,M930)&gt;0,1,0)</f>
        <v>0</v>
      </c>
      <c r="H930" s="4" t="n">
        <v>1</v>
      </c>
      <c r="I930" s="4" t="s">
        <v>1327</v>
      </c>
      <c r="J930" s="4" t="s">
        <v>51</v>
      </c>
      <c r="K930" s="4" t="s">
        <v>4024</v>
      </c>
      <c r="L930" s="48" t="str">
        <f aca="false">HYPERLINK("https://boxd.it/1MSG","open")</f>
        <v>open</v>
      </c>
      <c r="M930" s="4" t="str">
        <f aca="false">LOWER(A930)&amp;"|"&amp;B930</f>
        <v>the good, the bad, the weird|2008</v>
      </c>
      <c r="N930" s="4" t="n">
        <v>0</v>
      </c>
      <c r="O930" s="4" t="n">
        <v>0</v>
      </c>
      <c r="P930" s="4" t="n">
        <v>1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</row>
    <row r="931" customFormat="false" ht="15" hidden="false" customHeight="false" outlineLevel="0" collapsed="false">
      <c r="A931" s="4" t="s">
        <v>1241</v>
      </c>
      <c r="B931" s="4" t="n">
        <v>2017</v>
      </c>
      <c r="C931" s="4" t="str">
        <f aca="false">FLOOR(B931,10)&amp;"s"</f>
        <v>2010s</v>
      </c>
      <c r="D931" s="4" t="s">
        <v>653</v>
      </c>
      <c r="E931" s="25" t="str">
        <f aca="false">IF(G931=1,"✓","")</f>
        <v>✓</v>
      </c>
      <c r="F931" s="4" t="n">
        <v>2</v>
      </c>
      <c r="G931" s="4" t="n">
        <f aca="false">IF(COUNTIF('Letterboxd Watched'!$E$2:$E$3000,M931)&gt;0,1,0)</f>
        <v>1</v>
      </c>
      <c r="H931" s="4" t="n">
        <v>4</v>
      </c>
      <c r="I931" s="4" t="s">
        <v>213</v>
      </c>
      <c r="J931" s="4" t="s">
        <v>55</v>
      </c>
      <c r="K931" s="4" t="s">
        <v>5437</v>
      </c>
      <c r="L931" s="48" t="str">
        <f aca="false">HYPERLINK("https://boxd.it/fcFu","open")</f>
        <v>open</v>
      </c>
      <c r="M931" s="4" t="str">
        <f aca="false">LOWER(A931)&amp;"|"&amp;B931</f>
        <v>good time|2017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1</v>
      </c>
      <c r="U931" s="4" t="n">
        <v>1</v>
      </c>
      <c r="V931" s="4" t="n">
        <v>0</v>
      </c>
      <c r="W931" s="4" t="n">
        <v>0</v>
      </c>
    </row>
    <row r="932" customFormat="false" ht="15" hidden="false" customHeight="false" outlineLevel="0" collapsed="false">
      <c r="A932" s="4" t="s">
        <v>1122</v>
      </c>
      <c r="B932" s="4" t="n">
        <v>1997</v>
      </c>
      <c r="C932" s="4" t="str">
        <f aca="false">FLOOR(B932,10)&amp;"s"</f>
        <v>1990s</v>
      </c>
      <c r="D932" s="4" t="s">
        <v>827</v>
      </c>
      <c r="E932" s="25" t="str">
        <f aca="false">IF(G932=1,"✓","")</f>
        <v>✓</v>
      </c>
      <c r="F932" s="4" t="n">
        <v>2</v>
      </c>
      <c r="G932" s="4" t="n">
        <f aca="false">IF(COUNTIF('Letterboxd Watched'!$E$2:$E$3000,M932)&gt;0,1,0)</f>
        <v>1</v>
      </c>
      <c r="H932" s="4" t="n">
        <v>4</v>
      </c>
      <c r="I932" s="4" t="s">
        <v>213</v>
      </c>
      <c r="J932" s="4" t="s">
        <v>55</v>
      </c>
      <c r="K932" s="4" t="s">
        <v>5438</v>
      </c>
      <c r="L932" s="48" t="str">
        <f aca="false">HYPERLINK("https://boxd.it/2ahY","open")</f>
        <v>open</v>
      </c>
      <c r="M932" s="4" t="str">
        <f aca="false">LOWER(A932)&amp;"|"&amp;B932</f>
        <v>good will hunting|1997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1</v>
      </c>
      <c r="U932" s="4" t="n">
        <v>1</v>
      </c>
      <c r="V932" s="4" t="n">
        <v>0</v>
      </c>
      <c r="W932" s="4" t="n">
        <v>0</v>
      </c>
    </row>
    <row r="933" customFormat="false" ht="15" hidden="false" customHeight="false" outlineLevel="0" collapsed="false">
      <c r="A933" s="4" t="s">
        <v>3466</v>
      </c>
      <c r="B933" s="4" t="n">
        <v>1969</v>
      </c>
      <c r="C933" s="4" t="str">
        <f aca="false">FLOOR(B933,10)&amp;"s"</f>
        <v>1960s</v>
      </c>
      <c r="D933" s="4" t="s">
        <v>3467</v>
      </c>
      <c r="E933" s="25" t="str">
        <f aca="false">IF(G933=1,"✓","")</f>
        <v/>
      </c>
      <c r="F933" s="4" t="n">
        <v>1</v>
      </c>
      <c r="G933" s="4" t="n">
        <f aca="false">IF(COUNTIF('Letterboxd Watched'!$E$2:$E$3000,M933)&gt;0,1,0)</f>
        <v>0</v>
      </c>
      <c r="H933" s="4" t="n">
        <v>1</v>
      </c>
      <c r="I933" s="4" t="s">
        <v>1327</v>
      </c>
      <c r="J933" s="4" t="s">
        <v>58</v>
      </c>
      <c r="K933" s="4" t="s">
        <v>4470</v>
      </c>
      <c r="L933" s="48" t="str">
        <f aca="false">HYPERLINK("https://letterboxd.com/search/films/Goodbye+Columbus+1969/","open")</f>
        <v>open</v>
      </c>
      <c r="M933" s="4" t="str">
        <f aca="false">LOWER(A933)&amp;"|"&amp;B933</f>
        <v>goodbye, columbus|1969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1</v>
      </c>
    </row>
    <row r="934" customFormat="false" ht="15" hidden="false" customHeight="false" outlineLevel="0" collapsed="false">
      <c r="A934" s="4" t="s">
        <v>1164</v>
      </c>
      <c r="B934" s="4" t="n">
        <v>2003</v>
      </c>
      <c r="C934" s="4" t="str">
        <f aca="false">FLOOR(B934,10)&amp;"s"</f>
        <v>2000s</v>
      </c>
      <c r="D934" s="4" t="s">
        <v>1165</v>
      </c>
      <c r="E934" s="25" t="str">
        <f aca="false">IF(G934=1,"✓","")</f>
        <v/>
      </c>
      <c r="F934" s="4" t="n">
        <v>2</v>
      </c>
      <c r="G934" s="4" t="n">
        <f aca="false">IF(COUNTIF('Letterboxd Watched'!$E$2:$E$3000,M934)&gt;0,1,0)</f>
        <v>0</v>
      </c>
      <c r="H934" s="4" t="n">
        <v>4</v>
      </c>
      <c r="I934" s="4" t="s">
        <v>213</v>
      </c>
      <c r="J934" s="4" t="s">
        <v>51</v>
      </c>
      <c r="K934" s="4" t="s">
        <v>5439</v>
      </c>
      <c r="L934" s="48" t="str">
        <f aca="false">HYPERLINK("https://boxd.it/oFG","open")</f>
        <v>open</v>
      </c>
      <c r="M934" s="4" t="str">
        <f aca="false">LOWER(A934)&amp;"|"&amp;B934</f>
        <v>goodbye, dragon inn|2003</v>
      </c>
      <c r="N934" s="4" t="n">
        <v>0</v>
      </c>
      <c r="O934" s="4" t="n">
        <v>0</v>
      </c>
      <c r="P934" s="4" t="n">
        <v>1</v>
      </c>
      <c r="Q934" s="4" t="n">
        <v>0</v>
      </c>
      <c r="R934" s="4" t="n">
        <v>0</v>
      </c>
      <c r="S934" s="4" t="n">
        <v>1</v>
      </c>
      <c r="T934" s="4" t="n">
        <v>0</v>
      </c>
      <c r="U934" s="4" t="n">
        <v>0</v>
      </c>
      <c r="V934" s="4" t="n">
        <v>0</v>
      </c>
      <c r="W934" s="4" t="n">
        <v>0</v>
      </c>
    </row>
    <row r="935" customFormat="false" ht="15" hidden="false" customHeight="false" outlineLevel="0" collapsed="false">
      <c r="A935" s="4" t="s">
        <v>1784</v>
      </c>
      <c r="B935" s="4" t="n">
        <v>1939</v>
      </c>
      <c r="C935" s="4" t="str">
        <f aca="false">FLOOR(B935,10)&amp;"s"</f>
        <v>1930s</v>
      </c>
      <c r="D935" s="4" t="s">
        <v>734</v>
      </c>
      <c r="E935" s="25" t="str">
        <f aca="false">IF(G935=1,"✓","")</f>
        <v/>
      </c>
      <c r="F935" s="4" t="n">
        <v>1</v>
      </c>
      <c r="G935" s="4" t="n">
        <f aca="false">IF(COUNTIF('Letterboxd Watched'!$E$2:$E$3000,M935)&gt;0,1,0)</f>
        <v>0</v>
      </c>
      <c r="H935" s="4" t="n">
        <v>2</v>
      </c>
      <c r="I935" s="4" t="s">
        <v>213</v>
      </c>
      <c r="J935" s="4" t="s">
        <v>55</v>
      </c>
      <c r="K935" s="4" t="s">
        <v>4346</v>
      </c>
      <c r="L935" s="48" t="str">
        <f aca="false">HYPERLINK("https://boxd.it/VRA","open")</f>
        <v>open</v>
      </c>
      <c r="M935" s="4" t="str">
        <f aca="false">LOWER(A935)&amp;"|"&amp;B935</f>
        <v>goodbye, mr. chips|1939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1</v>
      </c>
      <c r="U935" s="4" t="n">
        <v>0</v>
      </c>
      <c r="V935" s="4" t="n">
        <v>0</v>
      </c>
      <c r="W935" s="4" t="n">
        <v>0</v>
      </c>
    </row>
    <row r="936" customFormat="false" ht="15" hidden="false" customHeight="false" outlineLevel="0" collapsed="false">
      <c r="A936" s="4" t="s">
        <v>3820</v>
      </c>
      <c r="B936" s="4" t="n">
        <v>2014</v>
      </c>
      <c r="C936" s="4" t="str">
        <f aca="false">FLOOR(B936,10)&amp;"s"</f>
        <v>2010s</v>
      </c>
      <c r="D936" s="4" t="s">
        <v>152</v>
      </c>
      <c r="E936" s="25" t="str">
        <f aca="false">IF(G936=1,"✓","")</f>
        <v/>
      </c>
      <c r="F936" s="4" t="n">
        <v>1</v>
      </c>
      <c r="G936" s="4" t="n">
        <f aca="false">IF(COUNTIF('Letterboxd Watched'!$E$2:$E$3000,M936)&gt;0,1,0)</f>
        <v>0</v>
      </c>
      <c r="H936" s="4" t="n">
        <v>1</v>
      </c>
      <c r="I936" s="4" t="s">
        <v>1327</v>
      </c>
      <c r="J936" s="4" t="s">
        <v>53</v>
      </c>
      <c r="K936" s="4" t="s">
        <v>152</v>
      </c>
      <c r="L936" s="48" t="str">
        <f aca="false">HYPERLINK("https://boxd.it/3PMA","open")</f>
        <v>open</v>
      </c>
      <c r="M936" s="4" t="str">
        <f aca="false">LOWER(A936)&amp;"|"&amp;B936</f>
        <v>goodbye to language|2014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1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</row>
    <row r="937" customFormat="false" ht="15" hidden="false" customHeight="false" outlineLevel="0" collapsed="false">
      <c r="A937" s="4" t="s">
        <v>318</v>
      </c>
      <c r="B937" s="4" t="n">
        <v>1990</v>
      </c>
      <c r="C937" s="4" t="str">
        <f aca="false">FLOOR(B937,10)&amp;"s"</f>
        <v>1990s</v>
      </c>
      <c r="D937" s="4" t="s">
        <v>164</v>
      </c>
      <c r="E937" s="25" t="str">
        <f aca="false">IF(G937=1,"✓","")</f>
        <v>✓</v>
      </c>
      <c r="F937" s="4" t="n">
        <v>4</v>
      </c>
      <c r="G937" s="4" t="n">
        <f aca="false">IF(COUNTIF('Letterboxd Watched'!$E$2:$E$3000,M937)&gt;0,1,0)</f>
        <v>1</v>
      </c>
      <c r="H937" s="4" t="n">
        <v>10</v>
      </c>
      <c r="I937" s="4" t="s">
        <v>144</v>
      </c>
      <c r="J937" s="4" t="s">
        <v>49</v>
      </c>
      <c r="K937" s="4" t="s">
        <v>5440</v>
      </c>
      <c r="L937" s="48" t="str">
        <f aca="false">HYPERLINK("https://boxd.it/29FA","open")</f>
        <v>open</v>
      </c>
      <c r="M937" s="4" t="str">
        <f aca="false">LOWER(A937)&amp;"|"&amp;B937</f>
        <v>goodfellas|1990</v>
      </c>
      <c r="N937" s="4" t="n">
        <v>1</v>
      </c>
      <c r="O937" s="4" t="n">
        <v>0</v>
      </c>
      <c r="P937" s="4" t="n">
        <v>0</v>
      </c>
      <c r="Q937" s="4" t="n">
        <v>1</v>
      </c>
      <c r="R937" s="4" t="n">
        <v>1</v>
      </c>
      <c r="S937" s="4" t="n">
        <v>0</v>
      </c>
      <c r="T937" s="4" t="n">
        <v>0</v>
      </c>
      <c r="U937" s="4" t="n">
        <v>0</v>
      </c>
      <c r="V937" s="4" t="n">
        <v>1</v>
      </c>
      <c r="W937" s="4" t="n">
        <v>0</v>
      </c>
    </row>
    <row r="938" customFormat="false" ht="15" hidden="false" customHeight="false" outlineLevel="0" collapsed="false">
      <c r="A938" s="4" t="s">
        <v>2752</v>
      </c>
      <c r="B938" s="4" t="n">
        <v>2001</v>
      </c>
      <c r="C938" s="4" t="str">
        <f aca="false">FLOOR(B938,10)&amp;"s"</f>
        <v>2000s</v>
      </c>
      <c r="D938" s="4" t="s">
        <v>197</v>
      </c>
      <c r="E938" s="25" t="str">
        <f aca="false">IF(G938=1,"✓","")</f>
        <v/>
      </c>
      <c r="F938" s="4" t="n">
        <v>1</v>
      </c>
      <c r="G938" s="4" t="n">
        <f aca="false">IF(COUNTIF('Letterboxd Watched'!$E$2:$E$3000,M938)&gt;0,1,0)</f>
        <v>0</v>
      </c>
      <c r="H938" s="4" t="n">
        <v>2</v>
      </c>
      <c r="I938" s="4" t="s">
        <v>213</v>
      </c>
      <c r="J938" s="4" t="s">
        <v>53</v>
      </c>
      <c r="K938" s="4" t="s">
        <v>197</v>
      </c>
      <c r="L938" s="48" t="str">
        <f aca="false">HYPERLINK("https://boxd.it/239e","open")</f>
        <v>open</v>
      </c>
      <c r="M938" s="4" t="str">
        <f aca="false">LOWER(A938)&amp;"|"&amp;B938</f>
        <v>gosford park|2001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1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 customFormat="false" ht="15" hidden="false" customHeight="false" outlineLevel="0" collapsed="false">
      <c r="A939" s="4" t="s">
        <v>973</v>
      </c>
      <c r="B939" s="4" t="n">
        <v>1964</v>
      </c>
      <c r="C939" s="4" t="str">
        <f aca="false">FLOOR(B939,10)&amp;"s"</f>
        <v>1960s</v>
      </c>
      <c r="D939" s="4" t="s">
        <v>974</v>
      </c>
      <c r="E939" s="25" t="str">
        <f aca="false">IF(G939=1,"✓","")</f>
        <v/>
      </c>
      <c r="F939" s="4" t="n">
        <v>2</v>
      </c>
      <c r="G939" s="4" t="n">
        <f aca="false">IF(COUNTIF('Letterboxd Watched'!$E$2:$E$3000,M939)&gt;0,1,0)</f>
        <v>0</v>
      </c>
      <c r="H939" s="4" t="n">
        <v>4</v>
      </c>
      <c r="I939" s="4" t="s">
        <v>213</v>
      </c>
      <c r="J939" s="4" t="s">
        <v>51</v>
      </c>
      <c r="K939" s="4" t="s">
        <v>5441</v>
      </c>
      <c r="L939" s="48" t="str">
        <f aca="false">HYPERLINK("https://letterboxd.com/search/films/The+Gospel+According+to+St+Matthew+1964/","open")</f>
        <v>open</v>
      </c>
      <c r="M939" s="4" t="str">
        <f aca="false">LOWER(A939)&amp;"|"&amp;B939</f>
        <v>the gospel according to st. matthew|1964</v>
      </c>
      <c r="N939" s="4" t="n">
        <v>0</v>
      </c>
      <c r="O939" s="4" t="n">
        <v>0</v>
      </c>
      <c r="P939" s="4" t="n">
        <v>1</v>
      </c>
      <c r="Q939" s="4" t="n">
        <v>0</v>
      </c>
      <c r="R939" s="4" t="n">
        <v>0</v>
      </c>
      <c r="S939" s="4" t="n">
        <v>0</v>
      </c>
      <c r="T939" s="4" t="n">
        <v>1</v>
      </c>
      <c r="U939" s="4" t="n">
        <v>0</v>
      </c>
      <c r="V939" s="4" t="n">
        <v>0</v>
      </c>
      <c r="W939" s="4" t="n">
        <v>0</v>
      </c>
    </row>
    <row r="940" customFormat="false" ht="15" hidden="false" customHeight="false" outlineLevel="0" collapsed="false">
      <c r="A940" s="4" t="s">
        <v>417</v>
      </c>
      <c r="B940" s="4" t="n">
        <v>1967</v>
      </c>
      <c r="C940" s="4" t="str">
        <f aca="false">FLOOR(B940,10)&amp;"s"</f>
        <v>1960s</v>
      </c>
      <c r="D940" s="4" t="s">
        <v>357</v>
      </c>
      <c r="E940" s="25" t="str">
        <f aca="false">IF(G940=1,"✓","")</f>
        <v>✓</v>
      </c>
      <c r="F940" s="4" t="n">
        <v>3</v>
      </c>
      <c r="G940" s="4" t="n">
        <f aca="false">IF(COUNTIF('Letterboxd Watched'!$E$2:$E$3000,M940)&gt;0,1,0)</f>
        <v>1</v>
      </c>
      <c r="H940" s="4" t="n">
        <v>8</v>
      </c>
      <c r="I940" s="4" t="s">
        <v>144</v>
      </c>
      <c r="J940" s="4" t="s">
        <v>50</v>
      </c>
      <c r="K940" s="4" t="s">
        <v>5442</v>
      </c>
      <c r="L940" s="48" t="str">
        <f aca="false">HYPERLINK("https://boxd.it/18Im","open")</f>
        <v>open</v>
      </c>
      <c r="M940" s="4" t="str">
        <f aca="false">LOWER(A940)&amp;"|"&amp;B940</f>
        <v>the graduate|1967</v>
      </c>
      <c r="N940" s="4" t="n">
        <v>0</v>
      </c>
      <c r="O940" s="4" t="n">
        <v>1</v>
      </c>
      <c r="P940" s="4" t="n">
        <v>0</v>
      </c>
      <c r="Q940" s="4" t="n">
        <v>0</v>
      </c>
      <c r="R940" s="4" t="n">
        <v>1</v>
      </c>
      <c r="S940" s="4" t="n">
        <v>0</v>
      </c>
      <c r="T940" s="4" t="n">
        <v>0</v>
      </c>
      <c r="U940" s="4" t="n">
        <v>0</v>
      </c>
      <c r="V940" s="4" t="n">
        <v>1</v>
      </c>
      <c r="W940" s="4" t="n">
        <v>0</v>
      </c>
    </row>
    <row r="941" customFormat="false" ht="15" hidden="false" customHeight="false" outlineLevel="0" collapsed="false">
      <c r="A941" s="4" t="s">
        <v>3094</v>
      </c>
      <c r="B941" s="4" t="n">
        <v>2016</v>
      </c>
      <c r="C941" s="4" t="str">
        <f aca="false">FLOOR(B941,10)&amp;"s"</f>
        <v>2010s</v>
      </c>
      <c r="D941" s="4" t="s">
        <v>1599</v>
      </c>
      <c r="E941" s="25" t="str">
        <f aca="false">IF(G941=1,"✓","")</f>
        <v/>
      </c>
      <c r="F941" s="4" t="n">
        <v>1</v>
      </c>
      <c r="G941" s="4" t="n">
        <f aca="false">IF(COUNTIF('Letterboxd Watched'!$E$2:$E$3000,M941)&gt;0,1,0)</f>
        <v>0</v>
      </c>
      <c r="H941" s="4" t="n">
        <v>2</v>
      </c>
      <c r="I941" s="4" t="s">
        <v>213</v>
      </c>
      <c r="J941" s="4" t="s">
        <v>51</v>
      </c>
      <c r="K941" s="4" t="s">
        <v>4000</v>
      </c>
      <c r="L941" s="48" t="str">
        <f aca="false">HYPERLINK("https://letterboxd.com/search/films/Graduation+2016/","open")</f>
        <v>open</v>
      </c>
      <c r="M941" s="4" t="str">
        <f aca="false">LOWER(A941)&amp;"|"&amp;B941</f>
        <v>graduation|2016</v>
      </c>
      <c r="N941" s="4" t="n">
        <v>0</v>
      </c>
      <c r="O941" s="4" t="n">
        <v>0</v>
      </c>
      <c r="P941" s="4" t="n">
        <v>1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</row>
    <row r="942" customFormat="false" ht="15" hidden="false" customHeight="false" outlineLevel="0" collapsed="false">
      <c r="A942" s="4" t="s">
        <v>524</v>
      </c>
      <c r="B942" s="4" t="n">
        <v>2014</v>
      </c>
      <c r="C942" s="4" t="str">
        <f aca="false">FLOOR(B942,10)&amp;"s"</f>
        <v>2010s</v>
      </c>
      <c r="D942" s="4" t="s">
        <v>274</v>
      </c>
      <c r="E942" s="25" t="str">
        <f aca="false">IF(G942=1,"✓","")</f>
        <v>✓</v>
      </c>
      <c r="F942" s="4" t="n">
        <v>3</v>
      </c>
      <c r="G942" s="4" t="n">
        <f aca="false">IF(COUNTIF('Letterboxd Watched'!$E$2:$E$3000,M942)&gt;0,1,0)</f>
        <v>1</v>
      </c>
      <c r="H942" s="4" t="n">
        <v>7</v>
      </c>
      <c r="I942" s="4" t="s">
        <v>144</v>
      </c>
      <c r="J942" s="4" t="s">
        <v>49</v>
      </c>
      <c r="K942" s="4" t="s">
        <v>5443</v>
      </c>
      <c r="L942" s="48" t="str">
        <f aca="false">HYPERLINK("https://boxd.it/3ZqO","open")</f>
        <v>open</v>
      </c>
      <c r="M942" s="4" t="str">
        <f aca="false">LOWER(A942)&amp;"|"&amp;B942</f>
        <v>the grand budapest hotel|2014</v>
      </c>
      <c r="N942" s="4" t="n">
        <v>1</v>
      </c>
      <c r="O942" s="4" t="n">
        <v>0</v>
      </c>
      <c r="P942" s="4" t="n">
        <v>0</v>
      </c>
      <c r="Q942" s="4" t="n">
        <v>0</v>
      </c>
      <c r="R942" s="4" t="n">
        <v>1</v>
      </c>
      <c r="S942" s="4" t="n">
        <v>0</v>
      </c>
      <c r="T942" s="4" t="n">
        <v>0</v>
      </c>
      <c r="U942" s="4" t="n">
        <v>0</v>
      </c>
      <c r="V942" s="4" t="n">
        <v>1</v>
      </c>
      <c r="W942" s="4" t="n">
        <v>0</v>
      </c>
    </row>
    <row r="943" customFormat="false" ht="15" hidden="false" customHeight="false" outlineLevel="0" collapsed="false">
      <c r="A943" s="4" t="s">
        <v>451</v>
      </c>
      <c r="B943" s="4" t="n">
        <v>1937</v>
      </c>
      <c r="C943" s="4" t="str">
        <f aca="false">FLOOR(B943,10)&amp;"s"</f>
        <v>1930s</v>
      </c>
      <c r="D943" s="4" t="s">
        <v>234</v>
      </c>
      <c r="E943" s="25" t="str">
        <f aca="false">IF(G943=1,"✓","")</f>
        <v/>
      </c>
      <c r="F943" s="4" t="n">
        <v>3</v>
      </c>
      <c r="G943" s="4" t="n">
        <f aca="false">IF(COUNTIF('Letterboxd Watched'!$E$2:$E$3000,M943)&gt;0,1,0)</f>
        <v>0</v>
      </c>
      <c r="H943" s="4" t="n">
        <v>7</v>
      </c>
      <c r="I943" s="4" t="s">
        <v>144</v>
      </c>
      <c r="J943" s="4" t="s">
        <v>51</v>
      </c>
      <c r="K943" s="4" t="s">
        <v>5444</v>
      </c>
      <c r="L943" s="48" t="str">
        <f aca="false">HYPERLINK("https://boxd.it/29Ei","open")</f>
        <v>open</v>
      </c>
      <c r="M943" s="4" t="str">
        <f aca="false">LOWER(A943)&amp;"|"&amp;B943</f>
        <v>grand illusion|1937</v>
      </c>
      <c r="N943" s="4" t="n">
        <v>0</v>
      </c>
      <c r="O943" s="4" t="n">
        <v>0</v>
      </c>
      <c r="P943" s="4" t="n">
        <v>1</v>
      </c>
      <c r="Q943" s="4" t="n">
        <v>1</v>
      </c>
      <c r="R943" s="4" t="n">
        <v>1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 customFormat="false" ht="15" hidden="false" customHeight="false" outlineLevel="0" collapsed="false">
      <c r="A944" s="4" t="s">
        <v>3526</v>
      </c>
      <c r="B944" s="4" t="n">
        <v>1973</v>
      </c>
      <c r="C944" s="4" t="str">
        <f aca="false">FLOOR(B944,10)&amp;"s"</f>
        <v>1970s</v>
      </c>
      <c r="D944" s="4" t="s">
        <v>3527</v>
      </c>
      <c r="E944" s="25" t="str">
        <f aca="false">IF(G944=1,"✓","")</f>
        <v/>
      </c>
      <c r="F944" s="4" t="n">
        <v>1</v>
      </c>
      <c r="G944" s="4" t="n">
        <f aca="false">IF(COUNTIF('Letterboxd Watched'!$E$2:$E$3000,M944)&gt;0,1,0)</f>
        <v>0</v>
      </c>
      <c r="H944" s="4" t="n">
        <v>1</v>
      </c>
      <c r="I944" s="4" t="s">
        <v>1327</v>
      </c>
      <c r="J944" s="4" t="s">
        <v>55</v>
      </c>
      <c r="K944" s="4" t="s">
        <v>4368</v>
      </c>
      <c r="L944" s="48" t="str">
        <f aca="false">HYPERLINK("https://letterboxd.com/search/films/La+Grande+Bouffe+1973/","open")</f>
        <v>open</v>
      </c>
      <c r="M944" s="4" t="str">
        <f aca="false">LOWER(A944)&amp;"|"&amp;B944</f>
        <v>la grande bouffe|1973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1</v>
      </c>
      <c r="U944" s="4" t="n">
        <v>0</v>
      </c>
      <c r="V944" s="4" t="n">
        <v>0</v>
      </c>
      <c r="W944" s="4" t="n">
        <v>0</v>
      </c>
    </row>
    <row r="945" customFormat="false" ht="15" hidden="false" customHeight="false" outlineLevel="0" collapsed="false">
      <c r="A945" s="4" t="s">
        <v>3814</v>
      </c>
      <c r="B945" s="4" t="n">
        <v>2013</v>
      </c>
      <c r="C945" s="4" t="str">
        <f aca="false">FLOOR(B945,10)&amp;"s"</f>
        <v>2010s</v>
      </c>
      <c r="D945" s="4" t="s">
        <v>193</v>
      </c>
      <c r="E945" s="25" t="str">
        <f aca="false">IF(G945=1,"✓","")</f>
        <v/>
      </c>
      <c r="F945" s="4" t="n">
        <v>1</v>
      </c>
      <c r="G945" s="4" t="n">
        <f aca="false">IF(COUNTIF('Letterboxd Watched'!$E$2:$E$3000,M945)&gt;0,1,0)</f>
        <v>0</v>
      </c>
      <c r="H945" s="4" t="n">
        <v>1</v>
      </c>
      <c r="I945" s="4" t="s">
        <v>1327</v>
      </c>
      <c r="J945" s="4" t="s">
        <v>53</v>
      </c>
      <c r="K945" s="4" t="s">
        <v>193</v>
      </c>
      <c r="L945" s="48" t="str">
        <f aca="false">HYPERLINK("https://boxd.it/QU0","open")</f>
        <v>open</v>
      </c>
      <c r="M945" s="4" t="str">
        <f aca="false">LOWER(A945)&amp;"|"&amp;B945</f>
        <v>the grandmaster|2013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1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 customFormat="false" ht="15" hidden="false" customHeight="false" outlineLevel="0" collapsed="false">
      <c r="A946" s="4" t="s">
        <v>3476</v>
      </c>
      <c r="B946" s="4" t="n">
        <v>1970</v>
      </c>
      <c r="C946" s="4" t="str">
        <f aca="false">FLOOR(B946,10)&amp;"s"</f>
        <v>1970s</v>
      </c>
      <c r="D946" s="4" t="s">
        <v>154</v>
      </c>
      <c r="E946" s="25" t="str">
        <f aca="false">IF(G946=1,"✓","")</f>
        <v/>
      </c>
      <c r="F946" s="4" t="n">
        <v>1</v>
      </c>
      <c r="G946" s="4" t="n">
        <f aca="false">IF(COUNTIF('Letterboxd Watched'!$E$2:$E$3000,M946)&gt;0,1,0)</f>
        <v>0</v>
      </c>
      <c r="H946" s="4" t="n">
        <v>1</v>
      </c>
      <c r="I946" s="4" t="s">
        <v>1327</v>
      </c>
      <c r="J946" s="4" t="s">
        <v>53</v>
      </c>
      <c r="K946" s="4" t="s">
        <v>154</v>
      </c>
      <c r="L946" s="48" t="str">
        <f aca="false">HYPERLINK("https://letterboxd.com/search/films/The+Grandmother+1970/","open")</f>
        <v>open</v>
      </c>
      <c r="M946" s="4" t="str">
        <f aca="false">LOWER(A946)&amp;"|"&amp;B946</f>
        <v>the grandmother|1970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1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</row>
    <row r="947" customFormat="false" ht="15" hidden="false" customHeight="false" outlineLevel="0" collapsed="false">
      <c r="A947" s="4" t="s">
        <v>204</v>
      </c>
      <c r="B947" s="4" t="n">
        <v>1940</v>
      </c>
      <c r="C947" s="4" t="str">
        <f aca="false">FLOOR(B947,10)&amp;"s"</f>
        <v>1940s</v>
      </c>
      <c r="D947" s="4" t="s">
        <v>205</v>
      </c>
      <c r="E947" s="25" t="str">
        <f aca="false">IF(G947=1,"✓","")</f>
        <v/>
      </c>
      <c r="F947" s="4" t="n">
        <v>7</v>
      </c>
      <c r="G947" s="4" t="n">
        <f aca="false">IF(COUNTIF('Letterboxd Watched'!$E$2:$E$3000,M947)&gt;0,1,0)</f>
        <v>0</v>
      </c>
      <c r="H947" s="4" t="n">
        <v>15</v>
      </c>
      <c r="I947" s="4" t="s">
        <v>144</v>
      </c>
      <c r="J947" s="4" t="s">
        <v>50</v>
      </c>
      <c r="K947" s="4" t="s">
        <v>5445</v>
      </c>
      <c r="L947" s="48" t="str">
        <f aca="false">HYPERLINK("https://boxd.it/2a2u","open")</f>
        <v>open</v>
      </c>
      <c r="M947" s="4" t="str">
        <f aca="false">LOWER(A947)&amp;"|"&amp;B947</f>
        <v>the grapes of wrath|1940</v>
      </c>
      <c r="N947" s="4" t="n">
        <v>0</v>
      </c>
      <c r="O947" s="4" t="n">
        <v>1</v>
      </c>
      <c r="P947" s="4" t="n">
        <v>0</v>
      </c>
      <c r="Q947" s="4" t="n">
        <v>0</v>
      </c>
      <c r="R947" s="4" t="n">
        <v>1</v>
      </c>
      <c r="S947" s="4" t="n">
        <v>0</v>
      </c>
      <c r="T947" s="4" t="n">
        <v>1</v>
      </c>
      <c r="U947" s="4" t="n">
        <v>0</v>
      </c>
      <c r="V947" s="4" t="n">
        <v>1</v>
      </c>
      <c r="W947" s="4" t="n">
        <v>0</v>
      </c>
    </row>
    <row r="948" customFormat="false" ht="15" hidden="false" customHeight="false" outlineLevel="0" collapsed="false">
      <c r="A948" s="4" t="s">
        <v>610</v>
      </c>
      <c r="B948" s="4" t="n">
        <v>1988</v>
      </c>
      <c r="C948" s="4" t="str">
        <f aca="false">FLOOR(B948,10)&amp;"s"</f>
        <v>1980s</v>
      </c>
      <c r="D948" s="4" t="s">
        <v>611</v>
      </c>
      <c r="E948" s="25" t="str">
        <f aca="false">IF(G948=1,"✓","")</f>
        <v/>
      </c>
      <c r="F948" s="4" t="n">
        <v>3</v>
      </c>
      <c r="G948" s="4" t="n">
        <f aca="false">IF(COUNTIF('Letterboxd Watched'!$E$2:$E$3000,M948)&gt;0,1,0)</f>
        <v>0</v>
      </c>
      <c r="H948" s="4" t="n">
        <v>6</v>
      </c>
      <c r="I948" s="4" t="s">
        <v>213</v>
      </c>
      <c r="J948" s="4" t="s">
        <v>51</v>
      </c>
      <c r="K948" s="4" t="s">
        <v>5446</v>
      </c>
      <c r="L948" s="48" t="str">
        <f aca="false">HYPERLINK("https://boxd.it/1RUM","open")</f>
        <v>open</v>
      </c>
      <c r="M948" s="4" t="str">
        <f aca="false">LOWER(A948)&amp;"|"&amp;B948</f>
        <v>grave of the fireflies|1988</v>
      </c>
      <c r="N948" s="4" t="n">
        <v>0</v>
      </c>
      <c r="O948" s="4" t="n">
        <v>0</v>
      </c>
      <c r="P948" s="4" t="n">
        <v>1</v>
      </c>
      <c r="Q948" s="4" t="n">
        <v>1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1</v>
      </c>
      <c r="W948" s="4" t="n">
        <v>0</v>
      </c>
    </row>
    <row r="949" customFormat="false" ht="15" hidden="false" customHeight="false" outlineLevel="0" collapsed="false">
      <c r="A949" s="4" t="s">
        <v>1028</v>
      </c>
      <c r="B949" s="4" t="n">
        <v>1975</v>
      </c>
      <c r="C949" s="4" t="str">
        <f aca="false">FLOOR(B949,10)&amp;"s"</f>
        <v>1970s</v>
      </c>
      <c r="D949" s="4" t="s">
        <v>673</v>
      </c>
      <c r="E949" s="25" t="str">
        <f aca="false">IF(G949=1,"✓","")</f>
        <v/>
      </c>
      <c r="F949" s="4" t="n">
        <v>2</v>
      </c>
      <c r="G949" s="4" t="n">
        <f aca="false">IF(COUNTIF('Letterboxd Watched'!$E$2:$E$3000,M949)&gt;0,1,0)</f>
        <v>0</v>
      </c>
      <c r="H949" s="4" t="n">
        <v>4</v>
      </c>
      <c r="I949" s="4" t="s">
        <v>213</v>
      </c>
      <c r="J949" s="4" t="s">
        <v>51</v>
      </c>
      <c r="K949" s="4" t="s">
        <v>5217</v>
      </c>
      <c r="L949" s="48" t="str">
        <f aca="false">HYPERLINK("https://letterboxd.com/search/films/Graveyard+of+Honor+1975/","open")</f>
        <v>open</v>
      </c>
      <c r="M949" s="4" t="str">
        <f aca="false">LOWER(A949)&amp;"|"&amp;B949</f>
        <v>graveyard of honor|1975</v>
      </c>
      <c r="N949" s="4" t="n">
        <v>0</v>
      </c>
      <c r="O949" s="4" t="n">
        <v>0</v>
      </c>
      <c r="P949" s="4" t="n">
        <v>1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1</v>
      </c>
      <c r="W949" s="4" t="n">
        <v>0</v>
      </c>
    </row>
    <row r="950" customFormat="false" ht="15" hidden="false" customHeight="false" outlineLevel="0" collapsed="false">
      <c r="A950" s="4" t="s">
        <v>2199</v>
      </c>
      <c r="B950" s="4" t="n">
        <v>1972</v>
      </c>
      <c r="C950" s="4" t="str">
        <f aca="false">FLOOR(B950,10)&amp;"s"</f>
        <v>1970s</v>
      </c>
      <c r="D950" s="4" t="s">
        <v>2200</v>
      </c>
      <c r="E950" s="25" t="str">
        <f aca="false">IF(G950=1,"✓","")</f>
        <v/>
      </c>
      <c r="F950" s="4" t="n">
        <v>1</v>
      </c>
      <c r="G950" s="4" t="n">
        <f aca="false">IF(COUNTIF('Letterboxd Watched'!$E$2:$E$3000,M950)&gt;0,1,0)</f>
        <v>0</v>
      </c>
      <c r="H950" s="4" t="n">
        <v>2</v>
      </c>
      <c r="I950" s="4" t="s">
        <v>213</v>
      </c>
      <c r="J950" s="4" t="s">
        <v>52</v>
      </c>
      <c r="K950" s="4" t="s">
        <v>4054</v>
      </c>
      <c r="L950" s="48" t="str">
        <f aca="false">HYPERLINK("https://letterboxd.com/search/films/Greasers+Palace+1972/","open")</f>
        <v>open</v>
      </c>
      <c r="M950" s="4" t="str">
        <f aca="false">LOWER(A950)&amp;"|"&amp;B950</f>
        <v>greaser's palace|1972</v>
      </c>
      <c r="N950" s="4" t="n">
        <v>0</v>
      </c>
      <c r="O950" s="4" t="n">
        <v>0</v>
      </c>
      <c r="P950" s="4" t="n">
        <v>0</v>
      </c>
      <c r="Q950" s="4" t="n">
        <v>1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 customFormat="false" ht="15" hidden="false" customHeight="false" outlineLevel="0" collapsed="false">
      <c r="A951" s="4" t="s">
        <v>1619</v>
      </c>
      <c r="B951" s="4" t="n">
        <v>2013</v>
      </c>
      <c r="C951" s="4" t="str">
        <f aca="false">FLOOR(B951,10)&amp;"s"</f>
        <v>2010s</v>
      </c>
      <c r="D951" s="4" t="s">
        <v>1620</v>
      </c>
      <c r="E951" s="25" t="str">
        <f aca="false">IF(G951=1,"✓","")</f>
        <v/>
      </c>
      <c r="F951" s="4" t="n">
        <v>1</v>
      </c>
      <c r="G951" s="4" t="n">
        <f aca="false">IF(COUNTIF('Letterboxd Watched'!$E$2:$E$3000,M951)&gt;0,1,0)</f>
        <v>0</v>
      </c>
      <c r="H951" s="4" t="n">
        <v>3</v>
      </c>
      <c r="I951" s="4" t="s">
        <v>144</v>
      </c>
      <c r="J951" s="4" t="s">
        <v>51</v>
      </c>
      <c r="K951" s="4" t="s">
        <v>3956</v>
      </c>
      <c r="L951" s="48" t="str">
        <f aca="false">HYPERLINK("https://boxd.it/5ty6","open")</f>
        <v>open</v>
      </c>
      <c r="M951" s="4" t="str">
        <f aca="false">LOWER(A951)&amp;"|"&amp;B951</f>
        <v>the great beauty|2013</v>
      </c>
      <c r="N951" s="4" t="n">
        <v>0</v>
      </c>
      <c r="O951" s="4" t="n">
        <v>0</v>
      </c>
      <c r="P951" s="4" t="n">
        <v>1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 customFormat="false" ht="15" hidden="false" customHeight="false" outlineLevel="0" collapsed="false">
      <c r="A952" s="4" t="s">
        <v>1785</v>
      </c>
      <c r="B952" s="4" t="n">
        <v>1940</v>
      </c>
      <c r="C952" s="4" t="str">
        <f aca="false">FLOOR(B952,10)&amp;"s"</f>
        <v>1940s</v>
      </c>
      <c r="D952" s="4" t="s">
        <v>344</v>
      </c>
      <c r="E952" s="25" t="str">
        <f aca="false">IF(G952=1,"✓","")</f>
        <v/>
      </c>
      <c r="F952" s="4" t="n">
        <v>1</v>
      </c>
      <c r="G952" s="4" t="n">
        <f aca="false">IF(COUNTIF('Letterboxd Watched'!$E$2:$E$3000,M952)&gt;0,1,0)</f>
        <v>0</v>
      </c>
      <c r="H952" s="4" t="n">
        <v>2</v>
      </c>
      <c r="I952" s="4" t="s">
        <v>213</v>
      </c>
      <c r="J952" s="4" t="s">
        <v>52</v>
      </c>
      <c r="K952" s="4" t="s">
        <v>4142</v>
      </c>
      <c r="L952" s="48" t="str">
        <f aca="false">HYPERLINK("https://boxd.it/29ic","open")</f>
        <v>open</v>
      </c>
      <c r="M952" s="4" t="str">
        <f aca="false">LOWER(A952)&amp;"|"&amp;B952</f>
        <v>the great dictator|1940</v>
      </c>
      <c r="N952" s="4" t="n">
        <v>0</v>
      </c>
      <c r="O952" s="4" t="n">
        <v>0</v>
      </c>
      <c r="P952" s="4" t="n">
        <v>0</v>
      </c>
      <c r="Q952" s="4" t="n">
        <v>1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 customFormat="false" ht="15" hidden="false" customHeight="false" outlineLevel="0" collapsed="false">
      <c r="A953" s="4" t="s">
        <v>970</v>
      </c>
      <c r="B953" s="4" t="n">
        <v>1963</v>
      </c>
      <c r="C953" s="4" t="str">
        <f aca="false">FLOOR(B953,10)&amp;"s"</f>
        <v>1960s</v>
      </c>
      <c r="D953" s="4" t="s">
        <v>971</v>
      </c>
      <c r="E953" s="25" t="str">
        <f aca="false">IF(G953=1,"✓","")</f>
        <v/>
      </c>
      <c r="F953" s="4" t="n">
        <v>2</v>
      </c>
      <c r="G953" s="4" t="n">
        <f aca="false">IF(COUNTIF('Letterboxd Watched'!$E$2:$E$3000,M953)&gt;0,1,0)</f>
        <v>0</v>
      </c>
      <c r="H953" s="4" t="n">
        <v>4</v>
      </c>
      <c r="I953" s="4" t="s">
        <v>213</v>
      </c>
      <c r="J953" s="4" t="s">
        <v>52</v>
      </c>
      <c r="K953" s="4" t="s">
        <v>5447</v>
      </c>
      <c r="L953" s="48" t="str">
        <f aca="false">HYPERLINK("https://boxd.it/22kA","open")</f>
        <v>open</v>
      </c>
      <c r="M953" s="4" t="str">
        <f aca="false">LOWER(A953)&amp;"|"&amp;B953</f>
        <v>the great escape|1963</v>
      </c>
      <c r="N953" s="4" t="n">
        <v>0</v>
      </c>
      <c r="O953" s="4" t="n">
        <v>0</v>
      </c>
      <c r="P953" s="4" t="n">
        <v>0</v>
      </c>
      <c r="Q953" s="4" t="n">
        <v>1</v>
      </c>
      <c r="R953" s="4" t="n">
        <v>0</v>
      </c>
      <c r="S953" s="4" t="n">
        <v>0</v>
      </c>
      <c r="T953" s="4" t="n">
        <v>0</v>
      </c>
      <c r="U953" s="4" t="n">
        <v>1</v>
      </c>
      <c r="V953" s="4" t="n">
        <v>0</v>
      </c>
      <c r="W953" s="4" t="n">
        <v>0</v>
      </c>
    </row>
    <row r="954" customFormat="false" ht="15" hidden="false" customHeight="false" outlineLevel="0" collapsed="false">
      <c r="A954" s="4" t="s">
        <v>926</v>
      </c>
      <c r="B954" s="4" t="n">
        <v>1946</v>
      </c>
      <c r="C954" s="4" t="str">
        <f aca="false">FLOOR(B954,10)&amp;"s"</f>
        <v>1940s</v>
      </c>
      <c r="D954" s="4" t="s">
        <v>255</v>
      </c>
      <c r="E954" s="25" t="str">
        <f aca="false">IF(G954=1,"✓","")</f>
        <v/>
      </c>
      <c r="F954" s="4" t="n">
        <v>2</v>
      </c>
      <c r="G954" s="4" t="n">
        <f aca="false">IF(COUNTIF('Letterboxd Watched'!$E$2:$E$3000,M954)&gt;0,1,0)</f>
        <v>0</v>
      </c>
      <c r="H954" s="4" t="n">
        <v>4</v>
      </c>
      <c r="I954" s="4" t="s">
        <v>213</v>
      </c>
      <c r="J954" s="4" t="s">
        <v>53</v>
      </c>
      <c r="K954" s="4" t="s">
        <v>5448</v>
      </c>
      <c r="L954" s="48" t="str">
        <f aca="false">HYPERLINK("https://boxd.it/1OjS","open")</f>
        <v>open</v>
      </c>
      <c r="M954" s="4" t="str">
        <f aca="false">LOWER(A954)&amp;"|"&amp;B954</f>
        <v>great expectations|1946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1</v>
      </c>
      <c r="S954" s="4" t="n">
        <v>0</v>
      </c>
      <c r="T954" s="4" t="n">
        <v>0</v>
      </c>
      <c r="U954" s="4" t="n">
        <v>0</v>
      </c>
      <c r="V954" s="4" t="n">
        <v>1</v>
      </c>
      <c r="W954" s="4" t="n">
        <v>0</v>
      </c>
    </row>
    <row r="955" customFormat="false" ht="15" hidden="false" customHeight="false" outlineLevel="0" collapsed="false">
      <c r="A955" s="4" t="s">
        <v>2252</v>
      </c>
      <c r="B955" s="4" t="n">
        <v>1974</v>
      </c>
      <c r="C955" s="4" t="str">
        <f aca="false">FLOOR(B955,10)&amp;"s"</f>
        <v>1970s</v>
      </c>
      <c r="D955" s="4" t="s">
        <v>765</v>
      </c>
      <c r="E955" s="25" t="str">
        <f aca="false">IF(G955=1,"✓","")</f>
        <v/>
      </c>
      <c r="F955" s="4" t="n">
        <v>1</v>
      </c>
      <c r="G955" s="4" t="n">
        <f aca="false">IF(COUNTIF('Letterboxd Watched'!$E$2:$E$3000,M955)&gt;0,1,0)</f>
        <v>0</v>
      </c>
      <c r="H955" s="4" t="n">
        <v>2</v>
      </c>
      <c r="I955" s="4" t="s">
        <v>213</v>
      </c>
      <c r="J955" s="4" t="s">
        <v>55</v>
      </c>
      <c r="K955" s="4" t="s">
        <v>4372</v>
      </c>
      <c r="L955" s="48" t="str">
        <f aca="false">HYPERLINK("https://boxd.it/1UNY","open")</f>
        <v>open</v>
      </c>
      <c r="M955" s="4" t="str">
        <f aca="false">LOWER(A955)&amp;"|"&amp;B955</f>
        <v>the great gatsby|1974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1</v>
      </c>
      <c r="U955" s="4" t="n">
        <v>0</v>
      </c>
      <c r="V955" s="4" t="n">
        <v>0</v>
      </c>
      <c r="W955" s="4" t="n">
        <v>0</v>
      </c>
    </row>
    <row r="956" customFormat="false" ht="15" hidden="false" customHeight="false" outlineLevel="0" collapsed="false">
      <c r="A956" s="4" t="s">
        <v>1789</v>
      </c>
      <c r="B956" s="4" t="n">
        <v>1940</v>
      </c>
      <c r="C956" s="4" t="str">
        <f aca="false">FLOOR(B956,10)&amp;"s"</f>
        <v>1940s</v>
      </c>
      <c r="D956" s="4" t="s">
        <v>250</v>
      </c>
      <c r="E956" s="25" t="str">
        <f aca="false">IF(G956=1,"✓","")</f>
        <v/>
      </c>
      <c r="F956" s="4" t="n">
        <v>1</v>
      </c>
      <c r="G956" s="4" t="n">
        <f aca="false">IF(COUNTIF('Letterboxd Watched'!$E$2:$E$3000,M956)&gt;0,1,0)</f>
        <v>0</v>
      </c>
      <c r="H956" s="4" t="n">
        <v>2</v>
      </c>
      <c r="I956" s="4" t="s">
        <v>213</v>
      </c>
      <c r="J956" s="4" t="s">
        <v>53</v>
      </c>
      <c r="K956" s="4" t="s">
        <v>4191</v>
      </c>
      <c r="L956" s="48" t="str">
        <f aca="false">HYPERLINK("https://boxd.it/1aty","open")</f>
        <v>open</v>
      </c>
      <c r="M956" s="4" t="str">
        <f aca="false">LOWER(A956)&amp;"|"&amp;B956</f>
        <v>the great mcginty|1940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1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 customFormat="false" ht="15" hidden="false" customHeight="false" outlineLevel="0" collapsed="false">
      <c r="A957" s="4" t="s">
        <v>667</v>
      </c>
      <c r="B957" s="4" t="n">
        <v>1968</v>
      </c>
      <c r="C957" s="4" t="str">
        <f aca="false">FLOOR(B957,10)&amp;"s"</f>
        <v>1960s</v>
      </c>
      <c r="D957" s="4" t="s">
        <v>668</v>
      </c>
      <c r="E957" s="25" t="str">
        <f aca="false">IF(G957=1,"✓","")</f>
        <v/>
      </c>
      <c r="F957" s="4" t="n">
        <v>3</v>
      </c>
      <c r="G957" s="4" t="n">
        <f aca="false">IF(COUNTIF('Letterboxd Watched'!$E$2:$E$3000,M957)&gt;0,1,0)</f>
        <v>0</v>
      </c>
      <c r="H957" s="4" t="n">
        <v>6</v>
      </c>
      <c r="I957" s="4" t="s">
        <v>213</v>
      </c>
      <c r="J957" s="4" t="s">
        <v>51</v>
      </c>
      <c r="K957" s="4" t="s">
        <v>5449</v>
      </c>
      <c r="L957" s="48" t="str">
        <f aca="false">HYPERLINK("https://boxd.it/1ZlA","open")</f>
        <v>open</v>
      </c>
      <c r="M957" s="4" t="str">
        <f aca="false">LOWER(A957)&amp;"|"&amp;B957</f>
        <v>the great silence|1968</v>
      </c>
      <c r="N957" s="4" t="n">
        <v>0</v>
      </c>
      <c r="O957" s="4" t="n">
        <v>0</v>
      </c>
      <c r="P957" s="4" t="n">
        <v>1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1</v>
      </c>
      <c r="V957" s="4" t="n">
        <v>0</v>
      </c>
      <c r="W957" s="4" t="n">
        <v>0</v>
      </c>
    </row>
    <row r="958" customFormat="false" ht="15" hidden="false" customHeight="false" outlineLevel="0" collapsed="false">
      <c r="A958" s="4" t="s">
        <v>528</v>
      </c>
      <c r="B958" s="4" t="n">
        <v>1903</v>
      </c>
      <c r="C958" s="4" t="str">
        <f aca="false">FLOOR(B958,10)&amp;"s"</f>
        <v>1900s</v>
      </c>
      <c r="D958" s="4" t="s">
        <v>529</v>
      </c>
      <c r="E958" s="25" t="str">
        <f aca="false">IF(G958=1,"✓","")</f>
        <v/>
      </c>
      <c r="F958" s="4" t="n">
        <v>3</v>
      </c>
      <c r="G958" s="4" t="n">
        <f aca="false">IF(COUNTIF('Letterboxd Watched'!$E$2:$E$3000,M958)&gt;0,1,0)</f>
        <v>0</v>
      </c>
      <c r="H958" s="4" t="n">
        <v>7</v>
      </c>
      <c r="I958" s="4" t="s">
        <v>144</v>
      </c>
      <c r="J958" s="4" t="s">
        <v>50</v>
      </c>
      <c r="K958" s="4" t="s">
        <v>5450</v>
      </c>
      <c r="L958" s="48" t="str">
        <f aca="false">HYPERLINK("https://boxd.it/22JU","open")</f>
        <v>open</v>
      </c>
      <c r="M958" s="4" t="str">
        <f aca="false">LOWER(A958)&amp;"|"&amp;B958</f>
        <v>the great train robbery|1903</v>
      </c>
      <c r="N958" s="4" t="n">
        <v>0</v>
      </c>
      <c r="O958" s="4" t="n">
        <v>1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1</v>
      </c>
      <c r="W958" s="4" t="n">
        <v>0</v>
      </c>
    </row>
    <row r="959" customFormat="false" ht="15" hidden="false" customHeight="false" outlineLevel="0" collapsed="false">
      <c r="A959" s="4" t="s">
        <v>1958</v>
      </c>
      <c r="B959" s="4" t="n">
        <v>1959</v>
      </c>
      <c r="C959" s="4" t="str">
        <f aca="false">FLOOR(B959,10)&amp;"s"</f>
        <v>1950s</v>
      </c>
      <c r="D959" s="4" t="s">
        <v>755</v>
      </c>
      <c r="E959" s="25" t="str">
        <f aca="false">IF(G959=1,"✓","")</f>
        <v/>
      </c>
      <c r="F959" s="4" t="n">
        <v>1</v>
      </c>
      <c r="G959" s="4" t="n">
        <f aca="false">IF(COUNTIF('Letterboxd Watched'!$E$2:$E$3000,M959)&gt;0,1,0)</f>
        <v>0</v>
      </c>
      <c r="H959" s="4" t="n">
        <v>2</v>
      </c>
      <c r="I959" s="4" t="s">
        <v>213</v>
      </c>
      <c r="J959" s="4" t="s">
        <v>51</v>
      </c>
      <c r="K959" s="4" t="s">
        <v>3946</v>
      </c>
      <c r="L959" s="48" t="str">
        <f aca="false">HYPERLINK("https://letterboxd.com/search/films/The+Great+War+1959/","open")</f>
        <v>open</v>
      </c>
      <c r="M959" s="4" t="str">
        <f aca="false">LOWER(A959)&amp;"|"&amp;B959</f>
        <v>the great war|1959</v>
      </c>
      <c r="N959" s="4" t="n">
        <v>0</v>
      </c>
      <c r="O959" s="4" t="n">
        <v>0</v>
      </c>
      <c r="P959" s="4" t="n">
        <v>1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 customFormat="false" ht="15" hidden="false" customHeight="false" outlineLevel="0" collapsed="false">
      <c r="A960" s="4" t="s">
        <v>725</v>
      </c>
      <c r="B960" s="4" t="n">
        <v>1924</v>
      </c>
      <c r="C960" s="4" t="str">
        <f aca="false">FLOOR(B960,10)&amp;"s"</f>
        <v>1920s</v>
      </c>
      <c r="D960" s="4" t="s">
        <v>726</v>
      </c>
      <c r="E960" s="25" t="str">
        <f aca="false">IF(G960=1,"✓","")</f>
        <v/>
      </c>
      <c r="F960" s="4" t="n">
        <v>3</v>
      </c>
      <c r="G960" s="4" t="n">
        <f aca="false">IF(COUNTIF('Letterboxd Watched'!$E$2:$E$3000,M960)&gt;0,1,0)</f>
        <v>0</v>
      </c>
      <c r="H960" s="4" t="n">
        <v>5</v>
      </c>
      <c r="I960" s="4" t="s">
        <v>213</v>
      </c>
      <c r="J960" s="4" t="s">
        <v>50</v>
      </c>
      <c r="K960" s="4" t="s">
        <v>5451</v>
      </c>
      <c r="L960" s="48" t="str">
        <f aca="false">HYPERLINK("https://boxd.it/28Pa","open")</f>
        <v>open</v>
      </c>
      <c r="M960" s="4" t="str">
        <f aca="false">LOWER(A960)&amp;"|"&amp;B960</f>
        <v>greed|1924</v>
      </c>
      <c r="N960" s="4" t="n">
        <v>0</v>
      </c>
      <c r="O960" s="4" t="n">
        <v>1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1</v>
      </c>
      <c r="U960" s="4" t="n">
        <v>0</v>
      </c>
      <c r="V960" s="4" t="n">
        <v>0</v>
      </c>
      <c r="W960" s="4" t="n">
        <v>0</v>
      </c>
    </row>
    <row r="961" customFormat="false" ht="15" hidden="false" customHeight="false" outlineLevel="0" collapsed="false">
      <c r="A961" s="4" t="s">
        <v>1077</v>
      </c>
      <c r="B961" s="4" t="n">
        <v>1986</v>
      </c>
      <c r="C961" s="4" t="str">
        <f aca="false">FLOOR(B961,10)&amp;"s"</f>
        <v>1980s</v>
      </c>
      <c r="D961" s="4" t="s">
        <v>419</v>
      </c>
      <c r="E961" s="25" t="str">
        <f aca="false">IF(G961=1,"✓","")</f>
        <v/>
      </c>
      <c r="F961" s="4" t="n">
        <v>2</v>
      </c>
      <c r="G961" s="4" t="n">
        <f aca="false">IF(COUNTIF('Letterboxd Watched'!$E$2:$E$3000,M961)&gt;0,1,0)</f>
        <v>0</v>
      </c>
      <c r="H961" s="4" t="n">
        <v>4</v>
      </c>
      <c r="I961" s="4" t="s">
        <v>213</v>
      </c>
      <c r="J961" s="4" t="s">
        <v>52</v>
      </c>
      <c r="K961" s="4" t="s">
        <v>5303</v>
      </c>
      <c r="L961" s="48" t="str">
        <f aca="false">HYPERLINK("https://boxd.it/t8W","open")</f>
        <v>open</v>
      </c>
      <c r="M961" s="4" t="str">
        <f aca="false">LOWER(A961)&amp;"|"&amp;B961</f>
        <v>the green ray|1986</v>
      </c>
      <c r="N961" s="4" t="n">
        <v>0</v>
      </c>
      <c r="O961" s="4" t="n">
        <v>0</v>
      </c>
      <c r="P961" s="4" t="n">
        <v>0</v>
      </c>
      <c r="Q961" s="4" t="n">
        <v>1</v>
      </c>
      <c r="R961" s="4" t="n">
        <v>1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 customFormat="false" ht="15" hidden="false" customHeight="false" outlineLevel="0" collapsed="false">
      <c r="A962" s="4" t="s">
        <v>2127</v>
      </c>
      <c r="B962" s="4" t="n">
        <v>1968</v>
      </c>
      <c r="C962" s="4" t="str">
        <f aca="false">FLOOR(B962,10)&amp;"s"</f>
        <v>1960s</v>
      </c>
      <c r="D962" s="4" t="s">
        <v>488</v>
      </c>
      <c r="E962" s="25" t="str">
        <f aca="false">IF(G962=1,"✓","")</f>
        <v/>
      </c>
      <c r="F962" s="4" t="n">
        <v>1</v>
      </c>
      <c r="G962" s="4" t="n">
        <f aca="false">IF(COUNTIF('Letterboxd Watched'!$E$2:$E$3000,M962)&gt;0,1,0)</f>
        <v>0</v>
      </c>
      <c r="H962" s="4" t="n">
        <v>2</v>
      </c>
      <c r="I962" s="4" t="s">
        <v>213</v>
      </c>
      <c r="J962" s="4" t="s">
        <v>53</v>
      </c>
      <c r="K962" s="4" t="s">
        <v>488</v>
      </c>
      <c r="L962" s="48" t="str">
        <f aca="false">HYPERLINK("https://boxd.it/2vo2","open")</f>
        <v>open</v>
      </c>
      <c r="M962" s="4" t="str">
        <f aca="false">LOWER(A962)&amp;"|"&amp;B962</f>
        <v>greetings|1968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1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</row>
    <row r="963" customFormat="false" ht="15" hidden="false" customHeight="false" outlineLevel="0" collapsed="false">
      <c r="A963" s="4" t="s">
        <v>3585</v>
      </c>
      <c r="B963" s="4" t="n">
        <v>1980</v>
      </c>
      <c r="C963" s="4" t="str">
        <f aca="false">FLOOR(B963,10)&amp;"s"</f>
        <v>1980s</v>
      </c>
      <c r="D963" s="4" t="s">
        <v>1064</v>
      </c>
      <c r="E963" s="25" t="str">
        <f aca="false">IF(G963=1,"✓","")</f>
        <v/>
      </c>
      <c r="F963" s="4" t="n">
        <v>1</v>
      </c>
      <c r="G963" s="4" t="n">
        <f aca="false">IF(COUNTIF('Letterboxd Watched'!$E$2:$E$3000,M963)&gt;0,1,0)</f>
        <v>0</v>
      </c>
      <c r="H963" s="4" t="n">
        <v>1</v>
      </c>
      <c r="I963" s="4" t="s">
        <v>1327</v>
      </c>
      <c r="J963" s="4" t="s">
        <v>56</v>
      </c>
      <c r="K963" s="4" t="s">
        <v>4424</v>
      </c>
      <c r="L963" s="48" t="str">
        <f aca="false">HYPERLINK("https://boxd.it/1BpI","open")</f>
        <v>open</v>
      </c>
      <c r="M963" s="4" t="str">
        <f aca="false">LOWER(A963)&amp;"|"&amp;B963</f>
        <v>gregory's girl|1980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1</v>
      </c>
      <c r="V963" s="4" t="n">
        <v>0</v>
      </c>
      <c r="W963" s="4" t="n">
        <v>0</v>
      </c>
    </row>
    <row r="964" customFormat="false" ht="15" hidden="false" customHeight="false" outlineLevel="0" collapsed="false">
      <c r="A964" s="4" t="s">
        <v>2408</v>
      </c>
      <c r="B964" s="4" t="n">
        <v>1984</v>
      </c>
      <c r="C964" s="4" t="str">
        <f aca="false">FLOOR(B964,10)&amp;"s"</f>
        <v>1980s</v>
      </c>
      <c r="D964" s="4" t="s">
        <v>2409</v>
      </c>
      <c r="E964" s="25" t="str">
        <f aca="false">IF(G964=1,"✓","")</f>
        <v>✓</v>
      </c>
      <c r="F964" s="4" t="n">
        <v>1</v>
      </c>
      <c r="G964" s="4" t="n">
        <f aca="false">IF(COUNTIF('Letterboxd Watched'!$E$2:$E$3000,M964)&gt;0,1,0)</f>
        <v>1</v>
      </c>
      <c r="H964" s="4" t="n">
        <v>2</v>
      </c>
      <c r="I964" s="4" t="s">
        <v>213</v>
      </c>
      <c r="J964" s="4" t="s">
        <v>56</v>
      </c>
      <c r="K964" s="4" t="s">
        <v>4420</v>
      </c>
      <c r="L964" s="48" t="str">
        <f aca="false">HYPERLINK("https://boxd.it/29gg","open")</f>
        <v>open</v>
      </c>
      <c r="M964" s="4" t="str">
        <f aca="false">LOWER(A964)&amp;"|"&amp;B964</f>
        <v>gremlins|1984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1</v>
      </c>
      <c r="V964" s="4" t="n">
        <v>0</v>
      </c>
      <c r="W964" s="4" t="n">
        <v>0</v>
      </c>
    </row>
    <row r="965" customFormat="false" ht="15" hidden="false" customHeight="false" outlineLevel="0" collapsed="false">
      <c r="A965" s="4" t="s">
        <v>3796</v>
      </c>
      <c r="B965" s="4" t="n">
        <v>2011</v>
      </c>
      <c r="C965" s="4" t="str">
        <f aca="false">FLOOR(B965,10)&amp;"s"</f>
        <v>2010s</v>
      </c>
      <c r="D965" s="4" t="s">
        <v>3797</v>
      </c>
      <c r="E965" s="25" t="str">
        <f aca="false">IF(G965=1,"✓","")</f>
        <v/>
      </c>
      <c r="F965" s="4" t="n">
        <v>1</v>
      </c>
      <c r="G965" s="4" t="n">
        <f aca="false">IF(COUNTIF('Letterboxd Watched'!$E$2:$E$3000,M965)&gt;0,1,0)</f>
        <v>0</v>
      </c>
      <c r="H965" s="4" t="n">
        <v>1</v>
      </c>
      <c r="I965" s="4" t="s">
        <v>1327</v>
      </c>
      <c r="J965" s="4" t="s">
        <v>52</v>
      </c>
      <c r="K965" s="4" t="s">
        <v>4134</v>
      </c>
      <c r="L965" s="48" t="str">
        <f aca="false">HYPERLINK("https://boxd.it/2xZE","open")</f>
        <v>open</v>
      </c>
      <c r="M965" s="4" t="str">
        <f aca="false">LOWER(A965)&amp;"|"&amp;B965</f>
        <v>the grey|2011</v>
      </c>
      <c r="N965" s="4" t="n">
        <v>0</v>
      </c>
      <c r="O965" s="4" t="n">
        <v>0</v>
      </c>
      <c r="P965" s="4" t="n">
        <v>0</v>
      </c>
      <c r="Q965" s="4" t="n">
        <v>1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</row>
    <row r="966" customFormat="false" ht="15" hidden="false" customHeight="false" outlineLevel="0" collapsed="false">
      <c r="A966" s="4" t="s">
        <v>1507</v>
      </c>
      <c r="B966" s="4" t="n">
        <v>1975</v>
      </c>
      <c r="C966" s="4" t="str">
        <f aca="false">FLOOR(B966,10)&amp;"s"</f>
        <v>1970s</v>
      </c>
      <c r="D966" s="4" t="s">
        <v>1508</v>
      </c>
      <c r="E966" s="25" t="str">
        <f aca="false">IF(G966=1,"✓","")</f>
        <v/>
      </c>
      <c r="F966" s="4" t="n">
        <v>1</v>
      </c>
      <c r="G966" s="4" t="n">
        <f aca="false">IF(COUNTIF('Letterboxd Watched'!$E$2:$E$3000,M966)&gt;0,1,0)</f>
        <v>0</v>
      </c>
      <c r="H966" s="4" t="n">
        <v>3</v>
      </c>
      <c r="I966" s="4" t="s">
        <v>144</v>
      </c>
      <c r="J966" s="4" t="s">
        <v>52</v>
      </c>
      <c r="K966" s="4" t="s">
        <v>4172</v>
      </c>
      <c r="L966" s="48" t="str">
        <f aca="false">HYPERLINK("https://boxd.it/1INM","open")</f>
        <v>open</v>
      </c>
      <c r="M966" s="4" t="str">
        <f aca="false">LOWER(A966)&amp;"|"&amp;B966</f>
        <v>grey gardens|1975</v>
      </c>
      <c r="N966" s="4" t="n">
        <v>0</v>
      </c>
      <c r="O966" s="4" t="n">
        <v>0</v>
      </c>
      <c r="P966" s="4" t="n">
        <v>0</v>
      </c>
      <c r="Q966" s="4" t="n">
        <v>1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 customFormat="false" ht="15" hidden="false" customHeight="false" outlineLevel="0" collapsed="false">
      <c r="A967" s="4" t="s">
        <v>1322</v>
      </c>
      <c r="B967" s="4" t="n">
        <v>1957</v>
      </c>
      <c r="C967" s="4" t="str">
        <f aca="false">FLOOR(B967,10)&amp;"s"</f>
        <v>1950s</v>
      </c>
      <c r="D967" s="4" t="s">
        <v>217</v>
      </c>
      <c r="E967" s="25" t="str">
        <f aca="false">IF(G967=1,"✓","")</f>
        <v/>
      </c>
      <c r="F967" s="4" t="n">
        <v>2</v>
      </c>
      <c r="G967" s="4" t="n">
        <f aca="false">IF(COUNTIF('Letterboxd Watched'!$E$2:$E$3000,M967)&gt;0,1,0)</f>
        <v>0</v>
      </c>
      <c r="H967" s="4" t="n">
        <v>3</v>
      </c>
      <c r="I967" s="4" t="s">
        <v>213</v>
      </c>
      <c r="J967" s="4" t="s">
        <v>51</v>
      </c>
      <c r="K967" s="4" t="s">
        <v>5452</v>
      </c>
      <c r="L967" s="48" t="str">
        <f aca="false">HYPERLINK("https://boxd.it/10ig","open")</f>
        <v>open</v>
      </c>
      <c r="M967" s="4" t="str">
        <f aca="false">LOWER(A967)&amp;"|"&amp;B967</f>
        <v>il grido|1957</v>
      </c>
      <c r="N967" s="4" t="n">
        <v>0</v>
      </c>
      <c r="O967" s="4" t="n">
        <v>0</v>
      </c>
      <c r="P967" s="4" t="n">
        <v>1</v>
      </c>
      <c r="Q967" s="4" t="n">
        <v>0</v>
      </c>
      <c r="R967" s="4" t="n">
        <v>1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 customFormat="false" ht="15" hidden="false" customHeight="false" outlineLevel="0" collapsed="false">
      <c r="A968" s="4" t="s">
        <v>1283</v>
      </c>
      <c r="B968" s="4" t="n">
        <v>1990</v>
      </c>
      <c r="C968" s="4" t="str">
        <f aca="false">FLOOR(B968,10)&amp;"s"</f>
        <v>1990s</v>
      </c>
      <c r="D968" s="4" t="s">
        <v>1284</v>
      </c>
      <c r="E968" s="25" t="str">
        <f aca="false">IF(G968=1,"✓","")</f>
        <v/>
      </c>
      <c r="F968" s="4" t="n">
        <v>2</v>
      </c>
      <c r="G968" s="4" t="n">
        <f aca="false">IF(COUNTIF('Letterboxd Watched'!$E$2:$E$3000,M968)&gt;0,1,0)</f>
        <v>0</v>
      </c>
      <c r="H968" s="4" t="n">
        <v>4</v>
      </c>
      <c r="I968" s="4" t="s">
        <v>213</v>
      </c>
      <c r="J968" s="4" t="s">
        <v>52</v>
      </c>
      <c r="K968" s="4" t="s">
        <v>5453</v>
      </c>
      <c r="L968" s="48" t="str">
        <f aca="false">HYPERLINK("https://boxd.it/1HwA","open")</f>
        <v>open</v>
      </c>
      <c r="M968" s="4" t="str">
        <f aca="false">LOWER(A968)&amp;"|"&amp;B968</f>
        <v>the grifters|1990</v>
      </c>
      <c r="N968" s="4" t="n">
        <v>0</v>
      </c>
      <c r="O968" s="4" t="n">
        <v>0</v>
      </c>
      <c r="P968" s="4" t="n">
        <v>0</v>
      </c>
      <c r="Q968" s="4" t="n">
        <v>1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 customFormat="false" ht="15" hidden="false" customHeight="false" outlineLevel="0" collapsed="false">
      <c r="A969" s="4" t="s">
        <v>2886</v>
      </c>
      <c r="B969" s="4" t="n">
        <v>2007</v>
      </c>
      <c r="C969" s="4" t="str">
        <f aca="false">FLOOR(B969,10)&amp;"s"</f>
        <v>2000s</v>
      </c>
      <c r="D969" s="4" t="s">
        <v>2887</v>
      </c>
      <c r="E969" s="25" t="str">
        <f aca="false">IF(G969=1,"✓","")</f>
        <v/>
      </c>
      <c r="F969" s="4" t="n">
        <v>1</v>
      </c>
      <c r="G969" s="4" t="n">
        <f aca="false">IF(COUNTIF('Letterboxd Watched'!$E$2:$E$3000,M969)&gt;0,1,0)</f>
        <v>0</v>
      </c>
      <c r="H969" s="4" t="n">
        <v>2</v>
      </c>
      <c r="I969" s="4" t="s">
        <v>213</v>
      </c>
      <c r="J969" s="4" t="s">
        <v>54</v>
      </c>
      <c r="K969" s="4" t="s">
        <v>4308</v>
      </c>
      <c r="L969" s="48" t="str">
        <f aca="false">HYPERLINK("https://letterboxd.com/search/films/Grindhouse+2007/","open")</f>
        <v>open</v>
      </c>
      <c r="M969" s="4" t="str">
        <f aca="false">LOWER(A969)&amp;"|"&amp;B969</f>
        <v>grindhouse|2007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1</v>
      </c>
      <c r="T969" s="4" t="n">
        <v>0</v>
      </c>
      <c r="U969" s="4" t="n">
        <v>0</v>
      </c>
      <c r="V969" s="4" t="n">
        <v>0</v>
      </c>
      <c r="W969" s="4" t="n">
        <v>0</v>
      </c>
    </row>
    <row r="970" customFormat="false" ht="15" hidden="false" customHeight="false" outlineLevel="0" collapsed="false">
      <c r="A970" s="4" t="s">
        <v>857</v>
      </c>
      <c r="B970" s="4" t="n">
        <v>2005</v>
      </c>
      <c r="C970" s="4" t="str">
        <f aca="false">FLOOR(B970,10)&amp;"s"</f>
        <v>2000s</v>
      </c>
      <c r="D970" s="4" t="s">
        <v>292</v>
      </c>
      <c r="E970" s="25" t="str">
        <f aca="false">IF(G970=1,"✓","")</f>
        <v/>
      </c>
      <c r="F970" s="4" t="n">
        <v>2</v>
      </c>
      <c r="G970" s="4" t="n">
        <f aca="false">IF(COUNTIF('Letterboxd Watched'!$E$2:$E$3000,M970)&gt;0,1,0)</f>
        <v>0</v>
      </c>
      <c r="H970" s="4" t="n">
        <v>5</v>
      </c>
      <c r="I970" s="4" t="s">
        <v>144</v>
      </c>
      <c r="J970" s="4" t="s">
        <v>52</v>
      </c>
      <c r="K970" s="4" t="s">
        <v>5454</v>
      </c>
      <c r="L970" s="48" t="str">
        <f aca="false">HYPERLINK("https://boxd.it/2ag2","open")</f>
        <v>open</v>
      </c>
      <c r="M970" s="4" t="str">
        <f aca="false">LOWER(A970)&amp;"|"&amp;B970</f>
        <v>grizzly man|2005</v>
      </c>
      <c r="N970" s="4" t="n">
        <v>0</v>
      </c>
      <c r="O970" s="4" t="n">
        <v>0</v>
      </c>
      <c r="P970" s="4" t="n">
        <v>0</v>
      </c>
      <c r="Q970" s="4" t="n">
        <v>1</v>
      </c>
      <c r="R970" s="4" t="n">
        <v>1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 customFormat="false" ht="15" hidden="false" customHeight="false" outlineLevel="0" collapsed="false">
      <c r="A971" s="4" t="s">
        <v>259</v>
      </c>
      <c r="B971" s="4" t="n">
        <v>1993</v>
      </c>
      <c r="C971" s="4" t="str">
        <f aca="false">FLOOR(B971,10)&amp;"s"</f>
        <v>1990s</v>
      </c>
      <c r="D971" s="4" t="s">
        <v>260</v>
      </c>
      <c r="E971" s="25" t="str">
        <f aca="false">IF(G971=1,"✓","")</f>
        <v>✓</v>
      </c>
      <c r="F971" s="4" t="n">
        <v>5</v>
      </c>
      <c r="G971" s="4" t="n">
        <f aca="false">IF(COUNTIF('Letterboxd Watched'!$E$2:$E$3000,M971)&gt;0,1,0)</f>
        <v>1</v>
      </c>
      <c r="H971" s="4" t="n">
        <v>12</v>
      </c>
      <c r="I971" s="4" t="s">
        <v>144</v>
      </c>
      <c r="J971" s="4" t="s">
        <v>49</v>
      </c>
      <c r="K971" s="4" t="s">
        <v>5455</v>
      </c>
      <c r="L971" s="48" t="str">
        <f aca="false">HYPERLINK("https://boxd.it/2b3e","open")</f>
        <v>open</v>
      </c>
      <c r="M971" s="4" t="str">
        <f aca="false">LOWER(A971)&amp;"|"&amp;B971</f>
        <v>groundhog day|1993</v>
      </c>
      <c r="N971" s="4" t="n">
        <v>1</v>
      </c>
      <c r="O971" s="4" t="n">
        <v>0</v>
      </c>
      <c r="P971" s="4" t="n">
        <v>0</v>
      </c>
      <c r="Q971" s="4" t="n">
        <v>1</v>
      </c>
      <c r="R971" s="4" t="n">
        <v>0</v>
      </c>
      <c r="S971" s="4" t="n">
        <v>0</v>
      </c>
      <c r="T971" s="4" t="n">
        <v>1</v>
      </c>
      <c r="U971" s="4" t="n">
        <v>0</v>
      </c>
      <c r="V971" s="4" t="n">
        <v>1</v>
      </c>
      <c r="W971" s="4" t="n">
        <v>0</v>
      </c>
    </row>
    <row r="972" customFormat="false" ht="15" hidden="false" customHeight="false" outlineLevel="0" collapsed="false">
      <c r="A972" s="4" t="s">
        <v>3225</v>
      </c>
      <c r="B972" s="4" t="n">
        <v>2022</v>
      </c>
      <c r="C972" s="4" t="str">
        <f aca="false">FLOOR(B972,10)&amp;"s"</f>
        <v>2020s</v>
      </c>
      <c r="D972" s="4" t="s">
        <v>3226</v>
      </c>
      <c r="E972" s="25" t="str">
        <f aca="false">IF(G972=1,"✓","")</f>
        <v/>
      </c>
      <c r="F972" s="4" t="n">
        <v>1</v>
      </c>
      <c r="G972" s="4" t="n">
        <f aca="false">IF(COUNTIF('Letterboxd Watched'!$E$2:$E$3000,M972)&gt;0,1,0)</f>
        <v>0</v>
      </c>
      <c r="H972" s="4" t="n">
        <v>2</v>
      </c>
      <c r="I972" s="4" t="s">
        <v>213</v>
      </c>
      <c r="J972" s="4" t="s">
        <v>52</v>
      </c>
      <c r="K972" s="4" t="s">
        <v>4164</v>
      </c>
      <c r="L972" s="48" t="str">
        <f aca="false">HYPERLINK("https://boxd.it/kjMW","open")</f>
        <v>open</v>
      </c>
      <c r="M972" s="4" t="str">
        <f aca="false">LOWER(A972)&amp;"|"&amp;B972</f>
        <v>guillermo del toro's pinocchio|2022</v>
      </c>
      <c r="N972" s="4" t="n">
        <v>0</v>
      </c>
      <c r="O972" s="4" t="n">
        <v>0</v>
      </c>
      <c r="P972" s="4" t="n">
        <v>0</v>
      </c>
      <c r="Q972" s="4" t="n">
        <v>1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 customFormat="false" ht="15" hidden="false" customHeight="false" outlineLevel="0" collapsed="false">
      <c r="A973" s="4" t="s">
        <v>3158</v>
      </c>
      <c r="B973" s="4" t="n">
        <v>2018</v>
      </c>
      <c r="C973" s="4" t="str">
        <f aca="false">FLOOR(B973,10)&amp;"s"</f>
        <v>2010s</v>
      </c>
      <c r="D973" s="4" t="s">
        <v>3159</v>
      </c>
      <c r="E973" s="25" t="str">
        <f aca="false">IF(G973=1,"✓","")</f>
        <v/>
      </c>
      <c r="F973" s="4" t="n">
        <v>1</v>
      </c>
      <c r="G973" s="4" t="n">
        <f aca="false">IF(COUNTIF('Letterboxd Watched'!$E$2:$E$3000,M973)&gt;0,1,0)</f>
        <v>0</v>
      </c>
      <c r="H973" s="4" t="n">
        <v>2</v>
      </c>
      <c r="I973" s="4" t="s">
        <v>213</v>
      </c>
      <c r="J973" s="4" t="s">
        <v>56</v>
      </c>
      <c r="K973" s="4" t="s">
        <v>4376</v>
      </c>
      <c r="L973" s="48" t="str">
        <f aca="false">HYPERLINK("https://boxd.it/hw9i","open")</f>
        <v>open</v>
      </c>
      <c r="M973" s="4" t="str">
        <f aca="false">LOWER(A973)&amp;"|"&amp;B973</f>
        <v>the guilty|2018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1</v>
      </c>
      <c r="V973" s="4" t="n">
        <v>0</v>
      </c>
      <c r="W973" s="4" t="n">
        <v>0</v>
      </c>
    </row>
    <row r="974" customFormat="false" ht="15" hidden="false" customHeight="false" outlineLevel="0" collapsed="false">
      <c r="A974" s="4" t="s">
        <v>1875</v>
      </c>
      <c r="B974" s="4" t="n">
        <v>1950</v>
      </c>
      <c r="C974" s="4" t="str">
        <f aca="false">FLOOR(B974,10)&amp;"s"</f>
        <v>1950s</v>
      </c>
      <c r="D974" s="4" t="s">
        <v>1876</v>
      </c>
      <c r="E974" s="25" t="str">
        <f aca="false">IF(G974=1,"✓","")</f>
        <v/>
      </c>
      <c r="F974" s="4" t="n">
        <v>1</v>
      </c>
      <c r="G974" s="4" t="n">
        <f aca="false">IF(COUNTIF('Letterboxd Watched'!$E$2:$E$3000,M974)&gt;0,1,0)</f>
        <v>0</v>
      </c>
      <c r="H974" s="4" t="n">
        <v>2</v>
      </c>
      <c r="I974" s="4" t="s">
        <v>213</v>
      </c>
      <c r="J974" s="4" t="s">
        <v>52</v>
      </c>
      <c r="K974" s="4" t="s">
        <v>4042</v>
      </c>
      <c r="L974" s="48" t="str">
        <f aca="false">HYPERLINK("https://boxd.it/1Gw0","open")</f>
        <v>open</v>
      </c>
      <c r="M974" s="4" t="str">
        <f aca="false">LOWER(A974)&amp;"|"&amp;B974</f>
        <v>gun crazy|1950</v>
      </c>
      <c r="N974" s="4" t="n">
        <v>0</v>
      </c>
      <c r="O974" s="4" t="n">
        <v>0</v>
      </c>
      <c r="P974" s="4" t="n">
        <v>0</v>
      </c>
      <c r="Q974" s="4" t="n">
        <v>1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 customFormat="false" ht="15" hidden="false" customHeight="false" outlineLevel="0" collapsed="false">
      <c r="A975" s="4" t="s">
        <v>2618</v>
      </c>
      <c r="B975" s="4" t="n">
        <v>1995</v>
      </c>
      <c r="C975" s="4" t="str">
        <f aca="false">FLOOR(B975,10)&amp;"s"</f>
        <v>1990s</v>
      </c>
      <c r="D975" s="4" t="s">
        <v>2619</v>
      </c>
      <c r="E975" s="25" t="str">
        <f aca="false">IF(G975=1,"✓","")</f>
        <v/>
      </c>
      <c r="F975" s="4" t="n">
        <v>1</v>
      </c>
      <c r="G975" s="4" t="n">
        <f aca="false">IF(COUNTIF('Letterboxd Watched'!$E$2:$E$3000,M975)&gt;0,1,0)</f>
        <v>0</v>
      </c>
      <c r="H975" s="4" t="n">
        <v>2</v>
      </c>
      <c r="I975" s="4" t="s">
        <v>213</v>
      </c>
      <c r="J975" s="4" t="s">
        <v>55</v>
      </c>
      <c r="K975" s="4" t="s">
        <v>4340</v>
      </c>
      <c r="L975" s="48" t="str">
        <f aca="false">HYPERLINK("https://boxd.it/1WhU","open")</f>
        <v>open</v>
      </c>
      <c r="M975" s="4" t="str">
        <f aca="false">LOWER(A975)&amp;"|"&amp;B975</f>
        <v>hackers|1995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1</v>
      </c>
      <c r="U975" s="4" t="n">
        <v>0</v>
      </c>
      <c r="V975" s="4" t="n">
        <v>0</v>
      </c>
      <c r="W975" s="4" t="n">
        <v>0</v>
      </c>
    </row>
    <row r="976" customFormat="false" ht="15" hidden="false" customHeight="false" outlineLevel="0" collapsed="false">
      <c r="A976" s="4" t="s">
        <v>2955</v>
      </c>
      <c r="B976" s="4" t="n">
        <v>2010</v>
      </c>
      <c r="C976" s="4" t="str">
        <f aca="false">FLOOR(B976,10)&amp;"s"</f>
        <v>2010s</v>
      </c>
      <c r="D976" s="4" t="s">
        <v>1628</v>
      </c>
      <c r="E976" s="25" t="str">
        <f aca="false">IF(G976=1,"✓","")</f>
        <v/>
      </c>
      <c r="F976" s="4" t="n">
        <v>1</v>
      </c>
      <c r="G976" s="4" t="n">
        <f aca="false">IF(COUNTIF('Letterboxd Watched'!$E$2:$E$3000,M976)&gt;0,1,0)</f>
        <v>0</v>
      </c>
      <c r="H976" s="4" t="n">
        <v>2</v>
      </c>
      <c r="I976" s="4" t="s">
        <v>213</v>
      </c>
      <c r="J976" s="4" t="s">
        <v>53</v>
      </c>
      <c r="K976" s="4" t="s">
        <v>1628</v>
      </c>
      <c r="L976" s="48" t="str">
        <f aca="false">HYPERLINK("https://letterboxd.com/search/films/Hahaha+2010/","open")</f>
        <v>open</v>
      </c>
      <c r="M976" s="4" t="str">
        <f aca="false">LOWER(A976)&amp;"|"&amp;B976</f>
        <v>hahaha|2010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1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</row>
    <row r="977" customFormat="false" ht="15" hidden="false" customHeight="false" outlineLevel="0" collapsed="false">
      <c r="A977" s="4" t="s">
        <v>1660</v>
      </c>
      <c r="B977" s="4" t="n">
        <v>2016</v>
      </c>
      <c r="C977" s="4" t="str">
        <f aca="false">FLOOR(B977,10)&amp;"s"</f>
        <v>2010s</v>
      </c>
      <c r="D977" s="4" t="s">
        <v>323</v>
      </c>
      <c r="E977" s="25" t="str">
        <f aca="false">IF(G977=1,"✓","")</f>
        <v>✓</v>
      </c>
      <c r="F977" s="4" t="n">
        <v>2</v>
      </c>
      <c r="G977" s="4" t="n">
        <f aca="false">IF(COUNTIF('Letterboxd Watched'!$E$2:$E$3000,M977)&gt;0,1,0)</f>
        <v>1</v>
      </c>
      <c r="H977" s="4" t="n">
        <v>2</v>
      </c>
      <c r="I977" s="4" t="s">
        <v>1327</v>
      </c>
      <c r="J977" s="4" t="s">
        <v>53</v>
      </c>
      <c r="K977" s="4" t="s">
        <v>5215</v>
      </c>
      <c r="L977" s="48" t="str">
        <f aca="false">HYPERLINK("https://boxd.it/881G","open")</f>
        <v>open</v>
      </c>
      <c r="M977" s="4" t="str">
        <f aca="false">LOWER(A977)&amp;"|"&amp;B977</f>
        <v>hail, caesar!|2016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1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1</v>
      </c>
    </row>
    <row r="978" customFormat="false" ht="15" hidden="false" customHeight="false" outlineLevel="0" collapsed="false">
      <c r="A978" s="4" t="s">
        <v>1820</v>
      </c>
      <c r="B978" s="4" t="n">
        <v>1944</v>
      </c>
      <c r="C978" s="4" t="str">
        <f aca="false">FLOOR(B978,10)&amp;"s"</f>
        <v>1940s</v>
      </c>
      <c r="D978" s="4" t="s">
        <v>250</v>
      </c>
      <c r="E978" s="25" t="str">
        <f aca="false">IF(G978=1,"✓","")</f>
        <v/>
      </c>
      <c r="F978" s="4" t="n">
        <v>1</v>
      </c>
      <c r="G978" s="4" t="n">
        <f aca="false">IF(COUNTIF('Letterboxd Watched'!$E$2:$E$3000,M978)&gt;0,1,0)</f>
        <v>0</v>
      </c>
      <c r="H978" s="4" t="n">
        <v>2</v>
      </c>
      <c r="I978" s="4" t="s">
        <v>213</v>
      </c>
      <c r="J978" s="4" t="s">
        <v>53</v>
      </c>
      <c r="K978" s="4" t="s">
        <v>4191</v>
      </c>
      <c r="L978" s="48" t="str">
        <f aca="false">HYPERLINK("https://boxd.it/1at4","open")</f>
        <v>open</v>
      </c>
      <c r="M978" s="4" t="str">
        <f aca="false">LOWER(A978)&amp;"|"&amp;B978</f>
        <v>hail the conquering hero|1944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1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 customFormat="false" ht="15" hidden="false" customHeight="false" outlineLevel="0" collapsed="false">
      <c r="A979" s="4" t="s">
        <v>425</v>
      </c>
      <c r="B979" s="4" t="n">
        <v>1995</v>
      </c>
      <c r="C979" s="4" t="str">
        <f aca="false">FLOOR(B979,10)&amp;"s"</f>
        <v>1990s</v>
      </c>
      <c r="D979" s="4" t="s">
        <v>426</v>
      </c>
      <c r="E979" s="25" t="str">
        <f aca="false">IF(G979=1,"✓","")</f>
        <v>✓</v>
      </c>
      <c r="F979" s="4" t="n">
        <v>3</v>
      </c>
      <c r="G979" s="4" t="n">
        <f aca="false">IF(COUNTIF('Letterboxd Watched'!$E$2:$E$3000,M979)&gt;0,1,0)</f>
        <v>1</v>
      </c>
      <c r="H979" s="4" t="n">
        <v>8</v>
      </c>
      <c r="I979" s="4" t="s">
        <v>144</v>
      </c>
      <c r="J979" s="4" t="s">
        <v>54</v>
      </c>
      <c r="K979" s="4" t="s">
        <v>5456</v>
      </c>
      <c r="L979" s="48" t="str">
        <f aca="false">HYPERLINK("https://boxd.it/2as8","open")</f>
        <v>open</v>
      </c>
      <c r="M979" s="4" t="str">
        <f aca="false">LOWER(A979)&amp;"|"&amp;B979</f>
        <v>la haine|1995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1</v>
      </c>
      <c r="T979" s="4" t="n">
        <v>1</v>
      </c>
      <c r="U979" s="4" t="n">
        <v>0</v>
      </c>
      <c r="V979" s="4" t="n">
        <v>0</v>
      </c>
      <c r="W979" s="4" t="n">
        <v>1</v>
      </c>
    </row>
    <row r="980" customFormat="false" ht="15" hidden="false" customHeight="false" outlineLevel="0" collapsed="false">
      <c r="A980" s="4" t="s">
        <v>3760</v>
      </c>
      <c r="B980" s="4" t="n">
        <v>2006</v>
      </c>
      <c r="C980" s="4" t="str">
        <f aca="false">FLOOR(B980,10)&amp;"s"</f>
        <v>2000s</v>
      </c>
      <c r="D980" s="4" t="s">
        <v>3761</v>
      </c>
      <c r="E980" s="25" t="str">
        <f aca="false">IF(G980=1,"✓","")</f>
        <v/>
      </c>
      <c r="F980" s="4" t="n">
        <v>1</v>
      </c>
      <c r="G980" s="4" t="n">
        <f aca="false">IF(COUNTIF('Letterboxd Watched'!$E$2:$E$3000,M980)&gt;0,1,0)</f>
        <v>0</v>
      </c>
      <c r="H980" s="4" t="n">
        <v>1</v>
      </c>
      <c r="I980" s="4" t="s">
        <v>1327</v>
      </c>
      <c r="J980" s="4" t="s">
        <v>55</v>
      </c>
      <c r="K980" s="4" t="s">
        <v>4346</v>
      </c>
      <c r="L980" s="48" t="str">
        <f aca="false">HYPERLINK("https://boxd.it/20Ng","open")</f>
        <v>open</v>
      </c>
      <c r="M980" s="4" t="str">
        <f aca="false">LOWER(A980)&amp;"|"&amp;B980</f>
        <v>half nelson|2006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1</v>
      </c>
      <c r="U980" s="4" t="n">
        <v>0</v>
      </c>
      <c r="V980" s="4" t="n">
        <v>0</v>
      </c>
      <c r="W980" s="4" t="n">
        <v>0</v>
      </c>
    </row>
    <row r="981" customFormat="false" ht="15" hidden="false" customHeight="false" outlineLevel="0" collapsed="false">
      <c r="A981" s="4" t="s">
        <v>1704</v>
      </c>
      <c r="B981" s="4" t="n">
        <v>1929</v>
      </c>
      <c r="C981" s="4" t="str">
        <f aca="false">FLOOR(B981,10)&amp;"s"</f>
        <v>1920s</v>
      </c>
      <c r="D981" s="4" t="s">
        <v>535</v>
      </c>
      <c r="E981" s="25" t="str">
        <f aca="false">IF(G981=1,"✓","")</f>
        <v/>
      </c>
      <c r="F981" s="4" t="n">
        <v>1</v>
      </c>
      <c r="G981" s="4" t="n">
        <f aca="false">IF(COUNTIF('Letterboxd Watched'!$E$2:$E$3000,M981)&gt;0,1,0)</f>
        <v>0</v>
      </c>
      <c r="H981" s="4" t="n">
        <v>2</v>
      </c>
      <c r="I981" s="4" t="s">
        <v>213</v>
      </c>
      <c r="J981" s="4" t="s">
        <v>54</v>
      </c>
      <c r="K981" s="4" t="s">
        <v>4284</v>
      </c>
      <c r="L981" s="48" t="str">
        <f aca="false">HYPERLINK("https://letterboxd.com/search/films/Hallelujah+1929/","open")</f>
        <v>open</v>
      </c>
      <c r="M981" s="4" t="str">
        <f aca="false">LOWER(A981)&amp;"|"&amp;B981</f>
        <v>hallelujah|1929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1</v>
      </c>
      <c r="T981" s="4" t="n">
        <v>0</v>
      </c>
      <c r="U981" s="4" t="n">
        <v>0</v>
      </c>
      <c r="V981" s="4" t="n">
        <v>0</v>
      </c>
      <c r="W981" s="4" t="n">
        <v>0</v>
      </c>
    </row>
    <row r="982" customFormat="false" ht="15" hidden="false" customHeight="false" outlineLevel="0" collapsed="false">
      <c r="A982" s="4" t="s">
        <v>293</v>
      </c>
      <c r="B982" s="4" t="n">
        <v>1978</v>
      </c>
      <c r="C982" s="4" t="str">
        <f aca="false">FLOOR(B982,10)&amp;"s"</f>
        <v>1970s</v>
      </c>
      <c r="D982" s="4" t="s">
        <v>266</v>
      </c>
      <c r="E982" s="25" t="str">
        <f aca="false">IF(G982=1,"✓","")</f>
        <v>✓</v>
      </c>
      <c r="F982" s="4" t="n">
        <v>4</v>
      </c>
      <c r="G982" s="4" t="n">
        <f aca="false">IF(COUNTIF('Letterboxd Watched'!$E$2:$E$3000,M982)&gt;0,1,0)</f>
        <v>1</v>
      </c>
      <c r="H982" s="4" t="n">
        <v>11</v>
      </c>
      <c r="I982" s="4" t="s">
        <v>144</v>
      </c>
      <c r="J982" s="4" t="s">
        <v>52</v>
      </c>
      <c r="K982" s="4" t="s">
        <v>5457</v>
      </c>
      <c r="L982" s="48" t="str">
        <f aca="false">HYPERLINK("https://boxd.it/2wRu","open")</f>
        <v>open</v>
      </c>
      <c r="M982" s="4" t="str">
        <f aca="false">LOWER(A982)&amp;"|"&amp;B982</f>
        <v>halloween|1978</v>
      </c>
      <c r="N982" s="4" t="n">
        <v>0</v>
      </c>
      <c r="O982" s="4" t="n">
        <v>0</v>
      </c>
      <c r="P982" s="4" t="n">
        <v>0</v>
      </c>
      <c r="Q982" s="4" t="n">
        <v>1</v>
      </c>
      <c r="R982" s="4" t="n">
        <v>1</v>
      </c>
      <c r="S982" s="4" t="n">
        <v>1</v>
      </c>
      <c r="T982" s="4" t="n">
        <v>0</v>
      </c>
      <c r="U982" s="4" t="n">
        <v>1</v>
      </c>
      <c r="V982" s="4" t="n">
        <v>0</v>
      </c>
      <c r="W982" s="4" t="n">
        <v>0</v>
      </c>
    </row>
    <row r="983" customFormat="false" ht="15" hidden="false" customHeight="false" outlineLevel="0" collapsed="false">
      <c r="A983" s="4" t="s">
        <v>1116</v>
      </c>
      <c r="B983" s="4" t="n">
        <v>1997</v>
      </c>
      <c r="C983" s="4" t="str">
        <f aca="false">FLOOR(B983,10)&amp;"s"</f>
        <v>1990s</v>
      </c>
      <c r="D983" s="4" t="s">
        <v>831</v>
      </c>
      <c r="E983" s="25" t="str">
        <f aca="false">IF(G983=1,"✓","")</f>
        <v/>
      </c>
      <c r="F983" s="4" t="n">
        <v>2</v>
      </c>
      <c r="G983" s="4" t="n">
        <f aca="false">IF(COUNTIF('Letterboxd Watched'!$E$2:$E$3000,M983)&gt;0,1,0)</f>
        <v>0</v>
      </c>
      <c r="H983" s="4" t="n">
        <v>4</v>
      </c>
      <c r="I983" s="4" t="s">
        <v>213</v>
      </c>
      <c r="J983" s="4" t="s">
        <v>51</v>
      </c>
      <c r="K983" s="4" t="s">
        <v>5458</v>
      </c>
      <c r="L983" s="48" t="str">
        <f aca="false">HYPERLINK("https://letterboxd.com/search/films/Hanabi+1997/","open")</f>
        <v>open</v>
      </c>
      <c r="M983" s="4" t="str">
        <f aca="false">LOWER(A983)&amp;"|"&amp;B983</f>
        <v>hana-bi|1997</v>
      </c>
      <c r="N983" s="4" t="n">
        <v>0</v>
      </c>
      <c r="O983" s="4" t="n">
        <v>0</v>
      </c>
      <c r="P983" s="4" t="n">
        <v>1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1</v>
      </c>
    </row>
    <row r="984" customFormat="false" ht="15" hidden="false" customHeight="false" outlineLevel="0" collapsed="false">
      <c r="A984" s="4" t="s">
        <v>1228</v>
      </c>
      <c r="B984" s="4" t="n">
        <v>2016</v>
      </c>
      <c r="C984" s="4" t="str">
        <f aca="false">FLOOR(B984,10)&amp;"s"</f>
        <v>2010s</v>
      </c>
      <c r="D984" s="4" t="s">
        <v>685</v>
      </c>
      <c r="E984" s="25" t="str">
        <f aca="false">IF(G984=1,"✓","")</f>
        <v/>
      </c>
      <c r="F984" s="4" t="n">
        <v>2</v>
      </c>
      <c r="G984" s="4" t="n">
        <f aca="false">IF(COUNTIF('Letterboxd Watched'!$E$2:$E$3000,M984)&gt;0,1,0)</f>
        <v>0</v>
      </c>
      <c r="H984" s="4" t="n">
        <v>4</v>
      </c>
      <c r="I984" s="4" t="s">
        <v>213</v>
      </c>
      <c r="J984" s="4" t="s">
        <v>51</v>
      </c>
      <c r="K984" s="4" t="s">
        <v>5347</v>
      </c>
      <c r="L984" s="48" t="str">
        <f aca="false">HYPERLINK("https://boxd.it/948A","open")</f>
        <v>open</v>
      </c>
      <c r="M984" s="4" t="str">
        <f aca="false">LOWER(A984)&amp;"|"&amp;B984</f>
        <v>the handmaiden|2016</v>
      </c>
      <c r="N984" s="4" t="n">
        <v>0</v>
      </c>
      <c r="O984" s="4" t="n">
        <v>0</v>
      </c>
      <c r="P984" s="4" t="n">
        <v>1</v>
      </c>
      <c r="Q984" s="4" t="n">
        <v>0</v>
      </c>
      <c r="R984" s="4" t="n">
        <v>1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 customFormat="false" ht="15" hidden="false" customHeight="false" outlineLevel="0" collapsed="false">
      <c r="A985" s="4" t="s">
        <v>3641</v>
      </c>
      <c r="B985" s="4" t="n">
        <v>1986</v>
      </c>
      <c r="C985" s="4" t="str">
        <f aca="false">FLOOR(B985,10)&amp;"s"</f>
        <v>1980s</v>
      </c>
      <c r="D985" s="4" t="s">
        <v>3642</v>
      </c>
      <c r="E985" s="25" t="str">
        <f aca="false">IF(G985=1,"✓","")</f>
        <v/>
      </c>
      <c r="F985" s="4" t="n">
        <v>1</v>
      </c>
      <c r="G985" s="4" t="n">
        <f aca="false">IF(COUNTIF('Letterboxd Watched'!$E$2:$E$3000,M985)&gt;0,1,0)</f>
        <v>0</v>
      </c>
      <c r="H985" s="4" t="n">
        <v>1</v>
      </c>
      <c r="I985" s="4" t="s">
        <v>1327</v>
      </c>
      <c r="J985" s="4" t="s">
        <v>54</v>
      </c>
      <c r="K985" s="4" t="s">
        <v>4292</v>
      </c>
      <c r="L985" s="48" t="str">
        <f aca="false">HYPERLINK("https://letterboxd.com/search/films/Handsworth+Songs+1986/","open")</f>
        <v>open</v>
      </c>
      <c r="M985" s="4" t="str">
        <f aca="false">LOWER(A985)&amp;"|"&amp;B985</f>
        <v>handsworth songs|1986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1</v>
      </c>
      <c r="T985" s="4" t="n">
        <v>0</v>
      </c>
      <c r="U985" s="4" t="n">
        <v>0</v>
      </c>
      <c r="V985" s="4" t="n">
        <v>0</v>
      </c>
      <c r="W985" s="4" t="n">
        <v>0</v>
      </c>
    </row>
    <row r="986" customFormat="false" ht="15" hidden="false" customHeight="false" outlineLevel="0" collapsed="false">
      <c r="A986" s="4" t="s">
        <v>2888</v>
      </c>
      <c r="B986" s="4" t="n">
        <v>2007</v>
      </c>
      <c r="C986" s="4" t="str">
        <f aca="false">FLOOR(B986,10)&amp;"s"</f>
        <v>2000s</v>
      </c>
      <c r="D986" s="4" t="s">
        <v>2889</v>
      </c>
      <c r="E986" s="25" t="str">
        <f aca="false">IF(G986=1,"✓","")</f>
        <v/>
      </c>
      <c r="F986" s="4" t="n">
        <v>1</v>
      </c>
      <c r="G986" s="4" t="n">
        <f aca="false">IF(COUNTIF('Letterboxd Watched'!$E$2:$E$3000,M986)&gt;0,1,0)</f>
        <v>0</v>
      </c>
      <c r="H986" s="4" t="n">
        <v>2</v>
      </c>
      <c r="I986" s="4" t="s">
        <v>213</v>
      </c>
      <c r="J986" s="4" t="s">
        <v>54</v>
      </c>
      <c r="K986" s="4" t="s">
        <v>4312</v>
      </c>
      <c r="L986" s="48" t="str">
        <f aca="false">HYPERLINK("https://boxd.it/22BG","open")</f>
        <v>open</v>
      </c>
      <c r="M986" s="4" t="str">
        <f aca="false">LOWER(A986)&amp;"|"&amp;B986</f>
        <v>hannah takes the stairs|2007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1</v>
      </c>
      <c r="T986" s="4" t="n">
        <v>0</v>
      </c>
      <c r="U986" s="4" t="n">
        <v>0</v>
      </c>
      <c r="V986" s="4" t="n">
        <v>0</v>
      </c>
      <c r="W986" s="4" t="n">
        <v>0</v>
      </c>
    </row>
    <row r="987" customFormat="false" ht="15" hidden="false" customHeight="false" outlineLevel="0" collapsed="false">
      <c r="A987" s="4" t="s">
        <v>623</v>
      </c>
      <c r="B987" s="4" t="n">
        <v>1998</v>
      </c>
      <c r="C987" s="4" t="str">
        <f aca="false">FLOOR(B987,10)&amp;"s"</f>
        <v>1990s</v>
      </c>
      <c r="D987" s="4" t="s">
        <v>624</v>
      </c>
      <c r="E987" s="25" t="str">
        <f aca="false">IF(G987=1,"✓","")</f>
        <v/>
      </c>
      <c r="F987" s="4" t="n">
        <v>3</v>
      </c>
      <c r="G987" s="4" t="n">
        <f aca="false">IF(COUNTIF('Letterboxd Watched'!$E$2:$E$3000,M987)&gt;0,1,0)</f>
        <v>0</v>
      </c>
      <c r="H987" s="4" t="n">
        <v>6</v>
      </c>
      <c r="I987" s="4" t="s">
        <v>213</v>
      </c>
      <c r="J987" s="4" t="s">
        <v>50</v>
      </c>
      <c r="K987" s="4" t="s">
        <v>5459</v>
      </c>
      <c r="L987" s="48" t="str">
        <f aca="false">HYPERLINK("https://boxd.it/1VEe","open")</f>
        <v>open</v>
      </c>
      <c r="M987" s="4" t="str">
        <f aca="false">LOWER(A987)&amp;"|"&amp;B987</f>
        <v>happiness|1998</v>
      </c>
      <c r="N987" s="4" t="n">
        <v>0</v>
      </c>
      <c r="O987" s="4" t="n">
        <v>1</v>
      </c>
      <c r="P987" s="4" t="n">
        <v>0</v>
      </c>
      <c r="Q987" s="4" t="n">
        <v>0</v>
      </c>
      <c r="R987" s="4" t="n">
        <v>0</v>
      </c>
      <c r="S987" s="4" t="n">
        <v>1</v>
      </c>
      <c r="T987" s="4" t="n">
        <v>0</v>
      </c>
      <c r="U987" s="4" t="n">
        <v>0</v>
      </c>
      <c r="V987" s="4" t="n">
        <v>0</v>
      </c>
      <c r="W987" s="4" t="n">
        <v>1</v>
      </c>
    </row>
    <row r="988" customFormat="false" ht="15" hidden="false" customHeight="false" outlineLevel="0" collapsed="false">
      <c r="A988" s="4" t="s">
        <v>3133</v>
      </c>
      <c r="B988" s="4" t="n">
        <v>2018</v>
      </c>
      <c r="C988" s="4" t="str">
        <f aca="false">FLOOR(B988,10)&amp;"s"</f>
        <v>2010s</v>
      </c>
      <c r="D988" s="4" t="s">
        <v>3134</v>
      </c>
      <c r="E988" s="25" t="str">
        <f aca="false">IF(G988=1,"✓","")</f>
        <v/>
      </c>
      <c r="F988" s="4" t="n">
        <v>1</v>
      </c>
      <c r="G988" s="4" t="n">
        <f aca="false">IF(COUNTIF('Letterboxd Watched'!$E$2:$E$3000,M988)&gt;0,1,0)</f>
        <v>0</v>
      </c>
      <c r="H988" s="4" t="n">
        <v>2</v>
      </c>
      <c r="I988" s="4" t="s">
        <v>213</v>
      </c>
      <c r="J988" s="4" t="s">
        <v>51</v>
      </c>
      <c r="K988" s="4" t="s">
        <v>3956</v>
      </c>
      <c r="L988" s="48" t="str">
        <f aca="false">HYPERLINK("https://boxd.it/hiVs","open")</f>
        <v>open</v>
      </c>
      <c r="M988" s="4" t="str">
        <f aca="false">LOWER(A988)&amp;"|"&amp;B988</f>
        <v>happy as lazzaro|2018</v>
      </c>
      <c r="N988" s="4" t="n">
        <v>0</v>
      </c>
      <c r="O988" s="4" t="n">
        <v>0</v>
      </c>
      <c r="P988" s="4" t="n">
        <v>1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 customFormat="false" ht="15" hidden="false" customHeight="false" outlineLevel="0" collapsed="false">
      <c r="A989" s="4" t="s">
        <v>3840</v>
      </c>
      <c r="B989" s="4" t="n">
        <v>2017</v>
      </c>
      <c r="C989" s="4" t="str">
        <f aca="false">FLOOR(B989,10)&amp;"s"</f>
        <v>2010s</v>
      </c>
      <c r="D989" s="4" t="s">
        <v>516</v>
      </c>
      <c r="E989" s="25" t="str">
        <f aca="false">IF(G989=1,"✓","")</f>
        <v/>
      </c>
      <c r="F989" s="4" t="n">
        <v>1</v>
      </c>
      <c r="G989" s="4" t="n">
        <f aca="false">IF(COUNTIF('Letterboxd Watched'!$E$2:$E$3000,M989)&gt;0,1,0)</f>
        <v>0</v>
      </c>
      <c r="H989" s="4" t="n">
        <v>1</v>
      </c>
      <c r="I989" s="4" t="s">
        <v>1327</v>
      </c>
      <c r="J989" s="4" t="s">
        <v>53</v>
      </c>
      <c r="K989" s="4" t="s">
        <v>516</v>
      </c>
      <c r="L989" s="48" t="str">
        <f aca="false">HYPERLINK("https://letterboxd.com/search/films/Happy+End+2017/","open")</f>
        <v>open</v>
      </c>
      <c r="M989" s="4" t="str">
        <f aca="false">LOWER(A989)&amp;"|"&amp;B989</f>
        <v>happy end|2017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1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 customFormat="false" ht="15" hidden="false" customHeight="false" outlineLevel="0" collapsed="false">
      <c r="A990" s="4" t="s">
        <v>3826</v>
      </c>
      <c r="B990" s="4" t="n">
        <v>2015</v>
      </c>
      <c r="C990" s="4" t="str">
        <f aca="false">FLOOR(B990,10)&amp;"s"</f>
        <v>2010s</v>
      </c>
      <c r="D990" s="4" t="s">
        <v>881</v>
      </c>
      <c r="E990" s="25" t="str">
        <f aca="false">IF(G990=1,"✓","")</f>
        <v/>
      </c>
      <c r="F990" s="4" t="n">
        <v>1</v>
      </c>
      <c r="G990" s="4" t="n">
        <f aca="false">IF(COUNTIF('Letterboxd Watched'!$E$2:$E$3000,M990)&gt;0,1,0)</f>
        <v>0</v>
      </c>
      <c r="H990" s="4" t="n">
        <v>1</v>
      </c>
      <c r="I990" s="4" t="s">
        <v>1327</v>
      </c>
      <c r="J990" s="4" t="s">
        <v>51</v>
      </c>
      <c r="K990" s="4" t="s">
        <v>3940</v>
      </c>
      <c r="L990" s="48" t="str">
        <f aca="false">HYPERLINK("https://letterboxd.com/search/films/Happy+Hour+2015/","open")</f>
        <v>open</v>
      </c>
      <c r="M990" s="4" t="str">
        <f aca="false">LOWER(A990)&amp;"|"&amp;B990</f>
        <v>happy hour|2015</v>
      </c>
      <c r="N990" s="4" t="n">
        <v>0</v>
      </c>
      <c r="O990" s="4" t="n">
        <v>0</v>
      </c>
      <c r="P990" s="4" t="n">
        <v>1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 customFormat="false" ht="15" hidden="false" customHeight="false" outlineLevel="0" collapsed="false">
      <c r="A991" s="4" t="s">
        <v>621</v>
      </c>
      <c r="B991" s="4" t="n">
        <v>1997</v>
      </c>
      <c r="C991" s="4" t="str">
        <f aca="false">FLOOR(B991,10)&amp;"s"</f>
        <v>1990s</v>
      </c>
      <c r="D991" s="4" t="s">
        <v>193</v>
      </c>
      <c r="E991" s="25" t="str">
        <f aca="false">IF(G991=1,"✓","")</f>
        <v/>
      </c>
      <c r="F991" s="4" t="n">
        <v>3</v>
      </c>
      <c r="G991" s="4" t="n">
        <f aca="false">IF(COUNTIF('Letterboxd Watched'!$E$2:$E$3000,M991)&gt;0,1,0)</f>
        <v>0</v>
      </c>
      <c r="H991" s="4" t="n">
        <v>6</v>
      </c>
      <c r="I991" s="4" t="s">
        <v>213</v>
      </c>
      <c r="J991" s="4" t="s">
        <v>51</v>
      </c>
      <c r="K991" s="4" t="s">
        <v>5460</v>
      </c>
      <c r="L991" s="48" t="str">
        <f aca="false">HYPERLINK("https://boxd.it/1Ha0","open")</f>
        <v>open</v>
      </c>
      <c r="M991" s="4" t="str">
        <f aca="false">LOWER(A991)&amp;"|"&amp;B991</f>
        <v>happy together|1997</v>
      </c>
      <c r="N991" s="4" t="n">
        <v>0</v>
      </c>
      <c r="O991" s="4" t="n">
        <v>0</v>
      </c>
      <c r="P991" s="4" t="n">
        <v>1</v>
      </c>
      <c r="Q991" s="4" t="n">
        <v>0</v>
      </c>
      <c r="R991" s="4" t="n">
        <v>1</v>
      </c>
      <c r="S991" s="4" t="n">
        <v>1</v>
      </c>
      <c r="T991" s="4" t="n">
        <v>0</v>
      </c>
      <c r="U991" s="4" t="n">
        <v>0</v>
      </c>
      <c r="V991" s="4" t="n">
        <v>0</v>
      </c>
      <c r="W991" s="4" t="n">
        <v>0</v>
      </c>
    </row>
    <row r="992" customFormat="false" ht="15" hidden="false" customHeight="false" outlineLevel="0" collapsed="false">
      <c r="A992" s="4" t="s">
        <v>540</v>
      </c>
      <c r="B992" s="4" t="n">
        <v>1962</v>
      </c>
      <c r="C992" s="4" t="str">
        <f aca="false">FLOOR(B992,10)&amp;"s"</f>
        <v>1960s</v>
      </c>
      <c r="D992" s="4" t="s">
        <v>541</v>
      </c>
      <c r="E992" s="25" t="str">
        <f aca="false">IF(G992=1,"✓","")</f>
        <v/>
      </c>
      <c r="F992" s="4" t="n">
        <v>3</v>
      </c>
      <c r="G992" s="4" t="n">
        <f aca="false">IF(COUNTIF('Letterboxd Watched'!$E$2:$E$3000,M992)&gt;0,1,0)</f>
        <v>0</v>
      </c>
      <c r="H992" s="4" t="n">
        <v>7</v>
      </c>
      <c r="I992" s="4" t="s">
        <v>144</v>
      </c>
      <c r="J992" s="4" t="s">
        <v>51</v>
      </c>
      <c r="K992" s="4" t="s">
        <v>5461</v>
      </c>
      <c r="L992" s="48" t="str">
        <f aca="false">HYPERLINK("https://boxd.it/1NTU","open")</f>
        <v>open</v>
      </c>
      <c r="M992" s="4" t="str">
        <f aca="false">LOWER(A992)&amp;"|"&amp;B992</f>
        <v>harakiri|1962</v>
      </c>
      <c r="N992" s="4" t="n">
        <v>0</v>
      </c>
      <c r="O992" s="4" t="n">
        <v>0</v>
      </c>
      <c r="P992" s="4" t="n">
        <v>1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1</v>
      </c>
      <c r="W992" s="4" t="n">
        <v>0</v>
      </c>
    </row>
    <row r="993" customFormat="false" ht="15" hidden="false" customHeight="false" outlineLevel="0" collapsed="false">
      <c r="A993" s="4" t="s">
        <v>368</v>
      </c>
      <c r="B993" s="4" t="n">
        <v>1988</v>
      </c>
      <c r="C993" s="4" t="str">
        <f aca="false">FLOOR(B993,10)&amp;"s"</f>
        <v>1980s</v>
      </c>
      <c r="D993" s="4" t="s">
        <v>369</v>
      </c>
      <c r="E993" s="25" t="str">
        <f aca="false">IF(G993=1,"✓","")</f>
        <v/>
      </c>
      <c r="F993" s="4" t="n">
        <v>4</v>
      </c>
      <c r="G993" s="4" t="n">
        <f aca="false">IF(COUNTIF('Letterboxd Watched'!$E$2:$E$3000,M993)&gt;0,1,0)</f>
        <v>0</v>
      </c>
      <c r="H993" s="4" t="n">
        <v>9</v>
      </c>
      <c r="I993" s="4" t="s">
        <v>144</v>
      </c>
      <c r="J993" s="4" t="s">
        <v>49</v>
      </c>
      <c r="K993" s="4" t="s">
        <v>5462</v>
      </c>
      <c r="L993" s="48" t="str">
        <f aca="false">HYPERLINK("https://boxd.it/2a7u","open")</f>
        <v>open</v>
      </c>
      <c r="M993" s="4" t="str">
        <f aca="false">LOWER(A993)&amp;"|"&amp;B993</f>
        <v>die hard|1988</v>
      </c>
      <c r="N993" s="4" t="n">
        <v>1</v>
      </c>
      <c r="O993" s="4" t="n">
        <v>1</v>
      </c>
      <c r="P993" s="4" t="n">
        <v>0</v>
      </c>
      <c r="Q993" s="4" t="n">
        <v>1</v>
      </c>
      <c r="R993" s="4" t="n">
        <v>0</v>
      </c>
      <c r="S993" s="4" t="n">
        <v>0</v>
      </c>
      <c r="T993" s="4" t="n">
        <v>0</v>
      </c>
      <c r="U993" s="4" t="n">
        <v>1</v>
      </c>
      <c r="V993" s="4" t="n">
        <v>0</v>
      </c>
      <c r="W993" s="4" t="n">
        <v>0</v>
      </c>
    </row>
    <row r="994" customFormat="false" ht="15" hidden="false" customHeight="false" outlineLevel="0" collapsed="false">
      <c r="A994" s="4" t="s">
        <v>1543</v>
      </c>
      <c r="B994" s="4" t="n">
        <v>1992</v>
      </c>
      <c r="C994" s="4" t="str">
        <f aca="false">FLOOR(B994,10)&amp;"s"</f>
        <v>1990s</v>
      </c>
      <c r="D994" s="4" t="s">
        <v>1387</v>
      </c>
      <c r="E994" s="25" t="str">
        <f aca="false">IF(G994=1,"✓","")</f>
        <v>✓</v>
      </c>
      <c r="F994" s="4" t="n">
        <v>1</v>
      </c>
      <c r="G994" s="4" t="n">
        <f aca="false">IF(COUNTIF('Letterboxd Watched'!$E$2:$E$3000,M994)&gt;0,1,0)</f>
        <v>1</v>
      </c>
      <c r="H994" s="4" t="n">
        <v>3</v>
      </c>
      <c r="I994" s="4" t="s">
        <v>144</v>
      </c>
      <c r="J994" s="4" t="s">
        <v>51</v>
      </c>
      <c r="K994" s="4" t="s">
        <v>4012</v>
      </c>
      <c r="L994" s="48" t="str">
        <f aca="false">HYPERLINK("https://boxd.it/1T6a","open")</f>
        <v>open</v>
      </c>
      <c r="M994" s="4" t="str">
        <f aca="false">LOWER(A994)&amp;"|"&amp;B994</f>
        <v>hard boiled|1992</v>
      </c>
      <c r="N994" s="4" t="n">
        <v>0</v>
      </c>
      <c r="O994" s="4" t="n">
        <v>0</v>
      </c>
      <c r="P994" s="4" t="n">
        <v>1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</row>
    <row r="995" customFormat="false" ht="15" hidden="false" customHeight="false" outlineLevel="0" collapsed="false">
      <c r="A995" s="4" t="s">
        <v>977</v>
      </c>
      <c r="B995" s="4" t="n">
        <v>1964</v>
      </c>
      <c r="C995" s="4" t="str">
        <f aca="false">FLOOR(B995,10)&amp;"s"</f>
        <v>1960s</v>
      </c>
      <c r="D995" s="4" t="s">
        <v>978</v>
      </c>
      <c r="E995" s="25" t="str">
        <f aca="false">IF(G995=1,"✓","")</f>
        <v/>
      </c>
      <c r="F995" s="4" t="n">
        <v>2</v>
      </c>
      <c r="G995" s="4" t="n">
        <f aca="false">IF(COUNTIF('Letterboxd Watched'!$E$2:$E$3000,M995)&gt;0,1,0)</f>
        <v>0</v>
      </c>
      <c r="H995" s="4" t="n">
        <v>4</v>
      </c>
      <c r="I995" s="4" t="s">
        <v>213</v>
      </c>
      <c r="J995" s="4" t="s">
        <v>51</v>
      </c>
      <c r="K995" s="4" t="s">
        <v>5463</v>
      </c>
      <c r="L995" s="48" t="str">
        <f aca="false">HYPERLINK("https://boxd.it/29LS","open")</f>
        <v>open</v>
      </c>
      <c r="M995" s="4" t="str">
        <f aca="false">LOWER(A995)&amp;"|"&amp;B995</f>
        <v>a hard day's night|1964</v>
      </c>
      <c r="N995" s="4" t="n">
        <v>0</v>
      </c>
      <c r="O995" s="4" t="n">
        <v>0</v>
      </c>
      <c r="P995" s="4" t="n">
        <v>1</v>
      </c>
      <c r="Q995" s="4" t="n">
        <v>0</v>
      </c>
      <c r="R995" s="4" t="n">
        <v>0</v>
      </c>
      <c r="S995" s="4" t="n">
        <v>0</v>
      </c>
      <c r="T995" s="4" t="n">
        <v>1</v>
      </c>
      <c r="U995" s="4" t="n">
        <v>0</v>
      </c>
      <c r="V995" s="4" t="n">
        <v>0</v>
      </c>
      <c r="W995" s="4" t="n">
        <v>0</v>
      </c>
    </row>
    <row r="996" customFormat="false" ht="15" hidden="false" customHeight="false" outlineLevel="0" collapsed="false">
      <c r="A996" s="4" t="s">
        <v>620</v>
      </c>
      <c r="B996" s="4" t="n">
        <v>1996</v>
      </c>
      <c r="C996" s="4" t="str">
        <f aca="false">FLOOR(B996,10)&amp;"s"</f>
        <v>1990s</v>
      </c>
      <c r="D996" s="4" t="s">
        <v>278</v>
      </c>
      <c r="E996" s="25" t="str">
        <f aca="false">IF(G996=1,"✓","")</f>
        <v>✓</v>
      </c>
      <c r="F996" s="4" t="n">
        <v>3</v>
      </c>
      <c r="G996" s="4" t="n">
        <f aca="false">IF(COUNTIF('Letterboxd Watched'!$E$2:$E$3000,M996)&gt;0,1,0)</f>
        <v>1</v>
      </c>
      <c r="H996" s="4" t="n">
        <v>6</v>
      </c>
      <c r="I996" s="4" t="s">
        <v>213</v>
      </c>
      <c r="J996" s="4" t="s">
        <v>53</v>
      </c>
      <c r="K996" s="4" t="s">
        <v>5464</v>
      </c>
      <c r="L996" s="48" t="str">
        <f aca="false">HYPERLINK("https://boxd.it/20DU","open")</f>
        <v>open</v>
      </c>
      <c r="M996" s="4" t="str">
        <f aca="false">LOWER(A996)&amp;"|"&amp;B996</f>
        <v>hard eight|1996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1</v>
      </c>
      <c r="S996" s="4" t="n">
        <v>0</v>
      </c>
      <c r="T996" s="4" t="n">
        <v>0</v>
      </c>
      <c r="U996" s="4" t="n">
        <v>1</v>
      </c>
      <c r="V996" s="4" t="n">
        <v>0</v>
      </c>
      <c r="W996" s="4" t="n">
        <v>1</v>
      </c>
    </row>
    <row r="997" customFormat="false" ht="15" hidden="false" customHeight="false" outlineLevel="0" collapsed="false">
      <c r="A997" s="4" t="s">
        <v>1386</v>
      </c>
      <c r="B997" s="4" t="n">
        <v>1993</v>
      </c>
      <c r="C997" s="4" t="str">
        <f aca="false">FLOOR(B997,10)&amp;"s"</f>
        <v>1990s</v>
      </c>
      <c r="D997" s="4" t="s">
        <v>1387</v>
      </c>
      <c r="E997" s="25" t="str">
        <f aca="false">IF(G997=1,"✓","")</f>
        <v/>
      </c>
      <c r="F997" s="4" t="n">
        <v>2</v>
      </c>
      <c r="G997" s="4" t="n">
        <f aca="false">IF(COUNTIF('Letterboxd Watched'!$E$2:$E$3000,M997)&gt;0,1,0)</f>
        <v>0</v>
      </c>
      <c r="H997" s="4" t="n">
        <v>3</v>
      </c>
      <c r="I997" s="4" t="s">
        <v>213</v>
      </c>
      <c r="J997" s="4" t="s">
        <v>52</v>
      </c>
      <c r="K997" s="4" t="s">
        <v>5465</v>
      </c>
      <c r="L997" s="48" t="str">
        <f aca="false">HYPERLINK("https://letterboxd.com/search/films/Hard+Target+1993/","open")</f>
        <v>open</v>
      </c>
      <c r="M997" s="4" t="str">
        <f aca="false">LOWER(A997)&amp;"|"&amp;B997</f>
        <v>hard target|1993</v>
      </c>
      <c r="N997" s="4" t="n">
        <v>0</v>
      </c>
      <c r="O997" s="4" t="n">
        <v>0</v>
      </c>
      <c r="P997" s="4" t="n">
        <v>0</v>
      </c>
      <c r="Q997" s="4" t="n">
        <v>1</v>
      </c>
      <c r="R997" s="4" t="n">
        <v>0</v>
      </c>
      <c r="S997" s="4" t="n">
        <v>1</v>
      </c>
      <c r="T997" s="4" t="n">
        <v>0</v>
      </c>
      <c r="U997" s="4" t="n">
        <v>0</v>
      </c>
      <c r="V997" s="4" t="n">
        <v>0</v>
      </c>
      <c r="W997" s="4" t="n">
        <v>0</v>
      </c>
    </row>
    <row r="998" customFormat="false" ht="15" hidden="false" customHeight="false" outlineLevel="0" collapsed="false">
      <c r="A998" s="4" t="s">
        <v>1017</v>
      </c>
      <c r="B998" s="4" t="n">
        <v>1972</v>
      </c>
      <c r="C998" s="4" t="str">
        <f aca="false">FLOOR(B998,10)&amp;"s"</f>
        <v>1970s</v>
      </c>
      <c r="D998" s="4" t="s">
        <v>1018</v>
      </c>
      <c r="E998" s="25" t="str">
        <f aca="false">IF(G998=1,"✓","")</f>
        <v/>
      </c>
      <c r="F998" s="4" t="n">
        <v>2</v>
      </c>
      <c r="G998" s="4" t="n">
        <f aca="false">IF(COUNTIF('Letterboxd Watched'!$E$2:$E$3000,M998)&gt;0,1,0)</f>
        <v>0</v>
      </c>
      <c r="H998" s="4" t="n">
        <v>4</v>
      </c>
      <c r="I998" s="4" t="s">
        <v>213</v>
      </c>
      <c r="J998" s="4" t="s">
        <v>54</v>
      </c>
      <c r="K998" s="4" t="s">
        <v>5466</v>
      </c>
      <c r="L998" s="48" t="str">
        <f aca="false">HYPERLINK("https://letterboxd.com/search/films/The+Harder+They+Come+1972/","open")</f>
        <v>open</v>
      </c>
      <c r="M998" s="4" t="str">
        <f aca="false">LOWER(A998)&amp;"|"&amp;B998</f>
        <v>the harder they come|1972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1</v>
      </c>
      <c r="T998" s="4" t="n">
        <v>0</v>
      </c>
      <c r="U998" s="4" t="n">
        <v>1</v>
      </c>
      <c r="V998" s="4" t="n">
        <v>0</v>
      </c>
      <c r="W998" s="4" t="n">
        <v>0</v>
      </c>
    </row>
    <row r="999" customFormat="false" ht="15" hidden="false" customHeight="false" outlineLevel="0" collapsed="false">
      <c r="A999" s="4" t="s">
        <v>804</v>
      </c>
      <c r="B999" s="4" t="n">
        <v>1976</v>
      </c>
      <c r="C999" s="4" t="str">
        <f aca="false">FLOOR(B999,10)&amp;"s"</f>
        <v>1970s</v>
      </c>
      <c r="D999" s="4" t="s">
        <v>805</v>
      </c>
      <c r="E999" s="25" t="str">
        <f aca="false">IF(G999=1,"✓","")</f>
        <v/>
      </c>
      <c r="F999" s="4" t="n">
        <v>2</v>
      </c>
      <c r="G999" s="4" t="n">
        <f aca="false">IF(COUNTIF('Letterboxd Watched'!$E$2:$E$3000,M999)&gt;0,1,0)</f>
        <v>0</v>
      </c>
      <c r="H999" s="4" t="n">
        <v>5</v>
      </c>
      <c r="I999" s="4" t="s">
        <v>144</v>
      </c>
      <c r="J999" s="4" t="s">
        <v>52</v>
      </c>
      <c r="K999" s="4" t="s">
        <v>5467</v>
      </c>
      <c r="L999" s="48" t="str">
        <f aca="false">HYPERLINK("https://boxd.it/1fJw","open")</f>
        <v>open</v>
      </c>
      <c r="M999" s="4" t="str">
        <f aca="false">LOWER(A999)&amp;"|"&amp;B999</f>
        <v>harlan county u.s.a.|1976</v>
      </c>
      <c r="N999" s="4" t="n">
        <v>0</v>
      </c>
      <c r="O999" s="4" t="n">
        <v>0</v>
      </c>
      <c r="P999" s="4" t="n">
        <v>0</v>
      </c>
      <c r="Q999" s="4" t="n">
        <v>1</v>
      </c>
      <c r="R999" s="4" t="n">
        <v>0</v>
      </c>
      <c r="S999" s="4" t="n">
        <v>0</v>
      </c>
      <c r="T999" s="4" t="n">
        <v>1</v>
      </c>
      <c r="U999" s="4" t="n">
        <v>0</v>
      </c>
      <c r="V999" s="4" t="n">
        <v>0</v>
      </c>
      <c r="W999" s="4" t="n">
        <v>0</v>
      </c>
    </row>
    <row r="1000" customFormat="false" ht="15" hidden="false" customHeight="false" outlineLevel="0" collapsed="false">
      <c r="A1000" s="4" t="s">
        <v>309</v>
      </c>
      <c r="B1000" s="4" t="n">
        <v>1971</v>
      </c>
      <c r="C1000" s="4" t="str">
        <f aca="false">FLOOR(B1000,10)&amp;"s"</f>
        <v>1970s</v>
      </c>
      <c r="D1000" s="4" t="s">
        <v>310</v>
      </c>
      <c r="E1000" s="25" t="str">
        <f aca="false">IF(G1000=1,"✓","")</f>
        <v/>
      </c>
      <c r="F1000" s="4" t="n">
        <v>4</v>
      </c>
      <c r="G1000" s="4" t="n">
        <f aca="false">IF(COUNTIF('Letterboxd Watched'!$E$2:$E$3000,M1000)&gt;0,1,0)</f>
        <v>0</v>
      </c>
      <c r="H1000" s="4" t="n">
        <v>10</v>
      </c>
      <c r="I1000" s="4" t="s">
        <v>144</v>
      </c>
      <c r="J1000" s="4" t="s">
        <v>52</v>
      </c>
      <c r="K1000" s="4" t="s">
        <v>5468</v>
      </c>
      <c r="L1000" s="48" t="str">
        <f aca="false">HYPERLINK("https://boxd.it/2axM","open")</f>
        <v>open</v>
      </c>
      <c r="M1000" s="4" t="str">
        <f aca="false">LOWER(A1000)&amp;"|"&amp;B1000</f>
        <v>harold and maude|1971</v>
      </c>
      <c r="N1000" s="4" t="n">
        <v>0</v>
      </c>
      <c r="O1000" s="4" t="n">
        <v>0</v>
      </c>
      <c r="P1000" s="4" t="n">
        <v>0</v>
      </c>
      <c r="Q1000" s="4" t="n">
        <v>1</v>
      </c>
      <c r="R1000" s="4" t="n">
        <v>1</v>
      </c>
      <c r="S1000" s="4" t="n">
        <v>0</v>
      </c>
      <c r="T1000" s="4" t="n">
        <v>1</v>
      </c>
      <c r="U1000" s="4" t="n">
        <v>0</v>
      </c>
      <c r="V1000" s="4" t="n">
        <v>0</v>
      </c>
      <c r="W1000" s="4" t="n">
        <v>1</v>
      </c>
    </row>
    <row r="1001" customFormat="false" ht="15" hidden="false" customHeight="false" outlineLevel="0" collapsed="false">
      <c r="A1001" s="4" t="s">
        <v>3417</v>
      </c>
      <c r="B1001" s="4" t="n">
        <v>1962</v>
      </c>
      <c r="C1001" s="4" t="str">
        <f aca="false">FLOOR(B1001,10)&amp;"s"</f>
        <v>1960s</v>
      </c>
      <c r="D1001" s="4" t="s">
        <v>168</v>
      </c>
      <c r="E1001" s="25" t="str">
        <f aca="false">IF(G1001=1,"✓","")</f>
        <v/>
      </c>
      <c r="F1001" s="4" t="n">
        <v>1</v>
      </c>
      <c r="G1001" s="4" t="n">
        <f aca="false">IF(COUNTIF('Letterboxd Watched'!$E$2:$E$3000,M1001)&gt;0,1,0)</f>
        <v>0</v>
      </c>
      <c r="H1001" s="4" t="n">
        <v>1</v>
      </c>
      <c r="I1001" s="4" t="s">
        <v>1327</v>
      </c>
      <c r="J1001" s="4" t="s">
        <v>53</v>
      </c>
      <c r="K1001" s="4" t="s">
        <v>168</v>
      </c>
      <c r="L1001" s="48" t="str">
        <f aca="false">HYPERLINK("https://boxd.it/1TYm","open")</f>
        <v>open</v>
      </c>
      <c r="M1001" s="4" t="str">
        <f aca="false">LOWER(A1001)&amp;"|"&amp;B1001</f>
        <v>hatari!|1962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1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</row>
    <row r="1002" customFormat="false" ht="15" hidden="false" customHeight="false" outlineLevel="0" collapsed="false">
      <c r="A1002" s="4" t="s">
        <v>1226</v>
      </c>
      <c r="B1002" s="4" t="n">
        <v>2015</v>
      </c>
      <c r="C1002" s="4" t="str">
        <f aca="false">FLOOR(B1002,10)&amp;"s"</f>
        <v>2010s</v>
      </c>
      <c r="D1002" s="4" t="s">
        <v>208</v>
      </c>
      <c r="E1002" s="25" t="str">
        <f aca="false">IF(G1002=1,"✓","")</f>
        <v>✓</v>
      </c>
      <c r="F1002" s="4" t="n">
        <v>2</v>
      </c>
      <c r="G1002" s="4" t="n">
        <f aca="false">IF(COUNTIF('Letterboxd Watched'!$E$2:$E$3000,M1002)&gt;0,1,0)</f>
        <v>1</v>
      </c>
      <c r="H1002" s="4" t="n">
        <v>4</v>
      </c>
      <c r="I1002" s="4" t="s">
        <v>213</v>
      </c>
      <c r="J1002" s="4" t="s">
        <v>53</v>
      </c>
      <c r="K1002" s="4" t="s">
        <v>5469</v>
      </c>
      <c r="L1002" s="48" t="str">
        <f aca="false">HYPERLINK("https://boxd.it/8gw8","open")</f>
        <v>open</v>
      </c>
      <c r="M1002" s="4" t="str">
        <f aca="false">LOWER(A1002)&amp;"|"&amp;B1002</f>
        <v>the hateful eight|2015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1</v>
      </c>
      <c r="S1002" s="4" t="n">
        <v>0</v>
      </c>
      <c r="T1002" s="4" t="n">
        <v>0</v>
      </c>
      <c r="U1002" s="4" t="n">
        <v>1</v>
      </c>
      <c r="V1002" s="4" t="n">
        <v>0</v>
      </c>
      <c r="W1002" s="4" t="n">
        <v>0</v>
      </c>
    </row>
    <row r="1003" customFormat="false" ht="15" hidden="false" customHeight="false" outlineLevel="0" collapsed="false">
      <c r="A1003" s="4" t="s">
        <v>885</v>
      </c>
      <c r="B1003" s="4" t="n">
        <v>1963</v>
      </c>
      <c r="C1003" s="4" t="str">
        <f aca="false">FLOOR(B1003,10)&amp;"s"</f>
        <v>1960s</v>
      </c>
      <c r="D1003" s="4" t="s">
        <v>789</v>
      </c>
      <c r="E1003" s="25" t="str">
        <f aca="false">IF(G1003=1,"✓","")</f>
        <v/>
      </c>
      <c r="F1003" s="4" t="n">
        <v>2</v>
      </c>
      <c r="G1003" s="4" t="n">
        <f aca="false">IF(COUNTIF('Letterboxd Watched'!$E$2:$E$3000,M1003)&gt;0,1,0)</f>
        <v>0</v>
      </c>
      <c r="H1003" s="4" t="n">
        <v>5</v>
      </c>
      <c r="I1003" s="4" t="s">
        <v>144</v>
      </c>
      <c r="J1003" s="4" t="s">
        <v>52</v>
      </c>
      <c r="K1003" s="4" t="s">
        <v>5470</v>
      </c>
      <c r="L1003" s="48" t="str">
        <f aca="false">HYPERLINK("https://boxd.it/1T7M","open")</f>
        <v>open</v>
      </c>
      <c r="M1003" s="4" t="str">
        <f aca="false">LOWER(A1003)&amp;"|"&amp;B1003</f>
        <v>the haunting|1963</v>
      </c>
      <c r="N1003" s="4" t="n">
        <v>0</v>
      </c>
      <c r="O1003" s="4" t="n">
        <v>0</v>
      </c>
      <c r="P1003" s="4" t="n">
        <v>0</v>
      </c>
      <c r="Q1003" s="4" t="n">
        <v>1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</row>
    <row r="1004" customFormat="false" ht="15" hidden="false" customHeight="false" outlineLevel="0" collapsed="false">
      <c r="A1004" s="4" t="s">
        <v>2977</v>
      </c>
      <c r="B1004" s="4" t="n">
        <v>2011</v>
      </c>
      <c r="C1004" s="4" t="str">
        <f aca="false">FLOOR(B1004,10)&amp;"s"</f>
        <v>2010s</v>
      </c>
      <c r="D1004" s="4" t="s">
        <v>1155</v>
      </c>
      <c r="E1004" s="25" t="str">
        <f aca="false">IF(G1004=1,"✓","")</f>
        <v/>
      </c>
      <c r="F1004" s="4" t="n">
        <v>1</v>
      </c>
      <c r="G1004" s="4" t="n">
        <f aca="false">IF(COUNTIF('Letterboxd Watched'!$E$2:$E$3000,M1004)&gt;0,1,0)</f>
        <v>0</v>
      </c>
      <c r="H1004" s="4" t="n">
        <v>2</v>
      </c>
      <c r="I1004" s="4" t="s">
        <v>213</v>
      </c>
      <c r="J1004" s="4" t="s">
        <v>53</v>
      </c>
      <c r="K1004" s="4" t="s">
        <v>4240</v>
      </c>
      <c r="L1004" s="48" t="str">
        <f aca="false">HYPERLINK("https://boxd.it/2vzu","open")</f>
        <v>open</v>
      </c>
      <c r="M1004" s="4" t="str">
        <f aca="false">LOWER(A1004)&amp;"|"&amp;B1004</f>
        <v>le havre|2011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1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 customFormat="false" ht="15" hidden="false" customHeight="false" outlineLevel="0" collapsed="false">
      <c r="A1005" s="4" t="s">
        <v>1296</v>
      </c>
      <c r="B1005" s="4" t="n">
        <v>1922</v>
      </c>
      <c r="C1005" s="4" t="str">
        <f aca="false">FLOOR(B1005,10)&amp;"s"</f>
        <v>1920s</v>
      </c>
      <c r="D1005" s="4" t="s">
        <v>1297</v>
      </c>
      <c r="E1005" s="25" t="str">
        <f aca="false">IF(G1005=1,"✓","")</f>
        <v/>
      </c>
      <c r="F1005" s="4" t="n">
        <v>2</v>
      </c>
      <c r="G1005" s="4" t="n">
        <f aca="false">IF(COUNTIF('Letterboxd Watched'!$E$2:$E$3000,M1005)&gt;0,1,0)</f>
        <v>0</v>
      </c>
      <c r="H1005" s="4" t="n">
        <v>3</v>
      </c>
      <c r="I1005" s="4" t="s">
        <v>213</v>
      </c>
      <c r="J1005" s="4" t="s">
        <v>51</v>
      </c>
      <c r="K1005" s="4" t="s">
        <v>5471</v>
      </c>
      <c r="L1005" s="48" t="str">
        <f aca="false">HYPERLINK("https://boxd.it/n4O","open")</f>
        <v>open</v>
      </c>
      <c r="M1005" s="4" t="str">
        <f aca="false">LOWER(A1005)&amp;"|"&amp;B1005</f>
        <v>häxan|1922</v>
      </c>
      <c r="N1005" s="4" t="n">
        <v>0</v>
      </c>
      <c r="O1005" s="4" t="n">
        <v>0</v>
      </c>
      <c r="P1005" s="4" t="n">
        <v>1</v>
      </c>
      <c r="Q1005" s="4" t="n">
        <v>1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 customFormat="false" ht="15" hidden="false" customHeight="false" outlineLevel="0" collapsed="false">
      <c r="A1006" s="4" t="s">
        <v>3456</v>
      </c>
      <c r="B1006" s="4" t="n">
        <v>1968</v>
      </c>
      <c r="C1006" s="4" t="str">
        <f aca="false">FLOOR(B1006,10)&amp;"s"</f>
        <v>1960s</v>
      </c>
      <c r="D1006" s="4" t="s">
        <v>594</v>
      </c>
      <c r="E1006" s="25" t="str">
        <f aca="false">IF(G1006=1,"✓","")</f>
        <v/>
      </c>
      <c r="F1006" s="4" t="n">
        <v>1</v>
      </c>
      <c r="G1006" s="4" t="n">
        <f aca="false">IF(COUNTIF('Letterboxd Watched'!$E$2:$E$3000,M1006)&gt;0,1,0)</f>
        <v>0</v>
      </c>
      <c r="H1006" s="4" t="n">
        <v>1</v>
      </c>
      <c r="I1006" s="4" t="s">
        <v>1327</v>
      </c>
      <c r="J1006" s="4" t="s">
        <v>53</v>
      </c>
      <c r="K1006" s="4" t="s">
        <v>4200</v>
      </c>
      <c r="L1006" s="48" t="str">
        <f aca="false">HYPERLINK("https://boxd.it/1HoQ","open")</f>
        <v>open</v>
      </c>
      <c r="M1006" s="4" t="str">
        <f aca="false">LOWER(A1006)&amp;"|"&amp;B1006</f>
        <v>head|1968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1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</row>
    <row r="1007" customFormat="false" ht="15" hidden="false" customHeight="false" outlineLevel="0" collapsed="false">
      <c r="A1007" s="4" t="s">
        <v>2578</v>
      </c>
      <c r="B1007" s="4" t="n">
        <v>1993</v>
      </c>
      <c r="C1007" s="4" t="str">
        <f aca="false">FLOOR(B1007,10)&amp;"s"</f>
        <v>1990s</v>
      </c>
      <c r="D1007" s="4" t="s">
        <v>391</v>
      </c>
      <c r="E1007" s="25" t="str">
        <f aca="false">IF(G1007=1,"✓","")</f>
        <v/>
      </c>
      <c r="F1007" s="4" t="n">
        <v>1</v>
      </c>
      <c r="G1007" s="4" t="n">
        <f aca="false">IF(COUNTIF('Letterboxd Watched'!$E$2:$E$3000,M1007)&gt;0,1,0)</f>
        <v>0</v>
      </c>
      <c r="H1007" s="4" t="n">
        <v>2</v>
      </c>
      <c r="I1007" s="4" t="s">
        <v>213</v>
      </c>
      <c r="J1007" s="4" t="s">
        <v>58</v>
      </c>
      <c r="K1007" s="4" t="s">
        <v>4464</v>
      </c>
      <c r="L1007" s="48" t="str">
        <f aca="false">HYPERLINK("https://letterboxd.com/search/films/Heart+of+Darkness+1993/","open")</f>
        <v>open</v>
      </c>
      <c r="M1007" s="4" t="str">
        <f aca="false">LOWER(A1007)&amp;"|"&amp;B1007</f>
        <v>heart of darkness|1993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1</v>
      </c>
    </row>
    <row r="1008" customFormat="false" ht="15" hidden="false" customHeight="false" outlineLevel="0" collapsed="false">
      <c r="A1008" s="4" t="s">
        <v>3555</v>
      </c>
      <c r="B1008" s="4" t="n">
        <v>1976</v>
      </c>
      <c r="C1008" s="4" t="str">
        <f aca="false">FLOOR(B1008,10)&amp;"s"</f>
        <v>1970s</v>
      </c>
      <c r="D1008" s="4" t="s">
        <v>292</v>
      </c>
      <c r="E1008" s="25" t="str">
        <f aca="false">IF(G1008=1,"✓","")</f>
        <v/>
      </c>
      <c r="F1008" s="4" t="n">
        <v>1</v>
      </c>
      <c r="G1008" s="4" t="n">
        <f aca="false">IF(COUNTIF('Letterboxd Watched'!$E$2:$E$3000,M1008)&gt;0,1,0)</f>
        <v>0</v>
      </c>
      <c r="H1008" s="4" t="n">
        <v>1</v>
      </c>
      <c r="I1008" s="4" t="s">
        <v>1327</v>
      </c>
      <c r="J1008" s="4" t="s">
        <v>53</v>
      </c>
      <c r="K1008" s="4" t="s">
        <v>292</v>
      </c>
      <c r="L1008" s="48" t="str">
        <f aca="false">HYPERLINK("https://boxd.it/1rWi","open")</f>
        <v>open</v>
      </c>
      <c r="M1008" s="4" t="str">
        <f aca="false">LOWER(A1008)&amp;"|"&amp;B1008</f>
        <v>heart of glass|1976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1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</row>
    <row r="1009" customFormat="false" ht="15" hidden="false" customHeight="false" outlineLevel="0" collapsed="false">
      <c r="A1009" s="4" t="s">
        <v>706</v>
      </c>
      <c r="B1009" s="4" t="n">
        <v>1972</v>
      </c>
      <c r="C1009" s="4" t="str">
        <f aca="false">FLOOR(B1009,10)&amp;"s"</f>
        <v>1970s</v>
      </c>
      <c r="D1009" s="4" t="s">
        <v>707</v>
      </c>
      <c r="E1009" s="25" t="str">
        <f aca="false">IF(G1009=1,"✓","")</f>
        <v/>
      </c>
      <c r="F1009" s="4" t="n">
        <v>3</v>
      </c>
      <c r="G1009" s="4" t="n">
        <f aca="false">IF(COUNTIF('Letterboxd Watched'!$E$2:$E$3000,M1009)&gt;0,1,0)</f>
        <v>0</v>
      </c>
      <c r="H1009" s="4" t="n">
        <v>5</v>
      </c>
      <c r="I1009" s="4" t="s">
        <v>213</v>
      </c>
      <c r="J1009" s="4" t="s">
        <v>52</v>
      </c>
      <c r="K1009" s="4" t="s">
        <v>5472</v>
      </c>
      <c r="L1009" s="48" t="str">
        <f aca="false">HYPERLINK("https://boxd.it/11aM","open")</f>
        <v>open</v>
      </c>
      <c r="M1009" s="4" t="str">
        <f aca="false">LOWER(A1009)&amp;"|"&amp;B1009</f>
        <v>the heartbreak kid|1972</v>
      </c>
      <c r="N1009" s="4" t="n">
        <v>0</v>
      </c>
      <c r="O1009" s="4" t="n">
        <v>0</v>
      </c>
      <c r="P1009" s="4" t="n">
        <v>0</v>
      </c>
      <c r="Q1009" s="4" t="n">
        <v>1</v>
      </c>
      <c r="R1009" s="4" t="n">
        <v>1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1</v>
      </c>
    </row>
    <row r="1010" customFormat="false" ht="15" hidden="false" customHeight="false" outlineLevel="0" collapsed="false">
      <c r="A1010" s="4" t="s">
        <v>2243</v>
      </c>
      <c r="B1010" s="4" t="n">
        <v>1974</v>
      </c>
      <c r="C1010" s="4" t="str">
        <f aca="false">FLOOR(B1010,10)&amp;"s"</f>
        <v>1970s</v>
      </c>
      <c r="D1010" s="4" t="s">
        <v>2244</v>
      </c>
      <c r="E1010" s="25" t="str">
        <f aca="false">IF(G1010=1,"✓","")</f>
        <v/>
      </c>
      <c r="F1010" s="4" t="n">
        <v>1</v>
      </c>
      <c r="G1010" s="4" t="n">
        <f aca="false">IF(COUNTIF('Letterboxd Watched'!$E$2:$E$3000,M1010)&gt;0,1,0)</f>
        <v>0</v>
      </c>
      <c r="H1010" s="4" t="n">
        <v>2</v>
      </c>
      <c r="I1010" s="4" t="s">
        <v>213</v>
      </c>
      <c r="J1010" s="4" t="s">
        <v>52</v>
      </c>
      <c r="K1010" s="4" t="s">
        <v>4140</v>
      </c>
      <c r="L1010" s="48" t="str">
        <f aca="false">HYPERLINK("https://boxd.it/WSE","open")</f>
        <v>open</v>
      </c>
      <c r="M1010" s="4" t="str">
        <f aca="false">LOWER(A1010)&amp;"|"&amp;B1010</f>
        <v>hearts and minds|1974</v>
      </c>
      <c r="N1010" s="4" t="n">
        <v>0</v>
      </c>
      <c r="O1010" s="4" t="n">
        <v>0</v>
      </c>
      <c r="P1010" s="4" t="n">
        <v>0</v>
      </c>
      <c r="Q1010" s="4" t="n">
        <v>1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</row>
    <row r="1011" customFormat="false" ht="15" hidden="false" customHeight="false" outlineLevel="0" collapsed="false">
      <c r="A1011" s="4" t="s">
        <v>1379</v>
      </c>
      <c r="B1011" s="4" t="n">
        <v>1991</v>
      </c>
      <c r="C1011" s="4" t="str">
        <f aca="false">FLOOR(B1011,10)&amp;"s"</f>
        <v>1990s</v>
      </c>
      <c r="D1011" s="4" t="s">
        <v>1380</v>
      </c>
      <c r="E1011" s="25" t="str">
        <f aca="false">IF(G1011=1,"✓","")</f>
        <v>✓</v>
      </c>
      <c r="F1011" s="4" t="n">
        <v>2</v>
      </c>
      <c r="G1011" s="4" t="n">
        <f aca="false">IF(COUNTIF('Letterboxd Watched'!$E$2:$E$3000,M1011)&gt;0,1,0)</f>
        <v>1</v>
      </c>
      <c r="H1011" s="4" t="n">
        <v>3</v>
      </c>
      <c r="I1011" s="4" t="s">
        <v>213</v>
      </c>
      <c r="J1011" s="4" t="s">
        <v>53</v>
      </c>
      <c r="K1011" s="4" t="s">
        <v>5473</v>
      </c>
      <c r="L1011" s="48" t="str">
        <f aca="false">HYPERLINK("https://boxd.it/24ai","open")</f>
        <v>open</v>
      </c>
      <c r="M1011" s="4" t="str">
        <f aca="false">LOWER(A1011)&amp;"|"&amp;B1011</f>
        <v>hearts of darkness: a filmmaker's apocalypse|1991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1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1</v>
      </c>
    </row>
    <row r="1012" customFormat="false" ht="15" hidden="false" customHeight="false" outlineLevel="0" collapsed="false">
      <c r="A1012" s="4" t="s">
        <v>295</v>
      </c>
      <c r="B1012" s="4" t="n">
        <v>1995</v>
      </c>
      <c r="C1012" s="4" t="str">
        <f aca="false">FLOOR(B1012,10)&amp;"s"</f>
        <v>1990s</v>
      </c>
      <c r="D1012" s="4" t="s">
        <v>296</v>
      </c>
      <c r="E1012" s="25" t="str">
        <f aca="false">IF(G1012=1,"✓","")</f>
        <v>✓</v>
      </c>
      <c r="F1012" s="4" t="n">
        <v>4</v>
      </c>
      <c r="G1012" s="4" t="n">
        <f aca="false">IF(COUNTIF('Letterboxd Watched'!$E$2:$E$3000,M1012)&gt;0,1,0)</f>
        <v>1</v>
      </c>
      <c r="H1012" s="4" t="n">
        <v>11</v>
      </c>
      <c r="I1012" s="4" t="s">
        <v>144</v>
      </c>
      <c r="J1012" s="4" t="s">
        <v>52</v>
      </c>
      <c r="K1012" s="4" t="s">
        <v>5474</v>
      </c>
      <c r="L1012" s="48" t="str">
        <f aca="false">HYPERLINK("https://boxd.it/2bg8","open")</f>
        <v>open</v>
      </c>
      <c r="M1012" s="4" t="str">
        <f aca="false">LOWER(A1012)&amp;"|"&amp;B1012</f>
        <v>heat|1995</v>
      </c>
      <c r="N1012" s="4" t="n">
        <v>0</v>
      </c>
      <c r="O1012" s="4" t="n">
        <v>0</v>
      </c>
      <c r="P1012" s="4" t="n">
        <v>0</v>
      </c>
      <c r="Q1012" s="4" t="n">
        <v>1</v>
      </c>
      <c r="R1012" s="4" t="n">
        <v>1</v>
      </c>
      <c r="S1012" s="4" t="n">
        <v>0</v>
      </c>
      <c r="T1012" s="4" t="n">
        <v>1</v>
      </c>
      <c r="U1012" s="4" t="n">
        <v>1</v>
      </c>
      <c r="V1012" s="4" t="n">
        <v>0</v>
      </c>
      <c r="W1012" s="4" t="n">
        <v>0</v>
      </c>
    </row>
    <row r="1013" customFormat="false" ht="15" hidden="false" customHeight="false" outlineLevel="0" collapsed="false">
      <c r="A1013" s="4" t="s">
        <v>2491</v>
      </c>
      <c r="B1013" s="4" t="n">
        <v>1989</v>
      </c>
      <c r="C1013" s="4" t="str">
        <f aca="false">FLOOR(B1013,10)&amp;"s"</f>
        <v>1980s</v>
      </c>
      <c r="D1013" s="4" t="s">
        <v>2492</v>
      </c>
      <c r="E1013" s="25" t="str">
        <f aca="false">IF(G1013=1,"✓","")</f>
        <v/>
      </c>
      <c r="F1013" s="4" t="n">
        <v>1</v>
      </c>
      <c r="G1013" s="4" t="n">
        <f aca="false">IF(COUNTIF('Letterboxd Watched'!$E$2:$E$3000,M1013)&gt;0,1,0)</f>
        <v>0</v>
      </c>
      <c r="H1013" s="4" t="n">
        <v>2</v>
      </c>
      <c r="I1013" s="4" t="s">
        <v>213</v>
      </c>
      <c r="J1013" s="4" t="s">
        <v>52</v>
      </c>
      <c r="K1013" s="4" t="s">
        <v>4100</v>
      </c>
      <c r="L1013" s="48" t="str">
        <f aca="false">HYPERLINK("https://boxd.it/26x4","open")</f>
        <v>open</v>
      </c>
      <c r="M1013" s="4" t="str">
        <f aca="false">LOWER(A1013)&amp;"|"&amp;B1013</f>
        <v>heathers|1989</v>
      </c>
      <c r="N1013" s="4" t="n">
        <v>0</v>
      </c>
      <c r="O1013" s="4" t="n">
        <v>0</v>
      </c>
      <c r="P1013" s="4" t="n">
        <v>0</v>
      </c>
      <c r="Q1013" s="4" t="n">
        <v>1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 customFormat="false" ht="15" hidden="false" customHeight="false" outlineLevel="0" collapsed="false">
      <c r="A1014" s="4" t="s">
        <v>1809</v>
      </c>
      <c r="B1014" s="4" t="n">
        <v>1943</v>
      </c>
      <c r="C1014" s="4" t="str">
        <f aca="false">FLOOR(B1014,10)&amp;"s"</f>
        <v>1940s</v>
      </c>
      <c r="D1014" s="4" t="s">
        <v>348</v>
      </c>
      <c r="E1014" s="25" t="str">
        <f aca="false">IF(G1014=1,"✓","")</f>
        <v/>
      </c>
      <c r="F1014" s="4" t="n">
        <v>1</v>
      </c>
      <c r="G1014" s="4" t="n">
        <f aca="false">IF(COUNTIF('Letterboxd Watched'!$E$2:$E$3000,M1014)&gt;0,1,0)</f>
        <v>0</v>
      </c>
      <c r="H1014" s="4" t="n">
        <v>2</v>
      </c>
      <c r="I1014" s="4" t="s">
        <v>213</v>
      </c>
      <c r="J1014" s="4" t="s">
        <v>53</v>
      </c>
      <c r="K1014" s="4" t="s">
        <v>4191</v>
      </c>
      <c r="L1014" s="48" t="str">
        <f aca="false">HYPERLINK("https://letterboxd.com/search/films/Heaven+Can+Wait+1943/","open")</f>
        <v>open</v>
      </c>
      <c r="M1014" s="4" t="str">
        <f aca="false">LOWER(A1014)&amp;"|"&amp;B1014</f>
        <v>heaven can wait|1943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1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 customFormat="false" ht="15" hidden="false" customHeight="false" outlineLevel="0" collapsed="false">
      <c r="A1015" s="4" t="s">
        <v>1047</v>
      </c>
      <c r="B1015" s="4" t="n">
        <v>1980</v>
      </c>
      <c r="C1015" s="4" t="str">
        <f aca="false">FLOOR(B1015,10)&amp;"s"</f>
        <v>1980s</v>
      </c>
      <c r="D1015" s="4" t="s">
        <v>606</v>
      </c>
      <c r="E1015" s="25" t="str">
        <f aca="false">IF(G1015=1,"✓","")</f>
        <v/>
      </c>
      <c r="F1015" s="4" t="n">
        <v>2</v>
      </c>
      <c r="G1015" s="4" t="n">
        <f aca="false">IF(COUNTIF('Letterboxd Watched'!$E$2:$E$3000,M1015)&gt;0,1,0)</f>
        <v>0</v>
      </c>
      <c r="H1015" s="4" t="n">
        <v>4</v>
      </c>
      <c r="I1015" s="4" t="s">
        <v>213</v>
      </c>
      <c r="J1015" s="4" t="s">
        <v>50</v>
      </c>
      <c r="K1015" s="4" t="s">
        <v>5475</v>
      </c>
      <c r="L1015" s="48" t="str">
        <f aca="false">HYPERLINK("https://boxd.it/1V2k","open")</f>
        <v>open</v>
      </c>
      <c r="M1015" s="4" t="str">
        <f aca="false">LOWER(A1015)&amp;"|"&amp;B1015</f>
        <v>heaven's gate|1980</v>
      </c>
      <c r="N1015" s="4" t="n">
        <v>0</v>
      </c>
      <c r="O1015" s="4" t="n">
        <v>1</v>
      </c>
      <c r="P1015" s="4" t="n">
        <v>0</v>
      </c>
      <c r="Q1015" s="4" t="n">
        <v>1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 customFormat="false" ht="15" hidden="false" customHeight="false" outlineLevel="0" collapsed="false">
      <c r="A1016" s="4" t="s">
        <v>1559</v>
      </c>
      <c r="B1016" s="4" t="n">
        <v>1994</v>
      </c>
      <c r="C1016" s="4" t="str">
        <f aca="false">FLOOR(B1016,10)&amp;"s"</f>
        <v>1990s</v>
      </c>
      <c r="D1016" s="4" t="s">
        <v>1560</v>
      </c>
      <c r="E1016" s="25" t="str">
        <f aca="false">IF(G1016=1,"✓","")</f>
        <v/>
      </c>
      <c r="F1016" s="4" t="n">
        <v>1</v>
      </c>
      <c r="G1016" s="4" t="n">
        <f aca="false">IF(COUNTIF('Letterboxd Watched'!$E$2:$E$3000,M1016)&gt;0,1,0)</f>
        <v>0</v>
      </c>
      <c r="H1016" s="4" t="n">
        <v>3</v>
      </c>
      <c r="I1016" s="4" t="s">
        <v>144</v>
      </c>
      <c r="J1016" s="4" t="s">
        <v>51</v>
      </c>
      <c r="K1016" s="4" t="s">
        <v>4040</v>
      </c>
      <c r="L1016" s="48" t="str">
        <f aca="false">HYPERLINK("https://boxd.it/2974","open")</f>
        <v>open</v>
      </c>
      <c r="M1016" s="4" t="str">
        <f aca="false">LOWER(A1016)&amp;"|"&amp;B1016</f>
        <v>heavenly creatures|1994</v>
      </c>
      <c r="N1016" s="4" t="n">
        <v>0</v>
      </c>
      <c r="O1016" s="4" t="n">
        <v>0</v>
      </c>
      <c r="P1016" s="4" t="n">
        <v>1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 customFormat="false" ht="15" hidden="false" customHeight="false" outlineLevel="0" collapsed="false">
      <c r="A1017" s="4" t="s">
        <v>3518</v>
      </c>
      <c r="B1017" s="4" t="n">
        <v>1973</v>
      </c>
      <c r="C1017" s="4" t="str">
        <f aca="false">FLOOR(B1017,10)&amp;"s"</f>
        <v>1970s</v>
      </c>
      <c r="D1017" s="4" t="s">
        <v>3519</v>
      </c>
      <c r="E1017" s="25" t="str">
        <f aca="false">IF(G1017=1,"✓","")</f>
        <v/>
      </c>
      <c r="F1017" s="4" t="n">
        <v>1</v>
      </c>
      <c r="G1017" s="4" t="n">
        <f aca="false">IF(COUNTIF('Letterboxd Watched'!$E$2:$E$3000,M1017)&gt;0,1,0)</f>
        <v>0</v>
      </c>
      <c r="H1017" s="4" t="n">
        <v>1</v>
      </c>
      <c r="I1017" s="4" t="s">
        <v>1327</v>
      </c>
      <c r="J1017" s="4" t="s">
        <v>52</v>
      </c>
      <c r="K1017" s="4" t="s">
        <v>4166</v>
      </c>
      <c r="L1017" s="48" t="str">
        <f aca="false">HYPERLINK("https://boxd.it/1l08","open")</f>
        <v>open</v>
      </c>
      <c r="M1017" s="4" t="str">
        <f aca="false">LOWER(A1017)&amp;"|"&amp;B1017</f>
        <v>heavy traffic|1973</v>
      </c>
      <c r="N1017" s="4" t="n">
        <v>0</v>
      </c>
      <c r="O1017" s="4" t="n">
        <v>0</v>
      </c>
      <c r="P1017" s="4" t="n">
        <v>0</v>
      </c>
      <c r="Q1017" s="4" t="n">
        <v>1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 customFormat="false" ht="15" hidden="false" customHeight="false" outlineLevel="0" collapsed="false">
      <c r="A1018" s="4" t="s">
        <v>2747</v>
      </c>
      <c r="B1018" s="4" t="n">
        <v>2001</v>
      </c>
      <c r="C1018" s="4" t="str">
        <f aca="false">FLOOR(B1018,10)&amp;"s"</f>
        <v>2000s</v>
      </c>
      <c r="D1018" s="4" t="s">
        <v>2748</v>
      </c>
      <c r="E1018" s="25" t="str">
        <f aca="false">IF(G1018=1,"✓","")</f>
        <v/>
      </c>
      <c r="F1018" s="4" t="n">
        <v>1</v>
      </c>
      <c r="G1018" s="4" t="n">
        <f aca="false">IF(COUNTIF('Letterboxd Watched'!$E$2:$E$3000,M1018)&gt;0,1,0)</f>
        <v>0</v>
      </c>
      <c r="H1018" s="4" t="n">
        <v>2</v>
      </c>
      <c r="I1018" s="4" t="s">
        <v>213</v>
      </c>
      <c r="J1018" s="4" t="s">
        <v>52</v>
      </c>
      <c r="K1018" s="4" t="s">
        <v>4112</v>
      </c>
      <c r="L1018" s="48" t="str">
        <f aca="false">HYPERLINK("https://boxd.it/1Qfe","open")</f>
        <v>open</v>
      </c>
      <c r="M1018" s="4" t="str">
        <f aca="false">LOWER(A1018)&amp;"|"&amp;B1018</f>
        <v>hedwig and the angry inch|2001</v>
      </c>
      <c r="N1018" s="4" t="n">
        <v>0</v>
      </c>
      <c r="O1018" s="4" t="n">
        <v>0</v>
      </c>
      <c r="P1018" s="4" t="n">
        <v>0</v>
      </c>
      <c r="Q1018" s="4" t="n">
        <v>1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</row>
    <row r="1019" customFormat="false" ht="15" hidden="false" customHeight="false" outlineLevel="0" collapsed="false">
      <c r="A1019" s="4" t="s">
        <v>1870</v>
      </c>
      <c r="B1019" s="4" t="n">
        <v>1949</v>
      </c>
      <c r="C1019" s="4" t="str">
        <f aca="false">FLOOR(B1019,10)&amp;"s"</f>
        <v>1940s</v>
      </c>
      <c r="D1019" s="4" t="s">
        <v>305</v>
      </c>
      <c r="E1019" s="25" t="str">
        <f aca="false">IF(G1019=1,"✓","")</f>
        <v/>
      </c>
      <c r="F1019" s="4" t="n">
        <v>1</v>
      </c>
      <c r="G1019" s="4" t="n">
        <f aca="false">IF(COUNTIF('Letterboxd Watched'!$E$2:$E$3000,M1019)&gt;0,1,0)</f>
        <v>0</v>
      </c>
      <c r="H1019" s="4" t="n">
        <v>2</v>
      </c>
      <c r="I1019" s="4" t="s">
        <v>213</v>
      </c>
      <c r="J1019" s="4" t="s">
        <v>52</v>
      </c>
      <c r="K1019" s="4" t="s">
        <v>4148</v>
      </c>
      <c r="L1019" s="48" t="str">
        <f aca="false">HYPERLINK("https://boxd.it/1pi6","open")</f>
        <v>open</v>
      </c>
      <c r="M1019" s="4" t="str">
        <f aca="false">LOWER(A1019)&amp;"|"&amp;B1019</f>
        <v>the heiress|1949</v>
      </c>
      <c r="N1019" s="4" t="n">
        <v>0</v>
      </c>
      <c r="O1019" s="4" t="n">
        <v>0</v>
      </c>
      <c r="P1019" s="4" t="n">
        <v>0</v>
      </c>
      <c r="Q1019" s="4" t="n">
        <v>1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 customFormat="false" ht="15" hidden="false" customHeight="false" outlineLevel="0" collapsed="false">
      <c r="A1020" s="4" t="s">
        <v>1631</v>
      </c>
      <c r="B1020" s="4" t="n">
        <v>2016</v>
      </c>
      <c r="C1020" s="4" t="str">
        <f aca="false">FLOOR(B1020,10)&amp;"s"</f>
        <v>2010s</v>
      </c>
      <c r="D1020" s="4" t="s">
        <v>1632</v>
      </c>
      <c r="E1020" s="25" t="str">
        <f aca="false">IF(G1020=1,"✓","")</f>
        <v/>
      </c>
      <c r="F1020" s="4" t="n">
        <v>1</v>
      </c>
      <c r="G1020" s="4" t="n">
        <f aca="false">IF(COUNTIF('Letterboxd Watched'!$E$2:$E$3000,M1020)&gt;0,1,0)</f>
        <v>0</v>
      </c>
      <c r="H1020" s="4" t="n">
        <v>3</v>
      </c>
      <c r="I1020" s="4" t="s">
        <v>144</v>
      </c>
      <c r="J1020" s="4" t="s">
        <v>52</v>
      </c>
      <c r="K1020" s="4" t="s">
        <v>4056</v>
      </c>
      <c r="L1020" s="48" t="str">
        <f aca="false">HYPERLINK("https://boxd.it/bfGM","open")</f>
        <v>open</v>
      </c>
      <c r="M1020" s="4" t="str">
        <f aca="false">LOWER(A1020)&amp;"|"&amp;B1020</f>
        <v>hell or high water|2016</v>
      </c>
      <c r="N1020" s="4" t="n">
        <v>0</v>
      </c>
      <c r="O1020" s="4" t="n">
        <v>0</v>
      </c>
      <c r="P1020" s="4" t="n">
        <v>0</v>
      </c>
      <c r="Q1020" s="4" t="n">
        <v>1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 customFormat="false" ht="15" hidden="false" customHeight="false" outlineLevel="0" collapsed="false">
      <c r="A1021" s="4" t="s">
        <v>1716</v>
      </c>
      <c r="B1021" s="4" t="n">
        <v>1930</v>
      </c>
      <c r="C1021" s="4" t="str">
        <f aca="false">FLOOR(B1021,10)&amp;"s"</f>
        <v>1930s</v>
      </c>
      <c r="D1021" s="4" t="s">
        <v>1717</v>
      </c>
      <c r="E1021" s="25" t="str">
        <f aca="false">IF(G1021=1,"✓","")</f>
        <v/>
      </c>
      <c r="F1021" s="4" t="n">
        <v>1</v>
      </c>
      <c r="G1021" s="4" t="n">
        <f aca="false">IF(COUNTIF('Letterboxd Watched'!$E$2:$E$3000,M1021)&gt;0,1,0)</f>
        <v>0</v>
      </c>
      <c r="H1021" s="4" t="n">
        <v>2</v>
      </c>
      <c r="I1021" s="4" t="s">
        <v>213</v>
      </c>
      <c r="J1021" s="4" t="s">
        <v>57</v>
      </c>
      <c r="K1021" s="4" t="s">
        <v>4434</v>
      </c>
      <c r="L1021" s="48" t="str">
        <f aca="false">HYPERLINK("https://letterboxd.com/search/films/Hells+Angels+1930/","open")</f>
        <v>open</v>
      </c>
      <c r="M1021" s="4" t="str">
        <f aca="false">LOWER(A1021)&amp;"|"&amp;B1021</f>
        <v>hell's angels|1930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1</v>
      </c>
      <c r="W1021" s="4" t="n">
        <v>0</v>
      </c>
    </row>
    <row r="1022" customFormat="false" ht="15" hidden="false" customHeight="false" outlineLevel="0" collapsed="false">
      <c r="A1022" s="4" t="s">
        <v>3337</v>
      </c>
      <c r="B1022" s="4" t="n">
        <v>1941</v>
      </c>
      <c r="C1022" s="4" t="str">
        <f aca="false">FLOOR(B1022,10)&amp;"s"</f>
        <v>1940s</v>
      </c>
      <c r="D1022" s="4" t="s">
        <v>3338</v>
      </c>
      <c r="E1022" s="25" t="str">
        <f aca="false">IF(G1022=1,"✓","")</f>
        <v/>
      </c>
      <c r="F1022" s="4" t="n">
        <v>1</v>
      </c>
      <c r="G1022" s="4" t="n">
        <f aca="false">IF(COUNTIF('Letterboxd Watched'!$E$2:$E$3000,M1022)&gt;0,1,0)</f>
        <v>0</v>
      </c>
      <c r="H1022" s="4" t="n">
        <v>1</v>
      </c>
      <c r="I1022" s="4" t="s">
        <v>1327</v>
      </c>
      <c r="J1022" s="4" t="s">
        <v>52</v>
      </c>
      <c r="K1022" s="4" t="s">
        <v>4098</v>
      </c>
      <c r="L1022" s="48" t="str">
        <f aca="false">HYPERLINK("https://boxd.it/1FD0","open")</f>
        <v>open</v>
      </c>
      <c r="M1022" s="4" t="str">
        <f aca="false">LOWER(A1022)&amp;"|"&amp;B1022</f>
        <v>hellzapoppin'|1941</v>
      </c>
      <c r="N1022" s="4" t="n">
        <v>0</v>
      </c>
      <c r="O1022" s="4" t="n">
        <v>0</v>
      </c>
      <c r="P1022" s="4" t="n">
        <v>0</v>
      </c>
      <c r="Q1022" s="4" t="n">
        <v>1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</row>
    <row r="1023" customFormat="false" ht="15" hidden="false" customHeight="false" outlineLevel="0" collapsed="false">
      <c r="A1023" s="4" t="s">
        <v>3637</v>
      </c>
      <c r="B1023" s="4" t="n">
        <v>1986</v>
      </c>
      <c r="C1023" s="4" t="str">
        <f aca="false">FLOOR(B1023,10)&amp;"s"</f>
        <v>1980s</v>
      </c>
      <c r="D1023" s="4" t="s">
        <v>3638</v>
      </c>
      <c r="E1023" s="25" t="str">
        <f aca="false">IF(G1023=1,"✓","")</f>
        <v>✓</v>
      </c>
      <c r="F1023" s="4" t="n">
        <v>1</v>
      </c>
      <c r="G1023" s="4" t="n">
        <f aca="false">IF(COUNTIF('Letterboxd Watched'!$E$2:$E$3000,M1023)&gt;0,1,0)</f>
        <v>1</v>
      </c>
      <c r="H1023" s="4" t="n">
        <v>1</v>
      </c>
      <c r="I1023" s="4" t="s">
        <v>1327</v>
      </c>
      <c r="J1023" s="4" t="s">
        <v>52</v>
      </c>
      <c r="K1023" s="4" t="s">
        <v>4130</v>
      </c>
      <c r="L1023" s="48" t="str">
        <f aca="false">HYPERLINK("https://boxd.it/1VCM","open")</f>
        <v>open</v>
      </c>
      <c r="M1023" s="4" t="str">
        <f aca="false">LOWER(A1023)&amp;"|"&amp;B1023</f>
        <v>henry: portrait of a serial killer|1986</v>
      </c>
      <c r="N1023" s="4" t="n">
        <v>0</v>
      </c>
      <c r="O1023" s="4" t="n">
        <v>0</v>
      </c>
      <c r="P1023" s="4" t="n">
        <v>0</v>
      </c>
      <c r="Q1023" s="4" t="n">
        <v>1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 customFormat="false" ht="15" hidden="false" customHeight="false" outlineLevel="0" collapsed="false">
      <c r="A1024" s="4" t="s">
        <v>1822</v>
      </c>
      <c r="B1024" s="4" t="n">
        <v>1944</v>
      </c>
      <c r="C1024" s="4" t="str">
        <f aca="false">FLOOR(B1024,10)&amp;"s"</f>
        <v>1940s</v>
      </c>
      <c r="D1024" s="4" t="s">
        <v>1823</v>
      </c>
      <c r="E1024" s="25" t="str">
        <f aca="false">IF(G1024=1,"✓","")</f>
        <v/>
      </c>
      <c r="F1024" s="4" t="n">
        <v>1</v>
      </c>
      <c r="G1024" s="4" t="n">
        <f aca="false">IF(COUNTIF('Letterboxd Watched'!$E$2:$E$3000,M1024)&gt;0,1,0)</f>
        <v>0</v>
      </c>
      <c r="H1024" s="4" t="n">
        <v>2</v>
      </c>
      <c r="I1024" s="4" t="s">
        <v>213</v>
      </c>
      <c r="J1024" s="4" t="s">
        <v>57</v>
      </c>
      <c r="K1024" s="4" t="s">
        <v>4434</v>
      </c>
      <c r="L1024" s="48" t="str">
        <f aca="false">HYPERLINK("https://boxd.it/1Agq","open")</f>
        <v>open</v>
      </c>
      <c r="M1024" s="4" t="str">
        <f aca="false">LOWER(A1024)&amp;"|"&amp;B1024</f>
        <v>henry v|1944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1</v>
      </c>
      <c r="W1024" s="4" t="n">
        <v>0</v>
      </c>
    </row>
    <row r="1025" customFormat="false" ht="15" hidden="false" customHeight="false" outlineLevel="0" collapsed="false">
      <c r="A1025" s="4" t="s">
        <v>555</v>
      </c>
      <c r="B1025" s="4" t="n">
        <v>2013</v>
      </c>
      <c r="C1025" s="4" t="str">
        <f aca="false">FLOOR(B1025,10)&amp;"s"</f>
        <v>2010s</v>
      </c>
      <c r="D1025" s="4" t="s">
        <v>508</v>
      </c>
      <c r="E1025" s="25" t="str">
        <f aca="false">IF(G1025=1,"✓","")</f>
        <v>✓</v>
      </c>
      <c r="F1025" s="4" t="n">
        <v>3</v>
      </c>
      <c r="G1025" s="4" t="n">
        <f aca="false">IF(COUNTIF('Letterboxd Watched'!$E$2:$E$3000,M1025)&gt;0,1,0)</f>
        <v>1</v>
      </c>
      <c r="H1025" s="4" t="n">
        <v>7</v>
      </c>
      <c r="I1025" s="4" t="s">
        <v>144</v>
      </c>
      <c r="J1025" s="4" t="s">
        <v>52</v>
      </c>
      <c r="K1025" s="4" t="s">
        <v>5476</v>
      </c>
      <c r="L1025" s="48" t="str">
        <f aca="false">HYPERLINK("https://boxd.it/4O24","open")</f>
        <v>open</v>
      </c>
      <c r="M1025" s="4" t="str">
        <f aca="false">LOWER(A1025)&amp;"|"&amp;B1025</f>
        <v>her|2013</v>
      </c>
      <c r="N1025" s="4" t="n">
        <v>0</v>
      </c>
      <c r="O1025" s="4" t="n">
        <v>0</v>
      </c>
      <c r="P1025" s="4" t="n">
        <v>0</v>
      </c>
      <c r="Q1025" s="4" t="n">
        <v>1</v>
      </c>
      <c r="R1025" s="4" t="n">
        <v>0</v>
      </c>
      <c r="S1025" s="4" t="n">
        <v>0</v>
      </c>
      <c r="T1025" s="4" t="n">
        <v>1</v>
      </c>
      <c r="U1025" s="4" t="n">
        <v>0</v>
      </c>
      <c r="V1025" s="4" t="n">
        <v>0</v>
      </c>
      <c r="W1025" s="4" t="n">
        <v>0</v>
      </c>
    </row>
    <row r="1026" customFormat="false" ht="15" hidden="false" customHeight="false" outlineLevel="0" collapsed="false">
      <c r="A1026" s="4" t="s">
        <v>695</v>
      </c>
      <c r="B1026" s="4" t="n">
        <v>2018</v>
      </c>
      <c r="C1026" s="4" t="str">
        <f aca="false">FLOOR(B1026,10)&amp;"s"</f>
        <v>2010s</v>
      </c>
      <c r="D1026" s="4" t="s">
        <v>696</v>
      </c>
      <c r="E1026" s="25" t="str">
        <f aca="false">IF(G1026=1,"✓","")</f>
        <v>✓</v>
      </c>
      <c r="F1026" s="4" t="n">
        <v>3</v>
      </c>
      <c r="G1026" s="4" t="n">
        <f aca="false">IF(COUNTIF('Letterboxd Watched'!$E$2:$E$3000,M1026)&gt;0,1,0)</f>
        <v>1</v>
      </c>
      <c r="H1026" s="4" t="n">
        <v>6</v>
      </c>
      <c r="I1026" s="4" t="s">
        <v>213</v>
      </c>
      <c r="J1026" s="4" t="s">
        <v>52</v>
      </c>
      <c r="K1026" s="4" t="s">
        <v>5477</v>
      </c>
      <c r="L1026" s="48" t="str">
        <f aca="false">HYPERLINK("https://boxd.it/hNVe","open")</f>
        <v>open</v>
      </c>
      <c r="M1026" s="4" t="str">
        <f aca="false">LOWER(A1026)&amp;"|"&amp;B1026</f>
        <v>hereditary|2018</v>
      </c>
      <c r="N1026" s="4" t="n">
        <v>0</v>
      </c>
      <c r="O1026" s="4" t="n">
        <v>0</v>
      </c>
      <c r="P1026" s="4" t="n">
        <v>0</v>
      </c>
      <c r="Q1026" s="4" t="n">
        <v>1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1</v>
      </c>
      <c r="W1026" s="4" t="n">
        <v>0</v>
      </c>
    </row>
    <row r="1027" customFormat="false" ht="15" hidden="false" customHeight="false" outlineLevel="0" collapsed="false">
      <c r="A1027" s="4" t="s">
        <v>2767</v>
      </c>
      <c r="B1027" s="4" t="n">
        <v>2002</v>
      </c>
      <c r="C1027" s="4" t="str">
        <f aca="false">FLOOR(B1027,10)&amp;"s"</f>
        <v>2000s</v>
      </c>
      <c r="D1027" s="4" t="s">
        <v>1541</v>
      </c>
      <c r="E1027" s="25" t="str">
        <f aca="false">IF(G1027=1,"✓","")</f>
        <v/>
      </c>
      <c r="F1027" s="4" t="n">
        <v>1</v>
      </c>
      <c r="G1027" s="4" t="n">
        <f aca="false">IF(COUNTIF('Letterboxd Watched'!$E$2:$E$3000,M1027)&gt;0,1,0)</f>
        <v>0</v>
      </c>
      <c r="H1027" s="4" t="n">
        <v>2</v>
      </c>
      <c r="I1027" s="4" t="s">
        <v>213</v>
      </c>
      <c r="J1027" s="4" t="s">
        <v>51</v>
      </c>
      <c r="K1027" s="4" t="s">
        <v>4014</v>
      </c>
      <c r="L1027" s="48" t="str">
        <f aca="false">HYPERLINK("https://boxd.it/2bcq","open")</f>
        <v>open</v>
      </c>
      <c r="M1027" s="4" t="str">
        <f aca="false">LOWER(A1027)&amp;"|"&amp;B1027</f>
        <v>hero|2002</v>
      </c>
      <c r="N1027" s="4" t="n">
        <v>0</v>
      </c>
      <c r="O1027" s="4" t="n">
        <v>0</v>
      </c>
      <c r="P1027" s="4" t="n">
        <v>1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 customFormat="false" ht="15" hidden="false" customHeight="false" outlineLevel="0" collapsed="false">
      <c r="A1028" s="4" t="s">
        <v>1740</v>
      </c>
      <c r="B1028" s="4" t="n">
        <v>1933</v>
      </c>
      <c r="C1028" s="4" t="str">
        <f aca="false">FLOOR(B1028,10)&amp;"s"</f>
        <v>1930s</v>
      </c>
      <c r="D1028" s="4" t="s">
        <v>564</v>
      </c>
      <c r="E1028" s="25" t="str">
        <f aca="false">IF(G1028=1,"✓","")</f>
        <v/>
      </c>
      <c r="F1028" s="4" t="n">
        <v>1</v>
      </c>
      <c r="G1028" s="4" t="n">
        <f aca="false">IF(COUNTIF('Letterboxd Watched'!$E$2:$E$3000,M1028)&gt;0,1,0)</f>
        <v>0</v>
      </c>
      <c r="H1028" s="4" t="n">
        <v>2</v>
      </c>
      <c r="I1028" s="4" t="s">
        <v>213</v>
      </c>
      <c r="J1028" s="4" t="s">
        <v>50</v>
      </c>
      <c r="K1028" s="4" t="s">
        <v>3908</v>
      </c>
      <c r="L1028" s="48" t="str">
        <f aca="false">HYPERLINK("https://letterboxd.com/search/films/Heroes+for+Sale+1933/","open")</f>
        <v>open</v>
      </c>
      <c r="M1028" s="4" t="str">
        <f aca="false">LOWER(A1028)&amp;"|"&amp;B1028</f>
        <v>heroes for sale|1933</v>
      </c>
      <c r="N1028" s="4" t="n">
        <v>0</v>
      </c>
      <c r="O1028" s="4" t="n">
        <v>1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 customFormat="false" ht="15" hidden="false" customHeight="false" outlineLevel="0" collapsed="false">
      <c r="A1029" s="4" t="s">
        <v>2117</v>
      </c>
      <c r="B1029" s="4" t="n">
        <v>1967</v>
      </c>
      <c r="C1029" s="4" t="str">
        <f aca="false">FLOOR(B1029,10)&amp;"s"</f>
        <v>1960s</v>
      </c>
      <c r="D1029" s="4" t="s">
        <v>2118</v>
      </c>
      <c r="E1029" s="25" t="str">
        <f aca="false">IF(G1029=1,"✓","")</f>
        <v/>
      </c>
      <c r="F1029" s="4" t="n">
        <v>1</v>
      </c>
      <c r="G1029" s="4" t="n">
        <f aca="false">IF(COUNTIF('Letterboxd Watched'!$E$2:$E$3000,M1029)&gt;0,1,0)</f>
        <v>0</v>
      </c>
      <c r="H1029" s="4" t="n">
        <v>2</v>
      </c>
      <c r="I1029" s="4" t="s">
        <v>213</v>
      </c>
      <c r="J1029" s="4" t="s">
        <v>57</v>
      </c>
      <c r="K1029" s="4" t="s">
        <v>4442</v>
      </c>
      <c r="L1029" s="48" t="str">
        <f aca="false">HYPERLINK("https://letterboxd.com/search/films/Herostratus+1967/","open")</f>
        <v>open</v>
      </c>
      <c r="M1029" s="4" t="str">
        <f aca="false">LOWER(A1029)&amp;"|"&amp;B1029</f>
        <v>herostratus|1967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1</v>
      </c>
      <c r="W1029" s="4" t="n">
        <v>0</v>
      </c>
    </row>
    <row r="1030" customFormat="false" ht="15" hidden="false" customHeight="false" outlineLevel="0" collapsed="false">
      <c r="A1030" s="4" t="s">
        <v>3110</v>
      </c>
      <c r="B1030" s="4" t="n">
        <v>2016</v>
      </c>
      <c r="C1030" s="4" t="str">
        <f aca="false">FLOOR(B1030,10)&amp;"s"</f>
        <v>2010s</v>
      </c>
      <c r="D1030" s="4" t="s">
        <v>3111</v>
      </c>
      <c r="E1030" s="25" t="str">
        <f aca="false">IF(G1030=1,"✓","")</f>
        <v/>
      </c>
      <c r="F1030" s="4" t="n">
        <v>1</v>
      </c>
      <c r="G1030" s="4" t="n">
        <f aca="false">IF(COUNTIF('Letterboxd Watched'!$E$2:$E$3000,M1030)&gt;0,1,0)</f>
        <v>0</v>
      </c>
      <c r="H1030" s="4" t="n">
        <v>2</v>
      </c>
      <c r="I1030" s="4" t="s">
        <v>213</v>
      </c>
      <c r="J1030" s="4" t="s">
        <v>55</v>
      </c>
      <c r="K1030" s="4" t="s">
        <v>4338</v>
      </c>
      <c r="L1030" s="48" t="str">
        <f aca="false">HYPERLINK("https://boxd.it/dgS4","open")</f>
        <v>open</v>
      </c>
      <c r="M1030" s="4" t="str">
        <f aca="false">LOWER(A1030)&amp;"|"&amp;B1030</f>
        <v>hidden figures|2016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1</v>
      </c>
      <c r="U1030" s="4" t="n">
        <v>0</v>
      </c>
      <c r="V1030" s="4" t="n">
        <v>0</v>
      </c>
      <c r="W1030" s="4" t="n">
        <v>0</v>
      </c>
    </row>
    <row r="1031" customFormat="false" ht="15" hidden="false" customHeight="false" outlineLevel="0" collapsed="false">
      <c r="A1031" s="4" t="s">
        <v>949</v>
      </c>
      <c r="B1031" s="4" t="n">
        <v>1958</v>
      </c>
      <c r="C1031" s="4" t="str">
        <f aca="false">FLOOR(B1031,10)&amp;"s"</f>
        <v>1950s</v>
      </c>
      <c r="D1031" s="4" t="s">
        <v>156</v>
      </c>
      <c r="E1031" s="25" t="str">
        <f aca="false">IF(G1031=1,"✓","")</f>
        <v/>
      </c>
      <c r="F1031" s="4" t="n">
        <v>2</v>
      </c>
      <c r="G1031" s="4" t="n">
        <f aca="false">IF(COUNTIF('Letterboxd Watched'!$E$2:$E$3000,M1031)&gt;0,1,0)</f>
        <v>0</v>
      </c>
      <c r="H1031" s="4" t="n">
        <v>4</v>
      </c>
      <c r="I1031" s="4" t="s">
        <v>213</v>
      </c>
      <c r="J1031" s="4" t="s">
        <v>53</v>
      </c>
      <c r="K1031" s="4" t="s">
        <v>5478</v>
      </c>
      <c r="L1031" s="48" t="str">
        <f aca="false">HYPERLINK("https://boxd.it/295M","open")</f>
        <v>open</v>
      </c>
      <c r="M1031" s="4" t="str">
        <f aca="false">LOWER(A1031)&amp;"|"&amp;B1031</f>
        <v>the hidden fortress|1958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1</v>
      </c>
      <c r="S1031" s="4" t="n">
        <v>0</v>
      </c>
      <c r="T1031" s="4" t="n">
        <v>0</v>
      </c>
      <c r="U1031" s="4" t="n">
        <v>1</v>
      </c>
      <c r="V1031" s="4" t="n">
        <v>0</v>
      </c>
      <c r="W1031" s="4" t="n">
        <v>0</v>
      </c>
    </row>
    <row r="1032" customFormat="false" ht="15" hidden="false" customHeight="false" outlineLevel="0" collapsed="false">
      <c r="A1032" s="4" t="s">
        <v>651</v>
      </c>
      <c r="B1032" s="4" t="n">
        <v>2019</v>
      </c>
      <c r="C1032" s="4" t="str">
        <f aca="false">FLOOR(B1032,10)&amp;"s"</f>
        <v>2010s</v>
      </c>
      <c r="D1032" s="4" t="s">
        <v>361</v>
      </c>
      <c r="E1032" s="25" t="str">
        <f aca="false">IF(G1032=1,"✓","")</f>
        <v/>
      </c>
      <c r="F1032" s="4" t="n">
        <v>3</v>
      </c>
      <c r="G1032" s="4" t="n">
        <f aca="false">IF(COUNTIF('Letterboxd Watched'!$E$2:$E$3000,M1032)&gt;0,1,0)</f>
        <v>0</v>
      </c>
      <c r="H1032" s="4" t="n">
        <v>6</v>
      </c>
      <c r="I1032" s="4" t="s">
        <v>213</v>
      </c>
      <c r="J1032" s="4" t="s">
        <v>53</v>
      </c>
      <c r="K1032" s="4" t="s">
        <v>5479</v>
      </c>
      <c r="L1032" s="48" t="str">
        <f aca="false">HYPERLINK("https://boxd.it/eb1Q","open")</f>
        <v>open</v>
      </c>
      <c r="M1032" s="4" t="str">
        <f aca="false">LOWER(A1032)&amp;"|"&amp;B1032</f>
        <v>a hidden life|2019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1</v>
      </c>
      <c r="S1032" s="4" t="n">
        <v>0</v>
      </c>
      <c r="T1032" s="4" t="n">
        <v>1</v>
      </c>
      <c r="U1032" s="4" t="n">
        <v>0</v>
      </c>
      <c r="V1032" s="4" t="n">
        <v>0</v>
      </c>
      <c r="W1032" s="4" t="n">
        <v>1</v>
      </c>
    </row>
    <row r="1033" customFormat="false" ht="15" hidden="false" customHeight="false" outlineLevel="0" collapsed="false">
      <c r="A1033" s="4" t="s">
        <v>966</v>
      </c>
      <c r="B1033" s="4" t="n">
        <v>1963</v>
      </c>
      <c r="C1033" s="4" t="str">
        <f aca="false">FLOOR(B1033,10)&amp;"s"</f>
        <v>1960s</v>
      </c>
      <c r="D1033" s="4" t="s">
        <v>156</v>
      </c>
      <c r="E1033" s="25" t="str">
        <f aca="false">IF(G1033=1,"✓","")</f>
        <v>✓</v>
      </c>
      <c r="F1033" s="4" t="n">
        <v>2</v>
      </c>
      <c r="G1033" s="4" t="n">
        <f aca="false">IF(COUNTIF('Letterboxd Watched'!$E$2:$E$3000,M1033)&gt;0,1,0)</f>
        <v>1</v>
      </c>
      <c r="H1033" s="4" t="n">
        <v>4</v>
      </c>
      <c r="I1033" s="4" t="s">
        <v>213</v>
      </c>
      <c r="J1033" s="4" t="s">
        <v>51</v>
      </c>
      <c r="K1033" s="4" t="s">
        <v>5480</v>
      </c>
      <c r="L1033" s="48" t="str">
        <f aca="false">HYPERLINK("https://boxd.it/1RSc","open")</f>
        <v>open</v>
      </c>
      <c r="M1033" s="4" t="str">
        <f aca="false">LOWER(A1033)&amp;"|"&amp;B1033</f>
        <v>high and low|1963</v>
      </c>
      <c r="N1033" s="4" t="n">
        <v>0</v>
      </c>
      <c r="O1033" s="4" t="n">
        <v>0</v>
      </c>
      <c r="P1033" s="4" t="n">
        <v>1</v>
      </c>
      <c r="Q1033" s="4" t="n">
        <v>0</v>
      </c>
      <c r="R1033" s="4" t="n">
        <v>1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 customFormat="false" ht="15" hidden="false" customHeight="false" outlineLevel="0" collapsed="false">
      <c r="A1034" s="4" t="s">
        <v>2729</v>
      </c>
      <c r="B1034" s="4" t="n">
        <v>2000</v>
      </c>
      <c r="C1034" s="4" t="str">
        <f aca="false">FLOOR(B1034,10)&amp;"s"</f>
        <v>2000s</v>
      </c>
      <c r="D1034" s="4" t="s">
        <v>1284</v>
      </c>
      <c r="E1034" s="25" t="str">
        <f aca="false">IF(G1034=1,"✓","")</f>
        <v>✓</v>
      </c>
      <c r="F1034" s="4" t="n">
        <v>1</v>
      </c>
      <c r="G1034" s="4" t="n">
        <f aca="false">IF(COUNTIF('Letterboxd Watched'!$E$2:$E$3000,M1034)&gt;0,1,0)</f>
        <v>1</v>
      </c>
      <c r="H1034" s="4" t="n">
        <v>2</v>
      </c>
      <c r="I1034" s="4" t="s">
        <v>213</v>
      </c>
      <c r="J1034" s="4" t="s">
        <v>55</v>
      </c>
      <c r="K1034" s="4" t="s">
        <v>4366</v>
      </c>
      <c r="L1034" s="48" t="str">
        <f aca="false">HYPERLINK("https://boxd.it/2aMW","open")</f>
        <v>open</v>
      </c>
      <c r="M1034" s="4" t="str">
        <f aca="false">LOWER(A1034)&amp;"|"&amp;B1034</f>
        <v>high fidelity|2000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1</v>
      </c>
      <c r="U1034" s="4" t="n">
        <v>0</v>
      </c>
      <c r="V1034" s="4" t="n">
        <v>0</v>
      </c>
      <c r="W1034" s="4" t="n">
        <v>0</v>
      </c>
    </row>
    <row r="1035" customFormat="false" ht="15" hidden="false" customHeight="false" outlineLevel="0" collapsed="false">
      <c r="A1035" s="4" t="s">
        <v>1418</v>
      </c>
      <c r="B1035" s="4" t="n">
        <v>2018</v>
      </c>
      <c r="C1035" s="4" t="str">
        <f aca="false">FLOOR(B1035,10)&amp;"s"</f>
        <v>2010s</v>
      </c>
      <c r="D1035" s="4" t="s">
        <v>262</v>
      </c>
      <c r="E1035" s="25" t="str">
        <f aca="false">IF(G1035=1,"✓","")</f>
        <v/>
      </c>
      <c r="F1035" s="4" t="n">
        <v>2</v>
      </c>
      <c r="G1035" s="4" t="n">
        <f aca="false">IF(COUNTIF('Letterboxd Watched'!$E$2:$E$3000,M1035)&gt;0,1,0)</f>
        <v>0</v>
      </c>
      <c r="H1035" s="4" t="n">
        <v>3</v>
      </c>
      <c r="I1035" s="4" t="s">
        <v>213</v>
      </c>
      <c r="J1035" s="4" t="s">
        <v>52</v>
      </c>
      <c r="K1035" s="4" t="s">
        <v>5481</v>
      </c>
      <c r="L1035" s="48" t="str">
        <f aca="false">HYPERLINK("https://boxd.it/d6bk","open")</f>
        <v>open</v>
      </c>
      <c r="M1035" s="4" t="str">
        <f aca="false">LOWER(A1035)&amp;"|"&amp;B1035</f>
        <v>high life|2018</v>
      </c>
      <c r="N1035" s="4" t="n">
        <v>0</v>
      </c>
      <c r="O1035" s="4" t="n">
        <v>0</v>
      </c>
      <c r="P1035" s="4" t="n">
        <v>0</v>
      </c>
      <c r="Q1035" s="4" t="n">
        <v>1</v>
      </c>
      <c r="R1035" s="4" t="n">
        <v>1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 customFormat="false" ht="15" hidden="false" customHeight="false" outlineLevel="0" collapsed="false">
      <c r="A1036" s="4" t="s">
        <v>352</v>
      </c>
      <c r="B1036" s="4" t="n">
        <v>1952</v>
      </c>
      <c r="C1036" s="4" t="str">
        <f aca="false">FLOOR(B1036,10)&amp;"s"</f>
        <v>1950s</v>
      </c>
      <c r="D1036" s="4" t="s">
        <v>353</v>
      </c>
      <c r="E1036" s="25" t="str">
        <f aca="false">IF(G1036=1,"✓","")</f>
        <v/>
      </c>
      <c r="F1036" s="4" t="n">
        <v>4</v>
      </c>
      <c r="G1036" s="4" t="n">
        <f aca="false">IF(COUNTIF('Letterboxd Watched'!$E$2:$E$3000,M1036)&gt;0,1,0)</f>
        <v>0</v>
      </c>
      <c r="H1036" s="4" t="n">
        <v>9</v>
      </c>
      <c r="I1036" s="4" t="s">
        <v>144</v>
      </c>
      <c r="J1036" s="4" t="s">
        <v>50</v>
      </c>
      <c r="K1036" s="4" t="s">
        <v>5482</v>
      </c>
      <c r="L1036" s="48" t="str">
        <f aca="false">HYPERLINK("https://boxd.it/2aGa","open")</f>
        <v>open</v>
      </c>
      <c r="M1036" s="4" t="str">
        <f aca="false">LOWER(A1036)&amp;"|"&amp;B1036</f>
        <v>high noon|1952</v>
      </c>
      <c r="N1036" s="4" t="n">
        <v>0</v>
      </c>
      <c r="O1036" s="4" t="n">
        <v>1</v>
      </c>
      <c r="P1036" s="4" t="n">
        <v>0</v>
      </c>
      <c r="Q1036" s="4" t="n">
        <v>1</v>
      </c>
      <c r="R1036" s="4" t="n">
        <v>0</v>
      </c>
      <c r="S1036" s="4" t="n">
        <v>0</v>
      </c>
      <c r="T1036" s="4" t="n">
        <v>0</v>
      </c>
      <c r="U1036" s="4" t="n">
        <v>1</v>
      </c>
      <c r="V1036" s="4" t="n">
        <v>1</v>
      </c>
      <c r="W1036" s="4" t="n">
        <v>0</v>
      </c>
    </row>
    <row r="1037" customFormat="false" ht="15" hidden="false" customHeight="false" outlineLevel="0" collapsed="false">
      <c r="A1037" s="4" t="s">
        <v>2125</v>
      </c>
      <c r="B1037" s="4" t="n">
        <v>1968</v>
      </c>
      <c r="C1037" s="4" t="str">
        <f aca="false">FLOOR(B1037,10)&amp;"s"</f>
        <v>1960s</v>
      </c>
      <c r="D1037" s="4" t="s">
        <v>992</v>
      </c>
      <c r="E1037" s="25" t="str">
        <f aca="false">IF(G1037=1,"✓","")</f>
        <v/>
      </c>
      <c r="F1037" s="4" t="n">
        <v>1</v>
      </c>
      <c r="G1037" s="4" t="n">
        <f aca="false">IF(COUNTIF('Letterboxd Watched'!$E$2:$E$3000,M1037)&gt;0,1,0)</f>
        <v>0</v>
      </c>
      <c r="H1037" s="4" t="n">
        <v>2</v>
      </c>
      <c r="I1037" s="4" t="s">
        <v>213</v>
      </c>
      <c r="J1037" s="4" t="s">
        <v>52</v>
      </c>
      <c r="K1037" s="4" t="s">
        <v>4172</v>
      </c>
      <c r="L1037" s="48" t="str">
        <f aca="false">HYPERLINK("https://boxd.it/gkK","open")</f>
        <v>open</v>
      </c>
      <c r="M1037" s="4" t="str">
        <f aca="false">LOWER(A1037)&amp;"|"&amp;B1037</f>
        <v>high school|1968</v>
      </c>
      <c r="N1037" s="4" t="n">
        <v>0</v>
      </c>
      <c r="O1037" s="4" t="n">
        <v>0</v>
      </c>
      <c r="P1037" s="4" t="n">
        <v>0</v>
      </c>
      <c r="Q1037" s="4" t="n">
        <v>1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 customFormat="false" ht="15" hidden="false" customHeight="false" outlineLevel="0" collapsed="false">
      <c r="A1038" s="4" t="s">
        <v>1585</v>
      </c>
      <c r="B1038" s="4" t="n">
        <v>2003</v>
      </c>
      <c r="C1038" s="4" t="str">
        <f aca="false">FLOOR(B1038,10)&amp;"s"</f>
        <v>2000s</v>
      </c>
      <c r="D1038" s="4" t="s">
        <v>1586</v>
      </c>
      <c r="E1038" s="25" t="str">
        <f aca="false">IF(G1038=1,"✓","")</f>
        <v/>
      </c>
      <c r="F1038" s="4" t="n">
        <v>1</v>
      </c>
      <c r="G1038" s="4" t="n">
        <f aca="false">IF(COUNTIF('Letterboxd Watched'!$E$2:$E$3000,M1038)&gt;0,1,0)</f>
        <v>0</v>
      </c>
      <c r="H1038" s="4" t="n">
        <v>3</v>
      </c>
      <c r="I1038" s="4" t="s">
        <v>144</v>
      </c>
      <c r="J1038" s="4" t="s">
        <v>51</v>
      </c>
      <c r="K1038" s="4" t="s">
        <v>3968</v>
      </c>
      <c r="L1038" s="48" t="str">
        <f aca="false">HYPERLINK("https://boxd.it/1WLU","open")</f>
        <v>open</v>
      </c>
      <c r="M1038" s="4" t="str">
        <f aca="false">LOWER(A1038)&amp;"|"&amp;B1038</f>
        <v>high tension|2003</v>
      </c>
      <c r="N1038" s="4" t="n">
        <v>0</v>
      </c>
      <c r="O1038" s="4" t="n">
        <v>0</v>
      </c>
      <c r="P1038" s="4" t="n">
        <v>1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 customFormat="false" ht="15" hidden="false" customHeight="false" outlineLevel="0" collapsed="false">
      <c r="A1039" s="4" t="s">
        <v>2069</v>
      </c>
      <c r="B1039" s="4" t="n">
        <v>1965</v>
      </c>
      <c r="C1039" s="4" t="str">
        <f aca="false">FLOOR(B1039,10)&amp;"s"</f>
        <v>1960s</v>
      </c>
      <c r="D1039" s="4" t="s">
        <v>189</v>
      </c>
      <c r="E1039" s="25" t="str">
        <f aca="false">IF(G1039=1,"✓","")</f>
        <v/>
      </c>
      <c r="F1039" s="4" t="n">
        <v>1</v>
      </c>
      <c r="G1039" s="4" t="n">
        <f aca="false">IF(COUNTIF('Letterboxd Watched'!$E$2:$E$3000,M1039)&gt;0,1,0)</f>
        <v>0</v>
      </c>
      <c r="H1039" s="4" t="n">
        <v>2</v>
      </c>
      <c r="I1039" s="4" t="s">
        <v>213</v>
      </c>
      <c r="J1039" s="4" t="s">
        <v>53</v>
      </c>
      <c r="K1039" s="4" t="s">
        <v>189</v>
      </c>
      <c r="L1039" s="48" t="str">
        <f aca="false">HYPERLINK("https://boxd.it/1xJY","open")</f>
        <v>open</v>
      </c>
      <c r="M1039" s="4" t="str">
        <f aca="false">LOWER(A1039)&amp;"|"&amp;B1039</f>
        <v>the hill|1965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1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 customFormat="false" ht="15" hidden="false" customHeight="false" outlineLevel="0" collapsed="false">
      <c r="A1040" s="4" t="s">
        <v>2173</v>
      </c>
      <c r="B1040" s="4" t="n">
        <v>1971</v>
      </c>
      <c r="C1040" s="4" t="str">
        <f aca="false">FLOOR(B1040,10)&amp;"s"</f>
        <v>1970s</v>
      </c>
      <c r="D1040" s="4" t="s">
        <v>2174</v>
      </c>
      <c r="E1040" s="25" t="str">
        <f aca="false">IF(G1040=1,"✓","")</f>
        <v/>
      </c>
      <c r="F1040" s="4" t="n">
        <v>1</v>
      </c>
      <c r="G1040" s="4" t="n">
        <f aca="false">IF(COUNTIF('Letterboxd Watched'!$E$2:$E$3000,M1040)&gt;0,1,0)</f>
        <v>0</v>
      </c>
      <c r="H1040" s="4" t="n">
        <v>2</v>
      </c>
      <c r="I1040" s="4" t="s">
        <v>213</v>
      </c>
      <c r="J1040" s="4" t="s">
        <v>52</v>
      </c>
      <c r="K1040" s="4" t="s">
        <v>4054</v>
      </c>
      <c r="L1040" s="48" t="str">
        <f aca="false">HYPERLINK("https://letterboxd.com/search/films/The+Hired+Hand+1971/","open")</f>
        <v>open</v>
      </c>
      <c r="M1040" s="4" t="str">
        <f aca="false">LOWER(A1040)&amp;"|"&amp;B1040</f>
        <v>the hired hand|1971</v>
      </c>
      <c r="N1040" s="4" t="n">
        <v>0</v>
      </c>
      <c r="O1040" s="4" t="n">
        <v>0</v>
      </c>
      <c r="P1040" s="4" t="n">
        <v>0</v>
      </c>
      <c r="Q1040" s="4" t="n">
        <v>1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 customFormat="false" ht="15" hidden="false" customHeight="false" outlineLevel="0" collapsed="false">
      <c r="A1041" s="4" t="s">
        <v>271</v>
      </c>
      <c r="B1041" s="4" t="n">
        <v>1959</v>
      </c>
      <c r="C1041" s="4" t="str">
        <f aca="false">FLOOR(B1041,10)&amp;"s"</f>
        <v>1950s</v>
      </c>
      <c r="D1041" s="4" t="s">
        <v>272</v>
      </c>
      <c r="E1041" s="25" t="str">
        <f aca="false">IF(G1041=1,"✓","")</f>
        <v/>
      </c>
      <c r="F1041" s="4" t="n">
        <v>6</v>
      </c>
      <c r="G1041" s="4" t="n">
        <f aca="false">IF(COUNTIF('Letterboxd Watched'!$E$2:$E$3000,M1041)&gt;0,1,0)</f>
        <v>0</v>
      </c>
      <c r="H1041" s="4" t="n">
        <v>11</v>
      </c>
      <c r="I1041" s="4" t="s">
        <v>213</v>
      </c>
      <c r="J1041" s="4" t="s">
        <v>49</v>
      </c>
      <c r="K1041" s="4" t="s">
        <v>5483</v>
      </c>
      <c r="L1041" s="48" t="str">
        <f aca="false">HYPERLINK("https://boxd.it/22WY","open")</f>
        <v>open</v>
      </c>
      <c r="M1041" s="4" t="str">
        <f aca="false">LOWER(A1041)&amp;"|"&amp;B1041</f>
        <v>hiroshima mon amour|1959</v>
      </c>
      <c r="N1041" s="4" t="n">
        <v>1</v>
      </c>
      <c r="O1041" s="4" t="n">
        <v>1</v>
      </c>
      <c r="P1041" s="4" t="n">
        <v>1</v>
      </c>
      <c r="Q1041" s="4" t="n">
        <v>0</v>
      </c>
      <c r="R1041" s="4" t="n">
        <v>0</v>
      </c>
      <c r="S1041" s="4" t="n">
        <v>1</v>
      </c>
      <c r="T1041" s="4" t="n">
        <v>1</v>
      </c>
      <c r="U1041" s="4" t="n">
        <v>0</v>
      </c>
      <c r="V1041" s="4" t="n">
        <v>0</v>
      </c>
      <c r="W1041" s="4" t="n">
        <v>0</v>
      </c>
    </row>
    <row r="1042" customFormat="false" ht="15" hidden="false" customHeight="false" outlineLevel="0" collapsed="false">
      <c r="A1042" s="4" t="s">
        <v>167</v>
      </c>
      <c r="B1042" s="4" t="n">
        <v>1940</v>
      </c>
      <c r="C1042" s="4" t="str">
        <f aca="false">FLOOR(B1042,10)&amp;"s"</f>
        <v>1940s</v>
      </c>
      <c r="D1042" s="4" t="s">
        <v>168</v>
      </c>
      <c r="E1042" s="25" t="str">
        <f aca="false">IF(G1042=1,"✓","")</f>
        <v>✓</v>
      </c>
      <c r="F1042" s="4" t="n">
        <v>7</v>
      </c>
      <c r="G1042" s="4" t="n">
        <f aca="false">IF(COUNTIF('Letterboxd Watched'!$E$2:$E$3000,M1042)&gt;0,1,0)</f>
        <v>1</v>
      </c>
      <c r="H1042" s="4" t="n">
        <v>18</v>
      </c>
      <c r="I1042" s="4" t="s">
        <v>144</v>
      </c>
      <c r="J1042" s="4" t="s">
        <v>49</v>
      </c>
      <c r="K1042" s="4" t="s">
        <v>5484</v>
      </c>
      <c r="L1042" s="48" t="str">
        <f aca="false">HYPERLINK("https://boxd.it/25M8","open")</f>
        <v>open</v>
      </c>
      <c r="M1042" s="4" t="str">
        <f aca="false">LOWER(A1042)&amp;"|"&amp;B1042</f>
        <v>his girl friday|1940</v>
      </c>
      <c r="N1042" s="4" t="n">
        <v>1</v>
      </c>
      <c r="O1042" s="4" t="n">
        <v>0</v>
      </c>
      <c r="P1042" s="4" t="n">
        <v>0</v>
      </c>
      <c r="Q1042" s="4" t="n">
        <v>1</v>
      </c>
      <c r="R1042" s="4" t="n">
        <v>1</v>
      </c>
      <c r="S1042" s="4" t="n">
        <v>0</v>
      </c>
      <c r="T1042" s="4" t="n">
        <v>1</v>
      </c>
      <c r="U1042" s="4" t="n">
        <v>0</v>
      </c>
      <c r="V1042" s="4" t="n">
        <v>1</v>
      </c>
      <c r="W1042" s="4" t="n">
        <v>1</v>
      </c>
    </row>
    <row r="1043" customFormat="false" ht="15" hidden="false" customHeight="false" outlineLevel="0" collapsed="false">
      <c r="A1043" s="4" t="s">
        <v>3191</v>
      </c>
      <c r="B1043" s="4" t="n">
        <v>2020</v>
      </c>
      <c r="C1043" s="4" t="str">
        <f aca="false">FLOOR(B1043,10)&amp;"s"</f>
        <v>2020s</v>
      </c>
      <c r="D1043" s="4" t="s">
        <v>3192</v>
      </c>
      <c r="E1043" s="25" t="str">
        <f aca="false">IF(G1043=1,"✓","")</f>
        <v/>
      </c>
      <c r="F1043" s="4" t="n">
        <v>1</v>
      </c>
      <c r="G1043" s="4" t="n">
        <f aca="false">IF(COUNTIF('Letterboxd Watched'!$E$2:$E$3000,M1043)&gt;0,1,0)</f>
        <v>0</v>
      </c>
      <c r="H1043" s="4" t="n">
        <v>2</v>
      </c>
      <c r="I1043" s="4" t="s">
        <v>213</v>
      </c>
      <c r="J1043" s="4" t="s">
        <v>52</v>
      </c>
      <c r="K1043" s="4" t="s">
        <v>4078</v>
      </c>
      <c r="L1043" s="48" t="str">
        <f aca="false">HYPERLINK("https://letterboxd.com/search/films/His+House+2020/","open")</f>
        <v>open</v>
      </c>
      <c r="M1043" s="4" t="str">
        <f aca="false">LOWER(A1043)&amp;"|"&amp;B1043</f>
        <v>his house|2020</v>
      </c>
      <c r="N1043" s="4" t="n">
        <v>0</v>
      </c>
      <c r="O1043" s="4" t="n">
        <v>0</v>
      </c>
      <c r="P1043" s="4" t="n">
        <v>0</v>
      </c>
      <c r="Q1043" s="4" t="n">
        <v>1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</row>
    <row r="1044" customFormat="false" ht="15" hidden="false" customHeight="false" outlineLevel="0" collapsed="false">
      <c r="A1044" s="4" t="s">
        <v>896</v>
      </c>
      <c r="B1044" s="4" t="n">
        <v>1998</v>
      </c>
      <c r="C1044" s="4" t="str">
        <f aca="false">FLOOR(B1044,10)&amp;"s"</f>
        <v>1990s</v>
      </c>
      <c r="D1044" s="4" t="s">
        <v>152</v>
      </c>
      <c r="E1044" s="25" t="str">
        <f aca="false">IF(G1044=1,"✓","")</f>
        <v/>
      </c>
      <c r="F1044" s="4" t="n">
        <v>3</v>
      </c>
      <c r="G1044" s="4" t="n">
        <f aca="false">IF(COUNTIF('Letterboxd Watched'!$E$2:$E$3000,M1044)&gt;0,1,0)</f>
        <v>0</v>
      </c>
      <c r="H1044" s="4" t="n">
        <v>4</v>
      </c>
      <c r="I1044" s="4" t="s">
        <v>213</v>
      </c>
      <c r="J1044" s="4" t="s">
        <v>52</v>
      </c>
      <c r="K1044" s="4" t="s">
        <v>5485</v>
      </c>
      <c r="L1044" s="48" t="str">
        <f aca="false">HYPERLINK("https://letterboxd.com/search/films/Histoires+du+cinéma+1998/","open")</f>
        <v>open</v>
      </c>
      <c r="M1044" s="4" t="str">
        <f aca="false">LOWER(A1044)&amp;"|"&amp;B1044</f>
        <v>histoire(s) du cinéma|1998</v>
      </c>
      <c r="N1044" s="4" t="n">
        <v>0</v>
      </c>
      <c r="O1044" s="4" t="n">
        <v>0</v>
      </c>
      <c r="P1044" s="4" t="n">
        <v>0</v>
      </c>
      <c r="Q1044" s="4" t="n">
        <v>1</v>
      </c>
      <c r="R1044" s="4" t="n">
        <v>1</v>
      </c>
      <c r="S1044" s="4" t="n">
        <v>0</v>
      </c>
      <c r="T1044" s="4" t="n">
        <v>0</v>
      </c>
      <c r="U1044" s="4" t="n">
        <v>0</v>
      </c>
      <c r="V1044" s="4" t="n">
        <v>1</v>
      </c>
      <c r="W1044" s="4" t="n">
        <v>0</v>
      </c>
    </row>
    <row r="1045" customFormat="false" ht="15" hidden="false" customHeight="false" outlineLevel="0" collapsed="false">
      <c r="A1045" s="4" t="s">
        <v>2837</v>
      </c>
      <c r="B1045" s="4" t="n">
        <v>2005</v>
      </c>
      <c r="C1045" s="4" t="str">
        <f aca="false">FLOOR(B1045,10)&amp;"s"</f>
        <v>2000s</v>
      </c>
      <c r="D1045" s="4" t="s">
        <v>316</v>
      </c>
      <c r="E1045" s="25" t="str">
        <f aca="false">IF(G1045=1,"✓","")</f>
        <v/>
      </c>
      <c r="F1045" s="4" t="n">
        <v>1</v>
      </c>
      <c r="G1045" s="4" t="n">
        <f aca="false">IF(COUNTIF('Letterboxd Watched'!$E$2:$E$3000,M1045)&gt;0,1,0)</f>
        <v>0</v>
      </c>
      <c r="H1045" s="4" t="n">
        <v>2</v>
      </c>
      <c r="I1045" s="4" t="s">
        <v>213</v>
      </c>
      <c r="J1045" s="4" t="s">
        <v>53</v>
      </c>
      <c r="K1045" s="4" t="s">
        <v>316</v>
      </c>
      <c r="L1045" s="48" t="str">
        <f aca="false">HYPERLINK("https://boxd.it/2bfa","open")</f>
        <v>open</v>
      </c>
      <c r="M1045" s="4" t="str">
        <f aca="false">LOWER(A1045)&amp;"|"&amp;B1045</f>
        <v>a history of violence|2005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1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 customFormat="false" ht="15" hidden="false" customHeight="false" outlineLevel="0" collapsed="false">
      <c r="A1046" s="4" t="s">
        <v>3237</v>
      </c>
      <c r="B1046" s="4" t="n">
        <v>2023</v>
      </c>
      <c r="C1046" s="4" t="str">
        <f aca="false">FLOOR(B1046,10)&amp;"s"</f>
        <v>2020s</v>
      </c>
      <c r="D1046" s="4" t="s">
        <v>320</v>
      </c>
      <c r="E1046" s="25" t="str">
        <f aca="false">IF(G1046=1,"✓","")</f>
        <v/>
      </c>
      <c r="F1046" s="4" t="n">
        <v>1</v>
      </c>
      <c r="G1046" s="4" t="n">
        <f aca="false">IF(COUNTIF('Letterboxd Watched'!$E$2:$E$3000,M1046)&gt;0,1,0)</f>
        <v>0</v>
      </c>
      <c r="H1046" s="4" t="n">
        <v>2</v>
      </c>
      <c r="I1046" s="4" t="s">
        <v>213</v>
      </c>
      <c r="J1046" s="4" t="s">
        <v>53</v>
      </c>
      <c r="K1046" s="4" t="s">
        <v>320</v>
      </c>
      <c r="L1046" s="48" t="str">
        <f aca="false">HYPERLINK("https://boxd.it/ANB2","open")</f>
        <v>open</v>
      </c>
      <c r="M1046" s="4" t="str">
        <f aca="false">LOWER(A1046)&amp;"|"&amp;B1046</f>
        <v>hit man|2023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1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</row>
    <row r="1047" customFormat="false" ht="15" hidden="false" customHeight="false" outlineLevel="0" collapsed="false">
      <c r="A1047" s="4" t="s">
        <v>1314</v>
      </c>
      <c r="B1047" s="4" t="n">
        <v>1953</v>
      </c>
      <c r="C1047" s="4" t="str">
        <f aca="false">FLOOR(B1047,10)&amp;"s"</f>
        <v>1950s</v>
      </c>
      <c r="D1047" s="4" t="s">
        <v>1315</v>
      </c>
      <c r="E1047" s="25" t="str">
        <f aca="false">IF(G1047=1,"✓","")</f>
        <v/>
      </c>
      <c r="F1047" s="4" t="n">
        <v>2</v>
      </c>
      <c r="G1047" s="4" t="n">
        <f aca="false">IF(COUNTIF('Letterboxd Watched'!$E$2:$E$3000,M1047)&gt;0,1,0)</f>
        <v>0</v>
      </c>
      <c r="H1047" s="4" t="n">
        <v>3</v>
      </c>
      <c r="I1047" s="4" t="s">
        <v>213</v>
      </c>
      <c r="J1047" s="4" t="s">
        <v>52</v>
      </c>
      <c r="K1047" s="4" t="s">
        <v>5486</v>
      </c>
      <c r="L1047" s="48" t="str">
        <f aca="false">HYPERLINK("https://letterboxd.com/search/films/The+HitchHiker+1953/","open")</f>
        <v>open</v>
      </c>
      <c r="M1047" s="4" t="str">
        <f aca="false">LOWER(A1047)&amp;"|"&amp;B1047</f>
        <v>the hitch-hiker|1953</v>
      </c>
      <c r="N1047" s="4" t="n">
        <v>0</v>
      </c>
      <c r="O1047" s="4" t="n">
        <v>0</v>
      </c>
      <c r="P1047" s="4" t="n">
        <v>0</v>
      </c>
      <c r="Q1047" s="4" t="n">
        <v>1</v>
      </c>
      <c r="R1047" s="4" t="n">
        <v>0</v>
      </c>
      <c r="S1047" s="4" t="n">
        <v>1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 customFormat="false" ht="15" hidden="false" customHeight="false" outlineLevel="0" collapsed="false">
      <c r="A1048" s="4" t="s">
        <v>1911</v>
      </c>
      <c r="B1048" s="4" t="n">
        <v>1954</v>
      </c>
      <c r="C1048" s="4" t="str">
        <f aca="false">FLOOR(B1048,10)&amp;"s"</f>
        <v>1950s</v>
      </c>
      <c r="D1048" s="4" t="s">
        <v>255</v>
      </c>
      <c r="E1048" s="25" t="str">
        <f aca="false">IF(G1048=1,"✓","")</f>
        <v/>
      </c>
      <c r="F1048" s="4" t="n">
        <v>1</v>
      </c>
      <c r="G1048" s="4" t="n">
        <f aca="false">IF(COUNTIF('Letterboxd Watched'!$E$2:$E$3000,M1048)&gt;0,1,0)</f>
        <v>0</v>
      </c>
      <c r="H1048" s="4" t="n">
        <v>2</v>
      </c>
      <c r="I1048" s="4" t="s">
        <v>213</v>
      </c>
      <c r="J1048" s="4" t="s">
        <v>53</v>
      </c>
      <c r="K1048" s="4" t="s">
        <v>255</v>
      </c>
      <c r="L1048" s="48" t="str">
        <f aca="false">HYPERLINK("https://boxd.it/1Ka8","open")</f>
        <v>open</v>
      </c>
      <c r="M1048" s="4" t="str">
        <f aca="false">LOWER(A1048)&amp;"|"&amp;B1048</f>
        <v>hobson's choice|1954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1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</row>
    <row r="1049" customFormat="false" ht="15" hidden="false" customHeight="false" outlineLevel="0" collapsed="false">
      <c r="A1049" s="4" t="s">
        <v>882</v>
      </c>
      <c r="B1049" s="4" t="n">
        <v>2023</v>
      </c>
      <c r="C1049" s="4" t="str">
        <f aca="false">FLOOR(B1049,10)&amp;"s"</f>
        <v>2020s</v>
      </c>
      <c r="D1049" s="4" t="s">
        <v>429</v>
      </c>
      <c r="E1049" s="25" t="str">
        <f aca="false">IF(G1049=1,"✓","")</f>
        <v>✓</v>
      </c>
      <c r="F1049" s="4" t="n">
        <v>2</v>
      </c>
      <c r="G1049" s="4" t="n">
        <f aca="false">IF(COUNTIF('Letterboxd Watched'!$E$2:$E$3000,M1049)&gt;0,1,0)</f>
        <v>1</v>
      </c>
      <c r="H1049" s="4" t="n">
        <v>5</v>
      </c>
      <c r="I1049" s="4" t="s">
        <v>144</v>
      </c>
      <c r="J1049" s="4" t="s">
        <v>55</v>
      </c>
      <c r="K1049" s="4" t="s">
        <v>5345</v>
      </c>
      <c r="L1049" s="48" t="str">
        <f aca="false">HYPERLINK("https://boxd.it/vHza","open")</f>
        <v>open</v>
      </c>
      <c r="M1049" s="4" t="str">
        <f aca="false">LOWER(A1049)&amp;"|"&amp;B1049</f>
        <v>the holdovers|2023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1</v>
      </c>
      <c r="U1049" s="4" t="n">
        <v>1</v>
      </c>
      <c r="V1049" s="4" t="n">
        <v>0</v>
      </c>
      <c r="W1049" s="4" t="n">
        <v>0</v>
      </c>
    </row>
    <row r="1050" customFormat="false" ht="15" hidden="false" customHeight="false" outlineLevel="0" collapsed="false">
      <c r="A1050" s="4" t="s">
        <v>3705</v>
      </c>
      <c r="B1050" s="4" t="n">
        <v>1998</v>
      </c>
      <c r="C1050" s="4" t="str">
        <f aca="false">FLOOR(B1050,10)&amp;"s"</f>
        <v>1990s</v>
      </c>
      <c r="D1050" s="4" t="s">
        <v>1165</v>
      </c>
      <c r="E1050" s="25" t="str">
        <f aca="false">IF(G1050=1,"✓","")</f>
        <v/>
      </c>
      <c r="F1050" s="4" t="n">
        <v>1</v>
      </c>
      <c r="G1050" s="4" t="n">
        <f aca="false">IF(COUNTIF('Letterboxd Watched'!$E$2:$E$3000,M1050)&gt;0,1,0)</f>
        <v>0</v>
      </c>
      <c r="H1050" s="4" t="n">
        <v>1</v>
      </c>
      <c r="I1050" s="4" t="s">
        <v>1327</v>
      </c>
      <c r="J1050" s="4" t="s">
        <v>53</v>
      </c>
      <c r="K1050" s="4" t="s">
        <v>4255</v>
      </c>
      <c r="L1050" s="48" t="str">
        <f aca="false">HYPERLINK("https://boxd.it/LDo","open")</f>
        <v>open</v>
      </c>
      <c r="M1050" s="4" t="str">
        <f aca="false">LOWER(A1050)&amp;"|"&amp;B1050</f>
        <v>the hole|1998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1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 customFormat="false" ht="15" hidden="false" customHeight="false" outlineLevel="0" collapsed="false">
      <c r="A1051" s="4" t="s">
        <v>1776</v>
      </c>
      <c r="B1051" s="4" t="n">
        <v>1938</v>
      </c>
      <c r="C1051" s="4" t="str">
        <f aca="false">FLOOR(B1051,10)&amp;"s"</f>
        <v>1930s</v>
      </c>
      <c r="D1051" s="4" t="s">
        <v>537</v>
      </c>
      <c r="E1051" s="25" t="str">
        <f aca="false">IF(G1051=1,"✓","")</f>
        <v/>
      </c>
      <c r="F1051" s="4" t="n">
        <v>1</v>
      </c>
      <c r="G1051" s="4" t="n">
        <f aca="false">IF(COUNTIF('Letterboxd Watched'!$E$2:$E$3000,M1051)&gt;0,1,0)</f>
        <v>0</v>
      </c>
      <c r="H1051" s="4" t="n">
        <v>2</v>
      </c>
      <c r="I1051" s="4" t="s">
        <v>213</v>
      </c>
      <c r="J1051" s="4" t="s">
        <v>52</v>
      </c>
      <c r="K1051" s="4" t="s">
        <v>4096</v>
      </c>
      <c r="L1051" s="48" t="str">
        <f aca="false">HYPERLINK("https://boxd.it/1Ks2","open")</f>
        <v>open</v>
      </c>
      <c r="M1051" s="4" t="str">
        <f aca="false">LOWER(A1051)&amp;"|"&amp;B1051</f>
        <v>holiday|1938</v>
      </c>
      <c r="N1051" s="4" t="n">
        <v>0</v>
      </c>
      <c r="O1051" s="4" t="n">
        <v>0</v>
      </c>
      <c r="P1051" s="4" t="n">
        <v>0</v>
      </c>
      <c r="Q1051" s="4" t="n">
        <v>1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 customFormat="false" ht="15" hidden="false" customHeight="false" outlineLevel="0" collapsed="false">
      <c r="A1052" s="4" t="s">
        <v>3558</v>
      </c>
      <c r="B1052" s="4" t="n">
        <v>1976</v>
      </c>
      <c r="C1052" s="4" t="str">
        <f aca="false">FLOOR(B1052,10)&amp;"s"</f>
        <v>1970s</v>
      </c>
      <c r="D1052" s="4" t="s">
        <v>3559</v>
      </c>
      <c r="E1052" s="25" t="str">
        <f aca="false">IF(G1052=1,"✓","")</f>
        <v/>
      </c>
      <c r="F1052" s="4" t="n">
        <v>1</v>
      </c>
      <c r="G1052" s="4" t="n">
        <f aca="false">IF(COUNTIF('Letterboxd Watched'!$E$2:$E$3000,M1052)&gt;0,1,0)</f>
        <v>0</v>
      </c>
      <c r="H1052" s="4" t="n">
        <v>1</v>
      </c>
      <c r="I1052" s="4" t="s">
        <v>1327</v>
      </c>
      <c r="J1052" s="4" t="s">
        <v>56</v>
      </c>
      <c r="K1052" s="4" t="s">
        <v>4414</v>
      </c>
      <c r="L1052" s="48" t="str">
        <f aca="false">HYPERLINK("https://boxd.it/1mwu","open")</f>
        <v>open</v>
      </c>
      <c r="M1052" s="4" t="str">
        <f aca="false">LOWER(A1052)&amp;"|"&amp;B1052</f>
        <v>hollywood boulevard|1976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1</v>
      </c>
      <c r="V1052" s="4" t="n">
        <v>0</v>
      </c>
      <c r="W1052" s="4" t="n">
        <v>0</v>
      </c>
    </row>
    <row r="1053" customFormat="false" ht="15" hidden="false" customHeight="false" outlineLevel="0" collapsed="false">
      <c r="A1053" s="4" t="s">
        <v>2461</v>
      </c>
      <c r="B1053" s="4" t="n">
        <v>1987</v>
      </c>
      <c r="C1053" s="4" t="str">
        <f aca="false">FLOOR(B1053,10)&amp;"s"</f>
        <v>1980s</v>
      </c>
      <c r="D1053" s="4" t="s">
        <v>2462</v>
      </c>
      <c r="E1053" s="25" t="str">
        <f aca="false">IF(G1053=1,"✓","")</f>
        <v/>
      </c>
      <c r="F1053" s="4" t="n">
        <v>1</v>
      </c>
      <c r="G1053" s="4" t="n">
        <f aca="false">IF(COUNTIF('Letterboxd Watched'!$E$2:$E$3000,M1053)&gt;0,1,0)</f>
        <v>0</v>
      </c>
      <c r="H1053" s="4" t="n">
        <v>2</v>
      </c>
      <c r="I1053" s="4" t="s">
        <v>213</v>
      </c>
      <c r="J1053" s="4" t="s">
        <v>54</v>
      </c>
      <c r="K1053" s="4" t="s">
        <v>4290</v>
      </c>
      <c r="L1053" s="48" t="str">
        <f aca="false">HYPERLINK("https://letterboxd.com/search/films/Hollywood+Shuffle+1987/","open")</f>
        <v>open</v>
      </c>
      <c r="M1053" s="4" t="str">
        <f aca="false">LOWER(A1053)&amp;"|"&amp;B1053</f>
        <v>hollywood shuffle|1987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1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 customFormat="false" ht="15" hidden="false" customHeight="false" outlineLevel="0" collapsed="false">
      <c r="A1054" s="4" t="s">
        <v>2812</v>
      </c>
      <c r="B1054" s="4" t="n">
        <v>2004</v>
      </c>
      <c r="C1054" s="4" t="str">
        <f aca="false">FLOOR(B1054,10)&amp;"s"</f>
        <v>2000s</v>
      </c>
      <c r="D1054" s="4" t="s">
        <v>1579</v>
      </c>
      <c r="E1054" s="25" t="str">
        <f aca="false">IF(G1054=1,"✓","")</f>
        <v/>
      </c>
      <c r="F1054" s="4" t="n">
        <v>1</v>
      </c>
      <c r="G1054" s="4" t="n">
        <f aca="false">IF(COUNTIF('Letterboxd Watched'!$E$2:$E$3000,M1054)&gt;0,1,0)</f>
        <v>0</v>
      </c>
      <c r="H1054" s="4" t="n">
        <v>2</v>
      </c>
      <c r="I1054" s="4" t="s">
        <v>213</v>
      </c>
      <c r="J1054" s="4" t="s">
        <v>51</v>
      </c>
      <c r="K1054" s="4" t="s">
        <v>4010</v>
      </c>
      <c r="L1054" s="48" t="str">
        <f aca="false">HYPERLINK("https://letterboxd.com/search/films/The+Holy+Girl+2004/","open")</f>
        <v>open</v>
      </c>
      <c r="M1054" s="4" t="str">
        <f aca="false">LOWER(A1054)&amp;"|"&amp;B1054</f>
        <v>the holy girl|2004</v>
      </c>
      <c r="N1054" s="4" t="n">
        <v>0</v>
      </c>
      <c r="O1054" s="4" t="n">
        <v>0</v>
      </c>
      <c r="P1054" s="4" t="n">
        <v>1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</row>
    <row r="1055" customFormat="false" ht="15" hidden="false" customHeight="false" outlineLevel="0" collapsed="false">
      <c r="A1055" s="4" t="s">
        <v>1201</v>
      </c>
      <c r="B1055" s="4" t="n">
        <v>2012</v>
      </c>
      <c r="C1055" s="4" t="str">
        <f aca="false">FLOOR(B1055,10)&amp;"s"</f>
        <v>2010s</v>
      </c>
      <c r="D1055" s="4" t="s">
        <v>1202</v>
      </c>
      <c r="E1055" s="25" t="str">
        <f aca="false">IF(G1055=1,"✓","")</f>
        <v/>
      </c>
      <c r="F1055" s="4" t="n">
        <v>2</v>
      </c>
      <c r="G1055" s="4" t="n">
        <f aca="false">IF(COUNTIF('Letterboxd Watched'!$E$2:$E$3000,M1055)&gt;0,1,0)</f>
        <v>0</v>
      </c>
      <c r="H1055" s="4" t="n">
        <v>4</v>
      </c>
      <c r="I1055" s="4" t="s">
        <v>213</v>
      </c>
      <c r="J1055" s="4" t="s">
        <v>50</v>
      </c>
      <c r="K1055" s="4" t="s">
        <v>5487</v>
      </c>
      <c r="L1055" s="48" t="str">
        <f aca="false">HYPERLINK("https://letterboxd.com/search/films/Holy+Motors+2012/","open")</f>
        <v>open</v>
      </c>
      <c r="M1055" s="4" t="str">
        <f aca="false">LOWER(A1055)&amp;"|"&amp;B1055</f>
        <v>holy motors|2012</v>
      </c>
      <c r="N1055" s="4" t="n">
        <v>0</v>
      </c>
      <c r="O1055" s="4" t="n">
        <v>1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1</v>
      </c>
    </row>
    <row r="1056" customFormat="false" ht="15" hidden="false" customHeight="false" outlineLevel="0" collapsed="false">
      <c r="A1056" s="4" t="s">
        <v>798</v>
      </c>
      <c r="B1056" s="4" t="n">
        <v>1926</v>
      </c>
      <c r="C1056" s="4" t="str">
        <f aca="false">FLOOR(B1056,10)&amp;"s"</f>
        <v>1920s</v>
      </c>
      <c r="D1056" s="4" t="s">
        <v>1430</v>
      </c>
      <c r="E1056" s="25" t="str">
        <f aca="false">IF(G1056=1,"✓","")</f>
        <v/>
      </c>
      <c r="F1056" s="4" t="n">
        <v>1</v>
      </c>
      <c r="G1056" s="4" t="n">
        <f aca="false">IF(COUNTIF('Letterboxd Watched'!$E$2:$E$3000,M1056)&gt;0,1,0)</f>
        <v>0</v>
      </c>
      <c r="H1056" s="4" t="n">
        <v>3</v>
      </c>
      <c r="I1056" s="4" t="s">
        <v>144</v>
      </c>
      <c r="J1056" s="4" t="s">
        <v>56</v>
      </c>
      <c r="K1056" s="4" t="s">
        <v>4386</v>
      </c>
      <c r="L1056" s="48" t="str">
        <f aca="false">HYPERLINK("https://letterboxd.com/search/films/The+Holy+Mountain+1926/","open")</f>
        <v>open</v>
      </c>
      <c r="M1056" s="4" t="str">
        <f aca="false">LOWER(A1056)&amp;"|"&amp;B1056</f>
        <v>the holy mountain|1926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1</v>
      </c>
      <c r="V1056" s="4" t="n">
        <v>0</v>
      </c>
      <c r="W1056" s="4" t="n">
        <v>0</v>
      </c>
    </row>
    <row r="1057" customFormat="false" ht="15" hidden="false" customHeight="false" outlineLevel="0" collapsed="false">
      <c r="A1057" s="4" t="s">
        <v>798</v>
      </c>
      <c r="B1057" s="4" t="n">
        <v>1973</v>
      </c>
      <c r="C1057" s="4" t="str">
        <f aca="false">FLOOR(B1057,10)&amp;"s"</f>
        <v>1970s</v>
      </c>
      <c r="D1057" s="4" t="s">
        <v>421</v>
      </c>
      <c r="E1057" s="25" t="str">
        <f aca="false">IF(G1057=1,"✓","")</f>
        <v/>
      </c>
      <c r="F1057" s="4" t="n">
        <v>2</v>
      </c>
      <c r="G1057" s="4" t="n">
        <f aca="false">IF(COUNTIF('Letterboxd Watched'!$E$2:$E$3000,M1057)&gt;0,1,0)</f>
        <v>0</v>
      </c>
      <c r="H1057" s="4" t="n">
        <v>5</v>
      </c>
      <c r="I1057" s="4" t="s">
        <v>144</v>
      </c>
      <c r="J1057" s="4" t="s">
        <v>56</v>
      </c>
      <c r="K1057" s="4" t="s">
        <v>5488</v>
      </c>
      <c r="L1057" s="48" t="str">
        <f aca="false">HYPERLINK("https://boxd.it/20mu","open")</f>
        <v>open</v>
      </c>
      <c r="M1057" s="4" t="str">
        <f aca="false">LOWER(A1057)&amp;"|"&amp;B1057</f>
        <v>the holy mountain|1973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1</v>
      </c>
      <c r="V1057" s="4" t="n">
        <v>0</v>
      </c>
      <c r="W1057" s="4" t="n">
        <v>1</v>
      </c>
    </row>
    <row r="1058" customFormat="false" ht="15" hidden="false" customHeight="false" outlineLevel="0" collapsed="false">
      <c r="A1058" s="4" t="s">
        <v>2516</v>
      </c>
      <c r="B1058" s="4" t="n">
        <v>1990</v>
      </c>
      <c r="C1058" s="4" t="str">
        <f aca="false">FLOOR(B1058,10)&amp;"s"</f>
        <v>1990s</v>
      </c>
      <c r="D1058" s="4" t="s">
        <v>2517</v>
      </c>
      <c r="E1058" s="25" t="str">
        <f aca="false">IF(G1058=1,"✓","")</f>
        <v>✓</v>
      </c>
      <c r="F1058" s="4" t="n">
        <v>1</v>
      </c>
      <c r="G1058" s="4" t="n">
        <f aca="false">IF(COUNTIF('Letterboxd Watched'!$E$2:$E$3000,M1058)&gt;0,1,0)</f>
        <v>1</v>
      </c>
      <c r="H1058" s="4" t="n">
        <v>2</v>
      </c>
      <c r="I1058" s="4" t="s">
        <v>213</v>
      </c>
      <c r="J1058" s="4" t="s">
        <v>56</v>
      </c>
      <c r="K1058" s="4" t="s">
        <v>4420</v>
      </c>
      <c r="L1058" s="48" t="str">
        <f aca="false">HYPERLINK("https://boxd.it/29Fg","open")</f>
        <v>open</v>
      </c>
      <c r="M1058" s="4" t="str">
        <f aca="false">LOWER(A1058)&amp;"|"&amp;B1058</f>
        <v>home alone|1990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1</v>
      </c>
      <c r="V1058" s="4" t="n">
        <v>0</v>
      </c>
      <c r="W1058" s="4" t="n">
        <v>0</v>
      </c>
    </row>
    <row r="1059" customFormat="false" ht="15" hidden="false" customHeight="false" outlineLevel="0" collapsed="false">
      <c r="A1059" s="4" t="s">
        <v>3652</v>
      </c>
      <c r="B1059" s="4" t="n">
        <v>1989</v>
      </c>
      <c r="C1059" s="4" t="str">
        <f aca="false">FLOOR(B1059,10)&amp;"s"</f>
        <v>1980s</v>
      </c>
      <c r="D1059" s="4" t="s">
        <v>203</v>
      </c>
      <c r="E1059" s="25" t="str">
        <f aca="false">IF(G1059=1,"✓","")</f>
        <v/>
      </c>
      <c r="F1059" s="4" t="n">
        <v>1</v>
      </c>
      <c r="G1059" s="4" t="n">
        <f aca="false">IF(COUNTIF('Letterboxd Watched'!$E$2:$E$3000,M1059)&gt;0,1,0)</f>
        <v>0</v>
      </c>
      <c r="H1059" s="4" t="n">
        <v>1</v>
      </c>
      <c r="I1059" s="4" t="s">
        <v>1327</v>
      </c>
      <c r="J1059" s="4" t="s">
        <v>53</v>
      </c>
      <c r="K1059" s="4" t="s">
        <v>203</v>
      </c>
      <c r="L1059" s="48" t="str">
        <f aca="false">HYPERLINK("https://letterboxd.com/search/films/Homework+1989/","open")</f>
        <v>open</v>
      </c>
      <c r="M1059" s="4" t="str">
        <f aca="false">LOWER(A1059)&amp;"|"&amp;B1059</f>
        <v>homework|1989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1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 customFormat="false" ht="15" hidden="false" customHeight="false" outlineLevel="0" collapsed="false">
      <c r="A1060" s="4" t="s">
        <v>501</v>
      </c>
      <c r="B1060" s="4" t="n">
        <v>1994</v>
      </c>
      <c r="C1060" s="4" t="str">
        <f aca="false">FLOOR(B1060,10)&amp;"s"</f>
        <v>1990s</v>
      </c>
      <c r="D1060" s="4" t="s">
        <v>502</v>
      </c>
      <c r="E1060" s="25" t="str">
        <f aca="false">IF(G1060=1,"✓","")</f>
        <v/>
      </c>
      <c r="F1060" s="4" t="n">
        <v>3</v>
      </c>
      <c r="G1060" s="4" t="n">
        <f aca="false">IF(COUNTIF('Letterboxd Watched'!$E$2:$E$3000,M1060)&gt;0,1,0)</f>
        <v>0</v>
      </c>
      <c r="H1060" s="4" t="n">
        <v>7</v>
      </c>
      <c r="I1060" s="4" t="s">
        <v>144</v>
      </c>
      <c r="J1060" s="4" t="s">
        <v>52</v>
      </c>
      <c r="K1060" s="4" t="s">
        <v>5489</v>
      </c>
      <c r="L1060" s="48" t="str">
        <f aca="false">HYPERLINK("https://boxd.it/1Opc","open")</f>
        <v>open</v>
      </c>
      <c r="M1060" s="4" t="str">
        <f aca="false">LOWER(A1060)&amp;"|"&amp;B1060</f>
        <v>hoop dreams|1994</v>
      </c>
      <c r="N1060" s="4" t="n">
        <v>0</v>
      </c>
      <c r="O1060" s="4" t="n">
        <v>0</v>
      </c>
      <c r="P1060" s="4" t="n">
        <v>0</v>
      </c>
      <c r="Q1060" s="4" t="n">
        <v>1</v>
      </c>
      <c r="R1060" s="4" t="n">
        <v>0</v>
      </c>
      <c r="S1060" s="4" t="n">
        <v>0</v>
      </c>
      <c r="T1060" s="4" t="n">
        <v>1</v>
      </c>
      <c r="U1060" s="4" t="n">
        <v>1</v>
      </c>
      <c r="V1060" s="4" t="n">
        <v>0</v>
      </c>
      <c r="W1060" s="4" t="n">
        <v>0</v>
      </c>
    </row>
    <row r="1061" customFormat="false" ht="15" hidden="false" customHeight="false" outlineLevel="0" collapsed="false">
      <c r="A1061" s="4" t="s">
        <v>2149</v>
      </c>
      <c r="B1061" s="4" t="n">
        <v>1969</v>
      </c>
      <c r="C1061" s="4" t="str">
        <f aca="false">FLOOR(B1061,10)&amp;"s"</f>
        <v>1960s</v>
      </c>
      <c r="D1061" s="4" t="s">
        <v>2150</v>
      </c>
      <c r="E1061" s="25" t="str">
        <f aca="false">IF(G1061=1,"✓","")</f>
        <v/>
      </c>
      <c r="F1061" s="4" t="n">
        <v>1</v>
      </c>
      <c r="G1061" s="4" t="n">
        <f aca="false">IF(COUNTIF('Letterboxd Watched'!$E$2:$E$3000,M1061)&gt;0,1,0)</f>
        <v>0</v>
      </c>
      <c r="H1061" s="4" t="n">
        <v>2</v>
      </c>
      <c r="I1061" s="4" t="s">
        <v>213</v>
      </c>
      <c r="J1061" s="4" t="s">
        <v>56</v>
      </c>
      <c r="K1061" s="4" t="s">
        <v>4410</v>
      </c>
      <c r="L1061" s="48" t="str">
        <f aca="false">HYPERLINK("https://letterboxd.com/search/films/Horrors+of+Malformed+Men+1969/","open")</f>
        <v>open</v>
      </c>
      <c r="M1061" s="4" t="str">
        <f aca="false">LOWER(A1061)&amp;"|"&amp;B1061</f>
        <v>horrors of malformed men|1969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1</v>
      </c>
      <c r="V1061" s="4" t="n">
        <v>0</v>
      </c>
      <c r="W1061" s="4" t="n">
        <v>0</v>
      </c>
    </row>
    <row r="1062" customFormat="false" ht="15" hidden="false" customHeight="false" outlineLevel="0" collapsed="false">
      <c r="A1062" s="4" t="s">
        <v>3523</v>
      </c>
      <c r="B1062" s="4" t="n">
        <v>1973</v>
      </c>
      <c r="C1062" s="4" t="str">
        <f aca="false">FLOOR(B1062,10)&amp;"s"</f>
        <v>1970s</v>
      </c>
      <c r="D1062" s="4" t="s">
        <v>239</v>
      </c>
      <c r="E1062" s="25" t="str">
        <f aca="false">IF(G1062=1,"✓","")</f>
        <v/>
      </c>
      <c r="F1062" s="4" t="n">
        <v>1</v>
      </c>
      <c r="G1062" s="4" t="n">
        <f aca="false">IF(COUNTIF('Letterboxd Watched'!$E$2:$E$3000,M1062)&gt;0,1,0)</f>
        <v>0</v>
      </c>
      <c r="H1062" s="4" t="n">
        <v>1</v>
      </c>
      <c r="I1062" s="4" t="s">
        <v>1327</v>
      </c>
      <c r="J1062" s="4" t="s">
        <v>54</v>
      </c>
      <c r="K1062" s="4" t="s">
        <v>4286</v>
      </c>
      <c r="L1062" s="48" t="str">
        <f aca="false">HYPERLINK("https://letterboxd.com/search/films/The+Horse+1973/","open")</f>
        <v>open</v>
      </c>
      <c r="M1062" s="4" t="str">
        <f aca="false">LOWER(A1062)&amp;"|"&amp;B1062</f>
        <v>the horse|1973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1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 customFormat="false" ht="15" hidden="false" customHeight="false" outlineLevel="0" collapsed="false">
      <c r="A1063" s="4" t="s">
        <v>1734</v>
      </c>
      <c r="B1063" s="4" t="n">
        <v>1932</v>
      </c>
      <c r="C1063" s="4" t="str">
        <f aca="false">FLOOR(B1063,10)&amp;"s"</f>
        <v>1930s</v>
      </c>
      <c r="D1063" s="4" t="s">
        <v>1735</v>
      </c>
      <c r="E1063" s="25" t="str">
        <f aca="false">IF(G1063=1,"✓","")</f>
        <v/>
      </c>
      <c r="F1063" s="4" t="n">
        <v>1</v>
      </c>
      <c r="G1063" s="4" t="n">
        <f aca="false">IF(COUNTIF('Letterboxd Watched'!$E$2:$E$3000,M1063)&gt;0,1,0)</f>
        <v>0</v>
      </c>
      <c r="H1063" s="4" t="n">
        <v>2</v>
      </c>
      <c r="I1063" s="4" t="s">
        <v>213</v>
      </c>
      <c r="J1063" s="4" t="s">
        <v>52</v>
      </c>
      <c r="K1063" s="4" t="s">
        <v>4098</v>
      </c>
      <c r="L1063" s="48" t="str">
        <f aca="false">HYPERLINK("https://boxd.it/1P9E","open")</f>
        <v>open</v>
      </c>
      <c r="M1063" s="4" t="str">
        <f aca="false">LOWER(A1063)&amp;"|"&amp;B1063</f>
        <v>horse feathers|1932</v>
      </c>
      <c r="N1063" s="4" t="n">
        <v>0</v>
      </c>
      <c r="O1063" s="4" t="n">
        <v>0</v>
      </c>
      <c r="P1063" s="4" t="n">
        <v>0</v>
      </c>
      <c r="Q1063" s="4" t="n">
        <v>1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 customFormat="false" ht="15" hidden="false" customHeight="false" outlineLevel="0" collapsed="false">
      <c r="A1064" s="4" t="s">
        <v>638</v>
      </c>
      <c r="B1064" s="4" t="n">
        <v>2006</v>
      </c>
      <c r="C1064" s="4" t="str">
        <f aca="false">FLOOR(B1064,10)&amp;"s"</f>
        <v>2000s</v>
      </c>
      <c r="D1064" s="4" t="s">
        <v>276</v>
      </c>
      <c r="E1064" s="25" t="str">
        <f aca="false">IF(G1064=1,"✓","")</f>
        <v/>
      </c>
      <c r="F1064" s="4" t="n">
        <v>3</v>
      </c>
      <c r="G1064" s="4" t="n">
        <f aca="false">IF(COUNTIF('Letterboxd Watched'!$E$2:$E$3000,M1064)&gt;0,1,0)</f>
        <v>0</v>
      </c>
      <c r="H1064" s="4" t="n">
        <v>6</v>
      </c>
      <c r="I1064" s="4" t="s">
        <v>213</v>
      </c>
      <c r="J1064" s="4" t="s">
        <v>51</v>
      </c>
      <c r="K1064" s="4" t="s">
        <v>5490</v>
      </c>
      <c r="L1064" s="48" t="str">
        <f aca="false">HYPERLINK("https://boxd.it/28ZY","open")</f>
        <v>open</v>
      </c>
      <c r="M1064" s="4" t="str">
        <f aca="false">LOWER(A1064)&amp;"|"&amp;B1064</f>
        <v>the host|2006</v>
      </c>
      <c r="N1064" s="4" t="n">
        <v>0</v>
      </c>
      <c r="O1064" s="4" t="n">
        <v>0</v>
      </c>
      <c r="P1064" s="4" t="n">
        <v>1</v>
      </c>
      <c r="Q1064" s="4" t="n">
        <v>0</v>
      </c>
      <c r="R1064" s="4" t="n">
        <v>1</v>
      </c>
      <c r="S1064" s="4" t="n">
        <v>0</v>
      </c>
      <c r="T1064" s="4" t="n">
        <v>0</v>
      </c>
      <c r="U1064" s="4" t="n">
        <v>1</v>
      </c>
      <c r="V1064" s="4" t="n">
        <v>0</v>
      </c>
      <c r="W1064" s="4" t="n">
        <v>0</v>
      </c>
    </row>
    <row r="1065" customFormat="false" ht="15" hidden="false" customHeight="false" outlineLevel="0" collapsed="false">
      <c r="A1065" s="4" t="s">
        <v>3189</v>
      </c>
      <c r="B1065" s="4" t="n">
        <v>2020</v>
      </c>
      <c r="C1065" s="4" t="str">
        <f aca="false">FLOOR(B1065,10)&amp;"s"</f>
        <v>2020s</v>
      </c>
      <c r="D1065" s="4" t="s">
        <v>3190</v>
      </c>
      <c r="E1065" s="25" t="str">
        <f aca="false">IF(G1065=1,"✓","")</f>
        <v/>
      </c>
      <c r="F1065" s="4" t="n">
        <v>1</v>
      </c>
      <c r="G1065" s="4" t="n">
        <f aca="false">IF(COUNTIF('Letterboxd Watched'!$E$2:$E$3000,M1065)&gt;0,1,0)</f>
        <v>0</v>
      </c>
      <c r="H1065" s="4" t="n">
        <v>2</v>
      </c>
      <c r="I1065" s="4" t="s">
        <v>213</v>
      </c>
      <c r="J1065" s="4" t="s">
        <v>52</v>
      </c>
      <c r="K1065" s="4" t="s">
        <v>4076</v>
      </c>
      <c r="L1065" s="48" t="str">
        <f aca="false">HYPERLINK("https://letterboxd.com/search/films/Host+2020/","open")</f>
        <v>open</v>
      </c>
      <c r="M1065" s="4" t="str">
        <f aca="false">LOWER(A1065)&amp;"|"&amp;B1065</f>
        <v>host|2020</v>
      </c>
      <c r="N1065" s="4" t="n">
        <v>0</v>
      </c>
      <c r="O1065" s="4" t="n">
        <v>0</v>
      </c>
      <c r="P1065" s="4" t="n">
        <v>0</v>
      </c>
      <c r="Q1065" s="4" t="n">
        <v>1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 customFormat="false" ht="15" hidden="false" customHeight="false" outlineLevel="0" collapsed="false">
      <c r="A1066" s="4" t="s">
        <v>2878</v>
      </c>
      <c r="B1066" s="4" t="n">
        <v>2007</v>
      </c>
      <c r="C1066" s="4" t="str">
        <f aca="false">FLOOR(B1066,10)&amp;"s"</f>
        <v>2000s</v>
      </c>
      <c r="D1066" s="4" t="s">
        <v>2816</v>
      </c>
      <c r="E1066" s="25" t="str">
        <f aca="false">IF(G1066=1,"✓","")</f>
        <v>✓</v>
      </c>
      <c r="F1066" s="4" t="n">
        <v>1</v>
      </c>
      <c r="G1066" s="4" t="n">
        <f aca="false">IF(COUNTIF('Letterboxd Watched'!$E$2:$E$3000,M1066)&gt;0,1,0)</f>
        <v>1</v>
      </c>
      <c r="H1066" s="4" t="n">
        <v>2</v>
      </c>
      <c r="I1066" s="4" t="s">
        <v>213</v>
      </c>
      <c r="J1066" s="4" t="s">
        <v>52</v>
      </c>
      <c r="K1066" s="4" t="s">
        <v>4102</v>
      </c>
      <c r="L1066" s="48" t="str">
        <f aca="false">HYPERLINK("https://boxd.it/2416","open")</f>
        <v>open</v>
      </c>
      <c r="M1066" s="4" t="str">
        <f aca="false">LOWER(A1066)&amp;"|"&amp;B1066</f>
        <v>hot fuzz|2007</v>
      </c>
      <c r="N1066" s="4" t="n">
        <v>0</v>
      </c>
      <c r="O1066" s="4" t="n">
        <v>0</v>
      </c>
      <c r="P1066" s="4" t="n">
        <v>0</v>
      </c>
      <c r="Q1066" s="4" t="n">
        <v>1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 customFormat="false" ht="15" hidden="false" customHeight="false" outlineLevel="0" collapsed="false">
      <c r="A1067" s="4" t="s">
        <v>2525</v>
      </c>
      <c r="B1067" s="4" t="n">
        <v>1991</v>
      </c>
      <c r="C1067" s="4" t="str">
        <f aca="false">FLOOR(B1067,10)&amp;"s"</f>
        <v>1990s</v>
      </c>
      <c r="D1067" s="4" t="s">
        <v>2526</v>
      </c>
      <c r="E1067" s="25" t="str">
        <f aca="false">IF(G1067=1,"✓","")</f>
        <v>✓</v>
      </c>
      <c r="F1067" s="4" t="n">
        <v>1</v>
      </c>
      <c r="G1067" s="4" t="n">
        <f aca="false">IF(COUNTIF('Letterboxd Watched'!$E$2:$E$3000,M1067)&gt;0,1,0)</f>
        <v>1</v>
      </c>
      <c r="H1067" s="4" t="n">
        <v>2</v>
      </c>
      <c r="I1067" s="4" t="s">
        <v>213</v>
      </c>
      <c r="J1067" s="4" t="s">
        <v>52</v>
      </c>
      <c r="K1067" s="4" t="s">
        <v>4102</v>
      </c>
      <c r="L1067" s="48" t="str">
        <f aca="false">HYPERLINK("https://boxd.it/1YhC","open")</f>
        <v>open</v>
      </c>
      <c r="M1067" s="4" t="str">
        <f aca="false">LOWER(A1067)&amp;"|"&amp;B1067</f>
        <v>hot shots!|1991</v>
      </c>
      <c r="N1067" s="4" t="n">
        <v>0</v>
      </c>
      <c r="O1067" s="4" t="n">
        <v>0</v>
      </c>
      <c r="P1067" s="4" t="n">
        <v>0</v>
      </c>
      <c r="Q1067" s="4" t="n">
        <v>1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 customFormat="false" ht="15" hidden="false" customHeight="false" outlineLevel="0" collapsed="false">
      <c r="A1068" s="4" t="s">
        <v>2230</v>
      </c>
      <c r="B1068" s="4" t="n">
        <v>1973</v>
      </c>
      <c r="C1068" s="4" t="str">
        <f aca="false">FLOOR(B1068,10)&amp;"s"</f>
        <v>1970s</v>
      </c>
      <c r="D1068" s="4" t="s">
        <v>185</v>
      </c>
      <c r="E1068" s="25" t="str">
        <f aca="false">IF(G1068=1,"✓","")</f>
        <v/>
      </c>
      <c r="F1068" s="4" t="n">
        <v>1</v>
      </c>
      <c r="G1068" s="4" t="n">
        <f aca="false">IF(COUNTIF('Letterboxd Watched'!$E$2:$E$3000,M1068)&gt;0,1,0)</f>
        <v>0</v>
      </c>
      <c r="H1068" s="4" t="n">
        <v>2</v>
      </c>
      <c r="I1068" s="4" t="s">
        <v>213</v>
      </c>
      <c r="J1068" s="4" t="s">
        <v>53</v>
      </c>
      <c r="K1068" s="4" t="s">
        <v>185</v>
      </c>
      <c r="L1068" s="48" t="str">
        <f aca="false">HYPERLINK("https://letterboxd.com/search/films/Hotel+Monterey+1973/","open")</f>
        <v>open</v>
      </c>
      <c r="M1068" s="4" t="str">
        <f aca="false">LOWER(A1068)&amp;"|"&amp;B1068</f>
        <v>hotel monterey|1973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1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</row>
    <row r="1069" customFormat="false" ht="15" hidden="false" customHeight="false" outlineLevel="0" collapsed="false">
      <c r="A1069" s="4" t="s">
        <v>1962</v>
      </c>
      <c r="B1069" s="4" t="n">
        <v>1959</v>
      </c>
      <c r="C1069" s="4" t="str">
        <f aca="false">FLOOR(B1069,10)&amp;"s"</f>
        <v>1950s</v>
      </c>
      <c r="D1069" s="4" t="s">
        <v>1453</v>
      </c>
      <c r="E1069" s="25" t="str">
        <f aca="false">IF(G1069=1,"✓","")</f>
        <v/>
      </c>
      <c r="F1069" s="4" t="n">
        <v>1</v>
      </c>
      <c r="G1069" s="4" t="n">
        <f aca="false">IF(COUNTIF('Letterboxd Watched'!$E$2:$E$3000,M1069)&gt;0,1,0)</f>
        <v>0</v>
      </c>
      <c r="H1069" s="4" t="n">
        <v>2</v>
      </c>
      <c r="I1069" s="4" t="s">
        <v>213</v>
      </c>
      <c r="J1069" s="4" t="s">
        <v>52</v>
      </c>
      <c r="K1069" s="4" t="s">
        <v>4062</v>
      </c>
      <c r="L1069" s="48" t="str">
        <f aca="false">HYPERLINK("https://boxd.it/1T4S","open")</f>
        <v>open</v>
      </c>
      <c r="M1069" s="4" t="str">
        <f aca="false">LOWER(A1069)&amp;"|"&amp;B1069</f>
        <v>the hound of the baskervilles|1959</v>
      </c>
      <c r="N1069" s="4" t="n">
        <v>0</v>
      </c>
      <c r="O1069" s="4" t="n">
        <v>0</v>
      </c>
      <c r="P1069" s="4" t="n">
        <v>0</v>
      </c>
      <c r="Q1069" s="4" t="n">
        <v>1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 customFormat="false" ht="15" hidden="false" customHeight="false" outlineLevel="0" collapsed="false">
      <c r="A1070" s="4" t="s">
        <v>2120</v>
      </c>
      <c r="B1070" s="4" t="n">
        <v>1968</v>
      </c>
      <c r="C1070" s="4" t="str">
        <f aca="false">FLOOR(B1070,10)&amp;"s"</f>
        <v>1960s</v>
      </c>
      <c r="D1070" s="4" t="s">
        <v>2121</v>
      </c>
      <c r="E1070" s="25" t="str">
        <f aca="false">IF(G1070=1,"✓","")</f>
        <v/>
      </c>
      <c r="F1070" s="4" t="n">
        <v>1</v>
      </c>
      <c r="G1070" s="4" t="n">
        <f aca="false">IF(COUNTIF('Letterboxd Watched'!$E$2:$E$3000,M1070)&gt;0,1,0)</f>
        <v>0</v>
      </c>
      <c r="H1070" s="4" t="n">
        <v>2</v>
      </c>
      <c r="I1070" s="4" t="s">
        <v>213</v>
      </c>
      <c r="J1070" s="4" t="s">
        <v>51</v>
      </c>
      <c r="K1070" s="4" t="s">
        <v>4008</v>
      </c>
      <c r="L1070" s="48" t="str">
        <f aca="false">HYPERLINK("https://letterboxd.com/search/films/The+Hour+of+the+Furnaces+1968/","open")</f>
        <v>open</v>
      </c>
      <c r="M1070" s="4" t="str">
        <f aca="false">LOWER(A1070)&amp;"|"&amp;B1070</f>
        <v>the hour of the furnaces|1968</v>
      </c>
      <c r="N1070" s="4" t="n">
        <v>0</v>
      </c>
      <c r="O1070" s="4" t="n">
        <v>0</v>
      </c>
      <c r="P1070" s="4" t="n">
        <v>1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</row>
    <row r="1071" customFormat="false" ht="15" hidden="false" customHeight="false" outlineLevel="0" collapsed="false">
      <c r="A1071" s="4" t="s">
        <v>2128</v>
      </c>
      <c r="B1071" s="4" t="n">
        <v>1968</v>
      </c>
      <c r="C1071" s="4" t="str">
        <f aca="false">FLOOR(B1071,10)&amp;"s"</f>
        <v>1960s</v>
      </c>
      <c r="D1071" s="4" t="s">
        <v>170</v>
      </c>
      <c r="E1071" s="25" t="str">
        <f aca="false">IF(G1071=1,"✓","")</f>
        <v/>
      </c>
      <c r="F1071" s="4" t="n">
        <v>1</v>
      </c>
      <c r="G1071" s="4" t="n">
        <f aca="false">IF(COUNTIF('Letterboxd Watched'!$E$2:$E$3000,M1071)&gt;0,1,0)</f>
        <v>0</v>
      </c>
      <c r="H1071" s="4" t="n">
        <v>2</v>
      </c>
      <c r="I1071" s="4" t="s">
        <v>213</v>
      </c>
      <c r="J1071" s="4" t="s">
        <v>53</v>
      </c>
      <c r="K1071" s="4" t="s">
        <v>170</v>
      </c>
      <c r="L1071" s="48" t="str">
        <f aca="false">HYPERLINK("https://boxd.it/1H9G","open")</f>
        <v>open</v>
      </c>
      <c r="M1071" s="4" t="str">
        <f aca="false">LOWER(A1071)&amp;"|"&amp;B1071</f>
        <v>hour of the wolf|1968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1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 customFormat="false" ht="15" hidden="false" customHeight="false" outlineLevel="0" collapsed="false">
      <c r="A1072" s="4" t="s">
        <v>1349</v>
      </c>
      <c r="B1072" s="4" t="n">
        <v>1973</v>
      </c>
      <c r="C1072" s="4" t="str">
        <f aca="false">FLOOR(B1072,10)&amp;"s"</f>
        <v>1970s</v>
      </c>
      <c r="D1072" s="4" t="s">
        <v>1350</v>
      </c>
      <c r="E1072" s="25" t="str">
        <f aca="false">IF(G1072=1,"✓","")</f>
        <v/>
      </c>
      <c r="F1072" s="4" t="n">
        <v>2</v>
      </c>
      <c r="G1072" s="4" t="n">
        <f aca="false">IF(COUNTIF('Letterboxd Watched'!$E$2:$E$3000,M1072)&gt;0,1,0)</f>
        <v>0</v>
      </c>
      <c r="H1072" s="4" t="n">
        <v>3</v>
      </c>
      <c r="I1072" s="4" t="s">
        <v>213</v>
      </c>
      <c r="J1072" s="4" t="s">
        <v>51</v>
      </c>
      <c r="K1072" s="4" t="s">
        <v>5491</v>
      </c>
      <c r="L1072" s="48" t="str">
        <f aca="false">HYPERLINK("https://boxd.it/OUW","open")</f>
        <v>open</v>
      </c>
      <c r="M1072" s="4" t="str">
        <f aca="false">LOWER(A1072)&amp;"|"&amp;B1072</f>
        <v>the hourglass sanatorium|1973</v>
      </c>
      <c r="N1072" s="4" t="n">
        <v>0</v>
      </c>
      <c r="O1072" s="4" t="n">
        <v>0</v>
      </c>
      <c r="P1072" s="4" t="n">
        <v>1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1</v>
      </c>
      <c r="W1072" s="4" t="n">
        <v>0</v>
      </c>
    </row>
    <row r="1073" customFormat="false" ht="15" hidden="false" customHeight="false" outlineLevel="0" collapsed="false">
      <c r="A1073" s="4" t="s">
        <v>485</v>
      </c>
      <c r="B1073" s="4" t="n">
        <v>1977</v>
      </c>
      <c r="C1073" s="4" t="str">
        <f aca="false">FLOOR(B1073,10)&amp;"s"</f>
        <v>1970s</v>
      </c>
      <c r="D1073" s="4" t="s">
        <v>486</v>
      </c>
      <c r="E1073" s="25" t="str">
        <f aca="false">IF(G1073=1,"✓","")</f>
        <v/>
      </c>
      <c r="F1073" s="4" t="n">
        <v>3</v>
      </c>
      <c r="G1073" s="4" t="n">
        <f aca="false">IF(COUNTIF('Letterboxd Watched'!$E$2:$E$3000,M1073)&gt;0,1,0)</f>
        <v>0</v>
      </c>
      <c r="H1073" s="4" t="n">
        <v>7</v>
      </c>
      <c r="I1073" s="4" t="s">
        <v>144</v>
      </c>
      <c r="J1073" s="4" t="s">
        <v>52</v>
      </c>
      <c r="K1073" s="4" t="s">
        <v>5492</v>
      </c>
      <c r="L1073" s="48" t="str">
        <f aca="false">HYPERLINK("https://boxd.it/1vsm","open")</f>
        <v>open</v>
      </c>
      <c r="M1073" s="4" t="str">
        <f aca="false">LOWER(A1073)&amp;"|"&amp;B1073</f>
        <v>house|1977</v>
      </c>
      <c r="N1073" s="4" t="n">
        <v>0</v>
      </c>
      <c r="O1073" s="4" t="n">
        <v>0</v>
      </c>
      <c r="P1073" s="4" t="n">
        <v>0</v>
      </c>
      <c r="Q1073" s="4" t="n">
        <v>1</v>
      </c>
      <c r="R1073" s="4" t="n">
        <v>0</v>
      </c>
      <c r="S1073" s="4" t="n">
        <v>0</v>
      </c>
      <c r="T1073" s="4" t="n">
        <v>0</v>
      </c>
      <c r="U1073" s="4" t="n">
        <v>1</v>
      </c>
      <c r="V1073" s="4" t="n">
        <v>0</v>
      </c>
      <c r="W1073" s="4" t="n">
        <v>1</v>
      </c>
    </row>
    <row r="1074" customFormat="false" ht="15" hidden="false" customHeight="false" outlineLevel="0" collapsed="false">
      <c r="A1074" s="4" t="s">
        <v>2025</v>
      </c>
      <c r="B1074" s="4" t="n">
        <v>1963</v>
      </c>
      <c r="C1074" s="4" t="str">
        <f aca="false">FLOOR(B1074,10)&amp;"s"</f>
        <v>1960s</v>
      </c>
      <c r="D1074" s="4" t="s">
        <v>2026</v>
      </c>
      <c r="E1074" s="25" t="str">
        <f aca="false">IF(G1074=1,"✓","")</f>
        <v/>
      </c>
      <c r="F1074" s="4" t="n">
        <v>1</v>
      </c>
      <c r="G1074" s="4" t="n">
        <f aca="false">IF(COUNTIF('Letterboxd Watched'!$E$2:$E$3000,M1074)&gt;0,1,0)</f>
        <v>0</v>
      </c>
      <c r="H1074" s="4" t="n">
        <v>2</v>
      </c>
      <c r="I1074" s="4" t="s">
        <v>213</v>
      </c>
      <c r="J1074" s="4" t="s">
        <v>51</v>
      </c>
      <c r="K1074" s="4" t="s">
        <v>4032</v>
      </c>
      <c r="L1074" s="48" t="str">
        <f aca="false">HYPERLINK("https://letterboxd.com/search/films/The+House+Is+Black+1963/","open")</f>
        <v>open</v>
      </c>
      <c r="M1074" s="4" t="str">
        <f aca="false">LOWER(A1074)&amp;"|"&amp;B1074</f>
        <v>the house is black|1963</v>
      </c>
      <c r="N1074" s="4" t="n">
        <v>0</v>
      </c>
      <c r="O1074" s="4" t="n">
        <v>0</v>
      </c>
      <c r="P1074" s="4" t="n">
        <v>1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 customFormat="false" ht="15" hidden="false" customHeight="false" outlineLevel="0" collapsed="false">
      <c r="A1075" s="4" t="s">
        <v>2813</v>
      </c>
      <c r="B1075" s="4" t="n">
        <v>2004</v>
      </c>
      <c r="C1075" s="4" t="str">
        <f aca="false">FLOOR(B1075,10)&amp;"s"</f>
        <v>2000s</v>
      </c>
      <c r="D1075" s="4" t="s">
        <v>1541</v>
      </c>
      <c r="E1075" s="25" t="str">
        <f aca="false">IF(G1075=1,"✓","")</f>
        <v/>
      </c>
      <c r="F1075" s="4" t="n">
        <v>1</v>
      </c>
      <c r="G1075" s="4" t="n">
        <f aca="false">IF(COUNTIF('Letterboxd Watched'!$E$2:$E$3000,M1075)&gt;0,1,0)</f>
        <v>0</v>
      </c>
      <c r="H1075" s="4" t="n">
        <v>2</v>
      </c>
      <c r="I1075" s="4" t="s">
        <v>213</v>
      </c>
      <c r="J1075" s="4" t="s">
        <v>51</v>
      </c>
      <c r="K1075" s="4" t="s">
        <v>4014</v>
      </c>
      <c r="L1075" s="48" t="str">
        <f aca="false">HYPERLINK("https://boxd.it/1YoI","open")</f>
        <v>open</v>
      </c>
      <c r="M1075" s="4" t="str">
        <f aca="false">LOWER(A1075)&amp;"|"&amp;B1075</f>
        <v>house of flying daggers|2004</v>
      </c>
      <c r="N1075" s="4" t="n">
        <v>0</v>
      </c>
      <c r="O1075" s="4" t="n">
        <v>0</v>
      </c>
      <c r="P1075" s="4" t="n">
        <v>1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</row>
    <row r="1076" customFormat="false" ht="15" hidden="false" customHeight="false" outlineLevel="0" collapsed="false">
      <c r="A1076" s="4" t="s">
        <v>2450</v>
      </c>
      <c r="B1076" s="4" t="n">
        <v>1987</v>
      </c>
      <c r="C1076" s="4" t="str">
        <f aca="false">FLOOR(B1076,10)&amp;"s"</f>
        <v>1980s</v>
      </c>
      <c r="D1076" s="4" t="s">
        <v>2451</v>
      </c>
      <c r="E1076" s="25" t="str">
        <f aca="false">IF(G1076=1,"✓","")</f>
        <v/>
      </c>
      <c r="F1076" s="4" t="n">
        <v>1</v>
      </c>
      <c r="G1076" s="4" t="n">
        <f aca="false">IF(COUNTIF('Letterboxd Watched'!$E$2:$E$3000,M1076)&gt;0,1,0)</f>
        <v>0</v>
      </c>
      <c r="H1076" s="4" t="n">
        <v>2</v>
      </c>
      <c r="I1076" s="4" t="s">
        <v>213</v>
      </c>
      <c r="J1076" s="4" t="s">
        <v>52</v>
      </c>
      <c r="K1076" s="4" t="s">
        <v>4122</v>
      </c>
      <c r="L1076" s="48" t="str">
        <f aca="false">HYPERLINK("https://boxd.it/1tji","open")</f>
        <v>open</v>
      </c>
      <c r="M1076" s="4" t="str">
        <f aca="false">LOWER(A1076)&amp;"|"&amp;B1076</f>
        <v>house of games|1987</v>
      </c>
      <c r="N1076" s="4" t="n">
        <v>0</v>
      </c>
      <c r="O1076" s="4" t="n">
        <v>0</v>
      </c>
      <c r="P1076" s="4" t="n">
        <v>0</v>
      </c>
      <c r="Q1076" s="4" t="n">
        <v>1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 customFormat="false" ht="15" hidden="false" customHeight="false" outlineLevel="0" collapsed="false">
      <c r="A1077" s="4" t="s">
        <v>3549</v>
      </c>
      <c r="B1077" s="4" t="n">
        <v>1976</v>
      </c>
      <c r="C1077" s="4" t="str">
        <f aca="false">FLOOR(B1077,10)&amp;"s"</f>
        <v>1970s</v>
      </c>
      <c r="D1077" s="4" t="s">
        <v>3550</v>
      </c>
      <c r="E1077" s="25" t="str">
        <f aca="false">IF(G1077=1,"✓","")</f>
        <v/>
      </c>
      <c r="F1077" s="4" t="n">
        <v>1</v>
      </c>
      <c r="G1077" s="4" t="n">
        <f aca="false">IF(COUNTIF('Letterboxd Watched'!$E$2:$E$3000,M1077)&gt;0,1,0)</f>
        <v>0</v>
      </c>
      <c r="H1077" s="4" t="n">
        <v>1</v>
      </c>
      <c r="I1077" s="4" t="s">
        <v>1327</v>
      </c>
      <c r="J1077" s="4" t="s">
        <v>51</v>
      </c>
      <c r="K1077" s="4" t="s">
        <v>3950</v>
      </c>
      <c r="L1077" s="48" t="str">
        <f aca="false">HYPERLINK("https://letterboxd.com/search/films/The+House+with+Laughing+Windows+1976/","open")</f>
        <v>open</v>
      </c>
      <c r="M1077" s="4" t="str">
        <f aca="false">LOWER(A1077)&amp;"|"&amp;B1077</f>
        <v>the house with laughing windows|1976</v>
      </c>
      <c r="N1077" s="4" t="n">
        <v>0</v>
      </c>
      <c r="O1077" s="4" t="n">
        <v>0</v>
      </c>
      <c r="P1077" s="4" t="n">
        <v>1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</row>
    <row r="1078" customFormat="false" ht="15" hidden="false" customHeight="false" outlineLevel="0" collapsed="false">
      <c r="A1078" s="4" t="s">
        <v>660</v>
      </c>
      <c r="B1078" s="4" t="n">
        <v>1960</v>
      </c>
      <c r="C1078" s="4" t="str">
        <f aca="false">FLOOR(B1078,10)&amp;"s"</f>
        <v>1960s</v>
      </c>
      <c r="D1078" s="4" t="s">
        <v>661</v>
      </c>
      <c r="E1078" s="25" t="str">
        <f aca="false">IF(G1078=1,"✓","")</f>
        <v/>
      </c>
      <c r="F1078" s="4" t="n">
        <v>2</v>
      </c>
      <c r="G1078" s="4" t="n">
        <f aca="false">IF(COUNTIF('Letterboxd Watched'!$E$2:$E$3000,M1078)&gt;0,1,0)</f>
        <v>0</v>
      </c>
      <c r="H1078" s="4" t="n">
        <v>6</v>
      </c>
      <c r="I1078" s="4" t="s">
        <v>144</v>
      </c>
      <c r="J1078" s="4" t="s">
        <v>51</v>
      </c>
      <c r="K1078" s="4" t="s">
        <v>5493</v>
      </c>
      <c r="L1078" s="48" t="str">
        <f aca="false">HYPERLINK("https://letterboxd.com/search/films/The+Housemaid+1960/","open")</f>
        <v>open</v>
      </c>
      <c r="M1078" s="4" t="str">
        <f aca="false">LOWER(A1078)&amp;"|"&amp;B1078</f>
        <v>the housemaid|1960</v>
      </c>
      <c r="N1078" s="4" t="n">
        <v>0</v>
      </c>
      <c r="O1078" s="4" t="n">
        <v>0</v>
      </c>
      <c r="P1078" s="4" t="n">
        <v>1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1</v>
      </c>
      <c r="W1078" s="4" t="n">
        <v>0</v>
      </c>
    </row>
    <row r="1079" customFormat="false" ht="15" hidden="false" customHeight="false" outlineLevel="0" collapsed="false">
      <c r="A1079" s="4" t="s">
        <v>1796</v>
      </c>
      <c r="B1079" s="4" t="n">
        <v>1941</v>
      </c>
      <c r="C1079" s="4" t="str">
        <f aca="false">FLOOR(B1079,10)&amp;"s"</f>
        <v>1940s</v>
      </c>
      <c r="D1079" s="4" t="s">
        <v>205</v>
      </c>
      <c r="E1079" s="25" t="str">
        <f aca="false">IF(G1079=1,"✓","")</f>
        <v/>
      </c>
      <c r="F1079" s="4" t="n">
        <v>1</v>
      </c>
      <c r="G1079" s="4" t="n">
        <f aca="false">IF(COUNTIF('Letterboxd Watched'!$E$2:$E$3000,M1079)&gt;0,1,0)</f>
        <v>0</v>
      </c>
      <c r="H1079" s="4" t="n">
        <v>2</v>
      </c>
      <c r="I1079" s="4" t="s">
        <v>213</v>
      </c>
      <c r="J1079" s="4" t="s">
        <v>53</v>
      </c>
      <c r="K1079" s="4" t="s">
        <v>205</v>
      </c>
      <c r="L1079" s="48" t="str">
        <f aca="false">HYPERLINK("https://boxd.it/UV2","open")</f>
        <v>open</v>
      </c>
      <c r="M1079" s="4" t="str">
        <f aca="false">LOWER(A1079)&amp;"|"&amp;B1079</f>
        <v>how green was my valley|1941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1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 customFormat="false" ht="15" hidden="false" customHeight="false" outlineLevel="0" collapsed="false">
      <c r="A1080" s="4" t="s">
        <v>2168</v>
      </c>
      <c r="B1080" s="4" t="n">
        <v>1971</v>
      </c>
      <c r="C1080" s="4" t="str">
        <f aca="false">FLOOR(B1080,10)&amp;"s"</f>
        <v>1970s</v>
      </c>
      <c r="D1080" s="4" t="s">
        <v>1463</v>
      </c>
      <c r="E1080" s="25" t="str">
        <f aca="false">IF(G1080=1,"✓","")</f>
        <v/>
      </c>
      <c r="F1080" s="4" t="n">
        <v>1</v>
      </c>
      <c r="G1080" s="4" t="n">
        <f aca="false">IF(COUNTIF('Letterboxd Watched'!$E$2:$E$3000,M1080)&gt;0,1,0)</f>
        <v>0</v>
      </c>
      <c r="H1080" s="4" t="n">
        <v>2</v>
      </c>
      <c r="I1080" s="4" t="s">
        <v>213</v>
      </c>
      <c r="J1080" s="4" t="s">
        <v>51</v>
      </c>
      <c r="K1080" s="4" t="s">
        <v>4006</v>
      </c>
      <c r="L1080" s="48" t="str">
        <f aca="false">HYPERLINK("https://letterboxd.com/search/films/How+Tasty+Was+My+Little+Frenchman+1971/","open")</f>
        <v>open</v>
      </c>
      <c r="M1080" s="4" t="str">
        <f aca="false">LOWER(A1080)&amp;"|"&amp;B1080</f>
        <v>how tasty was my little frenchman|1971</v>
      </c>
      <c r="N1080" s="4" t="n">
        <v>0</v>
      </c>
      <c r="O1080" s="4" t="n">
        <v>0</v>
      </c>
      <c r="P1080" s="4" t="n">
        <v>1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</row>
    <row r="1081" customFormat="false" ht="15" hidden="false" customHeight="false" outlineLevel="0" collapsed="false">
      <c r="A1081" s="4" t="s">
        <v>2824</v>
      </c>
      <c r="B1081" s="4" t="n">
        <v>2004</v>
      </c>
      <c r="C1081" s="4" t="str">
        <f aca="false">FLOOR(B1081,10)&amp;"s"</f>
        <v>2000s</v>
      </c>
      <c r="D1081" s="4" t="s">
        <v>382</v>
      </c>
      <c r="E1081" s="25" t="str">
        <f aca="false">IF(G1081=1,"✓","")</f>
        <v/>
      </c>
      <c r="F1081" s="4" t="n">
        <v>1</v>
      </c>
      <c r="G1081" s="4" t="n">
        <f aca="false">IF(COUNTIF('Letterboxd Watched'!$E$2:$E$3000,M1081)&gt;0,1,0)</f>
        <v>0</v>
      </c>
      <c r="H1081" s="4" t="n">
        <v>2</v>
      </c>
      <c r="I1081" s="4" t="s">
        <v>213</v>
      </c>
      <c r="J1081" s="4" t="s">
        <v>53</v>
      </c>
      <c r="K1081" s="4" t="s">
        <v>4248</v>
      </c>
      <c r="L1081" s="48" t="str">
        <f aca="false">HYPERLINK("https://boxd.it/23De","open")</f>
        <v>open</v>
      </c>
      <c r="M1081" s="4" t="str">
        <f aca="false">LOWER(A1081)&amp;"|"&amp;B1081</f>
        <v>howl's moving castle|2004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1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 customFormat="false" ht="15" hidden="false" customHeight="false" outlineLevel="0" collapsed="false">
      <c r="A1082" s="4" t="s">
        <v>2028</v>
      </c>
      <c r="B1082" s="4" t="n">
        <v>1963</v>
      </c>
      <c r="C1082" s="4" t="str">
        <f aca="false">FLOOR(B1082,10)&amp;"s"</f>
        <v>1960s</v>
      </c>
      <c r="D1082" s="4" t="s">
        <v>1516</v>
      </c>
      <c r="E1082" s="25" t="str">
        <f aca="false">IF(G1082=1,"✓","")</f>
        <v/>
      </c>
      <c r="F1082" s="4" t="n">
        <v>1</v>
      </c>
      <c r="G1082" s="4" t="n">
        <f aca="false">IF(COUNTIF('Letterboxd Watched'!$E$2:$E$3000,M1082)&gt;0,1,0)</f>
        <v>0</v>
      </c>
      <c r="H1082" s="4" t="n">
        <v>2</v>
      </c>
      <c r="I1082" s="4" t="s">
        <v>213</v>
      </c>
      <c r="J1082" s="4" t="s">
        <v>52</v>
      </c>
      <c r="K1082" s="4" t="s">
        <v>4056</v>
      </c>
      <c r="L1082" s="48" t="str">
        <f aca="false">HYPERLINK("https://boxd.it/1x4Q","open")</f>
        <v>open</v>
      </c>
      <c r="M1082" s="4" t="str">
        <f aca="false">LOWER(A1082)&amp;"|"&amp;B1082</f>
        <v>hud|1963</v>
      </c>
      <c r="N1082" s="4" t="n">
        <v>0</v>
      </c>
      <c r="O1082" s="4" t="n">
        <v>0</v>
      </c>
      <c r="P1082" s="4" t="n">
        <v>0</v>
      </c>
      <c r="Q1082" s="4" t="n">
        <v>1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</row>
    <row r="1083" customFormat="false" ht="15" hidden="false" customHeight="false" outlineLevel="0" collapsed="false">
      <c r="A1083" s="4" t="s">
        <v>1388</v>
      </c>
      <c r="B1083" s="4" t="n">
        <v>1994</v>
      </c>
      <c r="C1083" s="4" t="str">
        <f aca="false">FLOOR(B1083,10)&amp;"s"</f>
        <v>1990s</v>
      </c>
      <c r="D1083" s="4" t="s">
        <v>397</v>
      </c>
      <c r="E1083" s="25" t="str">
        <f aca="false">IF(G1083=1,"✓","")</f>
        <v>✓</v>
      </c>
      <c r="F1083" s="4" t="n">
        <v>2</v>
      </c>
      <c r="G1083" s="4" t="n">
        <f aca="false">IF(COUNTIF('Letterboxd Watched'!$E$2:$E$3000,M1083)&gt;0,1,0)</f>
        <v>1</v>
      </c>
      <c r="H1083" s="4" t="n">
        <v>3</v>
      </c>
      <c r="I1083" s="4" t="s">
        <v>213</v>
      </c>
      <c r="J1083" s="4" t="s">
        <v>53</v>
      </c>
      <c r="K1083" s="4" t="s">
        <v>5494</v>
      </c>
      <c r="L1083" s="48" t="str">
        <f aca="false">HYPERLINK("https://boxd.it/1SJA","open")</f>
        <v>open</v>
      </c>
      <c r="M1083" s="4" t="str">
        <f aca="false">LOWER(A1083)&amp;"|"&amp;B1083</f>
        <v>the hudsucker proxy|1994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1</v>
      </c>
      <c r="S1083" s="4" t="n">
        <v>0</v>
      </c>
      <c r="T1083" s="4" t="n">
        <v>1</v>
      </c>
      <c r="U1083" s="4" t="n">
        <v>0</v>
      </c>
      <c r="V1083" s="4" t="n">
        <v>0</v>
      </c>
      <c r="W1083" s="4" t="n">
        <v>0</v>
      </c>
    </row>
    <row r="1084" customFormat="false" ht="15" hidden="false" customHeight="false" outlineLevel="0" collapsed="false">
      <c r="A1084" s="4" t="s">
        <v>3398</v>
      </c>
      <c r="B1084" s="4" t="n">
        <v>1959</v>
      </c>
      <c r="C1084" s="4" t="str">
        <f aca="false">FLOOR(B1084,10)&amp;"s"</f>
        <v>1950s</v>
      </c>
      <c r="D1084" s="4" t="s">
        <v>541</v>
      </c>
      <c r="E1084" s="25" t="str">
        <f aca="false">IF(G1084=1,"✓","")</f>
        <v/>
      </c>
      <c r="F1084" s="4" t="n">
        <v>1</v>
      </c>
      <c r="G1084" s="4" t="n">
        <f aca="false">IF(COUNTIF('Letterboxd Watched'!$E$2:$E$3000,M1084)&gt;0,1,0)</f>
        <v>0</v>
      </c>
      <c r="H1084" s="4" t="n">
        <v>1</v>
      </c>
      <c r="I1084" s="4" t="s">
        <v>1327</v>
      </c>
      <c r="J1084" s="4" t="s">
        <v>52</v>
      </c>
      <c r="K1084" s="4" t="s">
        <v>4138</v>
      </c>
      <c r="L1084" s="48" t="str">
        <f aca="false">HYPERLINK("https://boxd.it/1jAy","open")</f>
        <v>open</v>
      </c>
      <c r="M1084" s="4" t="str">
        <f aca="false">LOWER(A1084)&amp;"|"&amp;B1084</f>
        <v>the human condition i: no greater love|1959</v>
      </c>
      <c r="N1084" s="4" t="n">
        <v>0</v>
      </c>
      <c r="O1084" s="4" t="n">
        <v>0</v>
      </c>
      <c r="P1084" s="4" t="n">
        <v>0</v>
      </c>
      <c r="Q1084" s="4" t="n">
        <v>1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 customFormat="false" ht="15" hidden="false" customHeight="false" outlineLevel="0" collapsed="false">
      <c r="A1085" s="4" t="s">
        <v>3724</v>
      </c>
      <c r="B1085" s="4" t="n">
        <v>2001</v>
      </c>
      <c r="C1085" s="4" t="str">
        <f aca="false">FLOOR(B1085,10)&amp;"s"</f>
        <v>2000s</v>
      </c>
      <c r="D1085" s="4" t="s">
        <v>511</v>
      </c>
      <c r="E1085" s="25" t="str">
        <f aca="false">IF(G1085=1,"✓","")</f>
        <v/>
      </c>
      <c r="F1085" s="4" t="n">
        <v>1</v>
      </c>
      <c r="G1085" s="4" t="n">
        <f aca="false">IF(COUNTIF('Letterboxd Watched'!$E$2:$E$3000,M1085)&gt;0,1,0)</f>
        <v>0</v>
      </c>
      <c r="H1085" s="4" t="n">
        <v>1</v>
      </c>
      <c r="I1085" s="4" t="s">
        <v>1327</v>
      </c>
      <c r="J1085" s="4" t="s">
        <v>53</v>
      </c>
      <c r="K1085" s="4" t="s">
        <v>4216</v>
      </c>
      <c r="L1085" s="48" t="str">
        <f aca="false">HYPERLINK("https://boxd.it/2ani","open")</f>
        <v>open</v>
      </c>
      <c r="M1085" s="4" t="str">
        <f aca="false">LOWER(A1085)&amp;"|"&amp;B1085</f>
        <v>human nature|2001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1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 customFormat="false" ht="15" hidden="false" customHeight="false" outlineLevel="0" collapsed="false">
      <c r="A1086" s="4" t="s">
        <v>3706</v>
      </c>
      <c r="B1086" s="4" t="n">
        <v>1999</v>
      </c>
      <c r="C1086" s="4" t="str">
        <f aca="false">FLOOR(B1086,10)&amp;"s"</f>
        <v>1990s</v>
      </c>
      <c r="D1086" s="4" t="s">
        <v>3707</v>
      </c>
      <c r="E1086" s="25" t="str">
        <f aca="false">IF(G1086=1,"✓","")</f>
        <v/>
      </c>
      <c r="F1086" s="4" t="n">
        <v>1</v>
      </c>
      <c r="G1086" s="4" t="n">
        <f aca="false">IF(COUNTIF('Letterboxd Watched'!$E$2:$E$3000,M1086)&gt;0,1,0)</f>
        <v>0</v>
      </c>
      <c r="H1086" s="4" t="n">
        <v>1</v>
      </c>
      <c r="I1086" s="4" t="s">
        <v>1327</v>
      </c>
      <c r="J1086" s="4" t="s">
        <v>51</v>
      </c>
      <c r="K1086" s="4" t="s">
        <v>3970</v>
      </c>
      <c r="L1086" s="48" t="str">
        <f aca="false">HYPERLINK("https://letterboxd.com/search/films/LHumanité+1999/","open")</f>
        <v>open</v>
      </c>
      <c r="M1086" s="4" t="str">
        <f aca="false">LOWER(A1086)&amp;"|"&amp;B1086</f>
        <v>l'humanité|1999</v>
      </c>
      <c r="N1086" s="4" t="n">
        <v>0</v>
      </c>
      <c r="O1086" s="4" t="n">
        <v>0</v>
      </c>
      <c r="P1086" s="4" t="n">
        <v>1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 customFormat="false" ht="15" hidden="false" customHeight="false" outlineLevel="0" collapsed="false">
      <c r="A1087" s="4" t="s">
        <v>2935</v>
      </c>
      <c r="B1087" s="4" t="n">
        <v>2009</v>
      </c>
      <c r="C1087" s="4" t="str">
        <f aca="false">FLOOR(B1087,10)&amp;"s"</f>
        <v>2000s</v>
      </c>
      <c r="D1087" s="4" t="s">
        <v>2936</v>
      </c>
      <c r="E1087" s="25" t="str">
        <f aca="false">IF(G1087=1,"✓","")</f>
        <v/>
      </c>
      <c r="F1087" s="4" t="n">
        <v>1</v>
      </c>
      <c r="G1087" s="4" t="n">
        <f aca="false">IF(COUNTIF('Letterboxd Watched'!$E$2:$E$3000,M1087)&gt;0,1,0)</f>
        <v>0</v>
      </c>
      <c r="H1087" s="4" t="n">
        <v>2</v>
      </c>
      <c r="I1087" s="4" t="s">
        <v>213</v>
      </c>
      <c r="J1087" s="4" t="s">
        <v>54</v>
      </c>
      <c r="K1087" s="4" t="s">
        <v>4312</v>
      </c>
      <c r="L1087" s="48" t="str">
        <f aca="false">HYPERLINK("https://letterboxd.com/search/films/Humpday+2009/","open")</f>
        <v>open</v>
      </c>
      <c r="M1087" s="4" t="str">
        <f aca="false">LOWER(A1087)&amp;"|"&amp;B1087</f>
        <v>humpday|2009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1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 customFormat="false" ht="15" hidden="false" customHeight="false" outlineLevel="0" collapsed="false">
      <c r="A1088" s="4" t="s">
        <v>2912</v>
      </c>
      <c r="B1088" s="4" t="n">
        <v>2008</v>
      </c>
      <c r="C1088" s="4" t="str">
        <f aca="false">FLOOR(B1088,10)&amp;"s"</f>
        <v>2000s</v>
      </c>
      <c r="D1088" s="4" t="s">
        <v>2913</v>
      </c>
      <c r="E1088" s="25" t="str">
        <f aca="false">IF(G1088=1,"✓","")</f>
        <v/>
      </c>
      <c r="F1088" s="4" t="n">
        <v>1</v>
      </c>
      <c r="G1088" s="4" t="n">
        <f aca="false">IF(COUNTIF('Letterboxd Watched'!$E$2:$E$3000,M1088)&gt;0,1,0)</f>
        <v>0</v>
      </c>
      <c r="H1088" s="4" t="n">
        <v>2</v>
      </c>
      <c r="I1088" s="4" t="s">
        <v>213</v>
      </c>
      <c r="J1088" s="4" t="s">
        <v>55</v>
      </c>
      <c r="K1088" s="4" t="s">
        <v>4326</v>
      </c>
      <c r="L1088" s="48" t="str">
        <f aca="false">HYPERLINK("https://boxd.it/1Wso","open")</f>
        <v>open</v>
      </c>
      <c r="M1088" s="4" t="str">
        <f aca="false">LOWER(A1088)&amp;"|"&amp;B1088</f>
        <v>hunger|2008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1</v>
      </c>
      <c r="U1088" s="4" t="n">
        <v>0</v>
      </c>
      <c r="V1088" s="4" t="n">
        <v>0</v>
      </c>
      <c r="W1088" s="4" t="n">
        <v>0</v>
      </c>
    </row>
    <row r="1089" customFormat="false" ht="15" hidden="false" customHeight="false" outlineLevel="0" collapsed="false">
      <c r="A1089" s="4" t="s">
        <v>2992</v>
      </c>
      <c r="B1089" s="4" t="n">
        <v>2012</v>
      </c>
      <c r="C1089" s="4" t="str">
        <f aca="false">FLOOR(B1089,10)&amp;"s"</f>
        <v>2010s</v>
      </c>
      <c r="D1089" s="4" t="s">
        <v>843</v>
      </c>
      <c r="E1089" s="25" t="str">
        <f aca="false">IF(G1089=1,"✓","")</f>
        <v>✓</v>
      </c>
      <c r="F1089" s="4" t="n">
        <v>1</v>
      </c>
      <c r="G1089" s="4" t="n">
        <f aca="false">IF(COUNTIF('Letterboxd Watched'!$E$2:$E$3000,M1089)&gt;0,1,0)</f>
        <v>1</v>
      </c>
      <c r="H1089" s="4" t="n">
        <v>2</v>
      </c>
      <c r="I1089" s="4" t="s">
        <v>213</v>
      </c>
      <c r="J1089" s="4" t="s">
        <v>51</v>
      </c>
      <c r="K1089" s="4" t="s">
        <v>3988</v>
      </c>
      <c r="L1089" s="48" t="str">
        <f aca="false">HYPERLINK("https://boxd.it/3wEC","open")</f>
        <v>open</v>
      </c>
      <c r="M1089" s="4" t="str">
        <f aca="false">LOWER(A1089)&amp;"|"&amp;B1089</f>
        <v>the hunt|2012</v>
      </c>
      <c r="N1089" s="4" t="n">
        <v>0</v>
      </c>
      <c r="O1089" s="4" t="n">
        <v>0</v>
      </c>
      <c r="P1089" s="4" t="n">
        <v>1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</row>
    <row r="1090" customFormat="false" ht="15" hidden="false" customHeight="false" outlineLevel="0" collapsed="false">
      <c r="A1090" s="4" t="s">
        <v>890</v>
      </c>
      <c r="B1090" s="4" t="n">
        <v>1990</v>
      </c>
      <c r="C1090" s="4" t="str">
        <f aca="false">FLOOR(B1090,10)&amp;"s"</f>
        <v>1990s</v>
      </c>
      <c r="D1090" s="4" t="s">
        <v>369</v>
      </c>
      <c r="E1090" s="25" t="str">
        <f aca="false">IF(G1090=1,"✓","")</f>
        <v/>
      </c>
      <c r="F1090" s="4" t="n">
        <v>2</v>
      </c>
      <c r="G1090" s="4" t="n">
        <f aca="false">IF(COUNTIF('Letterboxd Watched'!$E$2:$E$3000,M1090)&gt;0,1,0)</f>
        <v>0</v>
      </c>
      <c r="H1090" s="4" t="n">
        <v>5</v>
      </c>
      <c r="I1090" s="4" t="s">
        <v>144</v>
      </c>
      <c r="J1090" s="4" t="s">
        <v>56</v>
      </c>
      <c r="K1090" s="4" t="s">
        <v>5495</v>
      </c>
      <c r="L1090" s="48" t="str">
        <f aca="false">HYPERLINK("https://boxd.it/28lk","open")</f>
        <v>open</v>
      </c>
      <c r="M1090" s="4" t="str">
        <f aca="false">LOWER(A1090)&amp;"|"&amp;B1090</f>
        <v>the hunt for red october|1990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1</v>
      </c>
      <c r="V1090" s="4" t="n">
        <v>0</v>
      </c>
      <c r="W1090" s="4" t="n">
        <v>0</v>
      </c>
    </row>
    <row r="1091" customFormat="false" ht="15" hidden="false" customHeight="false" outlineLevel="0" collapsed="false">
      <c r="A1091" s="4" t="s">
        <v>3096</v>
      </c>
      <c r="B1091" s="4" t="n">
        <v>2016</v>
      </c>
      <c r="C1091" s="4" t="str">
        <f aca="false">FLOOR(B1091,10)&amp;"s"</f>
        <v>2010s</v>
      </c>
      <c r="D1091" s="4" t="s">
        <v>1410</v>
      </c>
      <c r="E1091" s="25" t="str">
        <f aca="false">IF(G1091=1,"✓","")</f>
        <v>✓</v>
      </c>
      <c r="F1091" s="4" t="n">
        <v>1</v>
      </c>
      <c r="G1091" s="4" t="n">
        <f aca="false">IF(COUNTIF('Letterboxd Watched'!$E$2:$E$3000,M1091)&gt;0,1,0)</f>
        <v>1</v>
      </c>
      <c r="H1091" s="4" t="n">
        <v>2</v>
      </c>
      <c r="I1091" s="4" t="s">
        <v>213</v>
      </c>
      <c r="J1091" s="4" t="s">
        <v>51</v>
      </c>
      <c r="K1091" s="4" t="s">
        <v>4040</v>
      </c>
      <c r="L1091" s="48" t="str">
        <f aca="false">HYPERLINK("https://boxd.it/cTgG","open")</f>
        <v>open</v>
      </c>
      <c r="M1091" s="4" t="str">
        <f aca="false">LOWER(A1091)&amp;"|"&amp;B1091</f>
        <v>hunt for the wilderpeople|2016</v>
      </c>
      <c r="N1091" s="4" t="n">
        <v>0</v>
      </c>
      <c r="O1091" s="4" t="n">
        <v>0</v>
      </c>
      <c r="P1091" s="4" t="n">
        <v>1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</row>
    <row r="1092" customFormat="false" ht="15" hidden="false" customHeight="false" outlineLevel="0" collapsed="false">
      <c r="A1092" s="4" t="s">
        <v>864</v>
      </c>
      <c r="B1092" s="4" t="n">
        <v>2008</v>
      </c>
      <c r="C1092" s="4" t="str">
        <f aca="false">FLOOR(B1092,10)&amp;"s"</f>
        <v>2000s</v>
      </c>
      <c r="D1092" s="4" t="s">
        <v>865</v>
      </c>
      <c r="E1092" s="25" t="str">
        <f aca="false">IF(G1092=1,"✓","")</f>
        <v/>
      </c>
      <c r="F1092" s="4" t="n">
        <v>2</v>
      </c>
      <c r="G1092" s="4" t="n">
        <f aca="false">IF(COUNTIF('Letterboxd Watched'!$E$2:$E$3000,M1092)&gt;0,1,0)</f>
        <v>0</v>
      </c>
      <c r="H1092" s="4" t="n">
        <v>5</v>
      </c>
      <c r="I1092" s="4" t="s">
        <v>144</v>
      </c>
      <c r="J1092" s="4" t="s">
        <v>52</v>
      </c>
      <c r="K1092" s="4" t="s">
        <v>5496</v>
      </c>
      <c r="L1092" s="48" t="str">
        <f aca="false">HYPERLINK("https://boxd.it/1Soi","open")</f>
        <v>open</v>
      </c>
      <c r="M1092" s="4" t="str">
        <f aca="false">LOWER(A1092)&amp;"|"&amp;B1092</f>
        <v>the hurt locker|2008</v>
      </c>
      <c r="N1092" s="4" t="n">
        <v>0</v>
      </c>
      <c r="O1092" s="4" t="n">
        <v>0</v>
      </c>
      <c r="P1092" s="4" t="n">
        <v>0</v>
      </c>
      <c r="Q1092" s="4" t="n">
        <v>1</v>
      </c>
      <c r="R1092" s="4" t="n">
        <v>0</v>
      </c>
      <c r="S1092" s="4" t="n">
        <v>1</v>
      </c>
      <c r="T1092" s="4" t="n">
        <v>0</v>
      </c>
      <c r="U1092" s="4" t="n">
        <v>0</v>
      </c>
      <c r="V1092" s="4" t="n">
        <v>0</v>
      </c>
      <c r="W1092" s="4" t="n">
        <v>0</v>
      </c>
    </row>
    <row r="1093" customFormat="false" ht="15" hidden="false" customHeight="false" outlineLevel="0" collapsed="false">
      <c r="A1093" s="4" t="s">
        <v>2164</v>
      </c>
      <c r="B1093" s="4" t="n">
        <v>1970</v>
      </c>
      <c r="C1093" s="4" t="str">
        <f aca="false">FLOOR(B1093,10)&amp;"s"</f>
        <v>1970s</v>
      </c>
      <c r="D1093" s="4" t="s">
        <v>801</v>
      </c>
      <c r="E1093" s="25" t="str">
        <f aca="false">IF(G1093=1,"✓","")</f>
        <v/>
      </c>
      <c r="F1093" s="4" t="n">
        <v>1</v>
      </c>
      <c r="G1093" s="4" t="n">
        <f aca="false">IF(COUNTIF('Letterboxd Watched'!$E$2:$E$3000,M1093)&gt;0,1,0)</f>
        <v>0</v>
      </c>
      <c r="H1093" s="4" t="n">
        <v>2</v>
      </c>
      <c r="I1093" s="4" t="s">
        <v>213</v>
      </c>
      <c r="J1093" s="4" t="s">
        <v>53</v>
      </c>
      <c r="K1093" s="4" t="s">
        <v>801</v>
      </c>
      <c r="L1093" s="48" t="str">
        <f aca="false">HYPERLINK("https://boxd.it/zOY","open")</f>
        <v>open</v>
      </c>
      <c r="M1093" s="4" t="str">
        <f aca="false">LOWER(A1093)&amp;"|"&amp;B1093</f>
        <v>husbands|1970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1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</row>
    <row r="1094" customFormat="false" ht="15" hidden="false" customHeight="false" outlineLevel="0" collapsed="false">
      <c r="A1094" s="4" t="s">
        <v>2556</v>
      </c>
      <c r="B1094" s="4" t="n">
        <v>1992</v>
      </c>
      <c r="C1094" s="4" t="str">
        <f aca="false">FLOOR(B1094,10)&amp;"s"</f>
        <v>1990s</v>
      </c>
      <c r="D1094" s="4" t="s">
        <v>604</v>
      </c>
      <c r="E1094" s="25" t="str">
        <f aca="false">IF(G1094=1,"✓","")</f>
        <v/>
      </c>
      <c r="F1094" s="4" t="n">
        <v>1</v>
      </c>
      <c r="G1094" s="4" t="n">
        <f aca="false">IF(COUNTIF('Letterboxd Watched'!$E$2:$E$3000,M1094)&gt;0,1,0)</f>
        <v>0</v>
      </c>
      <c r="H1094" s="4" t="n">
        <v>2</v>
      </c>
      <c r="I1094" s="4" t="s">
        <v>213</v>
      </c>
      <c r="J1094" s="4" t="s">
        <v>55</v>
      </c>
      <c r="K1094" s="4" t="s">
        <v>4348</v>
      </c>
      <c r="L1094" s="48" t="str">
        <f aca="false">HYPERLINK("https://boxd.it/1pIe","open")</f>
        <v>open</v>
      </c>
      <c r="M1094" s="4" t="str">
        <f aca="false">LOWER(A1094)&amp;"|"&amp;B1094</f>
        <v>husbands and wives|1992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1</v>
      </c>
      <c r="U1094" s="4" t="n">
        <v>0</v>
      </c>
      <c r="V1094" s="4" t="n">
        <v>0</v>
      </c>
      <c r="W1094" s="4" t="n">
        <v>0</v>
      </c>
    </row>
    <row r="1095" customFormat="false" ht="15" hidden="false" customHeight="false" outlineLevel="0" collapsed="false">
      <c r="A1095" s="4" t="s">
        <v>2057</v>
      </c>
      <c r="B1095" s="4" t="n">
        <v>1964</v>
      </c>
      <c r="C1095" s="4" t="str">
        <f aca="false">FLOOR(B1095,10)&amp;"s"</f>
        <v>1960s</v>
      </c>
      <c r="D1095" s="4" t="s">
        <v>748</v>
      </c>
      <c r="E1095" s="25" t="str">
        <f aca="false">IF(G1095=1,"✓","")</f>
        <v/>
      </c>
      <c r="F1095" s="4" t="n">
        <v>1</v>
      </c>
      <c r="G1095" s="4" t="n">
        <f aca="false">IF(COUNTIF('Letterboxd Watched'!$E$2:$E$3000,M1095)&gt;0,1,0)</f>
        <v>0</v>
      </c>
      <c r="H1095" s="4" t="n">
        <v>2</v>
      </c>
      <c r="I1095" s="4" t="s">
        <v>213</v>
      </c>
      <c r="J1095" s="4" t="s">
        <v>56</v>
      </c>
      <c r="K1095" s="4" t="s">
        <v>4392</v>
      </c>
      <c r="L1095" s="48" t="str">
        <f aca="false">HYPERLINK("https://boxd.it/1WBg","open")</f>
        <v>open</v>
      </c>
      <c r="M1095" s="4" t="str">
        <f aca="false">LOWER(A1095)&amp;"|"&amp;B1095</f>
        <v>hush... hush, sweet charlotte|1964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1</v>
      </c>
      <c r="V1095" s="4" t="n">
        <v>0</v>
      </c>
      <c r="W1095" s="4" t="n">
        <v>0</v>
      </c>
    </row>
    <row r="1096" customFormat="false" ht="15" hidden="false" customHeight="false" outlineLevel="0" collapsed="false">
      <c r="A1096" s="4" t="s">
        <v>2005</v>
      </c>
      <c r="B1096" s="4" t="n">
        <v>1961</v>
      </c>
      <c r="C1096" s="4" t="str">
        <f aca="false">FLOOR(B1096,10)&amp;"s"</f>
        <v>1960s</v>
      </c>
      <c r="D1096" s="4" t="s">
        <v>1873</v>
      </c>
      <c r="E1096" s="25" t="str">
        <f aca="false">IF(G1096=1,"✓","")</f>
        <v/>
      </c>
      <c r="F1096" s="4" t="n">
        <v>1</v>
      </c>
      <c r="G1096" s="4" t="n">
        <f aca="false">IF(COUNTIF('Letterboxd Watched'!$E$2:$E$3000,M1096)&gt;0,1,0)</f>
        <v>0</v>
      </c>
      <c r="H1096" s="4" t="n">
        <v>2</v>
      </c>
      <c r="I1096" s="4" t="s">
        <v>213</v>
      </c>
      <c r="J1096" s="4" t="s">
        <v>55</v>
      </c>
      <c r="K1096" s="4" t="s">
        <v>4364</v>
      </c>
      <c r="L1096" s="48" t="str">
        <f aca="false">HYPERLINK("https://boxd.it/298G","open")</f>
        <v>open</v>
      </c>
      <c r="M1096" s="4" t="str">
        <f aca="false">LOWER(A1096)&amp;"|"&amp;B1096</f>
        <v>the hustler|1961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1</v>
      </c>
      <c r="U1096" s="4" t="n">
        <v>0</v>
      </c>
      <c r="V1096" s="4" t="n">
        <v>0</v>
      </c>
      <c r="W1096" s="4" t="n">
        <v>0</v>
      </c>
    </row>
    <row r="1097" customFormat="false" ht="15" hidden="false" customHeight="false" outlineLevel="0" collapsed="false">
      <c r="A1097" s="4" t="s">
        <v>2541</v>
      </c>
      <c r="B1097" s="4" t="n">
        <v>1992</v>
      </c>
      <c r="C1097" s="4" t="str">
        <f aca="false">FLOOR(B1097,10)&amp;"s"</f>
        <v>1990s</v>
      </c>
      <c r="D1097" s="4" t="s">
        <v>340</v>
      </c>
      <c r="E1097" s="25" t="str">
        <f aca="false">IF(G1097=1,"✓","")</f>
        <v/>
      </c>
      <c r="F1097" s="4" t="n">
        <v>1</v>
      </c>
      <c r="G1097" s="4" t="n">
        <f aca="false">IF(COUNTIF('Letterboxd Watched'!$E$2:$E$3000,M1097)&gt;0,1,0)</f>
        <v>0</v>
      </c>
      <c r="H1097" s="4" t="n">
        <v>2</v>
      </c>
      <c r="I1097" s="4" t="s">
        <v>213</v>
      </c>
      <c r="J1097" s="4" t="s">
        <v>51</v>
      </c>
      <c r="K1097" s="4" t="s">
        <v>4036</v>
      </c>
      <c r="L1097" s="48" t="str">
        <f aca="false">HYPERLINK("https://letterboxd.com/search/films/Hyenas+1992/","open")</f>
        <v>open</v>
      </c>
      <c r="M1097" s="4" t="str">
        <f aca="false">LOWER(A1097)&amp;"|"&amp;B1097</f>
        <v>hyenas|1992</v>
      </c>
      <c r="N1097" s="4" t="n">
        <v>0</v>
      </c>
      <c r="O1097" s="4" t="n">
        <v>0</v>
      </c>
      <c r="P1097" s="4" t="n">
        <v>1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 customFormat="false" ht="15" hidden="false" customHeight="false" outlineLevel="0" collapsed="false">
      <c r="A1098" s="4" t="s">
        <v>908</v>
      </c>
      <c r="B1098" s="4" t="n">
        <v>1932</v>
      </c>
      <c r="C1098" s="4" t="str">
        <f aca="false">FLOOR(B1098,10)&amp;"s"</f>
        <v>1930s</v>
      </c>
      <c r="D1098" s="4" t="s">
        <v>909</v>
      </c>
      <c r="E1098" s="25" t="str">
        <f aca="false">IF(G1098=1,"✓","")</f>
        <v/>
      </c>
      <c r="F1098" s="4" t="n">
        <v>2</v>
      </c>
      <c r="G1098" s="4" t="n">
        <f aca="false">IF(COUNTIF('Letterboxd Watched'!$E$2:$E$3000,M1098)&gt;0,1,0)</f>
        <v>0</v>
      </c>
      <c r="H1098" s="4" t="n">
        <v>4</v>
      </c>
      <c r="I1098" s="4" t="s">
        <v>213</v>
      </c>
      <c r="J1098" s="4" t="s">
        <v>50</v>
      </c>
      <c r="K1098" s="4" t="s">
        <v>5497</v>
      </c>
      <c r="L1098" s="48" t="str">
        <f aca="false">HYPERLINK("https://letterboxd.com/search/films/I+Am+a+Fugitive+from+a+Chain+Gang+1932/","open")</f>
        <v>open</v>
      </c>
      <c r="M1098" s="4" t="str">
        <f aca="false">LOWER(A1098)&amp;"|"&amp;B1098</f>
        <v>i am a fugitive from a chain gang|1932</v>
      </c>
      <c r="N1098" s="4" t="n">
        <v>0</v>
      </c>
      <c r="O1098" s="4" t="n">
        <v>1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1</v>
      </c>
      <c r="U1098" s="4" t="n">
        <v>0</v>
      </c>
      <c r="V1098" s="4" t="n">
        <v>0</v>
      </c>
      <c r="W1098" s="4" t="n">
        <v>0</v>
      </c>
    </row>
    <row r="1099" customFormat="false" ht="15" hidden="false" customHeight="false" outlineLevel="0" collapsed="false">
      <c r="A1099" s="4" t="s">
        <v>972</v>
      </c>
      <c r="B1099" s="4" t="n">
        <v>1964</v>
      </c>
      <c r="C1099" s="4" t="str">
        <f aca="false">FLOOR(B1099,10)&amp;"s"</f>
        <v>1960s</v>
      </c>
      <c r="D1099" s="4" t="s">
        <v>751</v>
      </c>
      <c r="E1099" s="25" t="str">
        <f aca="false">IF(G1099=1,"✓","")</f>
        <v/>
      </c>
      <c r="F1099" s="4" t="n">
        <v>2</v>
      </c>
      <c r="G1099" s="4" t="n">
        <f aca="false">IF(COUNTIF('Letterboxd Watched'!$E$2:$E$3000,M1099)&gt;0,1,0)</f>
        <v>0</v>
      </c>
      <c r="H1099" s="4" t="n">
        <v>4</v>
      </c>
      <c r="I1099" s="4" t="s">
        <v>213</v>
      </c>
      <c r="J1099" s="4" t="s">
        <v>49</v>
      </c>
      <c r="K1099" s="4" t="s">
        <v>5498</v>
      </c>
      <c r="L1099" s="48" t="str">
        <f aca="false">HYPERLINK("https://boxd.it/1hUQ","open")</f>
        <v>open</v>
      </c>
      <c r="M1099" s="4" t="str">
        <f aca="false">LOWER(A1099)&amp;"|"&amp;B1099</f>
        <v>i am cuba|1964</v>
      </c>
      <c r="N1099" s="4" t="n">
        <v>1</v>
      </c>
      <c r="O1099" s="4" t="n">
        <v>0</v>
      </c>
      <c r="P1099" s="4" t="n">
        <v>1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 customFormat="false" ht="15" hidden="false" customHeight="false" outlineLevel="0" collapsed="false">
      <c r="A1100" s="4" t="s">
        <v>3106</v>
      </c>
      <c r="B1100" s="4" t="n">
        <v>2016</v>
      </c>
      <c r="C1100" s="4" t="str">
        <f aca="false">FLOOR(B1100,10)&amp;"s"</f>
        <v>2010s</v>
      </c>
      <c r="D1100" s="4" t="s">
        <v>3107</v>
      </c>
      <c r="E1100" s="25" t="str">
        <f aca="false">IF(G1100=1,"✓","")</f>
        <v/>
      </c>
      <c r="F1100" s="4" t="n">
        <v>1</v>
      </c>
      <c r="G1100" s="4" t="n">
        <f aca="false">IF(COUNTIF('Letterboxd Watched'!$E$2:$E$3000,M1100)&gt;0,1,0)</f>
        <v>0</v>
      </c>
      <c r="H1100" s="4" t="n">
        <v>2</v>
      </c>
      <c r="I1100" s="4" t="s">
        <v>213</v>
      </c>
      <c r="J1100" s="4" t="s">
        <v>52</v>
      </c>
      <c r="K1100" s="4" t="s">
        <v>4184</v>
      </c>
      <c r="L1100" s="48" t="str">
        <f aca="false">HYPERLINK("https://boxd.it/etXy","open")</f>
        <v>open</v>
      </c>
      <c r="M1100" s="4" t="str">
        <f aca="false">LOWER(A1100)&amp;"|"&amp;B1100</f>
        <v>i am not your negro|2016</v>
      </c>
      <c r="N1100" s="4" t="n">
        <v>0</v>
      </c>
      <c r="O1100" s="4" t="n">
        <v>0</v>
      </c>
      <c r="P1100" s="4" t="n">
        <v>0</v>
      </c>
      <c r="Q1100" s="4" t="n">
        <v>1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 customFormat="false" ht="15" hidden="false" customHeight="false" outlineLevel="0" collapsed="false">
      <c r="A1101" s="4" t="s">
        <v>2753</v>
      </c>
      <c r="B1101" s="4" t="n">
        <v>2001</v>
      </c>
      <c r="C1101" s="4" t="str">
        <f aca="false">FLOOR(B1101,10)&amp;"s"</f>
        <v>2000s</v>
      </c>
      <c r="D1101" s="4" t="s">
        <v>183</v>
      </c>
      <c r="E1101" s="25" t="str">
        <f aca="false">IF(G1101=1,"✓","")</f>
        <v>✓</v>
      </c>
      <c r="F1101" s="4" t="n">
        <v>1</v>
      </c>
      <c r="G1101" s="4" t="n">
        <f aca="false">IF(COUNTIF('Letterboxd Watched'!$E$2:$E$3000,M1101)&gt;0,1,0)</f>
        <v>1</v>
      </c>
      <c r="H1101" s="4" t="n">
        <v>2</v>
      </c>
      <c r="I1101" s="4" t="s">
        <v>213</v>
      </c>
      <c r="J1101" s="4" t="s">
        <v>53</v>
      </c>
      <c r="K1101" s="4" t="s">
        <v>183</v>
      </c>
      <c r="L1101" s="48" t="str">
        <f aca="false">HYPERLINK("https://boxd.it/29Ve","open")</f>
        <v>open</v>
      </c>
      <c r="M1101" s="4" t="str">
        <f aca="false">LOWER(A1101)&amp;"|"&amp;B1101</f>
        <v>a.i. artificial intelligence|2001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1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 customFormat="false" ht="15" hidden="false" customHeight="false" outlineLevel="0" collapsed="false">
      <c r="A1102" s="4" t="s">
        <v>2591</v>
      </c>
      <c r="B1102" s="4" t="n">
        <v>1994</v>
      </c>
      <c r="C1102" s="4" t="str">
        <f aca="false">FLOOR(B1102,10)&amp;"s"</f>
        <v>1990s</v>
      </c>
      <c r="D1102" s="4" t="s">
        <v>262</v>
      </c>
      <c r="E1102" s="25" t="str">
        <f aca="false">IF(G1102=1,"✓","")</f>
        <v/>
      </c>
      <c r="F1102" s="4" t="n">
        <v>1</v>
      </c>
      <c r="G1102" s="4" t="n">
        <f aca="false">IF(COUNTIF('Letterboxd Watched'!$E$2:$E$3000,M1102)&gt;0,1,0)</f>
        <v>0</v>
      </c>
      <c r="H1102" s="4" t="n">
        <v>2</v>
      </c>
      <c r="I1102" s="4" t="s">
        <v>213</v>
      </c>
      <c r="J1102" s="4" t="s">
        <v>53</v>
      </c>
      <c r="K1102" s="4" t="s">
        <v>262</v>
      </c>
      <c r="L1102" s="48" t="str">
        <f aca="false">HYPERLINK("https://boxd.it/uu","open")</f>
        <v>open</v>
      </c>
      <c r="M1102" s="4" t="str">
        <f aca="false">LOWER(A1102)&amp;"|"&amp;B1102</f>
        <v>i can't sleep|1994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1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</row>
    <row r="1103" customFormat="false" ht="15" hidden="false" customHeight="false" outlineLevel="0" collapsed="false">
      <c r="A1103" s="4" t="s">
        <v>3093</v>
      </c>
      <c r="B1103" s="4" t="n">
        <v>2016</v>
      </c>
      <c r="C1103" s="4" t="str">
        <f aca="false">FLOOR(B1103,10)&amp;"s"</f>
        <v>2010s</v>
      </c>
      <c r="D1103" s="4" t="s">
        <v>359</v>
      </c>
      <c r="E1103" s="25" t="str">
        <f aca="false">IF(G1103=1,"✓","")</f>
        <v>✓</v>
      </c>
      <c r="F1103" s="4" t="n">
        <v>1</v>
      </c>
      <c r="G1103" s="4" t="n">
        <f aca="false">IF(COUNTIF('Letterboxd Watched'!$E$2:$E$3000,M1103)&gt;0,1,0)</f>
        <v>1</v>
      </c>
      <c r="H1103" s="4" t="n">
        <v>2</v>
      </c>
      <c r="I1103" s="4" t="s">
        <v>213</v>
      </c>
      <c r="J1103" s="4" t="s">
        <v>51</v>
      </c>
      <c r="K1103" s="4" t="s">
        <v>3982</v>
      </c>
      <c r="L1103" s="48" t="str">
        <f aca="false">HYPERLINK("https://boxd.it/d0xa","open")</f>
        <v>open</v>
      </c>
      <c r="M1103" s="4" t="str">
        <f aca="false">LOWER(A1103)&amp;"|"&amp;B1103</f>
        <v>i, daniel blake|2016</v>
      </c>
      <c r="N1103" s="4" t="n">
        <v>0</v>
      </c>
      <c r="O1103" s="4" t="n">
        <v>0</v>
      </c>
      <c r="P1103" s="4" t="n">
        <v>1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</row>
    <row r="1104" customFormat="false" ht="15" hidden="false" customHeight="false" outlineLevel="0" collapsed="false">
      <c r="A1104" s="4" t="s">
        <v>2097</v>
      </c>
      <c r="B1104" s="4" t="n">
        <v>1967</v>
      </c>
      <c r="C1104" s="4" t="str">
        <f aca="false">FLOOR(B1104,10)&amp;"s"</f>
        <v>1960s</v>
      </c>
      <c r="D1104" s="4" t="s">
        <v>2098</v>
      </c>
      <c r="E1104" s="25" t="str">
        <f aca="false">IF(G1104=1,"✓","")</f>
        <v/>
      </c>
      <c r="F1104" s="4" t="n">
        <v>1</v>
      </c>
      <c r="G1104" s="4" t="n">
        <f aca="false">IF(COUNTIF('Letterboxd Watched'!$E$2:$E$3000,M1104)&gt;0,1,0)</f>
        <v>0</v>
      </c>
      <c r="H1104" s="4" t="n">
        <v>2</v>
      </c>
      <c r="I1104" s="4" t="s">
        <v>213</v>
      </c>
      <c r="J1104" s="4" t="s">
        <v>51</v>
      </c>
      <c r="K1104" s="4" t="s">
        <v>3996</v>
      </c>
      <c r="L1104" s="48" t="str">
        <f aca="false">HYPERLINK("https://letterboxd.com/search/films/I+Even+Met+Happy+Gypsies+1967/","open")</f>
        <v>open</v>
      </c>
      <c r="M1104" s="4" t="str">
        <f aca="false">LOWER(A1104)&amp;"|"&amp;B1104</f>
        <v>i even met happy gypsies|1967</v>
      </c>
      <c r="N1104" s="4" t="n">
        <v>0</v>
      </c>
      <c r="O1104" s="4" t="n">
        <v>0</v>
      </c>
      <c r="P1104" s="4" t="n">
        <v>1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 customFormat="false" ht="15" hidden="false" customHeight="false" outlineLevel="0" collapsed="false">
      <c r="A1105" s="4" t="s">
        <v>1825</v>
      </c>
      <c r="B1105" s="4" t="n">
        <v>1945</v>
      </c>
      <c r="C1105" s="4" t="str">
        <f aca="false">FLOOR(B1105,10)&amp;"s"</f>
        <v>1940s</v>
      </c>
      <c r="D1105" s="4" t="s">
        <v>453</v>
      </c>
      <c r="E1105" s="25" t="str">
        <f aca="false">IF(G1105=1,"✓","")</f>
        <v/>
      </c>
      <c r="F1105" s="4" t="n">
        <v>1</v>
      </c>
      <c r="G1105" s="4" t="n">
        <f aca="false">IF(COUNTIF('Letterboxd Watched'!$E$2:$E$3000,M1105)&gt;0,1,0)</f>
        <v>0</v>
      </c>
      <c r="H1105" s="4" t="n">
        <v>2</v>
      </c>
      <c r="I1105" s="4" t="s">
        <v>213</v>
      </c>
      <c r="J1105" s="4" t="s">
        <v>51</v>
      </c>
      <c r="K1105" s="4" t="s">
        <v>3976</v>
      </c>
      <c r="L1105" s="48" t="str">
        <f aca="false">HYPERLINK("https://boxd.it/pQU","open")</f>
        <v>open</v>
      </c>
      <c r="M1105" s="4" t="str">
        <f aca="false">LOWER(A1105)&amp;"|"&amp;B1105</f>
        <v>i know where i'm going!|1945</v>
      </c>
      <c r="N1105" s="4" t="n">
        <v>0</v>
      </c>
      <c r="O1105" s="4" t="n">
        <v>0</v>
      </c>
      <c r="P1105" s="4" t="n">
        <v>1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</row>
    <row r="1106" customFormat="false" ht="15" hidden="false" customHeight="false" outlineLevel="0" collapsed="false">
      <c r="A1106" s="4" t="s">
        <v>2894</v>
      </c>
      <c r="B1106" s="4" t="n">
        <v>2007</v>
      </c>
      <c r="C1106" s="4" t="str">
        <f aca="false">FLOOR(B1106,10)&amp;"s"</f>
        <v>2000s</v>
      </c>
      <c r="D1106" s="4" t="s">
        <v>718</v>
      </c>
      <c r="E1106" s="25" t="str">
        <f aca="false">IF(G1106=1,"✓","")</f>
        <v/>
      </c>
      <c r="F1106" s="4" t="n">
        <v>1</v>
      </c>
      <c r="G1106" s="4" t="n">
        <f aca="false">IF(COUNTIF('Letterboxd Watched'!$E$2:$E$3000,M1106)&gt;0,1,0)</f>
        <v>0</v>
      </c>
      <c r="H1106" s="4" t="n">
        <v>2</v>
      </c>
      <c r="I1106" s="4" t="s">
        <v>213</v>
      </c>
      <c r="J1106" s="4" t="s">
        <v>55</v>
      </c>
      <c r="K1106" s="4" t="s">
        <v>4366</v>
      </c>
      <c r="L1106" s="48" t="str">
        <f aca="false">HYPERLINK("https://boxd.it/24Ys","open")</f>
        <v>open</v>
      </c>
      <c r="M1106" s="4" t="str">
        <f aca="false">LOWER(A1106)&amp;"|"&amp;B1106</f>
        <v>i'm not there|2007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1</v>
      </c>
      <c r="U1106" s="4" t="n">
        <v>0</v>
      </c>
      <c r="V1106" s="4" t="n">
        <v>0</v>
      </c>
      <c r="W1106" s="4" t="n">
        <v>0</v>
      </c>
    </row>
    <row r="1107" customFormat="false" ht="15" hidden="false" customHeight="false" outlineLevel="0" collapsed="false">
      <c r="A1107" s="4" t="s">
        <v>3194</v>
      </c>
      <c r="B1107" s="4" t="n">
        <v>2020</v>
      </c>
      <c r="C1107" s="4" t="str">
        <f aca="false">FLOOR(B1107,10)&amp;"s"</f>
        <v>2020s</v>
      </c>
      <c r="D1107" s="4" t="s">
        <v>1187</v>
      </c>
      <c r="E1107" s="25" t="str">
        <f aca="false">IF(G1107=1,"✓","")</f>
        <v>✓</v>
      </c>
      <c r="F1107" s="4" t="n">
        <v>1</v>
      </c>
      <c r="G1107" s="4" t="n">
        <f aca="false">IF(COUNTIF('Letterboxd Watched'!$E$2:$E$3000,M1107)&gt;0,1,0)</f>
        <v>1</v>
      </c>
      <c r="H1107" s="4" t="n">
        <v>2</v>
      </c>
      <c r="I1107" s="4" t="s">
        <v>213</v>
      </c>
      <c r="J1107" s="4" t="s">
        <v>53</v>
      </c>
      <c r="K1107" s="4" t="s">
        <v>4216</v>
      </c>
      <c r="L1107" s="48" t="str">
        <f aca="false">HYPERLINK("https://boxd.it/i4IQ","open")</f>
        <v>open</v>
      </c>
      <c r="M1107" s="4" t="str">
        <f aca="false">LOWER(A1107)&amp;"|"&amp;B1107</f>
        <v>i'm thinking of ending things|2020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1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 customFormat="false" ht="15" hidden="false" customHeight="false" outlineLevel="0" collapsed="false">
      <c r="A1108" s="4" t="s">
        <v>2943</v>
      </c>
      <c r="B1108" s="4" t="n">
        <v>2010</v>
      </c>
      <c r="C1108" s="4" t="str">
        <f aca="false">FLOOR(B1108,10)&amp;"s"</f>
        <v>2010s</v>
      </c>
      <c r="D1108" s="4" t="s">
        <v>1401</v>
      </c>
      <c r="E1108" s="25" t="str">
        <f aca="false">IF(G1108=1,"✓","")</f>
        <v/>
      </c>
      <c r="F1108" s="4" t="n">
        <v>1</v>
      </c>
      <c r="G1108" s="4" t="n">
        <f aca="false">IF(COUNTIF('Letterboxd Watched'!$E$2:$E$3000,M1108)&gt;0,1,0)</f>
        <v>0</v>
      </c>
      <c r="H1108" s="4" t="n">
        <v>2</v>
      </c>
      <c r="I1108" s="4" t="s">
        <v>213</v>
      </c>
      <c r="J1108" s="4" t="s">
        <v>51</v>
      </c>
      <c r="K1108" s="4" t="s">
        <v>4024</v>
      </c>
      <c r="L1108" s="48" t="str">
        <f aca="false">HYPERLINK("https://boxd.it/FaK","open")</f>
        <v>open</v>
      </c>
      <c r="M1108" s="4" t="str">
        <f aca="false">LOWER(A1108)&amp;"|"&amp;B1108</f>
        <v>i saw the devil|2010</v>
      </c>
      <c r="N1108" s="4" t="n">
        <v>0</v>
      </c>
      <c r="O1108" s="4" t="n">
        <v>0</v>
      </c>
      <c r="P1108" s="4" t="n">
        <v>1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 customFormat="false" ht="15" hidden="false" customHeight="false" outlineLevel="0" collapsed="false">
      <c r="A1109" s="4" t="s">
        <v>3574</v>
      </c>
      <c r="B1109" s="4" t="n">
        <v>1978</v>
      </c>
      <c r="C1109" s="4" t="str">
        <f aca="false">FLOOR(B1109,10)&amp;"s"</f>
        <v>1970s</v>
      </c>
      <c r="D1109" s="4" t="s">
        <v>3575</v>
      </c>
      <c r="E1109" s="25" t="str">
        <f aca="false">IF(G1109=1,"✓","")</f>
        <v/>
      </c>
      <c r="F1109" s="4" t="n">
        <v>1</v>
      </c>
      <c r="G1109" s="4" t="n">
        <f aca="false">IF(COUNTIF('Letterboxd Watched'!$E$2:$E$3000,M1109)&gt;0,1,0)</f>
        <v>0</v>
      </c>
      <c r="H1109" s="4" t="n">
        <v>1</v>
      </c>
      <c r="I1109" s="4" t="s">
        <v>1327</v>
      </c>
      <c r="J1109" s="4" t="s">
        <v>54</v>
      </c>
      <c r="K1109" s="4" t="s">
        <v>4282</v>
      </c>
      <c r="L1109" s="48" t="str">
        <f aca="false">HYPERLINK("https://letterboxd.com/search/films/I+Spit+on+Your+Grave+1978/","open")</f>
        <v>open</v>
      </c>
      <c r="M1109" s="4" t="str">
        <f aca="false">LOWER(A1109)&amp;"|"&amp;B1109</f>
        <v>i spit on your grave|1978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1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 customFormat="false" ht="15" hidden="false" customHeight="false" outlineLevel="0" collapsed="false">
      <c r="A1110" s="4" t="s">
        <v>745</v>
      </c>
      <c r="B1110" s="4" t="n">
        <v>1953</v>
      </c>
      <c r="C1110" s="4" t="str">
        <f aca="false">FLOOR(B1110,10)&amp;"s"</f>
        <v>1950s</v>
      </c>
      <c r="D1110" s="4" t="s">
        <v>179</v>
      </c>
      <c r="E1110" s="25" t="str">
        <f aca="false">IF(G1110=1,"✓","")</f>
        <v/>
      </c>
      <c r="F1110" s="4" t="n">
        <v>2</v>
      </c>
      <c r="G1110" s="4" t="n">
        <f aca="false">IF(COUNTIF('Letterboxd Watched'!$E$2:$E$3000,M1110)&gt;0,1,0)</f>
        <v>0</v>
      </c>
      <c r="H1110" s="4" t="n">
        <v>5</v>
      </c>
      <c r="I1110" s="4" t="s">
        <v>144</v>
      </c>
      <c r="J1110" s="4" t="s">
        <v>53</v>
      </c>
      <c r="K1110" s="4" t="s">
        <v>5499</v>
      </c>
      <c r="L1110" s="48" t="str">
        <f aca="false">HYPERLINK("https://boxd.it/1RJE","open")</f>
        <v>open</v>
      </c>
      <c r="M1110" s="4" t="str">
        <f aca="false">LOWER(A1110)&amp;"|"&amp;B1110</f>
        <v>i vitelloni|1953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1</v>
      </c>
      <c r="S1110" s="4" t="n">
        <v>0</v>
      </c>
      <c r="T1110" s="4" t="n">
        <v>0</v>
      </c>
      <c r="U1110" s="4" t="n">
        <v>0</v>
      </c>
      <c r="V1110" s="4" t="n">
        <v>1</v>
      </c>
      <c r="W1110" s="4" t="n">
        <v>0</v>
      </c>
    </row>
    <row r="1111" customFormat="false" ht="15" hidden="false" customHeight="false" outlineLevel="0" collapsed="false">
      <c r="A1111" s="4" t="s">
        <v>883</v>
      </c>
      <c r="B1111" s="4" t="n">
        <v>1943</v>
      </c>
      <c r="C1111" s="4" t="str">
        <f aca="false">FLOOR(B1111,10)&amp;"s"</f>
        <v>1940s</v>
      </c>
      <c r="D1111" s="4" t="s">
        <v>884</v>
      </c>
      <c r="E1111" s="25" t="str">
        <f aca="false">IF(G1111=1,"✓","")</f>
        <v/>
      </c>
      <c r="F1111" s="4" t="n">
        <v>2</v>
      </c>
      <c r="G1111" s="4" t="n">
        <f aca="false">IF(COUNTIF('Letterboxd Watched'!$E$2:$E$3000,M1111)&gt;0,1,0)</f>
        <v>0</v>
      </c>
      <c r="H1111" s="4" t="n">
        <v>5</v>
      </c>
      <c r="I1111" s="4" t="s">
        <v>144</v>
      </c>
      <c r="J1111" s="4" t="s">
        <v>52</v>
      </c>
      <c r="K1111" s="4" t="s">
        <v>5500</v>
      </c>
      <c r="L1111" s="48" t="str">
        <f aca="false">HYPERLINK("https://boxd.it/1stm","open")</f>
        <v>open</v>
      </c>
      <c r="M1111" s="4" t="str">
        <f aca="false">LOWER(A1111)&amp;"|"&amp;B1111</f>
        <v>i walked with a zombie|1943</v>
      </c>
      <c r="N1111" s="4" t="n">
        <v>0</v>
      </c>
      <c r="O1111" s="4" t="n">
        <v>0</v>
      </c>
      <c r="P1111" s="4" t="n">
        <v>0</v>
      </c>
      <c r="Q1111" s="4" t="n">
        <v>1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 customFormat="false" ht="15" hidden="false" customHeight="false" outlineLevel="0" collapsed="false">
      <c r="A1112" s="4" t="s">
        <v>1302</v>
      </c>
      <c r="B1112" s="4" t="n">
        <v>1932</v>
      </c>
      <c r="C1112" s="4" t="str">
        <f aca="false">FLOOR(B1112,10)&amp;"s"</f>
        <v>1930s</v>
      </c>
      <c r="D1112" s="4" t="s">
        <v>146</v>
      </c>
      <c r="E1112" s="25" t="str">
        <f aca="false">IF(G1112=1,"✓","")</f>
        <v/>
      </c>
      <c r="F1112" s="4" t="n">
        <v>2</v>
      </c>
      <c r="G1112" s="4" t="n">
        <f aca="false">IF(COUNTIF('Letterboxd Watched'!$E$2:$E$3000,M1112)&gt;0,1,0)</f>
        <v>0</v>
      </c>
      <c r="H1112" s="4" t="n">
        <v>3</v>
      </c>
      <c r="I1112" s="4" t="s">
        <v>213</v>
      </c>
      <c r="J1112" s="4" t="s">
        <v>50</v>
      </c>
      <c r="K1112" s="4" t="s">
        <v>5501</v>
      </c>
      <c r="L1112" s="48" t="str">
        <f aca="false">HYPERLINK("https://boxd.it/1pS4","open")</f>
        <v>open</v>
      </c>
      <c r="M1112" s="4" t="str">
        <f aca="false">LOWER(A1112)&amp;"|"&amp;B1112</f>
        <v>i was born, but...|1932</v>
      </c>
      <c r="N1112" s="4" t="n">
        <v>0</v>
      </c>
      <c r="O1112" s="4" t="n">
        <v>1</v>
      </c>
      <c r="P1112" s="4" t="n">
        <v>0</v>
      </c>
      <c r="Q1112" s="4" t="n">
        <v>0</v>
      </c>
      <c r="R1112" s="4" t="n">
        <v>1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</row>
    <row r="1113" customFormat="false" ht="15" hidden="false" customHeight="false" outlineLevel="0" collapsed="false">
      <c r="A1113" s="4" t="s">
        <v>2130</v>
      </c>
      <c r="B1113" s="4" t="n">
        <v>1968</v>
      </c>
      <c r="C1113" s="4" t="str">
        <f aca="false">FLOOR(B1113,10)&amp;"s"</f>
        <v>1960s</v>
      </c>
      <c r="D1113" s="4" t="s">
        <v>971</v>
      </c>
      <c r="E1113" s="25" t="str">
        <f aca="false">IF(G1113=1,"✓","")</f>
        <v/>
      </c>
      <c r="F1113" s="4" t="n">
        <v>1</v>
      </c>
      <c r="G1113" s="4" t="n">
        <f aca="false">IF(COUNTIF('Letterboxd Watched'!$E$2:$E$3000,M1113)&gt;0,1,0)</f>
        <v>0</v>
      </c>
      <c r="H1113" s="4" t="n">
        <v>2</v>
      </c>
      <c r="I1113" s="4" t="s">
        <v>213</v>
      </c>
      <c r="J1113" s="4" t="s">
        <v>56</v>
      </c>
      <c r="K1113" s="4" t="s">
        <v>4384</v>
      </c>
      <c r="L1113" s="48" t="str">
        <f aca="false">HYPERLINK("https://boxd.it/1Iia","open")</f>
        <v>open</v>
      </c>
      <c r="M1113" s="4" t="str">
        <f aca="false">LOWER(A1113)&amp;"|"&amp;B1113</f>
        <v>ice station zebra|1968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1</v>
      </c>
      <c r="V1113" s="4" t="n">
        <v>0</v>
      </c>
      <c r="W1113" s="4" t="n">
        <v>0</v>
      </c>
    </row>
    <row r="1114" customFormat="false" ht="15" hidden="false" customHeight="false" outlineLevel="0" collapsed="false">
      <c r="A1114" s="4" t="s">
        <v>1621</v>
      </c>
      <c r="B1114" s="4" t="n">
        <v>2013</v>
      </c>
      <c r="C1114" s="4" t="str">
        <f aca="false">FLOOR(B1114,10)&amp;"s"</f>
        <v>2010s</v>
      </c>
      <c r="D1114" s="4" t="s">
        <v>1622</v>
      </c>
      <c r="E1114" s="25" t="str">
        <f aca="false">IF(G1114=1,"✓","")</f>
        <v/>
      </c>
      <c r="F1114" s="4" t="n">
        <v>1</v>
      </c>
      <c r="G1114" s="4" t="n">
        <f aca="false">IF(COUNTIF('Letterboxd Watched'!$E$2:$E$3000,M1114)&gt;0,1,0)</f>
        <v>0</v>
      </c>
      <c r="H1114" s="4" t="n">
        <v>3</v>
      </c>
      <c r="I1114" s="4" t="s">
        <v>144</v>
      </c>
      <c r="J1114" s="4" t="s">
        <v>51</v>
      </c>
      <c r="K1114" s="4" t="s">
        <v>3994</v>
      </c>
      <c r="L1114" s="48" t="str">
        <f aca="false">HYPERLINK("https://boxd.it/6fRg","open")</f>
        <v>open</v>
      </c>
      <c r="M1114" s="4" t="str">
        <f aca="false">LOWER(A1114)&amp;"|"&amp;B1114</f>
        <v>ida|2013</v>
      </c>
      <c r="N1114" s="4" t="n">
        <v>0</v>
      </c>
      <c r="O1114" s="4" t="n">
        <v>0</v>
      </c>
      <c r="P1114" s="4" t="n">
        <v>1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 customFormat="false" ht="15" hidden="false" customHeight="false" outlineLevel="0" collapsed="false">
      <c r="A1115" s="4" t="s">
        <v>3757</v>
      </c>
      <c r="B1115" s="4" t="n">
        <v>2006</v>
      </c>
      <c r="C1115" s="4" t="str">
        <f aca="false">FLOOR(B1115,10)&amp;"s"</f>
        <v>2000s</v>
      </c>
      <c r="D1115" s="4" t="s">
        <v>2702</v>
      </c>
      <c r="E1115" s="25" t="str">
        <f aca="false">IF(G1115=1,"✓","")</f>
        <v>✓</v>
      </c>
      <c r="F1115" s="4" t="n">
        <v>1</v>
      </c>
      <c r="G1115" s="4" t="n">
        <f aca="false">IF(COUNTIF('Letterboxd Watched'!$E$2:$E$3000,M1115)&gt;0,1,0)</f>
        <v>1</v>
      </c>
      <c r="H1115" s="4" t="n">
        <v>1</v>
      </c>
      <c r="I1115" s="4" t="s">
        <v>1327</v>
      </c>
      <c r="J1115" s="4" t="s">
        <v>52</v>
      </c>
      <c r="K1115" s="4" t="s">
        <v>4092</v>
      </c>
      <c r="L1115" s="48" t="str">
        <f aca="false">HYPERLINK("https://boxd.it/20RW","open")</f>
        <v>open</v>
      </c>
      <c r="M1115" s="4" t="str">
        <f aca="false">LOWER(A1115)&amp;"|"&amp;B1115</f>
        <v>idiocracy|2006</v>
      </c>
      <c r="N1115" s="4" t="n">
        <v>0</v>
      </c>
      <c r="O1115" s="4" t="n">
        <v>0</v>
      </c>
      <c r="P1115" s="4" t="n">
        <v>0</v>
      </c>
      <c r="Q1115" s="4" t="n">
        <v>1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</row>
    <row r="1116" customFormat="false" ht="15" hidden="false" customHeight="false" outlineLevel="0" collapsed="false">
      <c r="A1116" s="4" t="s">
        <v>1570</v>
      </c>
      <c r="B1116" s="4" t="n">
        <v>1998</v>
      </c>
      <c r="C1116" s="4" t="str">
        <f aca="false">FLOOR(B1116,10)&amp;"s"</f>
        <v>1990s</v>
      </c>
      <c r="D1116" s="4" t="s">
        <v>1135</v>
      </c>
      <c r="E1116" s="25" t="str">
        <f aca="false">IF(G1116=1,"✓","")</f>
        <v/>
      </c>
      <c r="F1116" s="4" t="n">
        <v>1</v>
      </c>
      <c r="G1116" s="4" t="n">
        <f aca="false">IF(COUNTIF('Letterboxd Watched'!$E$2:$E$3000,M1116)&gt;0,1,0)</f>
        <v>0</v>
      </c>
      <c r="H1116" s="4" t="n">
        <v>3</v>
      </c>
      <c r="I1116" s="4" t="s">
        <v>144</v>
      </c>
      <c r="J1116" s="4" t="s">
        <v>51</v>
      </c>
      <c r="K1116" s="4" t="s">
        <v>3988</v>
      </c>
      <c r="L1116" s="48" t="str">
        <f aca="false">HYPERLINK("https://letterboxd.com/search/films/The+Idiots+1998/","open")</f>
        <v>open</v>
      </c>
      <c r="M1116" s="4" t="str">
        <f aca="false">LOWER(A1116)&amp;"|"&amp;B1116</f>
        <v>the idiots|1998</v>
      </c>
      <c r="N1116" s="4" t="n">
        <v>0</v>
      </c>
      <c r="O1116" s="4" t="n">
        <v>0</v>
      </c>
      <c r="P1116" s="4" t="n">
        <v>1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 customFormat="false" ht="15" hidden="false" customHeight="false" outlineLevel="0" collapsed="false">
      <c r="A1117" s="4" t="s">
        <v>996</v>
      </c>
      <c r="B1117" s="4" t="n">
        <v>1968</v>
      </c>
      <c r="C1117" s="4" t="str">
        <f aca="false">FLOOR(B1117,10)&amp;"s"</f>
        <v>1960s</v>
      </c>
      <c r="D1117" s="4" t="s">
        <v>997</v>
      </c>
      <c r="E1117" s="25" t="str">
        <f aca="false">IF(G1117=1,"✓","")</f>
        <v/>
      </c>
      <c r="F1117" s="4" t="n">
        <v>2</v>
      </c>
      <c r="G1117" s="4" t="n">
        <f aca="false">IF(COUNTIF('Letterboxd Watched'!$E$2:$E$3000,M1117)&gt;0,1,0)</f>
        <v>0</v>
      </c>
      <c r="H1117" s="4" t="n">
        <v>4</v>
      </c>
      <c r="I1117" s="4" t="s">
        <v>213</v>
      </c>
      <c r="J1117" s="4" t="s">
        <v>51</v>
      </c>
      <c r="K1117" s="4" t="s">
        <v>5502</v>
      </c>
      <c r="L1117" s="48" t="str">
        <f aca="false">HYPERLINK("https://boxd.it/1Nna","open")</f>
        <v>open</v>
      </c>
      <c r="M1117" s="4" t="str">
        <f aca="false">LOWER(A1117)&amp;"|"&amp;B1117</f>
        <v>if....|1968</v>
      </c>
      <c r="N1117" s="4" t="n">
        <v>0</v>
      </c>
      <c r="O1117" s="4" t="n">
        <v>0</v>
      </c>
      <c r="P1117" s="4" t="n">
        <v>1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1</v>
      </c>
      <c r="W1117" s="4" t="n">
        <v>0</v>
      </c>
    </row>
    <row r="1118" customFormat="false" ht="15" hidden="false" customHeight="false" outlineLevel="0" collapsed="false">
      <c r="A1118" s="4" t="s">
        <v>3166</v>
      </c>
      <c r="B1118" s="4" t="n">
        <v>2018</v>
      </c>
      <c r="C1118" s="4" t="str">
        <f aca="false">FLOOR(B1118,10)&amp;"s"</f>
        <v>2010s</v>
      </c>
      <c r="D1118" s="4" t="s">
        <v>166</v>
      </c>
      <c r="E1118" s="25" t="str">
        <f aca="false">IF(G1118=1,"✓","")</f>
        <v/>
      </c>
      <c r="F1118" s="4" t="n">
        <v>1</v>
      </c>
      <c r="G1118" s="4" t="n">
        <f aca="false">IF(COUNTIF('Letterboxd Watched'!$E$2:$E$3000,M1118)&gt;0,1,0)</f>
        <v>0</v>
      </c>
      <c r="H1118" s="4" t="n">
        <v>2</v>
      </c>
      <c r="I1118" s="4" t="s">
        <v>213</v>
      </c>
      <c r="J1118" s="4" t="s">
        <v>58</v>
      </c>
      <c r="K1118" s="4" t="s">
        <v>4480</v>
      </c>
      <c r="L1118" s="48" t="str">
        <f aca="false">HYPERLINK("https://boxd.it/gGhu","open")</f>
        <v>open</v>
      </c>
      <c r="M1118" s="4" t="str">
        <f aca="false">LOWER(A1118)&amp;"|"&amp;B1118</f>
        <v>if beale street could talk|2018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1</v>
      </c>
    </row>
    <row r="1119" customFormat="false" ht="15" hidden="false" customHeight="false" outlineLevel="0" collapsed="false">
      <c r="A1119" s="4" t="s">
        <v>235</v>
      </c>
      <c r="B1119" s="4" t="n">
        <v>1952</v>
      </c>
      <c r="C1119" s="4" t="str">
        <f aca="false">FLOOR(B1119,10)&amp;"s"</f>
        <v>1950s</v>
      </c>
      <c r="D1119" s="4" t="s">
        <v>156</v>
      </c>
      <c r="E1119" s="25" t="str">
        <f aca="false">IF(G1119=1,"✓","")</f>
        <v>✓</v>
      </c>
      <c r="F1119" s="4" t="n">
        <v>5</v>
      </c>
      <c r="G1119" s="4" t="n">
        <f aca="false">IF(COUNTIF('Letterboxd Watched'!$E$2:$E$3000,M1119)&gt;0,1,0)</f>
        <v>1</v>
      </c>
      <c r="H1119" s="4" t="n">
        <v>13</v>
      </c>
      <c r="I1119" s="4" t="s">
        <v>144</v>
      </c>
      <c r="J1119" s="4" t="s">
        <v>51</v>
      </c>
      <c r="K1119" s="4" t="s">
        <v>5503</v>
      </c>
      <c r="L1119" s="48" t="str">
        <f aca="false">HYPERLINK("https://boxd.it/251c","open")</f>
        <v>open</v>
      </c>
      <c r="M1119" s="4" t="str">
        <f aca="false">LOWER(A1119)&amp;"|"&amp;B1119</f>
        <v>ikiru|1952</v>
      </c>
      <c r="N1119" s="4" t="n">
        <v>0</v>
      </c>
      <c r="O1119" s="4" t="n">
        <v>0</v>
      </c>
      <c r="P1119" s="4" t="n">
        <v>1</v>
      </c>
      <c r="Q1119" s="4" t="n">
        <v>0</v>
      </c>
      <c r="R1119" s="4" t="n">
        <v>1</v>
      </c>
      <c r="S1119" s="4" t="n">
        <v>0</v>
      </c>
      <c r="T1119" s="4" t="n">
        <v>1</v>
      </c>
      <c r="U1119" s="4" t="n">
        <v>0</v>
      </c>
      <c r="V1119" s="4" t="n">
        <v>1</v>
      </c>
      <c r="W1119" s="4" t="n">
        <v>0</v>
      </c>
    </row>
    <row r="1120" customFormat="false" ht="15" hidden="false" customHeight="false" outlineLevel="0" collapsed="false">
      <c r="A1120" s="4" t="s">
        <v>3610</v>
      </c>
      <c r="B1120" s="4" t="n">
        <v>1982</v>
      </c>
      <c r="C1120" s="4" t="str">
        <f aca="false">FLOOR(B1120,10)&amp;"s"</f>
        <v>1980s</v>
      </c>
      <c r="D1120" s="4" t="s">
        <v>553</v>
      </c>
      <c r="E1120" s="25" t="str">
        <f aca="false">IF(G1120=1,"✓","")</f>
        <v/>
      </c>
      <c r="F1120" s="4" t="n">
        <v>1</v>
      </c>
      <c r="G1120" s="4" t="n">
        <f aca="false">IF(COUNTIF('Letterboxd Watched'!$E$2:$E$3000,M1120)&gt;0,1,0)</f>
        <v>0</v>
      </c>
      <c r="H1120" s="4" t="n">
        <v>1</v>
      </c>
      <c r="I1120" s="4" t="s">
        <v>1327</v>
      </c>
      <c r="J1120" s="4" t="s">
        <v>54</v>
      </c>
      <c r="K1120" s="4" t="s">
        <v>4286</v>
      </c>
      <c r="L1120" s="48" t="str">
        <f aca="false">HYPERLINK("https://letterboxd.com/search/films/Illusions+1982/","open")</f>
        <v>open</v>
      </c>
      <c r="M1120" s="4" t="str">
        <f aca="false">LOWER(A1120)&amp;"|"&amp;B1120</f>
        <v>illusions|1982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1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 customFormat="false" ht="15" hidden="false" customHeight="false" outlineLevel="0" collapsed="false">
      <c r="A1121" s="4" t="s">
        <v>3061</v>
      </c>
      <c r="B1121" s="4" t="n">
        <v>2014</v>
      </c>
      <c r="C1121" s="4" t="str">
        <f aca="false">FLOOR(B1121,10)&amp;"s"</f>
        <v>2010s</v>
      </c>
      <c r="D1121" s="4" t="s">
        <v>3062</v>
      </c>
      <c r="E1121" s="25" t="str">
        <f aca="false">IF(G1121=1,"✓","")</f>
        <v/>
      </c>
      <c r="F1121" s="4" t="n">
        <v>1</v>
      </c>
      <c r="G1121" s="4" t="n">
        <f aca="false">IF(COUNTIF('Letterboxd Watched'!$E$2:$E$3000,M1121)&gt;0,1,0)</f>
        <v>0</v>
      </c>
      <c r="H1121" s="4" t="n">
        <v>2</v>
      </c>
      <c r="I1121" s="4" t="s">
        <v>213</v>
      </c>
      <c r="J1121" s="4" t="s">
        <v>55</v>
      </c>
      <c r="K1121" s="4" t="s">
        <v>4338</v>
      </c>
      <c r="L1121" s="48" t="str">
        <f aca="false">HYPERLINK("https://boxd.it/6aig","open")</f>
        <v>open</v>
      </c>
      <c r="M1121" s="4" t="str">
        <f aca="false">LOWER(A1121)&amp;"|"&amp;B1121</f>
        <v>the imitation game|2014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1</v>
      </c>
      <c r="U1121" s="4" t="n">
        <v>0</v>
      </c>
      <c r="V1121" s="4" t="n">
        <v>0</v>
      </c>
      <c r="W1121" s="4" t="n">
        <v>0</v>
      </c>
    </row>
    <row r="1122" customFormat="false" ht="15" hidden="false" customHeight="false" outlineLevel="0" collapsed="false">
      <c r="A1122" s="4" t="s">
        <v>1456</v>
      </c>
      <c r="B1122" s="4" t="n">
        <v>1959</v>
      </c>
      <c r="C1122" s="4" t="str">
        <f aca="false">FLOOR(B1122,10)&amp;"s"</f>
        <v>1950s</v>
      </c>
      <c r="D1122" s="4" t="s">
        <v>1447</v>
      </c>
      <c r="E1122" s="25" t="str">
        <f aca="false">IF(G1122=1,"✓","")</f>
        <v/>
      </c>
      <c r="F1122" s="4" t="n">
        <v>1</v>
      </c>
      <c r="G1122" s="4" t="n">
        <f aca="false">IF(COUNTIF('Letterboxd Watched'!$E$2:$E$3000,M1122)&gt;0,1,0)</f>
        <v>0</v>
      </c>
      <c r="H1122" s="4" t="n">
        <v>3</v>
      </c>
      <c r="I1122" s="4" t="s">
        <v>144</v>
      </c>
      <c r="J1122" s="4" t="s">
        <v>52</v>
      </c>
      <c r="K1122" s="4" t="s">
        <v>4146</v>
      </c>
      <c r="L1122" s="48" t="str">
        <f aca="false">HYPERLINK("https://boxd.it/1efK","open")</f>
        <v>open</v>
      </c>
      <c r="M1122" s="4" t="str">
        <f aca="false">LOWER(A1122)&amp;"|"&amp;B1122</f>
        <v>imitation of life|1959</v>
      </c>
      <c r="N1122" s="4" t="n">
        <v>0</v>
      </c>
      <c r="O1122" s="4" t="n">
        <v>0</v>
      </c>
      <c r="P1122" s="4" t="n">
        <v>0</v>
      </c>
      <c r="Q1122" s="4" t="n">
        <v>1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 customFormat="false" ht="15" hidden="false" customHeight="false" outlineLevel="0" collapsed="false">
      <c r="A1123" s="4" t="s">
        <v>3764</v>
      </c>
      <c r="B1123" s="4" t="n">
        <v>2007</v>
      </c>
      <c r="C1123" s="4" t="str">
        <f aca="false">FLOOR(B1123,10)&amp;"s"</f>
        <v>2000s</v>
      </c>
      <c r="D1123" s="4" t="s">
        <v>3765</v>
      </c>
      <c r="E1123" s="25" t="str">
        <f aca="false">IF(G1123=1,"✓","")</f>
        <v/>
      </c>
      <c r="F1123" s="4" t="n">
        <v>1</v>
      </c>
      <c r="G1123" s="4" t="n">
        <f aca="false">IF(COUNTIF('Letterboxd Watched'!$E$2:$E$3000,M1123)&gt;0,1,0)</f>
        <v>0</v>
      </c>
      <c r="H1123" s="4" t="n">
        <v>1</v>
      </c>
      <c r="I1123" s="4" t="s">
        <v>1327</v>
      </c>
      <c r="J1123" s="4" t="s">
        <v>51</v>
      </c>
      <c r="K1123" s="4" t="s">
        <v>3974</v>
      </c>
      <c r="L1123" s="48" t="str">
        <f aca="false">HYPERLINK("https://letterboxd.com/search/films/ImportExport+2007/","open")</f>
        <v>open</v>
      </c>
      <c r="M1123" s="4" t="str">
        <f aca="false">LOWER(A1123)&amp;"|"&amp;B1123</f>
        <v>import/export|2007</v>
      </c>
      <c r="N1123" s="4" t="n">
        <v>0</v>
      </c>
      <c r="O1123" s="4" t="n">
        <v>0</v>
      </c>
      <c r="P1123" s="4" t="n">
        <v>1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</row>
    <row r="1124" customFormat="false" ht="15" hidden="false" customHeight="false" outlineLevel="0" collapsed="false">
      <c r="A1124" s="4" t="s">
        <v>3014</v>
      </c>
      <c r="B1124" s="4" t="n">
        <v>2012</v>
      </c>
      <c r="C1124" s="4" t="str">
        <f aca="false">FLOOR(B1124,10)&amp;"s"</f>
        <v>2010s</v>
      </c>
      <c r="D1124" s="4" t="s">
        <v>2875</v>
      </c>
      <c r="E1124" s="25" t="str">
        <f aca="false">IF(G1124=1,"✓","")</f>
        <v/>
      </c>
      <c r="F1124" s="4" t="n">
        <v>1</v>
      </c>
      <c r="G1124" s="4" t="n">
        <f aca="false">IF(COUNTIF('Letterboxd Watched'!$E$2:$E$3000,M1124)&gt;0,1,0)</f>
        <v>0</v>
      </c>
      <c r="H1124" s="4" t="n">
        <v>2</v>
      </c>
      <c r="I1124" s="4" t="s">
        <v>213</v>
      </c>
      <c r="J1124" s="4" t="s">
        <v>56</v>
      </c>
      <c r="K1124" s="4" t="s">
        <v>4388</v>
      </c>
      <c r="L1124" s="48" t="str">
        <f aca="false">HYPERLINK("https://boxd.it/2N9k","open")</f>
        <v>open</v>
      </c>
      <c r="M1124" s="4" t="str">
        <f aca="false">LOWER(A1124)&amp;"|"&amp;B1124</f>
        <v>the impossible|2012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1</v>
      </c>
      <c r="V1124" s="4" t="n">
        <v>0</v>
      </c>
      <c r="W1124" s="4" t="n">
        <v>0</v>
      </c>
    </row>
    <row r="1125" customFormat="false" ht="15" hidden="false" customHeight="false" outlineLevel="0" collapsed="false">
      <c r="A1125" s="4" t="s">
        <v>742</v>
      </c>
      <c r="B1125" s="4" t="n">
        <v>1950</v>
      </c>
      <c r="C1125" s="4" t="str">
        <f aca="false">FLOOR(B1125,10)&amp;"s"</f>
        <v>1950s</v>
      </c>
      <c r="D1125" s="4" t="s">
        <v>270</v>
      </c>
      <c r="E1125" s="25" t="str">
        <f aca="false">IF(G1125=1,"✓","")</f>
        <v/>
      </c>
      <c r="F1125" s="4" t="n">
        <v>2</v>
      </c>
      <c r="G1125" s="4" t="n">
        <f aca="false">IF(COUNTIF('Letterboxd Watched'!$E$2:$E$3000,M1125)&gt;0,1,0)</f>
        <v>0</v>
      </c>
      <c r="H1125" s="4" t="n">
        <v>5</v>
      </c>
      <c r="I1125" s="4" t="s">
        <v>144</v>
      </c>
      <c r="J1125" s="4" t="s">
        <v>52</v>
      </c>
      <c r="K1125" s="4" t="s">
        <v>5504</v>
      </c>
      <c r="L1125" s="48" t="str">
        <f aca="false">HYPERLINK("https://boxd.it/1JgO","open")</f>
        <v>open</v>
      </c>
      <c r="M1125" s="4" t="str">
        <f aca="false">LOWER(A1125)&amp;"|"&amp;B1125</f>
        <v>in a lonely place|1950</v>
      </c>
      <c r="N1125" s="4" t="n">
        <v>0</v>
      </c>
      <c r="O1125" s="4" t="n">
        <v>0</v>
      </c>
      <c r="P1125" s="4" t="n">
        <v>0</v>
      </c>
      <c r="Q1125" s="4" t="n">
        <v>1</v>
      </c>
      <c r="R1125" s="4" t="n">
        <v>1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 customFormat="false" ht="15" hidden="false" customHeight="false" outlineLevel="0" collapsed="false">
      <c r="A1126" s="4" t="s">
        <v>2312</v>
      </c>
      <c r="B1126" s="4" t="n">
        <v>1978</v>
      </c>
      <c r="C1126" s="4" t="str">
        <f aca="false">FLOOR(B1126,10)&amp;"s"</f>
        <v>1970s</v>
      </c>
      <c r="D1126" s="4" t="s">
        <v>312</v>
      </c>
      <c r="E1126" s="25" t="str">
        <f aca="false">IF(G1126=1,"✓","")</f>
        <v/>
      </c>
      <c r="F1126" s="4" t="n">
        <v>1</v>
      </c>
      <c r="G1126" s="4" t="n">
        <f aca="false">IF(COUNTIF('Letterboxd Watched'!$E$2:$E$3000,M1126)&gt;0,1,0)</f>
        <v>0</v>
      </c>
      <c r="H1126" s="4" t="n">
        <v>2</v>
      </c>
      <c r="I1126" s="4" t="s">
        <v>213</v>
      </c>
      <c r="J1126" s="4" t="s">
        <v>53</v>
      </c>
      <c r="K1126" s="4" t="s">
        <v>312</v>
      </c>
      <c r="L1126" s="48" t="str">
        <f aca="false">HYPERLINK("https://letterboxd.com/search/films/In+a+Year+of+13+Moons+1978/","open")</f>
        <v>open</v>
      </c>
      <c r="M1126" s="4" t="str">
        <f aca="false">LOWER(A1126)&amp;"|"&amp;B1126</f>
        <v>in a year of 13 moons|1978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1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</row>
    <row r="1127" customFormat="false" ht="15" hidden="false" customHeight="false" outlineLevel="0" collapsed="false">
      <c r="A1127" s="4" t="s">
        <v>3805</v>
      </c>
      <c r="B1127" s="4" t="n">
        <v>2012</v>
      </c>
      <c r="C1127" s="4" t="str">
        <f aca="false">FLOOR(B1127,10)&amp;"s"</f>
        <v>2010s</v>
      </c>
      <c r="D1127" s="4" t="s">
        <v>1628</v>
      </c>
      <c r="E1127" s="25" t="str">
        <f aca="false">IF(G1127=1,"✓","")</f>
        <v/>
      </c>
      <c r="F1127" s="4" t="n">
        <v>1</v>
      </c>
      <c r="G1127" s="4" t="n">
        <f aca="false">IF(COUNTIF('Letterboxd Watched'!$E$2:$E$3000,M1127)&gt;0,1,0)</f>
        <v>0</v>
      </c>
      <c r="H1127" s="4" t="n">
        <v>1</v>
      </c>
      <c r="I1127" s="4" t="s">
        <v>1327</v>
      </c>
      <c r="J1127" s="4" t="s">
        <v>53</v>
      </c>
      <c r="K1127" s="4" t="s">
        <v>1628</v>
      </c>
      <c r="L1127" s="48" t="str">
        <f aca="false">HYPERLINK("https://letterboxd.com/search/films/In+Another+Country+2012/","open")</f>
        <v>open</v>
      </c>
      <c r="M1127" s="4" t="str">
        <f aca="false">LOWER(A1127)&amp;"|"&amp;B1127</f>
        <v>in another country|2012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1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 customFormat="false" ht="15" hidden="false" customHeight="false" outlineLevel="0" collapsed="false">
      <c r="A1128" s="4" t="s">
        <v>2115</v>
      </c>
      <c r="B1128" s="4" t="n">
        <v>1967</v>
      </c>
      <c r="C1128" s="4" t="str">
        <f aca="false">FLOOR(B1128,10)&amp;"s"</f>
        <v>1960s</v>
      </c>
      <c r="D1128" s="4" t="s">
        <v>2116</v>
      </c>
      <c r="E1128" s="25" t="str">
        <f aca="false">IF(G1128=1,"✓","")</f>
        <v/>
      </c>
      <c r="F1128" s="4" t="n">
        <v>1</v>
      </c>
      <c r="G1128" s="4" t="n">
        <f aca="false">IF(COUNTIF('Letterboxd Watched'!$E$2:$E$3000,M1128)&gt;0,1,0)</f>
        <v>0</v>
      </c>
      <c r="H1128" s="4" t="n">
        <v>2</v>
      </c>
      <c r="I1128" s="4" t="s">
        <v>213</v>
      </c>
      <c r="J1128" s="4" t="s">
        <v>57</v>
      </c>
      <c r="K1128" s="4" t="s">
        <v>4428</v>
      </c>
      <c r="L1128" s="48" t="str">
        <f aca="false">HYPERLINK("https://boxd.it/1VLY","open")</f>
        <v>open</v>
      </c>
      <c r="M1128" s="4" t="str">
        <f aca="false">LOWER(A1128)&amp;"|"&amp;B1128</f>
        <v>in the heat of the night|1967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1</v>
      </c>
      <c r="W1128" s="4" t="n">
        <v>0</v>
      </c>
    </row>
    <row r="1129" customFormat="false" ht="15" hidden="false" customHeight="false" outlineLevel="0" collapsed="false">
      <c r="A1129" s="4" t="s">
        <v>2922</v>
      </c>
      <c r="B1129" s="4" t="n">
        <v>2009</v>
      </c>
      <c r="C1129" s="4" t="str">
        <f aca="false">FLOOR(B1129,10)&amp;"s"</f>
        <v>2000s</v>
      </c>
      <c r="D1129" s="4" t="s">
        <v>2923</v>
      </c>
      <c r="E1129" s="25" t="str">
        <f aca="false">IF(G1129=1,"✓","")</f>
        <v/>
      </c>
      <c r="F1129" s="4" t="n">
        <v>1</v>
      </c>
      <c r="G1129" s="4" t="n">
        <f aca="false">IF(COUNTIF('Letterboxd Watched'!$E$2:$E$3000,M1129)&gt;0,1,0)</f>
        <v>0</v>
      </c>
      <c r="H1129" s="4" t="n">
        <v>2</v>
      </c>
      <c r="I1129" s="4" t="s">
        <v>213</v>
      </c>
      <c r="J1129" s="4" t="s">
        <v>52</v>
      </c>
      <c r="K1129" s="4" t="s">
        <v>4100</v>
      </c>
      <c r="L1129" s="48" t="str">
        <f aca="false">HYPERLINK("https://boxd.it/1EsA","open")</f>
        <v>open</v>
      </c>
      <c r="M1129" s="4" t="str">
        <f aca="false">LOWER(A1129)&amp;"|"&amp;B1129</f>
        <v>in the loop|2009</v>
      </c>
      <c r="N1129" s="4" t="n">
        <v>0</v>
      </c>
      <c r="O1129" s="4" t="n">
        <v>0</v>
      </c>
      <c r="P1129" s="4" t="n">
        <v>0</v>
      </c>
      <c r="Q1129" s="4" t="n">
        <v>1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</row>
    <row r="1130" customFormat="false" ht="15" hidden="false" customHeight="false" outlineLevel="0" collapsed="false">
      <c r="A1130" s="4" t="s">
        <v>230</v>
      </c>
      <c r="B1130" s="4" t="n">
        <v>2000</v>
      </c>
      <c r="C1130" s="4" t="str">
        <f aca="false">FLOOR(B1130,10)&amp;"s"</f>
        <v>2000s</v>
      </c>
      <c r="D1130" s="4" t="s">
        <v>193</v>
      </c>
      <c r="E1130" s="25" t="str">
        <f aca="false">IF(G1130=1,"✓","")</f>
        <v>✓</v>
      </c>
      <c r="F1130" s="4" t="n">
        <v>5</v>
      </c>
      <c r="G1130" s="4" t="n">
        <f aca="false">IF(COUNTIF('Letterboxd Watched'!$E$2:$E$3000,M1130)&gt;0,1,0)</f>
        <v>1</v>
      </c>
      <c r="H1130" s="4" t="n">
        <v>13</v>
      </c>
      <c r="I1130" s="4" t="s">
        <v>144</v>
      </c>
      <c r="J1130" s="4" t="s">
        <v>49</v>
      </c>
      <c r="K1130" s="4" t="s">
        <v>5505</v>
      </c>
      <c r="L1130" s="48" t="str">
        <f aca="false">HYPERLINK("https://boxd.it/29tE","open")</f>
        <v>open</v>
      </c>
      <c r="M1130" s="4" t="str">
        <f aca="false">LOWER(A1130)&amp;"|"&amp;B1130</f>
        <v>in the mood for love|2000</v>
      </c>
      <c r="N1130" s="4" t="n">
        <v>1</v>
      </c>
      <c r="O1130" s="4" t="n">
        <v>1</v>
      </c>
      <c r="P1130" s="4" t="n">
        <v>1</v>
      </c>
      <c r="Q1130" s="4" t="n">
        <v>0</v>
      </c>
      <c r="R1130" s="4" t="n">
        <v>1</v>
      </c>
      <c r="S1130" s="4" t="n">
        <v>0</v>
      </c>
      <c r="T1130" s="4" t="n">
        <v>0</v>
      </c>
      <c r="U1130" s="4" t="n">
        <v>0</v>
      </c>
      <c r="V1130" s="4" t="n">
        <v>1</v>
      </c>
      <c r="W1130" s="4" t="n">
        <v>0</v>
      </c>
    </row>
    <row r="1131" customFormat="false" ht="15" hidden="false" customHeight="false" outlineLevel="0" collapsed="false">
      <c r="A1131" s="4" t="s">
        <v>834</v>
      </c>
      <c r="B1131" s="4" t="n">
        <v>1994</v>
      </c>
      <c r="C1131" s="4" t="str">
        <f aca="false">FLOOR(B1131,10)&amp;"s"</f>
        <v>1990s</v>
      </c>
      <c r="D1131" s="4" t="s">
        <v>266</v>
      </c>
      <c r="E1131" s="25" t="str">
        <f aca="false">IF(G1131=1,"✓","")</f>
        <v>✓</v>
      </c>
      <c r="F1131" s="4" t="n">
        <v>2</v>
      </c>
      <c r="G1131" s="4" t="n">
        <f aca="false">IF(COUNTIF('Letterboxd Watched'!$E$2:$E$3000,M1131)&gt;0,1,0)</f>
        <v>1</v>
      </c>
      <c r="H1131" s="4" t="n">
        <v>5</v>
      </c>
      <c r="I1131" s="4" t="s">
        <v>144</v>
      </c>
      <c r="J1131" s="4" t="s">
        <v>52</v>
      </c>
      <c r="K1131" s="4" t="s">
        <v>5506</v>
      </c>
      <c r="L1131" s="48" t="str">
        <f aca="false">HYPERLINK("https://boxd.it/26vi","open")</f>
        <v>open</v>
      </c>
      <c r="M1131" s="4" t="str">
        <f aca="false">LOWER(A1131)&amp;"|"&amp;B1131</f>
        <v>in the mouth of madness|1994</v>
      </c>
      <c r="N1131" s="4" t="n">
        <v>0</v>
      </c>
      <c r="O1131" s="4" t="n">
        <v>0</v>
      </c>
      <c r="P1131" s="4" t="n">
        <v>0</v>
      </c>
      <c r="Q1131" s="4" t="n">
        <v>1</v>
      </c>
      <c r="R1131" s="4" t="n">
        <v>1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 customFormat="false" ht="15" hidden="false" customHeight="false" outlineLevel="0" collapsed="false">
      <c r="A1132" s="4" t="s">
        <v>2281</v>
      </c>
      <c r="B1132" s="4" t="n">
        <v>1976</v>
      </c>
      <c r="C1132" s="4" t="str">
        <f aca="false">FLOOR(B1132,10)&amp;"s"</f>
        <v>1970s</v>
      </c>
      <c r="D1132" s="4" t="s">
        <v>995</v>
      </c>
      <c r="E1132" s="25" t="str">
        <f aca="false">IF(G1132=1,"✓","")</f>
        <v/>
      </c>
      <c r="F1132" s="4" t="n">
        <v>1</v>
      </c>
      <c r="G1132" s="4" t="n">
        <f aca="false">IF(COUNTIF('Letterboxd Watched'!$E$2:$E$3000,M1132)&gt;0,1,0)</f>
        <v>0</v>
      </c>
      <c r="H1132" s="4" t="n">
        <v>2</v>
      </c>
      <c r="I1132" s="4" t="s">
        <v>213</v>
      </c>
      <c r="J1132" s="4" t="s">
        <v>51</v>
      </c>
      <c r="K1132" s="4" t="s">
        <v>3932</v>
      </c>
      <c r="L1132" s="48" t="str">
        <f aca="false">HYPERLINK("https://boxd.it/22qS","open")</f>
        <v>open</v>
      </c>
      <c r="M1132" s="4" t="str">
        <f aca="false">LOWER(A1132)&amp;"|"&amp;B1132</f>
        <v>in the realm of the senses|1976</v>
      </c>
      <c r="N1132" s="4" t="n">
        <v>0</v>
      </c>
      <c r="O1132" s="4" t="n">
        <v>0</v>
      </c>
      <c r="P1132" s="4" t="n">
        <v>1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 customFormat="false" ht="15" hidden="false" customHeight="false" outlineLevel="0" collapsed="false">
      <c r="A1133" s="4" t="s">
        <v>1196</v>
      </c>
      <c r="B1133" s="4" t="n">
        <v>2010</v>
      </c>
      <c r="C1133" s="4" t="str">
        <f aca="false">FLOOR(B1133,10)&amp;"s"</f>
        <v>2010s</v>
      </c>
      <c r="D1133" s="4" t="s">
        <v>327</v>
      </c>
      <c r="E1133" s="25" t="str">
        <f aca="false">IF(G1133=1,"✓","")</f>
        <v/>
      </c>
      <c r="F1133" s="4" t="n">
        <v>2</v>
      </c>
      <c r="G1133" s="4" t="n">
        <f aca="false">IF(COUNTIF('Letterboxd Watched'!$E$2:$E$3000,M1133)&gt;0,1,0)</f>
        <v>0</v>
      </c>
      <c r="H1133" s="4" t="n">
        <v>4</v>
      </c>
      <c r="I1133" s="4" t="s">
        <v>213</v>
      </c>
      <c r="J1133" s="4" t="s">
        <v>51</v>
      </c>
      <c r="K1133" s="4" t="s">
        <v>5507</v>
      </c>
      <c r="L1133" s="48" t="str">
        <f aca="false">HYPERLINK("https://boxd.it/Msm","open")</f>
        <v>open</v>
      </c>
      <c r="M1133" s="4" t="str">
        <f aca="false">LOWER(A1133)&amp;"|"&amp;B1133</f>
        <v>incendies|2010</v>
      </c>
      <c r="N1133" s="4" t="n">
        <v>0</v>
      </c>
      <c r="O1133" s="4" t="n">
        <v>0</v>
      </c>
      <c r="P1133" s="4" t="n">
        <v>1</v>
      </c>
      <c r="Q1133" s="4" t="n">
        <v>0</v>
      </c>
      <c r="R1133" s="4" t="n">
        <v>1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 customFormat="false" ht="15" hidden="false" customHeight="false" outlineLevel="0" collapsed="false">
      <c r="A1134" s="4" t="s">
        <v>1197</v>
      </c>
      <c r="B1134" s="4" t="n">
        <v>2010</v>
      </c>
      <c r="C1134" s="4" t="str">
        <f aca="false">FLOOR(B1134,10)&amp;"s"</f>
        <v>2010s</v>
      </c>
      <c r="D1134" s="4" t="s">
        <v>342</v>
      </c>
      <c r="E1134" s="25" t="str">
        <f aca="false">IF(G1134=1,"✓","")</f>
        <v>✓</v>
      </c>
      <c r="F1134" s="4" t="n">
        <v>2</v>
      </c>
      <c r="G1134" s="4" t="n">
        <f aca="false">IF(COUNTIF('Letterboxd Watched'!$E$2:$E$3000,M1134)&gt;0,1,0)</f>
        <v>1</v>
      </c>
      <c r="H1134" s="4" t="n">
        <v>4</v>
      </c>
      <c r="I1134" s="4" t="s">
        <v>213</v>
      </c>
      <c r="J1134" s="4" t="s">
        <v>53</v>
      </c>
      <c r="K1134" s="4" t="s">
        <v>5508</v>
      </c>
      <c r="L1134" s="48" t="str">
        <f aca="false">HYPERLINK("https://boxd.it/1skk","open")</f>
        <v>open</v>
      </c>
      <c r="M1134" s="4" t="str">
        <f aca="false">LOWER(A1134)&amp;"|"&amp;B1134</f>
        <v>inception|2010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1</v>
      </c>
      <c r="S1134" s="4" t="n">
        <v>1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 customFormat="false" ht="15" hidden="false" customHeight="false" outlineLevel="0" collapsed="false">
      <c r="A1135" s="4" t="s">
        <v>1944</v>
      </c>
      <c r="B1135" s="4" t="n">
        <v>1957</v>
      </c>
      <c r="C1135" s="4" t="str">
        <f aca="false">FLOOR(B1135,10)&amp;"s"</f>
        <v>1950s</v>
      </c>
      <c r="D1135" s="4" t="s">
        <v>1903</v>
      </c>
      <c r="E1135" s="25" t="str">
        <f aca="false">IF(G1135=1,"✓","")</f>
        <v/>
      </c>
      <c r="F1135" s="4" t="n">
        <v>1</v>
      </c>
      <c r="G1135" s="4" t="n">
        <f aca="false">IF(COUNTIF('Letterboxd Watched'!$E$2:$E$3000,M1135)&gt;0,1,0)</f>
        <v>0</v>
      </c>
      <c r="H1135" s="4" t="n">
        <v>2</v>
      </c>
      <c r="I1135" s="4" t="s">
        <v>213</v>
      </c>
      <c r="J1135" s="4" t="s">
        <v>52</v>
      </c>
      <c r="K1135" s="4" t="s">
        <v>4084</v>
      </c>
      <c r="L1135" s="48" t="str">
        <f aca="false">HYPERLINK("https://boxd.it/1ixS","open")</f>
        <v>open</v>
      </c>
      <c r="M1135" s="4" t="str">
        <f aca="false">LOWER(A1135)&amp;"|"&amp;B1135</f>
        <v>the incredible shrinking man|1957</v>
      </c>
      <c r="N1135" s="4" t="n">
        <v>0</v>
      </c>
      <c r="O1135" s="4" t="n">
        <v>0</v>
      </c>
      <c r="P1135" s="4" t="n">
        <v>0</v>
      </c>
      <c r="Q1135" s="4" t="n">
        <v>1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 customFormat="false" ht="15" hidden="false" customHeight="false" outlineLevel="0" collapsed="false">
      <c r="A1136" s="4" t="s">
        <v>2821</v>
      </c>
      <c r="B1136" s="4" t="n">
        <v>2004</v>
      </c>
      <c r="C1136" s="4" t="str">
        <f aca="false">FLOOR(B1136,10)&amp;"s"</f>
        <v>2000s</v>
      </c>
      <c r="D1136" s="4" t="s">
        <v>1179</v>
      </c>
      <c r="E1136" s="25" t="str">
        <f aca="false">IF(G1136=1,"✓","")</f>
        <v>✓</v>
      </c>
      <c r="F1136" s="4" t="n">
        <v>1</v>
      </c>
      <c r="G1136" s="4" t="n">
        <f aca="false">IF(COUNTIF('Letterboxd Watched'!$E$2:$E$3000,M1136)&gt;0,1,0)</f>
        <v>1</v>
      </c>
      <c r="H1136" s="4" t="n">
        <v>2</v>
      </c>
      <c r="I1136" s="4" t="s">
        <v>213</v>
      </c>
      <c r="J1136" s="4" t="s">
        <v>52</v>
      </c>
      <c r="K1136" s="4" t="s">
        <v>4168</v>
      </c>
      <c r="L1136" s="48" t="str">
        <f aca="false">HYPERLINK("https://boxd.it/1XLm","open")</f>
        <v>open</v>
      </c>
      <c r="M1136" s="4" t="str">
        <f aca="false">LOWER(A1136)&amp;"|"&amp;B1136</f>
        <v>the incredibles|2004</v>
      </c>
      <c r="N1136" s="4" t="n">
        <v>0</v>
      </c>
      <c r="O1136" s="4" t="n">
        <v>0</v>
      </c>
      <c r="P1136" s="4" t="n">
        <v>0</v>
      </c>
      <c r="Q1136" s="4" t="n">
        <v>1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</row>
    <row r="1137" customFormat="false" ht="15" hidden="false" customHeight="false" outlineLevel="0" collapsed="false">
      <c r="A1137" s="4" t="s">
        <v>1156</v>
      </c>
      <c r="B1137" s="4" t="n">
        <v>2002</v>
      </c>
      <c r="C1137" s="4" t="str">
        <f aca="false">FLOOR(B1137,10)&amp;"s"</f>
        <v>2000s</v>
      </c>
      <c r="D1137" s="4" t="s">
        <v>1157</v>
      </c>
      <c r="E1137" s="25" t="str">
        <f aca="false">IF(G1137=1,"✓","")</f>
        <v/>
      </c>
      <c r="F1137" s="4" t="n">
        <v>2</v>
      </c>
      <c r="G1137" s="4" t="n">
        <f aca="false">IF(COUNTIF('Letterboxd Watched'!$E$2:$E$3000,M1137)&gt;0,1,0)</f>
        <v>0</v>
      </c>
      <c r="H1137" s="4" t="n">
        <v>4</v>
      </c>
      <c r="I1137" s="4" t="s">
        <v>213</v>
      </c>
      <c r="J1137" s="4" t="s">
        <v>51</v>
      </c>
      <c r="K1137" s="4" t="s">
        <v>5509</v>
      </c>
      <c r="L1137" s="48" t="str">
        <f aca="false">HYPERLINK("https://boxd.it/1Vqw","open")</f>
        <v>open</v>
      </c>
      <c r="M1137" s="4" t="str">
        <f aca="false">LOWER(A1137)&amp;"|"&amp;B1137</f>
        <v>infernal affairs|2002</v>
      </c>
      <c r="N1137" s="4" t="n">
        <v>0</v>
      </c>
      <c r="O1137" s="4" t="n">
        <v>0</v>
      </c>
      <c r="P1137" s="4" t="n">
        <v>1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1</v>
      </c>
      <c r="V1137" s="4" t="n">
        <v>0</v>
      </c>
      <c r="W1137" s="4" t="n">
        <v>0</v>
      </c>
    </row>
    <row r="1138" customFormat="false" ht="15" hidden="false" customHeight="false" outlineLevel="0" collapsed="false">
      <c r="A1138" s="4" t="s">
        <v>1048</v>
      </c>
      <c r="B1138" s="4" t="n">
        <v>1980</v>
      </c>
      <c r="C1138" s="4" t="str">
        <f aca="false">FLOOR(B1138,10)&amp;"s"</f>
        <v>1980s</v>
      </c>
      <c r="D1138" s="4" t="s">
        <v>677</v>
      </c>
      <c r="E1138" s="25" t="str">
        <f aca="false">IF(G1138=1,"✓","")</f>
        <v/>
      </c>
      <c r="F1138" s="4" t="n">
        <v>2</v>
      </c>
      <c r="G1138" s="4" t="n">
        <f aca="false">IF(COUNTIF('Letterboxd Watched'!$E$2:$E$3000,M1138)&gt;0,1,0)</f>
        <v>0</v>
      </c>
      <c r="H1138" s="4" t="n">
        <v>4</v>
      </c>
      <c r="I1138" s="4" t="s">
        <v>213</v>
      </c>
      <c r="J1138" s="4" t="s">
        <v>51</v>
      </c>
      <c r="K1138" s="4" t="s">
        <v>5510</v>
      </c>
      <c r="L1138" s="48" t="str">
        <f aca="false">HYPERLINK("https://boxd.it/1KbK","open")</f>
        <v>open</v>
      </c>
      <c r="M1138" s="4" t="str">
        <f aca="false">LOWER(A1138)&amp;"|"&amp;B1138</f>
        <v>inferno|1980</v>
      </c>
      <c r="N1138" s="4" t="n">
        <v>0</v>
      </c>
      <c r="O1138" s="4" t="n">
        <v>0</v>
      </c>
      <c r="P1138" s="4" t="n">
        <v>1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1</v>
      </c>
      <c r="V1138" s="4" t="n">
        <v>0</v>
      </c>
      <c r="W1138" s="4" t="n">
        <v>0</v>
      </c>
    </row>
    <row r="1139" customFormat="false" ht="15" hidden="false" customHeight="false" outlineLevel="0" collapsed="false">
      <c r="A1139" s="4" t="s">
        <v>2320</v>
      </c>
      <c r="B1139" s="4" t="n">
        <v>1978</v>
      </c>
      <c r="C1139" s="4" t="str">
        <f aca="false">FLOOR(B1139,10)&amp;"s"</f>
        <v>1970s</v>
      </c>
      <c r="D1139" s="4" t="s">
        <v>2239</v>
      </c>
      <c r="E1139" s="25" t="str">
        <f aca="false">IF(G1139=1,"✓","")</f>
        <v/>
      </c>
      <c r="F1139" s="4" t="n">
        <v>1</v>
      </c>
      <c r="G1139" s="4" t="n">
        <f aca="false">IF(COUNTIF('Letterboxd Watched'!$E$2:$E$3000,M1139)&gt;0,1,0)</f>
        <v>0</v>
      </c>
      <c r="H1139" s="4" t="n">
        <v>2</v>
      </c>
      <c r="I1139" s="4" t="s">
        <v>213</v>
      </c>
      <c r="J1139" s="4" t="s">
        <v>56</v>
      </c>
      <c r="K1139" s="4" t="s">
        <v>4414</v>
      </c>
      <c r="L1139" s="48" t="str">
        <f aca="false">HYPERLINK("https://boxd.it/1ALI","open")</f>
        <v>open</v>
      </c>
      <c r="M1139" s="4" t="str">
        <f aca="false">LOWER(A1139)&amp;"|"&amp;B1139</f>
        <v>the inglorious bastards|1978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1</v>
      </c>
      <c r="V1139" s="4" t="n">
        <v>0</v>
      </c>
      <c r="W1139" s="4" t="n">
        <v>0</v>
      </c>
    </row>
    <row r="1140" customFormat="false" ht="15" hidden="false" customHeight="false" outlineLevel="0" collapsed="false">
      <c r="A1140" s="4" t="s">
        <v>2930</v>
      </c>
      <c r="B1140" s="4" t="n">
        <v>2009</v>
      </c>
      <c r="C1140" s="4" t="str">
        <f aca="false">FLOOR(B1140,10)&amp;"s"</f>
        <v>2000s</v>
      </c>
      <c r="D1140" s="4" t="s">
        <v>208</v>
      </c>
      <c r="E1140" s="25" t="str">
        <f aca="false">IF(G1140=1,"✓","")</f>
        <v>✓</v>
      </c>
      <c r="F1140" s="4" t="n">
        <v>1</v>
      </c>
      <c r="G1140" s="4" t="n">
        <f aca="false">IF(COUNTIF('Letterboxd Watched'!$E$2:$E$3000,M1140)&gt;0,1,0)</f>
        <v>1</v>
      </c>
      <c r="H1140" s="4" t="n">
        <v>2</v>
      </c>
      <c r="I1140" s="4" t="s">
        <v>213</v>
      </c>
      <c r="J1140" s="4" t="s">
        <v>53</v>
      </c>
      <c r="K1140" s="4" t="s">
        <v>208</v>
      </c>
      <c r="L1140" s="48" t="str">
        <f aca="false">HYPERLINK("https://boxd.it/1JzG","open")</f>
        <v>open</v>
      </c>
      <c r="M1140" s="4" t="str">
        <f aca="false">LOWER(A1140)&amp;"|"&amp;B1140</f>
        <v>inglourious basterds|2009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1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 customFormat="false" ht="15" hidden="false" customHeight="false" outlineLevel="0" collapsed="false">
      <c r="A1141" s="4" t="s">
        <v>644</v>
      </c>
      <c r="B1141" s="4" t="n">
        <v>2014</v>
      </c>
      <c r="C1141" s="4" t="str">
        <f aca="false">FLOOR(B1141,10)&amp;"s"</f>
        <v>2010s</v>
      </c>
      <c r="D1141" s="4" t="s">
        <v>278</v>
      </c>
      <c r="E1141" s="25" t="str">
        <f aca="false">IF(G1141=1,"✓","")</f>
        <v>✓</v>
      </c>
      <c r="F1141" s="4" t="n">
        <v>3</v>
      </c>
      <c r="G1141" s="4" t="n">
        <f aca="false">IF(COUNTIF('Letterboxd Watched'!$E$2:$E$3000,M1141)&gt;0,1,0)</f>
        <v>1</v>
      </c>
      <c r="H1141" s="4" t="n">
        <v>6</v>
      </c>
      <c r="I1141" s="4" t="s">
        <v>213</v>
      </c>
      <c r="J1141" s="4" t="s">
        <v>52</v>
      </c>
      <c r="K1141" s="4" t="s">
        <v>5511</v>
      </c>
      <c r="L1141" s="48" t="str">
        <f aca="false">HYPERLINK("https://boxd.it/5hla","open")</f>
        <v>open</v>
      </c>
      <c r="M1141" s="4" t="str">
        <f aca="false">LOWER(A1141)&amp;"|"&amp;B1141</f>
        <v>inherent vice|2014</v>
      </c>
      <c r="N1141" s="4" t="n">
        <v>0</v>
      </c>
      <c r="O1141" s="4" t="n">
        <v>0</v>
      </c>
      <c r="P1141" s="4" t="n">
        <v>0</v>
      </c>
      <c r="Q1141" s="4" t="n">
        <v>1</v>
      </c>
      <c r="R1141" s="4" t="n">
        <v>1</v>
      </c>
      <c r="S1141" s="4" t="n">
        <v>0</v>
      </c>
      <c r="T1141" s="4" t="n">
        <v>1</v>
      </c>
      <c r="U1141" s="4" t="n">
        <v>0</v>
      </c>
      <c r="V1141" s="4" t="n">
        <v>0</v>
      </c>
      <c r="W1141" s="4" t="n">
        <v>0</v>
      </c>
    </row>
    <row r="1142" customFormat="false" ht="15" hidden="false" customHeight="false" outlineLevel="0" collapsed="false">
      <c r="A1142" s="4" t="s">
        <v>1984</v>
      </c>
      <c r="B1142" s="4" t="n">
        <v>1960</v>
      </c>
      <c r="C1142" s="4" t="str">
        <f aca="false">FLOOR(B1142,10)&amp;"s"</f>
        <v>1960s</v>
      </c>
      <c r="D1142" s="4" t="s">
        <v>1969</v>
      </c>
      <c r="E1142" s="25" t="str">
        <f aca="false">IF(G1142=1,"✓","")</f>
        <v/>
      </c>
      <c r="F1142" s="4" t="n">
        <v>1</v>
      </c>
      <c r="G1142" s="4" t="n">
        <f aca="false">IF(COUNTIF('Letterboxd Watched'!$E$2:$E$3000,M1142)&gt;0,1,0)</f>
        <v>0</v>
      </c>
      <c r="H1142" s="4" t="n">
        <v>2</v>
      </c>
      <c r="I1142" s="4" t="s">
        <v>213</v>
      </c>
      <c r="J1142" s="4" t="s">
        <v>55</v>
      </c>
      <c r="K1142" s="4" t="s">
        <v>4324</v>
      </c>
      <c r="L1142" s="48" t="str">
        <f aca="false">HYPERLINK("https://boxd.it/27SW","open")</f>
        <v>open</v>
      </c>
      <c r="M1142" s="4" t="str">
        <f aca="false">LOWER(A1142)&amp;"|"&amp;B1142</f>
        <v>inherit the wind|1960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1</v>
      </c>
      <c r="U1142" s="4" t="n">
        <v>0</v>
      </c>
      <c r="V1142" s="4" t="n">
        <v>0</v>
      </c>
      <c r="W1142" s="4" t="n">
        <v>0</v>
      </c>
    </row>
    <row r="1143" customFormat="false" ht="15" hidden="false" customHeight="false" outlineLevel="0" collapsed="false">
      <c r="A1143" s="4" t="s">
        <v>2857</v>
      </c>
      <c r="B1143" s="4" t="n">
        <v>2006</v>
      </c>
      <c r="C1143" s="4" t="str">
        <f aca="false">FLOOR(B1143,10)&amp;"s"</f>
        <v>2000s</v>
      </c>
      <c r="D1143" s="4" t="s">
        <v>154</v>
      </c>
      <c r="E1143" s="25" t="str">
        <f aca="false">IF(G1143=1,"✓","")</f>
        <v>✓</v>
      </c>
      <c r="F1143" s="4" t="n">
        <v>1</v>
      </c>
      <c r="G1143" s="4" t="n">
        <f aca="false">IF(COUNTIF('Letterboxd Watched'!$E$2:$E$3000,M1143)&gt;0,1,0)</f>
        <v>1</v>
      </c>
      <c r="H1143" s="4" t="n">
        <v>2</v>
      </c>
      <c r="I1143" s="4" t="s">
        <v>213</v>
      </c>
      <c r="J1143" s="4" t="s">
        <v>53</v>
      </c>
      <c r="K1143" s="4" t="s">
        <v>154</v>
      </c>
      <c r="L1143" s="48" t="str">
        <f aca="false">HYPERLINK("https://boxd.it/28d6","open")</f>
        <v>open</v>
      </c>
      <c r="M1143" s="4" t="str">
        <f aca="false">LOWER(A1143)&amp;"|"&amp;B1143</f>
        <v>inland empire|2006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1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 customFormat="false" ht="15" hidden="false" customHeight="false" outlineLevel="0" collapsed="false">
      <c r="A1144" s="4" t="s">
        <v>3453</v>
      </c>
      <c r="B1144" s="4" t="n">
        <v>1968</v>
      </c>
      <c r="C1144" s="4" t="str">
        <f aca="false">FLOOR(B1144,10)&amp;"s"</f>
        <v>1960s</v>
      </c>
      <c r="D1144" s="4" t="s">
        <v>1485</v>
      </c>
      <c r="E1144" s="25" t="str">
        <f aca="false">IF(G1144=1,"✓","")</f>
        <v/>
      </c>
      <c r="F1144" s="4" t="n">
        <v>1</v>
      </c>
      <c r="G1144" s="4" t="n">
        <f aca="false">IF(COUNTIF('Letterboxd Watched'!$E$2:$E$3000,M1144)&gt;0,1,0)</f>
        <v>0</v>
      </c>
      <c r="H1144" s="4" t="n">
        <v>1</v>
      </c>
      <c r="I1144" s="4" t="s">
        <v>1327</v>
      </c>
      <c r="J1144" s="4" t="s">
        <v>51</v>
      </c>
      <c r="K1144" s="4" t="s">
        <v>3996</v>
      </c>
      <c r="L1144" s="48" t="str">
        <f aca="false">HYPERLINK("https://letterboxd.com/search/films/Innocence+Unprotected+1968/","open")</f>
        <v>open</v>
      </c>
      <c r="M1144" s="4" t="str">
        <f aca="false">LOWER(A1144)&amp;"|"&amp;B1144</f>
        <v>innocence unprotected|1968</v>
      </c>
      <c r="N1144" s="4" t="n">
        <v>0</v>
      </c>
      <c r="O1144" s="4" t="n">
        <v>0</v>
      </c>
      <c r="P1144" s="4" t="n">
        <v>1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</row>
    <row r="1145" customFormat="false" ht="15" hidden="false" customHeight="false" outlineLevel="0" collapsed="false">
      <c r="A1145" s="4" t="s">
        <v>764</v>
      </c>
      <c r="B1145" s="4" t="n">
        <v>1961</v>
      </c>
      <c r="C1145" s="4" t="str">
        <f aca="false">FLOOR(B1145,10)&amp;"s"</f>
        <v>1960s</v>
      </c>
      <c r="D1145" s="4" t="s">
        <v>765</v>
      </c>
      <c r="E1145" s="25" t="str">
        <f aca="false">IF(G1145=1,"✓","")</f>
        <v/>
      </c>
      <c r="F1145" s="4" t="n">
        <v>3</v>
      </c>
      <c r="G1145" s="4" t="n">
        <f aca="false">IF(COUNTIF('Letterboxd Watched'!$E$2:$E$3000,M1145)&gt;0,1,0)</f>
        <v>0</v>
      </c>
      <c r="H1145" s="4" t="n">
        <v>5</v>
      </c>
      <c r="I1145" s="4" t="s">
        <v>213</v>
      </c>
      <c r="J1145" s="4" t="s">
        <v>52</v>
      </c>
      <c r="K1145" s="4" t="s">
        <v>5512</v>
      </c>
      <c r="L1145" s="48" t="str">
        <f aca="false">HYPERLINK("https://boxd.it/1KeY","open")</f>
        <v>open</v>
      </c>
      <c r="M1145" s="4" t="str">
        <f aca="false">LOWER(A1145)&amp;"|"&amp;B1145</f>
        <v>the innocents|1961</v>
      </c>
      <c r="N1145" s="4" t="n">
        <v>0</v>
      </c>
      <c r="O1145" s="4" t="n">
        <v>0</v>
      </c>
      <c r="P1145" s="4" t="n">
        <v>0</v>
      </c>
      <c r="Q1145" s="4" t="n">
        <v>1</v>
      </c>
      <c r="R1145" s="4" t="n">
        <v>0</v>
      </c>
      <c r="S1145" s="4" t="n">
        <v>0</v>
      </c>
      <c r="T1145" s="4" t="n">
        <v>1</v>
      </c>
      <c r="U1145" s="4" t="n">
        <v>0</v>
      </c>
      <c r="V1145" s="4" t="n">
        <v>0</v>
      </c>
      <c r="W1145" s="4" t="n">
        <v>0</v>
      </c>
    </row>
    <row r="1146" customFormat="false" ht="15" hidden="false" customHeight="false" outlineLevel="0" collapsed="false">
      <c r="A1146" s="4" t="s">
        <v>2019</v>
      </c>
      <c r="B1146" s="4" t="n">
        <v>1963</v>
      </c>
      <c r="C1146" s="4" t="str">
        <f aca="false">FLOOR(B1146,10)&amp;"s"</f>
        <v>1960s</v>
      </c>
      <c r="D1146" s="4" t="s">
        <v>1986</v>
      </c>
      <c r="E1146" s="25" t="str">
        <f aca="false">IF(G1146=1,"✓","")</f>
        <v/>
      </c>
      <c r="F1146" s="4" t="n">
        <v>1</v>
      </c>
      <c r="G1146" s="4" t="n">
        <f aca="false">IF(COUNTIF('Letterboxd Watched'!$E$2:$E$3000,M1146)&gt;0,1,0)</f>
        <v>0</v>
      </c>
      <c r="H1146" s="4" t="n">
        <v>2</v>
      </c>
      <c r="I1146" s="4" t="s">
        <v>213</v>
      </c>
      <c r="J1146" s="4" t="s">
        <v>51</v>
      </c>
      <c r="K1146" s="4" t="s">
        <v>3932</v>
      </c>
      <c r="L1146" s="48" t="str">
        <f aca="false">HYPERLINK("https://letterboxd.com/search/films/The+Insect+Woman+1963/","open")</f>
        <v>open</v>
      </c>
      <c r="M1146" s="4" t="str">
        <f aca="false">LOWER(A1146)&amp;"|"&amp;B1146</f>
        <v>the insect woman|1963</v>
      </c>
      <c r="N1146" s="4" t="n">
        <v>0</v>
      </c>
      <c r="O1146" s="4" t="n">
        <v>0</v>
      </c>
      <c r="P1146" s="4" t="n">
        <v>1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</row>
    <row r="1147" customFormat="false" ht="15" hidden="false" customHeight="false" outlineLevel="0" collapsed="false">
      <c r="A1147" s="4" t="s">
        <v>1030</v>
      </c>
      <c r="B1147" s="4" t="n">
        <v>1976</v>
      </c>
      <c r="C1147" s="4" t="str">
        <f aca="false">FLOOR(B1147,10)&amp;"s"</f>
        <v>1970s</v>
      </c>
      <c r="D1147" s="4" t="s">
        <v>803</v>
      </c>
      <c r="E1147" s="25" t="str">
        <f aca="false">IF(G1147=1,"✓","")</f>
        <v/>
      </c>
      <c r="F1147" s="4" t="n">
        <v>2</v>
      </c>
      <c r="G1147" s="4" t="n">
        <f aca="false">IF(COUNTIF('Letterboxd Watched'!$E$2:$E$3000,M1147)&gt;0,1,0)</f>
        <v>0</v>
      </c>
      <c r="H1147" s="4" t="n">
        <v>4</v>
      </c>
      <c r="I1147" s="4" t="s">
        <v>213</v>
      </c>
      <c r="J1147" s="4" t="s">
        <v>51</v>
      </c>
      <c r="K1147" s="4" t="s">
        <v>5160</v>
      </c>
      <c r="L1147" s="48" t="str">
        <f aca="false">HYPERLINK("https://letterboxd.com/search/films/Insiang+1976/","open")</f>
        <v>open</v>
      </c>
      <c r="M1147" s="4" t="str">
        <f aca="false">LOWER(A1147)&amp;"|"&amp;B1147</f>
        <v>insiang|1976</v>
      </c>
      <c r="N1147" s="4" t="n">
        <v>0</v>
      </c>
      <c r="O1147" s="4" t="n">
        <v>0</v>
      </c>
      <c r="P1147" s="4" t="n">
        <v>1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1</v>
      </c>
      <c r="W1147" s="4" t="n">
        <v>0</v>
      </c>
    </row>
    <row r="1148" customFormat="false" ht="15" hidden="false" customHeight="false" outlineLevel="0" collapsed="false">
      <c r="A1148" s="4" t="s">
        <v>2869</v>
      </c>
      <c r="B1148" s="4" t="n">
        <v>2007</v>
      </c>
      <c r="C1148" s="4" t="str">
        <f aca="false">FLOOR(B1148,10)&amp;"s"</f>
        <v>2000s</v>
      </c>
      <c r="D1148" s="4" t="s">
        <v>2870</v>
      </c>
      <c r="E1148" s="25" t="str">
        <f aca="false">IF(G1148=1,"✓","")</f>
        <v/>
      </c>
      <c r="F1148" s="4" t="n">
        <v>1</v>
      </c>
      <c r="G1148" s="4" t="n">
        <f aca="false">IF(COUNTIF('Letterboxd Watched'!$E$2:$E$3000,M1148)&gt;0,1,0)</f>
        <v>0</v>
      </c>
      <c r="H1148" s="4" t="n">
        <v>2</v>
      </c>
      <c r="I1148" s="4" t="s">
        <v>213</v>
      </c>
      <c r="J1148" s="4" t="s">
        <v>51</v>
      </c>
      <c r="K1148" s="4" t="s">
        <v>3968</v>
      </c>
      <c r="L1148" s="48" t="str">
        <f aca="false">HYPERLINK("https://letterboxd.com/search/films/Inside+2007/","open")</f>
        <v>open</v>
      </c>
      <c r="M1148" s="4" t="str">
        <f aca="false">LOWER(A1148)&amp;"|"&amp;B1148</f>
        <v>inside|2007</v>
      </c>
      <c r="N1148" s="4" t="n">
        <v>0</v>
      </c>
      <c r="O1148" s="4" t="n">
        <v>0</v>
      </c>
      <c r="P1148" s="4" t="n">
        <v>1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 customFormat="false" ht="15" hidden="false" customHeight="false" outlineLevel="0" collapsed="false">
      <c r="A1149" s="4" t="s">
        <v>2959</v>
      </c>
      <c r="B1149" s="4" t="n">
        <v>2010</v>
      </c>
      <c r="C1149" s="4" t="str">
        <f aca="false">FLOOR(B1149,10)&amp;"s"</f>
        <v>2010s</v>
      </c>
      <c r="D1149" s="4" t="s">
        <v>2960</v>
      </c>
      <c r="E1149" s="25" t="str">
        <f aca="false">IF(G1149=1,"✓","")</f>
        <v/>
      </c>
      <c r="F1149" s="4" t="n">
        <v>1</v>
      </c>
      <c r="G1149" s="4" t="n">
        <f aca="false">IF(COUNTIF('Letterboxd Watched'!$E$2:$E$3000,M1149)&gt;0,1,0)</f>
        <v>0</v>
      </c>
      <c r="H1149" s="4" t="n">
        <v>2</v>
      </c>
      <c r="I1149" s="4" t="s">
        <v>213</v>
      </c>
      <c r="J1149" s="4" t="s">
        <v>55</v>
      </c>
      <c r="K1149" s="4" t="s">
        <v>4314</v>
      </c>
      <c r="L1149" s="48" t="str">
        <f aca="false">HYPERLINK("https://boxd.it/Rsw","open")</f>
        <v>open</v>
      </c>
      <c r="M1149" s="4" t="str">
        <f aca="false">LOWER(A1149)&amp;"|"&amp;B1149</f>
        <v>inside job|2010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1</v>
      </c>
      <c r="U1149" s="4" t="n">
        <v>0</v>
      </c>
      <c r="V1149" s="4" t="n">
        <v>0</v>
      </c>
      <c r="W1149" s="4" t="n">
        <v>0</v>
      </c>
    </row>
    <row r="1150" customFormat="false" ht="15" hidden="false" customHeight="false" outlineLevel="0" collapsed="false">
      <c r="A1150" s="4" t="s">
        <v>522</v>
      </c>
      <c r="B1150" s="4" t="n">
        <v>2013</v>
      </c>
      <c r="C1150" s="4" t="str">
        <f aca="false">FLOOR(B1150,10)&amp;"s"</f>
        <v>2010s</v>
      </c>
      <c r="D1150" s="4" t="s">
        <v>323</v>
      </c>
      <c r="E1150" s="25" t="str">
        <f aca="false">IF(G1150=1,"✓","")</f>
        <v>✓</v>
      </c>
      <c r="F1150" s="4" t="n">
        <v>3</v>
      </c>
      <c r="G1150" s="4" t="n">
        <f aca="false">IF(COUNTIF('Letterboxd Watched'!$E$2:$E$3000,M1150)&gt;0,1,0)</f>
        <v>1</v>
      </c>
      <c r="H1150" s="4" t="n">
        <v>7</v>
      </c>
      <c r="I1150" s="4" t="s">
        <v>144</v>
      </c>
      <c r="J1150" s="4" t="s">
        <v>50</v>
      </c>
      <c r="K1150" s="4" t="s">
        <v>5513</v>
      </c>
      <c r="L1150" s="48" t="str">
        <f aca="false">HYPERLINK("https://boxd.it/34Ro","open")</f>
        <v>open</v>
      </c>
      <c r="M1150" s="4" t="str">
        <f aca="false">LOWER(A1150)&amp;"|"&amp;B1150</f>
        <v>inside llewyn davis|2013</v>
      </c>
      <c r="N1150" s="4" t="n">
        <v>0</v>
      </c>
      <c r="O1150" s="4" t="n">
        <v>1</v>
      </c>
      <c r="P1150" s="4" t="n">
        <v>0</v>
      </c>
      <c r="Q1150" s="4" t="n">
        <v>0</v>
      </c>
      <c r="R1150" s="4" t="n">
        <v>1</v>
      </c>
      <c r="S1150" s="4" t="n">
        <v>0</v>
      </c>
      <c r="T1150" s="4" t="n">
        <v>1</v>
      </c>
      <c r="U1150" s="4" t="n">
        <v>0</v>
      </c>
      <c r="V1150" s="4" t="n">
        <v>0</v>
      </c>
      <c r="W1150" s="4" t="n">
        <v>0</v>
      </c>
    </row>
    <row r="1151" customFormat="false" ht="15" hidden="false" customHeight="false" outlineLevel="0" collapsed="false">
      <c r="A1151" s="4" t="s">
        <v>1173</v>
      </c>
      <c r="B1151" s="4" t="n">
        <v>2006</v>
      </c>
      <c r="C1151" s="4" t="str">
        <f aca="false">FLOOR(B1151,10)&amp;"s"</f>
        <v>2000s</v>
      </c>
      <c r="D1151" s="4" t="s">
        <v>148</v>
      </c>
      <c r="E1151" s="25" t="str">
        <f aca="false">IF(G1151=1,"✓","")</f>
        <v/>
      </c>
      <c r="F1151" s="4" t="n">
        <v>2</v>
      </c>
      <c r="G1151" s="4" t="n">
        <f aca="false">IF(COUNTIF('Letterboxd Watched'!$E$2:$E$3000,M1151)&gt;0,1,0)</f>
        <v>0</v>
      </c>
      <c r="H1151" s="4" t="n">
        <v>4</v>
      </c>
      <c r="I1151" s="4" t="s">
        <v>213</v>
      </c>
      <c r="J1151" s="4" t="s">
        <v>52</v>
      </c>
      <c r="K1151" s="4" t="s">
        <v>5514</v>
      </c>
      <c r="L1151" s="48" t="str">
        <f aca="false">HYPERLINK("https://boxd.it/2auS","open")</f>
        <v>open</v>
      </c>
      <c r="M1151" s="4" t="str">
        <f aca="false">LOWER(A1151)&amp;"|"&amp;B1151</f>
        <v>inside man|2006</v>
      </c>
      <c r="N1151" s="4" t="n">
        <v>0</v>
      </c>
      <c r="O1151" s="4" t="n">
        <v>0</v>
      </c>
      <c r="P1151" s="4" t="n">
        <v>0</v>
      </c>
      <c r="Q1151" s="4" t="n">
        <v>1</v>
      </c>
      <c r="R1151" s="4" t="n">
        <v>1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 customFormat="false" ht="15" hidden="false" customHeight="false" outlineLevel="0" collapsed="false">
      <c r="A1152" s="4" t="s">
        <v>3077</v>
      </c>
      <c r="B1152" s="4" t="n">
        <v>2015</v>
      </c>
      <c r="C1152" s="4" t="str">
        <f aca="false">FLOOR(B1152,10)&amp;"s"</f>
        <v>2010s</v>
      </c>
      <c r="D1152" s="4" t="s">
        <v>2751</v>
      </c>
      <c r="E1152" s="25" t="str">
        <f aca="false">IF(G1152=1,"✓","")</f>
        <v/>
      </c>
      <c r="F1152" s="4" t="n">
        <v>1</v>
      </c>
      <c r="G1152" s="4" t="n">
        <f aca="false">IF(COUNTIF('Letterboxd Watched'!$E$2:$E$3000,M1152)&gt;0,1,0)</f>
        <v>0</v>
      </c>
      <c r="H1152" s="4" t="n">
        <v>2</v>
      </c>
      <c r="I1152" s="4" t="s">
        <v>213</v>
      </c>
      <c r="J1152" s="4" t="s">
        <v>52</v>
      </c>
      <c r="K1152" s="4" t="s">
        <v>4168</v>
      </c>
      <c r="L1152" s="48" t="str">
        <f aca="false">HYPERLINK("https://letterboxd.com/search/films/Inside+Out+2015/","open")</f>
        <v>open</v>
      </c>
      <c r="M1152" s="4" t="str">
        <f aca="false">LOWER(A1152)&amp;"|"&amp;B1152</f>
        <v>inside out|2015</v>
      </c>
      <c r="N1152" s="4" t="n">
        <v>0</v>
      </c>
      <c r="O1152" s="4" t="n">
        <v>0</v>
      </c>
      <c r="P1152" s="4" t="n">
        <v>0</v>
      </c>
      <c r="Q1152" s="4" t="n">
        <v>1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 customFormat="false" ht="15" hidden="false" customHeight="false" outlineLevel="0" collapsed="false">
      <c r="A1153" s="4" t="s">
        <v>1130</v>
      </c>
      <c r="B1153" s="4" t="n">
        <v>1999</v>
      </c>
      <c r="C1153" s="4" t="str">
        <f aca="false">FLOOR(B1153,10)&amp;"s"</f>
        <v>1990s</v>
      </c>
      <c r="D1153" s="4" t="s">
        <v>296</v>
      </c>
      <c r="E1153" s="25" t="str">
        <f aca="false">IF(G1153=1,"✓","")</f>
        <v/>
      </c>
      <c r="F1153" s="4" t="n">
        <v>2</v>
      </c>
      <c r="G1153" s="4" t="n">
        <f aca="false">IF(COUNTIF('Letterboxd Watched'!$E$2:$E$3000,M1153)&gt;0,1,0)</f>
        <v>0</v>
      </c>
      <c r="H1153" s="4" t="n">
        <v>4</v>
      </c>
      <c r="I1153" s="4" t="s">
        <v>213</v>
      </c>
      <c r="J1153" s="4" t="s">
        <v>53</v>
      </c>
      <c r="K1153" s="4" t="s">
        <v>5515</v>
      </c>
      <c r="L1153" s="48" t="str">
        <f aca="false">HYPERLINK("https://boxd.it/1ZoE","open")</f>
        <v>open</v>
      </c>
      <c r="M1153" s="4" t="str">
        <f aca="false">LOWER(A1153)&amp;"|"&amp;B1153</f>
        <v>the insider|1999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1</v>
      </c>
      <c r="S1153" s="4" t="n">
        <v>0</v>
      </c>
      <c r="T1153" s="4" t="n">
        <v>1</v>
      </c>
      <c r="U1153" s="4" t="n">
        <v>0</v>
      </c>
      <c r="V1153" s="4" t="n">
        <v>0</v>
      </c>
      <c r="W1153" s="4" t="n">
        <v>0</v>
      </c>
    </row>
    <row r="1154" customFormat="false" ht="15" hidden="false" customHeight="false" outlineLevel="0" collapsed="false">
      <c r="A1154" s="4" t="s">
        <v>3700</v>
      </c>
      <c r="B1154" s="4" t="n">
        <v>1997</v>
      </c>
      <c r="C1154" s="4" t="str">
        <f aca="false">FLOOR(B1154,10)&amp;"s"</f>
        <v>1990s</v>
      </c>
      <c r="D1154" s="4" t="s">
        <v>3701</v>
      </c>
      <c r="E1154" s="25" t="str">
        <f aca="false">IF(G1154=1,"✓","")</f>
        <v/>
      </c>
      <c r="F1154" s="4" t="n">
        <v>1</v>
      </c>
      <c r="G1154" s="4" t="n">
        <f aca="false">IF(COUNTIF('Letterboxd Watched'!$E$2:$E$3000,M1154)&gt;0,1,0)</f>
        <v>0</v>
      </c>
      <c r="H1154" s="4" t="n">
        <v>1</v>
      </c>
      <c r="I1154" s="4" t="s">
        <v>1327</v>
      </c>
      <c r="J1154" s="4" t="s">
        <v>56</v>
      </c>
      <c r="K1154" s="4" t="s">
        <v>4422</v>
      </c>
      <c r="L1154" s="48" t="str">
        <f aca="false">HYPERLINK("https://letterboxd.com/search/films/Insomnia+1997/","open")</f>
        <v>open</v>
      </c>
      <c r="M1154" s="4" t="str">
        <f aca="false">LOWER(A1154)&amp;"|"&amp;B1154</f>
        <v>insomnia|1997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1</v>
      </c>
      <c r="V1154" s="4" t="n">
        <v>0</v>
      </c>
      <c r="W1154" s="4" t="n">
        <v>0</v>
      </c>
    </row>
    <row r="1155" customFormat="false" ht="15" hidden="false" customHeight="false" outlineLevel="0" collapsed="false">
      <c r="A1155" s="4" t="s">
        <v>3700</v>
      </c>
      <c r="B1155" s="4" t="n">
        <v>2002</v>
      </c>
      <c r="C1155" s="4" t="str">
        <f aca="false">FLOOR(B1155,10)&amp;"s"</f>
        <v>2000s</v>
      </c>
      <c r="D1155" s="4" t="s">
        <v>342</v>
      </c>
      <c r="E1155" s="25" t="str">
        <f aca="false">IF(G1155=1,"✓","")</f>
        <v/>
      </c>
      <c r="F1155" s="4" t="n">
        <v>1</v>
      </c>
      <c r="G1155" s="4" t="n">
        <f aca="false">IF(COUNTIF('Letterboxd Watched'!$E$2:$E$3000,M1155)&gt;0,1,0)</f>
        <v>0</v>
      </c>
      <c r="H1155" s="4" t="n">
        <v>1</v>
      </c>
      <c r="I1155" s="4" t="s">
        <v>1327</v>
      </c>
      <c r="J1155" s="4" t="s">
        <v>53</v>
      </c>
      <c r="K1155" s="4" t="s">
        <v>4262</v>
      </c>
      <c r="L1155" s="48" t="str">
        <f aca="false">HYPERLINK("https://boxd.it/2aB0","open")</f>
        <v>open</v>
      </c>
      <c r="M1155" s="4" t="str">
        <f aca="false">LOWER(A1155)&amp;"|"&amp;B1155</f>
        <v>insomnia|2002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1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 customFormat="false" ht="15" hidden="false" customHeight="false" outlineLevel="0" collapsed="false">
      <c r="A1156" s="4" t="s">
        <v>2041</v>
      </c>
      <c r="B1156" s="4" t="n">
        <v>1964</v>
      </c>
      <c r="C1156" s="4" t="str">
        <f aca="false">FLOOR(B1156,10)&amp;"s"</f>
        <v>1960s</v>
      </c>
      <c r="D1156" s="4" t="s">
        <v>1986</v>
      </c>
      <c r="E1156" s="25" t="str">
        <f aca="false">IF(G1156=1,"✓","")</f>
        <v/>
      </c>
      <c r="F1156" s="4" t="n">
        <v>1</v>
      </c>
      <c r="G1156" s="4" t="n">
        <f aca="false">IF(COUNTIF('Letterboxd Watched'!$E$2:$E$3000,M1156)&gt;0,1,0)</f>
        <v>0</v>
      </c>
      <c r="H1156" s="4" t="n">
        <v>2</v>
      </c>
      <c r="I1156" s="4" t="s">
        <v>213</v>
      </c>
      <c r="J1156" s="4" t="s">
        <v>51</v>
      </c>
      <c r="K1156" s="4" t="s">
        <v>3932</v>
      </c>
      <c r="L1156" s="48" t="str">
        <f aca="false">HYPERLINK("https://letterboxd.com/search/films/Intentions+of+Murder+1964/","open")</f>
        <v>open</v>
      </c>
      <c r="M1156" s="4" t="str">
        <f aca="false">LOWER(A1156)&amp;"|"&amp;B1156</f>
        <v>intentions of murder|1964</v>
      </c>
      <c r="N1156" s="4" t="n">
        <v>0</v>
      </c>
      <c r="O1156" s="4" t="n">
        <v>0</v>
      </c>
      <c r="P1156" s="4" t="n">
        <v>1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</row>
    <row r="1157" customFormat="false" ht="15" hidden="false" customHeight="false" outlineLevel="0" collapsed="false">
      <c r="A1157" s="4" t="s">
        <v>1216</v>
      </c>
      <c r="B1157" s="4" t="n">
        <v>2014</v>
      </c>
      <c r="C1157" s="4" t="str">
        <f aca="false">FLOOR(B1157,10)&amp;"s"</f>
        <v>2010s</v>
      </c>
      <c r="D1157" s="4" t="s">
        <v>342</v>
      </c>
      <c r="E1157" s="25" t="str">
        <f aca="false">IF(G1157=1,"✓","")</f>
        <v/>
      </c>
      <c r="F1157" s="4" t="n">
        <v>2</v>
      </c>
      <c r="G1157" s="4" t="n">
        <f aca="false">IF(COUNTIF('Letterboxd Watched'!$E$2:$E$3000,M1157)&gt;0,1,0)</f>
        <v>0</v>
      </c>
      <c r="H1157" s="4" t="n">
        <v>4</v>
      </c>
      <c r="I1157" s="4" t="s">
        <v>213</v>
      </c>
      <c r="J1157" s="4" t="s">
        <v>52</v>
      </c>
      <c r="K1157" s="4" t="s">
        <v>5516</v>
      </c>
      <c r="L1157" s="48" t="str">
        <f aca="false">HYPERLINK("https://boxd.it/4VZ8","open")</f>
        <v>open</v>
      </c>
      <c r="M1157" s="4" t="str">
        <f aca="false">LOWER(A1157)&amp;"|"&amp;B1157</f>
        <v>interstellar|2014</v>
      </c>
      <c r="N1157" s="4" t="n">
        <v>0</v>
      </c>
      <c r="O1157" s="4" t="n">
        <v>0</v>
      </c>
      <c r="P1157" s="4" t="n">
        <v>0</v>
      </c>
      <c r="Q1157" s="4" t="n">
        <v>1</v>
      </c>
      <c r="R1157" s="4" t="n">
        <v>1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</row>
    <row r="1158" customFormat="false" ht="15" hidden="false" customHeight="false" outlineLevel="0" collapsed="false">
      <c r="A1158" s="4" t="s">
        <v>2890</v>
      </c>
      <c r="B1158" s="4" t="n">
        <v>2007</v>
      </c>
      <c r="C1158" s="4" t="str">
        <f aca="false">FLOOR(B1158,10)&amp;"s"</f>
        <v>2000s</v>
      </c>
      <c r="D1158" s="4" t="s">
        <v>2891</v>
      </c>
      <c r="E1158" s="25" t="str">
        <f aca="false">IF(G1158=1,"✓","")</f>
        <v/>
      </c>
      <c r="F1158" s="4" t="n">
        <v>1</v>
      </c>
      <c r="G1158" s="4" t="n">
        <f aca="false">IF(COUNTIF('Letterboxd Watched'!$E$2:$E$3000,M1158)&gt;0,1,0)</f>
        <v>0</v>
      </c>
      <c r="H1158" s="4" t="n">
        <v>2</v>
      </c>
      <c r="I1158" s="4" t="s">
        <v>213</v>
      </c>
      <c r="J1158" s="4" t="s">
        <v>55</v>
      </c>
      <c r="K1158" s="4" t="s">
        <v>4334</v>
      </c>
      <c r="L1158" s="48" t="str">
        <f aca="false">HYPERLINK("https://boxd.it/22m2","open")</f>
        <v>open</v>
      </c>
      <c r="M1158" s="4" t="str">
        <f aca="false">LOWER(A1158)&amp;"|"&amp;B1158</f>
        <v>into the wild|2007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1</v>
      </c>
      <c r="U1158" s="4" t="n">
        <v>0</v>
      </c>
      <c r="V1158" s="4" t="n">
        <v>0</v>
      </c>
      <c r="W1158" s="4" t="n">
        <v>0</v>
      </c>
    </row>
    <row r="1159" customFormat="false" ht="15" hidden="false" customHeight="false" outlineLevel="0" collapsed="false">
      <c r="A1159" s="4" t="s">
        <v>562</v>
      </c>
      <c r="B1159" s="4" t="n">
        <v>1916</v>
      </c>
      <c r="C1159" s="4" t="str">
        <f aca="false">FLOOR(B1159,10)&amp;"s"</f>
        <v>1910s</v>
      </c>
      <c r="D1159" s="4" t="s">
        <v>531</v>
      </c>
      <c r="E1159" s="25" t="str">
        <f aca="false">IF(G1159=1,"✓","")</f>
        <v/>
      </c>
      <c r="F1159" s="4" t="n">
        <v>3</v>
      </c>
      <c r="G1159" s="4" t="n">
        <f aca="false">IF(COUNTIF('Letterboxd Watched'!$E$2:$E$3000,M1159)&gt;0,1,0)</f>
        <v>0</v>
      </c>
      <c r="H1159" s="4" t="n">
        <v>6</v>
      </c>
      <c r="I1159" s="4" t="s">
        <v>213</v>
      </c>
      <c r="J1159" s="4" t="s">
        <v>49</v>
      </c>
      <c r="K1159" s="4" t="s">
        <v>5517</v>
      </c>
      <c r="L1159" s="48" t="str">
        <f aca="false">HYPERLINK("https://letterboxd.com/search/films/Intolerance+1916/","open")</f>
        <v>open</v>
      </c>
      <c r="M1159" s="4" t="str">
        <f aca="false">LOWER(A1159)&amp;"|"&amp;B1159</f>
        <v>intolerance|1916</v>
      </c>
      <c r="N1159" s="4" t="n">
        <v>1</v>
      </c>
      <c r="O1159" s="4" t="n">
        <v>1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1</v>
      </c>
      <c r="W1159" s="4" t="n">
        <v>0</v>
      </c>
    </row>
    <row r="1160" customFormat="false" ht="15" hidden="false" customHeight="false" outlineLevel="0" collapsed="false">
      <c r="A1160" s="4" t="s">
        <v>3744</v>
      </c>
      <c r="B1160" s="4" t="n">
        <v>2004</v>
      </c>
      <c r="C1160" s="4" t="str">
        <f aca="false">FLOOR(B1160,10)&amp;"s"</f>
        <v>2000s</v>
      </c>
      <c r="D1160" s="4" t="s">
        <v>262</v>
      </c>
      <c r="E1160" s="25" t="str">
        <f aca="false">IF(G1160=1,"✓","")</f>
        <v/>
      </c>
      <c r="F1160" s="4" t="n">
        <v>1</v>
      </c>
      <c r="G1160" s="4" t="n">
        <f aca="false">IF(COUNTIF('Letterboxd Watched'!$E$2:$E$3000,M1160)&gt;0,1,0)</f>
        <v>0</v>
      </c>
      <c r="H1160" s="4" t="n">
        <v>1</v>
      </c>
      <c r="I1160" s="4" t="s">
        <v>1327</v>
      </c>
      <c r="J1160" s="4" t="s">
        <v>53</v>
      </c>
      <c r="K1160" s="4" t="s">
        <v>262</v>
      </c>
      <c r="L1160" s="48" t="str">
        <f aca="false">HYPERLINK("https://letterboxd.com/search/films/LIntrus+2004/","open")</f>
        <v>open</v>
      </c>
      <c r="M1160" s="4" t="str">
        <f aca="false">LOWER(A1160)&amp;"|"&amp;B1160</f>
        <v>l'intrus|2004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1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 customFormat="false" ht="15" hidden="false" customHeight="false" outlineLevel="0" collapsed="false">
      <c r="A1161" s="4" t="s">
        <v>408</v>
      </c>
      <c r="B1161" s="4" t="n">
        <v>1956</v>
      </c>
      <c r="C1161" s="4" t="str">
        <f aca="false">FLOOR(B1161,10)&amp;"s"</f>
        <v>1950s</v>
      </c>
      <c r="D1161" s="4" t="s">
        <v>409</v>
      </c>
      <c r="E1161" s="25" t="str">
        <f aca="false">IF(G1161=1,"✓","")</f>
        <v/>
      </c>
      <c r="F1161" s="4" t="n">
        <v>3</v>
      </c>
      <c r="G1161" s="4" t="n">
        <f aca="false">IF(COUNTIF('Letterboxd Watched'!$E$2:$E$3000,M1161)&gt;0,1,0)</f>
        <v>0</v>
      </c>
      <c r="H1161" s="4" t="n">
        <v>8</v>
      </c>
      <c r="I1161" s="4" t="s">
        <v>144</v>
      </c>
      <c r="J1161" s="4" t="s">
        <v>50</v>
      </c>
      <c r="K1161" s="4" t="s">
        <v>5518</v>
      </c>
      <c r="L1161" s="48" t="str">
        <f aca="false">HYPERLINK("https://boxd.it/1TAa","open")</f>
        <v>open</v>
      </c>
      <c r="M1161" s="4" t="str">
        <f aca="false">LOWER(A1161)&amp;"|"&amp;B1161</f>
        <v>invasion of the body snatchers|1956</v>
      </c>
      <c r="N1161" s="4" t="n">
        <v>0</v>
      </c>
      <c r="O1161" s="4" t="n">
        <v>1</v>
      </c>
      <c r="P1161" s="4" t="n">
        <v>0</v>
      </c>
      <c r="Q1161" s="4" t="n">
        <v>1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1</v>
      </c>
    </row>
    <row r="1162" customFormat="false" ht="15" hidden="false" customHeight="false" outlineLevel="0" collapsed="false">
      <c r="A1162" s="4" t="s">
        <v>408</v>
      </c>
      <c r="B1162" s="4" t="n">
        <v>1978</v>
      </c>
      <c r="C1162" s="4" t="str">
        <f aca="false">FLOOR(B1162,10)&amp;"s"</f>
        <v>1970s</v>
      </c>
      <c r="D1162" s="4" t="s">
        <v>2317</v>
      </c>
      <c r="E1162" s="25" t="str">
        <f aca="false">IF(G1162=1,"✓","")</f>
        <v>✓</v>
      </c>
      <c r="F1162" s="4" t="n">
        <v>1</v>
      </c>
      <c r="G1162" s="4" t="n">
        <f aca="false">IF(COUNTIF('Letterboxd Watched'!$E$2:$E$3000,M1162)&gt;0,1,0)</f>
        <v>1</v>
      </c>
      <c r="H1162" s="4" t="n">
        <v>2</v>
      </c>
      <c r="I1162" s="4" t="s">
        <v>213</v>
      </c>
      <c r="J1162" s="4" t="s">
        <v>55</v>
      </c>
      <c r="K1162" s="4" t="s">
        <v>4360</v>
      </c>
      <c r="L1162" s="48" t="str">
        <f aca="false">HYPERLINK("https://boxd.it/1SWk","open")</f>
        <v>open</v>
      </c>
      <c r="M1162" s="4" t="str">
        <f aca="false">LOWER(A1162)&amp;"|"&amp;B1162</f>
        <v>invasion of the body snatchers|1978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1</v>
      </c>
      <c r="U1162" s="4" t="n">
        <v>0</v>
      </c>
      <c r="V1162" s="4" t="n">
        <v>0</v>
      </c>
      <c r="W1162" s="4" t="n">
        <v>0</v>
      </c>
    </row>
    <row r="1163" customFormat="false" ht="15" hidden="false" customHeight="false" outlineLevel="0" collapsed="false">
      <c r="A1163" s="4" t="s">
        <v>1745</v>
      </c>
      <c r="B1163" s="4" t="n">
        <v>1933</v>
      </c>
      <c r="C1163" s="4" t="str">
        <f aca="false">FLOOR(B1163,10)&amp;"s"</f>
        <v>1930s</v>
      </c>
      <c r="D1163" s="4" t="s">
        <v>1432</v>
      </c>
      <c r="E1163" s="25" t="str">
        <f aca="false">IF(G1163=1,"✓","")</f>
        <v/>
      </c>
      <c r="F1163" s="4" t="n">
        <v>1</v>
      </c>
      <c r="G1163" s="4" t="n">
        <f aca="false">IF(COUNTIF('Letterboxd Watched'!$E$2:$E$3000,M1163)&gt;0,1,0)</f>
        <v>0</v>
      </c>
      <c r="H1163" s="4" t="n">
        <v>2</v>
      </c>
      <c r="I1163" s="4" t="s">
        <v>213</v>
      </c>
      <c r="J1163" s="4" t="s">
        <v>52</v>
      </c>
      <c r="K1163" s="4" t="s">
        <v>4058</v>
      </c>
      <c r="L1163" s="48" t="str">
        <f aca="false">HYPERLINK("https://boxd.it/1VoK","open")</f>
        <v>open</v>
      </c>
      <c r="M1163" s="4" t="str">
        <f aca="false">LOWER(A1163)&amp;"|"&amp;B1163</f>
        <v>the invisible man|1933</v>
      </c>
      <c r="N1163" s="4" t="n">
        <v>0</v>
      </c>
      <c r="O1163" s="4" t="n">
        <v>0</v>
      </c>
      <c r="P1163" s="4" t="n">
        <v>0</v>
      </c>
      <c r="Q1163" s="4" t="n">
        <v>1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</row>
    <row r="1164" customFormat="false" ht="15" hidden="false" customHeight="false" outlineLevel="0" collapsed="false">
      <c r="A1164" s="4" t="s">
        <v>2065</v>
      </c>
      <c r="B1164" s="4" t="n">
        <v>1965</v>
      </c>
      <c r="C1164" s="4" t="str">
        <f aca="false">FLOOR(B1164,10)&amp;"s"</f>
        <v>1960s</v>
      </c>
      <c r="D1164" s="4" t="s">
        <v>2066</v>
      </c>
      <c r="E1164" s="25" t="str">
        <f aca="false">IF(G1164=1,"✓","")</f>
        <v/>
      </c>
      <c r="F1164" s="4" t="n">
        <v>1</v>
      </c>
      <c r="G1164" s="4" t="n">
        <f aca="false">IF(COUNTIF('Letterboxd Watched'!$E$2:$E$3000,M1164)&gt;0,1,0)</f>
        <v>0</v>
      </c>
      <c r="H1164" s="4" t="n">
        <v>2</v>
      </c>
      <c r="I1164" s="4" t="s">
        <v>213</v>
      </c>
      <c r="J1164" s="4" t="s">
        <v>52</v>
      </c>
      <c r="K1164" s="4" t="s">
        <v>4132</v>
      </c>
      <c r="L1164" s="48" t="str">
        <f aca="false">HYPERLINK("https://boxd.it/1MzE","open")</f>
        <v>open</v>
      </c>
      <c r="M1164" s="4" t="str">
        <f aca="false">LOWER(A1164)&amp;"|"&amp;B1164</f>
        <v>the ipcress file|1965</v>
      </c>
      <c r="N1164" s="4" t="n">
        <v>0</v>
      </c>
      <c r="O1164" s="4" t="n">
        <v>0</v>
      </c>
      <c r="P1164" s="4" t="n">
        <v>0</v>
      </c>
      <c r="Q1164" s="4" t="n">
        <v>1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</row>
    <row r="1165" customFormat="false" ht="15" hidden="false" customHeight="false" outlineLevel="0" collapsed="false">
      <c r="A1165" s="4" t="s">
        <v>1254</v>
      </c>
      <c r="B1165" s="4" t="n">
        <v>2019</v>
      </c>
      <c r="C1165" s="4" t="str">
        <f aca="false">FLOOR(B1165,10)&amp;"s"</f>
        <v>2010s</v>
      </c>
      <c r="D1165" s="4" t="s">
        <v>164</v>
      </c>
      <c r="E1165" s="25" t="str">
        <f aca="false">IF(G1165=1,"✓","")</f>
        <v/>
      </c>
      <c r="F1165" s="4" t="n">
        <v>2</v>
      </c>
      <c r="G1165" s="4" t="n">
        <f aca="false">IF(COUNTIF('Letterboxd Watched'!$E$2:$E$3000,M1165)&gt;0,1,0)</f>
        <v>0</v>
      </c>
      <c r="H1165" s="4" t="n">
        <v>4</v>
      </c>
      <c r="I1165" s="4" t="s">
        <v>213</v>
      </c>
      <c r="J1165" s="4" t="s">
        <v>52</v>
      </c>
      <c r="K1165" s="4" t="s">
        <v>5286</v>
      </c>
      <c r="L1165" s="48" t="str">
        <f aca="false">HYPERLINK("https://boxd.it/dYOq","open")</f>
        <v>open</v>
      </c>
      <c r="M1165" s="4" t="str">
        <f aca="false">LOWER(A1165)&amp;"|"&amp;B1165</f>
        <v>the irishman|2019</v>
      </c>
      <c r="N1165" s="4" t="n">
        <v>0</v>
      </c>
      <c r="O1165" s="4" t="n">
        <v>0</v>
      </c>
      <c r="P1165" s="4" t="n">
        <v>0</v>
      </c>
      <c r="Q1165" s="4" t="n">
        <v>1</v>
      </c>
      <c r="R1165" s="4" t="n">
        <v>1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 customFormat="false" ht="15" hidden="false" customHeight="false" outlineLevel="0" collapsed="false">
      <c r="A1166" s="4" t="s">
        <v>1390</v>
      </c>
      <c r="B1166" s="4" t="n">
        <v>1996</v>
      </c>
      <c r="C1166" s="4" t="str">
        <f aca="false">FLOOR(B1166,10)&amp;"s"</f>
        <v>1990s</v>
      </c>
      <c r="D1166" s="4" t="s">
        <v>1391</v>
      </c>
      <c r="E1166" s="25" t="str">
        <f aca="false">IF(G1166=1,"✓","")</f>
        <v/>
      </c>
      <c r="F1166" s="4" t="n">
        <v>2</v>
      </c>
      <c r="G1166" s="4" t="n">
        <f aca="false">IF(COUNTIF('Letterboxd Watched'!$E$2:$E$3000,M1166)&gt;0,1,0)</f>
        <v>0</v>
      </c>
      <c r="H1166" s="4" t="n">
        <v>3</v>
      </c>
      <c r="I1166" s="4" t="s">
        <v>213</v>
      </c>
      <c r="J1166" s="4" t="s">
        <v>51</v>
      </c>
      <c r="K1166" s="4" t="s">
        <v>5519</v>
      </c>
      <c r="L1166" s="48" t="str">
        <f aca="false">HYPERLINK("https://boxd.it/1vYs","open")</f>
        <v>open</v>
      </c>
      <c r="M1166" s="4" t="str">
        <f aca="false">LOWER(A1166)&amp;"|"&amp;B1166</f>
        <v>irma vep|1996</v>
      </c>
      <c r="N1166" s="4" t="n">
        <v>0</v>
      </c>
      <c r="O1166" s="4" t="n">
        <v>0</v>
      </c>
      <c r="P1166" s="4" t="n">
        <v>1</v>
      </c>
      <c r="Q1166" s="4" t="n">
        <v>0</v>
      </c>
      <c r="R1166" s="4" t="n">
        <v>0</v>
      </c>
      <c r="S1166" s="4" t="n">
        <v>0</v>
      </c>
      <c r="T1166" s="4" t="n">
        <v>1</v>
      </c>
      <c r="U1166" s="4" t="n">
        <v>0</v>
      </c>
      <c r="V1166" s="4" t="n">
        <v>0</v>
      </c>
      <c r="W1166" s="4" t="n">
        <v>0</v>
      </c>
    </row>
    <row r="1167" customFormat="false" ht="15" hidden="false" customHeight="false" outlineLevel="0" collapsed="false">
      <c r="A1167" s="4" t="s">
        <v>3708</v>
      </c>
      <c r="B1167" s="4" t="n">
        <v>1999</v>
      </c>
      <c r="C1167" s="4" t="str">
        <f aca="false">FLOOR(B1167,10)&amp;"s"</f>
        <v>1990s</v>
      </c>
      <c r="D1167" s="4" t="s">
        <v>1179</v>
      </c>
      <c r="E1167" s="25" t="str">
        <f aca="false">IF(G1167=1,"✓","")</f>
        <v>✓</v>
      </c>
      <c r="F1167" s="4" t="n">
        <v>1</v>
      </c>
      <c r="G1167" s="4" t="n">
        <f aca="false">IF(COUNTIF('Letterboxd Watched'!$E$2:$E$3000,M1167)&gt;0,1,0)</f>
        <v>1</v>
      </c>
      <c r="H1167" s="4" t="n">
        <v>1</v>
      </c>
      <c r="I1167" s="4" t="s">
        <v>1327</v>
      </c>
      <c r="J1167" s="4" t="s">
        <v>52</v>
      </c>
      <c r="K1167" s="4" t="s">
        <v>4168</v>
      </c>
      <c r="L1167" s="48" t="str">
        <f aca="false">HYPERLINK("https://boxd.it/1Wow","open")</f>
        <v>open</v>
      </c>
      <c r="M1167" s="4" t="str">
        <f aca="false">LOWER(A1167)&amp;"|"&amp;B1167</f>
        <v>the iron giant|1999</v>
      </c>
      <c r="N1167" s="4" t="n">
        <v>0</v>
      </c>
      <c r="O1167" s="4" t="n">
        <v>0</v>
      </c>
      <c r="P1167" s="4" t="n">
        <v>0</v>
      </c>
      <c r="Q1167" s="4" t="n">
        <v>1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</row>
    <row r="1168" customFormat="false" ht="15" hidden="false" customHeight="false" outlineLevel="0" collapsed="false">
      <c r="A1168" s="4" t="s">
        <v>1398</v>
      </c>
      <c r="B1168" s="4" t="n">
        <v>2002</v>
      </c>
      <c r="C1168" s="4" t="str">
        <f aca="false">FLOOR(B1168,10)&amp;"s"</f>
        <v>2000s</v>
      </c>
      <c r="D1168" s="4" t="s">
        <v>1399</v>
      </c>
      <c r="E1168" s="25" t="str">
        <f aca="false">IF(G1168=1,"✓","")</f>
        <v/>
      </c>
      <c r="F1168" s="4" t="n">
        <v>2</v>
      </c>
      <c r="G1168" s="4" t="n">
        <f aca="false">IF(COUNTIF('Letterboxd Watched'!$E$2:$E$3000,M1168)&gt;0,1,0)</f>
        <v>0</v>
      </c>
      <c r="H1168" s="4" t="n">
        <v>3</v>
      </c>
      <c r="I1168" s="4" t="s">
        <v>213</v>
      </c>
      <c r="J1168" s="4" t="s">
        <v>49</v>
      </c>
      <c r="K1168" s="4" t="s">
        <v>5520</v>
      </c>
      <c r="L1168" s="48" t="str">
        <f aca="false">HYPERLINK("https://boxd.it/29as","open")</f>
        <v>open</v>
      </c>
      <c r="M1168" s="4" t="str">
        <f aca="false">LOWER(A1168)&amp;"|"&amp;B1168</f>
        <v>irreversible|2002</v>
      </c>
      <c r="N1168" s="4" t="n">
        <v>1</v>
      </c>
      <c r="O1168" s="4" t="n">
        <v>0</v>
      </c>
      <c r="P1168" s="4" t="n">
        <v>1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 customFormat="false" ht="15" hidden="false" customHeight="false" outlineLevel="0" collapsed="false">
      <c r="A1169" s="4" t="s">
        <v>3643</v>
      </c>
      <c r="B1169" s="4" t="n">
        <v>1987</v>
      </c>
      <c r="C1169" s="4" t="str">
        <f aca="false">FLOOR(B1169,10)&amp;"s"</f>
        <v>1980s</v>
      </c>
      <c r="D1169" s="4" t="s">
        <v>707</v>
      </c>
      <c r="E1169" s="25" t="str">
        <f aca="false">IF(G1169=1,"✓","")</f>
        <v/>
      </c>
      <c r="F1169" s="4" t="n">
        <v>1</v>
      </c>
      <c r="G1169" s="4" t="n">
        <f aca="false">IF(COUNTIF('Letterboxd Watched'!$E$2:$E$3000,M1169)&gt;0,1,0)</f>
        <v>0</v>
      </c>
      <c r="H1169" s="4" t="n">
        <v>1</v>
      </c>
      <c r="I1169" s="4" t="s">
        <v>1327</v>
      </c>
      <c r="J1169" s="4" t="s">
        <v>53</v>
      </c>
      <c r="K1169" s="4" t="s">
        <v>4267</v>
      </c>
      <c r="L1169" s="48" t="str">
        <f aca="false">HYPERLINK("https://boxd.it/1Rny","open")</f>
        <v>open</v>
      </c>
      <c r="M1169" s="4" t="str">
        <f aca="false">LOWER(A1169)&amp;"|"&amp;B1169</f>
        <v>ishtar|1987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1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 customFormat="false" ht="15" hidden="false" customHeight="false" outlineLevel="0" collapsed="false">
      <c r="A1170" s="4" t="s">
        <v>3556</v>
      </c>
      <c r="B1170" s="4" t="n">
        <v>1976</v>
      </c>
      <c r="C1170" s="4" t="str">
        <f aca="false">FLOOR(B1170,10)&amp;"s"</f>
        <v>1970s</v>
      </c>
      <c r="D1170" s="4" t="s">
        <v>3557</v>
      </c>
      <c r="E1170" s="25" t="str">
        <f aca="false">IF(G1170=1,"✓","")</f>
        <v/>
      </c>
      <c r="F1170" s="4" t="n">
        <v>1</v>
      </c>
      <c r="G1170" s="4" t="n">
        <f aca="false">IF(COUNTIF('Letterboxd Watched'!$E$2:$E$3000,M1170)&gt;0,1,0)</f>
        <v>0</v>
      </c>
      <c r="H1170" s="4" t="n">
        <v>1</v>
      </c>
      <c r="I1170" s="4" t="s">
        <v>1327</v>
      </c>
      <c r="J1170" s="4" t="s">
        <v>56</v>
      </c>
      <c r="K1170" s="4" t="s">
        <v>4406</v>
      </c>
      <c r="L1170" s="48" t="str">
        <f aca="false">HYPERLINK("https://letterboxd.com/search/films/Island+of+Death+1976/","open")</f>
        <v>open</v>
      </c>
      <c r="M1170" s="4" t="str">
        <f aca="false">LOWER(A1170)&amp;"|"&amp;B1170</f>
        <v>island of death|1976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1</v>
      </c>
      <c r="V1170" s="4" t="n">
        <v>0</v>
      </c>
      <c r="W1170" s="4" t="n">
        <v>0</v>
      </c>
    </row>
    <row r="1171" customFormat="false" ht="15" hidden="false" customHeight="false" outlineLevel="0" collapsed="false">
      <c r="A1171" s="4" t="s">
        <v>1726</v>
      </c>
      <c r="B1171" s="4" t="n">
        <v>1932</v>
      </c>
      <c r="C1171" s="4" t="str">
        <f aca="false">FLOOR(B1171,10)&amp;"s"</f>
        <v>1930s</v>
      </c>
      <c r="D1171" s="4" t="s">
        <v>1727</v>
      </c>
      <c r="E1171" s="25" t="str">
        <f aca="false">IF(G1171=1,"✓","")</f>
        <v/>
      </c>
      <c r="F1171" s="4" t="n">
        <v>1</v>
      </c>
      <c r="G1171" s="4" t="n">
        <f aca="false">IF(COUNTIF('Letterboxd Watched'!$E$2:$E$3000,M1171)&gt;0,1,0)</f>
        <v>0</v>
      </c>
      <c r="H1171" s="4" t="n">
        <v>2</v>
      </c>
      <c r="I1171" s="4" t="s">
        <v>213</v>
      </c>
      <c r="J1171" s="4" t="s">
        <v>50</v>
      </c>
      <c r="K1171" s="4" t="s">
        <v>3908</v>
      </c>
      <c r="L1171" s="48" t="str">
        <f aca="false">HYPERLINK("https://boxd.it/25TS","open")</f>
        <v>open</v>
      </c>
      <c r="M1171" s="4" t="str">
        <f aca="false">LOWER(A1171)&amp;"|"&amp;B1171</f>
        <v>island of lost souls|1932</v>
      </c>
      <c r="N1171" s="4" t="n">
        <v>0</v>
      </c>
      <c r="O1171" s="4" t="n">
        <v>1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 customFormat="false" ht="15" hidden="false" customHeight="false" outlineLevel="0" collapsed="false">
      <c r="A1172" s="4" t="s">
        <v>3153</v>
      </c>
      <c r="B1172" s="4" t="n">
        <v>2018</v>
      </c>
      <c r="C1172" s="4" t="str">
        <f aca="false">FLOOR(B1172,10)&amp;"s"</f>
        <v>2010s</v>
      </c>
      <c r="D1172" s="4" t="s">
        <v>274</v>
      </c>
      <c r="E1172" s="25" t="str">
        <f aca="false">IF(G1172=1,"✓","")</f>
        <v>✓</v>
      </c>
      <c r="F1172" s="4" t="n">
        <v>1</v>
      </c>
      <c r="G1172" s="4" t="n">
        <f aca="false">IF(COUNTIF('Letterboxd Watched'!$E$2:$E$3000,M1172)&gt;0,1,0)</f>
        <v>1</v>
      </c>
      <c r="H1172" s="4" t="n">
        <v>2</v>
      </c>
      <c r="I1172" s="4" t="s">
        <v>213</v>
      </c>
      <c r="J1172" s="4" t="s">
        <v>53</v>
      </c>
      <c r="K1172" s="4" t="s">
        <v>274</v>
      </c>
      <c r="L1172" s="48" t="str">
        <f aca="false">HYPERLINK("https://boxd.it/dZrW","open")</f>
        <v>open</v>
      </c>
      <c r="M1172" s="4" t="str">
        <f aca="false">LOWER(A1172)&amp;"|"&amp;B1172</f>
        <v>isle of dogs|2018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1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</row>
    <row r="1173" customFormat="false" ht="15" hidden="false" customHeight="false" outlineLevel="0" collapsed="false">
      <c r="A1173" s="4" t="s">
        <v>1828</v>
      </c>
      <c r="B1173" s="4" t="n">
        <v>1945</v>
      </c>
      <c r="C1173" s="4" t="str">
        <f aca="false">FLOOR(B1173,10)&amp;"s"</f>
        <v>1940s</v>
      </c>
      <c r="D1173" s="4" t="s">
        <v>1807</v>
      </c>
      <c r="E1173" s="25" t="str">
        <f aca="false">IF(G1173=1,"✓","")</f>
        <v/>
      </c>
      <c r="F1173" s="4" t="n">
        <v>1</v>
      </c>
      <c r="G1173" s="4" t="n">
        <f aca="false">IF(COUNTIF('Letterboxd Watched'!$E$2:$E$3000,M1173)&gt;0,1,0)</f>
        <v>0</v>
      </c>
      <c r="H1173" s="4" t="n">
        <v>2</v>
      </c>
      <c r="I1173" s="4" t="s">
        <v>213</v>
      </c>
      <c r="J1173" s="4" t="s">
        <v>52</v>
      </c>
      <c r="K1173" s="4" t="s">
        <v>4060</v>
      </c>
      <c r="L1173" s="48" t="str">
        <f aca="false">HYPERLINK("https://boxd.it/1lwe","open")</f>
        <v>open</v>
      </c>
      <c r="M1173" s="4" t="str">
        <f aca="false">LOWER(A1173)&amp;"|"&amp;B1173</f>
        <v>isle of the dead|1945</v>
      </c>
      <c r="N1173" s="4" t="n">
        <v>0</v>
      </c>
      <c r="O1173" s="4" t="n">
        <v>0</v>
      </c>
      <c r="P1173" s="4" t="n">
        <v>0</v>
      </c>
      <c r="Q1173" s="4" t="n">
        <v>1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</row>
    <row r="1174" customFormat="false" ht="15" hidden="false" customHeight="false" outlineLevel="0" collapsed="false">
      <c r="A1174" s="4" t="s">
        <v>3368</v>
      </c>
      <c r="B1174" s="4" t="n">
        <v>1953</v>
      </c>
      <c r="C1174" s="4" t="str">
        <f aca="false">FLOOR(B1174,10)&amp;"s"</f>
        <v>1950s</v>
      </c>
      <c r="D1174" s="4" t="s">
        <v>1903</v>
      </c>
      <c r="E1174" s="25" t="str">
        <f aca="false">IF(G1174=1,"✓","")</f>
        <v/>
      </c>
      <c r="F1174" s="4" t="n">
        <v>1</v>
      </c>
      <c r="G1174" s="4" t="n">
        <f aca="false">IF(COUNTIF('Letterboxd Watched'!$E$2:$E$3000,M1174)&gt;0,1,0)</f>
        <v>0</v>
      </c>
      <c r="H1174" s="4" t="n">
        <v>1</v>
      </c>
      <c r="I1174" s="4" t="s">
        <v>1327</v>
      </c>
      <c r="J1174" s="4" t="s">
        <v>52</v>
      </c>
      <c r="K1174" s="4" t="s">
        <v>4084</v>
      </c>
      <c r="L1174" s="48" t="str">
        <f aca="false">HYPERLINK("https://boxd.it/1F4a","open")</f>
        <v>open</v>
      </c>
      <c r="M1174" s="4" t="str">
        <f aca="false">LOWER(A1174)&amp;"|"&amp;B1174</f>
        <v>it came from outer space|1953</v>
      </c>
      <c r="N1174" s="4" t="n">
        <v>0</v>
      </c>
      <c r="O1174" s="4" t="n">
        <v>0</v>
      </c>
      <c r="P1174" s="4" t="n">
        <v>0</v>
      </c>
      <c r="Q1174" s="4" t="n">
        <v>1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 customFormat="false" ht="15" hidden="false" customHeight="false" outlineLevel="0" collapsed="false">
      <c r="A1175" s="4" t="s">
        <v>3120</v>
      </c>
      <c r="B1175" s="4" t="n">
        <v>2017</v>
      </c>
      <c r="C1175" s="4" t="str">
        <f aca="false">FLOOR(B1175,10)&amp;"s"</f>
        <v>2010s</v>
      </c>
      <c r="D1175" s="4" t="s">
        <v>3121</v>
      </c>
      <c r="E1175" s="25" t="str">
        <f aca="false">IF(G1175=1,"✓","")</f>
        <v/>
      </c>
      <c r="F1175" s="4" t="n">
        <v>1</v>
      </c>
      <c r="G1175" s="4" t="n">
        <f aca="false">IF(COUNTIF('Letterboxd Watched'!$E$2:$E$3000,M1175)&gt;0,1,0)</f>
        <v>0</v>
      </c>
      <c r="H1175" s="4" t="n">
        <v>2</v>
      </c>
      <c r="I1175" s="4" t="s">
        <v>213</v>
      </c>
      <c r="J1175" s="4" t="s">
        <v>52</v>
      </c>
      <c r="K1175" s="4" t="s">
        <v>4078</v>
      </c>
      <c r="L1175" s="48" t="str">
        <f aca="false">HYPERLINK("https://boxd.it/eLuk","open")</f>
        <v>open</v>
      </c>
      <c r="M1175" s="4" t="str">
        <f aca="false">LOWER(A1175)&amp;"|"&amp;B1175</f>
        <v>it comes at night|2017</v>
      </c>
      <c r="N1175" s="4" t="n">
        <v>0</v>
      </c>
      <c r="O1175" s="4" t="n">
        <v>0</v>
      </c>
      <c r="P1175" s="4" t="n">
        <v>0</v>
      </c>
      <c r="Q1175" s="4" t="n">
        <v>1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 customFormat="false" ht="15" hidden="false" customHeight="false" outlineLevel="0" collapsed="false">
      <c r="A1176" s="4" t="s">
        <v>1290</v>
      </c>
      <c r="B1176" s="4" t="n">
        <v>2014</v>
      </c>
      <c r="C1176" s="4" t="str">
        <f aca="false">FLOOR(B1176,10)&amp;"s"</f>
        <v>2010s</v>
      </c>
      <c r="D1176" s="4" t="s">
        <v>1291</v>
      </c>
      <c r="E1176" s="25" t="str">
        <f aca="false">IF(G1176=1,"✓","")</f>
        <v/>
      </c>
      <c r="F1176" s="4" t="n">
        <v>2</v>
      </c>
      <c r="G1176" s="4" t="n">
        <f aca="false">IF(COUNTIF('Letterboxd Watched'!$E$2:$E$3000,M1176)&gt;0,1,0)</f>
        <v>0</v>
      </c>
      <c r="H1176" s="4" t="n">
        <v>4</v>
      </c>
      <c r="I1176" s="4" t="s">
        <v>213</v>
      </c>
      <c r="J1176" s="4" t="s">
        <v>52</v>
      </c>
      <c r="K1176" s="4" t="s">
        <v>5521</v>
      </c>
      <c r="L1176" s="48" t="str">
        <f aca="false">HYPERLINK("https://boxd.it/87wo","open")</f>
        <v>open</v>
      </c>
      <c r="M1176" s="4" t="str">
        <f aca="false">LOWER(A1176)&amp;"|"&amp;B1176</f>
        <v>it follows|2014</v>
      </c>
      <c r="N1176" s="4" t="n">
        <v>0</v>
      </c>
      <c r="O1176" s="4" t="n">
        <v>0</v>
      </c>
      <c r="P1176" s="4" t="n">
        <v>0</v>
      </c>
      <c r="Q1176" s="4" t="n">
        <v>1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 customFormat="false" ht="15" hidden="false" customHeight="false" outlineLevel="0" collapsed="false">
      <c r="A1177" s="4" t="s">
        <v>175</v>
      </c>
      <c r="B1177" s="4" t="n">
        <v>1934</v>
      </c>
      <c r="C1177" s="4" t="str">
        <f aca="false">FLOOR(B1177,10)&amp;"s"</f>
        <v>1930s</v>
      </c>
      <c r="D1177" s="4" t="s">
        <v>176</v>
      </c>
      <c r="E1177" s="25" t="str">
        <f aca="false">IF(G1177=1,"✓","")</f>
        <v/>
      </c>
      <c r="F1177" s="4" t="n">
        <v>7</v>
      </c>
      <c r="G1177" s="4" t="n">
        <f aca="false">IF(COUNTIF('Letterboxd Watched'!$E$2:$E$3000,M1177)&gt;0,1,0)</f>
        <v>0</v>
      </c>
      <c r="H1177" s="4" t="n">
        <v>18</v>
      </c>
      <c r="I1177" s="4" t="s">
        <v>144</v>
      </c>
      <c r="J1177" s="4" t="s">
        <v>50</v>
      </c>
      <c r="K1177" s="4" t="s">
        <v>5522</v>
      </c>
      <c r="L1177" s="48" t="str">
        <f aca="false">HYPERLINK("https://boxd.it/25Ng","open")</f>
        <v>open</v>
      </c>
      <c r="M1177" s="4" t="str">
        <f aca="false">LOWER(A1177)&amp;"|"&amp;B1177</f>
        <v>it happened one night|1934</v>
      </c>
      <c r="N1177" s="4" t="n">
        <v>0</v>
      </c>
      <c r="O1177" s="4" t="n">
        <v>1</v>
      </c>
      <c r="P1177" s="4" t="n">
        <v>0</v>
      </c>
      <c r="Q1177" s="4" t="n">
        <v>1</v>
      </c>
      <c r="R1177" s="4" t="n">
        <v>1</v>
      </c>
      <c r="S1177" s="4" t="n">
        <v>0</v>
      </c>
      <c r="T1177" s="4" t="n">
        <v>1</v>
      </c>
      <c r="U1177" s="4" t="n">
        <v>0</v>
      </c>
      <c r="V1177" s="4" t="n">
        <v>1</v>
      </c>
      <c r="W1177" s="4" t="n">
        <v>0</v>
      </c>
    </row>
    <row r="1178" customFormat="false" ht="15" hidden="false" customHeight="false" outlineLevel="0" collapsed="false">
      <c r="A1178" s="4" t="s">
        <v>1753</v>
      </c>
      <c r="B1178" s="4" t="n">
        <v>1934</v>
      </c>
      <c r="C1178" s="4" t="str">
        <f aca="false">FLOOR(B1178,10)&amp;"s"</f>
        <v>1930s</v>
      </c>
      <c r="D1178" s="4" t="s">
        <v>1735</v>
      </c>
      <c r="E1178" s="25" t="str">
        <f aca="false">IF(G1178=1,"✓","")</f>
        <v/>
      </c>
      <c r="F1178" s="4" t="n">
        <v>1</v>
      </c>
      <c r="G1178" s="4" t="n">
        <f aca="false">IF(COUNTIF('Letterboxd Watched'!$E$2:$E$3000,M1178)&gt;0,1,0)</f>
        <v>0</v>
      </c>
      <c r="H1178" s="4" t="n">
        <v>2</v>
      </c>
      <c r="I1178" s="4" t="s">
        <v>213</v>
      </c>
      <c r="J1178" s="4" t="s">
        <v>52</v>
      </c>
      <c r="K1178" s="4" t="s">
        <v>4098</v>
      </c>
      <c r="L1178" s="48" t="str">
        <f aca="false">HYPERLINK("https://boxd.it/1qtE","open")</f>
        <v>open</v>
      </c>
      <c r="M1178" s="4" t="str">
        <f aca="false">LOWER(A1178)&amp;"|"&amp;B1178</f>
        <v>it's a gift|1934</v>
      </c>
      <c r="N1178" s="4" t="n">
        <v>0</v>
      </c>
      <c r="O1178" s="4" t="n">
        <v>0</v>
      </c>
      <c r="P1178" s="4" t="n">
        <v>0</v>
      </c>
      <c r="Q1178" s="4" t="n">
        <v>1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 customFormat="false" ht="15" hidden="false" customHeight="false" outlineLevel="0" collapsed="false">
      <c r="A1179" s="4" t="s">
        <v>306</v>
      </c>
      <c r="B1179" s="4" t="n">
        <v>1946</v>
      </c>
      <c r="C1179" s="4" t="str">
        <f aca="false">FLOOR(B1179,10)&amp;"s"</f>
        <v>1940s</v>
      </c>
      <c r="D1179" s="4" t="s">
        <v>176</v>
      </c>
      <c r="E1179" s="25" t="str">
        <f aca="false">IF(G1179=1,"✓","")</f>
        <v>✓</v>
      </c>
      <c r="F1179" s="4" t="n">
        <v>4</v>
      </c>
      <c r="G1179" s="4" t="n">
        <f aca="false">IF(COUNTIF('Letterboxd Watched'!$E$2:$E$3000,M1179)&gt;0,1,0)</f>
        <v>1</v>
      </c>
      <c r="H1179" s="4" t="n">
        <v>10</v>
      </c>
      <c r="I1179" s="4" t="s">
        <v>144</v>
      </c>
      <c r="J1179" s="4" t="s">
        <v>50</v>
      </c>
      <c r="K1179" s="4" t="s">
        <v>5523</v>
      </c>
      <c r="L1179" s="48" t="str">
        <f aca="false">HYPERLINK("https://boxd.it/28xA","open")</f>
        <v>open</v>
      </c>
      <c r="M1179" s="4" t="str">
        <f aca="false">LOWER(A1179)&amp;"|"&amp;B1179</f>
        <v>it's a wonderful life|1946</v>
      </c>
      <c r="N1179" s="4" t="n">
        <v>0</v>
      </c>
      <c r="O1179" s="4" t="n">
        <v>1</v>
      </c>
      <c r="P1179" s="4" t="n">
        <v>0</v>
      </c>
      <c r="Q1179" s="4" t="n">
        <v>0</v>
      </c>
      <c r="R1179" s="4" t="n">
        <v>1</v>
      </c>
      <c r="S1179" s="4" t="n">
        <v>0</v>
      </c>
      <c r="T1179" s="4" t="n">
        <v>0</v>
      </c>
      <c r="U1179" s="4" t="n">
        <v>1</v>
      </c>
      <c r="V1179" s="4" t="n">
        <v>1</v>
      </c>
      <c r="W1179" s="4" t="n">
        <v>0</v>
      </c>
    </row>
    <row r="1180" customFormat="false" ht="15" hidden="false" customHeight="false" outlineLevel="0" collapsed="false">
      <c r="A1180" s="4" t="s">
        <v>1923</v>
      </c>
      <c r="B1180" s="4" t="n">
        <v>1955</v>
      </c>
      <c r="C1180" s="4" t="str">
        <f aca="false">FLOOR(B1180,10)&amp;"s"</f>
        <v>1950s</v>
      </c>
      <c r="D1180" s="4" t="s">
        <v>225</v>
      </c>
      <c r="E1180" s="25" t="str">
        <f aca="false">IF(G1180=1,"✓","")</f>
        <v/>
      </c>
      <c r="F1180" s="4" t="n">
        <v>1</v>
      </c>
      <c r="G1180" s="4" t="n">
        <f aca="false">IF(COUNTIF('Letterboxd Watched'!$E$2:$E$3000,M1180)&gt;0,1,0)</f>
        <v>0</v>
      </c>
      <c r="H1180" s="4" t="n">
        <v>2</v>
      </c>
      <c r="I1180" s="4" t="s">
        <v>213</v>
      </c>
      <c r="J1180" s="4" t="s">
        <v>52</v>
      </c>
      <c r="K1180" s="4" t="s">
        <v>4110</v>
      </c>
      <c r="L1180" s="48" t="str">
        <f aca="false">HYPERLINK("https://boxd.it/1Ikq","open")</f>
        <v>open</v>
      </c>
      <c r="M1180" s="4" t="str">
        <f aca="false">LOWER(A1180)&amp;"|"&amp;B1180</f>
        <v>it's always fair weather|1955</v>
      </c>
      <c r="N1180" s="4" t="n">
        <v>0</v>
      </c>
      <c r="O1180" s="4" t="n">
        <v>0</v>
      </c>
      <c r="P1180" s="4" t="n">
        <v>0</v>
      </c>
      <c r="Q1180" s="4" t="n">
        <v>1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</row>
    <row r="1181" customFormat="false" ht="15" hidden="false" customHeight="false" outlineLevel="0" collapsed="false">
      <c r="A1181" s="4" t="s">
        <v>3649</v>
      </c>
      <c r="B1181" s="4" t="n">
        <v>1988</v>
      </c>
      <c r="C1181" s="4" t="str">
        <f aca="false">FLOOR(B1181,10)&amp;"s"</f>
        <v>1980s</v>
      </c>
      <c r="D1181" s="4" t="s">
        <v>320</v>
      </c>
      <c r="E1181" s="25" t="str">
        <f aca="false">IF(G1181=1,"✓","")</f>
        <v/>
      </c>
      <c r="F1181" s="4" t="n">
        <v>1</v>
      </c>
      <c r="G1181" s="4" t="n">
        <f aca="false">IF(COUNTIF('Letterboxd Watched'!$E$2:$E$3000,M1181)&gt;0,1,0)</f>
        <v>0</v>
      </c>
      <c r="H1181" s="4" t="n">
        <v>1</v>
      </c>
      <c r="I1181" s="4" t="s">
        <v>1327</v>
      </c>
      <c r="J1181" s="4" t="s">
        <v>53</v>
      </c>
      <c r="K1181" s="4" t="s">
        <v>320</v>
      </c>
      <c r="L1181" s="48" t="str">
        <f aca="false">HYPERLINK("https://boxd.it/2VA4","open")</f>
        <v>open</v>
      </c>
      <c r="M1181" s="4" t="str">
        <f aca="false">LOWER(A1181)&amp;"|"&amp;B1181</f>
        <v>it's impossible to learn to plow by reading books|1988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1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 customFormat="false" ht="15" hidden="false" customHeight="false" outlineLevel="0" collapsed="false">
      <c r="A1182" s="4" t="s">
        <v>3802</v>
      </c>
      <c r="B1182" s="4" t="n">
        <v>2012</v>
      </c>
      <c r="C1182" s="4" t="str">
        <f aca="false">FLOOR(B1182,10)&amp;"s"</f>
        <v>2010s</v>
      </c>
      <c r="D1182" s="4" t="s">
        <v>3803</v>
      </c>
      <c r="E1182" s="25" t="str">
        <f aca="false">IF(G1182=1,"✓","")</f>
        <v>✓</v>
      </c>
      <c r="F1182" s="4" t="n">
        <v>1</v>
      </c>
      <c r="G1182" s="4" t="n">
        <f aca="false">IF(COUNTIF('Letterboxd Watched'!$E$2:$E$3000,M1182)&gt;0,1,0)</f>
        <v>1</v>
      </c>
      <c r="H1182" s="4" t="n">
        <v>1</v>
      </c>
      <c r="I1182" s="4" t="s">
        <v>1327</v>
      </c>
      <c r="J1182" s="4" t="s">
        <v>52</v>
      </c>
      <c r="K1182" s="4" t="s">
        <v>4166</v>
      </c>
      <c r="L1182" s="48" t="str">
        <f aca="false">HYPERLINK("https://boxd.it/hCY2","open")</f>
        <v>open</v>
      </c>
      <c r="M1182" s="4" t="str">
        <f aca="false">LOWER(A1182)&amp;"|"&amp;B1182</f>
        <v>it's such a beautiful day|2012</v>
      </c>
      <c r="N1182" s="4" t="n">
        <v>0</v>
      </c>
      <c r="O1182" s="4" t="n">
        <v>0</v>
      </c>
      <c r="P1182" s="4" t="n">
        <v>0</v>
      </c>
      <c r="Q1182" s="4" t="n">
        <v>1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 customFormat="false" ht="15" hidden="false" customHeight="false" outlineLevel="0" collapsed="false">
      <c r="A1183" s="4" t="s">
        <v>2198</v>
      </c>
      <c r="B1183" s="4" t="n">
        <v>1972</v>
      </c>
      <c r="C1183" s="4" t="str">
        <f aca="false">FLOOR(B1183,10)&amp;"s"</f>
        <v>1970s</v>
      </c>
      <c r="D1183" s="4" t="s">
        <v>1491</v>
      </c>
      <c r="E1183" s="25" t="str">
        <f aca="false">IF(G1183=1,"✓","")</f>
        <v/>
      </c>
      <c r="F1183" s="4" t="n">
        <v>1</v>
      </c>
      <c r="G1183" s="4" t="n">
        <f aca="false">IF(COUNTIF('Letterboxd Watched'!$E$2:$E$3000,M1183)&gt;0,1,0)</f>
        <v>0</v>
      </c>
      <c r="H1183" s="4" t="n">
        <v>2</v>
      </c>
      <c r="I1183" s="4" t="s">
        <v>213</v>
      </c>
      <c r="J1183" s="4" t="s">
        <v>51</v>
      </c>
      <c r="K1183" s="4" t="s">
        <v>3954</v>
      </c>
      <c r="L1183" s="48" t="str">
        <f aca="false">HYPERLINK("https://letterboxd.com/search/films/The+Italian+Connection+1972/","open")</f>
        <v>open</v>
      </c>
      <c r="M1183" s="4" t="str">
        <f aca="false">LOWER(A1183)&amp;"|"&amp;B1183</f>
        <v>the italian connection|1972</v>
      </c>
      <c r="N1183" s="4" t="n">
        <v>0</v>
      </c>
      <c r="O1183" s="4" t="n">
        <v>0</v>
      </c>
      <c r="P1183" s="4" t="n">
        <v>1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 customFormat="false" ht="15" hidden="false" customHeight="false" outlineLevel="0" collapsed="false">
      <c r="A1184" s="4" t="s">
        <v>2715</v>
      </c>
      <c r="B1184" s="4" t="n">
        <v>2000</v>
      </c>
      <c r="C1184" s="4" t="str">
        <f aca="false">FLOOR(B1184,10)&amp;"s"</f>
        <v>2000s</v>
      </c>
      <c r="D1184" s="4" t="s">
        <v>2716</v>
      </c>
      <c r="E1184" s="25" t="str">
        <f aca="false">IF(G1184=1,"✓","")</f>
        <v/>
      </c>
      <c r="F1184" s="4" t="n">
        <v>1</v>
      </c>
      <c r="G1184" s="4" t="n">
        <f aca="false">IF(COUNTIF('Letterboxd Watched'!$E$2:$E$3000,M1184)&gt;0,1,0)</f>
        <v>0</v>
      </c>
      <c r="H1184" s="4" t="n">
        <v>2</v>
      </c>
      <c r="I1184" s="4" t="s">
        <v>213</v>
      </c>
      <c r="J1184" s="4" t="s">
        <v>51</v>
      </c>
      <c r="K1184" s="4" t="s">
        <v>3988</v>
      </c>
      <c r="L1184" s="48" t="str">
        <f aca="false">HYPERLINK("https://letterboxd.com/search/films/Italian+for+Beginners+2000/","open")</f>
        <v>open</v>
      </c>
      <c r="M1184" s="4" t="str">
        <f aca="false">LOWER(A1184)&amp;"|"&amp;B1184</f>
        <v>italian for beginners|2000</v>
      </c>
      <c r="N1184" s="4" t="n">
        <v>0</v>
      </c>
      <c r="O1184" s="4" t="n">
        <v>0</v>
      </c>
      <c r="P1184" s="4" t="n">
        <v>1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 customFormat="false" ht="15" hidden="false" customHeight="false" outlineLevel="0" collapsed="false">
      <c r="A1185" s="4" t="s">
        <v>3539</v>
      </c>
      <c r="B1185" s="4" t="n">
        <v>1974</v>
      </c>
      <c r="C1185" s="4" t="str">
        <f aca="false">FLOOR(B1185,10)&amp;"s"</f>
        <v>1970s</v>
      </c>
      <c r="D1185" s="4" t="s">
        <v>164</v>
      </c>
      <c r="E1185" s="25" t="str">
        <f aca="false">IF(G1185=1,"✓","")</f>
        <v/>
      </c>
      <c r="F1185" s="4" t="n">
        <v>1</v>
      </c>
      <c r="G1185" s="4" t="n">
        <f aca="false">IF(COUNTIF('Letterboxd Watched'!$E$2:$E$3000,M1185)&gt;0,1,0)</f>
        <v>0</v>
      </c>
      <c r="H1185" s="4" t="n">
        <v>1</v>
      </c>
      <c r="I1185" s="4" t="s">
        <v>1327</v>
      </c>
      <c r="J1185" s="4" t="s">
        <v>53</v>
      </c>
      <c r="K1185" s="4" t="s">
        <v>164</v>
      </c>
      <c r="L1185" s="48" t="str">
        <f aca="false">HYPERLINK("https://boxd.it/3deg","open")</f>
        <v>open</v>
      </c>
      <c r="M1185" s="4" t="str">
        <f aca="false">LOWER(A1185)&amp;"|"&amp;B1185</f>
        <v>italianamerican|1974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1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 customFormat="false" ht="15" hidden="false" customHeight="false" outlineLevel="0" collapsed="false">
      <c r="A1186" s="4" t="s">
        <v>768</v>
      </c>
      <c r="B1186" s="4" t="n">
        <v>1962</v>
      </c>
      <c r="C1186" s="4" t="str">
        <f aca="false">FLOOR(B1186,10)&amp;"s"</f>
        <v>1960s</v>
      </c>
      <c r="D1186" s="4" t="s">
        <v>210</v>
      </c>
      <c r="E1186" s="25" t="str">
        <f aca="false">IF(G1186=1,"✓","")</f>
        <v/>
      </c>
      <c r="F1186" s="4" t="n">
        <v>2</v>
      </c>
      <c r="G1186" s="4" t="n">
        <f aca="false">IF(COUNTIF('Letterboxd Watched'!$E$2:$E$3000,M1186)&gt;0,1,0)</f>
        <v>0</v>
      </c>
      <c r="H1186" s="4" t="n">
        <v>5</v>
      </c>
      <c r="I1186" s="4" t="s">
        <v>144</v>
      </c>
      <c r="J1186" s="4" t="s">
        <v>51</v>
      </c>
      <c r="K1186" s="4" t="s">
        <v>5524</v>
      </c>
      <c r="L1186" s="48" t="str">
        <f aca="false">HYPERLINK("https://boxd.it/1j6y","open")</f>
        <v>open</v>
      </c>
      <c r="M1186" s="4" t="str">
        <f aca="false">LOWER(A1186)&amp;"|"&amp;B1186</f>
        <v>ivan's childhood|1962</v>
      </c>
      <c r="N1186" s="4" t="n">
        <v>0</v>
      </c>
      <c r="O1186" s="4" t="n">
        <v>0</v>
      </c>
      <c r="P1186" s="4" t="n">
        <v>1</v>
      </c>
      <c r="Q1186" s="4" t="n">
        <v>0</v>
      </c>
      <c r="R1186" s="4" t="n">
        <v>1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 customFormat="false" ht="15" hidden="false" customHeight="false" outlineLevel="0" collapsed="false">
      <c r="A1187" s="4" t="s">
        <v>1821</v>
      </c>
      <c r="B1187" s="4" t="n">
        <v>1944</v>
      </c>
      <c r="C1187" s="4" t="str">
        <f aca="false">FLOOR(B1187,10)&amp;"s"</f>
        <v>1940s</v>
      </c>
      <c r="D1187" s="4" t="s">
        <v>232</v>
      </c>
      <c r="E1187" s="25" t="str">
        <f aca="false">IF(G1187=1,"✓","")</f>
        <v>✓</v>
      </c>
      <c r="F1187" s="4" t="n">
        <v>1</v>
      </c>
      <c r="G1187" s="4" t="n">
        <f aca="false">IF(COUNTIF('Letterboxd Watched'!$E$2:$E$3000,M1187)&gt;0,1,0)</f>
        <v>1</v>
      </c>
      <c r="H1187" s="4" t="n">
        <v>2</v>
      </c>
      <c r="I1187" s="4" t="s">
        <v>213</v>
      </c>
      <c r="J1187" s="4" t="s">
        <v>54</v>
      </c>
      <c r="K1187" s="4" t="s">
        <v>4272</v>
      </c>
      <c r="L1187" s="48" t="str">
        <f aca="false">HYPERLINK("https://boxd.it/1XMO","open")</f>
        <v>open</v>
      </c>
      <c r="M1187" s="4" t="str">
        <f aca="false">LOWER(A1187)&amp;"|"&amp;B1187</f>
        <v>ivan the terrible, part i|1944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1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 customFormat="false" ht="15" hidden="false" customHeight="false" outlineLevel="0" collapsed="false">
      <c r="A1188" s="4" t="s">
        <v>3391</v>
      </c>
      <c r="B1188" s="4" t="n">
        <v>1958</v>
      </c>
      <c r="C1188" s="4" t="str">
        <f aca="false">FLOOR(B1188,10)&amp;"s"</f>
        <v>1950s</v>
      </c>
      <c r="D1188" s="4" t="s">
        <v>232</v>
      </c>
      <c r="E1188" s="25" t="str">
        <f aca="false">IF(G1188=1,"✓","")</f>
        <v/>
      </c>
      <c r="F1188" s="4" t="n">
        <v>1</v>
      </c>
      <c r="G1188" s="4" t="n">
        <f aca="false">IF(COUNTIF('Letterboxd Watched'!$E$2:$E$3000,M1188)&gt;0,1,0)</f>
        <v>0</v>
      </c>
      <c r="H1188" s="4" t="n">
        <v>1</v>
      </c>
      <c r="I1188" s="4" t="s">
        <v>1327</v>
      </c>
      <c r="J1188" s="4" t="s">
        <v>49</v>
      </c>
      <c r="K1188" s="4" t="s">
        <v>3878</v>
      </c>
      <c r="L1188" s="48" t="str">
        <f aca="false">HYPERLINK("https://letterboxd.com/search/films/Ivan+the+Terrible+Part+II+1958/","open")</f>
        <v>open</v>
      </c>
      <c r="M1188" s="4" t="str">
        <f aca="false">LOWER(A1188)&amp;"|"&amp;B1188</f>
        <v>ivan the terrible, part ii|1958</v>
      </c>
      <c r="N1188" s="4" t="n">
        <v>1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 customFormat="false" ht="15" hidden="false" customHeight="false" outlineLevel="0" collapsed="false">
      <c r="A1189" s="4" t="s">
        <v>3274</v>
      </c>
      <c r="B1189" s="4" t="n">
        <v>1919</v>
      </c>
      <c r="C1189" s="4" t="str">
        <f aca="false">FLOOR(B1189,10)&amp;"s"</f>
        <v>1910s</v>
      </c>
      <c r="D1189" s="4" t="s">
        <v>1682</v>
      </c>
      <c r="E1189" s="25" t="str">
        <f aca="false">IF(G1189=1,"✓","")</f>
        <v/>
      </c>
      <c r="F1189" s="4" t="n">
        <v>1</v>
      </c>
      <c r="G1189" s="4" t="n">
        <f aca="false">IF(COUNTIF('Letterboxd Watched'!$E$2:$E$3000,M1189)&gt;0,1,0)</f>
        <v>0</v>
      </c>
      <c r="H1189" s="4" t="n">
        <v>1</v>
      </c>
      <c r="I1189" s="4" t="s">
        <v>1327</v>
      </c>
      <c r="J1189" s="4" t="s">
        <v>52</v>
      </c>
      <c r="K1189" s="4" t="s">
        <v>4136</v>
      </c>
      <c r="L1189" s="48" t="str">
        <f aca="false">HYPERLINK("https://boxd.it/2sBC","open")</f>
        <v>open</v>
      </c>
      <c r="M1189" s="4" t="str">
        <f aca="false">LOWER(A1189)&amp;"|"&amp;B1189</f>
        <v>j'accuse|1919</v>
      </c>
      <c r="N1189" s="4" t="n">
        <v>0</v>
      </c>
      <c r="O1189" s="4" t="n">
        <v>0</v>
      </c>
      <c r="P1189" s="4" t="n">
        <v>0</v>
      </c>
      <c r="Q1189" s="4" t="n">
        <v>1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 customFormat="false" ht="15" hidden="false" customHeight="false" outlineLevel="0" collapsed="false">
      <c r="A1190" s="4" t="s">
        <v>3616</v>
      </c>
      <c r="B1190" s="4" t="n">
        <v>1983</v>
      </c>
      <c r="C1190" s="4" t="str">
        <f aca="false">FLOOR(B1190,10)&amp;"s"</f>
        <v>1980s</v>
      </c>
      <c r="D1190" s="4" t="s">
        <v>3617</v>
      </c>
      <c r="E1190" s="25" t="str">
        <f aca="false">IF(G1190=1,"✓","")</f>
        <v/>
      </c>
      <c r="F1190" s="4" t="n">
        <v>1</v>
      </c>
      <c r="G1190" s="4" t="n">
        <f aca="false">IF(COUNTIF('Letterboxd Watched'!$E$2:$E$3000,M1190)&gt;0,1,0)</f>
        <v>0</v>
      </c>
      <c r="H1190" s="4" t="n">
        <v>1</v>
      </c>
      <c r="I1190" s="4" t="s">
        <v>1327</v>
      </c>
      <c r="J1190" s="4" t="s">
        <v>51</v>
      </c>
      <c r="K1190" s="4" t="s">
        <v>4028</v>
      </c>
      <c r="L1190" s="48" t="str">
        <f aca="false">HYPERLINK("https://letterboxd.com/search/films/Jaane+Bhi+Do+Yaaro+1983/","open")</f>
        <v>open</v>
      </c>
      <c r="M1190" s="4" t="str">
        <f aca="false">LOWER(A1190)&amp;"|"&amp;B1190</f>
        <v>jaane bhi do yaaro|1983</v>
      </c>
      <c r="N1190" s="4" t="n">
        <v>0</v>
      </c>
      <c r="O1190" s="4" t="n">
        <v>0</v>
      </c>
      <c r="P1190" s="4" t="n">
        <v>1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</row>
    <row r="1191" customFormat="false" ht="15" hidden="false" customHeight="false" outlineLevel="0" collapsed="false">
      <c r="A1191" s="4" t="s">
        <v>1121</v>
      </c>
      <c r="B1191" s="4" t="n">
        <v>1997</v>
      </c>
      <c r="C1191" s="4" t="str">
        <f aca="false">FLOOR(B1191,10)&amp;"s"</f>
        <v>1990s</v>
      </c>
      <c r="D1191" s="4" t="s">
        <v>208</v>
      </c>
      <c r="E1191" s="25" t="str">
        <f aca="false">IF(G1191=1,"✓","")</f>
        <v>✓</v>
      </c>
      <c r="F1191" s="4" t="n">
        <v>2</v>
      </c>
      <c r="G1191" s="4" t="n">
        <f aca="false">IF(COUNTIF('Letterboxd Watched'!$E$2:$E$3000,M1191)&gt;0,1,0)</f>
        <v>1</v>
      </c>
      <c r="H1191" s="4" t="n">
        <v>4</v>
      </c>
      <c r="I1191" s="4" t="s">
        <v>213</v>
      </c>
      <c r="J1191" s="4" t="s">
        <v>53</v>
      </c>
      <c r="K1191" s="4" t="s">
        <v>5525</v>
      </c>
      <c r="L1191" s="48" t="str">
        <f aca="false">HYPERLINK("https://boxd.it/2aVO","open")</f>
        <v>open</v>
      </c>
      <c r="M1191" s="4" t="str">
        <f aca="false">LOWER(A1191)&amp;"|"&amp;B1191</f>
        <v>jackie brown|1997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1</v>
      </c>
      <c r="S1191" s="4" t="n">
        <v>1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 customFormat="false" ht="15" hidden="false" customHeight="false" outlineLevel="0" collapsed="false">
      <c r="A1192" s="4" t="s">
        <v>2515</v>
      </c>
      <c r="B1192" s="4" t="n">
        <v>1990</v>
      </c>
      <c r="C1192" s="4" t="str">
        <f aca="false">FLOOR(B1192,10)&amp;"s"</f>
        <v>1990s</v>
      </c>
      <c r="D1192" s="4" t="s">
        <v>2453</v>
      </c>
      <c r="E1192" s="25" t="str">
        <f aca="false">IF(G1192=1,"✓","")</f>
        <v>✓</v>
      </c>
      <c r="F1192" s="4" t="n">
        <v>1</v>
      </c>
      <c r="G1192" s="4" t="n">
        <f aca="false">IF(COUNTIF('Letterboxd Watched'!$E$2:$E$3000,M1192)&gt;0,1,0)</f>
        <v>1</v>
      </c>
      <c r="H1192" s="4" t="n">
        <v>2</v>
      </c>
      <c r="I1192" s="4" t="s">
        <v>213</v>
      </c>
      <c r="J1192" s="4" t="s">
        <v>54</v>
      </c>
      <c r="K1192" s="4" t="s">
        <v>4300</v>
      </c>
      <c r="L1192" s="48" t="str">
        <f aca="false">HYPERLINK("https://boxd.it/270g","open")</f>
        <v>open</v>
      </c>
      <c r="M1192" s="4" t="str">
        <f aca="false">LOWER(A1192)&amp;"|"&amp;B1192</f>
        <v>jacob's ladder|1990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1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 customFormat="false" ht="15" hidden="false" customHeight="false" outlineLevel="0" collapsed="false">
      <c r="A1193" s="4" t="s">
        <v>2416</v>
      </c>
      <c r="B1193" s="4" t="n">
        <v>1985</v>
      </c>
      <c r="C1193" s="4" t="str">
        <f aca="false">FLOOR(B1193,10)&amp;"s"</f>
        <v>1980s</v>
      </c>
      <c r="D1193" s="4" t="s">
        <v>2417</v>
      </c>
      <c r="E1193" s="25" t="str">
        <f aca="false">IF(G1193=1,"✓","")</f>
        <v/>
      </c>
      <c r="F1193" s="4" t="n">
        <v>1</v>
      </c>
      <c r="G1193" s="4" t="n">
        <f aca="false">IF(COUNTIF('Letterboxd Watched'!$E$2:$E$3000,M1193)&gt;0,1,0)</f>
        <v>0</v>
      </c>
      <c r="H1193" s="4" t="n">
        <v>2</v>
      </c>
      <c r="I1193" s="4" t="s">
        <v>213</v>
      </c>
      <c r="J1193" s="4" t="s">
        <v>52</v>
      </c>
      <c r="K1193" s="4" t="s">
        <v>4128</v>
      </c>
      <c r="L1193" s="48" t="str">
        <f aca="false">HYPERLINK("https://boxd.it/1SdO","open")</f>
        <v>open</v>
      </c>
      <c r="M1193" s="4" t="str">
        <f aca="false">LOWER(A1193)&amp;"|"&amp;B1193</f>
        <v>jagged edge|1985</v>
      </c>
      <c r="N1193" s="4" t="n">
        <v>0</v>
      </c>
      <c r="O1193" s="4" t="n">
        <v>0</v>
      </c>
      <c r="P1193" s="4" t="n">
        <v>0</v>
      </c>
      <c r="Q1193" s="4" t="n">
        <v>1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 customFormat="false" ht="15" hidden="false" customHeight="false" outlineLevel="0" collapsed="false">
      <c r="A1194" s="4" t="s">
        <v>2836</v>
      </c>
      <c r="B1194" s="4" t="n">
        <v>2005</v>
      </c>
      <c r="C1194" s="4" t="str">
        <f aca="false">FLOOR(B1194,10)&amp;"s"</f>
        <v>2000s</v>
      </c>
      <c r="D1194" s="4" t="s">
        <v>1251</v>
      </c>
      <c r="E1194" s="25" t="str">
        <f aca="false">IF(G1194=1,"✓","")</f>
        <v/>
      </c>
      <c r="F1194" s="4" t="n">
        <v>1</v>
      </c>
      <c r="G1194" s="4" t="n">
        <f aca="false">IF(COUNTIF('Letterboxd Watched'!$E$2:$E$3000,M1194)&gt;0,1,0)</f>
        <v>0</v>
      </c>
      <c r="H1194" s="4" t="n">
        <v>2</v>
      </c>
      <c r="I1194" s="4" t="s">
        <v>213</v>
      </c>
      <c r="J1194" s="4" t="s">
        <v>52</v>
      </c>
      <c r="K1194" s="4" t="s">
        <v>4144</v>
      </c>
      <c r="L1194" s="48" t="str">
        <f aca="false">HYPERLINK("https://boxd.it/70m","open")</f>
        <v>open</v>
      </c>
      <c r="M1194" s="4" t="str">
        <f aca="false">LOWER(A1194)&amp;"|"&amp;B1194</f>
        <v>jarhead|2005</v>
      </c>
      <c r="N1194" s="4" t="n">
        <v>0</v>
      </c>
      <c r="O1194" s="4" t="n">
        <v>0</v>
      </c>
      <c r="P1194" s="4" t="n">
        <v>0</v>
      </c>
      <c r="Q1194" s="4" t="n">
        <v>1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 customFormat="false" ht="15" hidden="false" customHeight="false" outlineLevel="0" collapsed="false">
      <c r="A1195" s="4" t="s">
        <v>2029</v>
      </c>
      <c r="B1195" s="4" t="n">
        <v>1963</v>
      </c>
      <c r="C1195" s="4" t="str">
        <f aca="false">FLOOR(B1195,10)&amp;"s"</f>
        <v>1960s</v>
      </c>
      <c r="D1195" s="4" t="s">
        <v>2030</v>
      </c>
      <c r="E1195" s="25" t="str">
        <f aca="false">IF(G1195=1,"✓","")</f>
        <v/>
      </c>
      <c r="F1195" s="4" t="n">
        <v>1</v>
      </c>
      <c r="G1195" s="4" t="n">
        <f aca="false">IF(COUNTIF('Letterboxd Watched'!$E$2:$E$3000,M1195)&gt;0,1,0)</f>
        <v>0</v>
      </c>
      <c r="H1195" s="4" t="n">
        <v>2</v>
      </c>
      <c r="I1195" s="4" t="s">
        <v>213</v>
      </c>
      <c r="J1195" s="4" t="s">
        <v>52</v>
      </c>
      <c r="K1195" s="4" t="s">
        <v>4164</v>
      </c>
      <c r="L1195" s="48" t="str">
        <f aca="false">HYPERLINK("https://boxd.it/1TCK","open")</f>
        <v>open</v>
      </c>
      <c r="M1195" s="4" t="str">
        <f aca="false">LOWER(A1195)&amp;"|"&amp;B1195</f>
        <v>jason and the argonauts|1963</v>
      </c>
      <c r="N1195" s="4" t="n">
        <v>0</v>
      </c>
      <c r="O1195" s="4" t="n">
        <v>0</v>
      </c>
      <c r="P1195" s="4" t="n">
        <v>0</v>
      </c>
      <c r="Q1195" s="4" t="n">
        <v>1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 customFormat="false" ht="15" hidden="false" customHeight="false" outlineLevel="0" collapsed="false">
      <c r="A1196" s="4" t="s">
        <v>3818</v>
      </c>
      <c r="B1196" s="4" t="n">
        <v>2014</v>
      </c>
      <c r="C1196" s="4" t="str">
        <f aca="false">FLOOR(B1196,10)&amp;"s"</f>
        <v>2010s</v>
      </c>
      <c r="D1196" s="4" t="s">
        <v>3819</v>
      </c>
      <c r="E1196" s="25" t="str">
        <f aca="false">IF(G1196=1,"✓","")</f>
        <v/>
      </c>
      <c r="F1196" s="4" t="n">
        <v>1</v>
      </c>
      <c r="G1196" s="4" t="n">
        <f aca="false">IF(COUNTIF('Letterboxd Watched'!$E$2:$E$3000,M1196)&gt;0,1,0)</f>
        <v>0</v>
      </c>
      <c r="H1196" s="4" t="n">
        <v>1</v>
      </c>
      <c r="I1196" s="4" t="s">
        <v>1327</v>
      </c>
      <c r="J1196" s="4" t="s">
        <v>51</v>
      </c>
      <c r="K1196" s="4" t="s">
        <v>4010</v>
      </c>
      <c r="L1196" s="48" t="str">
        <f aca="false">HYPERLINK("https://letterboxd.com/search/films/Jauja+2014/","open")</f>
        <v>open</v>
      </c>
      <c r="M1196" s="4" t="str">
        <f aca="false">LOWER(A1196)&amp;"|"&amp;B1196</f>
        <v>jauja|2014</v>
      </c>
      <c r="N1196" s="4" t="n">
        <v>0</v>
      </c>
      <c r="O1196" s="4" t="n">
        <v>0</v>
      </c>
      <c r="P1196" s="4" t="n">
        <v>1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 customFormat="false" ht="15" hidden="false" customHeight="false" outlineLevel="0" collapsed="false">
      <c r="A1197" s="4" t="s">
        <v>182</v>
      </c>
      <c r="B1197" s="4" t="n">
        <v>1975</v>
      </c>
      <c r="C1197" s="4" t="str">
        <f aca="false">FLOOR(B1197,10)&amp;"s"</f>
        <v>1970s</v>
      </c>
      <c r="D1197" s="4" t="s">
        <v>183</v>
      </c>
      <c r="E1197" s="25" t="str">
        <f aca="false">IF(G1197=1,"✓","")</f>
        <v>✓</v>
      </c>
      <c r="F1197" s="4" t="n">
        <v>7</v>
      </c>
      <c r="G1197" s="4" t="n">
        <f aca="false">IF(COUNTIF('Letterboxd Watched'!$E$2:$E$3000,M1197)&gt;0,1,0)</f>
        <v>1</v>
      </c>
      <c r="H1197" s="4" t="n">
        <v>17</v>
      </c>
      <c r="I1197" s="4" t="s">
        <v>144</v>
      </c>
      <c r="J1197" s="4" t="s">
        <v>50</v>
      </c>
      <c r="K1197" s="4" t="s">
        <v>5526</v>
      </c>
      <c r="L1197" s="48" t="str">
        <f aca="false">HYPERLINK("https://boxd.it/2a5e","open")</f>
        <v>open</v>
      </c>
      <c r="M1197" s="4" t="str">
        <f aca="false">LOWER(A1197)&amp;"|"&amp;B1197</f>
        <v>jaws|1975</v>
      </c>
      <c r="N1197" s="4" t="n">
        <v>0</v>
      </c>
      <c r="O1197" s="4" t="n">
        <v>1</v>
      </c>
      <c r="P1197" s="4" t="n">
        <v>0</v>
      </c>
      <c r="Q1197" s="4" t="n">
        <v>1</v>
      </c>
      <c r="R1197" s="4" t="n">
        <v>1</v>
      </c>
      <c r="S1197" s="4" t="n">
        <v>0</v>
      </c>
      <c r="T1197" s="4" t="n">
        <v>0</v>
      </c>
      <c r="U1197" s="4" t="n">
        <v>1</v>
      </c>
      <c r="V1197" s="4" t="n">
        <v>1</v>
      </c>
      <c r="W1197" s="4" t="n">
        <v>0</v>
      </c>
    </row>
    <row r="1198" customFormat="false" ht="15" hidden="false" customHeight="false" outlineLevel="0" collapsed="false">
      <c r="A1198" s="4" t="s">
        <v>3401</v>
      </c>
      <c r="B1198" s="4" t="n">
        <v>1959</v>
      </c>
      <c r="C1198" s="4" t="str">
        <f aca="false">FLOOR(B1198,10)&amp;"s"</f>
        <v>1950s</v>
      </c>
      <c r="D1198" s="4" t="s">
        <v>3402</v>
      </c>
      <c r="E1198" s="25" t="str">
        <f aca="false">IF(G1198=1,"✓","")</f>
        <v/>
      </c>
      <c r="F1198" s="4" t="n">
        <v>1</v>
      </c>
      <c r="G1198" s="4" t="n">
        <f aca="false">IF(COUNTIF('Letterboxd Watched'!$E$2:$E$3000,M1198)&gt;0,1,0)</f>
        <v>0</v>
      </c>
      <c r="H1198" s="4" t="n">
        <v>1</v>
      </c>
      <c r="I1198" s="4" t="s">
        <v>1327</v>
      </c>
      <c r="J1198" s="4" t="s">
        <v>52</v>
      </c>
      <c r="K1198" s="4" t="s">
        <v>4178</v>
      </c>
      <c r="L1198" s="48" t="str">
        <f aca="false">HYPERLINK("https://letterboxd.com/search/films/Jazz+on+a+Summers+Day+1959/","open")</f>
        <v>open</v>
      </c>
      <c r="M1198" s="4" t="str">
        <f aca="false">LOWER(A1198)&amp;"|"&amp;B1198</f>
        <v>jazz on a summer's day|1959</v>
      </c>
      <c r="N1198" s="4" t="n">
        <v>0</v>
      </c>
      <c r="O1198" s="4" t="n">
        <v>0</v>
      </c>
      <c r="P1198" s="4" t="n">
        <v>0</v>
      </c>
      <c r="Q1198" s="4" t="n">
        <v>1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 customFormat="false" ht="15" hidden="false" customHeight="false" outlineLevel="0" collapsed="false">
      <c r="A1199" s="4" t="s">
        <v>727</v>
      </c>
      <c r="B1199" s="4" t="n">
        <v>1927</v>
      </c>
      <c r="C1199" s="4" t="str">
        <f aca="false">FLOOR(B1199,10)&amp;"s"</f>
        <v>1920s</v>
      </c>
      <c r="D1199" s="4" t="s">
        <v>728</v>
      </c>
      <c r="E1199" s="25" t="str">
        <f aca="false">IF(G1199=1,"✓","")</f>
        <v/>
      </c>
      <c r="F1199" s="4" t="n">
        <v>2</v>
      </c>
      <c r="G1199" s="4" t="n">
        <f aca="false">IF(COUNTIF('Letterboxd Watched'!$E$2:$E$3000,M1199)&gt;0,1,0)</f>
        <v>0</v>
      </c>
      <c r="H1199" s="4" t="n">
        <v>5</v>
      </c>
      <c r="I1199" s="4" t="s">
        <v>144</v>
      </c>
      <c r="J1199" s="4" t="s">
        <v>50</v>
      </c>
      <c r="K1199" s="4" t="s">
        <v>5527</v>
      </c>
      <c r="L1199" s="48" t="str">
        <f aca="false">HYPERLINK("https://boxd.it/29ek","open")</f>
        <v>open</v>
      </c>
      <c r="M1199" s="4" t="str">
        <f aca="false">LOWER(A1199)&amp;"|"&amp;B1199</f>
        <v>the jazz singer|1927</v>
      </c>
      <c r="N1199" s="4" t="n">
        <v>0</v>
      </c>
      <c r="O1199" s="4" t="n">
        <v>1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1</v>
      </c>
      <c r="W1199" s="4" t="n">
        <v>0</v>
      </c>
    </row>
    <row r="1200" customFormat="false" ht="15" hidden="false" customHeight="false" outlineLevel="0" collapsed="false">
      <c r="A1200" s="4" t="s">
        <v>1336</v>
      </c>
      <c r="B1200" s="4" t="n">
        <v>1968</v>
      </c>
      <c r="C1200" s="4" t="str">
        <f aca="false">FLOOR(B1200,10)&amp;"s"</f>
        <v>1960s</v>
      </c>
      <c r="D1200" s="4" t="s">
        <v>272</v>
      </c>
      <c r="E1200" s="25" t="str">
        <f aca="false">IF(G1200=1,"✓","")</f>
        <v/>
      </c>
      <c r="F1200" s="4" t="n">
        <v>2</v>
      </c>
      <c r="G1200" s="4" t="n">
        <f aca="false">IF(COUNTIF('Letterboxd Watched'!$E$2:$E$3000,M1200)&gt;0,1,0)</f>
        <v>0</v>
      </c>
      <c r="H1200" s="4" t="n">
        <v>3</v>
      </c>
      <c r="I1200" s="4" t="s">
        <v>213</v>
      </c>
      <c r="J1200" s="4" t="s">
        <v>51</v>
      </c>
      <c r="K1200" s="4" t="s">
        <v>5528</v>
      </c>
      <c r="L1200" s="48" t="str">
        <f aca="false">HYPERLINK("https://boxd.it/23P0","open")</f>
        <v>open</v>
      </c>
      <c r="M1200" s="4" t="str">
        <f aca="false">LOWER(A1200)&amp;"|"&amp;B1200</f>
        <v>je t'aime, je t'aime|1968</v>
      </c>
      <c r="N1200" s="4" t="n">
        <v>0</v>
      </c>
      <c r="O1200" s="4" t="n">
        <v>0</v>
      </c>
      <c r="P1200" s="4" t="n">
        <v>1</v>
      </c>
      <c r="Q1200" s="4" t="n">
        <v>0</v>
      </c>
      <c r="R1200" s="4" t="n">
        <v>0</v>
      </c>
      <c r="S1200" s="4" t="n">
        <v>0</v>
      </c>
      <c r="T1200" s="4" t="n">
        <v>1</v>
      </c>
      <c r="U1200" s="4" t="n">
        <v>0</v>
      </c>
      <c r="V1200" s="4" t="n">
        <v>0</v>
      </c>
      <c r="W1200" s="4" t="n">
        <v>0</v>
      </c>
    </row>
    <row r="1201" customFormat="false" ht="15" hidden="false" customHeight="false" outlineLevel="0" collapsed="false">
      <c r="A1201" s="4" t="s">
        <v>2250</v>
      </c>
      <c r="B1201" s="4" t="n">
        <v>1974</v>
      </c>
      <c r="C1201" s="4" t="str">
        <f aca="false">FLOOR(B1201,10)&amp;"s"</f>
        <v>1970s</v>
      </c>
      <c r="D1201" s="4" t="s">
        <v>185</v>
      </c>
      <c r="E1201" s="25" t="str">
        <f aca="false">IF(G1201=1,"✓","")</f>
        <v/>
      </c>
      <c r="F1201" s="4" t="n">
        <v>1</v>
      </c>
      <c r="G1201" s="4" t="n">
        <f aca="false">IF(COUNTIF('Letterboxd Watched'!$E$2:$E$3000,M1201)&gt;0,1,0)</f>
        <v>0</v>
      </c>
      <c r="H1201" s="4" t="n">
        <v>2</v>
      </c>
      <c r="I1201" s="4" t="s">
        <v>213</v>
      </c>
      <c r="J1201" s="4" t="s">
        <v>53</v>
      </c>
      <c r="K1201" s="4" t="s">
        <v>185</v>
      </c>
      <c r="L1201" s="48" t="str">
        <f aca="false">HYPERLINK("https://boxd.it/3gWK","open")</f>
        <v>open</v>
      </c>
      <c r="M1201" s="4" t="str">
        <f aca="false">LOWER(A1201)&amp;"|"&amp;B1201</f>
        <v>je tu il elle|1974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1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</row>
    <row r="1202" customFormat="false" ht="15" hidden="false" customHeight="false" outlineLevel="0" collapsed="false">
      <c r="A1202" s="4" t="s">
        <v>184</v>
      </c>
      <c r="B1202" s="4" t="n">
        <v>1975</v>
      </c>
      <c r="C1202" s="4" t="str">
        <f aca="false">FLOOR(B1202,10)&amp;"s"</f>
        <v>1970s</v>
      </c>
      <c r="D1202" s="4" t="s">
        <v>185</v>
      </c>
      <c r="E1202" s="25" t="str">
        <f aca="false">IF(G1202=1,"✓","")</f>
        <v/>
      </c>
      <c r="F1202" s="4" t="n">
        <v>8</v>
      </c>
      <c r="G1202" s="4" t="n">
        <f aca="false">IF(COUNTIF('Letterboxd Watched'!$E$2:$E$3000,M1202)&gt;0,1,0)</f>
        <v>0</v>
      </c>
      <c r="H1202" s="4" t="n">
        <v>17</v>
      </c>
      <c r="I1202" s="4" t="s">
        <v>144</v>
      </c>
      <c r="J1202" s="4" t="s">
        <v>53</v>
      </c>
      <c r="K1202" s="4" t="s">
        <v>5529</v>
      </c>
      <c r="L1202" s="48" t="str">
        <f aca="false">HYPERLINK("https://boxd.it/T18","open")</f>
        <v>open</v>
      </c>
      <c r="M1202" s="4" t="str">
        <f aca="false">LOWER(A1202)&amp;"|"&amp;B1202</f>
        <v>jeanne dielman, 23, quai du commerce, 1080 bruxelles|1975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1</v>
      </c>
      <c r="S1202" s="4" t="n">
        <v>1</v>
      </c>
      <c r="T1202" s="4" t="n">
        <v>1</v>
      </c>
      <c r="U1202" s="4" t="n">
        <v>0</v>
      </c>
      <c r="V1202" s="4" t="n">
        <v>1</v>
      </c>
      <c r="W1202" s="4" t="n">
        <v>0</v>
      </c>
    </row>
    <row r="1203" customFormat="false" ht="15" hidden="false" customHeight="false" outlineLevel="0" collapsed="false">
      <c r="A1203" s="4" t="s">
        <v>2931</v>
      </c>
      <c r="B1203" s="4" t="n">
        <v>2009</v>
      </c>
      <c r="C1203" s="4" t="str">
        <f aca="false">FLOOR(B1203,10)&amp;"s"</f>
        <v>2000s</v>
      </c>
      <c r="D1203" s="4" t="s">
        <v>2932</v>
      </c>
      <c r="E1203" s="25" t="str">
        <f aca="false">IF(G1203=1,"✓","")</f>
        <v/>
      </c>
      <c r="F1203" s="4" t="n">
        <v>1</v>
      </c>
      <c r="G1203" s="4" t="n">
        <f aca="false">IF(COUNTIF('Letterboxd Watched'!$E$2:$E$3000,M1203)&gt;0,1,0)</f>
        <v>0</v>
      </c>
      <c r="H1203" s="4" t="n">
        <v>2</v>
      </c>
      <c r="I1203" s="4" t="s">
        <v>213</v>
      </c>
      <c r="J1203" s="4" t="s">
        <v>54</v>
      </c>
      <c r="K1203" s="4" t="s">
        <v>4282</v>
      </c>
      <c r="L1203" s="48" t="str">
        <f aca="false">HYPERLINK("https://boxd.it/1Efw","open")</f>
        <v>open</v>
      </c>
      <c r="M1203" s="4" t="str">
        <f aca="false">LOWER(A1203)&amp;"|"&amp;B1203</f>
        <v>jennifer's body|2009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1</v>
      </c>
      <c r="T1203" s="4" t="n">
        <v>0</v>
      </c>
      <c r="U1203" s="4" t="n">
        <v>0</v>
      </c>
      <c r="V1203" s="4" t="n">
        <v>0</v>
      </c>
      <c r="W1203" s="4" t="n">
        <v>0</v>
      </c>
    </row>
    <row r="1204" customFormat="false" ht="15" hidden="false" customHeight="false" outlineLevel="0" collapsed="false">
      <c r="A1204" s="4" t="s">
        <v>2651</v>
      </c>
      <c r="B1204" s="4" t="n">
        <v>1996</v>
      </c>
      <c r="C1204" s="4" t="str">
        <f aca="false">FLOOR(B1204,10)&amp;"s"</f>
        <v>1990s</v>
      </c>
      <c r="D1204" s="4" t="s">
        <v>1376</v>
      </c>
      <c r="E1204" s="25" t="str">
        <f aca="false">IF(G1204=1,"✓","")</f>
        <v/>
      </c>
      <c r="F1204" s="4" t="n">
        <v>1</v>
      </c>
      <c r="G1204" s="4" t="n">
        <f aca="false">IF(COUNTIF('Letterboxd Watched'!$E$2:$E$3000,M1204)&gt;0,1,0)</f>
        <v>0</v>
      </c>
      <c r="H1204" s="4" t="n">
        <v>2</v>
      </c>
      <c r="I1204" s="4" t="s">
        <v>213</v>
      </c>
      <c r="J1204" s="4" t="s">
        <v>55</v>
      </c>
      <c r="K1204" s="4" t="s">
        <v>4364</v>
      </c>
      <c r="L1204" s="48" t="str">
        <f aca="false">HYPERLINK("https://boxd.it/1YNS","open")</f>
        <v>open</v>
      </c>
      <c r="M1204" s="4" t="str">
        <f aca="false">LOWER(A1204)&amp;"|"&amp;B1204</f>
        <v>jerry maguire|1996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1</v>
      </c>
      <c r="U1204" s="4" t="n">
        <v>0</v>
      </c>
      <c r="V1204" s="4" t="n">
        <v>0</v>
      </c>
      <c r="W1204" s="4" t="n">
        <v>0</v>
      </c>
    </row>
    <row r="1205" customFormat="false" ht="15" hidden="false" customHeight="false" outlineLevel="0" collapsed="false">
      <c r="A1205" s="4" t="s">
        <v>2490</v>
      </c>
      <c r="B1205" s="4" t="n">
        <v>1989</v>
      </c>
      <c r="C1205" s="4" t="str">
        <f aca="false">FLOOR(B1205,10)&amp;"s"</f>
        <v>1980s</v>
      </c>
      <c r="D1205" s="4" t="s">
        <v>2432</v>
      </c>
      <c r="E1205" s="25" t="str">
        <f aca="false">IF(G1205=1,"✓","")</f>
        <v/>
      </c>
      <c r="F1205" s="4" t="n">
        <v>1</v>
      </c>
      <c r="G1205" s="4" t="n">
        <f aca="false">IF(COUNTIF('Letterboxd Watched'!$E$2:$E$3000,M1205)&gt;0,1,0)</f>
        <v>0</v>
      </c>
      <c r="H1205" s="4" t="n">
        <v>2</v>
      </c>
      <c r="I1205" s="4" t="s">
        <v>213</v>
      </c>
      <c r="J1205" s="4" t="s">
        <v>51</v>
      </c>
      <c r="K1205" s="4" t="s">
        <v>4040</v>
      </c>
      <c r="L1205" s="48" t="str">
        <f aca="false">HYPERLINK("https://letterboxd.com/search/films/Jesus+of+Montreal+1989/","open")</f>
        <v>open</v>
      </c>
      <c r="M1205" s="4" t="str">
        <f aca="false">LOWER(A1205)&amp;"|"&amp;B1205</f>
        <v>jesus of montreal|1989</v>
      </c>
      <c r="N1205" s="4" t="n">
        <v>0</v>
      </c>
      <c r="O1205" s="4" t="n">
        <v>0</v>
      </c>
      <c r="P1205" s="4" t="n">
        <v>1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</row>
    <row r="1206" customFormat="false" ht="15" hidden="false" customHeight="false" outlineLevel="0" collapsed="false">
      <c r="A1206" s="4" t="s">
        <v>415</v>
      </c>
      <c r="B1206" s="4" t="n">
        <v>1962</v>
      </c>
      <c r="C1206" s="4" t="str">
        <f aca="false">FLOOR(B1206,10)&amp;"s"</f>
        <v>1960s</v>
      </c>
      <c r="D1206" s="4" t="s">
        <v>416</v>
      </c>
      <c r="E1206" s="25" t="str">
        <f aca="false">IF(G1206=1,"✓","")</f>
        <v/>
      </c>
      <c r="F1206" s="4" t="n">
        <v>3</v>
      </c>
      <c r="G1206" s="4" t="n">
        <f aca="false">IF(COUNTIF('Letterboxd Watched'!$E$2:$E$3000,M1206)&gt;0,1,0)</f>
        <v>0</v>
      </c>
      <c r="H1206" s="4" t="n">
        <v>8</v>
      </c>
      <c r="I1206" s="4" t="s">
        <v>144</v>
      </c>
      <c r="J1206" s="4" t="s">
        <v>51</v>
      </c>
      <c r="K1206" s="4" t="s">
        <v>5530</v>
      </c>
      <c r="L1206" s="48" t="str">
        <f aca="false">HYPERLINK("https://boxd.it/29Sk","open")</f>
        <v>open</v>
      </c>
      <c r="M1206" s="4" t="str">
        <f aca="false">LOWER(A1206)&amp;"|"&amp;B1206</f>
        <v>la jetée|1962</v>
      </c>
      <c r="N1206" s="4" t="n">
        <v>0</v>
      </c>
      <c r="O1206" s="4" t="n">
        <v>0</v>
      </c>
      <c r="P1206" s="4" t="n">
        <v>1</v>
      </c>
      <c r="Q1206" s="4" t="n">
        <v>1</v>
      </c>
      <c r="R1206" s="4" t="n">
        <v>0</v>
      </c>
      <c r="S1206" s="4" t="n">
        <v>0</v>
      </c>
      <c r="T1206" s="4" t="n">
        <v>1</v>
      </c>
      <c r="U1206" s="4" t="n">
        <v>0</v>
      </c>
      <c r="V1206" s="4" t="n">
        <v>0</v>
      </c>
      <c r="W1206" s="4" t="n">
        <v>0</v>
      </c>
    </row>
    <row r="1207" customFormat="false" ht="15" hidden="false" customHeight="false" outlineLevel="0" collapsed="false">
      <c r="A1207" s="4" t="s">
        <v>1101</v>
      </c>
      <c r="B1207" s="4" t="n">
        <v>1991</v>
      </c>
      <c r="C1207" s="4" t="str">
        <f aca="false">FLOOR(B1207,10)&amp;"s"</f>
        <v>1990s</v>
      </c>
      <c r="D1207" s="4" t="s">
        <v>816</v>
      </c>
      <c r="E1207" s="25" t="str">
        <f aca="false">IF(G1207=1,"✓","")</f>
        <v/>
      </c>
      <c r="F1207" s="4" t="n">
        <v>2</v>
      </c>
      <c r="G1207" s="4" t="n">
        <f aca="false">IF(COUNTIF('Letterboxd Watched'!$E$2:$E$3000,M1207)&gt;0,1,0)</f>
        <v>0</v>
      </c>
      <c r="H1207" s="4" t="n">
        <v>4</v>
      </c>
      <c r="I1207" s="4" t="s">
        <v>213</v>
      </c>
      <c r="J1207" s="4" t="s">
        <v>49</v>
      </c>
      <c r="K1207" s="4" t="s">
        <v>5531</v>
      </c>
      <c r="L1207" s="48" t="str">
        <f aca="false">HYPERLINK("https://boxd.it/29xm","open")</f>
        <v>open</v>
      </c>
      <c r="M1207" s="4" t="str">
        <f aca="false">LOWER(A1207)&amp;"|"&amp;B1207</f>
        <v>jfk|1991</v>
      </c>
      <c r="N1207" s="4" t="n">
        <v>1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1</v>
      </c>
      <c r="U1207" s="4" t="n">
        <v>0</v>
      </c>
      <c r="V1207" s="4" t="n">
        <v>0</v>
      </c>
      <c r="W1207" s="4" t="n">
        <v>0</v>
      </c>
    </row>
    <row r="1208" customFormat="false" ht="15" hidden="false" customHeight="false" outlineLevel="0" collapsed="false">
      <c r="A1208" s="4" t="s">
        <v>3407</v>
      </c>
      <c r="B1208" s="4" t="n">
        <v>1960</v>
      </c>
      <c r="C1208" s="4" t="str">
        <f aca="false">FLOOR(B1208,10)&amp;"s"</f>
        <v>1960s</v>
      </c>
      <c r="D1208" s="4" t="s">
        <v>3397</v>
      </c>
      <c r="E1208" s="25" t="str">
        <f aca="false">IF(G1208=1,"✓","")</f>
        <v/>
      </c>
      <c r="F1208" s="4" t="n">
        <v>1</v>
      </c>
      <c r="G1208" s="4" t="n">
        <f aca="false">IF(COUNTIF('Letterboxd Watched'!$E$2:$E$3000,M1208)&gt;0,1,0)</f>
        <v>0</v>
      </c>
      <c r="H1208" s="4" t="n">
        <v>1</v>
      </c>
      <c r="I1208" s="4" t="s">
        <v>1327</v>
      </c>
      <c r="J1208" s="4" t="s">
        <v>52</v>
      </c>
      <c r="K1208" s="4" t="s">
        <v>4074</v>
      </c>
      <c r="L1208" s="48" t="str">
        <f aca="false">HYPERLINK("https://letterboxd.com/search/films/Jigoku+1960/","open")</f>
        <v>open</v>
      </c>
      <c r="M1208" s="4" t="str">
        <f aca="false">LOWER(A1208)&amp;"|"&amp;B1208</f>
        <v>jigoku|1960</v>
      </c>
      <c r="N1208" s="4" t="n">
        <v>0</v>
      </c>
      <c r="O1208" s="4" t="n">
        <v>0</v>
      </c>
      <c r="P1208" s="4" t="n">
        <v>0</v>
      </c>
      <c r="Q1208" s="4" t="n">
        <v>1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</row>
    <row r="1209" customFormat="false" ht="15" hidden="false" customHeight="false" outlineLevel="0" collapsed="false">
      <c r="A1209" s="4" t="s">
        <v>3080</v>
      </c>
      <c r="B1209" s="4" t="n">
        <v>2015</v>
      </c>
      <c r="C1209" s="4" t="str">
        <f aca="false">FLOOR(B1209,10)&amp;"s"</f>
        <v>2010s</v>
      </c>
      <c r="D1209" s="4" t="s">
        <v>1588</v>
      </c>
      <c r="E1209" s="25" t="str">
        <f aca="false">IF(G1209=1,"✓","")</f>
        <v/>
      </c>
      <c r="F1209" s="4" t="n">
        <v>1</v>
      </c>
      <c r="G1209" s="4" t="n">
        <f aca="false">IF(COUNTIF('Letterboxd Watched'!$E$2:$E$3000,M1209)&gt;0,1,0)</f>
        <v>0</v>
      </c>
      <c r="H1209" s="4" t="n">
        <v>2</v>
      </c>
      <c r="I1209" s="4" t="s">
        <v>213</v>
      </c>
      <c r="J1209" s="4" t="s">
        <v>52</v>
      </c>
      <c r="K1209" s="4" t="s">
        <v>4176</v>
      </c>
      <c r="L1209" s="48" t="str">
        <f aca="false">HYPERLINK("https://letterboxd.com/search/films/The+Jinx+2015/","open")</f>
        <v>open</v>
      </c>
      <c r="M1209" s="4" t="str">
        <f aca="false">LOWER(A1209)&amp;"|"&amp;B1209</f>
        <v>the jinx|2015</v>
      </c>
      <c r="N1209" s="4" t="n">
        <v>0</v>
      </c>
      <c r="O1209" s="4" t="n">
        <v>0</v>
      </c>
      <c r="P1209" s="4" t="n">
        <v>0</v>
      </c>
      <c r="Q1209" s="4" t="n">
        <v>1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 customFormat="false" ht="15" hidden="false" customHeight="false" outlineLevel="0" collapsed="false">
      <c r="A1210" s="4" t="s">
        <v>2984</v>
      </c>
      <c r="B1210" s="4" t="n">
        <v>2011</v>
      </c>
      <c r="C1210" s="4" t="str">
        <f aca="false">FLOOR(B1210,10)&amp;"s"</f>
        <v>2010s</v>
      </c>
      <c r="D1210" s="4" t="s">
        <v>2985</v>
      </c>
      <c r="E1210" s="25" t="str">
        <f aca="false">IF(G1210=1,"✓","")</f>
        <v/>
      </c>
      <c r="F1210" s="4" t="n">
        <v>1</v>
      </c>
      <c r="G1210" s="4" t="n">
        <f aca="false">IF(COUNTIF('Letterboxd Watched'!$E$2:$E$3000,M1210)&gt;0,1,0)</f>
        <v>0</v>
      </c>
      <c r="H1210" s="4" t="n">
        <v>2</v>
      </c>
      <c r="I1210" s="4" t="s">
        <v>213</v>
      </c>
      <c r="J1210" s="4" t="s">
        <v>55</v>
      </c>
      <c r="K1210" s="4" t="s">
        <v>4368</v>
      </c>
      <c r="L1210" s="48" t="str">
        <f aca="false">HYPERLINK("https://boxd.it/2ONU","open")</f>
        <v>open</v>
      </c>
      <c r="M1210" s="4" t="str">
        <f aca="false">LOWER(A1210)&amp;"|"&amp;B1210</f>
        <v>jiro dreams of sushi|2011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1</v>
      </c>
      <c r="U1210" s="4" t="n">
        <v>0</v>
      </c>
      <c r="V1210" s="4" t="n">
        <v>0</v>
      </c>
      <c r="W1210" s="4" t="n">
        <v>0</v>
      </c>
    </row>
    <row r="1211" customFormat="false" ht="15" hidden="false" customHeight="false" outlineLevel="0" collapsed="false">
      <c r="A1211" s="4" t="s">
        <v>2131</v>
      </c>
      <c r="B1211" s="4" t="n">
        <v>1968</v>
      </c>
      <c r="C1211" s="4" t="str">
        <f aca="false">FLOOR(B1211,10)&amp;"s"</f>
        <v>1960s</v>
      </c>
      <c r="D1211" s="4" t="s">
        <v>2132</v>
      </c>
      <c r="E1211" s="25" t="str">
        <f aca="false">IF(G1211=1,"✓","")</f>
        <v/>
      </c>
      <c r="F1211" s="4" t="n">
        <v>1</v>
      </c>
      <c r="G1211" s="4" t="n">
        <f aca="false">IF(COUNTIF('Letterboxd Watched'!$E$2:$E$3000,M1211)&gt;0,1,0)</f>
        <v>0</v>
      </c>
      <c r="H1211" s="4" t="n">
        <v>2</v>
      </c>
      <c r="I1211" s="4" t="s">
        <v>213</v>
      </c>
      <c r="J1211" s="4" t="s">
        <v>57</v>
      </c>
      <c r="K1211" s="4" t="s">
        <v>4442</v>
      </c>
      <c r="L1211" s="48" t="str">
        <f aca="false">HYPERLINK("https://letterboxd.com/search/films/Joanna+1968/","open")</f>
        <v>open</v>
      </c>
      <c r="M1211" s="4" t="str">
        <f aca="false">LOWER(A1211)&amp;"|"&amp;B1211</f>
        <v>joanna|1968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1</v>
      </c>
      <c r="W1211" s="4" t="n">
        <v>0</v>
      </c>
    </row>
    <row r="1212" customFormat="false" ht="15" hidden="false" customHeight="false" outlineLevel="0" collapsed="false">
      <c r="A1212" s="4" t="s">
        <v>3057</v>
      </c>
      <c r="B1212" s="4" t="n">
        <v>2014</v>
      </c>
      <c r="C1212" s="4" t="str">
        <f aca="false">FLOOR(B1212,10)&amp;"s"</f>
        <v>2010s</v>
      </c>
      <c r="D1212" s="4" t="s">
        <v>3058</v>
      </c>
      <c r="E1212" s="25" t="str">
        <f aca="false">IF(G1212=1,"✓","")</f>
        <v/>
      </c>
      <c r="F1212" s="4" t="n">
        <v>1</v>
      </c>
      <c r="G1212" s="4" t="n">
        <f aca="false">IF(COUNTIF('Letterboxd Watched'!$E$2:$E$3000,M1212)&gt;0,1,0)</f>
        <v>0</v>
      </c>
      <c r="H1212" s="4" t="n">
        <v>2</v>
      </c>
      <c r="I1212" s="4" t="s">
        <v>213</v>
      </c>
      <c r="J1212" s="4" t="s">
        <v>52</v>
      </c>
      <c r="K1212" s="4" t="s">
        <v>4160</v>
      </c>
      <c r="L1212" s="48" t="str">
        <f aca="false">HYPERLINK("https://boxd.it/7dEc","open")</f>
        <v>open</v>
      </c>
      <c r="M1212" s="4" t="str">
        <f aca="false">LOWER(A1212)&amp;"|"&amp;B1212</f>
        <v>john wick|2014</v>
      </c>
      <c r="N1212" s="4" t="n">
        <v>0</v>
      </c>
      <c r="O1212" s="4" t="n">
        <v>0</v>
      </c>
      <c r="P1212" s="4" t="n">
        <v>0</v>
      </c>
      <c r="Q1212" s="4" t="n">
        <v>1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</row>
    <row r="1213" customFormat="false" ht="15" hidden="false" customHeight="false" outlineLevel="0" collapsed="false">
      <c r="A1213" s="4" t="s">
        <v>2181</v>
      </c>
      <c r="B1213" s="4" t="n">
        <v>1971</v>
      </c>
      <c r="C1213" s="4" t="str">
        <f aca="false">FLOOR(B1213,10)&amp;"s"</f>
        <v>1970s</v>
      </c>
      <c r="D1213" s="4" t="s">
        <v>2182</v>
      </c>
      <c r="E1213" s="25" t="str">
        <f aca="false">IF(G1213=1,"✓","")</f>
        <v/>
      </c>
      <c r="F1213" s="4" t="n">
        <v>1</v>
      </c>
      <c r="G1213" s="4" t="n">
        <f aca="false">IF(COUNTIF('Letterboxd Watched'!$E$2:$E$3000,M1213)&gt;0,1,0)</f>
        <v>0</v>
      </c>
      <c r="H1213" s="4" t="n">
        <v>2</v>
      </c>
      <c r="I1213" s="4" t="s">
        <v>213</v>
      </c>
      <c r="J1213" s="4" t="s">
        <v>52</v>
      </c>
      <c r="K1213" s="4" t="s">
        <v>4142</v>
      </c>
      <c r="L1213" s="48" t="str">
        <f aca="false">HYPERLINK("https://letterboxd.com/search/films/Johnny+Got+His+Gun+1971/","open")</f>
        <v>open</v>
      </c>
      <c r="M1213" s="4" t="str">
        <f aca="false">LOWER(A1213)&amp;"|"&amp;B1213</f>
        <v>johnny got his gun|1971</v>
      </c>
      <c r="N1213" s="4" t="n">
        <v>0</v>
      </c>
      <c r="O1213" s="4" t="n">
        <v>0</v>
      </c>
      <c r="P1213" s="4" t="n">
        <v>0</v>
      </c>
      <c r="Q1213" s="4" t="n">
        <v>1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 customFormat="false" ht="15" hidden="false" customHeight="false" outlineLevel="0" collapsed="false">
      <c r="A1214" s="4" t="s">
        <v>943</v>
      </c>
      <c r="B1214" s="4" t="n">
        <v>1954</v>
      </c>
      <c r="C1214" s="4" t="str">
        <f aca="false">FLOOR(B1214,10)&amp;"s"</f>
        <v>1950s</v>
      </c>
      <c r="D1214" s="4" t="s">
        <v>270</v>
      </c>
      <c r="E1214" s="25" t="str">
        <f aca="false">IF(G1214=1,"✓","")</f>
        <v/>
      </c>
      <c r="F1214" s="4" t="n">
        <v>2</v>
      </c>
      <c r="G1214" s="4" t="n">
        <f aca="false">IF(COUNTIF('Letterboxd Watched'!$E$2:$E$3000,M1214)&gt;0,1,0)</f>
        <v>0</v>
      </c>
      <c r="H1214" s="4" t="n">
        <v>4</v>
      </c>
      <c r="I1214" s="4" t="s">
        <v>213</v>
      </c>
      <c r="J1214" s="4" t="s">
        <v>52</v>
      </c>
      <c r="K1214" s="4" t="s">
        <v>5532</v>
      </c>
      <c r="L1214" s="48" t="str">
        <f aca="false">HYPERLINK("https://boxd.it/1tyW","open")</f>
        <v>open</v>
      </c>
      <c r="M1214" s="4" t="str">
        <f aca="false">LOWER(A1214)&amp;"|"&amp;B1214</f>
        <v>johnny guitar|1954</v>
      </c>
      <c r="N1214" s="4" t="n">
        <v>0</v>
      </c>
      <c r="O1214" s="4" t="n">
        <v>0</v>
      </c>
      <c r="P1214" s="4" t="n">
        <v>0</v>
      </c>
      <c r="Q1214" s="4" t="n">
        <v>1</v>
      </c>
      <c r="R1214" s="4" t="n">
        <v>1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</row>
    <row r="1215" customFormat="false" ht="15" hidden="false" customHeight="false" outlineLevel="0" collapsed="false">
      <c r="A1215" s="4" t="s">
        <v>3688</v>
      </c>
      <c r="B1215" s="4" t="n">
        <v>1995</v>
      </c>
      <c r="C1215" s="4" t="str">
        <f aca="false">FLOOR(B1215,10)&amp;"s"</f>
        <v>1990s</v>
      </c>
      <c r="D1215" s="4" t="s">
        <v>3689</v>
      </c>
      <c r="E1215" s="25" t="str">
        <f aca="false">IF(G1215=1,"✓","")</f>
        <v/>
      </c>
      <c r="F1215" s="4" t="n">
        <v>1</v>
      </c>
      <c r="G1215" s="4" t="n">
        <f aca="false">IF(COUNTIF('Letterboxd Watched'!$E$2:$E$3000,M1215)&gt;0,1,0)</f>
        <v>0</v>
      </c>
      <c r="H1215" s="4" t="n">
        <v>1</v>
      </c>
      <c r="I1215" s="4" t="s">
        <v>1327</v>
      </c>
      <c r="J1215" s="4" t="s">
        <v>52</v>
      </c>
      <c r="K1215" s="4" t="s">
        <v>4088</v>
      </c>
      <c r="L1215" s="48" t="str">
        <f aca="false">HYPERLINK("https://letterboxd.com/search/films/Johnny+Mnemonic+1995/","open")</f>
        <v>open</v>
      </c>
      <c r="M1215" s="4" t="str">
        <f aca="false">LOWER(A1215)&amp;"|"&amp;B1215</f>
        <v>johnny mnemonic|1995</v>
      </c>
      <c r="N1215" s="4" t="n">
        <v>0</v>
      </c>
      <c r="O1215" s="4" t="n">
        <v>0</v>
      </c>
      <c r="P1215" s="4" t="n">
        <v>0</v>
      </c>
      <c r="Q1215" s="4" t="n">
        <v>1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</row>
    <row r="1216" customFormat="false" ht="15" hidden="false" customHeight="false" outlineLevel="0" collapsed="false">
      <c r="A1216" s="4" t="s">
        <v>1141</v>
      </c>
      <c r="B1216" s="4" t="n">
        <v>2000</v>
      </c>
      <c r="C1216" s="4" t="str">
        <f aca="false">FLOOR(B1216,10)&amp;"s"</f>
        <v>2000s</v>
      </c>
      <c r="D1216" s="4" t="s">
        <v>685</v>
      </c>
      <c r="E1216" s="25" t="str">
        <f aca="false">IF(G1216=1,"✓","")</f>
        <v/>
      </c>
      <c r="F1216" s="4" t="n">
        <v>2</v>
      </c>
      <c r="G1216" s="4" t="n">
        <f aca="false">IF(COUNTIF('Letterboxd Watched'!$E$2:$E$3000,M1216)&gt;0,1,0)</f>
        <v>0</v>
      </c>
      <c r="H1216" s="4" t="n">
        <v>4</v>
      </c>
      <c r="I1216" s="4" t="s">
        <v>213</v>
      </c>
      <c r="J1216" s="4" t="s">
        <v>51</v>
      </c>
      <c r="K1216" s="4" t="s">
        <v>5533</v>
      </c>
      <c r="L1216" s="48" t="str">
        <f aca="false">HYPERLINK("https://boxd.it/26Ja","open")</f>
        <v>open</v>
      </c>
      <c r="M1216" s="4" t="str">
        <f aca="false">LOWER(A1216)&amp;"|"&amp;B1216</f>
        <v>joint security area|2000</v>
      </c>
      <c r="N1216" s="4" t="n">
        <v>0</v>
      </c>
      <c r="O1216" s="4" t="n">
        <v>0</v>
      </c>
      <c r="P1216" s="4" t="n">
        <v>1</v>
      </c>
      <c r="Q1216" s="4" t="n">
        <v>0</v>
      </c>
      <c r="R1216" s="4" t="n">
        <v>1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 customFormat="false" ht="15" hidden="false" customHeight="false" outlineLevel="0" collapsed="false">
      <c r="A1217" s="4" t="s">
        <v>3177</v>
      </c>
      <c r="B1217" s="4" t="n">
        <v>2019</v>
      </c>
      <c r="C1217" s="4" t="str">
        <f aca="false">FLOOR(B1217,10)&amp;"s"</f>
        <v>2010s</v>
      </c>
      <c r="D1217" s="4" t="s">
        <v>1410</v>
      </c>
      <c r="E1217" s="25" t="str">
        <f aca="false">IF(G1217=1,"✓","")</f>
        <v>✓</v>
      </c>
      <c r="F1217" s="4" t="n">
        <v>1</v>
      </c>
      <c r="G1217" s="4" t="n">
        <f aca="false">IF(COUNTIF('Letterboxd Watched'!$E$2:$E$3000,M1217)&gt;0,1,0)</f>
        <v>1</v>
      </c>
      <c r="H1217" s="4" t="n">
        <v>2</v>
      </c>
      <c r="I1217" s="4" t="s">
        <v>213</v>
      </c>
      <c r="J1217" s="4" t="s">
        <v>52</v>
      </c>
      <c r="K1217" s="4" t="s">
        <v>4142</v>
      </c>
      <c r="L1217" s="48" t="str">
        <f aca="false">HYPERLINK("https://boxd.it/iEBG","open")</f>
        <v>open</v>
      </c>
      <c r="M1217" s="4" t="str">
        <f aca="false">LOWER(A1217)&amp;"|"&amp;B1217</f>
        <v>jojo rabbit|2019</v>
      </c>
      <c r="N1217" s="4" t="n">
        <v>0</v>
      </c>
      <c r="O1217" s="4" t="n">
        <v>0</v>
      </c>
      <c r="P1217" s="4" t="n">
        <v>0</v>
      </c>
      <c r="Q1217" s="4" t="n">
        <v>1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 customFormat="false" ht="15" hidden="false" customHeight="false" outlineLevel="0" collapsed="false">
      <c r="A1218" s="4" t="s">
        <v>1339</v>
      </c>
      <c r="B1218" s="4" t="n">
        <v>1969</v>
      </c>
      <c r="C1218" s="4" t="str">
        <f aca="false">FLOOR(B1218,10)&amp;"s"</f>
        <v>1960s</v>
      </c>
      <c r="D1218" s="4" t="s">
        <v>1340</v>
      </c>
      <c r="E1218" s="25" t="str">
        <f aca="false">IF(G1218=1,"✓","")</f>
        <v/>
      </c>
      <c r="F1218" s="4" t="n">
        <v>2</v>
      </c>
      <c r="G1218" s="4" t="n">
        <f aca="false">IF(COUNTIF('Letterboxd Watched'!$E$2:$E$3000,M1218)&gt;0,1,0)</f>
        <v>0</v>
      </c>
      <c r="H1218" s="4" t="n">
        <v>3</v>
      </c>
      <c r="I1218" s="4" t="s">
        <v>213</v>
      </c>
      <c r="J1218" s="4" t="s">
        <v>51</v>
      </c>
      <c r="K1218" s="4" t="s">
        <v>5327</v>
      </c>
      <c r="L1218" s="48" t="str">
        <f aca="false">HYPERLINK("https://boxd.it/3A8q","open")</f>
        <v>open</v>
      </c>
      <c r="M1218" s="4" t="str">
        <f aca="false">LOWER(A1218)&amp;"|"&amp;B1218</f>
        <v>the joke|1969</v>
      </c>
      <c r="N1218" s="4" t="n">
        <v>0</v>
      </c>
      <c r="O1218" s="4" t="n">
        <v>0</v>
      </c>
      <c r="P1218" s="4" t="n">
        <v>1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1</v>
      </c>
      <c r="W1218" s="4" t="n">
        <v>0</v>
      </c>
    </row>
    <row r="1219" customFormat="false" ht="15" hidden="false" customHeight="false" outlineLevel="0" collapsed="false">
      <c r="A1219" s="4" t="s">
        <v>1781</v>
      </c>
      <c r="B1219" s="4" t="n">
        <v>1939</v>
      </c>
      <c r="C1219" s="4" t="str">
        <f aca="false">FLOOR(B1219,10)&amp;"s"</f>
        <v>1930s</v>
      </c>
      <c r="D1219" s="4" t="s">
        <v>1775</v>
      </c>
      <c r="E1219" s="25" t="str">
        <f aca="false">IF(G1219=1,"✓","")</f>
        <v/>
      </c>
      <c r="F1219" s="4" t="n">
        <v>1</v>
      </c>
      <c r="G1219" s="4" t="n">
        <f aca="false">IF(COUNTIF('Letterboxd Watched'!$E$2:$E$3000,M1219)&gt;0,1,0)</f>
        <v>0</v>
      </c>
      <c r="H1219" s="4" t="n">
        <v>2</v>
      </c>
      <c r="I1219" s="4" t="s">
        <v>213</v>
      </c>
      <c r="J1219" s="4" t="s">
        <v>51</v>
      </c>
      <c r="K1219" s="4" t="s">
        <v>3958</v>
      </c>
      <c r="L1219" s="48" t="str">
        <f aca="false">HYPERLINK("https://letterboxd.com/search/films/Le+Jour+Se+Lève+1939/","open")</f>
        <v>open</v>
      </c>
      <c r="M1219" s="4" t="str">
        <f aca="false">LOWER(A1219)&amp;"|"&amp;B1219</f>
        <v>le jour se lève|1939</v>
      </c>
      <c r="N1219" s="4" t="n">
        <v>0</v>
      </c>
      <c r="O1219" s="4" t="n">
        <v>0</v>
      </c>
      <c r="P1219" s="4" t="n">
        <v>1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 customFormat="false" ht="15" hidden="false" customHeight="false" outlineLevel="0" collapsed="false">
      <c r="A1220" s="4" t="s">
        <v>267</v>
      </c>
      <c r="B1220" s="4" t="n">
        <v>1954</v>
      </c>
      <c r="C1220" s="4" t="str">
        <f aca="false">FLOOR(B1220,10)&amp;"s"</f>
        <v>1950s</v>
      </c>
      <c r="D1220" s="4" t="s">
        <v>268</v>
      </c>
      <c r="E1220" s="25" t="str">
        <f aca="false">IF(G1220=1,"✓","")</f>
        <v/>
      </c>
      <c r="F1220" s="4" t="n">
        <v>6</v>
      </c>
      <c r="G1220" s="4" t="n">
        <f aca="false">IF(COUNTIF('Letterboxd Watched'!$E$2:$E$3000,M1220)&gt;0,1,0)</f>
        <v>0</v>
      </c>
      <c r="H1220" s="4" t="n">
        <v>11</v>
      </c>
      <c r="I1220" s="4" t="s">
        <v>144</v>
      </c>
      <c r="J1220" s="4" t="s">
        <v>50</v>
      </c>
      <c r="K1220" s="4" t="s">
        <v>5534</v>
      </c>
      <c r="L1220" s="48" t="str">
        <f aca="false">HYPERLINK("https://boxd.it/26o2","open")</f>
        <v>open</v>
      </c>
      <c r="M1220" s="4" t="str">
        <f aca="false">LOWER(A1220)&amp;"|"&amp;B1220</f>
        <v>journey to italy|1954</v>
      </c>
      <c r="N1220" s="4" t="n">
        <v>0</v>
      </c>
      <c r="O1220" s="4" t="n">
        <v>1</v>
      </c>
      <c r="P1220" s="4" t="n">
        <v>0</v>
      </c>
      <c r="Q1220" s="4" t="n">
        <v>1</v>
      </c>
      <c r="R1220" s="4" t="n">
        <v>0</v>
      </c>
      <c r="S1220" s="4" t="n">
        <v>1</v>
      </c>
      <c r="T1220" s="4" t="n">
        <v>1</v>
      </c>
      <c r="U1220" s="4" t="n">
        <v>0</v>
      </c>
      <c r="V1220" s="4" t="n">
        <v>1</v>
      </c>
      <c r="W1220" s="4" t="n">
        <v>0</v>
      </c>
    </row>
    <row r="1221" customFormat="false" ht="15" hidden="false" customHeight="false" outlineLevel="0" collapsed="false">
      <c r="A1221" s="4" t="s">
        <v>2772</v>
      </c>
      <c r="B1221" s="4" t="n">
        <v>2002</v>
      </c>
      <c r="C1221" s="4" t="str">
        <f aca="false">FLOOR(B1221,10)&amp;"s"</f>
        <v>2000s</v>
      </c>
      <c r="D1221" s="4" t="s">
        <v>2773</v>
      </c>
      <c r="E1221" s="25" t="str">
        <f aca="false">IF(G1221=1,"✓","")</f>
        <v/>
      </c>
      <c r="F1221" s="4" t="n">
        <v>1</v>
      </c>
      <c r="G1221" s="4" t="n">
        <f aca="false">IF(COUNTIF('Letterboxd Watched'!$E$2:$E$3000,M1221)&gt;0,1,0)</f>
        <v>0</v>
      </c>
      <c r="H1221" s="4" t="n">
        <v>2</v>
      </c>
      <c r="I1221" s="4" t="s">
        <v>213</v>
      </c>
      <c r="J1221" s="4" t="s">
        <v>52</v>
      </c>
      <c r="K1221" s="4" t="s">
        <v>4074</v>
      </c>
      <c r="L1221" s="48" t="str">
        <f aca="false">HYPERLINK("https://boxd.it/1SY6","open")</f>
        <v>open</v>
      </c>
      <c r="M1221" s="4" t="str">
        <f aca="false">LOWER(A1221)&amp;"|"&amp;B1221</f>
        <v>ju-on: the grudge|2002</v>
      </c>
      <c r="N1221" s="4" t="n">
        <v>0</v>
      </c>
      <c r="O1221" s="4" t="n">
        <v>0</v>
      </c>
      <c r="P1221" s="4" t="n">
        <v>0</v>
      </c>
      <c r="Q1221" s="4" t="n">
        <v>1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 customFormat="false" ht="15" hidden="false" customHeight="false" outlineLevel="0" collapsed="false">
      <c r="A1222" s="4" t="s">
        <v>2002</v>
      </c>
      <c r="B1222" s="4" t="n">
        <v>1961</v>
      </c>
      <c r="C1222" s="4" t="str">
        <f aca="false">FLOOR(B1222,10)&amp;"s"</f>
        <v>1960s</v>
      </c>
      <c r="D1222" s="4" t="s">
        <v>1969</v>
      </c>
      <c r="E1222" s="25" t="str">
        <f aca="false">IF(G1222=1,"✓","")</f>
        <v/>
      </c>
      <c r="F1222" s="4" t="n">
        <v>1</v>
      </c>
      <c r="G1222" s="4" t="n">
        <f aca="false">IF(COUNTIF('Letterboxd Watched'!$E$2:$E$3000,M1222)&gt;0,1,0)</f>
        <v>0</v>
      </c>
      <c r="H1222" s="4" t="n">
        <v>2</v>
      </c>
      <c r="I1222" s="4" t="s">
        <v>213</v>
      </c>
      <c r="J1222" s="4" t="s">
        <v>55</v>
      </c>
      <c r="K1222" s="4" t="s">
        <v>4324</v>
      </c>
      <c r="L1222" s="48" t="str">
        <f aca="false">HYPERLINK("https://boxd.it/29xc","open")</f>
        <v>open</v>
      </c>
      <c r="M1222" s="4" t="str">
        <f aca="false">LOWER(A1222)&amp;"|"&amp;B1222</f>
        <v>judgment at nuremberg|1961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1</v>
      </c>
      <c r="U1222" s="4" t="n">
        <v>0</v>
      </c>
      <c r="V1222" s="4" t="n">
        <v>0</v>
      </c>
      <c r="W1222" s="4" t="n">
        <v>0</v>
      </c>
    </row>
    <row r="1223" customFormat="false" ht="15" hidden="false" customHeight="false" outlineLevel="0" collapsed="false">
      <c r="A1223" s="4" t="s">
        <v>1384</v>
      </c>
      <c r="B1223" s="4" t="n">
        <v>1992</v>
      </c>
      <c r="C1223" s="4" t="str">
        <f aca="false">FLOOR(B1223,10)&amp;"s"</f>
        <v>1990s</v>
      </c>
      <c r="D1223" s="4" t="s">
        <v>1385</v>
      </c>
      <c r="E1223" s="25" t="str">
        <f aca="false">IF(G1223=1,"✓","")</f>
        <v/>
      </c>
      <c r="F1223" s="4" t="n">
        <v>2</v>
      </c>
      <c r="G1223" s="4" t="n">
        <f aca="false">IF(COUNTIF('Letterboxd Watched'!$E$2:$E$3000,M1223)&gt;0,1,0)</f>
        <v>0</v>
      </c>
      <c r="H1223" s="4" t="n">
        <v>3</v>
      </c>
      <c r="I1223" s="4" t="s">
        <v>213</v>
      </c>
      <c r="J1223" s="4" t="s">
        <v>54</v>
      </c>
      <c r="K1223" s="4" t="s">
        <v>5535</v>
      </c>
      <c r="L1223" s="48" t="str">
        <f aca="false">HYPERLINK("https://boxd.it/1KK6","open")</f>
        <v>open</v>
      </c>
      <c r="M1223" s="4" t="str">
        <f aca="false">LOWER(A1223)&amp;"|"&amp;B1223</f>
        <v>juice|1992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1</v>
      </c>
      <c r="T1223" s="4" t="n">
        <v>0</v>
      </c>
      <c r="U1223" s="4" t="n">
        <v>1</v>
      </c>
      <c r="V1223" s="4" t="n">
        <v>0</v>
      </c>
      <c r="W1223" s="4" t="n">
        <v>0</v>
      </c>
    </row>
    <row r="1224" customFormat="false" ht="15" hidden="false" customHeight="false" outlineLevel="0" collapsed="false">
      <c r="A1224" s="4" t="s">
        <v>961</v>
      </c>
      <c r="B1224" s="4" t="n">
        <v>1962</v>
      </c>
      <c r="C1224" s="4" t="str">
        <f aca="false">FLOOR(B1224,10)&amp;"s"</f>
        <v>1960s</v>
      </c>
      <c r="D1224" s="4" t="s">
        <v>150</v>
      </c>
      <c r="E1224" s="25" t="str">
        <f aca="false">IF(G1224=1,"✓","")</f>
        <v/>
      </c>
      <c r="F1224" s="4" t="n">
        <v>2</v>
      </c>
      <c r="G1224" s="4" t="n">
        <f aca="false">IF(COUNTIF('Letterboxd Watched'!$E$2:$E$3000,M1224)&gt;0,1,0)</f>
        <v>0</v>
      </c>
      <c r="H1224" s="4" t="n">
        <v>4</v>
      </c>
      <c r="I1224" s="4" t="s">
        <v>213</v>
      </c>
      <c r="J1224" s="4" t="s">
        <v>51</v>
      </c>
      <c r="K1224" s="4" t="s">
        <v>5536</v>
      </c>
      <c r="L1224" s="48" t="str">
        <f aca="false">HYPERLINK("https://boxd.it/28rM","open")</f>
        <v>open</v>
      </c>
      <c r="M1224" s="4" t="str">
        <f aca="false">LOWER(A1224)&amp;"|"&amp;B1224</f>
        <v>jules and jim|1962</v>
      </c>
      <c r="N1224" s="4" t="n">
        <v>0</v>
      </c>
      <c r="O1224" s="4" t="n">
        <v>0</v>
      </c>
      <c r="P1224" s="4" t="n">
        <v>1</v>
      </c>
      <c r="Q1224" s="4" t="n">
        <v>0</v>
      </c>
      <c r="R1224" s="4" t="n">
        <v>1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</row>
    <row r="1225" customFormat="false" ht="15" hidden="false" customHeight="false" outlineLevel="0" collapsed="false">
      <c r="A1225" s="4" t="s">
        <v>2697</v>
      </c>
      <c r="B1225" s="4" t="n">
        <v>1999</v>
      </c>
      <c r="C1225" s="4" t="str">
        <f aca="false">FLOOR(B1225,10)&amp;"s"</f>
        <v>1990s</v>
      </c>
      <c r="D1225" s="4" t="s">
        <v>2698</v>
      </c>
      <c r="E1225" s="25" t="str">
        <f aca="false">IF(G1225=1,"✓","")</f>
        <v/>
      </c>
      <c r="F1225" s="4" t="n">
        <v>1</v>
      </c>
      <c r="G1225" s="4" t="n">
        <f aca="false">IF(COUNTIF('Letterboxd Watched'!$E$2:$E$3000,M1225)&gt;0,1,0)</f>
        <v>0</v>
      </c>
      <c r="H1225" s="4" t="n">
        <v>2</v>
      </c>
      <c r="I1225" s="4" t="s">
        <v>213</v>
      </c>
      <c r="J1225" s="4" t="s">
        <v>51</v>
      </c>
      <c r="K1225" s="4" t="s">
        <v>3988</v>
      </c>
      <c r="L1225" s="48" t="str">
        <f aca="false">HYPERLINK("https://boxd.it/VNI","open")</f>
        <v>open</v>
      </c>
      <c r="M1225" s="4" t="str">
        <f aca="false">LOWER(A1225)&amp;"|"&amp;B1225</f>
        <v>julien donkey-boy|1999</v>
      </c>
      <c r="N1225" s="4" t="n">
        <v>0</v>
      </c>
      <c r="O1225" s="4" t="n">
        <v>0</v>
      </c>
      <c r="P1225" s="4" t="n">
        <v>1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 customFormat="false" ht="15" hidden="false" customHeight="false" outlineLevel="0" collapsed="false">
      <c r="A1226" s="4" t="s">
        <v>2070</v>
      </c>
      <c r="B1226" s="4" t="n">
        <v>1965</v>
      </c>
      <c r="C1226" s="4" t="str">
        <f aca="false">FLOOR(B1226,10)&amp;"s"</f>
        <v>1960s</v>
      </c>
      <c r="D1226" s="4" t="s">
        <v>179</v>
      </c>
      <c r="E1226" s="25" t="str">
        <f aca="false">IF(G1226=1,"✓","")</f>
        <v/>
      </c>
      <c r="F1226" s="4" t="n">
        <v>1</v>
      </c>
      <c r="G1226" s="4" t="n">
        <f aca="false">IF(COUNTIF('Letterboxd Watched'!$E$2:$E$3000,M1226)&gt;0,1,0)</f>
        <v>0</v>
      </c>
      <c r="H1226" s="4" t="n">
        <v>2</v>
      </c>
      <c r="I1226" s="4" t="s">
        <v>213</v>
      </c>
      <c r="J1226" s="4" t="s">
        <v>53</v>
      </c>
      <c r="K1226" s="4" t="s">
        <v>179</v>
      </c>
      <c r="L1226" s="48" t="str">
        <f aca="false">HYPERLINK("https://boxd.it/1FF6","open")</f>
        <v>open</v>
      </c>
      <c r="M1226" s="4" t="str">
        <f aca="false">LOWER(A1226)&amp;"|"&amp;B1226</f>
        <v>juliet of the spirits|1965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1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</row>
    <row r="1227" customFormat="false" ht="15" hidden="false" customHeight="false" outlineLevel="0" collapsed="false">
      <c r="A1227" s="4" t="s">
        <v>2531</v>
      </c>
      <c r="B1227" s="4" t="n">
        <v>1991</v>
      </c>
      <c r="C1227" s="4" t="str">
        <f aca="false">FLOOR(B1227,10)&amp;"s"</f>
        <v>1990s</v>
      </c>
      <c r="D1227" s="4" t="s">
        <v>148</v>
      </c>
      <c r="E1227" s="25" t="str">
        <f aca="false">IF(G1227=1,"✓","")</f>
        <v/>
      </c>
      <c r="F1227" s="4" t="n">
        <v>1</v>
      </c>
      <c r="G1227" s="4" t="n">
        <f aca="false">IF(COUNTIF('Letterboxd Watched'!$E$2:$E$3000,M1227)&gt;0,1,0)</f>
        <v>0</v>
      </c>
      <c r="H1227" s="4" t="n">
        <v>2</v>
      </c>
      <c r="I1227" s="4" t="s">
        <v>213</v>
      </c>
      <c r="J1227" s="4" t="s">
        <v>53</v>
      </c>
      <c r="K1227" s="4" t="s">
        <v>148</v>
      </c>
      <c r="L1227" s="48" t="str">
        <f aca="false">HYPERLINK("https://boxd.it/28fG","open")</f>
        <v>open</v>
      </c>
      <c r="M1227" s="4" t="str">
        <f aca="false">LOWER(A1227)&amp;"|"&amp;B1227</f>
        <v>jungle fever|1991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1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 customFormat="false" ht="15" hidden="false" customHeight="false" outlineLevel="0" collapsed="false">
      <c r="A1228" s="4" t="s">
        <v>2794</v>
      </c>
      <c r="B1228" s="4" t="n">
        <v>2002</v>
      </c>
      <c r="C1228" s="4" t="str">
        <f aca="false">FLOOR(B1228,10)&amp;"s"</f>
        <v>2000s</v>
      </c>
      <c r="D1228" s="4" t="s">
        <v>865</v>
      </c>
      <c r="E1228" s="25" t="str">
        <f aca="false">IF(G1228=1,"✓","")</f>
        <v/>
      </c>
      <c r="F1228" s="4" t="n">
        <v>1</v>
      </c>
      <c r="G1228" s="4" t="n">
        <f aca="false">IF(COUNTIF('Letterboxd Watched'!$E$2:$E$3000,M1228)&gt;0,1,0)</f>
        <v>0</v>
      </c>
      <c r="H1228" s="4" t="n">
        <v>2</v>
      </c>
      <c r="I1228" s="4" t="s">
        <v>213</v>
      </c>
      <c r="J1228" s="4" t="s">
        <v>56</v>
      </c>
      <c r="K1228" s="4" t="s">
        <v>4384</v>
      </c>
      <c r="L1228" s="48" t="str">
        <f aca="false">HYPERLINK("https://boxd.it/1ZYs","open")</f>
        <v>open</v>
      </c>
      <c r="M1228" s="4" t="str">
        <f aca="false">LOWER(A1228)&amp;"|"&amp;B1228</f>
        <v>k-19: the widowmaker|2002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1</v>
      </c>
      <c r="V1228" s="4" t="n">
        <v>0</v>
      </c>
      <c r="W1228" s="4" t="n">
        <v>0</v>
      </c>
    </row>
    <row r="1229" customFormat="false" ht="15" hidden="false" customHeight="false" outlineLevel="0" collapsed="false">
      <c r="A1229" s="4" t="s">
        <v>1961</v>
      </c>
      <c r="B1229" s="4" t="n">
        <v>1959</v>
      </c>
      <c r="C1229" s="4" t="str">
        <f aca="false">FLOOR(B1229,10)&amp;"s"</f>
        <v>1950s</v>
      </c>
      <c r="D1229" s="4" t="s">
        <v>1449</v>
      </c>
      <c r="E1229" s="25" t="str">
        <f aca="false">IF(G1229=1,"✓","")</f>
        <v/>
      </c>
      <c r="F1229" s="4" t="n">
        <v>1</v>
      </c>
      <c r="G1229" s="4" t="n">
        <f aca="false">IF(COUNTIF('Letterboxd Watched'!$E$2:$E$3000,M1229)&gt;0,1,0)</f>
        <v>0</v>
      </c>
      <c r="H1229" s="4" t="n">
        <v>2</v>
      </c>
      <c r="I1229" s="4" t="s">
        <v>213</v>
      </c>
      <c r="J1229" s="4" t="s">
        <v>51</v>
      </c>
      <c r="K1229" s="4" t="s">
        <v>4028</v>
      </c>
      <c r="L1229" s="48" t="str">
        <f aca="false">HYPERLINK("https://letterboxd.com/search/films/Kaagaz+Ke+Phool+1959/","open")</f>
        <v>open</v>
      </c>
      <c r="M1229" s="4" t="str">
        <f aca="false">LOWER(A1229)&amp;"|"&amp;B1229</f>
        <v>kaagaz ke phool|1959</v>
      </c>
      <c r="N1229" s="4" t="n">
        <v>0</v>
      </c>
      <c r="O1229" s="4" t="n">
        <v>0</v>
      </c>
      <c r="P1229" s="4" t="n">
        <v>1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 customFormat="false" ht="15" hidden="false" customHeight="false" outlineLevel="0" collapsed="false">
      <c r="A1230" s="4" t="s">
        <v>3666</v>
      </c>
      <c r="B1230" s="4" t="n">
        <v>1991</v>
      </c>
      <c r="C1230" s="4" t="str">
        <f aca="false">FLOOR(B1230,10)&amp;"s"</f>
        <v>1990s</v>
      </c>
      <c r="D1230" s="4" t="s">
        <v>490</v>
      </c>
      <c r="E1230" s="25" t="str">
        <f aca="false">IF(G1230=1,"✓","")</f>
        <v/>
      </c>
      <c r="F1230" s="4" t="n">
        <v>1</v>
      </c>
      <c r="G1230" s="4" t="n">
        <f aca="false">IF(COUNTIF('Letterboxd Watched'!$E$2:$E$3000,M1230)&gt;0,1,0)</f>
        <v>0</v>
      </c>
      <c r="H1230" s="4" t="n">
        <v>1</v>
      </c>
      <c r="I1230" s="4" t="s">
        <v>1327</v>
      </c>
      <c r="J1230" s="4" t="s">
        <v>53</v>
      </c>
      <c r="K1230" s="4" t="s">
        <v>490</v>
      </c>
      <c r="L1230" s="48" t="str">
        <f aca="false">HYPERLINK("https://boxd.it/26Zi","open")</f>
        <v>open</v>
      </c>
      <c r="M1230" s="4" t="str">
        <f aca="false">LOWER(A1230)&amp;"|"&amp;B1230</f>
        <v>kafka|1991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1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</row>
    <row r="1231" customFormat="false" ht="15" hidden="false" customHeight="false" outlineLevel="0" collapsed="false">
      <c r="A1231" s="4" t="s">
        <v>2344</v>
      </c>
      <c r="B1231" s="4" t="n">
        <v>1980</v>
      </c>
      <c r="C1231" s="4" t="str">
        <f aca="false">FLOOR(B1231,10)&amp;"s"</f>
        <v>1980s</v>
      </c>
      <c r="D1231" s="4" t="s">
        <v>156</v>
      </c>
      <c r="E1231" s="25" t="str">
        <f aca="false">IF(G1231=1,"✓","")</f>
        <v/>
      </c>
      <c r="F1231" s="4" t="n">
        <v>1</v>
      </c>
      <c r="G1231" s="4" t="n">
        <f aca="false">IF(COUNTIF('Letterboxd Watched'!$E$2:$E$3000,M1231)&gt;0,1,0)</f>
        <v>0</v>
      </c>
      <c r="H1231" s="4" t="n">
        <v>2</v>
      </c>
      <c r="I1231" s="4" t="s">
        <v>213</v>
      </c>
      <c r="J1231" s="4" t="s">
        <v>53</v>
      </c>
      <c r="K1231" s="4" t="s">
        <v>156</v>
      </c>
      <c r="L1231" s="48" t="str">
        <f aca="false">HYPERLINK("https://boxd.it/1SGG","open")</f>
        <v>open</v>
      </c>
      <c r="M1231" s="4" t="str">
        <f aca="false">LOWER(A1231)&amp;"|"&amp;B1231</f>
        <v>kagemusha|1980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1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 customFormat="false" ht="15" hidden="false" customHeight="false" outlineLevel="0" collapsed="false">
      <c r="A1232" s="4" t="s">
        <v>3723</v>
      </c>
      <c r="B1232" s="4" t="n">
        <v>2001</v>
      </c>
      <c r="C1232" s="4" t="str">
        <f aca="false">FLOOR(B1232,10)&amp;"s"</f>
        <v>2000s</v>
      </c>
      <c r="D1232" s="4" t="s">
        <v>505</v>
      </c>
      <c r="E1232" s="25" t="str">
        <f aca="false">IF(G1232=1,"✓","")</f>
        <v/>
      </c>
      <c r="F1232" s="4" t="n">
        <v>1</v>
      </c>
      <c r="G1232" s="4" t="n">
        <f aca="false">IF(COUNTIF('Letterboxd Watched'!$E$2:$E$3000,M1232)&gt;0,1,0)</f>
        <v>0</v>
      </c>
      <c r="H1232" s="4" t="n">
        <v>1</v>
      </c>
      <c r="I1232" s="4" t="s">
        <v>1327</v>
      </c>
      <c r="J1232" s="4" t="s">
        <v>52</v>
      </c>
      <c r="K1232" s="4" t="s">
        <v>4082</v>
      </c>
      <c r="L1232" s="48" t="str">
        <f aca="false">HYPERLINK("https://letterboxd.com/search/films/Kairo+2001/","open")</f>
        <v>open</v>
      </c>
      <c r="M1232" s="4" t="str">
        <f aca="false">LOWER(A1232)&amp;"|"&amp;B1232</f>
        <v>kairo|2001</v>
      </c>
      <c r="N1232" s="4" t="n">
        <v>0</v>
      </c>
      <c r="O1232" s="4" t="n">
        <v>0</v>
      </c>
      <c r="P1232" s="4" t="n">
        <v>0</v>
      </c>
      <c r="Q1232" s="4" t="n">
        <v>1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 customFormat="false" ht="15" hidden="false" customHeight="false" outlineLevel="0" collapsed="false">
      <c r="A1233" s="4" t="s">
        <v>1938</v>
      </c>
      <c r="B1233" s="4" t="n">
        <v>1957</v>
      </c>
      <c r="C1233" s="4" t="str">
        <f aca="false">FLOOR(B1233,10)&amp;"s"</f>
        <v>1950s</v>
      </c>
      <c r="D1233" s="4" t="s">
        <v>753</v>
      </c>
      <c r="E1233" s="25" t="str">
        <f aca="false">IF(G1233=1,"✓","")</f>
        <v/>
      </c>
      <c r="F1233" s="4" t="n">
        <v>1</v>
      </c>
      <c r="G1233" s="4" t="n">
        <f aca="false">IF(COUNTIF('Letterboxd Watched'!$E$2:$E$3000,M1233)&gt;0,1,0)</f>
        <v>0</v>
      </c>
      <c r="H1233" s="4" t="n">
        <v>2</v>
      </c>
      <c r="I1233" s="4" t="s">
        <v>213</v>
      </c>
      <c r="J1233" s="4" t="s">
        <v>51</v>
      </c>
      <c r="K1233" s="4" t="s">
        <v>3994</v>
      </c>
      <c r="L1233" s="48" t="str">
        <f aca="false">HYPERLINK("https://letterboxd.com/search/films/Kanał+1957/","open")</f>
        <v>open</v>
      </c>
      <c r="M1233" s="4" t="str">
        <f aca="false">LOWER(A1233)&amp;"|"&amp;B1233</f>
        <v>kanał|1957</v>
      </c>
      <c r="N1233" s="4" t="n">
        <v>0</v>
      </c>
      <c r="O1233" s="4" t="n">
        <v>0</v>
      </c>
      <c r="P1233" s="4" t="n">
        <v>1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 customFormat="false" ht="15" hidden="false" customHeight="false" outlineLevel="0" collapsed="false">
      <c r="A1234" s="4" t="s">
        <v>2145</v>
      </c>
      <c r="B1234" s="4" t="n">
        <v>1969</v>
      </c>
      <c r="C1234" s="4" t="str">
        <f aca="false">FLOOR(B1234,10)&amp;"s"</f>
        <v>1960s</v>
      </c>
      <c r="D1234" s="4" t="s">
        <v>312</v>
      </c>
      <c r="E1234" s="25" t="str">
        <f aca="false">IF(G1234=1,"✓","")</f>
        <v/>
      </c>
      <c r="F1234" s="4" t="n">
        <v>1</v>
      </c>
      <c r="G1234" s="4" t="n">
        <f aca="false">IF(COUNTIF('Letterboxd Watched'!$E$2:$E$3000,M1234)&gt;0,1,0)</f>
        <v>0</v>
      </c>
      <c r="H1234" s="4" t="n">
        <v>2</v>
      </c>
      <c r="I1234" s="4" t="s">
        <v>213</v>
      </c>
      <c r="J1234" s="4" t="s">
        <v>53</v>
      </c>
      <c r="K1234" s="4" t="s">
        <v>312</v>
      </c>
      <c r="L1234" s="48" t="str">
        <f aca="false">HYPERLINK("https://letterboxd.com/search/films/Katzelmacher+1969/","open")</f>
        <v>open</v>
      </c>
      <c r="M1234" s="4" t="str">
        <f aca="false">LOWER(A1234)&amp;"|"&amp;B1234</f>
        <v>katzelmacher|1969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1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 customFormat="false" ht="15" hidden="false" customHeight="false" outlineLevel="0" collapsed="false">
      <c r="A1235" s="4" t="s">
        <v>3564</v>
      </c>
      <c r="B1235" s="4" t="n">
        <v>1977</v>
      </c>
      <c r="C1235" s="4" t="str">
        <f aca="false">FLOOR(B1235,10)&amp;"s"</f>
        <v>1970s</v>
      </c>
      <c r="D1235" s="4" t="s">
        <v>1062</v>
      </c>
      <c r="E1235" s="25" t="str">
        <f aca="false">IF(G1235=1,"✓","")</f>
        <v/>
      </c>
      <c r="F1235" s="4" t="n">
        <v>1</v>
      </c>
      <c r="G1235" s="4" t="n">
        <f aca="false">IF(COUNTIF('Letterboxd Watched'!$E$2:$E$3000,M1235)&gt;0,1,0)</f>
        <v>0</v>
      </c>
      <c r="H1235" s="4" t="n">
        <v>1</v>
      </c>
      <c r="I1235" s="4" t="s">
        <v>1327</v>
      </c>
      <c r="J1235" s="4" t="s">
        <v>52</v>
      </c>
      <c r="K1235" s="4" t="s">
        <v>4102</v>
      </c>
      <c r="L1235" s="48" t="str">
        <f aca="false">HYPERLINK("https://boxd.it/1TsA","open")</f>
        <v>open</v>
      </c>
      <c r="M1235" s="4" t="str">
        <f aca="false">LOWER(A1235)&amp;"|"&amp;B1235</f>
        <v>the kentucky fried movie|1977</v>
      </c>
      <c r="N1235" s="4" t="n">
        <v>0</v>
      </c>
      <c r="O1235" s="4" t="n">
        <v>0</v>
      </c>
      <c r="P1235" s="4" t="n">
        <v>0</v>
      </c>
      <c r="Q1235" s="4" t="n">
        <v>1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</row>
    <row r="1236" customFormat="false" ht="15" hidden="false" customHeight="false" outlineLevel="0" collapsed="false">
      <c r="A1236" s="4" t="s">
        <v>3548</v>
      </c>
      <c r="B1236" s="4" t="n">
        <v>1976</v>
      </c>
      <c r="C1236" s="4" t="str">
        <f aca="false">FLOOR(B1236,10)&amp;"s"</f>
        <v>1970s</v>
      </c>
      <c r="D1236" s="4" t="s">
        <v>2239</v>
      </c>
      <c r="E1236" s="25" t="str">
        <f aca="false">IF(G1236=1,"✓","")</f>
        <v/>
      </c>
      <c r="F1236" s="4" t="n">
        <v>1</v>
      </c>
      <c r="G1236" s="4" t="n">
        <f aca="false">IF(COUNTIF('Letterboxd Watched'!$E$2:$E$3000,M1236)&gt;0,1,0)</f>
        <v>0</v>
      </c>
      <c r="H1236" s="4" t="n">
        <v>1</v>
      </c>
      <c r="I1236" s="4" t="s">
        <v>1327</v>
      </c>
      <c r="J1236" s="4" t="s">
        <v>51</v>
      </c>
      <c r="K1236" s="4" t="s">
        <v>3948</v>
      </c>
      <c r="L1236" s="48" t="str">
        <f aca="false">HYPERLINK("https://letterboxd.com/search/films/Keoma+1976/","open")</f>
        <v>open</v>
      </c>
      <c r="M1236" s="4" t="str">
        <f aca="false">LOWER(A1236)&amp;"|"&amp;B1236</f>
        <v>keoma|1976</v>
      </c>
      <c r="N1236" s="4" t="n">
        <v>0</v>
      </c>
      <c r="O1236" s="4" t="n">
        <v>0</v>
      </c>
      <c r="P1236" s="4" t="n">
        <v>1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 customFormat="false" ht="15" hidden="false" customHeight="false" outlineLevel="0" collapsed="false">
      <c r="A1237" s="4" t="s">
        <v>358</v>
      </c>
      <c r="B1237" s="4" t="n">
        <v>1969</v>
      </c>
      <c r="C1237" s="4" t="str">
        <f aca="false">FLOOR(B1237,10)&amp;"s"</f>
        <v>1960s</v>
      </c>
      <c r="D1237" s="4" t="s">
        <v>359</v>
      </c>
      <c r="E1237" s="25" t="str">
        <f aca="false">IF(G1237=1,"✓","")</f>
        <v/>
      </c>
      <c r="F1237" s="4" t="n">
        <v>4</v>
      </c>
      <c r="G1237" s="4" t="n">
        <f aca="false">IF(COUNTIF('Letterboxd Watched'!$E$2:$E$3000,M1237)&gt;0,1,0)</f>
        <v>0</v>
      </c>
      <c r="H1237" s="4" t="n">
        <v>9</v>
      </c>
      <c r="I1237" s="4" t="s">
        <v>144</v>
      </c>
      <c r="J1237" s="4" t="s">
        <v>51</v>
      </c>
      <c r="K1237" s="4" t="s">
        <v>5537</v>
      </c>
      <c r="L1237" s="48" t="str">
        <f aca="false">HYPERLINK("https://boxd.it/1Qi8","open")</f>
        <v>open</v>
      </c>
      <c r="M1237" s="4" t="str">
        <f aca="false">LOWER(A1237)&amp;"|"&amp;B1237</f>
        <v>kes|1969</v>
      </c>
      <c r="N1237" s="4" t="n">
        <v>0</v>
      </c>
      <c r="O1237" s="4" t="n">
        <v>0</v>
      </c>
      <c r="P1237" s="4" t="n">
        <v>1</v>
      </c>
      <c r="Q1237" s="4" t="n">
        <v>0</v>
      </c>
      <c r="R1237" s="4" t="n">
        <v>0</v>
      </c>
      <c r="S1237" s="4" t="n">
        <v>0</v>
      </c>
      <c r="T1237" s="4" t="n">
        <v>1</v>
      </c>
      <c r="U1237" s="4" t="n">
        <v>0</v>
      </c>
      <c r="V1237" s="4" t="n">
        <v>1</v>
      </c>
      <c r="W1237" s="4" t="n">
        <v>1</v>
      </c>
    </row>
    <row r="1238" customFormat="false" ht="15" hidden="false" customHeight="false" outlineLevel="0" collapsed="false">
      <c r="A1238" s="4" t="s">
        <v>897</v>
      </c>
      <c r="B1238" s="4" t="n">
        <v>1921</v>
      </c>
      <c r="C1238" s="4" t="str">
        <f aca="false">FLOOR(B1238,10)&amp;"s"</f>
        <v>1920s</v>
      </c>
      <c r="D1238" s="4" t="s">
        <v>344</v>
      </c>
      <c r="E1238" s="25" t="str">
        <f aca="false">IF(G1238=1,"✓","")</f>
        <v/>
      </c>
      <c r="F1238" s="4" t="n">
        <v>2</v>
      </c>
      <c r="G1238" s="4" t="n">
        <f aca="false">IF(COUNTIF('Letterboxd Watched'!$E$2:$E$3000,M1238)&gt;0,1,0)</f>
        <v>0</v>
      </c>
      <c r="H1238" s="4" t="n">
        <v>4</v>
      </c>
      <c r="I1238" s="4" t="s">
        <v>213</v>
      </c>
      <c r="J1238" s="4" t="s">
        <v>50</v>
      </c>
      <c r="K1238" s="4" t="s">
        <v>5538</v>
      </c>
      <c r="L1238" s="48" t="str">
        <f aca="false">HYPERLINK("https://boxd.it/1X5U","open")</f>
        <v>open</v>
      </c>
      <c r="M1238" s="4" t="str">
        <f aca="false">LOWER(A1238)&amp;"|"&amp;B1238</f>
        <v>the kid|1921</v>
      </c>
      <c r="N1238" s="4" t="n">
        <v>0</v>
      </c>
      <c r="O1238" s="4" t="n">
        <v>1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1</v>
      </c>
      <c r="U1238" s="4" t="n">
        <v>0</v>
      </c>
      <c r="V1238" s="4" t="n">
        <v>0</v>
      </c>
      <c r="W1238" s="4" t="n">
        <v>0</v>
      </c>
    </row>
    <row r="1239" customFormat="false" ht="15" hidden="false" customHeight="false" outlineLevel="0" collapsed="false">
      <c r="A1239" s="4" t="s">
        <v>2628</v>
      </c>
      <c r="B1239" s="4" t="n">
        <v>1995</v>
      </c>
      <c r="C1239" s="4" t="str">
        <f aca="false">FLOOR(B1239,10)&amp;"s"</f>
        <v>1990s</v>
      </c>
      <c r="D1239" s="4" t="s">
        <v>2629</v>
      </c>
      <c r="E1239" s="25" t="str">
        <f aca="false">IF(G1239=1,"✓","")</f>
        <v/>
      </c>
      <c r="F1239" s="4" t="n">
        <v>1</v>
      </c>
      <c r="G1239" s="4" t="n">
        <f aca="false">IF(COUNTIF('Letterboxd Watched'!$E$2:$E$3000,M1239)&gt;0,1,0)</f>
        <v>0</v>
      </c>
      <c r="H1239" s="4" t="n">
        <v>2</v>
      </c>
      <c r="I1239" s="4" t="s">
        <v>213</v>
      </c>
      <c r="J1239" s="4" t="s">
        <v>56</v>
      </c>
      <c r="K1239" s="4" t="s">
        <v>4396</v>
      </c>
      <c r="L1239" s="48" t="str">
        <f aca="false">HYPERLINK("https://boxd.it/1YUY","open")</f>
        <v>open</v>
      </c>
      <c r="M1239" s="4" t="str">
        <f aca="false">LOWER(A1239)&amp;"|"&amp;B1239</f>
        <v>kids|1995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1</v>
      </c>
      <c r="V1239" s="4" t="n">
        <v>0</v>
      </c>
      <c r="W1239" s="4" t="n">
        <v>0</v>
      </c>
    </row>
    <row r="1240" customFormat="false" ht="15" hidden="false" customHeight="false" outlineLevel="0" collapsed="false">
      <c r="A1240" s="4" t="s">
        <v>1098</v>
      </c>
      <c r="B1240" s="4" t="n">
        <v>1989</v>
      </c>
      <c r="C1240" s="4" t="str">
        <f aca="false">FLOOR(B1240,10)&amp;"s"</f>
        <v>1980s</v>
      </c>
      <c r="D1240" s="4" t="s">
        <v>382</v>
      </c>
      <c r="E1240" s="25" t="str">
        <f aca="false">IF(G1240=1,"✓","")</f>
        <v/>
      </c>
      <c r="F1240" s="4" t="n">
        <v>2</v>
      </c>
      <c r="G1240" s="4" t="n">
        <f aca="false">IF(COUNTIF('Letterboxd Watched'!$E$2:$E$3000,M1240)&gt;0,1,0)</f>
        <v>0</v>
      </c>
      <c r="H1240" s="4" t="n">
        <v>4</v>
      </c>
      <c r="I1240" s="4" t="s">
        <v>213</v>
      </c>
      <c r="J1240" s="4" t="s">
        <v>53</v>
      </c>
      <c r="K1240" s="4" t="s">
        <v>5539</v>
      </c>
      <c r="L1240" s="48" t="str">
        <f aca="false">HYPERLINK("https://letterboxd.com/search/films/Kikis+Delivery+Service+1989/","open")</f>
        <v>open</v>
      </c>
      <c r="M1240" s="4" t="str">
        <f aca="false">LOWER(A1240)&amp;"|"&amp;B1240</f>
        <v>kiki's delivery service|1989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1</v>
      </c>
      <c r="S1240" s="4" t="n">
        <v>0</v>
      </c>
      <c r="T1240" s="4" t="n">
        <v>0</v>
      </c>
      <c r="U1240" s="4" t="n">
        <v>1</v>
      </c>
      <c r="V1240" s="4" t="n">
        <v>0</v>
      </c>
      <c r="W1240" s="4" t="n">
        <v>0</v>
      </c>
    </row>
    <row r="1241" customFormat="false" ht="15" hidden="false" customHeight="false" outlineLevel="0" collapsed="false">
      <c r="A1241" s="4" t="s">
        <v>2119</v>
      </c>
      <c r="B1241" s="4" t="n">
        <v>1968</v>
      </c>
      <c r="C1241" s="4" t="str">
        <f aca="false">FLOOR(B1241,10)&amp;"s"</f>
        <v>1960s</v>
      </c>
      <c r="D1241" s="4" t="s">
        <v>2076</v>
      </c>
      <c r="E1241" s="25" t="str">
        <f aca="false">IF(G1241=1,"✓","")</f>
        <v/>
      </c>
      <c r="F1241" s="4" t="n">
        <v>1</v>
      </c>
      <c r="G1241" s="4" t="n">
        <f aca="false">IF(COUNTIF('Letterboxd Watched'!$E$2:$E$3000,M1241)&gt;0,1,0)</f>
        <v>0</v>
      </c>
      <c r="H1241" s="4" t="n">
        <v>2</v>
      </c>
      <c r="I1241" s="4" t="s">
        <v>213</v>
      </c>
      <c r="J1241" s="4" t="s">
        <v>51</v>
      </c>
      <c r="K1241" s="4" t="s">
        <v>3934</v>
      </c>
      <c r="L1241" s="48" t="str">
        <f aca="false">HYPERLINK("https://boxd.it/14D8","open")</f>
        <v>open</v>
      </c>
      <c r="M1241" s="4" t="str">
        <f aca="false">LOWER(A1241)&amp;"|"&amp;B1241</f>
        <v>kill!|1968</v>
      </c>
      <c r="N1241" s="4" t="n">
        <v>0</v>
      </c>
      <c r="O1241" s="4" t="n">
        <v>0</v>
      </c>
      <c r="P1241" s="4" t="n">
        <v>1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</row>
    <row r="1242" customFormat="false" ht="15" hidden="false" customHeight="false" outlineLevel="0" collapsed="false">
      <c r="A1242" s="4" t="s">
        <v>2077</v>
      </c>
      <c r="B1242" s="4" t="n">
        <v>1966</v>
      </c>
      <c r="C1242" s="4" t="str">
        <f aca="false">FLOOR(B1242,10)&amp;"s"</f>
        <v>1960s</v>
      </c>
      <c r="D1242" s="4" t="s">
        <v>761</v>
      </c>
      <c r="E1242" s="25" t="str">
        <f aca="false">IF(G1242=1,"✓","")</f>
        <v/>
      </c>
      <c r="F1242" s="4" t="n">
        <v>1</v>
      </c>
      <c r="G1242" s="4" t="n">
        <f aca="false">IF(COUNTIF('Letterboxd Watched'!$E$2:$E$3000,M1242)&gt;0,1,0)</f>
        <v>0</v>
      </c>
      <c r="H1242" s="4" t="n">
        <v>2</v>
      </c>
      <c r="I1242" s="4" t="s">
        <v>213</v>
      </c>
      <c r="J1242" s="4" t="s">
        <v>51</v>
      </c>
      <c r="K1242" s="4" t="s">
        <v>3952</v>
      </c>
      <c r="L1242" s="48" t="str">
        <f aca="false">HYPERLINK("https://letterboxd.com/search/films/Kill+Baby+Kill+1966/","open")</f>
        <v>open</v>
      </c>
      <c r="M1242" s="4" t="str">
        <f aca="false">LOWER(A1242)&amp;"|"&amp;B1242</f>
        <v>kill, baby... kill!|1966</v>
      </c>
      <c r="N1242" s="4" t="n">
        <v>0</v>
      </c>
      <c r="O1242" s="4" t="n">
        <v>0</v>
      </c>
      <c r="P1242" s="4" t="n">
        <v>1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 customFormat="false" ht="15" hidden="false" customHeight="false" outlineLevel="0" collapsed="false">
      <c r="A1243" s="4" t="s">
        <v>2808</v>
      </c>
      <c r="B1243" s="4" t="n">
        <v>2003</v>
      </c>
      <c r="C1243" s="4" t="str">
        <f aca="false">FLOOR(B1243,10)&amp;"s"</f>
        <v>2000s</v>
      </c>
      <c r="D1243" s="4" t="s">
        <v>208</v>
      </c>
      <c r="E1243" s="25" t="str">
        <f aca="false">IF(G1243=1,"✓","")</f>
        <v>✓</v>
      </c>
      <c r="F1243" s="4" t="n">
        <v>1</v>
      </c>
      <c r="G1243" s="4" t="n">
        <f aca="false">IF(COUNTIF('Letterboxd Watched'!$E$2:$E$3000,M1243)&gt;0,1,0)</f>
        <v>1</v>
      </c>
      <c r="H1243" s="4" t="n">
        <v>2</v>
      </c>
      <c r="I1243" s="4" t="s">
        <v>213</v>
      </c>
      <c r="J1243" s="4" t="s">
        <v>53</v>
      </c>
      <c r="K1243" s="4" t="s">
        <v>208</v>
      </c>
      <c r="L1243" s="48" t="str">
        <f aca="false">HYPERLINK("https://boxd.it/70w","open")</f>
        <v>open</v>
      </c>
      <c r="M1243" s="4" t="str">
        <f aca="false">LOWER(A1243)&amp;"|"&amp;B1243</f>
        <v>kill bill: vol. 1|2003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1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 customFormat="false" ht="15" hidden="false" customHeight="false" outlineLevel="0" collapsed="false">
      <c r="A1244" s="4" t="s">
        <v>2828</v>
      </c>
      <c r="B1244" s="4" t="n">
        <v>2004</v>
      </c>
      <c r="C1244" s="4" t="str">
        <f aca="false">FLOOR(B1244,10)&amp;"s"</f>
        <v>2000s</v>
      </c>
      <c r="D1244" s="4" t="s">
        <v>208</v>
      </c>
      <c r="E1244" s="25" t="str">
        <f aca="false">IF(G1244=1,"✓","")</f>
        <v>✓</v>
      </c>
      <c r="F1244" s="4" t="n">
        <v>1</v>
      </c>
      <c r="G1244" s="4" t="n">
        <f aca="false">IF(COUNTIF('Letterboxd Watched'!$E$2:$E$3000,M1244)&gt;0,1,0)</f>
        <v>1</v>
      </c>
      <c r="H1244" s="4" t="n">
        <v>2</v>
      </c>
      <c r="I1244" s="4" t="s">
        <v>213</v>
      </c>
      <c r="J1244" s="4" t="s">
        <v>53</v>
      </c>
      <c r="K1244" s="4" t="s">
        <v>208</v>
      </c>
      <c r="L1244" s="48" t="str">
        <f aca="false">HYPERLINK("https://boxd.it/2au4","open")</f>
        <v>open</v>
      </c>
      <c r="M1244" s="4" t="str">
        <f aca="false">LOWER(A1244)&amp;"|"&amp;B1244</f>
        <v>kill bill: vol. 2|2004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1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 customFormat="false" ht="15" hidden="false" customHeight="false" outlineLevel="0" collapsed="false">
      <c r="A1245" s="4" t="s">
        <v>2970</v>
      </c>
      <c r="B1245" s="4" t="n">
        <v>2011</v>
      </c>
      <c r="C1245" s="4" t="str">
        <f aca="false">FLOOR(B1245,10)&amp;"s"</f>
        <v>2010s</v>
      </c>
      <c r="D1245" s="4" t="s">
        <v>2971</v>
      </c>
      <c r="E1245" s="25" t="str">
        <f aca="false">IF(G1245=1,"✓","")</f>
        <v/>
      </c>
      <c r="F1245" s="4" t="n">
        <v>1</v>
      </c>
      <c r="G1245" s="4" t="n">
        <f aca="false">IF(COUNTIF('Letterboxd Watched'!$E$2:$E$3000,M1245)&gt;0,1,0)</f>
        <v>0</v>
      </c>
      <c r="H1245" s="4" t="n">
        <v>2</v>
      </c>
      <c r="I1245" s="4" t="s">
        <v>213</v>
      </c>
      <c r="J1245" s="4" t="s">
        <v>52</v>
      </c>
      <c r="K1245" s="4" t="s">
        <v>4064</v>
      </c>
      <c r="L1245" s="48" t="str">
        <f aca="false">HYPERLINK("https://boxd.it/2z4g","open")</f>
        <v>open</v>
      </c>
      <c r="M1245" s="4" t="str">
        <f aca="false">LOWER(A1245)&amp;"|"&amp;B1245</f>
        <v>kill list|2011</v>
      </c>
      <c r="N1245" s="4" t="n">
        <v>0</v>
      </c>
      <c r="O1245" s="4" t="n">
        <v>0</v>
      </c>
      <c r="P1245" s="4" t="n">
        <v>0</v>
      </c>
      <c r="Q1245" s="4" t="n">
        <v>1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 customFormat="false" ht="15" hidden="false" customHeight="false" outlineLevel="0" collapsed="false">
      <c r="A1246" s="4" t="s">
        <v>2489</v>
      </c>
      <c r="B1246" s="4" t="n">
        <v>1989</v>
      </c>
      <c r="C1246" s="4" t="str">
        <f aca="false">FLOOR(B1246,10)&amp;"s"</f>
        <v>1980s</v>
      </c>
      <c r="D1246" s="4" t="s">
        <v>1387</v>
      </c>
      <c r="E1246" s="25" t="str">
        <f aca="false">IF(G1246=1,"✓","")</f>
        <v/>
      </c>
      <c r="F1246" s="4" t="n">
        <v>1</v>
      </c>
      <c r="G1246" s="4" t="n">
        <f aca="false">IF(COUNTIF('Letterboxd Watched'!$E$2:$E$3000,M1246)&gt;0,1,0)</f>
        <v>0</v>
      </c>
      <c r="H1246" s="4" t="n">
        <v>2</v>
      </c>
      <c r="I1246" s="4" t="s">
        <v>213</v>
      </c>
      <c r="J1246" s="4" t="s">
        <v>51</v>
      </c>
      <c r="K1246" s="4" t="s">
        <v>4012</v>
      </c>
      <c r="L1246" s="48" t="str">
        <f aca="false">HYPERLINK("https://boxd.it/1Vha","open")</f>
        <v>open</v>
      </c>
      <c r="M1246" s="4" t="str">
        <f aca="false">LOWER(A1246)&amp;"|"&amp;B1246</f>
        <v>the killer|1989</v>
      </c>
      <c r="N1246" s="4" t="n">
        <v>0</v>
      </c>
      <c r="O1246" s="4" t="n">
        <v>0</v>
      </c>
      <c r="P1246" s="4" t="n">
        <v>1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 customFormat="false" ht="15" hidden="false" customHeight="false" outlineLevel="0" collapsed="false">
      <c r="A1247" s="4" t="s">
        <v>2489</v>
      </c>
      <c r="B1247" s="4" t="n">
        <v>2023</v>
      </c>
      <c r="C1247" s="4" t="str">
        <f aca="false">FLOOR(B1247,10)&amp;"s"</f>
        <v>2020s</v>
      </c>
      <c r="D1247" s="4" t="s">
        <v>325</v>
      </c>
      <c r="E1247" s="25" t="str">
        <f aca="false">IF(G1247=1,"✓","")</f>
        <v/>
      </c>
      <c r="F1247" s="4" t="n">
        <v>1</v>
      </c>
      <c r="G1247" s="4" t="n">
        <f aca="false">IF(COUNTIF('Letterboxd Watched'!$E$2:$E$3000,M1247)&gt;0,1,0)</f>
        <v>0</v>
      </c>
      <c r="H1247" s="4" t="n">
        <v>2</v>
      </c>
      <c r="I1247" s="4" t="s">
        <v>213</v>
      </c>
      <c r="J1247" s="4" t="s">
        <v>53</v>
      </c>
      <c r="K1247" s="4" t="s">
        <v>325</v>
      </c>
      <c r="L1247" s="48" t="str">
        <f aca="false">HYPERLINK("https://boxd.it/u6WE","open")</f>
        <v>open</v>
      </c>
      <c r="M1247" s="4" t="str">
        <f aca="false">LOWER(A1247)&amp;"|"&amp;B1247</f>
        <v>the killer|2023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1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 customFormat="false" ht="15" hidden="false" customHeight="false" outlineLevel="0" collapsed="false">
      <c r="A1248" s="4" t="s">
        <v>2987</v>
      </c>
      <c r="B1248" s="4" t="n">
        <v>2011</v>
      </c>
      <c r="C1248" s="4" t="str">
        <f aca="false">FLOOR(B1248,10)&amp;"s"</f>
        <v>2010s</v>
      </c>
      <c r="D1248" s="4" t="s">
        <v>479</v>
      </c>
      <c r="E1248" s="25" t="str">
        <f aca="false">IF(G1248=1,"✓","")</f>
        <v/>
      </c>
      <c r="F1248" s="4" t="n">
        <v>1</v>
      </c>
      <c r="G1248" s="4" t="n">
        <f aca="false">IF(COUNTIF('Letterboxd Watched'!$E$2:$E$3000,M1248)&gt;0,1,0)</f>
        <v>0</v>
      </c>
      <c r="H1248" s="4" t="n">
        <v>2</v>
      </c>
      <c r="I1248" s="4" t="s">
        <v>213</v>
      </c>
      <c r="J1248" s="4" t="s">
        <v>56</v>
      </c>
      <c r="K1248" s="4" t="s">
        <v>4392</v>
      </c>
      <c r="L1248" s="48" t="str">
        <f aca="false">HYPERLINK("https://boxd.it/2vtQ","open")</f>
        <v>open</v>
      </c>
      <c r="M1248" s="4" t="str">
        <f aca="false">LOWER(A1248)&amp;"|"&amp;B1248</f>
        <v>killer joe|2011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1</v>
      </c>
      <c r="V1248" s="4" t="n">
        <v>0</v>
      </c>
      <c r="W1248" s="4" t="n">
        <v>0</v>
      </c>
    </row>
    <row r="1249" customFormat="false" ht="15" hidden="false" customHeight="false" outlineLevel="0" collapsed="false">
      <c r="A1249" s="4" t="s">
        <v>238</v>
      </c>
      <c r="B1249" s="4" t="n">
        <v>1978</v>
      </c>
      <c r="C1249" s="4" t="str">
        <f aca="false">FLOOR(B1249,10)&amp;"s"</f>
        <v>1970s</v>
      </c>
      <c r="D1249" s="4" t="s">
        <v>239</v>
      </c>
      <c r="E1249" s="25" t="str">
        <f aca="false">IF(G1249=1,"✓","")</f>
        <v/>
      </c>
      <c r="F1249" s="4" t="n">
        <v>6</v>
      </c>
      <c r="G1249" s="4" t="n">
        <f aca="false">IF(COUNTIF('Letterboxd Watched'!$E$2:$E$3000,M1249)&gt;0,1,0)</f>
        <v>0</v>
      </c>
      <c r="H1249" s="4" t="n">
        <v>13</v>
      </c>
      <c r="I1249" s="4" t="s">
        <v>144</v>
      </c>
      <c r="J1249" s="4" t="s">
        <v>54</v>
      </c>
      <c r="K1249" s="4" t="s">
        <v>5540</v>
      </c>
      <c r="L1249" s="48" t="str">
        <f aca="false">HYPERLINK("https://boxd.it/1rPc","open")</f>
        <v>open</v>
      </c>
      <c r="M1249" s="4" t="str">
        <f aca="false">LOWER(A1249)&amp;"|"&amp;B1249</f>
        <v>killer of sheep|1978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1</v>
      </c>
      <c r="T1249" s="4" t="n">
        <v>1</v>
      </c>
      <c r="U1249" s="4" t="n">
        <v>0</v>
      </c>
      <c r="V1249" s="4" t="n">
        <v>1</v>
      </c>
      <c r="W1249" s="4" t="n">
        <v>1</v>
      </c>
    </row>
    <row r="1250" customFormat="false" ht="15" hidden="false" customHeight="false" outlineLevel="0" collapsed="false">
      <c r="A1250" s="4" t="s">
        <v>3380</v>
      </c>
      <c r="B1250" s="4" t="n">
        <v>1955</v>
      </c>
      <c r="C1250" s="4" t="str">
        <f aca="false">FLOOR(B1250,10)&amp;"s"</f>
        <v>1950s</v>
      </c>
      <c r="D1250" s="4" t="s">
        <v>187</v>
      </c>
      <c r="E1250" s="25" t="str">
        <f aca="false">IF(G1250=1,"✓","")</f>
        <v>✓</v>
      </c>
      <c r="F1250" s="4" t="n">
        <v>1</v>
      </c>
      <c r="G1250" s="4" t="n">
        <f aca="false">IF(COUNTIF('Letterboxd Watched'!$E$2:$E$3000,M1250)&gt;0,1,0)</f>
        <v>1</v>
      </c>
      <c r="H1250" s="4" t="n">
        <v>1</v>
      </c>
      <c r="I1250" s="4" t="s">
        <v>1327</v>
      </c>
      <c r="J1250" s="4" t="s">
        <v>53</v>
      </c>
      <c r="K1250" s="4" t="s">
        <v>187</v>
      </c>
      <c r="L1250" s="48" t="str">
        <f aca="false">HYPERLINK("https://boxd.it/1Xcc","open")</f>
        <v>open</v>
      </c>
      <c r="M1250" s="4" t="str">
        <f aca="false">LOWER(A1250)&amp;"|"&amp;B1250</f>
        <v>killer's kiss|1955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1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</row>
    <row r="1251" customFormat="false" ht="15" hidden="false" customHeight="false" outlineLevel="0" collapsed="false">
      <c r="A1251" s="4" t="s">
        <v>1836</v>
      </c>
      <c r="B1251" s="4" t="n">
        <v>1946</v>
      </c>
      <c r="C1251" s="4" t="str">
        <f aca="false">FLOOR(B1251,10)&amp;"s"</f>
        <v>1940s</v>
      </c>
      <c r="D1251" s="4" t="s">
        <v>1837</v>
      </c>
      <c r="E1251" s="25" t="str">
        <f aca="false">IF(G1251=1,"✓","")</f>
        <v/>
      </c>
      <c r="F1251" s="4" t="n">
        <v>1</v>
      </c>
      <c r="G1251" s="4" t="n">
        <f aca="false">IF(COUNTIF('Letterboxd Watched'!$E$2:$E$3000,M1251)&gt;0,1,0)</f>
        <v>0</v>
      </c>
      <c r="H1251" s="4" t="n">
        <v>2</v>
      </c>
      <c r="I1251" s="4" t="s">
        <v>213</v>
      </c>
      <c r="J1251" s="4" t="s">
        <v>52</v>
      </c>
      <c r="K1251" s="4" t="s">
        <v>4042</v>
      </c>
      <c r="L1251" s="48" t="str">
        <f aca="false">HYPERLINK("https://boxd.it/1NGc","open")</f>
        <v>open</v>
      </c>
      <c r="M1251" s="4" t="str">
        <f aca="false">LOWER(A1251)&amp;"|"&amp;B1251</f>
        <v>the killers|1946</v>
      </c>
      <c r="N1251" s="4" t="n">
        <v>0</v>
      </c>
      <c r="O1251" s="4" t="n">
        <v>0</v>
      </c>
      <c r="P1251" s="4" t="n">
        <v>0</v>
      </c>
      <c r="Q1251" s="4" t="n">
        <v>1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 customFormat="false" ht="15" hidden="false" customHeight="false" outlineLevel="0" collapsed="false">
      <c r="A1252" s="4" t="s">
        <v>654</v>
      </c>
      <c r="B1252" s="4" t="n">
        <v>2023</v>
      </c>
      <c r="C1252" s="4" t="str">
        <f aca="false">FLOOR(B1252,10)&amp;"s"</f>
        <v>2020s</v>
      </c>
      <c r="D1252" s="4" t="s">
        <v>164</v>
      </c>
      <c r="E1252" s="25" t="str">
        <f aca="false">IF(G1252=1,"✓","")</f>
        <v/>
      </c>
      <c r="F1252" s="4" t="n">
        <v>3</v>
      </c>
      <c r="G1252" s="4" t="n">
        <f aca="false">IF(COUNTIF('Letterboxd Watched'!$E$2:$E$3000,M1252)&gt;0,1,0)</f>
        <v>0</v>
      </c>
      <c r="H1252" s="4" t="n">
        <v>6</v>
      </c>
      <c r="I1252" s="4" t="s">
        <v>213</v>
      </c>
      <c r="J1252" s="4" t="s">
        <v>52</v>
      </c>
      <c r="K1252" s="4" t="s">
        <v>5541</v>
      </c>
      <c r="L1252" s="48" t="str">
        <f aca="false">HYPERLINK("https://boxd.it/gHp0","open")</f>
        <v>open</v>
      </c>
      <c r="M1252" s="4" t="str">
        <f aca="false">LOWER(A1252)&amp;"|"&amp;B1252</f>
        <v>killers of the flower moon|2023</v>
      </c>
      <c r="N1252" s="4" t="n">
        <v>0</v>
      </c>
      <c r="O1252" s="4" t="n">
        <v>0</v>
      </c>
      <c r="P1252" s="4" t="n">
        <v>0</v>
      </c>
      <c r="Q1252" s="4" t="n">
        <v>1</v>
      </c>
      <c r="R1252" s="4" t="n">
        <v>1</v>
      </c>
      <c r="S1252" s="4" t="n">
        <v>0</v>
      </c>
      <c r="T1252" s="4" t="n">
        <v>1</v>
      </c>
      <c r="U1252" s="4" t="n">
        <v>0</v>
      </c>
      <c r="V1252" s="4" t="n">
        <v>0</v>
      </c>
      <c r="W1252" s="4" t="n">
        <v>0</v>
      </c>
    </row>
    <row r="1253" customFormat="false" ht="15" hidden="false" customHeight="false" outlineLevel="0" collapsed="false">
      <c r="A1253" s="4" t="s">
        <v>576</v>
      </c>
      <c r="B1253" s="4" t="n">
        <v>1956</v>
      </c>
      <c r="C1253" s="4" t="str">
        <f aca="false">FLOOR(B1253,10)&amp;"s"</f>
        <v>1950s</v>
      </c>
      <c r="D1253" s="4" t="s">
        <v>187</v>
      </c>
      <c r="E1253" s="25" t="str">
        <f aca="false">IF(G1253=1,"✓","")</f>
        <v>✓</v>
      </c>
      <c r="F1253" s="4" t="n">
        <v>3</v>
      </c>
      <c r="G1253" s="4" t="n">
        <f aca="false">IF(COUNTIF('Letterboxd Watched'!$E$2:$E$3000,M1253)&gt;0,1,0)</f>
        <v>1</v>
      </c>
      <c r="H1253" s="4" t="n">
        <v>6</v>
      </c>
      <c r="I1253" s="4" t="s">
        <v>213</v>
      </c>
      <c r="J1253" s="4" t="s">
        <v>49</v>
      </c>
      <c r="K1253" s="4" t="s">
        <v>5542</v>
      </c>
      <c r="L1253" s="48" t="str">
        <f aca="false">HYPERLINK("https://boxd.it/2aMi","open")</f>
        <v>open</v>
      </c>
      <c r="M1253" s="4" t="str">
        <f aca="false">LOWER(A1253)&amp;"|"&amp;B1253</f>
        <v>the killing|1956</v>
      </c>
      <c r="N1253" s="4" t="n">
        <v>1</v>
      </c>
      <c r="O1253" s="4" t="n">
        <v>0</v>
      </c>
      <c r="P1253" s="4" t="n">
        <v>0</v>
      </c>
      <c r="Q1253" s="4" t="n">
        <v>1</v>
      </c>
      <c r="R1253" s="4" t="n">
        <v>1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 customFormat="false" ht="15" hidden="false" customHeight="false" outlineLevel="0" collapsed="false">
      <c r="A1254" s="4" t="s">
        <v>2291</v>
      </c>
      <c r="B1254" s="4" t="n">
        <v>1976</v>
      </c>
      <c r="C1254" s="4" t="str">
        <f aca="false">FLOOR(B1254,10)&amp;"s"</f>
        <v>1970s</v>
      </c>
      <c r="D1254" s="4" t="s">
        <v>801</v>
      </c>
      <c r="E1254" s="25" t="str">
        <f aca="false">IF(G1254=1,"✓","")</f>
        <v/>
      </c>
      <c r="F1254" s="4" t="n">
        <v>1</v>
      </c>
      <c r="G1254" s="4" t="n">
        <f aca="false">IF(COUNTIF('Letterboxd Watched'!$E$2:$E$3000,M1254)&gt;0,1,0)</f>
        <v>0</v>
      </c>
      <c r="H1254" s="4" t="n">
        <v>2</v>
      </c>
      <c r="I1254" s="4" t="s">
        <v>213</v>
      </c>
      <c r="J1254" s="4" t="s">
        <v>53</v>
      </c>
      <c r="K1254" s="4" t="s">
        <v>801</v>
      </c>
      <c r="L1254" s="48" t="str">
        <f aca="false">HYPERLINK("https://boxd.it/1hS6","open")</f>
        <v>open</v>
      </c>
      <c r="M1254" s="4" t="str">
        <f aca="false">LOWER(A1254)&amp;"|"&amp;B1254</f>
        <v>the killing of a chinese bookie|1976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1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 customFormat="false" ht="15" hidden="false" customHeight="false" outlineLevel="0" collapsed="false">
      <c r="A1255" s="4" t="s">
        <v>3127</v>
      </c>
      <c r="B1255" s="4" t="n">
        <v>2017</v>
      </c>
      <c r="C1255" s="4" t="str">
        <f aca="false">FLOOR(B1255,10)&amp;"s"</f>
        <v>2010s</v>
      </c>
      <c r="D1255" s="4" t="s">
        <v>874</v>
      </c>
      <c r="E1255" s="25" t="str">
        <f aca="false">IF(G1255=1,"✓","")</f>
        <v>✓</v>
      </c>
      <c r="F1255" s="4" t="n">
        <v>1</v>
      </c>
      <c r="G1255" s="4" t="n">
        <f aca="false">IF(COUNTIF('Letterboxd Watched'!$E$2:$E$3000,M1255)&gt;0,1,0)</f>
        <v>1</v>
      </c>
      <c r="H1255" s="4" t="n">
        <v>2</v>
      </c>
      <c r="I1255" s="4" t="s">
        <v>213</v>
      </c>
      <c r="J1255" s="4" t="s">
        <v>53</v>
      </c>
      <c r="K1255" s="4" t="s">
        <v>4242</v>
      </c>
      <c r="L1255" s="48" t="str">
        <f aca="false">HYPERLINK("https://boxd.it/dZ5G","open")</f>
        <v>open</v>
      </c>
      <c r="M1255" s="4" t="str">
        <f aca="false">LOWER(A1255)&amp;"|"&amp;B1255</f>
        <v>the killing of a sacred deer|2017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1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 customFormat="false" ht="15" hidden="false" customHeight="false" outlineLevel="0" collapsed="false">
      <c r="A1256" s="4" t="s">
        <v>454</v>
      </c>
      <c r="B1256" s="4" t="n">
        <v>1949</v>
      </c>
      <c r="C1256" s="4" t="str">
        <f aca="false">FLOOR(B1256,10)&amp;"s"</f>
        <v>1940s</v>
      </c>
      <c r="D1256" s="4" t="s">
        <v>455</v>
      </c>
      <c r="E1256" s="25" t="str">
        <f aca="false">IF(G1256=1,"✓","")</f>
        <v/>
      </c>
      <c r="F1256" s="4" t="n">
        <v>3</v>
      </c>
      <c r="G1256" s="4" t="n">
        <f aca="false">IF(COUNTIF('Letterboxd Watched'!$E$2:$E$3000,M1256)&gt;0,1,0)</f>
        <v>0</v>
      </c>
      <c r="H1256" s="4" t="n">
        <v>7</v>
      </c>
      <c r="I1256" s="4" t="s">
        <v>144</v>
      </c>
      <c r="J1256" s="4" t="s">
        <v>51</v>
      </c>
      <c r="K1256" s="4" t="s">
        <v>5543</v>
      </c>
      <c r="L1256" s="48" t="str">
        <f aca="false">HYPERLINK("https://boxd.it/1SPe","open")</f>
        <v>open</v>
      </c>
      <c r="M1256" s="4" t="str">
        <f aca="false">LOWER(A1256)&amp;"|"&amp;B1256</f>
        <v>kind hearts and coronets|1949</v>
      </c>
      <c r="N1256" s="4" t="n">
        <v>0</v>
      </c>
      <c r="O1256" s="4" t="n">
        <v>0</v>
      </c>
      <c r="P1256" s="4" t="n">
        <v>1</v>
      </c>
      <c r="Q1256" s="4" t="n">
        <v>1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1</v>
      </c>
      <c r="W1256" s="4" t="n">
        <v>0</v>
      </c>
    </row>
    <row r="1257" customFormat="false" ht="15" hidden="false" customHeight="false" outlineLevel="0" collapsed="false">
      <c r="A1257" s="4" t="s">
        <v>3423</v>
      </c>
      <c r="B1257" s="4" t="n">
        <v>1964</v>
      </c>
      <c r="C1257" s="4" t="str">
        <f aca="false">FLOOR(B1257,10)&amp;"s"</f>
        <v>1960s</v>
      </c>
      <c r="D1257" s="4" t="s">
        <v>2023</v>
      </c>
      <c r="E1257" s="25" t="str">
        <f aca="false">IF(G1257=1,"✓","")</f>
        <v/>
      </c>
      <c r="F1257" s="4" t="n">
        <v>1</v>
      </c>
      <c r="G1257" s="4" t="n">
        <f aca="false">IF(COUNTIF('Letterboxd Watched'!$E$2:$E$3000,M1257)&gt;0,1,0)</f>
        <v>0</v>
      </c>
      <c r="H1257" s="4" t="n">
        <v>1</v>
      </c>
      <c r="I1257" s="4" t="s">
        <v>1327</v>
      </c>
      <c r="J1257" s="4" t="s">
        <v>52</v>
      </c>
      <c r="K1257" s="4" t="s">
        <v>4136</v>
      </c>
      <c r="L1257" s="48" t="str">
        <f aca="false">HYPERLINK("https://letterboxd.com/search/films/King+Country+1964/","open")</f>
        <v>open</v>
      </c>
      <c r="M1257" s="4" t="str">
        <f aca="false">LOWER(A1257)&amp;"|"&amp;B1257</f>
        <v>king &amp; country|1964</v>
      </c>
      <c r="N1257" s="4" t="n">
        <v>0</v>
      </c>
      <c r="O1257" s="4" t="n">
        <v>0</v>
      </c>
      <c r="P1257" s="4" t="n">
        <v>0</v>
      </c>
      <c r="Q1257" s="4" t="n">
        <v>1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 customFormat="false" ht="15" hidden="false" customHeight="false" outlineLevel="0" collapsed="false">
      <c r="A1258" s="4" t="s">
        <v>566</v>
      </c>
      <c r="B1258" s="4" t="n">
        <v>1933</v>
      </c>
      <c r="C1258" s="4" t="str">
        <f aca="false">FLOOR(B1258,10)&amp;"s"</f>
        <v>1930s</v>
      </c>
      <c r="D1258" s="4" t="s">
        <v>567</v>
      </c>
      <c r="E1258" s="25" t="str">
        <f aca="false">IF(G1258=1,"✓","")</f>
        <v/>
      </c>
      <c r="F1258" s="4" t="n">
        <v>3</v>
      </c>
      <c r="G1258" s="4" t="n">
        <f aca="false">IF(COUNTIF('Letterboxd Watched'!$E$2:$E$3000,M1258)&gt;0,1,0)</f>
        <v>0</v>
      </c>
      <c r="H1258" s="4" t="n">
        <v>6</v>
      </c>
      <c r="I1258" s="4" t="s">
        <v>213</v>
      </c>
      <c r="J1258" s="4" t="s">
        <v>52</v>
      </c>
      <c r="K1258" s="4" t="s">
        <v>5544</v>
      </c>
      <c r="L1258" s="48" t="str">
        <f aca="false">HYPERLINK("https://boxd.it/2aMM","open")</f>
        <v>open</v>
      </c>
      <c r="M1258" s="4" t="str">
        <f aca="false">LOWER(A1258)&amp;"|"&amp;B1258</f>
        <v>king kong|1933</v>
      </c>
      <c r="N1258" s="4" t="n">
        <v>0</v>
      </c>
      <c r="O1258" s="4" t="n">
        <v>0</v>
      </c>
      <c r="P1258" s="4" t="n">
        <v>0</v>
      </c>
      <c r="Q1258" s="4" t="n">
        <v>1</v>
      </c>
      <c r="R1258" s="4" t="n">
        <v>0</v>
      </c>
      <c r="S1258" s="4" t="n">
        <v>0</v>
      </c>
      <c r="T1258" s="4" t="n">
        <v>0</v>
      </c>
      <c r="U1258" s="4" t="n">
        <v>1</v>
      </c>
      <c r="V1258" s="4" t="n">
        <v>1</v>
      </c>
      <c r="W1258" s="4" t="n">
        <v>0</v>
      </c>
    </row>
    <row r="1259" customFormat="false" ht="15" hidden="false" customHeight="false" outlineLevel="0" collapsed="false">
      <c r="A1259" s="4" t="s">
        <v>314</v>
      </c>
      <c r="B1259" s="4" t="n">
        <v>1982</v>
      </c>
      <c r="C1259" s="4" t="str">
        <f aca="false">FLOOR(B1259,10)&amp;"s"</f>
        <v>1980s</v>
      </c>
      <c r="D1259" s="4" t="s">
        <v>164</v>
      </c>
      <c r="E1259" s="25" t="str">
        <f aca="false">IF(G1259=1,"✓","")</f>
        <v>✓</v>
      </c>
      <c r="F1259" s="4" t="n">
        <v>4</v>
      </c>
      <c r="G1259" s="4" t="n">
        <f aca="false">IF(COUNTIF('Letterboxd Watched'!$E$2:$E$3000,M1259)&gt;0,1,0)</f>
        <v>1</v>
      </c>
      <c r="H1259" s="4" t="n">
        <v>10</v>
      </c>
      <c r="I1259" s="4" t="s">
        <v>144</v>
      </c>
      <c r="J1259" s="4" t="s">
        <v>50</v>
      </c>
      <c r="K1259" s="4" t="s">
        <v>5545</v>
      </c>
      <c r="L1259" s="48" t="str">
        <f aca="false">HYPERLINK("https://boxd.it/2aJS","open")</f>
        <v>open</v>
      </c>
      <c r="M1259" s="4" t="str">
        <f aca="false">LOWER(A1259)&amp;"|"&amp;B1259</f>
        <v>the king of comedy|1982</v>
      </c>
      <c r="N1259" s="4" t="n">
        <v>0</v>
      </c>
      <c r="O1259" s="4" t="n">
        <v>1</v>
      </c>
      <c r="P1259" s="4" t="n">
        <v>0</v>
      </c>
      <c r="Q1259" s="4" t="n">
        <v>1</v>
      </c>
      <c r="R1259" s="4" t="n">
        <v>1</v>
      </c>
      <c r="S1259" s="4" t="n">
        <v>0</v>
      </c>
      <c r="T1259" s="4" t="n">
        <v>1</v>
      </c>
      <c r="U1259" s="4" t="n">
        <v>0</v>
      </c>
      <c r="V1259" s="4" t="n">
        <v>0</v>
      </c>
      <c r="W1259" s="4" t="n">
        <v>0</v>
      </c>
    </row>
    <row r="1260" customFormat="false" ht="15" hidden="false" customHeight="false" outlineLevel="0" collapsed="false">
      <c r="A1260" s="4" t="s">
        <v>1347</v>
      </c>
      <c r="B1260" s="4" t="n">
        <v>1972</v>
      </c>
      <c r="C1260" s="4" t="str">
        <f aca="false">FLOOR(B1260,10)&amp;"s"</f>
        <v>1970s</v>
      </c>
      <c r="D1260" s="4" t="s">
        <v>594</v>
      </c>
      <c r="E1260" s="25" t="str">
        <f aca="false">IF(G1260=1,"✓","")</f>
        <v/>
      </c>
      <c r="F1260" s="4" t="n">
        <v>2</v>
      </c>
      <c r="G1260" s="4" t="n">
        <f aca="false">IF(COUNTIF('Letterboxd Watched'!$E$2:$E$3000,M1260)&gt;0,1,0)</f>
        <v>0</v>
      </c>
      <c r="H1260" s="4" t="n">
        <v>3</v>
      </c>
      <c r="I1260" s="4" t="s">
        <v>213</v>
      </c>
      <c r="J1260" s="4" t="s">
        <v>50</v>
      </c>
      <c r="K1260" s="4" t="s">
        <v>5546</v>
      </c>
      <c r="L1260" s="48" t="str">
        <f aca="false">HYPERLINK("https://boxd.it/Dcu","open")</f>
        <v>open</v>
      </c>
      <c r="M1260" s="4" t="str">
        <f aca="false">LOWER(A1260)&amp;"|"&amp;B1260</f>
        <v>the king of marvin gardens|1972</v>
      </c>
      <c r="N1260" s="4" t="n">
        <v>0</v>
      </c>
      <c r="O1260" s="4" t="n">
        <v>1</v>
      </c>
      <c r="P1260" s="4" t="n">
        <v>0</v>
      </c>
      <c r="Q1260" s="4" t="n">
        <v>0</v>
      </c>
      <c r="R1260" s="4" t="n">
        <v>1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</row>
    <row r="1261" customFormat="false" ht="15" hidden="false" customHeight="false" outlineLevel="0" collapsed="false">
      <c r="A1261" s="4" t="s">
        <v>3661</v>
      </c>
      <c r="B1261" s="4" t="n">
        <v>1990</v>
      </c>
      <c r="C1261" s="4" t="str">
        <f aca="false">FLOOR(B1261,10)&amp;"s"</f>
        <v>1990s</v>
      </c>
      <c r="D1261" s="4" t="s">
        <v>3597</v>
      </c>
      <c r="E1261" s="25" t="str">
        <f aca="false">IF(G1261=1,"✓","")</f>
        <v/>
      </c>
      <c r="F1261" s="4" t="n">
        <v>1</v>
      </c>
      <c r="G1261" s="4" t="n">
        <f aca="false">IF(COUNTIF('Letterboxd Watched'!$E$2:$E$3000,M1261)&gt;0,1,0)</f>
        <v>0</v>
      </c>
      <c r="H1261" s="4" t="n">
        <v>1</v>
      </c>
      <c r="I1261" s="4" t="s">
        <v>1327</v>
      </c>
      <c r="J1261" s="4" t="s">
        <v>52</v>
      </c>
      <c r="K1261" s="4" t="s">
        <v>4116</v>
      </c>
      <c r="L1261" s="48" t="str">
        <f aca="false">HYPERLINK("https://boxd.it/1Ynq","open")</f>
        <v>open</v>
      </c>
      <c r="M1261" s="4" t="str">
        <f aca="false">LOWER(A1261)&amp;"|"&amp;B1261</f>
        <v>king of new york|1990</v>
      </c>
      <c r="N1261" s="4" t="n">
        <v>0</v>
      </c>
      <c r="O1261" s="4" t="n">
        <v>0</v>
      </c>
      <c r="P1261" s="4" t="n">
        <v>0</v>
      </c>
      <c r="Q1261" s="4" t="n">
        <v>1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 customFormat="false" ht="15" hidden="false" customHeight="false" outlineLevel="0" collapsed="false">
      <c r="A1262" s="4" t="s">
        <v>2571</v>
      </c>
      <c r="B1262" s="4" t="n">
        <v>1993</v>
      </c>
      <c r="C1262" s="4" t="str">
        <f aca="false">FLOOR(B1262,10)&amp;"s"</f>
        <v>1990s</v>
      </c>
      <c r="D1262" s="4" t="s">
        <v>490</v>
      </c>
      <c r="E1262" s="25" t="str">
        <f aca="false">IF(G1262=1,"✓","")</f>
        <v/>
      </c>
      <c r="F1262" s="4" t="n">
        <v>1</v>
      </c>
      <c r="G1262" s="4" t="n">
        <f aca="false">IF(COUNTIF('Letterboxd Watched'!$E$2:$E$3000,M1262)&gt;0,1,0)</f>
        <v>0</v>
      </c>
      <c r="H1262" s="4" t="n">
        <v>2</v>
      </c>
      <c r="I1262" s="4" t="s">
        <v>213</v>
      </c>
      <c r="J1262" s="4" t="s">
        <v>53</v>
      </c>
      <c r="K1262" s="4" t="s">
        <v>490</v>
      </c>
      <c r="L1262" s="48" t="str">
        <f aca="false">HYPERLINK("https://boxd.it/1evo","open")</f>
        <v>open</v>
      </c>
      <c r="M1262" s="4" t="str">
        <f aca="false">LOWER(A1262)&amp;"|"&amp;B1262</f>
        <v>king of the hill|1993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1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 customFormat="false" ht="15" hidden="false" customHeight="false" outlineLevel="0" collapsed="false">
      <c r="A1263" s="4" t="s">
        <v>1352</v>
      </c>
      <c r="B1263" s="4" t="n">
        <v>1976</v>
      </c>
      <c r="C1263" s="4" t="str">
        <f aca="false">FLOOR(B1263,10)&amp;"s"</f>
        <v>1970s</v>
      </c>
      <c r="D1263" s="4" t="s">
        <v>365</v>
      </c>
      <c r="E1263" s="25" t="str">
        <f aca="false">IF(G1263=1,"✓","")</f>
        <v/>
      </c>
      <c r="F1263" s="4" t="n">
        <v>2</v>
      </c>
      <c r="G1263" s="4" t="n">
        <f aca="false">IF(COUNTIF('Letterboxd Watched'!$E$2:$E$3000,M1263)&gt;0,1,0)</f>
        <v>0</v>
      </c>
      <c r="H1263" s="4" t="n">
        <v>3</v>
      </c>
      <c r="I1263" s="4" t="s">
        <v>213</v>
      </c>
      <c r="J1263" s="4" t="s">
        <v>51</v>
      </c>
      <c r="K1263" s="4" t="s">
        <v>5167</v>
      </c>
      <c r="L1263" s="48" t="str">
        <f aca="false">HYPERLINK("https://boxd.it/1Vhk","open")</f>
        <v>open</v>
      </c>
      <c r="M1263" s="4" t="str">
        <f aca="false">LOWER(A1263)&amp;"|"&amp;B1263</f>
        <v>kings of the road|1976</v>
      </c>
      <c r="N1263" s="4" t="n">
        <v>0</v>
      </c>
      <c r="O1263" s="4" t="n">
        <v>0</v>
      </c>
      <c r="P1263" s="4" t="n">
        <v>1</v>
      </c>
      <c r="Q1263" s="4" t="n">
        <v>0</v>
      </c>
      <c r="R1263" s="4" t="n">
        <v>0</v>
      </c>
      <c r="S1263" s="4" t="n">
        <v>0</v>
      </c>
      <c r="T1263" s="4" t="n">
        <v>1</v>
      </c>
      <c r="U1263" s="4" t="n">
        <v>0</v>
      </c>
      <c r="V1263" s="4" t="n">
        <v>0</v>
      </c>
      <c r="W1263" s="4" t="n">
        <v>0</v>
      </c>
    </row>
    <row r="1264" customFormat="false" ht="15" hidden="false" customHeight="false" outlineLevel="0" collapsed="false">
      <c r="A1264" s="4" t="s">
        <v>747</v>
      </c>
      <c r="B1264" s="4" t="n">
        <v>1955</v>
      </c>
      <c r="C1264" s="4" t="str">
        <f aca="false">FLOOR(B1264,10)&amp;"s"</f>
        <v>1950s</v>
      </c>
      <c r="D1264" s="4" t="s">
        <v>748</v>
      </c>
      <c r="E1264" s="25" t="str">
        <f aca="false">IF(G1264=1,"✓","")</f>
        <v/>
      </c>
      <c r="F1264" s="4" t="n">
        <v>3</v>
      </c>
      <c r="G1264" s="4" t="n">
        <f aca="false">IF(COUNTIF('Letterboxd Watched'!$E$2:$E$3000,M1264)&gt;0,1,0)</f>
        <v>0</v>
      </c>
      <c r="H1264" s="4" t="n">
        <v>5</v>
      </c>
      <c r="I1264" s="4" t="s">
        <v>213</v>
      </c>
      <c r="J1264" s="4" t="s">
        <v>52</v>
      </c>
      <c r="K1264" s="4" t="s">
        <v>5547</v>
      </c>
      <c r="L1264" s="48" t="str">
        <f aca="false">HYPERLINK("https://boxd.it/1HHe","open")</f>
        <v>open</v>
      </c>
      <c r="M1264" s="4" t="str">
        <f aca="false">LOWER(A1264)&amp;"|"&amp;B1264</f>
        <v>kiss me deadly|1955</v>
      </c>
      <c r="N1264" s="4" t="n">
        <v>0</v>
      </c>
      <c r="O1264" s="4" t="n">
        <v>0</v>
      </c>
      <c r="P1264" s="4" t="n">
        <v>0</v>
      </c>
      <c r="Q1264" s="4" t="n">
        <v>1</v>
      </c>
      <c r="R1264" s="4" t="n">
        <v>0</v>
      </c>
      <c r="S1264" s="4" t="n">
        <v>0</v>
      </c>
      <c r="T1264" s="4" t="n">
        <v>1</v>
      </c>
      <c r="U1264" s="4" t="n">
        <v>0</v>
      </c>
      <c r="V1264" s="4" t="n">
        <v>0</v>
      </c>
      <c r="W1264" s="4" t="n">
        <v>0</v>
      </c>
    </row>
    <row r="1265" customFormat="false" ht="15" hidden="false" customHeight="false" outlineLevel="0" collapsed="false">
      <c r="A1265" s="4" t="s">
        <v>3424</v>
      </c>
      <c r="B1265" s="4" t="n">
        <v>1964</v>
      </c>
      <c r="C1265" s="4" t="str">
        <f aca="false">FLOOR(B1265,10)&amp;"s"</f>
        <v>1960s</v>
      </c>
      <c r="D1265" s="4" t="s">
        <v>200</v>
      </c>
      <c r="E1265" s="25" t="str">
        <f aca="false">IF(G1265=1,"✓","")</f>
        <v/>
      </c>
      <c r="F1265" s="4" t="n">
        <v>1</v>
      </c>
      <c r="G1265" s="4" t="n">
        <f aca="false">IF(COUNTIF('Letterboxd Watched'!$E$2:$E$3000,M1265)&gt;0,1,0)</f>
        <v>0</v>
      </c>
      <c r="H1265" s="4" t="n">
        <v>1</v>
      </c>
      <c r="I1265" s="4" t="s">
        <v>1327</v>
      </c>
      <c r="J1265" s="4" t="s">
        <v>53</v>
      </c>
      <c r="K1265" s="4" t="s">
        <v>200</v>
      </c>
      <c r="L1265" s="48" t="str">
        <f aca="false">HYPERLINK("https://boxd.it/xyE","open")</f>
        <v>open</v>
      </c>
      <c r="M1265" s="4" t="str">
        <f aca="false">LOWER(A1265)&amp;"|"&amp;B1265</f>
        <v>kiss me, stupid|1964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1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 customFormat="false" ht="15" hidden="false" customHeight="false" outlineLevel="0" collapsed="false">
      <c r="A1266" s="4" t="s">
        <v>3186</v>
      </c>
      <c r="B1266" s="4" t="n">
        <v>2019</v>
      </c>
      <c r="C1266" s="4" t="str">
        <f aca="false">FLOOR(B1266,10)&amp;"s"</f>
        <v>2010s</v>
      </c>
      <c r="D1266" s="4" t="s">
        <v>3187</v>
      </c>
      <c r="E1266" s="25" t="str">
        <f aca="false">IF(G1266=1,"✓","")</f>
        <v>✓</v>
      </c>
      <c r="F1266" s="4" t="n">
        <v>1</v>
      </c>
      <c r="G1266" s="4" t="n">
        <f aca="false">IF(COUNTIF('Letterboxd Watched'!$E$2:$E$3000,M1266)&gt;0,1,0)</f>
        <v>1</v>
      </c>
      <c r="H1266" s="4" t="n">
        <v>2</v>
      </c>
      <c r="I1266" s="4" t="s">
        <v>213</v>
      </c>
      <c r="J1266" s="4" t="s">
        <v>56</v>
      </c>
      <c r="K1266" s="4" t="s">
        <v>4420</v>
      </c>
      <c r="L1266" s="48" t="str">
        <f aca="false">HYPERLINK("https://boxd.it/ipoi","open")</f>
        <v>open</v>
      </c>
      <c r="M1266" s="4" t="str">
        <f aca="false">LOWER(A1266)&amp;"|"&amp;B1266</f>
        <v>klaus|2019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1</v>
      </c>
      <c r="V1266" s="4" t="n">
        <v>0</v>
      </c>
      <c r="W1266" s="4" t="n">
        <v>0</v>
      </c>
    </row>
    <row r="1267" customFormat="false" ht="15" hidden="false" customHeight="false" outlineLevel="0" collapsed="false">
      <c r="A1267" s="4" t="s">
        <v>2180</v>
      </c>
      <c r="B1267" s="4" t="n">
        <v>1971</v>
      </c>
      <c r="C1267" s="4" t="str">
        <f aca="false">FLOOR(B1267,10)&amp;"s"</f>
        <v>1970s</v>
      </c>
      <c r="D1267" s="4" t="s">
        <v>243</v>
      </c>
      <c r="E1267" s="25" t="str">
        <f aca="false">IF(G1267=1,"✓","")</f>
        <v/>
      </c>
      <c r="F1267" s="4" t="n">
        <v>1</v>
      </c>
      <c r="G1267" s="4" t="n">
        <f aca="false">IF(COUNTIF('Letterboxd Watched'!$E$2:$E$3000,M1267)&gt;0,1,0)</f>
        <v>0</v>
      </c>
      <c r="H1267" s="4" t="n">
        <v>2</v>
      </c>
      <c r="I1267" s="4" t="s">
        <v>213</v>
      </c>
      <c r="J1267" s="4" t="s">
        <v>52</v>
      </c>
      <c r="K1267" s="4" t="s">
        <v>4126</v>
      </c>
      <c r="L1267" s="48" t="str">
        <f aca="false">HYPERLINK("https://boxd.it/2ako","open")</f>
        <v>open</v>
      </c>
      <c r="M1267" s="4" t="str">
        <f aca="false">LOWER(A1267)&amp;"|"&amp;B1267</f>
        <v>klute|1971</v>
      </c>
      <c r="N1267" s="4" t="n">
        <v>0</v>
      </c>
      <c r="O1267" s="4" t="n">
        <v>0</v>
      </c>
      <c r="P1267" s="4" t="n">
        <v>0</v>
      </c>
      <c r="Q1267" s="4" t="n">
        <v>1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 customFormat="false" ht="15" hidden="false" customHeight="false" outlineLevel="0" collapsed="false">
      <c r="A1268" s="4" t="s">
        <v>3430</v>
      </c>
      <c r="B1268" s="4" t="n">
        <v>1965</v>
      </c>
      <c r="C1268" s="4" t="str">
        <f aca="false">FLOOR(B1268,10)&amp;"s"</f>
        <v>1960s</v>
      </c>
      <c r="D1268" s="4" t="s">
        <v>978</v>
      </c>
      <c r="E1268" s="25" t="str">
        <f aca="false">IF(G1268=1,"✓","")</f>
        <v/>
      </c>
      <c r="F1268" s="4" t="n">
        <v>1</v>
      </c>
      <c r="G1268" s="4" t="n">
        <f aca="false">IF(COUNTIF('Letterboxd Watched'!$E$2:$E$3000,M1268)&gt;0,1,0)</f>
        <v>0</v>
      </c>
      <c r="H1268" s="4" t="n">
        <v>1</v>
      </c>
      <c r="I1268" s="4" t="s">
        <v>1327</v>
      </c>
      <c r="J1268" s="4" t="s">
        <v>51</v>
      </c>
      <c r="K1268" s="4" t="s">
        <v>3984</v>
      </c>
      <c r="L1268" s="48" t="str">
        <f aca="false">HYPERLINK("https://boxd.it/W8m","open")</f>
        <v>open</v>
      </c>
      <c r="M1268" s="4" t="str">
        <f aca="false">LOWER(A1268)&amp;"|"&amp;B1268</f>
        <v>the knack... and how to get it|1965</v>
      </c>
      <c r="N1268" s="4" t="n">
        <v>0</v>
      </c>
      <c r="O1268" s="4" t="n">
        <v>0</v>
      </c>
      <c r="P1268" s="4" t="n">
        <v>1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</row>
    <row r="1269" customFormat="false" ht="15" hidden="false" customHeight="false" outlineLevel="0" collapsed="false">
      <c r="A1269" s="4" t="s">
        <v>583</v>
      </c>
      <c r="B1269" s="4" t="n">
        <v>1962</v>
      </c>
      <c r="C1269" s="4" t="str">
        <f aca="false">FLOOR(B1269,10)&amp;"s"</f>
        <v>1960s</v>
      </c>
      <c r="D1269" s="4" t="s">
        <v>195</v>
      </c>
      <c r="E1269" s="25" t="str">
        <f aca="false">IF(G1269=1,"✓","")</f>
        <v/>
      </c>
      <c r="F1269" s="4" t="n">
        <v>3</v>
      </c>
      <c r="G1269" s="4" t="n">
        <f aca="false">IF(COUNTIF('Letterboxd Watched'!$E$2:$E$3000,M1269)&gt;0,1,0)</f>
        <v>0</v>
      </c>
      <c r="H1269" s="4" t="n">
        <v>6</v>
      </c>
      <c r="I1269" s="4" t="s">
        <v>213</v>
      </c>
      <c r="J1269" s="4" t="s">
        <v>50</v>
      </c>
      <c r="K1269" s="4" t="s">
        <v>5548</v>
      </c>
      <c r="L1269" s="48" t="str">
        <f aca="false">HYPERLINK("https://boxd.it/1THK","open")</f>
        <v>open</v>
      </c>
      <c r="M1269" s="4" t="str">
        <f aca="false">LOWER(A1269)&amp;"|"&amp;B1269</f>
        <v>knife in the water|1962</v>
      </c>
      <c r="N1269" s="4" t="n">
        <v>0</v>
      </c>
      <c r="O1269" s="4" t="n">
        <v>1</v>
      </c>
      <c r="P1269" s="4" t="n">
        <v>1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1</v>
      </c>
      <c r="V1269" s="4" t="n">
        <v>0</v>
      </c>
      <c r="W1269" s="4" t="n">
        <v>0</v>
      </c>
    </row>
    <row r="1270" customFormat="false" ht="15" hidden="false" customHeight="false" outlineLevel="0" collapsed="false">
      <c r="A1270" s="4" t="s">
        <v>3827</v>
      </c>
      <c r="B1270" s="4" t="n">
        <v>2015</v>
      </c>
      <c r="C1270" s="4" t="str">
        <f aca="false">FLOOR(B1270,10)&amp;"s"</f>
        <v>2010s</v>
      </c>
      <c r="D1270" s="4" t="s">
        <v>361</v>
      </c>
      <c r="E1270" s="25" t="str">
        <f aca="false">IF(G1270=1,"✓","")</f>
        <v/>
      </c>
      <c r="F1270" s="4" t="n">
        <v>1</v>
      </c>
      <c r="G1270" s="4" t="n">
        <f aca="false">IF(COUNTIF('Letterboxd Watched'!$E$2:$E$3000,M1270)&gt;0,1,0)</f>
        <v>0</v>
      </c>
      <c r="H1270" s="4" t="n">
        <v>1</v>
      </c>
      <c r="I1270" s="4" t="s">
        <v>1327</v>
      </c>
      <c r="J1270" s="4" t="s">
        <v>53</v>
      </c>
      <c r="K1270" s="4" t="s">
        <v>361</v>
      </c>
      <c r="L1270" s="48" t="str">
        <f aca="false">HYPERLINK("https://boxd.it/34Qq","open")</f>
        <v>open</v>
      </c>
      <c r="M1270" s="4" t="str">
        <f aca="false">LOWER(A1270)&amp;"|"&amp;B1270</f>
        <v>knight of cups|2015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1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</row>
    <row r="1271" customFormat="false" ht="15" hidden="false" customHeight="false" outlineLevel="0" collapsed="false">
      <c r="A1271" s="4" t="s">
        <v>2362</v>
      </c>
      <c r="B1271" s="4" t="n">
        <v>1982</v>
      </c>
      <c r="C1271" s="4" t="str">
        <f aca="false">FLOOR(B1271,10)&amp;"s"</f>
        <v>1980s</v>
      </c>
      <c r="D1271" s="4" t="s">
        <v>2363</v>
      </c>
      <c r="E1271" s="25" t="str">
        <f aca="false">IF(G1271=1,"✓","")</f>
        <v>✓</v>
      </c>
      <c r="F1271" s="4" t="n">
        <v>1</v>
      </c>
      <c r="G1271" s="4" t="n">
        <f aca="false">IF(COUNTIF('Letterboxd Watched'!$E$2:$E$3000,M1271)&gt;0,1,0)</f>
        <v>1</v>
      </c>
      <c r="H1271" s="4" t="n">
        <v>2</v>
      </c>
      <c r="I1271" s="4" t="s">
        <v>213</v>
      </c>
      <c r="J1271" s="4" t="s">
        <v>52</v>
      </c>
      <c r="K1271" s="4" t="s">
        <v>4170</v>
      </c>
      <c r="L1271" s="48" t="str">
        <f aca="false">HYPERLINK("https://boxd.it/1U9E","open")</f>
        <v>open</v>
      </c>
      <c r="M1271" s="4" t="str">
        <f aca="false">LOWER(A1271)&amp;"|"&amp;B1271</f>
        <v>koyaanisqatsi|1982</v>
      </c>
      <c r="N1271" s="4" t="n">
        <v>0</v>
      </c>
      <c r="O1271" s="4" t="n">
        <v>0</v>
      </c>
      <c r="P1271" s="4" t="n">
        <v>0</v>
      </c>
      <c r="Q1271" s="4" t="n">
        <v>1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 customFormat="false" ht="15" hidden="false" customHeight="false" outlineLevel="0" collapsed="false">
      <c r="A1272" s="4" t="s">
        <v>557</v>
      </c>
      <c r="B1272" s="4" t="n">
        <v>1979</v>
      </c>
      <c r="C1272" s="4" t="str">
        <f aca="false">FLOOR(B1272,10)&amp;"s"</f>
        <v>1970s</v>
      </c>
      <c r="D1272" s="4" t="s">
        <v>558</v>
      </c>
      <c r="E1272" s="25" t="str">
        <f aca="false">IF(G1272=1,"✓","")</f>
        <v/>
      </c>
      <c r="F1272" s="4" t="n">
        <v>3</v>
      </c>
      <c r="G1272" s="4" t="n">
        <f aca="false">IF(COUNTIF('Letterboxd Watched'!$E$2:$E$3000,M1272)&gt;0,1,0)</f>
        <v>0</v>
      </c>
      <c r="H1272" s="4" t="n">
        <v>7</v>
      </c>
      <c r="I1272" s="4" t="s">
        <v>144</v>
      </c>
      <c r="J1272" s="4" t="s">
        <v>55</v>
      </c>
      <c r="K1272" s="4" t="s">
        <v>5549</v>
      </c>
      <c r="L1272" s="48" t="str">
        <f aca="false">HYPERLINK("https://boxd.it/h0w","open")</f>
        <v>open</v>
      </c>
      <c r="M1272" s="4" t="str">
        <f aca="false">LOWER(A1272)&amp;"|"&amp;B1272</f>
        <v>kramer vs. kramer|1979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1</v>
      </c>
      <c r="U1272" s="4" t="n">
        <v>0</v>
      </c>
      <c r="V1272" s="4" t="n">
        <v>0</v>
      </c>
      <c r="W1272" s="4" t="n">
        <v>0</v>
      </c>
    </row>
    <row r="1273" customFormat="false" ht="15" hidden="false" customHeight="false" outlineLevel="0" collapsed="false">
      <c r="A1273" s="4" t="s">
        <v>3102</v>
      </c>
      <c r="B1273" s="4" t="n">
        <v>2016</v>
      </c>
      <c r="C1273" s="4" t="str">
        <f aca="false">FLOOR(B1273,10)&amp;"s"</f>
        <v>2010s</v>
      </c>
      <c r="D1273" s="4" t="s">
        <v>3103</v>
      </c>
      <c r="E1273" s="25" t="str">
        <f aca="false">IF(G1273=1,"✓","")</f>
        <v/>
      </c>
      <c r="F1273" s="4" t="n">
        <v>1</v>
      </c>
      <c r="G1273" s="4" t="n">
        <f aca="false">IF(COUNTIF('Letterboxd Watched'!$E$2:$E$3000,M1273)&gt;0,1,0)</f>
        <v>0</v>
      </c>
      <c r="H1273" s="4" t="n">
        <v>2</v>
      </c>
      <c r="I1273" s="4" t="s">
        <v>213</v>
      </c>
      <c r="J1273" s="4" t="s">
        <v>52</v>
      </c>
      <c r="K1273" s="4" t="s">
        <v>4164</v>
      </c>
      <c r="L1273" s="48" t="str">
        <f aca="false">HYPERLINK("https://boxd.it/a4wE","open")</f>
        <v>open</v>
      </c>
      <c r="M1273" s="4" t="str">
        <f aca="false">LOWER(A1273)&amp;"|"&amp;B1273</f>
        <v>kubo and the two strings|2016</v>
      </c>
      <c r="N1273" s="4" t="n">
        <v>0</v>
      </c>
      <c r="O1273" s="4" t="n">
        <v>0</v>
      </c>
      <c r="P1273" s="4" t="n">
        <v>0</v>
      </c>
      <c r="Q1273" s="4" t="n">
        <v>1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 customFormat="false" ht="15" hidden="false" customHeight="false" outlineLevel="0" collapsed="false">
      <c r="A1274" s="4" t="s">
        <v>2673</v>
      </c>
      <c r="B1274" s="4" t="n">
        <v>1997</v>
      </c>
      <c r="C1274" s="4" t="str">
        <f aca="false">FLOOR(B1274,10)&amp;"s"</f>
        <v>1990s</v>
      </c>
      <c r="D1274" s="4" t="s">
        <v>164</v>
      </c>
      <c r="E1274" s="25" t="str">
        <f aca="false">IF(G1274=1,"✓","")</f>
        <v/>
      </c>
      <c r="F1274" s="4" t="n">
        <v>1</v>
      </c>
      <c r="G1274" s="4" t="n">
        <f aca="false">IF(COUNTIF('Letterboxd Watched'!$E$2:$E$3000,M1274)&gt;0,1,0)</f>
        <v>0</v>
      </c>
      <c r="H1274" s="4" t="n">
        <v>2</v>
      </c>
      <c r="I1274" s="4" t="s">
        <v>213</v>
      </c>
      <c r="J1274" s="4" t="s">
        <v>53</v>
      </c>
      <c r="K1274" s="4" t="s">
        <v>164</v>
      </c>
      <c r="L1274" s="48" t="str">
        <f aca="false">HYPERLINK("https://boxd.it/1XUe","open")</f>
        <v>open</v>
      </c>
      <c r="M1274" s="4" t="str">
        <f aca="false">LOWER(A1274)&amp;"|"&amp;B1274</f>
        <v>kundun|1997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1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</row>
    <row r="1275" customFormat="false" ht="15" hidden="false" customHeight="false" outlineLevel="0" collapsed="false">
      <c r="A1275" s="4" t="s">
        <v>1000</v>
      </c>
      <c r="B1275" s="4" t="n">
        <v>1968</v>
      </c>
      <c r="C1275" s="4" t="str">
        <f aca="false">FLOOR(B1275,10)&amp;"s"</f>
        <v>1960s</v>
      </c>
      <c r="D1275" s="4" t="s">
        <v>377</v>
      </c>
      <c r="E1275" s="25" t="str">
        <f aca="false">IF(G1275=1,"✓","")</f>
        <v/>
      </c>
      <c r="F1275" s="4" t="n">
        <v>2</v>
      </c>
      <c r="G1275" s="4" t="n">
        <f aca="false">IF(COUNTIF('Letterboxd Watched'!$E$2:$E$3000,M1275)&gt;0,1,0)</f>
        <v>0</v>
      </c>
      <c r="H1275" s="4" t="n">
        <v>4</v>
      </c>
      <c r="I1275" s="4" t="s">
        <v>213</v>
      </c>
      <c r="J1275" s="4" t="s">
        <v>52</v>
      </c>
      <c r="K1275" s="4" t="s">
        <v>5550</v>
      </c>
      <c r="L1275" s="48" t="str">
        <f aca="false">HYPERLINK("https://letterboxd.com/search/films/Kuroneko+1968/","open")</f>
        <v>open</v>
      </c>
      <c r="M1275" s="4" t="str">
        <f aca="false">LOWER(A1275)&amp;"|"&amp;B1275</f>
        <v>kuroneko|1968</v>
      </c>
      <c r="N1275" s="4" t="n">
        <v>0</v>
      </c>
      <c r="O1275" s="4" t="n">
        <v>0</v>
      </c>
      <c r="P1275" s="4" t="n">
        <v>0</v>
      </c>
      <c r="Q1275" s="4" t="n">
        <v>1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1</v>
      </c>
      <c r="W1275" s="4" t="n">
        <v>0</v>
      </c>
    </row>
    <row r="1276" customFormat="false" ht="15" hidden="false" customHeight="false" outlineLevel="0" collapsed="false">
      <c r="A1276" s="4" t="s">
        <v>663</v>
      </c>
      <c r="B1276" s="4" t="n">
        <v>1964</v>
      </c>
      <c r="C1276" s="4" t="str">
        <f aca="false">FLOOR(B1276,10)&amp;"s"</f>
        <v>1960s</v>
      </c>
      <c r="D1276" s="4" t="s">
        <v>541</v>
      </c>
      <c r="E1276" s="25" t="str">
        <f aca="false">IF(G1276=1,"✓","")</f>
        <v/>
      </c>
      <c r="F1276" s="4" t="n">
        <v>2</v>
      </c>
      <c r="G1276" s="4" t="n">
        <f aca="false">IF(COUNTIF('Letterboxd Watched'!$E$2:$E$3000,M1276)&gt;0,1,0)</f>
        <v>0</v>
      </c>
      <c r="H1276" s="4" t="n">
        <v>6</v>
      </c>
      <c r="I1276" s="4" t="s">
        <v>144</v>
      </c>
      <c r="J1276" s="4" t="s">
        <v>52</v>
      </c>
      <c r="K1276" s="4" t="s">
        <v>5551</v>
      </c>
      <c r="L1276" s="48" t="str">
        <f aca="false">HYPERLINK("https://boxd.it/1kbY","open")</f>
        <v>open</v>
      </c>
      <c r="M1276" s="4" t="str">
        <f aca="false">LOWER(A1276)&amp;"|"&amp;B1276</f>
        <v>kwaidan|1964</v>
      </c>
      <c r="N1276" s="4" t="n">
        <v>0</v>
      </c>
      <c r="O1276" s="4" t="n">
        <v>0</v>
      </c>
      <c r="P1276" s="4" t="n">
        <v>0</v>
      </c>
      <c r="Q1276" s="4" t="n">
        <v>1</v>
      </c>
      <c r="R1276" s="4" t="n">
        <v>0</v>
      </c>
      <c r="S1276" s="4" t="n">
        <v>0</v>
      </c>
      <c r="T1276" s="4" t="n">
        <v>0</v>
      </c>
      <c r="U1276" s="4" t="n">
        <v>1</v>
      </c>
      <c r="V1276" s="4" t="n">
        <v>0</v>
      </c>
      <c r="W1276" s="4" t="n">
        <v>0</v>
      </c>
    </row>
    <row r="1277" customFormat="false" ht="15" hidden="false" customHeight="false" outlineLevel="0" collapsed="false">
      <c r="A1277" s="4" t="s">
        <v>3101</v>
      </c>
      <c r="B1277" s="4" t="n">
        <v>2016</v>
      </c>
      <c r="C1277" s="4" t="str">
        <f aca="false">FLOOR(B1277,10)&amp;"s"</f>
        <v>2010s</v>
      </c>
      <c r="D1277" s="4" t="s">
        <v>1293</v>
      </c>
      <c r="E1277" s="25" t="str">
        <f aca="false">IF(G1277=1,"✓","")</f>
        <v>✓</v>
      </c>
      <c r="F1277" s="4" t="n">
        <v>1</v>
      </c>
      <c r="G1277" s="4" t="n">
        <f aca="false">IF(COUNTIF('Letterboxd Watched'!$E$2:$E$3000,M1277)&gt;0,1,0)</f>
        <v>1</v>
      </c>
      <c r="H1277" s="4" t="n">
        <v>2</v>
      </c>
      <c r="I1277" s="4" t="s">
        <v>213</v>
      </c>
      <c r="J1277" s="4" t="s">
        <v>52</v>
      </c>
      <c r="K1277" s="4" t="s">
        <v>4112</v>
      </c>
      <c r="L1277" s="48" t="str">
        <f aca="false">HYPERLINK("https://boxd.it/a5fa","open")</f>
        <v>open</v>
      </c>
      <c r="M1277" s="4" t="str">
        <f aca="false">LOWER(A1277)&amp;"|"&amp;B1277</f>
        <v>la la land|2016</v>
      </c>
      <c r="N1277" s="4" t="n">
        <v>0</v>
      </c>
      <c r="O1277" s="4" t="n">
        <v>0</v>
      </c>
      <c r="P1277" s="4" t="n">
        <v>0</v>
      </c>
      <c r="Q1277" s="4" t="n">
        <v>1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 customFormat="false" ht="15" hidden="false" customHeight="false" outlineLevel="0" collapsed="false">
      <c r="A1278" s="4" t="s">
        <v>3538</v>
      </c>
      <c r="B1278" s="4" t="n">
        <v>1974</v>
      </c>
      <c r="C1278" s="4" t="str">
        <f aca="false">FLOOR(B1278,10)&amp;"s"</f>
        <v>1970s</v>
      </c>
      <c r="D1278" s="4" t="s">
        <v>813</v>
      </c>
      <c r="E1278" s="25" t="str">
        <f aca="false">IF(G1278=1,"✓","")</f>
        <v/>
      </c>
      <c r="F1278" s="4" t="n">
        <v>1</v>
      </c>
      <c r="G1278" s="4" t="n">
        <f aca="false">IF(COUNTIF('Letterboxd Watched'!$E$2:$E$3000,M1278)&gt;0,1,0)</f>
        <v>0</v>
      </c>
      <c r="H1278" s="4" t="n">
        <v>1</v>
      </c>
      <c r="I1278" s="4" t="s">
        <v>1327</v>
      </c>
      <c r="J1278" s="4" t="s">
        <v>52</v>
      </c>
      <c r="K1278" s="4" t="s">
        <v>4138</v>
      </c>
      <c r="L1278" s="48" t="str">
        <f aca="false">HYPERLINK("https://boxd.it/rZu","open")</f>
        <v>open</v>
      </c>
      <c r="M1278" s="4" t="str">
        <f aca="false">LOWER(A1278)&amp;"|"&amp;B1278</f>
        <v>lacombe, lucien|1974</v>
      </c>
      <c r="N1278" s="4" t="n">
        <v>0</v>
      </c>
      <c r="O1278" s="4" t="n">
        <v>0</v>
      </c>
      <c r="P1278" s="4" t="n">
        <v>0</v>
      </c>
      <c r="Q1278" s="4" t="n">
        <v>1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</row>
    <row r="1279" customFormat="false" ht="15" hidden="false" customHeight="false" outlineLevel="0" collapsed="false">
      <c r="A1279" s="4" t="s">
        <v>1239</v>
      </c>
      <c r="B1279" s="4" t="n">
        <v>2017</v>
      </c>
      <c r="C1279" s="4" t="str">
        <f aca="false">FLOOR(B1279,10)&amp;"s"</f>
        <v>2010s</v>
      </c>
      <c r="D1279" s="4" t="s">
        <v>1240</v>
      </c>
      <c r="E1279" s="25" t="str">
        <f aca="false">IF(G1279=1,"✓","")</f>
        <v>✓</v>
      </c>
      <c r="F1279" s="4" t="n">
        <v>2</v>
      </c>
      <c r="G1279" s="4" t="n">
        <f aca="false">IF(COUNTIF('Letterboxd Watched'!$E$2:$E$3000,M1279)&gt;0,1,0)</f>
        <v>1</v>
      </c>
      <c r="H1279" s="4" t="n">
        <v>4</v>
      </c>
      <c r="I1279" s="4" t="s">
        <v>213</v>
      </c>
      <c r="J1279" s="4" t="s">
        <v>55</v>
      </c>
      <c r="K1279" s="4" t="s">
        <v>5552</v>
      </c>
      <c r="L1279" s="48" t="str">
        <f aca="false">HYPERLINK("https://boxd.it/dGNE","open")</f>
        <v>open</v>
      </c>
      <c r="M1279" s="4" t="str">
        <f aca="false">LOWER(A1279)&amp;"|"&amp;B1279</f>
        <v>lady bird|2017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1</v>
      </c>
      <c r="U1279" s="4" t="n">
        <v>0</v>
      </c>
      <c r="V1279" s="4" t="n">
        <v>1</v>
      </c>
      <c r="W1279" s="4" t="n">
        <v>0</v>
      </c>
    </row>
    <row r="1280" customFormat="false" ht="15" hidden="false" customHeight="false" outlineLevel="0" collapsed="false">
      <c r="A1280" s="4" t="s">
        <v>431</v>
      </c>
      <c r="B1280" s="4" t="n">
        <v>1941</v>
      </c>
      <c r="C1280" s="4" t="str">
        <f aca="false">FLOOR(B1280,10)&amp;"s"</f>
        <v>1940s</v>
      </c>
      <c r="D1280" s="4" t="s">
        <v>250</v>
      </c>
      <c r="E1280" s="25" t="str">
        <f aca="false">IF(G1280=1,"✓","")</f>
        <v/>
      </c>
      <c r="F1280" s="4" t="n">
        <v>4</v>
      </c>
      <c r="G1280" s="4" t="n">
        <f aca="false">IF(COUNTIF('Letterboxd Watched'!$E$2:$E$3000,M1280)&gt;0,1,0)</f>
        <v>0</v>
      </c>
      <c r="H1280" s="4" t="n">
        <v>8</v>
      </c>
      <c r="I1280" s="4" t="s">
        <v>213</v>
      </c>
      <c r="J1280" s="4" t="s">
        <v>52</v>
      </c>
      <c r="K1280" s="4" t="s">
        <v>5553</v>
      </c>
      <c r="L1280" s="48" t="str">
        <f aca="false">HYPERLINK("https://boxd.it/25LY","open")</f>
        <v>open</v>
      </c>
      <c r="M1280" s="4" t="str">
        <f aca="false">LOWER(A1280)&amp;"|"&amp;B1280</f>
        <v>the lady eve|1941</v>
      </c>
      <c r="N1280" s="4" t="n">
        <v>0</v>
      </c>
      <c r="O1280" s="4" t="n">
        <v>0</v>
      </c>
      <c r="P1280" s="4" t="n">
        <v>0</v>
      </c>
      <c r="Q1280" s="4" t="n">
        <v>1</v>
      </c>
      <c r="R1280" s="4" t="n">
        <v>1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 customFormat="false" ht="15" hidden="false" customHeight="false" outlineLevel="0" collapsed="false">
      <c r="A1281" s="4" t="s">
        <v>572</v>
      </c>
      <c r="B1281" s="4" t="n">
        <v>1947</v>
      </c>
      <c r="C1281" s="4" t="str">
        <f aca="false">FLOOR(B1281,10)&amp;"s"</f>
        <v>1940s</v>
      </c>
      <c r="D1281" s="4" t="s">
        <v>143</v>
      </c>
      <c r="E1281" s="25" t="str">
        <f aca="false">IF(G1281=1,"✓","")</f>
        <v/>
      </c>
      <c r="F1281" s="4" t="n">
        <v>3</v>
      </c>
      <c r="G1281" s="4" t="n">
        <f aca="false">IF(COUNTIF('Letterboxd Watched'!$E$2:$E$3000,M1281)&gt;0,1,0)</f>
        <v>0</v>
      </c>
      <c r="H1281" s="4" t="n">
        <v>6</v>
      </c>
      <c r="I1281" s="4" t="s">
        <v>213</v>
      </c>
      <c r="J1281" s="4" t="s">
        <v>52</v>
      </c>
      <c r="K1281" s="4" t="s">
        <v>5554</v>
      </c>
      <c r="L1281" s="48" t="str">
        <f aca="false">HYPERLINK("https://boxd.it/251Q","open")</f>
        <v>open</v>
      </c>
      <c r="M1281" s="4" t="str">
        <f aca="false">LOWER(A1281)&amp;"|"&amp;B1281</f>
        <v>the lady from shanghai|1947</v>
      </c>
      <c r="N1281" s="4" t="n">
        <v>0</v>
      </c>
      <c r="O1281" s="4" t="n">
        <v>0</v>
      </c>
      <c r="P1281" s="4" t="n">
        <v>0</v>
      </c>
      <c r="Q1281" s="4" t="n">
        <v>1</v>
      </c>
      <c r="R1281" s="4" t="n">
        <v>1</v>
      </c>
      <c r="S1281" s="4" t="n">
        <v>0</v>
      </c>
      <c r="T1281" s="4" t="n">
        <v>1</v>
      </c>
      <c r="U1281" s="4" t="n">
        <v>0</v>
      </c>
      <c r="V1281" s="4" t="n">
        <v>0</v>
      </c>
      <c r="W1281" s="4" t="n">
        <v>0</v>
      </c>
    </row>
    <row r="1282" customFormat="false" ht="15" hidden="false" customHeight="false" outlineLevel="0" collapsed="false">
      <c r="A1282" s="4" t="s">
        <v>543</v>
      </c>
      <c r="B1282" s="4" t="n">
        <v>1973</v>
      </c>
      <c r="C1282" s="4" t="str">
        <f aca="false">FLOOR(B1282,10)&amp;"s"</f>
        <v>1970s</v>
      </c>
      <c r="D1282" s="4" t="s">
        <v>544</v>
      </c>
      <c r="E1282" s="25" t="str">
        <f aca="false">IF(G1282=1,"✓","")</f>
        <v/>
      </c>
      <c r="F1282" s="4" t="n">
        <v>3</v>
      </c>
      <c r="G1282" s="4" t="n">
        <f aca="false">IF(COUNTIF('Letterboxd Watched'!$E$2:$E$3000,M1282)&gt;0,1,0)</f>
        <v>0</v>
      </c>
      <c r="H1282" s="4" t="n">
        <v>7</v>
      </c>
      <c r="I1282" s="4" t="s">
        <v>144</v>
      </c>
      <c r="J1282" s="4" t="s">
        <v>51</v>
      </c>
      <c r="K1282" s="4" t="s">
        <v>5555</v>
      </c>
      <c r="L1282" s="48" t="str">
        <f aca="false">HYPERLINK("https://letterboxd.com/search/films/Lady+Snowblood+1973/","open")</f>
        <v>open</v>
      </c>
      <c r="M1282" s="4" t="str">
        <f aca="false">LOWER(A1282)&amp;"|"&amp;B1282</f>
        <v>lady snowblood|1973</v>
      </c>
      <c r="N1282" s="4" t="n">
        <v>0</v>
      </c>
      <c r="O1282" s="4" t="n">
        <v>0</v>
      </c>
      <c r="P1282" s="4" t="n">
        <v>1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1</v>
      </c>
      <c r="V1282" s="4" t="n">
        <v>0</v>
      </c>
      <c r="W1282" s="4" t="n">
        <v>0</v>
      </c>
    </row>
    <row r="1283" customFormat="false" ht="15" hidden="false" customHeight="false" outlineLevel="0" collapsed="false">
      <c r="A1283" s="4" t="s">
        <v>1778</v>
      </c>
      <c r="B1283" s="4" t="n">
        <v>1938</v>
      </c>
      <c r="C1283" s="4" t="str">
        <f aca="false">FLOOR(B1283,10)&amp;"s"</f>
        <v>1930s</v>
      </c>
      <c r="D1283" s="4" t="s">
        <v>162</v>
      </c>
      <c r="E1283" s="25" t="str">
        <f aca="false">IF(G1283=1,"✓","")</f>
        <v/>
      </c>
      <c r="F1283" s="4" t="n">
        <v>1</v>
      </c>
      <c r="G1283" s="4" t="n">
        <f aca="false">IF(COUNTIF('Letterboxd Watched'!$E$2:$E$3000,M1283)&gt;0,1,0)</f>
        <v>0</v>
      </c>
      <c r="H1283" s="4" t="n">
        <v>2</v>
      </c>
      <c r="I1283" s="4" t="s">
        <v>213</v>
      </c>
      <c r="J1283" s="4" t="s">
        <v>53</v>
      </c>
      <c r="K1283" s="4" t="s">
        <v>162</v>
      </c>
      <c r="L1283" s="48" t="str">
        <f aca="false">HYPERLINK("https://boxd.it/29ea","open")</f>
        <v>open</v>
      </c>
      <c r="M1283" s="4" t="str">
        <f aca="false">LOWER(A1283)&amp;"|"&amp;B1283</f>
        <v>the lady vanishes|1938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1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</row>
    <row r="1284" customFormat="false" ht="15" hidden="false" customHeight="false" outlineLevel="0" collapsed="false">
      <c r="A1284" s="4" t="s">
        <v>1167</v>
      </c>
      <c r="B1284" s="4" t="n">
        <v>2005</v>
      </c>
      <c r="C1284" s="4" t="str">
        <f aca="false">FLOOR(B1284,10)&amp;"s"</f>
        <v>2000s</v>
      </c>
      <c r="D1284" s="4" t="s">
        <v>685</v>
      </c>
      <c r="E1284" s="25" t="str">
        <f aca="false">IF(G1284=1,"✓","")</f>
        <v/>
      </c>
      <c r="F1284" s="4" t="n">
        <v>2</v>
      </c>
      <c r="G1284" s="4" t="n">
        <f aca="false">IF(COUNTIF('Letterboxd Watched'!$E$2:$E$3000,M1284)&gt;0,1,0)</f>
        <v>0</v>
      </c>
      <c r="H1284" s="4" t="n">
        <v>4</v>
      </c>
      <c r="I1284" s="4" t="s">
        <v>213</v>
      </c>
      <c r="J1284" s="4" t="s">
        <v>51</v>
      </c>
      <c r="K1284" s="4" t="s">
        <v>5347</v>
      </c>
      <c r="L1284" s="48" t="str">
        <f aca="false">HYPERLINK("https://boxd.it/248G","open")</f>
        <v>open</v>
      </c>
      <c r="M1284" s="4" t="str">
        <f aca="false">LOWER(A1284)&amp;"|"&amp;B1284</f>
        <v>lady vengeance|2005</v>
      </c>
      <c r="N1284" s="4" t="n">
        <v>0</v>
      </c>
      <c r="O1284" s="4" t="n">
        <v>0</v>
      </c>
      <c r="P1284" s="4" t="n">
        <v>1</v>
      </c>
      <c r="Q1284" s="4" t="n">
        <v>0</v>
      </c>
      <c r="R1284" s="4" t="n">
        <v>1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 customFormat="false" ht="15" hidden="false" customHeight="false" outlineLevel="0" collapsed="false">
      <c r="A1285" s="4" t="s">
        <v>3685</v>
      </c>
      <c r="B1285" s="4" t="n">
        <v>1994</v>
      </c>
      <c r="C1285" s="4" t="str">
        <f aca="false">FLOOR(B1285,10)&amp;"s"</f>
        <v>1990s</v>
      </c>
      <c r="D1285" s="4" t="s">
        <v>359</v>
      </c>
      <c r="E1285" s="25" t="str">
        <f aca="false">IF(G1285=1,"✓","")</f>
        <v/>
      </c>
      <c r="F1285" s="4" t="n">
        <v>1</v>
      </c>
      <c r="G1285" s="4" t="n">
        <f aca="false">IF(COUNTIF('Letterboxd Watched'!$E$2:$E$3000,M1285)&gt;0,1,0)</f>
        <v>0</v>
      </c>
      <c r="H1285" s="4" t="n">
        <v>1</v>
      </c>
      <c r="I1285" s="4" t="s">
        <v>1327</v>
      </c>
      <c r="J1285" s="4" t="s">
        <v>58</v>
      </c>
      <c r="K1285" s="4" t="s">
        <v>4482</v>
      </c>
      <c r="L1285" s="48" t="str">
        <f aca="false">HYPERLINK("https://boxd.it/EIG","open")</f>
        <v>open</v>
      </c>
      <c r="M1285" s="4" t="str">
        <f aca="false">LOWER(A1285)&amp;"|"&amp;B1285</f>
        <v>ladybird ladybird|1994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1</v>
      </c>
    </row>
    <row r="1286" customFormat="false" ht="15" hidden="false" customHeight="false" outlineLevel="0" collapsed="false">
      <c r="A1286" s="4" t="s">
        <v>746</v>
      </c>
      <c r="B1286" s="4" t="n">
        <v>1955</v>
      </c>
      <c r="C1286" s="4" t="str">
        <f aca="false">FLOOR(B1286,10)&amp;"s"</f>
        <v>1950s</v>
      </c>
      <c r="D1286" s="4" t="s">
        <v>411</v>
      </c>
      <c r="E1286" s="25" t="str">
        <f aca="false">IF(G1286=1,"✓","")</f>
        <v/>
      </c>
      <c r="F1286" s="4" t="n">
        <v>2</v>
      </c>
      <c r="G1286" s="4" t="n">
        <f aca="false">IF(COUNTIF('Letterboxd Watched'!$E$2:$E$3000,M1286)&gt;0,1,0)</f>
        <v>0</v>
      </c>
      <c r="H1286" s="4" t="n">
        <v>5</v>
      </c>
      <c r="I1286" s="4" t="s">
        <v>144</v>
      </c>
      <c r="J1286" s="4" t="s">
        <v>51</v>
      </c>
      <c r="K1286" s="4" t="s">
        <v>5556</v>
      </c>
      <c r="L1286" s="48" t="str">
        <f aca="false">HYPERLINK("https://boxd.it/230w","open")</f>
        <v>open</v>
      </c>
      <c r="M1286" s="4" t="str">
        <f aca="false">LOWER(A1286)&amp;"|"&amp;B1286</f>
        <v>the ladykillers|1955</v>
      </c>
      <c r="N1286" s="4" t="n">
        <v>0</v>
      </c>
      <c r="O1286" s="4" t="n">
        <v>0</v>
      </c>
      <c r="P1286" s="4" t="n">
        <v>1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1</v>
      </c>
      <c r="W1286" s="4" t="n">
        <v>0</v>
      </c>
    </row>
    <row r="1287" customFormat="false" ht="15" hidden="false" customHeight="false" outlineLevel="0" collapsed="false">
      <c r="A1287" s="4" t="s">
        <v>2741</v>
      </c>
      <c r="B1287" s="4" t="n">
        <v>2001</v>
      </c>
      <c r="C1287" s="4" t="str">
        <f aca="false">FLOOR(B1287,10)&amp;"s"</f>
        <v>2000s</v>
      </c>
      <c r="D1287" s="4" t="s">
        <v>2742</v>
      </c>
      <c r="E1287" s="25" t="str">
        <f aca="false">IF(G1287=1,"✓","")</f>
        <v/>
      </c>
      <c r="F1287" s="4" t="n">
        <v>1</v>
      </c>
      <c r="G1287" s="4" t="n">
        <f aca="false">IF(COUNTIF('Letterboxd Watched'!$E$2:$E$3000,M1287)&gt;0,1,0)</f>
        <v>0</v>
      </c>
      <c r="H1287" s="4" t="n">
        <v>2</v>
      </c>
      <c r="I1287" s="4" t="s">
        <v>213</v>
      </c>
      <c r="J1287" s="4" t="s">
        <v>51</v>
      </c>
      <c r="K1287" s="4" t="s">
        <v>4028</v>
      </c>
      <c r="L1287" s="48" t="str">
        <f aca="false">HYPERLINK("https://boxd.it/1EII","open")</f>
        <v>open</v>
      </c>
      <c r="M1287" s="4" t="str">
        <f aca="false">LOWER(A1287)&amp;"|"&amp;B1287</f>
        <v>lagaan: once upon a time in india|2001</v>
      </c>
      <c r="N1287" s="4" t="n">
        <v>0</v>
      </c>
      <c r="O1287" s="4" t="n">
        <v>0</v>
      </c>
      <c r="P1287" s="4" t="n">
        <v>1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 customFormat="false" ht="15" hidden="false" customHeight="false" outlineLevel="0" collapsed="false">
      <c r="A1288" s="4" t="s">
        <v>2902</v>
      </c>
      <c r="B1288" s="4" t="n">
        <v>2008</v>
      </c>
      <c r="C1288" s="4" t="str">
        <f aca="false">FLOOR(B1288,10)&amp;"s"</f>
        <v>2000s</v>
      </c>
      <c r="D1288" s="4" t="s">
        <v>2903</v>
      </c>
      <c r="E1288" s="25" t="str">
        <f aca="false">IF(G1288=1,"✓","")</f>
        <v/>
      </c>
      <c r="F1288" s="4" t="n">
        <v>1</v>
      </c>
      <c r="G1288" s="4" t="n">
        <f aca="false">IF(COUNTIF('Letterboxd Watched'!$E$2:$E$3000,M1288)&gt;0,1,0)</f>
        <v>0</v>
      </c>
      <c r="H1288" s="4" t="n">
        <v>2</v>
      </c>
      <c r="I1288" s="4" t="s">
        <v>213</v>
      </c>
      <c r="J1288" s="4" t="s">
        <v>52</v>
      </c>
      <c r="K1288" s="4" t="s">
        <v>4076</v>
      </c>
      <c r="L1288" s="48" t="str">
        <f aca="false">HYPERLINK("https://letterboxd.com/search/films/Lake+Mungo+2008/","open")</f>
        <v>open</v>
      </c>
      <c r="M1288" s="4" t="str">
        <f aca="false">LOWER(A1288)&amp;"|"&amp;B1288</f>
        <v>lake mungo|2008</v>
      </c>
      <c r="N1288" s="4" t="n">
        <v>0</v>
      </c>
      <c r="O1288" s="4" t="n">
        <v>0</v>
      </c>
      <c r="P1288" s="4" t="n">
        <v>0</v>
      </c>
      <c r="Q1288" s="4" t="n">
        <v>1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</row>
    <row r="1289" customFormat="false" ht="15" hidden="false" customHeight="false" outlineLevel="0" collapsed="false">
      <c r="A1289" s="4" t="s">
        <v>2249</v>
      </c>
      <c r="B1289" s="4" t="n">
        <v>1974</v>
      </c>
      <c r="C1289" s="4" t="str">
        <f aca="false">FLOOR(B1289,10)&amp;"s"</f>
        <v>1970s</v>
      </c>
      <c r="D1289" s="4" t="s">
        <v>215</v>
      </c>
      <c r="E1289" s="25" t="str">
        <f aca="false">IF(G1289=1,"✓","")</f>
        <v/>
      </c>
      <c r="F1289" s="4" t="n">
        <v>1</v>
      </c>
      <c r="G1289" s="4" t="n">
        <f aca="false">IF(COUNTIF('Letterboxd Watched'!$E$2:$E$3000,M1289)&gt;0,1,0)</f>
        <v>0</v>
      </c>
      <c r="H1289" s="4" t="n">
        <v>2</v>
      </c>
      <c r="I1289" s="4" t="s">
        <v>213</v>
      </c>
      <c r="J1289" s="4" t="s">
        <v>53</v>
      </c>
      <c r="K1289" s="4" t="s">
        <v>215</v>
      </c>
      <c r="L1289" s="48" t="str">
        <f aca="false">HYPERLINK("https://letterboxd.com/search/films/Lancelot+du+Lac+1974/","open")</f>
        <v>open</v>
      </c>
      <c r="M1289" s="4" t="str">
        <f aca="false">LOWER(A1289)&amp;"|"&amp;B1289</f>
        <v>lancelot du lac|1974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1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 customFormat="false" ht="15" hidden="false" customHeight="false" outlineLevel="0" collapsed="false">
      <c r="A1290" s="4" t="s">
        <v>2183</v>
      </c>
      <c r="B1290" s="4" t="n">
        <v>1971</v>
      </c>
      <c r="C1290" s="4" t="str">
        <f aca="false">FLOOR(B1290,10)&amp;"s"</f>
        <v>1970s</v>
      </c>
      <c r="D1290" s="4" t="s">
        <v>292</v>
      </c>
      <c r="E1290" s="25" t="str">
        <f aca="false">IF(G1290=1,"✓","")</f>
        <v/>
      </c>
      <c r="F1290" s="4" t="n">
        <v>1</v>
      </c>
      <c r="G1290" s="4" t="n">
        <f aca="false">IF(COUNTIF('Letterboxd Watched'!$E$2:$E$3000,M1290)&gt;0,1,0)</f>
        <v>0</v>
      </c>
      <c r="H1290" s="4" t="n">
        <v>2</v>
      </c>
      <c r="I1290" s="4" t="s">
        <v>213</v>
      </c>
      <c r="J1290" s="4" t="s">
        <v>53</v>
      </c>
      <c r="K1290" s="4" t="s">
        <v>292</v>
      </c>
      <c r="L1290" s="48" t="str">
        <f aca="false">HYPERLINK("https://letterboxd.com/search/films/Land+of+Silence+and+Darkness+1971/","open")</f>
        <v>open</v>
      </c>
      <c r="M1290" s="4" t="str">
        <f aca="false">LOWER(A1290)&amp;"|"&amp;B1290</f>
        <v>land of silence and darkness|1971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1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</row>
    <row r="1291" customFormat="false" ht="15" hidden="false" customHeight="false" outlineLevel="0" collapsed="false">
      <c r="A1291" s="4" t="s">
        <v>1750</v>
      </c>
      <c r="B1291" s="4" t="n">
        <v>1933</v>
      </c>
      <c r="C1291" s="4" t="str">
        <f aca="false">FLOOR(B1291,10)&amp;"s"</f>
        <v>1930s</v>
      </c>
      <c r="D1291" s="4" t="s">
        <v>402</v>
      </c>
      <c r="E1291" s="25" t="str">
        <f aca="false">IF(G1291=1,"✓","")</f>
        <v/>
      </c>
      <c r="F1291" s="4" t="n">
        <v>1</v>
      </c>
      <c r="G1291" s="4" t="n">
        <f aca="false">IF(COUNTIF('Letterboxd Watched'!$E$2:$E$3000,M1291)&gt;0,1,0)</f>
        <v>0</v>
      </c>
      <c r="H1291" s="4" t="n">
        <v>2</v>
      </c>
      <c r="I1291" s="4" t="s">
        <v>213</v>
      </c>
      <c r="J1291" s="4" t="s">
        <v>52</v>
      </c>
      <c r="K1291" s="4" t="s">
        <v>4170</v>
      </c>
      <c r="L1291" s="48" t="str">
        <f aca="false">HYPERLINK("https://letterboxd.com/search/films/Land+Without+Bread+1933/","open")</f>
        <v>open</v>
      </c>
      <c r="M1291" s="4" t="str">
        <f aca="false">LOWER(A1291)&amp;"|"&amp;B1291</f>
        <v>land without bread|1933</v>
      </c>
      <c r="N1291" s="4" t="n">
        <v>0</v>
      </c>
      <c r="O1291" s="4" t="n">
        <v>0</v>
      </c>
      <c r="P1291" s="4" t="n">
        <v>0</v>
      </c>
      <c r="Q1291" s="4" t="n">
        <v>1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</row>
    <row r="1292" customFormat="false" ht="15" hidden="false" customHeight="false" outlineLevel="0" collapsed="false">
      <c r="A1292" s="4" t="s">
        <v>3475</v>
      </c>
      <c r="B1292" s="4" t="n">
        <v>1970</v>
      </c>
      <c r="C1292" s="4" t="str">
        <f aca="false">FLOOR(B1292,10)&amp;"s"</f>
        <v>1970s</v>
      </c>
      <c r="D1292" s="4" t="s">
        <v>310</v>
      </c>
      <c r="E1292" s="25" t="str">
        <f aca="false">IF(G1292=1,"✓","")</f>
        <v/>
      </c>
      <c r="F1292" s="4" t="n">
        <v>1</v>
      </c>
      <c r="G1292" s="4" t="n">
        <f aca="false">IF(COUNTIF('Letterboxd Watched'!$E$2:$E$3000,M1292)&gt;0,1,0)</f>
        <v>0</v>
      </c>
      <c r="H1292" s="4" t="n">
        <v>1</v>
      </c>
      <c r="I1292" s="4" t="s">
        <v>1327</v>
      </c>
      <c r="J1292" s="4" t="s">
        <v>53</v>
      </c>
      <c r="K1292" s="4" t="s">
        <v>4200</v>
      </c>
      <c r="L1292" s="48" t="str">
        <f aca="false">HYPERLINK("https://boxd.it/6s","open")</f>
        <v>open</v>
      </c>
      <c r="M1292" s="4" t="str">
        <f aca="false">LOWER(A1292)&amp;"|"&amp;B1292</f>
        <v>the landlord|1970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1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</row>
    <row r="1293" customFormat="false" ht="15" hidden="false" customHeight="false" outlineLevel="0" collapsed="false">
      <c r="A1293" s="4" t="s">
        <v>3768</v>
      </c>
      <c r="B1293" s="4" t="n">
        <v>2007</v>
      </c>
      <c r="C1293" s="4" t="str">
        <f aca="false">FLOOR(B1293,10)&amp;"s"</f>
        <v>2000s</v>
      </c>
      <c r="D1293" s="4" t="s">
        <v>3769</v>
      </c>
      <c r="E1293" s="25" t="str">
        <f aca="false">IF(G1293=1,"✓","")</f>
        <v/>
      </c>
      <c r="F1293" s="4" t="n">
        <v>1</v>
      </c>
      <c r="G1293" s="4" t="n">
        <f aca="false">IF(COUNTIF('Letterboxd Watched'!$E$2:$E$3000,M1293)&gt;0,1,0)</f>
        <v>0</v>
      </c>
      <c r="H1293" s="4" t="n">
        <v>1</v>
      </c>
      <c r="I1293" s="4" t="s">
        <v>1327</v>
      </c>
      <c r="J1293" s="4" t="s">
        <v>55</v>
      </c>
      <c r="K1293" s="4" t="s">
        <v>4332</v>
      </c>
      <c r="L1293" s="48" t="str">
        <f aca="false">HYPERLINK("https://boxd.it/21tG","open")</f>
        <v>open</v>
      </c>
      <c r="M1293" s="4" t="str">
        <f aca="false">LOWER(A1293)&amp;"|"&amp;B1293</f>
        <v>lars and the real girl|2007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1</v>
      </c>
      <c r="U1293" s="4" t="n">
        <v>0</v>
      </c>
      <c r="V1293" s="4" t="n">
        <v>0</v>
      </c>
      <c r="W1293" s="4" t="n">
        <v>0</v>
      </c>
    </row>
    <row r="1294" customFormat="false" ht="15" hidden="false" customHeight="false" outlineLevel="0" collapsed="false">
      <c r="A1294" s="4" t="s">
        <v>3182</v>
      </c>
      <c r="B1294" s="4" t="n">
        <v>2019</v>
      </c>
      <c r="C1294" s="4" t="str">
        <f aca="false">FLOOR(B1294,10)&amp;"s"</f>
        <v>2010s</v>
      </c>
      <c r="D1294" s="4" t="s">
        <v>3183</v>
      </c>
      <c r="E1294" s="25" t="str">
        <f aca="false">IF(G1294=1,"✓","")</f>
        <v/>
      </c>
      <c r="F1294" s="4" t="n">
        <v>1</v>
      </c>
      <c r="G1294" s="4" t="n">
        <f aca="false">IF(COUNTIF('Letterboxd Watched'!$E$2:$E$3000,M1294)&gt;0,1,0)</f>
        <v>0</v>
      </c>
      <c r="H1294" s="4" t="n">
        <v>2</v>
      </c>
      <c r="I1294" s="4" t="s">
        <v>213</v>
      </c>
      <c r="J1294" s="4" t="s">
        <v>55</v>
      </c>
      <c r="K1294" s="4" t="s">
        <v>4360</v>
      </c>
      <c r="L1294" s="48" t="str">
        <f aca="false">HYPERLINK("https://boxd.it/iWAw","open")</f>
        <v>open</v>
      </c>
      <c r="M1294" s="4" t="str">
        <f aca="false">LOWER(A1294)&amp;"|"&amp;B1294</f>
        <v>the last black man in san francisco|2019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1</v>
      </c>
      <c r="U1294" s="4" t="n">
        <v>0</v>
      </c>
      <c r="V1294" s="4" t="n">
        <v>0</v>
      </c>
      <c r="W1294" s="4" t="n">
        <v>0</v>
      </c>
    </row>
    <row r="1295" customFormat="false" ht="15" hidden="false" customHeight="false" outlineLevel="0" collapsed="false">
      <c r="A1295" s="4" t="s">
        <v>675</v>
      </c>
      <c r="B1295" s="4" t="n">
        <v>1973</v>
      </c>
      <c r="C1295" s="4" t="str">
        <f aca="false">FLOOR(B1295,10)&amp;"s"</f>
        <v>1970s</v>
      </c>
      <c r="D1295" s="4" t="s">
        <v>310</v>
      </c>
      <c r="E1295" s="25" t="str">
        <f aca="false">IF(G1295=1,"✓","")</f>
        <v>✓</v>
      </c>
      <c r="F1295" s="4" t="n">
        <v>2</v>
      </c>
      <c r="G1295" s="4" t="n">
        <f aca="false">IF(COUNTIF('Letterboxd Watched'!$E$2:$E$3000,M1295)&gt;0,1,0)</f>
        <v>1</v>
      </c>
      <c r="H1295" s="4" t="n">
        <v>6</v>
      </c>
      <c r="I1295" s="4" t="s">
        <v>144</v>
      </c>
      <c r="J1295" s="4" t="s">
        <v>53</v>
      </c>
      <c r="K1295" s="4" t="s">
        <v>5557</v>
      </c>
      <c r="L1295" s="48" t="str">
        <f aca="false">HYPERLINK("https://boxd.it/1Nbe","open")</f>
        <v>open</v>
      </c>
      <c r="M1295" s="4" t="str">
        <f aca="false">LOWER(A1295)&amp;"|"&amp;B1295</f>
        <v>the last detail|1973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1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1</v>
      </c>
    </row>
    <row r="1296" customFormat="false" ht="15" hidden="false" customHeight="false" outlineLevel="0" collapsed="false">
      <c r="A1296" s="4" t="s">
        <v>1495</v>
      </c>
      <c r="B1296" s="4" t="n">
        <v>1972</v>
      </c>
      <c r="C1296" s="4" t="str">
        <f aca="false">FLOOR(B1296,10)&amp;"s"</f>
        <v>1970s</v>
      </c>
      <c r="D1296" s="4" t="s">
        <v>1496</v>
      </c>
      <c r="E1296" s="25" t="str">
        <f aca="false">IF(G1296=1,"✓","")</f>
        <v/>
      </c>
      <c r="F1296" s="4" t="n">
        <v>1</v>
      </c>
      <c r="G1296" s="4" t="n">
        <f aca="false">IF(COUNTIF('Letterboxd Watched'!$E$2:$E$3000,M1296)&gt;0,1,0)</f>
        <v>0</v>
      </c>
      <c r="H1296" s="4" t="n">
        <v>3</v>
      </c>
      <c r="I1296" s="4" t="s">
        <v>144</v>
      </c>
      <c r="J1296" s="4" t="s">
        <v>56</v>
      </c>
      <c r="K1296" s="4" t="s">
        <v>4406</v>
      </c>
      <c r="L1296" s="48" t="str">
        <f aca="false">HYPERLINK("https://boxd.it/1M4m","open")</f>
        <v>open</v>
      </c>
      <c r="M1296" s="4" t="str">
        <f aca="false">LOWER(A1296)&amp;"|"&amp;B1296</f>
        <v>the last house on the left|1972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1</v>
      </c>
      <c r="V1296" s="4" t="n">
        <v>0</v>
      </c>
      <c r="W1296" s="4" t="n">
        <v>0</v>
      </c>
    </row>
    <row r="1297" customFormat="false" ht="15" hidden="false" customHeight="false" outlineLevel="0" collapsed="false">
      <c r="A1297" s="4" t="s">
        <v>1683</v>
      </c>
      <c r="B1297" s="4" t="n">
        <v>1924</v>
      </c>
      <c r="C1297" s="4" t="str">
        <f aca="false">FLOOR(B1297,10)&amp;"s"</f>
        <v>1920s</v>
      </c>
      <c r="D1297" s="4" t="s">
        <v>299</v>
      </c>
      <c r="E1297" s="25" t="str">
        <f aca="false">IF(G1297=1,"✓","")</f>
        <v/>
      </c>
      <c r="F1297" s="4" t="n">
        <v>1</v>
      </c>
      <c r="G1297" s="4" t="n">
        <f aca="false">IF(COUNTIF('Letterboxd Watched'!$E$2:$E$3000,M1297)&gt;0,1,0)</f>
        <v>0</v>
      </c>
      <c r="H1297" s="4" t="n">
        <v>2</v>
      </c>
      <c r="I1297" s="4" t="s">
        <v>213</v>
      </c>
      <c r="J1297" s="4" t="s">
        <v>50</v>
      </c>
      <c r="K1297" s="4" t="s">
        <v>3898</v>
      </c>
      <c r="L1297" s="48" t="str">
        <f aca="false">HYPERLINK("https://boxd.it/22es","open")</f>
        <v>open</v>
      </c>
      <c r="M1297" s="4" t="str">
        <f aca="false">LOWER(A1297)&amp;"|"&amp;B1297</f>
        <v>the last laugh|1924</v>
      </c>
      <c r="N1297" s="4" t="n">
        <v>0</v>
      </c>
      <c r="O1297" s="4" t="n">
        <v>1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 customFormat="false" ht="15" hidden="false" customHeight="false" outlineLevel="0" collapsed="false">
      <c r="A1298" s="4" t="s">
        <v>2343</v>
      </c>
      <c r="B1298" s="4" t="n">
        <v>1980</v>
      </c>
      <c r="C1298" s="4" t="str">
        <f aca="false">FLOOR(B1298,10)&amp;"s"</f>
        <v>1980s</v>
      </c>
      <c r="D1298" s="4" t="s">
        <v>150</v>
      </c>
      <c r="E1298" s="25" t="str">
        <f aca="false">IF(G1298=1,"✓","")</f>
        <v/>
      </c>
      <c r="F1298" s="4" t="n">
        <v>1</v>
      </c>
      <c r="G1298" s="4" t="n">
        <f aca="false">IF(COUNTIF('Letterboxd Watched'!$E$2:$E$3000,M1298)&gt;0,1,0)</f>
        <v>0</v>
      </c>
      <c r="H1298" s="4" t="n">
        <v>2</v>
      </c>
      <c r="I1298" s="4" t="s">
        <v>213</v>
      </c>
      <c r="J1298" s="4" t="s">
        <v>53</v>
      </c>
      <c r="K1298" s="4" t="s">
        <v>4226</v>
      </c>
      <c r="L1298" s="48" t="str">
        <f aca="false">HYPERLINK("https://boxd.it/28fc","open")</f>
        <v>open</v>
      </c>
      <c r="M1298" s="4" t="str">
        <f aca="false">LOWER(A1298)&amp;"|"&amp;B1298</f>
        <v>the last metro|1980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1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 customFormat="false" ht="15" hidden="false" customHeight="false" outlineLevel="0" collapsed="false">
      <c r="A1299" s="4" t="s">
        <v>3489</v>
      </c>
      <c r="B1299" s="4" t="n">
        <v>1971</v>
      </c>
      <c r="C1299" s="4" t="str">
        <f aca="false">FLOOR(B1299,10)&amp;"s"</f>
        <v>1970s</v>
      </c>
      <c r="D1299" s="4" t="s">
        <v>477</v>
      </c>
      <c r="E1299" s="25" t="str">
        <f aca="false">IF(G1299=1,"✓","")</f>
        <v/>
      </c>
      <c r="F1299" s="4" t="n">
        <v>1</v>
      </c>
      <c r="G1299" s="4" t="n">
        <f aca="false">IF(COUNTIF('Letterboxd Watched'!$E$2:$E$3000,M1299)&gt;0,1,0)</f>
        <v>0</v>
      </c>
      <c r="H1299" s="4" t="n">
        <v>1</v>
      </c>
      <c r="I1299" s="4" t="s">
        <v>1327</v>
      </c>
      <c r="J1299" s="4" t="s">
        <v>52</v>
      </c>
      <c r="K1299" s="4" t="s">
        <v>4054</v>
      </c>
      <c r="L1299" s="48" t="str">
        <f aca="false">HYPERLINK("https://boxd.it/FFe","open")</f>
        <v>open</v>
      </c>
      <c r="M1299" s="4" t="str">
        <f aca="false">LOWER(A1299)&amp;"|"&amp;B1299</f>
        <v>the last movie|1971</v>
      </c>
      <c r="N1299" s="4" t="n">
        <v>0</v>
      </c>
      <c r="O1299" s="4" t="n">
        <v>0</v>
      </c>
      <c r="P1299" s="4" t="n">
        <v>0</v>
      </c>
      <c r="Q1299" s="4" t="n">
        <v>1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</row>
    <row r="1300" customFormat="false" ht="15" hidden="false" customHeight="false" outlineLevel="0" collapsed="false">
      <c r="A1300" s="4" t="s">
        <v>1547</v>
      </c>
      <c r="B1300" s="4" t="n">
        <v>1992</v>
      </c>
      <c r="C1300" s="4" t="str">
        <f aca="false">FLOOR(B1300,10)&amp;"s"</f>
        <v>1990s</v>
      </c>
      <c r="D1300" s="4" t="s">
        <v>296</v>
      </c>
      <c r="E1300" s="25" t="str">
        <f aca="false">IF(G1300=1,"✓","")</f>
        <v/>
      </c>
      <c r="F1300" s="4" t="n">
        <v>1</v>
      </c>
      <c r="G1300" s="4" t="n">
        <f aca="false">IF(COUNTIF('Letterboxd Watched'!$E$2:$E$3000,M1300)&gt;0,1,0)</f>
        <v>0</v>
      </c>
      <c r="H1300" s="4" t="n">
        <v>3</v>
      </c>
      <c r="I1300" s="4" t="s">
        <v>144</v>
      </c>
      <c r="J1300" s="4" t="s">
        <v>55</v>
      </c>
      <c r="K1300" s="4" t="s">
        <v>4374</v>
      </c>
      <c r="L1300" s="48" t="str">
        <f aca="false">HYPERLINK("https://boxd.it/1YSo","open")</f>
        <v>open</v>
      </c>
      <c r="M1300" s="4" t="str">
        <f aca="false">LOWER(A1300)&amp;"|"&amp;B1300</f>
        <v>the last of the mohicans|1992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0</v>
      </c>
      <c r="T1300" s="4" t="n">
        <v>1</v>
      </c>
      <c r="U1300" s="4" t="n">
        <v>0</v>
      </c>
      <c r="V1300" s="4" t="n">
        <v>0</v>
      </c>
      <c r="W1300" s="4" t="n">
        <v>0</v>
      </c>
    </row>
    <row r="1301" customFormat="false" ht="15" hidden="false" customHeight="false" outlineLevel="0" collapsed="false">
      <c r="A1301" s="4" t="s">
        <v>388</v>
      </c>
      <c r="B1301" s="4" t="n">
        <v>1971</v>
      </c>
      <c r="C1301" s="4" t="str">
        <f aca="false">FLOOR(B1301,10)&amp;"s"</f>
        <v>1970s</v>
      </c>
      <c r="D1301" s="4" t="s">
        <v>389</v>
      </c>
      <c r="E1301" s="25" t="str">
        <f aca="false">IF(G1301=1,"✓","")</f>
        <v/>
      </c>
      <c r="F1301" s="4" t="n">
        <v>4</v>
      </c>
      <c r="G1301" s="4" t="n">
        <f aca="false">IF(COUNTIF('Letterboxd Watched'!$E$2:$E$3000,M1301)&gt;0,1,0)</f>
        <v>0</v>
      </c>
      <c r="H1301" s="4" t="n">
        <v>8</v>
      </c>
      <c r="I1301" s="4" t="s">
        <v>213</v>
      </c>
      <c r="J1301" s="4" t="s">
        <v>50</v>
      </c>
      <c r="K1301" s="4" t="s">
        <v>5558</v>
      </c>
      <c r="L1301" s="48" t="str">
        <f aca="false">HYPERLINK("https://boxd.it/1weg","open")</f>
        <v>open</v>
      </c>
      <c r="M1301" s="4" t="str">
        <f aca="false">LOWER(A1301)&amp;"|"&amp;B1301</f>
        <v>the last picture show|1971</v>
      </c>
      <c r="N1301" s="4" t="n">
        <v>0</v>
      </c>
      <c r="O1301" s="4" t="n">
        <v>1</v>
      </c>
      <c r="P1301" s="4" t="n">
        <v>0</v>
      </c>
      <c r="Q1301" s="4" t="n">
        <v>1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1</v>
      </c>
      <c r="W1301" s="4" t="n">
        <v>1</v>
      </c>
    </row>
    <row r="1302" customFormat="false" ht="15" hidden="false" customHeight="false" outlineLevel="0" collapsed="false">
      <c r="A1302" s="4" t="s">
        <v>1561</v>
      </c>
      <c r="B1302" s="4" t="n">
        <v>1994</v>
      </c>
      <c r="C1302" s="4" t="str">
        <f aca="false">FLOOR(B1302,10)&amp;"s"</f>
        <v>1990s</v>
      </c>
      <c r="D1302" s="4" t="s">
        <v>1562</v>
      </c>
      <c r="E1302" s="25" t="str">
        <f aca="false">IF(G1302=1,"✓","")</f>
        <v/>
      </c>
      <c r="F1302" s="4" t="n">
        <v>2</v>
      </c>
      <c r="G1302" s="4" t="n">
        <f aca="false">IF(COUNTIF('Letterboxd Watched'!$E$2:$E$3000,M1302)&gt;0,1,0)</f>
        <v>0</v>
      </c>
      <c r="H1302" s="4" t="n">
        <v>3</v>
      </c>
      <c r="I1302" s="4" t="s">
        <v>213</v>
      </c>
      <c r="J1302" s="4" t="s">
        <v>52</v>
      </c>
      <c r="K1302" s="4" t="s">
        <v>5559</v>
      </c>
      <c r="L1302" s="48" t="str">
        <f aca="false">HYPERLINK("https://boxd.it/1w4g","open")</f>
        <v>open</v>
      </c>
      <c r="M1302" s="4" t="str">
        <f aca="false">LOWER(A1302)&amp;"|"&amp;B1302</f>
        <v>the last seduction|1994</v>
      </c>
      <c r="N1302" s="4" t="n">
        <v>0</v>
      </c>
      <c r="O1302" s="4" t="n">
        <v>0</v>
      </c>
      <c r="P1302" s="4" t="n">
        <v>0</v>
      </c>
      <c r="Q1302" s="4" t="n">
        <v>1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</row>
    <row r="1303" customFormat="false" ht="15" hidden="false" customHeight="false" outlineLevel="0" collapsed="false">
      <c r="A1303" s="4" t="s">
        <v>1091</v>
      </c>
      <c r="B1303" s="4" t="n">
        <v>1988</v>
      </c>
      <c r="C1303" s="4" t="str">
        <f aca="false">FLOOR(B1303,10)&amp;"s"</f>
        <v>1980s</v>
      </c>
      <c r="D1303" s="4" t="s">
        <v>164</v>
      </c>
      <c r="E1303" s="25" t="str">
        <f aca="false">IF(G1303=1,"✓","")</f>
        <v/>
      </c>
      <c r="F1303" s="4" t="n">
        <v>2</v>
      </c>
      <c r="G1303" s="4" t="n">
        <f aca="false">IF(COUNTIF('Letterboxd Watched'!$E$2:$E$3000,M1303)&gt;0,1,0)</f>
        <v>0</v>
      </c>
      <c r="H1303" s="4" t="n">
        <v>4</v>
      </c>
      <c r="I1303" s="4" t="s">
        <v>213</v>
      </c>
      <c r="J1303" s="4" t="s">
        <v>53</v>
      </c>
      <c r="K1303" s="4" t="s">
        <v>5560</v>
      </c>
      <c r="L1303" s="48" t="str">
        <f aca="false">HYPERLINK("https://boxd.it/1ULe","open")</f>
        <v>open</v>
      </c>
      <c r="M1303" s="4" t="str">
        <f aca="false">LOWER(A1303)&amp;"|"&amp;B1303</f>
        <v>the last temptation of christ|1988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1</v>
      </c>
      <c r="S1303" s="4" t="n">
        <v>0</v>
      </c>
      <c r="T1303" s="4" t="n">
        <v>1</v>
      </c>
      <c r="U1303" s="4" t="n">
        <v>0</v>
      </c>
      <c r="V1303" s="4" t="n">
        <v>0</v>
      </c>
      <c r="W1303" s="4" t="n">
        <v>0</v>
      </c>
    </row>
    <row r="1304" customFormat="false" ht="15" hidden="false" customHeight="false" outlineLevel="0" collapsed="false">
      <c r="A1304" s="4" t="s">
        <v>1511</v>
      </c>
      <c r="B1304" s="4" t="n">
        <v>1978</v>
      </c>
      <c r="C1304" s="4" t="str">
        <f aca="false">FLOOR(B1304,10)&amp;"s"</f>
        <v>1970s</v>
      </c>
      <c r="D1304" s="4" t="s">
        <v>164</v>
      </c>
      <c r="E1304" s="25" t="str">
        <f aca="false">IF(G1304=1,"✓","")</f>
        <v/>
      </c>
      <c r="F1304" s="4" t="n">
        <v>1</v>
      </c>
      <c r="G1304" s="4" t="n">
        <f aca="false">IF(COUNTIF('Letterboxd Watched'!$E$2:$E$3000,M1304)&gt;0,1,0)</f>
        <v>0</v>
      </c>
      <c r="H1304" s="4" t="n">
        <v>3</v>
      </c>
      <c r="I1304" s="4" t="s">
        <v>144</v>
      </c>
      <c r="J1304" s="4" t="s">
        <v>52</v>
      </c>
      <c r="K1304" s="4" t="s">
        <v>4178</v>
      </c>
      <c r="L1304" s="48" t="str">
        <f aca="false">HYPERLINK("https://boxd.it/1P1U","open")</f>
        <v>open</v>
      </c>
      <c r="M1304" s="4" t="str">
        <f aca="false">LOWER(A1304)&amp;"|"&amp;B1304</f>
        <v>the last waltz|1978</v>
      </c>
      <c r="N1304" s="4" t="n">
        <v>0</v>
      </c>
      <c r="O1304" s="4" t="n">
        <v>0</v>
      </c>
      <c r="P1304" s="4" t="n">
        <v>0</v>
      </c>
      <c r="Q1304" s="4" t="n">
        <v>1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</row>
    <row r="1305" customFormat="false" ht="15" hidden="false" customHeight="false" outlineLevel="0" collapsed="false">
      <c r="A1305" s="4" t="s">
        <v>2295</v>
      </c>
      <c r="B1305" s="4" t="n">
        <v>1977</v>
      </c>
      <c r="C1305" s="4" t="str">
        <f aca="false">FLOOR(B1305,10)&amp;"s"</f>
        <v>1970s</v>
      </c>
      <c r="D1305" s="4" t="s">
        <v>439</v>
      </c>
      <c r="E1305" s="25" t="str">
        <f aca="false">IF(G1305=1,"✓","")</f>
        <v>✓</v>
      </c>
      <c r="F1305" s="4" t="n">
        <v>1</v>
      </c>
      <c r="G1305" s="4" t="n">
        <f aca="false">IF(COUNTIF('Letterboxd Watched'!$E$2:$E$3000,M1305)&gt;0,1,0)</f>
        <v>1</v>
      </c>
      <c r="H1305" s="4" t="n">
        <v>2</v>
      </c>
      <c r="I1305" s="4" t="s">
        <v>213</v>
      </c>
      <c r="J1305" s="4" t="s">
        <v>51</v>
      </c>
      <c r="K1305" s="4" t="s">
        <v>4038</v>
      </c>
      <c r="L1305" s="48" t="str">
        <f aca="false">HYPERLINK("https://boxd.it/2oOM","open")</f>
        <v>open</v>
      </c>
      <c r="M1305" s="4" t="str">
        <f aca="false">LOWER(A1305)&amp;"|"&amp;B1305</f>
        <v>the last wave|1977</v>
      </c>
      <c r="N1305" s="4" t="n">
        <v>0</v>
      </c>
      <c r="O1305" s="4" t="n">
        <v>0</v>
      </c>
      <c r="P1305" s="4" t="n">
        <v>1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</row>
    <row r="1306" customFormat="false" ht="15" hidden="false" customHeight="false" outlineLevel="0" collapsed="false">
      <c r="A1306" s="4" t="s">
        <v>458</v>
      </c>
      <c r="B1306" s="4" t="n">
        <v>1961</v>
      </c>
      <c r="C1306" s="4" t="str">
        <f aca="false">FLOOR(B1306,10)&amp;"s"</f>
        <v>1960s</v>
      </c>
      <c r="D1306" s="4" t="s">
        <v>272</v>
      </c>
      <c r="E1306" s="25" t="str">
        <f aca="false">IF(G1306=1,"✓","")</f>
        <v/>
      </c>
      <c r="F1306" s="4" t="n">
        <v>3</v>
      </c>
      <c r="G1306" s="4" t="n">
        <f aca="false">IF(COUNTIF('Letterboxd Watched'!$E$2:$E$3000,M1306)&gt;0,1,0)</f>
        <v>0</v>
      </c>
      <c r="H1306" s="4" t="n">
        <v>7</v>
      </c>
      <c r="I1306" s="4" t="s">
        <v>144</v>
      </c>
      <c r="J1306" s="4" t="s">
        <v>49</v>
      </c>
      <c r="K1306" s="4" t="s">
        <v>5561</v>
      </c>
      <c r="L1306" s="48" t="str">
        <f aca="false">HYPERLINK("https://boxd.it/24Qe","open")</f>
        <v>open</v>
      </c>
      <c r="M1306" s="4" t="str">
        <f aca="false">LOWER(A1306)&amp;"|"&amp;B1306</f>
        <v>last year at marienbad|1961</v>
      </c>
      <c r="N1306" s="4" t="n">
        <v>1</v>
      </c>
      <c r="O1306" s="4" t="n">
        <v>0</v>
      </c>
      <c r="P1306" s="4" t="n">
        <v>1</v>
      </c>
      <c r="Q1306" s="4" t="n">
        <v>0</v>
      </c>
      <c r="R1306" s="4" t="n">
        <v>0</v>
      </c>
      <c r="S1306" s="4" t="n">
        <v>1</v>
      </c>
      <c r="T1306" s="4" t="n">
        <v>0</v>
      </c>
      <c r="U1306" s="4" t="n">
        <v>0</v>
      </c>
      <c r="V1306" s="4" t="n">
        <v>0</v>
      </c>
      <c r="W1306" s="4" t="n">
        <v>0</v>
      </c>
    </row>
    <row r="1307" customFormat="false" ht="15" hidden="false" customHeight="false" outlineLevel="0" collapsed="false">
      <c r="A1307" s="4" t="s">
        <v>1982</v>
      </c>
      <c r="B1307" s="4" t="n">
        <v>1960</v>
      </c>
      <c r="C1307" s="4" t="str">
        <f aca="false">FLOOR(B1307,10)&amp;"s"</f>
        <v>1960s</v>
      </c>
      <c r="D1307" s="4" t="s">
        <v>146</v>
      </c>
      <c r="E1307" s="25" t="str">
        <f aca="false">IF(G1307=1,"✓","")</f>
        <v/>
      </c>
      <c r="F1307" s="4" t="n">
        <v>1</v>
      </c>
      <c r="G1307" s="4" t="n">
        <f aca="false">IF(COUNTIF('Letterboxd Watched'!$E$2:$E$3000,M1307)&gt;0,1,0)</f>
        <v>0</v>
      </c>
      <c r="H1307" s="4" t="n">
        <v>2</v>
      </c>
      <c r="I1307" s="4" t="s">
        <v>213</v>
      </c>
      <c r="J1307" s="4" t="s">
        <v>53</v>
      </c>
      <c r="K1307" s="4" t="s">
        <v>146</v>
      </c>
      <c r="L1307" s="48" t="str">
        <f aca="false">HYPERLINK("https://boxd.it/1Bf4","open")</f>
        <v>open</v>
      </c>
      <c r="M1307" s="4" t="str">
        <f aca="false">LOWER(A1307)&amp;"|"&amp;B1307</f>
        <v>late autumn|1960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1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</row>
    <row r="1308" customFormat="false" ht="15" hidden="false" customHeight="false" outlineLevel="0" collapsed="false">
      <c r="A1308" s="4" t="s">
        <v>3243</v>
      </c>
      <c r="B1308" s="4" t="n">
        <v>2023</v>
      </c>
      <c r="C1308" s="4" t="str">
        <f aca="false">FLOOR(B1308,10)&amp;"s"</f>
        <v>2020s</v>
      </c>
      <c r="D1308" s="4" t="s">
        <v>3244</v>
      </c>
      <c r="E1308" s="25" t="str">
        <f aca="false">IF(G1308=1,"✓","")</f>
        <v/>
      </c>
      <c r="F1308" s="4" t="n">
        <v>1</v>
      </c>
      <c r="G1308" s="4" t="n">
        <f aca="false">IF(COUNTIF('Letterboxd Watched'!$E$2:$E$3000,M1308)&gt;0,1,0)</f>
        <v>0</v>
      </c>
      <c r="H1308" s="4" t="n">
        <v>2</v>
      </c>
      <c r="I1308" s="4" t="s">
        <v>213</v>
      </c>
      <c r="J1308" s="4" t="s">
        <v>55</v>
      </c>
      <c r="K1308" s="4" t="s">
        <v>4322</v>
      </c>
      <c r="L1308" s="48" t="str">
        <f aca="false">HYPERLINK("https://boxd.it/zo6G","open")</f>
        <v>open</v>
      </c>
      <c r="M1308" s="4" t="str">
        <f aca="false">LOWER(A1308)&amp;"|"&amp;B1308</f>
        <v>late night with the devil|2023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1</v>
      </c>
      <c r="U1308" s="4" t="n">
        <v>0</v>
      </c>
      <c r="V1308" s="4" t="n">
        <v>0</v>
      </c>
      <c r="W1308" s="4" t="n">
        <v>0</v>
      </c>
    </row>
    <row r="1309" customFormat="false" ht="15" hidden="false" customHeight="false" outlineLevel="0" collapsed="false">
      <c r="A1309" s="4" t="s">
        <v>350</v>
      </c>
      <c r="B1309" s="4" t="n">
        <v>1949</v>
      </c>
      <c r="C1309" s="4" t="str">
        <f aca="false">FLOOR(B1309,10)&amp;"s"</f>
        <v>1940s</v>
      </c>
      <c r="D1309" s="4" t="s">
        <v>146</v>
      </c>
      <c r="E1309" s="25" t="str">
        <f aca="false">IF(G1309=1,"✓","")</f>
        <v/>
      </c>
      <c r="F1309" s="4" t="n">
        <v>4</v>
      </c>
      <c r="G1309" s="4" t="n">
        <f aca="false">IF(COUNTIF('Letterboxd Watched'!$E$2:$E$3000,M1309)&gt;0,1,0)</f>
        <v>0</v>
      </c>
      <c r="H1309" s="4" t="n">
        <v>9</v>
      </c>
      <c r="I1309" s="4" t="s">
        <v>144</v>
      </c>
      <c r="J1309" s="4" t="s">
        <v>51</v>
      </c>
      <c r="K1309" s="4" t="s">
        <v>5562</v>
      </c>
      <c r="L1309" s="48" t="str">
        <f aca="false">HYPERLINK("https://boxd.it/1DkK","open")</f>
        <v>open</v>
      </c>
      <c r="M1309" s="4" t="str">
        <f aca="false">LOWER(A1309)&amp;"|"&amp;B1309</f>
        <v>late spring|1949</v>
      </c>
      <c r="N1309" s="4" t="n">
        <v>0</v>
      </c>
      <c r="O1309" s="4" t="n">
        <v>0</v>
      </c>
      <c r="P1309" s="4" t="n">
        <v>1</v>
      </c>
      <c r="Q1309" s="4" t="n">
        <v>0</v>
      </c>
      <c r="R1309" s="4" t="n">
        <v>1</v>
      </c>
      <c r="S1309" s="4" t="n">
        <v>1</v>
      </c>
      <c r="T1309" s="4" t="n">
        <v>0</v>
      </c>
      <c r="U1309" s="4" t="n">
        <v>0</v>
      </c>
      <c r="V1309" s="4" t="n">
        <v>1</v>
      </c>
      <c r="W1309" s="4" t="n">
        <v>0</v>
      </c>
    </row>
    <row r="1310" customFormat="false" ht="15" hidden="false" customHeight="false" outlineLevel="0" collapsed="false">
      <c r="A1310" s="4" t="s">
        <v>1815</v>
      </c>
      <c r="B1310" s="4" t="n">
        <v>1944</v>
      </c>
      <c r="C1310" s="4" t="str">
        <f aca="false">FLOOR(B1310,10)&amp;"s"</f>
        <v>1940s</v>
      </c>
      <c r="D1310" s="4" t="s">
        <v>951</v>
      </c>
      <c r="E1310" s="25" t="str">
        <f aca="false">IF(G1310=1,"✓","")</f>
        <v/>
      </c>
      <c r="F1310" s="4" t="n">
        <v>1</v>
      </c>
      <c r="G1310" s="4" t="n">
        <f aca="false">IF(COUNTIF('Letterboxd Watched'!$E$2:$E$3000,M1310)&gt;0,1,0)</f>
        <v>0</v>
      </c>
      <c r="H1310" s="4" t="n">
        <v>2</v>
      </c>
      <c r="I1310" s="4" t="s">
        <v>213</v>
      </c>
      <c r="J1310" s="4" t="s">
        <v>52</v>
      </c>
      <c r="K1310" s="4" t="s">
        <v>4042</v>
      </c>
      <c r="L1310" s="48" t="str">
        <f aca="false">HYPERLINK("https://boxd.it/27Oq","open")</f>
        <v>open</v>
      </c>
      <c r="M1310" s="4" t="str">
        <f aca="false">LOWER(A1310)&amp;"|"&amp;B1310</f>
        <v>laura|1944</v>
      </c>
      <c r="N1310" s="4" t="n">
        <v>0</v>
      </c>
      <c r="O1310" s="4" t="n">
        <v>0</v>
      </c>
      <c r="P1310" s="4" t="n">
        <v>0</v>
      </c>
      <c r="Q1310" s="4" t="n">
        <v>1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</row>
    <row r="1311" customFormat="false" ht="15" hidden="false" customHeight="false" outlineLevel="0" collapsed="false">
      <c r="A1311" s="4" t="s">
        <v>935</v>
      </c>
      <c r="B1311" s="4" t="n">
        <v>1951</v>
      </c>
      <c r="C1311" s="4" t="str">
        <f aca="false">FLOOR(B1311,10)&amp;"s"</f>
        <v>1950s</v>
      </c>
      <c r="D1311" s="4" t="s">
        <v>936</v>
      </c>
      <c r="E1311" s="25" t="str">
        <f aca="false">IF(G1311=1,"✓","")</f>
        <v/>
      </c>
      <c r="F1311" s="4" t="n">
        <v>2</v>
      </c>
      <c r="G1311" s="4" t="n">
        <f aca="false">IF(COUNTIF('Letterboxd Watched'!$E$2:$E$3000,M1311)&gt;0,1,0)</f>
        <v>0</v>
      </c>
      <c r="H1311" s="4" t="n">
        <v>4</v>
      </c>
      <c r="I1311" s="4" t="s">
        <v>213</v>
      </c>
      <c r="J1311" s="4" t="s">
        <v>51</v>
      </c>
      <c r="K1311" s="4" t="s">
        <v>5556</v>
      </c>
      <c r="L1311" s="48" t="str">
        <f aca="false">HYPERLINK("https://boxd.it/1gkM","open")</f>
        <v>open</v>
      </c>
      <c r="M1311" s="4" t="str">
        <f aca="false">LOWER(A1311)&amp;"|"&amp;B1311</f>
        <v>the lavender hill mob|1951</v>
      </c>
      <c r="N1311" s="4" t="n">
        <v>0</v>
      </c>
      <c r="O1311" s="4" t="n">
        <v>0</v>
      </c>
      <c r="P1311" s="4" t="n">
        <v>1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1</v>
      </c>
      <c r="W1311" s="4" t="n">
        <v>0</v>
      </c>
    </row>
    <row r="1312" customFormat="false" ht="15" hidden="false" customHeight="false" outlineLevel="0" collapsed="false">
      <c r="A1312" s="4" t="s">
        <v>3464</v>
      </c>
      <c r="B1312" s="4" t="n">
        <v>1969</v>
      </c>
      <c r="C1312" s="4" t="str">
        <f aca="false">FLOOR(B1312,10)&amp;"s"</f>
        <v>1960s</v>
      </c>
      <c r="D1312" s="4" t="s">
        <v>992</v>
      </c>
      <c r="E1312" s="25" t="str">
        <f aca="false">IF(G1312=1,"✓","")</f>
        <v/>
      </c>
      <c r="F1312" s="4" t="n">
        <v>1</v>
      </c>
      <c r="G1312" s="4" t="n">
        <f aca="false">IF(COUNTIF('Letterboxd Watched'!$E$2:$E$3000,M1312)&gt;0,1,0)</f>
        <v>0</v>
      </c>
      <c r="H1312" s="4" t="n">
        <v>1</v>
      </c>
      <c r="I1312" s="4" t="s">
        <v>1327</v>
      </c>
      <c r="J1312" s="4" t="s">
        <v>52</v>
      </c>
      <c r="K1312" s="4" t="s">
        <v>4172</v>
      </c>
      <c r="L1312" s="48" t="str">
        <f aca="false">HYPERLINK("https://letterboxd.com/search/films/Law+and+Order+1969/","open")</f>
        <v>open</v>
      </c>
      <c r="M1312" s="4" t="str">
        <f aca="false">LOWER(A1312)&amp;"|"&amp;B1312</f>
        <v>law and order|1969</v>
      </c>
      <c r="N1312" s="4" t="n">
        <v>0</v>
      </c>
      <c r="O1312" s="4" t="n">
        <v>0</v>
      </c>
      <c r="P1312" s="4" t="n">
        <v>0</v>
      </c>
      <c r="Q1312" s="4" t="n">
        <v>1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</row>
    <row r="1313" customFormat="false" ht="15" hidden="false" customHeight="false" outlineLevel="0" collapsed="false">
      <c r="A1313" s="4" t="s">
        <v>2460</v>
      </c>
      <c r="B1313" s="4" t="n">
        <v>1987</v>
      </c>
      <c r="C1313" s="4" t="str">
        <f aca="false">FLOOR(B1313,10)&amp;"s"</f>
        <v>1980s</v>
      </c>
      <c r="D1313" s="4" t="s">
        <v>1087</v>
      </c>
      <c r="E1313" s="25" t="str">
        <f aca="false">IF(G1313=1,"✓","")</f>
        <v/>
      </c>
      <c r="F1313" s="4" t="n">
        <v>1</v>
      </c>
      <c r="G1313" s="4" t="n">
        <f aca="false">IF(COUNTIF('Letterboxd Watched'!$E$2:$E$3000,M1313)&gt;0,1,0)</f>
        <v>0</v>
      </c>
      <c r="H1313" s="4" t="n">
        <v>2</v>
      </c>
      <c r="I1313" s="4" t="s">
        <v>213</v>
      </c>
      <c r="J1313" s="4" t="s">
        <v>53</v>
      </c>
      <c r="K1313" s="4" t="s">
        <v>1087</v>
      </c>
      <c r="L1313" s="48" t="str">
        <f aca="false">HYPERLINK("https://boxd.it/24Pg","open")</f>
        <v>open</v>
      </c>
      <c r="M1313" s="4" t="str">
        <f aca="false">LOWER(A1313)&amp;"|"&amp;B1313</f>
        <v>law of desire|1987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1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</row>
    <row r="1314" customFormat="false" ht="15" hidden="false" customHeight="false" outlineLevel="0" collapsed="false">
      <c r="A1314" s="4" t="s">
        <v>254</v>
      </c>
      <c r="B1314" s="4" t="n">
        <v>1962</v>
      </c>
      <c r="C1314" s="4" t="str">
        <f aca="false">FLOOR(B1314,10)&amp;"s"</f>
        <v>1960s</v>
      </c>
      <c r="D1314" s="4" t="s">
        <v>255</v>
      </c>
      <c r="E1314" s="25" t="str">
        <f aca="false">IF(G1314=1,"✓","")</f>
        <v/>
      </c>
      <c r="F1314" s="4" t="n">
        <v>5</v>
      </c>
      <c r="G1314" s="4" t="n">
        <f aca="false">IF(COUNTIF('Letterboxd Watched'!$E$2:$E$3000,M1314)&gt;0,1,0)</f>
        <v>0</v>
      </c>
      <c r="H1314" s="4" t="n">
        <v>12</v>
      </c>
      <c r="I1314" s="4" t="s">
        <v>144</v>
      </c>
      <c r="J1314" s="4" t="s">
        <v>49</v>
      </c>
      <c r="K1314" s="4" t="s">
        <v>5563</v>
      </c>
      <c r="L1314" s="48" t="str">
        <f aca="false">HYPERLINK("https://boxd.it/2wRE","open")</f>
        <v>open</v>
      </c>
      <c r="M1314" s="4" t="str">
        <f aca="false">LOWER(A1314)&amp;"|"&amp;B1314</f>
        <v>lawrence of arabia|1962</v>
      </c>
      <c r="N1314" s="4" t="n">
        <v>1</v>
      </c>
      <c r="O1314" s="4" t="n">
        <v>0</v>
      </c>
      <c r="P1314" s="4" t="n">
        <v>0</v>
      </c>
      <c r="Q1314" s="4" t="n">
        <v>1</v>
      </c>
      <c r="R1314" s="4" t="n">
        <v>1</v>
      </c>
      <c r="S1314" s="4" t="n">
        <v>0</v>
      </c>
      <c r="T1314" s="4" t="n">
        <v>0</v>
      </c>
      <c r="U1314" s="4" t="n">
        <v>0</v>
      </c>
      <c r="V1314" s="4" t="n">
        <v>1</v>
      </c>
      <c r="W1314" s="4" t="n">
        <v>0</v>
      </c>
    </row>
    <row r="1315" customFormat="false" ht="15" hidden="false" customHeight="false" outlineLevel="0" collapsed="false">
      <c r="A1315" s="4" t="s">
        <v>3343</v>
      </c>
      <c r="B1315" s="4" t="n">
        <v>1945</v>
      </c>
      <c r="C1315" s="4" t="str">
        <f aca="false">FLOOR(B1315,10)&amp;"s"</f>
        <v>1940s</v>
      </c>
      <c r="D1315" s="4" t="s">
        <v>3312</v>
      </c>
      <c r="E1315" s="25" t="str">
        <f aca="false">IF(G1315=1,"✓","")</f>
        <v/>
      </c>
      <c r="F1315" s="4" t="n">
        <v>1</v>
      </c>
      <c r="G1315" s="4" t="n">
        <f aca="false">IF(COUNTIF('Letterboxd Watched'!$E$2:$E$3000,M1315)&gt;0,1,0)</f>
        <v>0</v>
      </c>
      <c r="H1315" s="4" t="n">
        <v>1</v>
      </c>
      <c r="I1315" s="4" t="s">
        <v>1327</v>
      </c>
      <c r="J1315" s="4" t="s">
        <v>52</v>
      </c>
      <c r="K1315" s="4" t="s">
        <v>4148</v>
      </c>
      <c r="L1315" s="48" t="str">
        <f aca="false">HYPERLINK("https://boxd.it/1IjC","open")</f>
        <v>open</v>
      </c>
      <c r="M1315" s="4" t="str">
        <f aca="false">LOWER(A1315)&amp;"|"&amp;B1315</f>
        <v>leave her to heaven|1945</v>
      </c>
      <c r="N1315" s="4" t="n">
        <v>0</v>
      </c>
      <c r="O1315" s="4" t="n">
        <v>0</v>
      </c>
      <c r="P1315" s="4" t="n">
        <v>0</v>
      </c>
      <c r="Q1315" s="4" t="n">
        <v>1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</row>
    <row r="1316" customFormat="false" ht="15" hidden="false" customHeight="false" outlineLevel="0" collapsed="false">
      <c r="A1316" s="4" t="s">
        <v>1419</v>
      </c>
      <c r="B1316" s="4" t="n">
        <v>2018</v>
      </c>
      <c r="C1316" s="4" t="str">
        <f aca="false">FLOOR(B1316,10)&amp;"s"</f>
        <v>2010s</v>
      </c>
      <c r="D1316" s="4" t="s">
        <v>1420</v>
      </c>
      <c r="E1316" s="25" t="str">
        <f aca="false">IF(G1316=1,"✓","")</f>
        <v/>
      </c>
      <c r="F1316" s="4" t="n">
        <v>2</v>
      </c>
      <c r="G1316" s="4" t="n">
        <f aca="false">IF(COUNTIF('Letterboxd Watched'!$E$2:$E$3000,M1316)&gt;0,1,0)</f>
        <v>0</v>
      </c>
      <c r="H1316" s="4" t="n">
        <v>3</v>
      </c>
      <c r="I1316" s="4" t="s">
        <v>213</v>
      </c>
      <c r="J1316" s="4" t="s">
        <v>53</v>
      </c>
      <c r="K1316" s="4" t="s">
        <v>5564</v>
      </c>
      <c r="L1316" s="48" t="str">
        <f aca="false">HYPERLINK("https://letterboxd.com/search/films/Leave+No+Trace+2018/","open")</f>
        <v>open</v>
      </c>
      <c r="M1316" s="4" t="str">
        <f aca="false">LOWER(A1316)&amp;"|"&amp;B1316</f>
        <v>leave no trace|2018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1</v>
      </c>
      <c r="S1316" s="4" t="n">
        <v>0</v>
      </c>
      <c r="T1316" s="4" t="n">
        <v>1</v>
      </c>
      <c r="U1316" s="4" t="n">
        <v>0</v>
      </c>
      <c r="V1316" s="4" t="n">
        <v>0</v>
      </c>
      <c r="W1316" s="4" t="n">
        <v>0</v>
      </c>
    </row>
    <row r="1317" customFormat="false" ht="15" hidden="false" customHeight="false" outlineLevel="0" collapsed="false">
      <c r="A1317" s="4" t="s">
        <v>3780</v>
      </c>
      <c r="B1317" s="4" t="n">
        <v>2009</v>
      </c>
      <c r="C1317" s="4" t="str">
        <f aca="false">FLOOR(B1317,10)&amp;"s"</f>
        <v>2000s</v>
      </c>
      <c r="D1317" s="4" t="s">
        <v>3781</v>
      </c>
      <c r="E1317" s="25" t="str">
        <f aca="false">IF(G1317=1,"✓","")</f>
        <v/>
      </c>
      <c r="F1317" s="4" t="n">
        <v>1</v>
      </c>
      <c r="G1317" s="4" t="n">
        <f aca="false">IF(COUNTIF('Letterboxd Watched'!$E$2:$E$3000,M1317)&gt;0,1,0)</f>
        <v>0</v>
      </c>
      <c r="H1317" s="4" t="n">
        <v>1</v>
      </c>
      <c r="I1317" s="4" t="s">
        <v>1327</v>
      </c>
      <c r="J1317" s="4" t="s">
        <v>52</v>
      </c>
      <c r="K1317" s="4" t="s">
        <v>4144</v>
      </c>
      <c r="L1317" s="48" t="str">
        <f aca="false">HYPERLINK("https://letterboxd.com/search/films/Lebanon+2009/","open")</f>
        <v>open</v>
      </c>
      <c r="M1317" s="4" t="str">
        <f aca="false">LOWER(A1317)&amp;"|"&amp;B1317</f>
        <v>lebanon|2009</v>
      </c>
      <c r="N1317" s="4" t="n">
        <v>0</v>
      </c>
      <c r="O1317" s="4" t="n">
        <v>0</v>
      </c>
      <c r="P1317" s="4" t="n">
        <v>0</v>
      </c>
      <c r="Q1317" s="4" t="n">
        <v>1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</row>
    <row r="1318" customFormat="false" ht="15" hidden="false" customHeight="false" outlineLevel="0" collapsed="false">
      <c r="A1318" s="4" t="s">
        <v>3514</v>
      </c>
      <c r="B1318" s="4" t="n">
        <v>1973</v>
      </c>
      <c r="C1318" s="4" t="str">
        <f aca="false">FLOOR(B1318,10)&amp;"s"</f>
        <v>1970s</v>
      </c>
      <c r="D1318" s="4" t="s">
        <v>3515</v>
      </c>
      <c r="E1318" s="25" t="str">
        <f aca="false">IF(G1318=1,"✓","")</f>
        <v/>
      </c>
      <c r="F1318" s="4" t="n">
        <v>1</v>
      </c>
      <c r="G1318" s="4" t="n">
        <f aca="false">IF(COUNTIF('Letterboxd Watched'!$E$2:$E$3000,M1318)&gt;0,1,0)</f>
        <v>0</v>
      </c>
      <c r="H1318" s="4" t="n">
        <v>1</v>
      </c>
      <c r="I1318" s="4" t="s">
        <v>1327</v>
      </c>
      <c r="J1318" s="4" t="s">
        <v>52</v>
      </c>
      <c r="K1318" s="4" t="s">
        <v>4082</v>
      </c>
      <c r="L1318" s="48" t="str">
        <f aca="false">HYPERLINK("https://letterboxd.com/search/films/The+Legend+of+Hell+House+1973/","open")</f>
        <v>open</v>
      </c>
      <c r="M1318" s="4" t="str">
        <f aca="false">LOWER(A1318)&amp;"|"&amp;B1318</f>
        <v>the legend of hell house|1973</v>
      </c>
      <c r="N1318" s="4" t="n">
        <v>0</v>
      </c>
      <c r="O1318" s="4" t="n">
        <v>0</v>
      </c>
      <c r="P1318" s="4" t="n">
        <v>0</v>
      </c>
      <c r="Q1318" s="4" t="n">
        <v>1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</row>
    <row r="1319" customFormat="false" ht="15" hidden="false" customHeight="false" outlineLevel="0" collapsed="false">
      <c r="A1319" s="4" t="s">
        <v>3651</v>
      </c>
      <c r="B1319" s="4" t="n">
        <v>1989</v>
      </c>
      <c r="C1319" s="4" t="str">
        <f aca="false">FLOOR(B1319,10)&amp;"s"</f>
        <v>1980s</v>
      </c>
      <c r="D1319" s="4" t="s">
        <v>1155</v>
      </c>
      <c r="E1319" s="25" t="str">
        <f aca="false">IF(G1319=1,"✓","")</f>
        <v/>
      </c>
      <c r="F1319" s="4" t="n">
        <v>1</v>
      </c>
      <c r="G1319" s="4" t="n">
        <f aca="false">IF(COUNTIF('Letterboxd Watched'!$E$2:$E$3000,M1319)&gt;0,1,0)</f>
        <v>0</v>
      </c>
      <c r="H1319" s="4" t="n">
        <v>1</v>
      </c>
      <c r="I1319" s="4" t="s">
        <v>1327</v>
      </c>
      <c r="J1319" s="4" t="s">
        <v>53</v>
      </c>
      <c r="K1319" s="4" t="s">
        <v>4240</v>
      </c>
      <c r="L1319" s="48" t="str">
        <f aca="false">HYPERLINK("https://letterboxd.com/search/films/Leningrad+Cowboys+Go+America+1989/","open")</f>
        <v>open</v>
      </c>
      <c r="M1319" s="4" t="str">
        <f aca="false">LOWER(A1319)&amp;"|"&amp;B1319</f>
        <v>leningrad cowboys go america|1989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1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</row>
    <row r="1320" customFormat="false" ht="15" hidden="false" customHeight="false" outlineLevel="0" collapsed="false">
      <c r="A1320" s="4" t="s">
        <v>3409</v>
      </c>
      <c r="B1320" s="4" t="n">
        <v>1961</v>
      </c>
      <c r="C1320" s="4" t="str">
        <f aca="false">FLOOR(B1320,10)&amp;"s"</f>
        <v>1960s</v>
      </c>
      <c r="D1320" s="4" t="s">
        <v>290</v>
      </c>
      <c r="E1320" s="25" t="str">
        <f aca="false">IF(G1320=1,"✓","")</f>
        <v/>
      </c>
      <c r="F1320" s="4" t="n">
        <v>1</v>
      </c>
      <c r="G1320" s="4" t="n">
        <f aca="false">IF(COUNTIF('Letterboxd Watched'!$E$2:$E$3000,M1320)&gt;0,1,0)</f>
        <v>0</v>
      </c>
      <c r="H1320" s="4" t="n">
        <v>1</v>
      </c>
      <c r="I1320" s="4" t="s">
        <v>1327</v>
      </c>
      <c r="J1320" s="4" t="s">
        <v>53</v>
      </c>
      <c r="K1320" s="4" t="s">
        <v>4265</v>
      </c>
      <c r="L1320" s="48" t="str">
        <f aca="false">HYPERLINK("https://boxd.it/5O0","open")</f>
        <v>open</v>
      </c>
      <c r="M1320" s="4" t="str">
        <f aca="false">LOWER(A1320)&amp;"|"&amp;B1320</f>
        <v>léon morin, priest|1961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1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</row>
    <row r="1321" customFormat="false" ht="15" hidden="false" customHeight="false" outlineLevel="0" collapsed="false">
      <c r="A1321" s="4" t="s">
        <v>1557</v>
      </c>
      <c r="B1321" s="4" t="n">
        <v>1994</v>
      </c>
      <c r="C1321" s="4" t="str">
        <f aca="false">FLOOR(B1321,10)&amp;"s"</f>
        <v>1990s</v>
      </c>
      <c r="D1321" s="4" t="s">
        <v>1558</v>
      </c>
      <c r="E1321" s="25" t="str">
        <f aca="false">IF(G1321=1,"✓","")</f>
        <v>✓</v>
      </c>
      <c r="F1321" s="4" t="n">
        <v>1</v>
      </c>
      <c r="G1321" s="4" t="n">
        <f aca="false">IF(COUNTIF('Letterboxd Watched'!$E$2:$E$3000,M1321)&gt;0,1,0)</f>
        <v>1</v>
      </c>
      <c r="H1321" s="4" t="n">
        <v>3</v>
      </c>
      <c r="I1321" s="4" t="s">
        <v>144</v>
      </c>
      <c r="J1321" s="4" t="s">
        <v>51</v>
      </c>
      <c r="K1321" s="4" t="s">
        <v>3966</v>
      </c>
      <c r="L1321" s="48" t="str">
        <f aca="false">HYPERLINK("https://boxd.it/2b8S","open")</f>
        <v>open</v>
      </c>
      <c r="M1321" s="4" t="str">
        <f aca="false">LOWER(A1321)&amp;"|"&amp;B1321</f>
        <v>léon: the professional|1994</v>
      </c>
      <c r="N1321" s="4" t="n">
        <v>0</v>
      </c>
      <c r="O1321" s="4" t="n">
        <v>0</v>
      </c>
      <c r="P1321" s="4" t="n">
        <v>1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</row>
    <row r="1322" customFormat="false" ht="15" hidden="false" customHeight="false" outlineLevel="0" collapsed="false">
      <c r="A1322" s="4" t="s">
        <v>460</v>
      </c>
      <c r="B1322" s="4" t="n">
        <v>1963</v>
      </c>
      <c r="C1322" s="4" t="str">
        <f aca="false">FLOOR(B1322,10)&amp;"s"</f>
        <v>1960s</v>
      </c>
      <c r="D1322" s="4" t="s">
        <v>461</v>
      </c>
      <c r="E1322" s="25" t="str">
        <f aca="false">IF(G1322=1,"✓","")</f>
        <v/>
      </c>
      <c r="F1322" s="4" t="n">
        <v>3</v>
      </c>
      <c r="G1322" s="4" t="n">
        <f aca="false">IF(COUNTIF('Letterboxd Watched'!$E$2:$E$3000,M1322)&gt;0,1,0)</f>
        <v>0</v>
      </c>
      <c r="H1322" s="4" t="n">
        <v>7</v>
      </c>
      <c r="I1322" s="4" t="s">
        <v>144</v>
      </c>
      <c r="J1322" s="4" t="s">
        <v>49</v>
      </c>
      <c r="K1322" s="4" t="s">
        <v>5565</v>
      </c>
      <c r="L1322" s="48" t="str">
        <f aca="false">HYPERLINK("https://boxd.it/296K","open")</f>
        <v>open</v>
      </c>
      <c r="M1322" s="4" t="str">
        <f aca="false">LOWER(A1322)&amp;"|"&amp;B1322</f>
        <v>the leopard|1963</v>
      </c>
      <c r="N1322" s="4" t="n">
        <v>1</v>
      </c>
      <c r="O1322" s="4" t="n">
        <v>0</v>
      </c>
      <c r="P1322" s="4" t="n">
        <v>1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1</v>
      </c>
    </row>
    <row r="1323" customFormat="false" ht="15" hidden="false" customHeight="false" outlineLevel="0" collapsed="false">
      <c r="A1323" s="4" t="s">
        <v>1805</v>
      </c>
      <c r="B1323" s="4" t="n">
        <v>1943</v>
      </c>
      <c r="C1323" s="4" t="str">
        <f aca="false">FLOOR(B1323,10)&amp;"s"</f>
        <v>1940s</v>
      </c>
      <c r="D1323" s="4" t="s">
        <v>884</v>
      </c>
      <c r="E1323" s="25" t="str">
        <f aca="false">IF(G1323=1,"✓","")</f>
        <v/>
      </c>
      <c r="F1323" s="4" t="n">
        <v>1</v>
      </c>
      <c r="G1323" s="4" t="n">
        <f aca="false">IF(COUNTIF('Letterboxd Watched'!$E$2:$E$3000,M1323)&gt;0,1,0)</f>
        <v>0</v>
      </c>
      <c r="H1323" s="4" t="n">
        <v>2</v>
      </c>
      <c r="I1323" s="4" t="s">
        <v>213</v>
      </c>
      <c r="J1323" s="4" t="s">
        <v>52</v>
      </c>
      <c r="K1323" s="4" t="s">
        <v>4060</v>
      </c>
      <c r="L1323" s="48" t="str">
        <f aca="false">HYPERLINK("https://letterboxd.com/search/films/The+Leopard+Man+1943/","open")</f>
        <v>open</v>
      </c>
      <c r="M1323" s="4" t="str">
        <f aca="false">LOWER(A1323)&amp;"|"&amp;B1323</f>
        <v>the leopard man|1943</v>
      </c>
      <c r="N1323" s="4" t="n">
        <v>0</v>
      </c>
      <c r="O1323" s="4" t="n">
        <v>0</v>
      </c>
      <c r="P1323" s="4" t="n">
        <v>0</v>
      </c>
      <c r="Q1323" s="4" t="n">
        <v>1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</row>
    <row r="1324" customFormat="false" ht="15" hidden="false" customHeight="false" outlineLevel="0" collapsed="false">
      <c r="A1324" s="4" t="s">
        <v>2545</v>
      </c>
      <c r="B1324" s="4" t="n">
        <v>1992</v>
      </c>
      <c r="C1324" s="4" t="str">
        <f aca="false">FLOOR(B1324,10)&amp;"s"</f>
        <v>1990s</v>
      </c>
      <c r="D1324" s="4" t="s">
        <v>292</v>
      </c>
      <c r="E1324" s="25" t="str">
        <f aca="false">IF(G1324=1,"✓","")</f>
        <v/>
      </c>
      <c r="F1324" s="4" t="n">
        <v>1</v>
      </c>
      <c r="G1324" s="4" t="n">
        <f aca="false">IF(COUNTIF('Letterboxd Watched'!$E$2:$E$3000,M1324)&gt;0,1,0)</f>
        <v>0</v>
      </c>
      <c r="H1324" s="4" t="n">
        <v>2</v>
      </c>
      <c r="I1324" s="4" t="s">
        <v>213</v>
      </c>
      <c r="J1324" s="4" t="s">
        <v>53</v>
      </c>
      <c r="K1324" s="4" t="s">
        <v>292</v>
      </c>
      <c r="L1324" s="48" t="str">
        <f aca="false">HYPERLINK("https://boxd.it/x7I","open")</f>
        <v>open</v>
      </c>
      <c r="M1324" s="4" t="str">
        <f aca="false">LOWER(A1324)&amp;"|"&amp;B1324</f>
        <v>lessons of darkness|1992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1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</row>
    <row r="1325" customFormat="false" ht="15" hidden="false" customHeight="false" outlineLevel="0" collapsed="false">
      <c r="A1325" s="4" t="s">
        <v>2920</v>
      </c>
      <c r="B1325" s="4" t="n">
        <v>2008</v>
      </c>
      <c r="C1325" s="4" t="str">
        <f aca="false">FLOOR(B1325,10)&amp;"s"</f>
        <v>2000s</v>
      </c>
      <c r="D1325" s="4" t="s">
        <v>1611</v>
      </c>
      <c r="E1325" s="25" t="str">
        <f aca="false">IF(G1325=1,"✓","")</f>
        <v/>
      </c>
      <c r="F1325" s="4" t="n">
        <v>1</v>
      </c>
      <c r="G1325" s="4" t="n">
        <f aca="false">IF(COUNTIF('Letterboxd Watched'!$E$2:$E$3000,M1325)&gt;0,1,0)</f>
        <v>0</v>
      </c>
      <c r="H1325" s="4" t="n">
        <v>2</v>
      </c>
      <c r="I1325" s="4" t="s">
        <v>213</v>
      </c>
      <c r="J1325" s="4" t="s">
        <v>56</v>
      </c>
      <c r="K1325" s="4" t="s">
        <v>4422</v>
      </c>
      <c r="L1325" s="48" t="str">
        <f aca="false">HYPERLINK("https://boxd.it/1Qr0","open")</f>
        <v>open</v>
      </c>
      <c r="M1325" s="4" t="str">
        <f aca="false">LOWER(A1325)&amp;"|"&amp;B1325</f>
        <v>let the right one in|2008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1</v>
      </c>
      <c r="V1325" s="4" t="n">
        <v>0</v>
      </c>
      <c r="W1325" s="4" t="n">
        <v>0</v>
      </c>
    </row>
    <row r="1326" customFormat="false" ht="15" hidden="false" customHeight="false" outlineLevel="0" collapsed="false">
      <c r="A1326" s="4" t="s">
        <v>2455</v>
      </c>
      <c r="B1326" s="4" t="n">
        <v>1987</v>
      </c>
      <c r="C1326" s="4" t="str">
        <f aca="false">FLOOR(B1326,10)&amp;"s"</f>
        <v>1980s</v>
      </c>
      <c r="D1326" s="4" t="s">
        <v>2286</v>
      </c>
      <c r="E1326" s="25" t="str">
        <f aca="false">IF(G1326=1,"✓","")</f>
        <v>✓</v>
      </c>
      <c r="F1326" s="4" t="n">
        <v>1</v>
      </c>
      <c r="G1326" s="4" t="n">
        <f aca="false">IF(COUNTIF('Letterboxd Watched'!$E$2:$E$3000,M1326)&gt;0,1,0)</f>
        <v>1</v>
      </c>
      <c r="H1326" s="4" t="n">
        <v>2</v>
      </c>
      <c r="I1326" s="4" t="s">
        <v>213</v>
      </c>
      <c r="J1326" s="4" t="s">
        <v>52</v>
      </c>
      <c r="K1326" s="4" t="s">
        <v>4158</v>
      </c>
      <c r="L1326" s="48" t="str">
        <f aca="false">HYPERLINK("https://boxd.it/29e0","open")</f>
        <v>open</v>
      </c>
      <c r="M1326" s="4" t="str">
        <f aca="false">LOWER(A1326)&amp;"|"&amp;B1326</f>
        <v>lethal weapon|1987</v>
      </c>
      <c r="N1326" s="4" t="n">
        <v>0</v>
      </c>
      <c r="O1326" s="4" t="n">
        <v>0</v>
      </c>
      <c r="P1326" s="4" t="n">
        <v>0</v>
      </c>
      <c r="Q1326" s="4" t="n">
        <v>1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</row>
    <row r="1327" customFormat="false" ht="15" hidden="false" customHeight="false" outlineLevel="0" collapsed="false">
      <c r="A1327" s="4" t="s">
        <v>1855</v>
      </c>
      <c r="B1327" s="4" t="n">
        <v>1948</v>
      </c>
      <c r="C1327" s="4" t="str">
        <f aca="false">FLOOR(B1327,10)&amp;"s"</f>
        <v>1940s</v>
      </c>
      <c r="D1327" s="4" t="s">
        <v>1856</v>
      </c>
      <c r="E1327" s="25" t="str">
        <f aca="false">IF(G1327=1,"✓","")</f>
        <v/>
      </c>
      <c r="F1327" s="4" t="n">
        <v>1</v>
      </c>
      <c r="G1327" s="4" t="n">
        <f aca="false">IF(COUNTIF('Letterboxd Watched'!$E$2:$E$3000,M1327)&gt;0,1,0)</f>
        <v>0</v>
      </c>
      <c r="H1327" s="4" t="n">
        <v>2</v>
      </c>
      <c r="I1327" s="4" t="s">
        <v>213</v>
      </c>
      <c r="J1327" s="4" t="s">
        <v>52</v>
      </c>
      <c r="K1327" s="4" t="s">
        <v>4148</v>
      </c>
      <c r="L1327" s="48" t="str">
        <f aca="false">HYPERLINK("https://boxd.it/2wRO","open")</f>
        <v>open</v>
      </c>
      <c r="M1327" s="4" t="str">
        <f aca="false">LOWER(A1327)&amp;"|"&amp;B1327</f>
        <v>letter from an unknown woman|1948</v>
      </c>
      <c r="N1327" s="4" t="n">
        <v>0</v>
      </c>
      <c r="O1327" s="4" t="n">
        <v>0</v>
      </c>
      <c r="P1327" s="4" t="n">
        <v>0</v>
      </c>
      <c r="Q1327" s="4" t="n">
        <v>1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 customFormat="false" ht="15" hidden="false" customHeight="false" outlineLevel="0" collapsed="false">
      <c r="A1328" s="4" t="s">
        <v>1947</v>
      </c>
      <c r="B1328" s="4" t="n">
        <v>1957</v>
      </c>
      <c r="C1328" s="4" t="str">
        <f aca="false">FLOOR(B1328,10)&amp;"s"</f>
        <v>1950s</v>
      </c>
      <c r="D1328" s="4" t="s">
        <v>416</v>
      </c>
      <c r="E1328" s="25" t="str">
        <f aca="false">IF(G1328=1,"✓","")</f>
        <v/>
      </c>
      <c r="F1328" s="4" t="n">
        <v>1</v>
      </c>
      <c r="G1328" s="4" t="n">
        <f aca="false">IF(COUNTIF('Letterboxd Watched'!$E$2:$E$3000,M1328)&gt;0,1,0)</f>
        <v>0</v>
      </c>
      <c r="H1328" s="4" t="n">
        <v>2</v>
      </c>
      <c r="I1328" s="4" t="s">
        <v>213</v>
      </c>
      <c r="J1328" s="4" t="s">
        <v>52</v>
      </c>
      <c r="K1328" s="4" t="s">
        <v>4184</v>
      </c>
      <c r="L1328" s="48" t="str">
        <f aca="false">HYPERLINK("https://letterboxd.com/search/films/Letter+from+Siberia+1957/","open")</f>
        <v>open</v>
      </c>
      <c r="M1328" s="4" t="str">
        <f aca="false">LOWER(A1328)&amp;"|"&amp;B1328</f>
        <v>letter from siberia|1957</v>
      </c>
      <c r="N1328" s="4" t="n">
        <v>0</v>
      </c>
      <c r="O1328" s="4" t="n">
        <v>0</v>
      </c>
      <c r="P1328" s="4" t="n">
        <v>0</v>
      </c>
      <c r="Q1328" s="4" t="n">
        <v>1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</row>
    <row r="1329" customFormat="false" ht="15" hidden="false" customHeight="false" outlineLevel="0" collapsed="false">
      <c r="A1329" s="4" t="s">
        <v>2854</v>
      </c>
      <c r="B1329" s="4" t="n">
        <v>2006</v>
      </c>
      <c r="C1329" s="4" t="str">
        <f aca="false">FLOOR(B1329,10)&amp;"s"</f>
        <v>2000s</v>
      </c>
      <c r="D1329" s="4" t="s">
        <v>829</v>
      </c>
      <c r="E1329" s="25" t="str">
        <f aca="false">IF(G1329=1,"✓","")</f>
        <v/>
      </c>
      <c r="F1329" s="4" t="n">
        <v>1</v>
      </c>
      <c r="G1329" s="4" t="n">
        <f aca="false">IF(COUNTIF('Letterboxd Watched'!$E$2:$E$3000,M1329)&gt;0,1,0)</f>
        <v>0</v>
      </c>
      <c r="H1329" s="4" t="n">
        <v>2</v>
      </c>
      <c r="I1329" s="4" t="s">
        <v>213</v>
      </c>
      <c r="J1329" s="4" t="s">
        <v>52</v>
      </c>
      <c r="K1329" s="4" t="s">
        <v>4138</v>
      </c>
      <c r="L1329" s="48" t="str">
        <f aca="false">HYPERLINK("https://boxd.it/290C","open")</f>
        <v>open</v>
      </c>
      <c r="M1329" s="4" t="str">
        <f aca="false">LOWER(A1329)&amp;"|"&amp;B1329</f>
        <v>letters from iwo jima|2006</v>
      </c>
      <c r="N1329" s="4" t="n">
        <v>0</v>
      </c>
      <c r="O1329" s="4" t="n">
        <v>0</v>
      </c>
      <c r="P1329" s="4" t="n">
        <v>0</v>
      </c>
      <c r="Q1329" s="4" t="n">
        <v>1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 customFormat="false" ht="15" hidden="false" customHeight="false" outlineLevel="0" collapsed="false">
      <c r="A1330" s="4" t="s">
        <v>1262</v>
      </c>
      <c r="B1330" s="4" t="n">
        <v>2021</v>
      </c>
      <c r="C1330" s="4" t="str">
        <f aca="false">FLOOR(B1330,10)&amp;"s"</f>
        <v>2020s</v>
      </c>
      <c r="D1330" s="4" t="s">
        <v>278</v>
      </c>
      <c r="E1330" s="25" t="str">
        <f aca="false">IF(G1330=1,"✓","")</f>
        <v>✓</v>
      </c>
      <c r="F1330" s="4" t="n">
        <v>2</v>
      </c>
      <c r="G1330" s="4" t="n">
        <f aca="false">IF(COUNTIF('Letterboxd Watched'!$E$2:$E$3000,M1330)&gt;0,1,0)</f>
        <v>1</v>
      </c>
      <c r="H1330" s="4" t="n">
        <v>4</v>
      </c>
      <c r="I1330" s="4" t="s">
        <v>213</v>
      </c>
      <c r="J1330" s="4" t="s">
        <v>53</v>
      </c>
      <c r="K1330" s="4" t="s">
        <v>5566</v>
      </c>
      <c r="L1330" s="48" t="str">
        <f aca="false">HYPERLINK("https://boxd.it/qTKY","open")</f>
        <v>open</v>
      </c>
      <c r="M1330" s="4" t="str">
        <f aca="false">LOWER(A1330)&amp;"|"&amp;B1330</f>
        <v>licorice pizza|2021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1</v>
      </c>
      <c r="S1330" s="4" t="n">
        <v>0</v>
      </c>
      <c r="T1330" s="4" t="n">
        <v>0</v>
      </c>
      <c r="U1330" s="4" t="n">
        <v>1</v>
      </c>
      <c r="V1330" s="4" t="n">
        <v>0</v>
      </c>
      <c r="W1330" s="4" t="n">
        <v>0</v>
      </c>
    </row>
    <row r="1331" customFormat="false" ht="15" hidden="false" customHeight="false" outlineLevel="0" collapsed="false">
      <c r="A1331" s="4" t="s">
        <v>1804</v>
      </c>
      <c r="B1331" s="4" t="n">
        <v>1943</v>
      </c>
      <c r="C1331" s="4" t="str">
        <f aca="false">FLOOR(B1331,10)&amp;"s"</f>
        <v>1940s</v>
      </c>
      <c r="D1331" s="4" t="s">
        <v>453</v>
      </c>
      <c r="E1331" s="25" t="str">
        <f aca="false">IF(G1331=1,"✓","")</f>
        <v/>
      </c>
      <c r="F1331" s="4" t="n">
        <v>1</v>
      </c>
      <c r="G1331" s="4" t="n">
        <f aca="false">IF(COUNTIF('Letterboxd Watched'!$E$2:$E$3000,M1331)&gt;0,1,0)</f>
        <v>0</v>
      </c>
      <c r="H1331" s="4" t="n">
        <v>2</v>
      </c>
      <c r="I1331" s="4" t="s">
        <v>213</v>
      </c>
      <c r="J1331" s="4" t="s">
        <v>51</v>
      </c>
      <c r="K1331" s="4" t="s">
        <v>3976</v>
      </c>
      <c r="L1331" s="48" t="str">
        <f aca="false">HYPERLINK("https://boxd.it/1wwk","open")</f>
        <v>open</v>
      </c>
      <c r="M1331" s="4" t="str">
        <f aca="false">LOWER(A1331)&amp;"|"&amp;B1331</f>
        <v>the life and death of colonel blimp|1943</v>
      </c>
      <c r="N1331" s="4" t="n">
        <v>0</v>
      </c>
      <c r="O1331" s="4" t="n">
        <v>0</v>
      </c>
      <c r="P1331" s="4" t="n">
        <v>1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</row>
    <row r="1332" customFormat="false" ht="15" hidden="false" customHeight="false" outlineLevel="0" collapsed="false">
      <c r="A1332" s="4" t="s">
        <v>1102</v>
      </c>
      <c r="B1332" s="4" t="n">
        <v>1992</v>
      </c>
      <c r="C1332" s="4" t="str">
        <f aca="false">FLOOR(B1332,10)&amp;"s"</f>
        <v>1990s</v>
      </c>
      <c r="D1332" s="4" t="s">
        <v>203</v>
      </c>
      <c r="E1332" s="25" t="str">
        <f aca="false">IF(G1332=1,"✓","")</f>
        <v/>
      </c>
      <c r="F1332" s="4" t="n">
        <v>2</v>
      </c>
      <c r="G1332" s="4" t="n">
        <f aca="false">IF(COUNTIF('Letterboxd Watched'!$E$2:$E$3000,M1332)&gt;0,1,0)</f>
        <v>0</v>
      </c>
      <c r="H1332" s="4" t="n">
        <v>4</v>
      </c>
      <c r="I1332" s="4" t="s">
        <v>213</v>
      </c>
      <c r="J1332" s="4" t="s">
        <v>51</v>
      </c>
      <c r="K1332" s="4" t="s">
        <v>5567</v>
      </c>
      <c r="L1332" s="48" t="str">
        <f aca="false">HYPERLINK("https://boxd.it/2WEc","open")</f>
        <v>open</v>
      </c>
      <c r="M1332" s="4" t="str">
        <f aca="false">LOWER(A1332)&amp;"|"&amp;B1332</f>
        <v>life, and nothing more…|1992</v>
      </c>
      <c r="N1332" s="4" t="n">
        <v>0</v>
      </c>
      <c r="O1332" s="4" t="n">
        <v>0</v>
      </c>
      <c r="P1332" s="4" t="n">
        <v>1</v>
      </c>
      <c r="Q1332" s="4" t="n">
        <v>0</v>
      </c>
      <c r="R1332" s="4" t="n">
        <v>1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</row>
    <row r="1333" customFormat="false" ht="15" hidden="false" customHeight="false" outlineLevel="0" collapsed="false">
      <c r="A1333" s="4" t="s">
        <v>2822</v>
      </c>
      <c r="B1333" s="4" t="n">
        <v>2004</v>
      </c>
      <c r="C1333" s="4" t="str">
        <f aca="false">FLOOR(B1333,10)&amp;"s"</f>
        <v>2000s</v>
      </c>
      <c r="D1333" s="4" t="s">
        <v>274</v>
      </c>
      <c r="E1333" s="25" t="str">
        <f aca="false">IF(G1333=1,"✓","")</f>
        <v>✓</v>
      </c>
      <c r="F1333" s="4" t="n">
        <v>1</v>
      </c>
      <c r="G1333" s="4" t="n">
        <f aca="false">IF(COUNTIF('Letterboxd Watched'!$E$2:$E$3000,M1333)&gt;0,1,0)</f>
        <v>1</v>
      </c>
      <c r="H1333" s="4" t="n">
        <v>2</v>
      </c>
      <c r="I1333" s="4" t="s">
        <v>213</v>
      </c>
      <c r="J1333" s="4" t="s">
        <v>53</v>
      </c>
      <c r="K1333" s="4" t="s">
        <v>274</v>
      </c>
      <c r="L1333" s="48" t="str">
        <f aca="false">HYPERLINK("https://boxd.it/2aqw","open")</f>
        <v>open</v>
      </c>
      <c r="M1333" s="4" t="str">
        <f aca="false">LOWER(A1333)&amp;"|"&amp;B1333</f>
        <v>the life aquatic with steve zissou|2004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1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</row>
    <row r="1334" customFormat="false" ht="15" hidden="false" customHeight="false" outlineLevel="0" collapsed="false">
      <c r="A1334" s="4" t="s">
        <v>1043</v>
      </c>
      <c r="B1334" s="4" t="n">
        <v>1979</v>
      </c>
      <c r="C1334" s="4" t="str">
        <f aca="false">FLOOR(B1334,10)&amp;"s"</f>
        <v>1970s</v>
      </c>
      <c r="D1334" s="4" t="s">
        <v>1044</v>
      </c>
      <c r="E1334" s="25" t="str">
        <f aca="false">IF(G1334=1,"✓","")</f>
        <v>✓</v>
      </c>
      <c r="F1334" s="4" t="n">
        <v>2</v>
      </c>
      <c r="G1334" s="4" t="n">
        <f aca="false">IF(COUNTIF('Letterboxd Watched'!$E$2:$E$3000,M1334)&gt;0,1,0)</f>
        <v>1</v>
      </c>
      <c r="H1334" s="4" t="n">
        <v>4</v>
      </c>
      <c r="I1334" s="4" t="s">
        <v>213</v>
      </c>
      <c r="J1334" s="4" t="s">
        <v>52</v>
      </c>
      <c r="K1334" s="4" t="s">
        <v>5568</v>
      </c>
      <c r="L1334" s="48" t="str">
        <f aca="false">HYPERLINK("https://letterboxd.com/search/films/Life+of+Brian+1979/","open")</f>
        <v>open</v>
      </c>
      <c r="M1334" s="4" t="str">
        <f aca="false">LOWER(A1334)&amp;"|"&amp;B1334</f>
        <v>life of brian|1979</v>
      </c>
      <c r="N1334" s="4" t="n">
        <v>0</v>
      </c>
      <c r="O1334" s="4" t="n">
        <v>0</v>
      </c>
      <c r="P1334" s="4" t="n">
        <v>0</v>
      </c>
      <c r="Q1334" s="4" t="n">
        <v>1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1</v>
      </c>
      <c r="W1334" s="4" t="n">
        <v>0</v>
      </c>
    </row>
    <row r="1335" customFormat="false" ht="15" hidden="false" customHeight="false" outlineLevel="0" collapsed="false">
      <c r="A1335" s="4" t="s">
        <v>700</v>
      </c>
      <c r="B1335" s="4" t="n">
        <v>1952</v>
      </c>
      <c r="C1335" s="4" t="str">
        <f aca="false">FLOOR(B1335,10)&amp;"s"</f>
        <v>1950s</v>
      </c>
      <c r="D1335" s="4" t="s">
        <v>286</v>
      </c>
      <c r="E1335" s="25" t="str">
        <f aca="false">IF(G1335=1,"✓","")</f>
        <v/>
      </c>
      <c r="F1335" s="4" t="n">
        <v>3</v>
      </c>
      <c r="G1335" s="4" t="n">
        <f aca="false">IF(COUNTIF('Letterboxd Watched'!$E$2:$E$3000,M1335)&gt;0,1,0)</f>
        <v>0</v>
      </c>
      <c r="H1335" s="4" t="n">
        <v>5</v>
      </c>
      <c r="I1335" s="4" t="s">
        <v>213</v>
      </c>
      <c r="J1335" s="4" t="s">
        <v>51</v>
      </c>
      <c r="K1335" s="4" t="s">
        <v>5569</v>
      </c>
      <c r="L1335" s="48" t="str">
        <f aca="false">HYPERLINK("https://boxd.it/UFy","open")</f>
        <v>open</v>
      </c>
      <c r="M1335" s="4" t="str">
        <f aca="false">LOWER(A1335)&amp;"|"&amp;B1335</f>
        <v>the life of oharu|1952</v>
      </c>
      <c r="N1335" s="4" t="n">
        <v>0</v>
      </c>
      <c r="O1335" s="4" t="n">
        <v>0</v>
      </c>
      <c r="P1335" s="4" t="n">
        <v>1</v>
      </c>
      <c r="Q1335" s="4" t="n">
        <v>0</v>
      </c>
      <c r="R1335" s="4" t="n">
        <v>1</v>
      </c>
      <c r="S1335" s="4" t="n">
        <v>0</v>
      </c>
      <c r="T1335" s="4" t="n">
        <v>0</v>
      </c>
      <c r="U1335" s="4" t="n">
        <v>0</v>
      </c>
      <c r="V1335" s="4" t="n">
        <v>1</v>
      </c>
      <c r="W1335" s="4" t="n">
        <v>0</v>
      </c>
    </row>
    <row r="1336" customFormat="false" ht="15" hidden="false" customHeight="false" outlineLevel="0" collapsed="false">
      <c r="A1336" s="4" t="s">
        <v>1313</v>
      </c>
      <c r="B1336" s="4" t="n">
        <v>1944</v>
      </c>
      <c r="C1336" s="4" t="str">
        <f aca="false">FLOOR(B1336,10)&amp;"s"</f>
        <v>1940s</v>
      </c>
      <c r="D1336" s="4" t="s">
        <v>162</v>
      </c>
      <c r="E1336" s="25" t="str">
        <f aca="false">IF(G1336=1,"✓","")</f>
        <v/>
      </c>
      <c r="F1336" s="4" t="n">
        <v>2</v>
      </c>
      <c r="G1336" s="4" t="n">
        <f aca="false">IF(COUNTIF('Letterboxd Watched'!$E$2:$E$3000,M1336)&gt;0,1,0)</f>
        <v>0</v>
      </c>
      <c r="H1336" s="4" t="n">
        <v>3</v>
      </c>
      <c r="I1336" s="4" t="s">
        <v>213</v>
      </c>
      <c r="J1336" s="4" t="s">
        <v>53</v>
      </c>
      <c r="K1336" s="4" t="s">
        <v>5570</v>
      </c>
      <c r="L1336" s="48" t="str">
        <f aca="false">HYPERLINK("https://boxd.it/1Qpo","open")</f>
        <v>open</v>
      </c>
      <c r="M1336" s="4" t="str">
        <f aca="false">LOWER(A1336)&amp;"|"&amp;B1336</f>
        <v>lifeboat|1944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1</v>
      </c>
      <c r="S1336" s="4" t="n">
        <v>0</v>
      </c>
      <c r="T1336" s="4" t="n">
        <v>0</v>
      </c>
      <c r="U1336" s="4" t="n">
        <v>1</v>
      </c>
      <c r="V1336" s="4" t="n">
        <v>0</v>
      </c>
      <c r="W1336" s="4" t="n">
        <v>0</v>
      </c>
    </row>
    <row r="1337" customFormat="false" ht="15" hidden="false" customHeight="false" outlineLevel="0" collapsed="false">
      <c r="A1337" s="4" t="s">
        <v>2560</v>
      </c>
      <c r="B1337" s="4" t="n">
        <v>1992</v>
      </c>
      <c r="C1337" s="4" t="str">
        <f aca="false">FLOOR(B1337,10)&amp;"s"</f>
        <v>1990s</v>
      </c>
      <c r="D1337" s="4" t="s">
        <v>1417</v>
      </c>
      <c r="E1337" s="25" t="str">
        <f aca="false">IF(G1337=1,"✓","")</f>
        <v/>
      </c>
      <c r="F1337" s="4" t="n">
        <v>1</v>
      </c>
      <c r="G1337" s="4" t="n">
        <f aca="false">IF(COUNTIF('Letterboxd Watched'!$E$2:$E$3000,M1337)&gt;0,1,0)</f>
        <v>0</v>
      </c>
      <c r="H1337" s="4" t="n">
        <v>2</v>
      </c>
      <c r="I1337" s="4" t="s">
        <v>213</v>
      </c>
      <c r="J1337" s="4" t="s">
        <v>58</v>
      </c>
      <c r="K1337" s="4" t="s">
        <v>4472</v>
      </c>
      <c r="L1337" s="48" t="str">
        <f aca="false">HYPERLINK("https://boxd.it/1aKa","open")</f>
        <v>open</v>
      </c>
      <c r="M1337" s="4" t="str">
        <f aca="false">LOWER(A1337)&amp;"|"&amp;B1337</f>
        <v>light sleeper|1992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1</v>
      </c>
    </row>
    <row r="1338" customFormat="false" ht="15" hidden="false" customHeight="false" outlineLevel="0" collapsed="false">
      <c r="A1338" s="4" t="s">
        <v>1253</v>
      </c>
      <c r="B1338" s="4" t="n">
        <v>2019</v>
      </c>
      <c r="C1338" s="4" t="str">
        <f aca="false">FLOOR(B1338,10)&amp;"s"</f>
        <v>2010s</v>
      </c>
      <c r="D1338" s="4" t="s">
        <v>692</v>
      </c>
      <c r="E1338" s="25" t="str">
        <f aca="false">IF(G1338=1,"✓","")</f>
        <v>✓</v>
      </c>
      <c r="F1338" s="4" t="n">
        <v>2</v>
      </c>
      <c r="G1338" s="4" t="n">
        <f aca="false">IF(COUNTIF('Letterboxd Watched'!$E$2:$E$3000,M1338)&gt;0,1,0)</f>
        <v>1</v>
      </c>
      <c r="H1338" s="4" t="n">
        <v>4</v>
      </c>
      <c r="I1338" s="4" t="s">
        <v>213</v>
      </c>
      <c r="J1338" s="4" t="s">
        <v>52</v>
      </c>
      <c r="K1338" s="4" t="s">
        <v>5571</v>
      </c>
      <c r="L1338" s="48" t="str">
        <f aca="false">HYPERLINK("https://boxd.it/icFU","open")</f>
        <v>open</v>
      </c>
      <c r="M1338" s="4" t="str">
        <f aca="false">LOWER(A1338)&amp;"|"&amp;B1338</f>
        <v>the lighthouse|2019</v>
      </c>
      <c r="N1338" s="4" t="n">
        <v>0</v>
      </c>
      <c r="O1338" s="4" t="n">
        <v>0</v>
      </c>
      <c r="P1338" s="4" t="n">
        <v>0</v>
      </c>
      <c r="Q1338" s="4" t="n">
        <v>1</v>
      </c>
      <c r="R1338" s="4" t="n">
        <v>0</v>
      </c>
      <c r="S1338" s="4" t="n">
        <v>0</v>
      </c>
      <c r="T1338" s="4" t="n">
        <v>1</v>
      </c>
      <c r="U1338" s="4" t="n">
        <v>0</v>
      </c>
      <c r="V1338" s="4" t="n">
        <v>0</v>
      </c>
      <c r="W1338" s="4" t="n">
        <v>0</v>
      </c>
    </row>
    <row r="1339" customFormat="false" ht="15" hidden="false" customHeight="false" outlineLevel="0" collapsed="false">
      <c r="A1339" s="4" t="s">
        <v>1204</v>
      </c>
      <c r="B1339" s="4" t="n">
        <v>2013</v>
      </c>
      <c r="C1339" s="4" t="str">
        <f aca="false">FLOOR(B1339,10)&amp;"s"</f>
        <v>2010s</v>
      </c>
      <c r="D1339" s="4" t="s">
        <v>1205</v>
      </c>
      <c r="E1339" s="25" t="str">
        <f aca="false">IF(G1339=1,"✓","")</f>
        <v/>
      </c>
      <c r="F1339" s="4" t="n">
        <v>2</v>
      </c>
      <c r="G1339" s="4" t="n">
        <f aca="false">IF(COUNTIF('Letterboxd Watched'!$E$2:$E$3000,M1339)&gt;0,1,0)</f>
        <v>0</v>
      </c>
      <c r="H1339" s="4" t="n">
        <v>4</v>
      </c>
      <c r="I1339" s="4" t="s">
        <v>213</v>
      </c>
      <c r="J1339" s="4" t="s">
        <v>51</v>
      </c>
      <c r="K1339" s="4" t="s">
        <v>5572</v>
      </c>
      <c r="L1339" s="48" t="str">
        <f aca="false">HYPERLINK("https://boxd.it/5rQs","open")</f>
        <v>open</v>
      </c>
      <c r="M1339" s="4" t="str">
        <f aca="false">LOWER(A1339)&amp;"|"&amp;B1339</f>
        <v>like father, like son|2013</v>
      </c>
      <c r="N1339" s="4" t="n">
        <v>0</v>
      </c>
      <c r="O1339" s="4" t="n">
        <v>0</v>
      </c>
      <c r="P1339" s="4" t="n">
        <v>1</v>
      </c>
      <c r="Q1339" s="4" t="n">
        <v>0</v>
      </c>
      <c r="R1339" s="4" t="n">
        <v>0</v>
      </c>
      <c r="S1339" s="4" t="n">
        <v>0</v>
      </c>
      <c r="T1339" s="4" t="n">
        <v>1</v>
      </c>
      <c r="U1339" s="4" t="n">
        <v>0</v>
      </c>
      <c r="V1339" s="4" t="n">
        <v>0</v>
      </c>
      <c r="W1339" s="4" t="n">
        <v>0</v>
      </c>
    </row>
    <row r="1340" customFormat="false" ht="15" hidden="false" customHeight="false" outlineLevel="0" collapsed="false">
      <c r="A1340" s="4" t="s">
        <v>3005</v>
      </c>
      <c r="B1340" s="4" t="n">
        <v>2012</v>
      </c>
      <c r="C1340" s="4" t="str">
        <f aca="false">FLOOR(B1340,10)&amp;"s"</f>
        <v>2010s</v>
      </c>
      <c r="D1340" s="4" t="s">
        <v>203</v>
      </c>
      <c r="E1340" s="25" t="str">
        <f aca="false">IF(G1340=1,"✓","")</f>
        <v/>
      </c>
      <c r="F1340" s="4" t="n">
        <v>1</v>
      </c>
      <c r="G1340" s="4" t="n">
        <f aca="false">IF(COUNTIF('Letterboxd Watched'!$E$2:$E$3000,M1340)&gt;0,1,0)</f>
        <v>0</v>
      </c>
      <c r="H1340" s="4" t="n">
        <v>2</v>
      </c>
      <c r="I1340" s="4" t="s">
        <v>213</v>
      </c>
      <c r="J1340" s="4" t="s">
        <v>53</v>
      </c>
      <c r="K1340" s="4" t="s">
        <v>203</v>
      </c>
      <c r="L1340" s="48" t="str">
        <f aca="false">HYPERLINK("https://boxd.it/3tOu","open")</f>
        <v>open</v>
      </c>
      <c r="M1340" s="4" t="str">
        <f aca="false">LOWER(A1340)&amp;"|"&amp;B1340</f>
        <v>like someone in love|2012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1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</row>
    <row r="1341" customFormat="false" ht="15" hidden="false" customHeight="false" outlineLevel="0" collapsed="false">
      <c r="A1341" s="4" t="s">
        <v>2558</v>
      </c>
      <c r="B1341" s="4" t="n">
        <v>1992</v>
      </c>
      <c r="C1341" s="4" t="str">
        <f aca="false">FLOOR(B1341,10)&amp;"s"</f>
        <v>1990s</v>
      </c>
      <c r="D1341" s="4" t="s">
        <v>2559</v>
      </c>
      <c r="E1341" s="25" t="str">
        <f aca="false">IF(G1341=1,"✓","")</f>
        <v/>
      </c>
      <c r="F1341" s="4" t="n">
        <v>1</v>
      </c>
      <c r="G1341" s="4" t="n">
        <f aca="false">IF(COUNTIF('Letterboxd Watched'!$E$2:$E$3000,M1341)&gt;0,1,0)</f>
        <v>0</v>
      </c>
      <c r="H1341" s="4" t="n">
        <v>2</v>
      </c>
      <c r="I1341" s="4" t="s">
        <v>213</v>
      </c>
      <c r="J1341" s="4" t="s">
        <v>55</v>
      </c>
      <c r="K1341" s="4" t="s">
        <v>4368</v>
      </c>
      <c r="L1341" s="48" t="str">
        <f aca="false">HYPERLINK("https://boxd.it/1Hq8","open")</f>
        <v>open</v>
      </c>
      <c r="M1341" s="4" t="str">
        <f aca="false">LOWER(A1341)&amp;"|"&amp;B1341</f>
        <v>like water for chocolate|1992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1</v>
      </c>
      <c r="U1341" s="4" t="n">
        <v>0</v>
      </c>
      <c r="V1341" s="4" t="n">
        <v>0</v>
      </c>
      <c r="W1341" s="4" t="n">
        <v>0</v>
      </c>
    </row>
    <row r="1342" customFormat="false" ht="15" hidden="false" customHeight="false" outlineLevel="0" collapsed="false">
      <c r="A1342" s="4" t="s">
        <v>1392</v>
      </c>
      <c r="B1342" s="4" t="n">
        <v>1999</v>
      </c>
      <c r="C1342" s="4" t="str">
        <f aca="false">FLOOR(B1342,10)&amp;"s"</f>
        <v>1990s</v>
      </c>
      <c r="D1342" s="4" t="s">
        <v>490</v>
      </c>
      <c r="E1342" s="25" t="str">
        <f aca="false">IF(G1342=1,"✓","")</f>
        <v>✓</v>
      </c>
      <c r="F1342" s="4" t="n">
        <v>2</v>
      </c>
      <c r="G1342" s="4" t="n">
        <f aca="false">IF(COUNTIF('Letterboxd Watched'!$E$2:$E$3000,M1342)&gt;0,1,0)</f>
        <v>1</v>
      </c>
      <c r="H1342" s="4" t="n">
        <v>3</v>
      </c>
      <c r="I1342" s="4" t="s">
        <v>213</v>
      </c>
      <c r="J1342" s="4" t="s">
        <v>49</v>
      </c>
      <c r="K1342" s="4" t="s">
        <v>5573</v>
      </c>
      <c r="L1342" s="48" t="str">
        <f aca="false">HYPERLINK("https://boxd.it/1Woc","open")</f>
        <v>open</v>
      </c>
      <c r="M1342" s="4" t="str">
        <f aca="false">LOWER(A1342)&amp;"|"&amp;B1342</f>
        <v>the limey|1999</v>
      </c>
      <c r="N1342" s="4" t="n">
        <v>1</v>
      </c>
      <c r="O1342" s="4" t="n">
        <v>0</v>
      </c>
      <c r="P1342" s="4" t="n">
        <v>0</v>
      </c>
      <c r="Q1342" s="4" t="n">
        <v>0</v>
      </c>
      <c r="R1342" s="4" t="n">
        <v>1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</row>
    <row r="1343" customFormat="false" ht="15" hidden="false" customHeight="false" outlineLevel="0" collapsed="false">
      <c r="A1343" s="4" t="s">
        <v>1300</v>
      </c>
      <c r="B1343" s="4" t="n">
        <v>1931</v>
      </c>
      <c r="C1343" s="4" t="str">
        <f aca="false">FLOOR(B1343,10)&amp;"s"</f>
        <v>1930s</v>
      </c>
      <c r="D1343" s="4" t="s">
        <v>1301</v>
      </c>
      <c r="E1343" s="25" t="str">
        <f aca="false">IF(G1343=1,"✓","")</f>
        <v/>
      </c>
      <c r="F1343" s="4" t="n">
        <v>2</v>
      </c>
      <c r="G1343" s="4" t="n">
        <f aca="false">IF(COUNTIF('Letterboxd Watched'!$E$2:$E$3000,M1343)&gt;0,1,0)</f>
        <v>0</v>
      </c>
      <c r="H1343" s="4" t="n">
        <v>3</v>
      </c>
      <c r="I1343" s="4" t="s">
        <v>213</v>
      </c>
      <c r="J1343" s="4" t="s">
        <v>51</v>
      </c>
      <c r="K1343" s="4" t="s">
        <v>5574</v>
      </c>
      <c r="L1343" s="48" t="str">
        <f aca="false">HYPERLINK("https://letterboxd.com/search/films/Limite+1931/","open")</f>
        <v>open</v>
      </c>
      <c r="M1343" s="4" t="str">
        <f aca="false">LOWER(A1343)&amp;"|"&amp;B1343</f>
        <v>limite|1931</v>
      </c>
      <c r="N1343" s="4" t="n">
        <v>0</v>
      </c>
      <c r="O1343" s="4" t="n">
        <v>0</v>
      </c>
      <c r="P1343" s="4" t="n">
        <v>1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1</v>
      </c>
      <c r="W1343" s="4" t="n">
        <v>0</v>
      </c>
    </row>
    <row r="1344" customFormat="false" ht="15" hidden="false" customHeight="false" outlineLevel="0" collapsed="false">
      <c r="A1344" s="4" t="s">
        <v>554</v>
      </c>
      <c r="B1344" s="4" t="n">
        <v>2012</v>
      </c>
      <c r="C1344" s="4" t="str">
        <f aca="false">FLOOR(B1344,10)&amp;"s"</f>
        <v>2010s</v>
      </c>
      <c r="D1344" s="4" t="s">
        <v>183</v>
      </c>
      <c r="E1344" s="25" t="str">
        <f aca="false">IF(G1344=1,"✓","")</f>
        <v/>
      </c>
      <c r="F1344" s="4" t="n">
        <v>3</v>
      </c>
      <c r="G1344" s="4" t="n">
        <f aca="false">IF(COUNTIF('Letterboxd Watched'!$E$2:$E$3000,M1344)&gt;0,1,0)</f>
        <v>0</v>
      </c>
      <c r="H1344" s="4" t="n">
        <v>7</v>
      </c>
      <c r="I1344" s="4" t="s">
        <v>144</v>
      </c>
      <c r="J1344" s="4" t="s">
        <v>53</v>
      </c>
      <c r="K1344" s="4" t="s">
        <v>5575</v>
      </c>
      <c r="L1344" s="48" t="str">
        <f aca="false">HYPERLINK("https://boxd.it/2n2s","open")</f>
        <v>open</v>
      </c>
      <c r="M1344" s="4" t="str">
        <f aca="false">LOWER(A1344)&amp;"|"&amp;B1344</f>
        <v>lincoln|2012</v>
      </c>
      <c r="N1344" s="4" t="n">
        <v>0</v>
      </c>
      <c r="O1344" s="4" t="n">
        <v>0</v>
      </c>
      <c r="P1344" s="4" t="n">
        <v>0</v>
      </c>
      <c r="Q1344" s="4" t="n">
        <v>0</v>
      </c>
      <c r="R1344" s="4" t="n">
        <v>1</v>
      </c>
      <c r="S1344" s="4" t="n">
        <v>0</v>
      </c>
      <c r="T1344" s="4" t="n">
        <v>1</v>
      </c>
      <c r="U1344" s="4" t="n">
        <v>0</v>
      </c>
      <c r="V1344" s="4" t="n">
        <v>0</v>
      </c>
      <c r="W1344" s="4" t="n">
        <v>0</v>
      </c>
    </row>
    <row r="1345" customFormat="false" ht="15" hidden="false" customHeight="false" outlineLevel="0" collapsed="false">
      <c r="A1345" s="4" t="s">
        <v>2586</v>
      </c>
      <c r="B1345" s="4" t="n">
        <v>1994</v>
      </c>
      <c r="C1345" s="4" t="str">
        <f aca="false">FLOOR(B1345,10)&amp;"s"</f>
        <v>1990s</v>
      </c>
      <c r="D1345" s="4" t="s">
        <v>2587</v>
      </c>
      <c r="E1345" s="25" t="str">
        <f aca="false">IF(G1345=1,"✓","")</f>
        <v/>
      </c>
      <c r="F1345" s="4" t="n">
        <v>1</v>
      </c>
      <c r="G1345" s="4" t="n">
        <f aca="false">IF(COUNTIF('Letterboxd Watched'!$E$2:$E$3000,M1345)&gt;0,1,0)</f>
        <v>0</v>
      </c>
      <c r="H1345" s="4" t="n">
        <v>2</v>
      </c>
      <c r="I1345" s="4" t="s">
        <v>213</v>
      </c>
      <c r="J1345" s="4" t="s">
        <v>52</v>
      </c>
      <c r="K1345" s="4" t="s">
        <v>4162</v>
      </c>
      <c r="L1345" s="48" t="str">
        <f aca="false">HYPERLINK("https://boxd.it/201Q","open")</f>
        <v>open</v>
      </c>
      <c r="M1345" s="4" t="str">
        <f aca="false">LOWER(A1345)&amp;"|"&amp;B1345</f>
        <v>the lion king|1994</v>
      </c>
      <c r="N1345" s="4" t="n">
        <v>0</v>
      </c>
      <c r="O1345" s="4" t="n">
        <v>0</v>
      </c>
      <c r="P1345" s="4" t="n">
        <v>0</v>
      </c>
      <c r="Q1345" s="4" t="n">
        <v>1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 customFormat="false" ht="15" hidden="false" customHeight="false" outlineLevel="0" collapsed="false">
      <c r="A1346" s="4" t="s">
        <v>2375</v>
      </c>
      <c r="B1346" s="4" t="n">
        <v>1982</v>
      </c>
      <c r="C1346" s="4" t="str">
        <f aca="false">FLOOR(B1346,10)&amp;"s"</f>
        <v>1980s</v>
      </c>
      <c r="D1346" s="4" t="s">
        <v>2376</v>
      </c>
      <c r="E1346" s="25" t="str">
        <f aca="false">IF(G1346=1,"✓","")</f>
        <v/>
      </c>
      <c r="F1346" s="4" t="n">
        <v>1</v>
      </c>
      <c r="G1346" s="4" t="n">
        <f aca="false">IF(COUNTIF('Letterboxd Watched'!$E$2:$E$3000,M1346)&gt;0,1,0)</f>
        <v>0</v>
      </c>
      <c r="H1346" s="4" t="n">
        <v>2</v>
      </c>
      <c r="I1346" s="4" t="s">
        <v>213</v>
      </c>
      <c r="J1346" s="4" t="s">
        <v>56</v>
      </c>
      <c r="K1346" s="4" t="s">
        <v>4404</v>
      </c>
      <c r="L1346" s="48" t="str">
        <f aca="false">HYPERLINK("https://letterboxd.com/search/films/Liquid+Sky+1982/","open")</f>
        <v>open</v>
      </c>
      <c r="M1346" s="4" t="str">
        <f aca="false">LOWER(A1346)&amp;"|"&amp;B1346</f>
        <v>liquid sky|1982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1</v>
      </c>
      <c r="V1346" s="4" t="n">
        <v>0</v>
      </c>
      <c r="W1346" s="4" t="n">
        <v>0</v>
      </c>
    </row>
    <row r="1347" customFormat="false" ht="15" hidden="false" customHeight="false" outlineLevel="0" collapsed="false">
      <c r="A1347" s="4" t="s">
        <v>3509</v>
      </c>
      <c r="B1347" s="4" t="n">
        <v>1973</v>
      </c>
      <c r="C1347" s="4" t="str">
        <f aca="false">FLOOR(B1347,10)&amp;"s"</f>
        <v>1970s</v>
      </c>
      <c r="D1347" s="4" t="s">
        <v>761</v>
      </c>
      <c r="E1347" s="25" t="str">
        <f aca="false">IF(G1347=1,"✓","")</f>
        <v/>
      </c>
      <c r="F1347" s="4" t="n">
        <v>1</v>
      </c>
      <c r="G1347" s="4" t="n">
        <f aca="false">IF(COUNTIF('Letterboxd Watched'!$E$2:$E$3000,M1347)&gt;0,1,0)</f>
        <v>0</v>
      </c>
      <c r="H1347" s="4" t="n">
        <v>1</v>
      </c>
      <c r="I1347" s="4" t="s">
        <v>1327</v>
      </c>
      <c r="J1347" s="4" t="s">
        <v>51</v>
      </c>
      <c r="K1347" s="4" t="s">
        <v>3952</v>
      </c>
      <c r="L1347" s="48" t="str">
        <f aca="false">HYPERLINK("https://letterboxd.com/search/films/Lisa+and+the+Devil+1973/","open")</f>
        <v>open</v>
      </c>
      <c r="M1347" s="4" t="str">
        <f aca="false">LOWER(A1347)&amp;"|"&amp;B1347</f>
        <v>lisa and the devil|1973</v>
      </c>
      <c r="N1347" s="4" t="n">
        <v>0</v>
      </c>
      <c r="O1347" s="4" t="n">
        <v>0</v>
      </c>
      <c r="P1347" s="4" t="n">
        <v>1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</row>
    <row r="1348" customFormat="false" ht="15" hidden="false" customHeight="false" outlineLevel="0" collapsed="false">
      <c r="A1348" s="4" t="s">
        <v>1799</v>
      </c>
      <c r="B1348" s="4" t="n">
        <v>1942</v>
      </c>
      <c r="C1348" s="4" t="str">
        <f aca="false">FLOOR(B1348,10)&amp;"s"</f>
        <v>1940s</v>
      </c>
      <c r="D1348" s="4" t="s">
        <v>1800</v>
      </c>
      <c r="E1348" s="25" t="str">
        <f aca="false">IF(G1348=1,"✓","")</f>
        <v/>
      </c>
      <c r="F1348" s="4" t="n">
        <v>1</v>
      </c>
      <c r="G1348" s="4" t="n">
        <f aca="false">IF(COUNTIF('Letterboxd Watched'!$E$2:$E$3000,M1348)&gt;0,1,0)</f>
        <v>0</v>
      </c>
      <c r="H1348" s="4" t="n">
        <v>2</v>
      </c>
      <c r="I1348" s="4" t="s">
        <v>213</v>
      </c>
      <c r="J1348" s="4" t="s">
        <v>52</v>
      </c>
      <c r="K1348" s="4" t="s">
        <v>4170</v>
      </c>
      <c r="L1348" s="48" t="str">
        <f aca="false">HYPERLINK("https://letterboxd.com/search/films/Listen+to+Britain+1942/","open")</f>
        <v>open</v>
      </c>
      <c r="M1348" s="4" t="str">
        <f aca="false">LOWER(A1348)&amp;"|"&amp;B1348</f>
        <v>listen to britain|1942</v>
      </c>
      <c r="N1348" s="4" t="n">
        <v>0</v>
      </c>
      <c r="O1348" s="4" t="n">
        <v>0</v>
      </c>
      <c r="P1348" s="4" t="n">
        <v>0</v>
      </c>
      <c r="Q1348" s="4" t="n">
        <v>1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</row>
    <row r="1349" customFormat="false" ht="15" hidden="false" customHeight="false" outlineLevel="0" collapsed="false">
      <c r="A1349" s="4" t="s">
        <v>2154</v>
      </c>
      <c r="B1349" s="4" t="n">
        <v>1970</v>
      </c>
      <c r="C1349" s="4" t="str">
        <f aca="false">FLOOR(B1349,10)&amp;"s"</f>
        <v>1970s</v>
      </c>
      <c r="D1349" s="4" t="s">
        <v>301</v>
      </c>
      <c r="E1349" s="25" t="str">
        <f aca="false">IF(G1349=1,"✓","")</f>
        <v/>
      </c>
      <c r="F1349" s="4" t="n">
        <v>1</v>
      </c>
      <c r="G1349" s="4" t="n">
        <f aca="false">IF(COUNTIF('Letterboxd Watched'!$E$2:$E$3000,M1349)&gt;0,1,0)</f>
        <v>0</v>
      </c>
      <c r="H1349" s="4" t="n">
        <v>2</v>
      </c>
      <c r="I1349" s="4" t="s">
        <v>213</v>
      </c>
      <c r="J1349" s="4" t="s">
        <v>52</v>
      </c>
      <c r="K1349" s="4" t="s">
        <v>4052</v>
      </c>
      <c r="L1349" s="48" t="str">
        <f aca="false">HYPERLINK("https://boxd.it/1UN0","open")</f>
        <v>open</v>
      </c>
      <c r="M1349" s="4" t="str">
        <f aca="false">LOWER(A1349)&amp;"|"&amp;B1349</f>
        <v>little big man|1970</v>
      </c>
      <c r="N1349" s="4" t="n">
        <v>0</v>
      </c>
      <c r="O1349" s="4" t="n">
        <v>0</v>
      </c>
      <c r="P1349" s="4" t="n">
        <v>0</v>
      </c>
      <c r="Q1349" s="4" t="n">
        <v>1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</row>
    <row r="1350" customFormat="false" ht="15" hidden="false" customHeight="false" outlineLevel="0" collapsed="false">
      <c r="A1350" s="4" t="s">
        <v>1718</v>
      </c>
      <c r="B1350" s="4" t="n">
        <v>1931</v>
      </c>
      <c r="C1350" s="4" t="str">
        <f aca="false">FLOOR(B1350,10)&amp;"s"</f>
        <v>1930s</v>
      </c>
      <c r="D1350" s="4" t="s">
        <v>909</v>
      </c>
      <c r="E1350" s="25" t="str">
        <f aca="false">IF(G1350=1,"✓","")</f>
        <v/>
      </c>
      <c r="F1350" s="4" t="n">
        <v>1</v>
      </c>
      <c r="G1350" s="4" t="n">
        <f aca="false">IF(COUNTIF('Letterboxd Watched'!$E$2:$E$3000,M1350)&gt;0,1,0)</f>
        <v>0</v>
      </c>
      <c r="H1350" s="4" t="n">
        <v>2</v>
      </c>
      <c r="I1350" s="4" t="s">
        <v>213</v>
      </c>
      <c r="J1350" s="4" t="s">
        <v>52</v>
      </c>
      <c r="K1350" s="4" t="s">
        <v>4116</v>
      </c>
      <c r="L1350" s="48" t="str">
        <f aca="false">HYPERLINK("https://boxd.it/1qIu","open")</f>
        <v>open</v>
      </c>
      <c r="M1350" s="4" t="str">
        <f aca="false">LOWER(A1350)&amp;"|"&amp;B1350</f>
        <v>little caesar|1931</v>
      </c>
      <c r="N1350" s="4" t="n">
        <v>0</v>
      </c>
      <c r="O1350" s="4" t="n">
        <v>0</v>
      </c>
      <c r="P1350" s="4" t="n">
        <v>0</v>
      </c>
      <c r="Q1350" s="4" t="n">
        <v>1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</row>
    <row r="1351" customFormat="false" ht="15" hidden="false" customHeight="false" outlineLevel="0" collapsed="false">
      <c r="A1351" s="4" t="s">
        <v>2675</v>
      </c>
      <c r="B1351" s="4" t="n">
        <v>1997</v>
      </c>
      <c r="C1351" s="4" t="str">
        <f aca="false">FLOOR(B1351,10)&amp;"s"</f>
        <v>1990s</v>
      </c>
      <c r="D1351" s="4" t="s">
        <v>292</v>
      </c>
      <c r="E1351" s="25" t="str">
        <f aca="false">IF(G1351=1,"✓","")</f>
        <v/>
      </c>
      <c r="F1351" s="4" t="n">
        <v>1</v>
      </c>
      <c r="G1351" s="4" t="n">
        <f aca="false">IF(COUNTIF('Letterboxd Watched'!$E$2:$E$3000,M1351)&gt;0,1,0)</f>
        <v>0</v>
      </c>
      <c r="H1351" s="4" t="n">
        <v>2</v>
      </c>
      <c r="I1351" s="4" t="s">
        <v>213</v>
      </c>
      <c r="J1351" s="4" t="s">
        <v>53</v>
      </c>
      <c r="K1351" s="4" t="s">
        <v>292</v>
      </c>
      <c r="L1351" s="48" t="str">
        <f aca="false">HYPERLINK("https://boxd.it/lpg","open")</f>
        <v>open</v>
      </c>
      <c r="M1351" s="4" t="str">
        <f aca="false">LOWER(A1351)&amp;"|"&amp;B1351</f>
        <v>little dieter needs to fly|1997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1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 customFormat="false" ht="15" hidden="false" customHeight="false" outlineLevel="0" collapsed="false">
      <c r="A1352" s="4" t="s">
        <v>3373</v>
      </c>
      <c r="B1352" s="4" t="n">
        <v>1953</v>
      </c>
      <c r="C1352" s="4" t="str">
        <f aca="false">FLOOR(B1352,10)&amp;"s"</f>
        <v>1950s</v>
      </c>
      <c r="D1352" s="4" t="s">
        <v>3374</v>
      </c>
      <c r="E1352" s="25" t="str">
        <f aca="false">IF(G1352=1,"✓","")</f>
        <v/>
      </c>
      <c r="F1352" s="4" t="n">
        <v>1</v>
      </c>
      <c r="G1352" s="4" t="n">
        <f aca="false">IF(COUNTIF('Letterboxd Watched'!$E$2:$E$3000,M1352)&gt;0,1,0)</f>
        <v>0</v>
      </c>
      <c r="H1352" s="4" t="n">
        <v>1</v>
      </c>
      <c r="I1352" s="4" t="s">
        <v>1327</v>
      </c>
      <c r="J1352" s="4" t="s">
        <v>55</v>
      </c>
      <c r="K1352" s="4" t="s">
        <v>4356</v>
      </c>
      <c r="L1352" s="48" t="str">
        <f aca="false">HYPERLINK("https://boxd.it/ywO","open")</f>
        <v>open</v>
      </c>
      <c r="M1352" s="4" t="str">
        <f aca="false">LOWER(A1352)&amp;"|"&amp;B1352</f>
        <v>little fugitive|1953</v>
      </c>
      <c r="N1352" s="4" t="n">
        <v>0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1</v>
      </c>
      <c r="U1352" s="4" t="n">
        <v>0</v>
      </c>
      <c r="V1352" s="4" t="n">
        <v>0</v>
      </c>
      <c r="W1352" s="4" t="n">
        <v>0</v>
      </c>
    </row>
    <row r="1353" customFormat="false" ht="15" hidden="false" customHeight="false" outlineLevel="0" collapsed="false">
      <c r="A1353" s="4" t="s">
        <v>2496</v>
      </c>
      <c r="B1353" s="4" t="n">
        <v>1989</v>
      </c>
      <c r="C1353" s="4" t="str">
        <f aca="false">FLOOR(B1353,10)&amp;"s"</f>
        <v>1980s</v>
      </c>
      <c r="D1353" s="4" t="s">
        <v>2497</v>
      </c>
      <c r="E1353" s="25" t="str">
        <f aca="false">IF(G1353=1,"✓","")</f>
        <v/>
      </c>
      <c r="F1353" s="4" t="n">
        <v>1</v>
      </c>
      <c r="G1353" s="4" t="n">
        <f aca="false">IF(COUNTIF('Letterboxd Watched'!$E$2:$E$3000,M1353)&gt;0,1,0)</f>
        <v>0</v>
      </c>
      <c r="H1353" s="4" t="n">
        <v>2</v>
      </c>
      <c r="I1353" s="4" t="s">
        <v>213</v>
      </c>
      <c r="J1353" s="4" t="s">
        <v>52</v>
      </c>
      <c r="K1353" s="4" t="s">
        <v>4162</v>
      </c>
      <c r="L1353" s="48" t="str">
        <f aca="false">HYPERLINK("https://boxd.it/1WYO","open")</f>
        <v>open</v>
      </c>
      <c r="M1353" s="4" t="str">
        <f aca="false">LOWER(A1353)&amp;"|"&amp;B1353</f>
        <v>the little mermaid|1989</v>
      </c>
      <c r="N1353" s="4" t="n">
        <v>0</v>
      </c>
      <c r="O1353" s="4" t="n">
        <v>0</v>
      </c>
      <c r="P1353" s="4" t="n">
        <v>0</v>
      </c>
      <c r="Q1353" s="4" t="n">
        <v>1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 customFormat="false" ht="15" hidden="false" customHeight="false" outlineLevel="0" collapsed="false">
      <c r="A1354" s="4" t="s">
        <v>2865</v>
      </c>
      <c r="B1354" s="4" t="n">
        <v>2006</v>
      </c>
      <c r="C1354" s="4" t="str">
        <f aca="false">FLOOR(B1354,10)&amp;"s"</f>
        <v>2000s</v>
      </c>
      <c r="D1354" s="4" t="s">
        <v>2866</v>
      </c>
      <c r="E1354" s="25" t="str">
        <f aca="false">IF(G1354=1,"✓","")</f>
        <v>✓</v>
      </c>
      <c r="F1354" s="4" t="n">
        <v>1</v>
      </c>
      <c r="G1354" s="4" t="n">
        <f aca="false">IF(COUNTIF('Letterboxd Watched'!$E$2:$E$3000,M1354)&gt;0,1,0)</f>
        <v>1</v>
      </c>
      <c r="H1354" s="4" t="n">
        <v>2</v>
      </c>
      <c r="I1354" s="4" t="s">
        <v>213</v>
      </c>
      <c r="J1354" s="4" t="s">
        <v>55</v>
      </c>
      <c r="K1354" s="4" t="s">
        <v>4354</v>
      </c>
      <c r="L1354" s="48" t="str">
        <f aca="false">HYPERLINK("https://boxd.it/29EW","open")</f>
        <v>open</v>
      </c>
      <c r="M1354" s="4" t="str">
        <f aca="false">LOWER(A1354)&amp;"|"&amp;B1354</f>
        <v>little miss sunshine|2006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1</v>
      </c>
      <c r="U1354" s="4" t="n">
        <v>0</v>
      </c>
      <c r="V1354" s="4" t="n">
        <v>0</v>
      </c>
      <c r="W1354" s="4" t="n">
        <v>0</v>
      </c>
    </row>
    <row r="1355" customFormat="false" ht="15" hidden="false" customHeight="false" outlineLevel="0" collapsed="false">
      <c r="A1355" s="4" t="s">
        <v>3408</v>
      </c>
      <c r="B1355" s="4" t="n">
        <v>1960</v>
      </c>
      <c r="C1355" s="4" t="str">
        <f aca="false">FLOOR(B1355,10)&amp;"s"</f>
        <v>1960s</v>
      </c>
      <c r="D1355" s="4" t="s">
        <v>2055</v>
      </c>
      <c r="E1355" s="25" t="str">
        <f aca="false">IF(G1355=1,"✓","")</f>
        <v/>
      </c>
      <c r="F1355" s="4" t="n">
        <v>1</v>
      </c>
      <c r="G1355" s="4" t="n">
        <f aca="false">IF(COUNTIF('Letterboxd Watched'!$E$2:$E$3000,M1355)&gt;0,1,0)</f>
        <v>0</v>
      </c>
      <c r="H1355" s="4" t="n">
        <v>1</v>
      </c>
      <c r="I1355" s="4" t="s">
        <v>1327</v>
      </c>
      <c r="J1355" s="4" t="s">
        <v>54</v>
      </c>
      <c r="K1355" s="4" t="s">
        <v>4308</v>
      </c>
      <c r="L1355" s="48" t="str">
        <f aca="false">HYPERLINK("https://boxd.it/1xDm","open")</f>
        <v>open</v>
      </c>
      <c r="M1355" s="4" t="str">
        <f aca="false">LOWER(A1355)&amp;"|"&amp;B1355</f>
        <v>the little shop of horrors|1960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1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 customFormat="false" ht="15" hidden="false" customHeight="false" outlineLevel="0" collapsed="false">
      <c r="A1356" s="4" t="s">
        <v>2433</v>
      </c>
      <c r="B1356" s="4" t="n">
        <v>1986</v>
      </c>
      <c r="C1356" s="4" t="str">
        <f aca="false">FLOOR(B1356,10)&amp;"s"</f>
        <v>1980s</v>
      </c>
      <c r="D1356" s="4" t="s">
        <v>2434</v>
      </c>
      <c r="E1356" s="25" t="str">
        <f aca="false">IF(G1356=1,"✓","")</f>
        <v>✓</v>
      </c>
      <c r="F1356" s="4" t="n">
        <v>1</v>
      </c>
      <c r="G1356" s="4" t="n">
        <f aca="false">IF(COUNTIF('Letterboxd Watched'!$E$2:$E$3000,M1356)&gt;0,1,0)</f>
        <v>1</v>
      </c>
      <c r="H1356" s="4" t="n">
        <v>2</v>
      </c>
      <c r="I1356" s="4" t="s">
        <v>213</v>
      </c>
      <c r="J1356" s="4" t="s">
        <v>52</v>
      </c>
      <c r="K1356" s="4" t="s">
        <v>4112</v>
      </c>
      <c r="L1356" s="48" t="str">
        <f aca="false">HYPERLINK("https://boxd.it/1Vqm","open")</f>
        <v>open</v>
      </c>
      <c r="M1356" s="4" t="str">
        <f aca="false">LOWER(A1356)&amp;"|"&amp;B1356</f>
        <v>little shop of horrors|1986</v>
      </c>
      <c r="N1356" s="4" t="n">
        <v>0</v>
      </c>
      <c r="O1356" s="4" t="n">
        <v>0</v>
      </c>
      <c r="P1356" s="4" t="n">
        <v>0</v>
      </c>
      <c r="Q1356" s="4" t="n">
        <v>1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</row>
    <row r="1357" customFormat="false" ht="15" hidden="false" customHeight="false" outlineLevel="0" collapsed="false">
      <c r="A1357" s="4" t="s">
        <v>3185</v>
      </c>
      <c r="B1357" s="4" t="n">
        <v>2019</v>
      </c>
      <c r="C1357" s="4" t="str">
        <f aca="false">FLOOR(B1357,10)&amp;"s"</f>
        <v>2010s</v>
      </c>
      <c r="D1357" s="4" t="s">
        <v>1240</v>
      </c>
      <c r="E1357" s="25" t="str">
        <f aca="false">IF(G1357=1,"✓","")</f>
        <v>✓</v>
      </c>
      <c r="F1357" s="4" t="n">
        <v>1</v>
      </c>
      <c r="G1357" s="4" t="n">
        <f aca="false">IF(COUNTIF('Letterboxd Watched'!$E$2:$E$3000,M1357)&gt;0,1,0)</f>
        <v>1</v>
      </c>
      <c r="H1357" s="4" t="n">
        <v>2</v>
      </c>
      <c r="I1357" s="4" t="s">
        <v>213</v>
      </c>
      <c r="J1357" s="4" t="s">
        <v>56</v>
      </c>
      <c r="K1357" s="4" t="s">
        <v>4418</v>
      </c>
      <c r="L1357" s="48" t="str">
        <f aca="false">HYPERLINK("https://boxd.it/aSVk","open")</f>
        <v>open</v>
      </c>
      <c r="M1357" s="4" t="str">
        <f aca="false">LOWER(A1357)&amp;"|"&amp;B1357</f>
        <v>little women|2019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1</v>
      </c>
      <c r="V1357" s="4" t="n">
        <v>0</v>
      </c>
      <c r="W1357" s="4" t="n">
        <v>0</v>
      </c>
    </row>
    <row r="1358" customFormat="false" ht="15" hidden="false" customHeight="false" outlineLevel="0" collapsed="false">
      <c r="A1358" s="4" t="s">
        <v>2676</v>
      </c>
      <c r="B1358" s="4" t="n">
        <v>1997</v>
      </c>
      <c r="C1358" s="4" t="str">
        <f aca="false">FLOOR(B1358,10)&amp;"s"</f>
        <v>1990s</v>
      </c>
      <c r="D1358" s="4" t="s">
        <v>1087</v>
      </c>
      <c r="E1358" s="25" t="str">
        <f aca="false">IF(G1358=1,"✓","")</f>
        <v/>
      </c>
      <c r="F1358" s="4" t="n">
        <v>1</v>
      </c>
      <c r="G1358" s="4" t="n">
        <f aca="false">IF(COUNTIF('Letterboxd Watched'!$E$2:$E$3000,M1358)&gt;0,1,0)</f>
        <v>0</v>
      </c>
      <c r="H1358" s="4" t="n">
        <v>2</v>
      </c>
      <c r="I1358" s="4" t="s">
        <v>213</v>
      </c>
      <c r="J1358" s="4" t="s">
        <v>53</v>
      </c>
      <c r="K1358" s="4" t="s">
        <v>1087</v>
      </c>
      <c r="L1358" s="48" t="str">
        <f aca="false">HYPERLINK("https://boxd.it/2aJ4","open")</f>
        <v>open</v>
      </c>
      <c r="M1358" s="4" t="str">
        <f aca="false">LOWER(A1358)&amp;"|"&amp;B1358</f>
        <v>live flesh|1997</v>
      </c>
      <c r="N1358" s="4" t="n">
        <v>0</v>
      </c>
      <c r="O1358" s="4" t="n">
        <v>0</v>
      </c>
      <c r="P1358" s="4" t="n">
        <v>0</v>
      </c>
      <c r="Q1358" s="4" t="n">
        <v>0</v>
      </c>
      <c r="R1358" s="4" t="n">
        <v>1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</row>
    <row r="1359" customFormat="false" ht="15" hidden="false" customHeight="false" outlineLevel="0" collapsed="false">
      <c r="A1359" s="4" t="s">
        <v>1594</v>
      </c>
      <c r="B1359" s="4" t="n">
        <v>2006</v>
      </c>
      <c r="C1359" s="4" t="str">
        <f aca="false">FLOOR(B1359,10)&amp;"s"</f>
        <v>2000s</v>
      </c>
      <c r="D1359" s="4" t="s">
        <v>1595</v>
      </c>
      <c r="E1359" s="25" t="str">
        <f aca="false">IF(G1359=1,"✓","")</f>
        <v/>
      </c>
      <c r="F1359" s="4" t="n">
        <v>1</v>
      </c>
      <c r="G1359" s="4" t="n">
        <f aca="false">IF(COUNTIF('Letterboxd Watched'!$E$2:$E$3000,M1359)&gt;0,1,0)</f>
        <v>0</v>
      </c>
      <c r="H1359" s="4" t="n">
        <v>3</v>
      </c>
      <c r="I1359" s="4" t="s">
        <v>144</v>
      </c>
      <c r="J1359" s="4" t="s">
        <v>51</v>
      </c>
      <c r="K1359" s="4" t="s">
        <v>3974</v>
      </c>
      <c r="L1359" s="48" t="str">
        <f aca="false">HYPERLINK("https://boxd.it/2a4A","open")</f>
        <v>open</v>
      </c>
      <c r="M1359" s="4" t="str">
        <f aca="false">LOWER(A1359)&amp;"|"&amp;B1359</f>
        <v>the lives of others|2006</v>
      </c>
      <c r="N1359" s="4" t="n">
        <v>0</v>
      </c>
      <c r="O1359" s="4" t="n">
        <v>0</v>
      </c>
      <c r="P1359" s="4" t="n">
        <v>1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</row>
    <row r="1360" customFormat="false" ht="15" hidden="false" customHeight="false" outlineLevel="0" collapsed="false">
      <c r="A1360" s="4" t="s">
        <v>3231</v>
      </c>
      <c r="B1360" s="4" t="n">
        <v>2022</v>
      </c>
      <c r="C1360" s="4" t="str">
        <f aca="false">FLOOR(B1360,10)&amp;"s"</f>
        <v>2020s</v>
      </c>
      <c r="D1360" s="4" t="s">
        <v>3232</v>
      </c>
      <c r="E1360" s="25" t="str">
        <f aca="false">IF(G1360=1,"✓","")</f>
        <v/>
      </c>
      <c r="F1360" s="4" t="n">
        <v>1</v>
      </c>
      <c r="G1360" s="4" t="n">
        <f aca="false">IF(COUNTIF('Letterboxd Watched'!$E$2:$E$3000,M1360)&gt;0,1,0)</f>
        <v>0</v>
      </c>
      <c r="H1360" s="4" t="n">
        <v>2</v>
      </c>
      <c r="I1360" s="4" t="s">
        <v>213</v>
      </c>
      <c r="J1360" s="4" t="s">
        <v>55</v>
      </c>
      <c r="K1360" s="4" t="s">
        <v>4350</v>
      </c>
      <c r="L1360" s="48" t="str">
        <f aca="false">HYPERLINK("https://boxd.it/syDQ","open")</f>
        <v>open</v>
      </c>
      <c r="M1360" s="4" t="str">
        <f aca="false">LOWER(A1360)&amp;"|"&amp;B1360</f>
        <v>living|2022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1</v>
      </c>
      <c r="U1360" s="4" t="n">
        <v>0</v>
      </c>
      <c r="V1360" s="4" t="n">
        <v>0</v>
      </c>
      <c r="W1360" s="4" t="n">
        <v>0</v>
      </c>
    </row>
    <row r="1361" customFormat="false" ht="15" hidden="false" customHeight="false" outlineLevel="0" collapsed="false">
      <c r="A1361" s="4" t="s">
        <v>2549</v>
      </c>
      <c r="B1361" s="4" t="n">
        <v>1992</v>
      </c>
      <c r="C1361" s="4" t="str">
        <f aca="false">FLOOR(B1361,10)&amp;"s"</f>
        <v>1990s</v>
      </c>
      <c r="D1361" s="4" t="s">
        <v>2550</v>
      </c>
      <c r="E1361" s="25" t="str">
        <f aca="false">IF(G1361=1,"✓","")</f>
        <v/>
      </c>
      <c r="F1361" s="4" t="n">
        <v>1</v>
      </c>
      <c r="G1361" s="4" t="n">
        <f aca="false">IF(COUNTIF('Letterboxd Watched'!$E$2:$E$3000,M1361)&gt;0,1,0)</f>
        <v>0</v>
      </c>
      <c r="H1361" s="4" t="n">
        <v>2</v>
      </c>
      <c r="I1361" s="4" t="s">
        <v>213</v>
      </c>
      <c r="J1361" s="4" t="s">
        <v>54</v>
      </c>
      <c r="K1361" s="4" t="s">
        <v>4298</v>
      </c>
      <c r="L1361" s="48" t="str">
        <f aca="false">HYPERLINK("https://boxd.it/1fRA","open")</f>
        <v>open</v>
      </c>
      <c r="M1361" s="4" t="str">
        <f aca="false">LOWER(A1361)&amp;"|"&amp;B1361</f>
        <v>the living end|1992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1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 customFormat="false" ht="15" hidden="false" customHeight="false" outlineLevel="0" collapsed="false">
      <c r="A1362" s="4" t="s">
        <v>2620</v>
      </c>
      <c r="B1362" s="4" t="n">
        <v>1995</v>
      </c>
      <c r="C1362" s="4" t="str">
        <f aca="false">FLOOR(B1362,10)&amp;"s"</f>
        <v>1990s</v>
      </c>
      <c r="D1362" s="4" t="s">
        <v>2621</v>
      </c>
      <c r="E1362" s="25" t="str">
        <f aca="false">IF(G1362=1,"✓","")</f>
        <v/>
      </c>
      <c r="F1362" s="4" t="n">
        <v>1</v>
      </c>
      <c r="G1362" s="4" t="n">
        <f aca="false">IF(COUNTIF('Letterboxd Watched'!$E$2:$E$3000,M1362)&gt;0,1,0)</f>
        <v>0</v>
      </c>
      <c r="H1362" s="4" t="n">
        <v>2</v>
      </c>
      <c r="I1362" s="4" t="s">
        <v>213</v>
      </c>
      <c r="J1362" s="4" t="s">
        <v>55</v>
      </c>
      <c r="K1362" s="4" t="s">
        <v>4370</v>
      </c>
      <c r="L1362" s="48" t="str">
        <f aca="false">HYPERLINK("https://boxd.it/1ZeO","open")</f>
        <v>open</v>
      </c>
      <c r="M1362" s="4" t="str">
        <f aca="false">LOWER(A1362)&amp;"|"&amp;B1362</f>
        <v>living in oblivion|1995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1</v>
      </c>
      <c r="U1362" s="4" t="n">
        <v>0</v>
      </c>
      <c r="V1362" s="4" t="n">
        <v>0</v>
      </c>
      <c r="W1362" s="4" t="n">
        <v>0</v>
      </c>
    </row>
    <row r="1363" customFormat="false" ht="15" hidden="false" customHeight="false" outlineLevel="0" collapsed="false">
      <c r="A1363" s="4" t="s">
        <v>873</v>
      </c>
      <c r="B1363" s="4" t="n">
        <v>2015</v>
      </c>
      <c r="C1363" s="4" t="str">
        <f aca="false">FLOOR(B1363,10)&amp;"s"</f>
        <v>2010s</v>
      </c>
      <c r="D1363" s="4" t="s">
        <v>874</v>
      </c>
      <c r="E1363" s="25" t="str">
        <f aca="false">IF(G1363=1,"✓","")</f>
        <v>✓</v>
      </c>
      <c r="F1363" s="4" t="n">
        <v>2</v>
      </c>
      <c r="G1363" s="4" t="n">
        <f aca="false">IF(COUNTIF('Letterboxd Watched'!$E$2:$E$3000,M1363)&gt;0,1,0)</f>
        <v>1</v>
      </c>
      <c r="H1363" s="4" t="n">
        <v>5</v>
      </c>
      <c r="I1363" s="4" t="s">
        <v>144</v>
      </c>
      <c r="J1363" s="4" t="s">
        <v>52</v>
      </c>
      <c r="K1363" s="4" t="s">
        <v>5576</v>
      </c>
      <c r="L1363" s="48" t="str">
        <f aca="false">HYPERLINK("https://boxd.it/7tnw","open")</f>
        <v>open</v>
      </c>
      <c r="M1363" s="4" t="str">
        <f aca="false">LOWER(A1363)&amp;"|"&amp;B1363</f>
        <v>the lobster|2015</v>
      </c>
      <c r="N1363" s="4" t="n">
        <v>0</v>
      </c>
      <c r="O1363" s="4" t="n">
        <v>0</v>
      </c>
      <c r="P1363" s="4" t="n">
        <v>0</v>
      </c>
      <c r="Q1363" s="4" t="n">
        <v>1</v>
      </c>
      <c r="R1363" s="4" t="n">
        <v>1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</row>
    <row r="1364" customFormat="false" ht="15" hidden="false" customHeight="false" outlineLevel="0" collapsed="false">
      <c r="A1364" s="4" t="s">
        <v>1063</v>
      </c>
      <c r="B1364" s="4" t="n">
        <v>1983</v>
      </c>
      <c r="C1364" s="4" t="str">
        <f aca="false">FLOOR(B1364,10)&amp;"s"</f>
        <v>1980s</v>
      </c>
      <c r="D1364" s="4" t="s">
        <v>1064</v>
      </c>
      <c r="E1364" s="25" t="str">
        <f aca="false">IF(G1364=1,"✓","")</f>
        <v/>
      </c>
      <c r="F1364" s="4" t="n">
        <v>2</v>
      </c>
      <c r="G1364" s="4" t="n">
        <f aca="false">IF(COUNTIF('Letterboxd Watched'!$E$2:$E$3000,M1364)&gt;0,1,0)</f>
        <v>0</v>
      </c>
      <c r="H1364" s="4" t="n">
        <v>4</v>
      </c>
      <c r="I1364" s="4" t="s">
        <v>213</v>
      </c>
      <c r="J1364" s="4" t="s">
        <v>56</v>
      </c>
      <c r="K1364" s="4" t="s">
        <v>5577</v>
      </c>
      <c r="L1364" s="48" t="str">
        <f aca="false">HYPERLINK("https://boxd.it/1Uiw","open")</f>
        <v>open</v>
      </c>
      <c r="M1364" s="4" t="str">
        <f aca="false">LOWER(A1364)&amp;"|"&amp;B1364</f>
        <v>local hero|1983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1</v>
      </c>
      <c r="V1364" s="4" t="n">
        <v>1</v>
      </c>
      <c r="W1364" s="4" t="n">
        <v>0</v>
      </c>
    </row>
    <row r="1365" customFormat="false" ht="15" hidden="false" customHeight="false" outlineLevel="0" collapsed="false">
      <c r="A1365" s="4" t="s">
        <v>3043</v>
      </c>
      <c r="B1365" s="4" t="n">
        <v>2013</v>
      </c>
      <c r="C1365" s="4" t="str">
        <f aca="false">FLOOR(B1365,10)&amp;"s"</f>
        <v>2010s</v>
      </c>
      <c r="D1365" s="4" t="s">
        <v>3044</v>
      </c>
      <c r="E1365" s="25" t="str">
        <f aca="false">IF(G1365=1,"✓","")</f>
        <v/>
      </c>
      <c r="F1365" s="4" t="n">
        <v>1</v>
      </c>
      <c r="G1365" s="4" t="n">
        <f aca="false">IF(COUNTIF('Letterboxd Watched'!$E$2:$E$3000,M1365)&gt;0,1,0)</f>
        <v>0</v>
      </c>
      <c r="H1365" s="4" t="n">
        <v>2</v>
      </c>
      <c r="I1365" s="4" t="s">
        <v>213</v>
      </c>
      <c r="J1365" s="4" t="s">
        <v>56</v>
      </c>
      <c r="K1365" s="4" t="s">
        <v>4378</v>
      </c>
      <c r="L1365" s="48" t="str">
        <f aca="false">HYPERLINK("https://boxd.it/6hHC","open")</f>
        <v>open</v>
      </c>
      <c r="M1365" s="4" t="str">
        <f aca="false">LOWER(A1365)&amp;"|"&amp;B1365</f>
        <v>locke|2013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1</v>
      </c>
      <c r="V1365" s="4" t="n">
        <v>0</v>
      </c>
      <c r="W1365" s="4" t="n">
        <v>0</v>
      </c>
    </row>
    <row r="1366" customFormat="false" ht="15" hidden="false" customHeight="false" outlineLevel="0" collapsed="false">
      <c r="A1366" s="4" t="s">
        <v>1693</v>
      </c>
      <c r="B1366" s="4" t="n">
        <v>1927</v>
      </c>
      <c r="C1366" s="4" t="str">
        <f aca="false">FLOOR(B1366,10)&amp;"s"</f>
        <v>1920s</v>
      </c>
      <c r="D1366" s="4" t="s">
        <v>162</v>
      </c>
      <c r="E1366" s="25" t="str">
        <f aca="false">IF(G1366=1,"✓","")</f>
        <v/>
      </c>
      <c r="F1366" s="4" t="n">
        <v>1</v>
      </c>
      <c r="G1366" s="4" t="n">
        <f aca="false">IF(COUNTIF('Letterboxd Watched'!$E$2:$E$3000,M1366)&gt;0,1,0)</f>
        <v>0</v>
      </c>
      <c r="H1366" s="4" t="n">
        <v>2</v>
      </c>
      <c r="I1366" s="4" t="s">
        <v>213</v>
      </c>
      <c r="J1366" s="4" t="s">
        <v>53</v>
      </c>
      <c r="K1366" s="4" t="s">
        <v>162</v>
      </c>
      <c r="L1366" s="48" t="str">
        <f aca="false">HYPERLINK("https://boxd.it/26m6","open")</f>
        <v>open</v>
      </c>
      <c r="M1366" s="4" t="str">
        <f aca="false">LOWER(A1366)&amp;"|"&amp;B1366</f>
        <v>the lodger: a story of the london fog|1927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1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</row>
    <row r="1367" customFormat="false" ht="15" hidden="false" customHeight="false" outlineLevel="0" collapsed="false">
      <c r="A1367" s="4" t="s">
        <v>1234</v>
      </c>
      <c r="B1367" s="4" t="n">
        <v>2017</v>
      </c>
      <c r="C1367" s="4" t="str">
        <f aca="false">FLOOR(B1367,10)&amp;"s"</f>
        <v>2010s</v>
      </c>
      <c r="D1367" s="4" t="s">
        <v>490</v>
      </c>
      <c r="E1367" s="25" t="str">
        <f aca="false">IF(G1367=1,"✓","")</f>
        <v>✓</v>
      </c>
      <c r="F1367" s="4" t="n">
        <v>2</v>
      </c>
      <c r="G1367" s="4" t="n">
        <f aca="false">IF(COUNTIF('Letterboxd Watched'!$E$2:$E$3000,M1367)&gt;0,1,0)</f>
        <v>1</v>
      </c>
      <c r="H1367" s="4" t="n">
        <v>4</v>
      </c>
      <c r="I1367" s="4" t="s">
        <v>213</v>
      </c>
      <c r="J1367" s="4" t="s">
        <v>52</v>
      </c>
      <c r="K1367" s="4" t="s">
        <v>5578</v>
      </c>
      <c r="L1367" s="48" t="str">
        <f aca="false">HYPERLINK("https://boxd.it/dZrs","open")</f>
        <v>open</v>
      </c>
      <c r="M1367" s="4" t="str">
        <f aca="false">LOWER(A1367)&amp;"|"&amp;B1367</f>
        <v>logan lucky|2017</v>
      </c>
      <c r="N1367" s="4" t="n">
        <v>0</v>
      </c>
      <c r="O1367" s="4" t="n">
        <v>0</v>
      </c>
      <c r="P1367" s="4" t="n">
        <v>0</v>
      </c>
      <c r="Q1367" s="4" t="n">
        <v>1</v>
      </c>
      <c r="R1367" s="4" t="n">
        <v>1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</row>
    <row r="1368" customFormat="false" ht="15" hidden="false" customHeight="false" outlineLevel="0" collapsed="false">
      <c r="A1368" s="4" t="s">
        <v>1324</v>
      </c>
      <c r="B1368" s="4" t="n">
        <v>1961</v>
      </c>
      <c r="C1368" s="4" t="str">
        <f aca="false">FLOOR(B1368,10)&amp;"s"</f>
        <v>1960s</v>
      </c>
      <c r="D1368" s="4" t="s">
        <v>777</v>
      </c>
      <c r="E1368" s="25" t="str">
        <f aca="false">IF(G1368=1,"✓","")</f>
        <v/>
      </c>
      <c r="F1368" s="4" t="n">
        <v>2</v>
      </c>
      <c r="G1368" s="4" t="n">
        <f aca="false">IF(COUNTIF('Letterboxd Watched'!$E$2:$E$3000,M1368)&gt;0,1,0)</f>
        <v>0</v>
      </c>
      <c r="H1368" s="4" t="n">
        <v>3</v>
      </c>
      <c r="I1368" s="4" t="s">
        <v>213</v>
      </c>
      <c r="J1368" s="4" t="s">
        <v>51</v>
      </c>
      <c r="K1368" s="4" t="s">
        <v>5579</v>
      </c>
      <c r="L1368" s="48" t="str">
        <f aca="false">HYPERLINK("https://letterboxd.com/search/films/Lola+1961/","open")</f>
        <v>open</v>
      </c>
      <c r="M1368" s="4" t="str">
        <f aca="false">LOWER(A1368)&amp;"|"&amp;B1368</f>
        <v>lola|1961</v>
      </c>
      <c r="N1368" s="4" t="n">
        <v>0</v>
      </c>
      <c r="O1368" s="4" t="n">
        <v>0</v>
      </c>
      <c r="P1368" s="4" t="n">
        <v>1</v>
      </c>
      <c r="Q1368" s="4" t="n">
        <v>1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</row>
    <row r="1369" customFormat="false" ht="15" hidden="false" customHeight="false" outlineLevel="0" collapsed="false">
      <c r="A1369" s="4" t="s">
        <v>1324</v>
      </c>
      <c r="B1369" s="4" t="n">
        <v>1981</v>
      </c>
      <c r="C1369" s="4" t="str">
        <f aca="false">FLOOR(B1369,10)&amp;"s"</f>
        <v>1980s</v>
      </c>
      <c r="D1369" s="4" t="s">
        <v>312</v>
      </c>
      <c r="E1369" s="25" t="str">
        <f aca="false">IF(G1369=1,"✓","")</f>
        <v/>
      </c>
      <c r="F1369" s="4" t="n">
        <v>1</v>
      </c>
      <c r="G1369" s="4" t="n">
        <f aca="false">IF(COUNTIF('Letterboxd Watched'!$E$2:$E$3000,M1369)&gt;0,1,0)</f>
        <v>0</v>
      </c>
      <c r="H1369" s="4" t="n">
        <v>2</v>
      </c>
      <c r="I1369" s="4" t="s">
        <v>213</v>
      </c>
      <c r="J1369" s="4" t="s">
        <v>53</v>
      </c>
      <c r="K1369" s="4" t="s">
        <v>312</v>
      </c>
      <c r="L1369" s="48" t="str">
        <f aca="false">HYPERLINK("https://boxd.it/273u","open")</f>
        <v>open</v>
      </c>
      <c r="M1369" s="4" t="str">
        <f aca="false">LOWER(A1369)&amp;"|"&amp;B1369</f>
        <v>lola|1981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1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</row>
    <row r="1370" customFormat="false" ht="15" hidden="false" customHeight="false" outlineLevel="0" collapsed="false">
      <c r="A1370" s="4" t="s">
        <v>2013</v>
      </c>
      <c r="B1370" s="4" t="n">
        <v>1962</v>
      </c>
      <c r="C1370" s="4" t="str">
        <f aca="false">FLOOR(B1370,10)&amp;"s"</f>
        <v>1960s</v>
      </c>
      <c r="D1370" s="4" t="s">
        <v>187</v>
      </c>
      <c r="E1370" s="25" t="str">
        <f aca="false">IF(G1370=1,"✓","")</f>
        <v/>
      </c>
      <c r="F1370" s="4" t="n">
        <v>1</v>
      </c>
      <c r="G1370" s="4" t="n">
        <f aca="false">IF(COUNTIF('Letterboxd Watched'!$E$2:$E$3000,M1370)&gt;0,1,0)</f>
        <v>0</v>
      </c>
      <c r="H1370" s="4" t="n">
        <v>2</v>
      </c>
      <c r="I1370" s="4" t="s">
        <v>213</v>
      </c>
      <c r="J1370" s="4" t="s">
        <v>53</v>
      </c>
      <c r="K1370" s="4" t="s">
        <v>187</v>
      </c>
      <c r="L1370" s="48" t="str">
        <f aca="false">HYPERLINK("https://boxd.it/29Ag","open")</f>
        <v>open</v>
      </c>
      <c r="M1370" s="4" t="str">
        <f aca="false">LOWER(A1370)&amp;"|"&amp;B1370</f>
        <v>lolita|1962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1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</row>
    <row r="1371" customFormat="false" ht="15" hidden="false" customHeight="false" outlineLevel="0" collapsed="false">
      <c r="A1371" s="4" t="s">
        <v>3680</v>
      </c>
      <c r="B1371" s="4" t="n">
        <v>1994</v>
      </c>
      <c r="C1371" s="4" t="str">
        <f aca="false">FLOOR(B1371,10)&amp;"s"</f>
        <v>1990s</v>
      </c>
      <c r="D1371" s="4" t="s">
        <v>3681</v>
      </c>
      <c r="E1371" s="25" t="str">
        <f aca="false">IF(G1371=1,"✓","")</f>
        <v/>
      </c>
      <c r="F1371" s="4" t="n">
        <v>1</v>
      </c>
      <c r="G1371" s="4" t="n">
        <f aca="false">IF(COUNTIF('Letterboxd Watched'!$E$2:$E$3000,M1371)&gt;0,1,0)</f>
        <v>0</v>
      </c>
      <c r="H1371" s="4" t="n">
        <v>1</v>
      </c>
      <c r="I1371" s="4" t="s">
        <v>1327</v>
      </c>
      <c r="J1371" s="4" t="s">
        <v>52</v>
      </c>
      <c r="K1371" s="4" t="s">
        <v>4184</v>
      </c>
      <c r="L1371" s="48" t="str">
        <f aca="false">HYPERLINK("https://letterboxd.com/search/films/London+1994/","open")</f>
        <v>open</v>
      </c>
      <c r="M1371" s="4" t="str">
        <f aca="false">LOWER(A1371)&amp;"|"&amp;B1371</f>
        <v>london|1994</v>
      </c>
      <c r="N1371" s="4" t="n">
        <v>0</v>
      </c>
      <c r="O1371" s="4" t="n">
        <v>0</v>
      </c>
      <c r="P1371" s="4" t="n">
        <v>0</v>
      </c>
      <c r="Q1371" s="4" t="n">
        <v>1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 customFormat="false" ht="15" hidden="false" customHeight="false" outlineLevel="0" collapsed="false">
      <c r="A1372" s="4" t="s">
        <v>2633</v>
      </c>
      <c r="B1372" s="4" t="n">
        <v>1996</v>
      </c>
      <c r="C1372" s="4" t="str">
        <f aca="false">FLOOR(B1372,10)&amp;"s"</f>
        <v>1990s</v>
      </c>
      <c r="D1372" s="4" t="s">
        <v>1280</v>
      </c>
      <c r="E1372" s="25" t="str">
        <f aca="false">IF(G1372=1,"✓","")</f>
        <v/>
      </c>
      <c r="F1372" s="4" t="n">
        <v>1</v>
      </c>
      <c r="G1372" s="4" t="n">
        <f aca="false">IF(COUNTIF('Letterboxd Watched'!$E$2:$E$3000,M1372)&gt;0,1,0)</f>
        <v>0</v>
      </c>
      <c r="H1372" s="4" t="n">
        <v>2</v>
      </c>
      <c r="I1372" s="4" t="s">
        <v>213</v>
      </c>
      <c r="J1372" s="4" t="s">
        <v>52</v>
      </c>
      <c r="K1372" s="4" t="s">
        <v>4056</v>
      </c>
      <c r="L1372" s="48" t="str">
        <f aca="false">HYPERLINK("https://boxd.it/1tge","open")</f>
        <v>open</v>
      </c>
      <c r="M1372" s="4" t="str">
        <f aca="false">LOWER(A1372)&amp;"|"&amp;B1372</f>
        <v>lone star|1996</v>
      </c>
      <c r="N1372" s="4" t="n">
        <v>0</v>
      </c>
      <c r="O1372" s="4" t="n">
        <v>0</v>
      </c>
      <c r="P1372" s="4" t="n">
        <v>0</v>
      </c>
      <c r="Q1372" s="4" t="n">
        <v>1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</row>
    <row r="1373" customFormat="false" ht="15" hidden="false" customHeight="false" outlineLevel="0" collapsed="false">
      <c r="A1373" s="4" t="s">
        <v>2192</v>
      </c>
      <c r="B1373" s="4" t="n">
        <v>1972</v>
      </c>
      <c r="C1373" s="4" t="str">
        <f aca="false">FLOOR(B1373,10)&amp;"s"</f>
        <v>1970s</v>
      </c>
      <c r="D1373" s="4" t="s">
        <v>2193</v>
      </c>
      <c r="E1373" s="25" t="str">
        <f aca="false">IF(G1373=1,"✓","")</f>
        <v/>
      </c>
      <c r="F1373" s="4" t="n">
        <v>1</v>
      </c>
      <c r="G1373" s="4" t="n">
        <f aca="false">IF(COUNTIF('Letterboxd Watched'!$E$2:$E$3000,M1373)&gt;0,1,0)</f>
        <v>0</v>
      </c>
      <c r="H1373" s="4" t="n">
        <v>2</v>
      </c>
      <c r="I1373" s="4" t="s">
        <v>213</v>
      </c>
      <c r="J1373" s="4" t="s">
        <v>51</v>
      </c>
      <c r="K1373" s="4" t="s">
        <v>3934</v>
      </c>
      <c r="L1373" s="48" t="str">
        <f aca="false">HYPERLINK("https://boxd.it/Zia","open")</f>
        <v>open</v>
      </c>
      <c r="M1373" s="4" t="str">
        <f aca="false">LOWER(A1373)&amp;"|"&amp;B1373</f>
        <v>lone wolf and cub: sword of vengeance|1972</v>
      </c>
      <c r="N1373" s="4" t="n">
        <v>0</v>
      </c>
      <c r="O1373" s="4" t="n">
        <v>0</v>
      </c>
      <c r="P1373" s="4" t="n">
        <v>1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</row>
    <row r="1374" customFormat="false" ht="15" hidden="false" customHeight="false" outlineLevel="0" collapsed="false">
      <c r="A1374" s="4" t="s">
        <v>2010</v>
      </c>
      <c r="B1374" s="4" t="n">
        <v>1962</v>
      </c>
      <c r="C1374" s="4" t="str">
        <f aca="false">FLOOR(B1374,10)&amp;"s"</f>
        <v>1960s</v>
      </c>
      <c r="D1374" s="4" t="s">
        <v>1991</v>
      </c>
      <c r="E1374" s="25" t="str">
        <f aca="false">IF(G1374=1,"✓","")</f>
        <v/>
      </c>
      <c r="F1374" s="4" t="n">
        <v>1</v>
      </c>
      <c r="G1374" s="4" t="n">
        <f aca="false">IF(COUNTIF('Letterboxd Watched'!$E$2:$E$3000,M1374)&gt;0,1,0)</f>
        <v>0</v>
      </c>
      <c r="H1374" s="4" t="n">
        <v>2</v>
      </c>
      <c r="I1374" s="4" t="s">
        <v>213</v>
      </c>
      <c r="J1374" s="4" t="s">
        <v>51</v>
      </c>
      <c r="K1374" s="4" t="s">
        <v>3980</v>
      </c>
      <c r="L1374" s="48" t="str">
        <f aca="false">HYPERLINK("https://boxd.it/1KOM","open")</f>
        <v>open</v>
      </c>
      <c r="M1374" s="4" t="str">
        <f aca="false">LOWER(A1374)&amp;"|"&amp;B1374</f>
        <v>the loneliness of the long distance runner|1962</v>
      </c>
      <c r="N1374" s="4" t="n">
        <v>0</v>
      </c>
      <c r="O1374" s="4" t="n">
        <v>0</v>
      </c>
      <c r="P1374" s="4" t="n">
        <v>1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</row>
    <row r="1375" customFormat="false" ht="15" hidden="false" customHeight="false" outlineLevel="0" collapsed="false">
      <c r="A1375" s="4" t="s">
        <v>3415</v>
      </c>
      <c r="B1375" s="4" t="n">
        <v>1962</v>
      </c>
      <c r="C1375" s="4" t="str">
        <f aca="false">FLOOR(B1375,10)&amp;"s"</f>
        <v>1960s</v>
      </c>
      <c r="D1375" s="4" t="s">
        <v>3416</v>
      </c>
      <c r="E1375" s="25" t="str">
        <f aca="false">IF(G1375=1,"✓","")</f>
        <v/>
      </c>
      <c r="F1375" s="4" t="n">
        <v>1</v>
      </c>
      <c r="G1375" s="4" t="n">
        <f aca="false">IF(COUNTIF('Letterboxd Watched'!$E$2:$E$3000,M1375)&gt;0,1,0)</f>
        <v>0</v>
      </c>
      <c r="H1375" s="4" t="n">
        <v>1</v>
      </c>
      <c r="I1375" s="4" t="s">
        <v>1327</v>
      </c>
      <c r="J1375" s="4" t="s">
        <v>52</v>
      </c>
      <c r="K1375" s="4" t="s">
        <v>4056</v>
      </c>
      <c r="L1375" s="48" t="str">
        <f aca="false">HYPERLINK("https://letterboxd.com/search/films/Lonely+Are+the+Brave+1962/","open")</f>
        <v>open</v>
      </c>
      <c r="M1375" s="4" t="str">
        <f aca="false">LOWER(A1375)&amp;"|"&amp;B1375</f>
        <v>lonely are the brave|1962</v>
      </c>
      <c r="N1375" s="4" t="n">
        <v>0</v>
      </c>
      <c r="O1375" s="4" t="n">
        <v>0</v>
      </c>
      <c r="P1375" s="4" t="n">
        <v>0</v>
      </c>
      <c r="Q1375" s="4" t="n">
        <v>1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</row>
    <row r="1376" customFormat="false" ht="15" hidden="false" customHeight="false" outlineLevel="0" collapsed="false">
      <c r="A1376" s="4" t="s">
        <v>3300</v>
      </c>
      <c r="B1376" s="4" t="n">
        <v>1928</v>
      </c>
      <c r="C1376" s="4" t="str">
        <f aca="false">FLOOR(B1376,10)&amp;"s"</f>
        <v>1920s</v>
      </c>
      <c r="D1376" s="4" t="s">
        <v>3301</v>
      </c>
      <c r="E1376" s="25" t="str">
        <f aca="false">IF(G1376=1,"✓","")</f>
        <v/>
      </c>
      <c r="F1376" s="4" t="n">
        <v>1</v>
      </c>
      <c r="G1376" s="4" t="n">
        <f aca="false">IF(COUNTIF('Letterboxd Watched'!$E$2:$E$3000,M1376)&gt;0,1,0)</f>
        <v>0</v>
      </c>
      <c r="H1376" s="4" t="n">
        <v>1</v>
      </c>
      <c r="I1376" s="4" t="s">
        <v>1327</v>
      </c>
      <c r="J1376" s="4" t="s">
        <v>50</v>
      </c>
      <c r="K1376" s="4" t="s">
        <v>3904</v>
      </c>
      <c r="L1376" s="48" t="str">
        <f aca="false">HYPERLINK("https://letterboxd.com/search/films/Lonesome+1928/","open")</f>
        <v>open</v>
      </c>
      <c r="M1376" s="4" t="str">
        <f aca="false">LOWER(A1376)&amp;"|"&amp;B1376</f>
        <v>lonesome|1928</v>
      </c>
      <c r="N1376" s="4" t="n">
        <v>0</v>
      </c>
      <c r="O1376" s="4" t="n">
        <v>1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</row>
    <row r="1377" customFormat="false" ht="15" hidden="false" customHeight="false" outlineLevel="0" collapsed="false">
      <c r="A1377" s="4" t="s">
        <v>1661</v>
      </c>
      <c r="B1377" s="4" t="n">
        <v>2018</v>
      </c>
      <c r="C1377" s="4" t="str">
        <f aca="false">FLOOR(B1377,10)&amp;"s"</f>
        <v>2010s</v>
      </c>
      <c r="D1377" s="4" t="s">
        <v>1662</v>
      </c>
      <c r="E1377" s="25" t="str">
        <f aca="false">IF(G1377=1,"✓","")</f>
        <v/>
      </c>
      <c r="F1377" s="4" t="n">
        <v>2</v>
      </c>
      <c r="G1377" s="4" t="n">
        <f aca="false">IF(COUNTIF('Letterboxd Watched'!$E$2:$E$3000,M1377)&gt;0,1,0)</f>
        <v>0</v>
      </c>
      <c r="H1377" s="4" t="n">
        <v>2</v>
      </c>
      <c r="I1377" s="4" t="s">
        <v>1327</v>
      </c>
      <c r="J1377" s="4" t="s">
        <v>51</v>
      </c>
      <c r="K1377" s="4" t="s">
        <v>5580</v>
      </c>
      <c r="L1377" s="48" t="str">
        <f aca="false">HYPERLINK("https://boxd.it/hw1I","open")</f>
        <v>open</v>
      </c>
      <c r="M1377" s="4" t="str">
        <f aca="false">LOWER(A1377)&amp;"|"&amp;B1377</f>
        <v>long day's journey into night|2018</v>
      </c>
      <c r="N1377" s="4" t="n">
        <v>0</v>
      </c>
      <c r="O1377" s="4" t="n">
        <v>0</v>
      </c>
      <c r="P1377" s="4" t="n">
        <v>1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1</v>
      </c>
      <c r="V1377" s="4" t="n">
        <v>0</v>
      </c>
      <c r="W1377" s="4" t="n">
        <v>0</v>
      </c>
    </row>
    <row r="1378" customFormat="false" ht="15" hidden="false" customHeight="false" outlineLevel="0" collapsed="false">
      <c r="A1378" s="4" t="s">
        <v>480</v>
      </c>
      <c r="B1378" s="4" t="n">
        <v>1973</v>
      </c>
      <c r="C1378" s="4" t="str">
        <f aca="false">FLOOR(B1378,10)&amp;"s"</f>
        <v>1970s</v>
      </c>
      <c r="D1378" s="4" t="s">
        <v>197</v>
      </c>
      <c r="E1378" s="25" t="str">
        <f aca="false">IF(G1378=1,"✓","")</f>
        <v>✓</v>
      </c>
      <c r="F1378" s="4" t="n">
        <v>3</v>
      </c>
      <c r="G1378" s="4" t="n">
        <f aca="false">IF(COUNTIF('Letterboxd Watched'!$E$2:$E$3000,M1378)&gt;0,1,0)</f>
        <v>1</v>
      </c>
      <c r="H1378" s="4" t="n">
        <v>7</v>
      </c>
      <c r="I1378" s="4" t="s">
        <v>144</v>
      </c>
      <c r="J1378" s="4" t="s">
        <v>52</v>
      </c>
      <c r="K1378" s="4" t="s">
        <v>5581</v>
      </c>
      <c r="L1378" s="48" t="str">
        <f aca="false">HYPERLINK("https://boxd.it/281O","open")</f>
        <v>open</v>
      </c>
      <c r="M1378" s="4" t="str">
        <f aca="false">LOWER(A1378)&amp;"|"&amp;B1378</f>
        <v>the long goodbye|1973</v>
      </c>
      <c r="N1378" s="4" t="n">
        <v>0</v>
      </c>
      <c r="O1378" s="4" t="n">
        <v>0</v>
      </c>
      <c r="P1378" s="4" t="n">
        <v>0</v>
      </c>
      <c r="Q1378" s="4" t="n">
        <v>1</v>
      </c>
      <c r="R1378" s="4" t="n">
        <v>1</v>
      </c>
      <c r="S1378" s="4" t="n">
        <v>0</v>
      </c>
      <c r="T1378" s="4" t="n">
        <v>1</v>
      </c>
      <c r="U1378" s="4" t="n">
        <v>0</v>
      </c>
      <c r="V1378" s="4" t="n">
        <v>0</v>
      </c>
      <c r="W1378" s="4" t="n">
        <v>0</v>
      </c>
    </row>
    <row r="1379" customFormat="false" ht="15" hidden="false" customHeight="false" outlineLevel="0" collapsed="false">
      <c r="A1379" s="4" t="s">
        <v>3566</v>
      </c>
      <c r="B1379" s="4" t="n">
        <v>1978</v>
      </c>
      <c r="C1379" s="4" t="str">
        <f aca="false">FLOOR(B1379,10)&amp;"s"</f>
        <v>1970s</v>
      </c>
      <c r="D1379" s="4" t="s">
        <v>3567</v>
      </c>
      <c r="E1379" s="25" t="str">
        <f aca="false">IF(G1379=1,"✓","")</f>
        <v/>
      </c>
      <c r="F1379" s="4" t="n">
        <v>1</v>
      </c>
      <c r="G1379" s="4" t="n">
        <f aca="false">IF(COUNTIF('Letterboxd Watched'!$E$2:$E$3000,M1379)&gt;0,1,0)</f>
        <v>0</v>
      </c>
      <c r="H1379" s="4" t="n">
        <v>1</v>
      </c>
      <c r="I1379" s="4" t="s">
        <v>1327</v>
      </c>
      <c r="J1379" s="4" t="s">
        <v>51</v>
      </c>
      <c r="K1379" s="4" t="s">
        <v>4038</v>
      </c>
      <c r="L1379" s="48" t="str">
        <f aca="false">HYPERLINK("https://letterboxd.com/search/films/Long+Weekend+1978/","open")</f>
        <v>open</v>
      </c>
      <c r="M1379" s="4" t="str">
        <f aca="false">LOWER(A1379)&amp;"|"&amp;B1379</f>
        <v>long weekend|1978</v>
      </c>
      <c r="N1379" s="4" t="n">
        <v>0</v>
      </c>
      <c r="O1379" s="4" t="n">
        <v>0</v>
      </c>
      <c r="P1379" s="4" t="n">
        <v>1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</row>
    <row r="1380" customFormat="false" ht="15" hidden="false" customHeight="false" outlineLevel="0" collapsed="false">
      <c r="A1380" s="4" t="s">
        <v>3254</v>
      </c>
      <c r="B1380" s="4" t="n">
        <v>2024</v>
      </c>
      <c r="C1380" s="4" t="str">
        <f aca="false">FLOOR(B1380,10)&amp;"s"</f>
        <v>2020s</v>
      </c>
      <c r="D1380" s="4" t="s">
        <v>3255</v>
      </c>
      <c r="E1380" s="25" t="str">
        <f aca="false">IF(G1380=1,"✓","")</f>
        <v/>
      </c>
      <c r="F1380" s="4" t="n">
        <v>1</v>
      </c>
      <c r="G1380" s="4" t="n">
        <f aca="false">IF(COUNTIF('Letterboxd Watched'!$E$2:$E$3000,M1380)&gt;0,1,0)</f>
        <v>0</v>
      </c>
      <c r="H1380" s="4" t="n">
        <v>2</v>
      </c>
      <c r="I1380" s="4" t="s">
        <v>213</v>
      </c>
      <c r="J1380" s="4" t="s">
        <v>52</v>
      </c>
      <c r="K1380" s="4" t="s">
        <v>4066</v>
      </c>
      <c r="L1380" s="48" t="str">
        <f aca="false">HYPERLINK("https://boxd.it/KzLM","open")</f>
        <v>open</v>
      </c>
      <c r="M1380" s="4" t="str">
        <f aca="false">LOWER(A1380)&amp;"|"&amp;B1380</f>
        <v>longlegs|2024</v>
      </c>
      <c r="N1380" s="4" t="n">
        <v>0</v>
      </c>
      <c r="O1380" s="4" t="n">
        <v>0</v>
      </c>
      <c r="P1380" s="4" t="n">
        <v>0</v>
      </c>
      <c r="Q1380" s="4" t="n">
        <v>1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</row>
    <row r="1381" customFormat="false" ht="15" hidden="false" customHeight="false" outlineLevel="0" collapsed="false">
      <c r="A1381" s="4" t="s">
        <v>3013</v>
      </c>
      <c r="B1381" s="4" t="n">
        <v>2012</v>
      </c>
      <c r="C1381" s="4" t="str">
        <f aca="false">FLOOR(B1381,10)&amp;"s"</f>
        <v>2010s</v>
      </c>
      <c r="D1381" s="4" t="s">
        <v>2833</v>
      </c>
      <c r="E1381" s="25" t="str">
        <f aca="false">IF(G1381=1,"✓","")</f>
        <v/>
      </c>
      <c r="F1381" s="4" t="n">
        <v>1</v>
      </c>
      <c r="G1381" s="4" t="n">
        <f aca="false">IF(COUNTIF('Letterboxd Watched'!$E$2:$E$3000,M1381)&gt;0,1,0)</f>
        <v>0</v>
      </c>
      <c r="H1381" s="4" t="n">
        <v>2</v>
      </c>
      <c r="I1381" s="4" t="s">
        <v>213</v>
      </c>
      <c r="J1381" s="4" t="s">
        <v>55</v>
      </c>
      <c r="K1381" s="4" t="s">
        <v>4336</v>
      </c>
      <c r="L1381" s="48" t="str">
        <f aca="false">HYPERLINK("https://boxd.it/ham","open")</f>
        <v>open</v>
      </c>
      <c r="M1381" s="4" t="str">
        <f aca="false">LOWER(A1381)&amp;"|"&amp;B1381</f>
        <v>looper|2012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1</v>
      </c>
      <c r="U1381" s="4" t="n">
        <v>0</v>
      </c>
      <c r="V1381" s="4" t="n">
        <v>0</v>
      </c>
      <c r="W1381" s="4" t="n">
        <v>0</v>
      </c>
    </row>
    <row r="1382" customFormat="false" ht="15" hidden="false" customHeight="false" outlineLevel="0" collapsed="false">
      <c r="A1382" s="4" t="s">
        <v>2846</v>
      </c>
      <c r="B1382" s="4" t="n">
        <v>2005</v>
      </c>
      <c r="C1382" s="4" t="str">
        <f aca="false">FLOOR(B1382,10)&amp;"s"</f>
        <v>2000s</v>
      </c>
      <c r="D1382" s="4" t="s">
        <v>2847</v>
      </c>
      <c r="E1382" s="25" t="str">
        <f aca="false">IF(G1382=1,"✓","")</f>
        <v/>
      </c>
      <c r="F1382" s="4" t="n">
        <v>1</v>
      </c>
      <c r="G1382" s="4" t="n">
        <f aca="false">IF(COUNTIF('Letterboxd Watched'!$E$2:$E$3000,M1382)&gt;0,1,0)</f>
        <v>0</v>
      </c>
      <c r="H1382" s="4" t="n">
        <v>2</v>
      </c>
      <c r="I1382" s="4" t="s">
        <v>213</v>
      </c>
      <c r="J1382" s="4" t="s">
        <v>56</v>
      </c>
      <c r="K1382" s="4" t="s">
        <v>4396</v>
      </c>
      <c r="L1382" s="48" t="str">
        <f aca="false">HYPERLINK("https://boxd.it/1XOg","open")</f>
        <v>open</v>
      </c>
      <c r="M1382" s="4" t="str">
        <f aca="false">LOWER(A1382)&amp;"|"&amp;B1382</f>
        <v>lords of dogtown|2005</v>
      </c>
      <c r="N1382" s="4" t="n">
        <v>0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1</v>
      </c>
      <c r="V1382" s="4" t="n">
        <v>0</v>
      </c>
      <c r="W1382" s="4" t="n">
        <v>0</v>
      </c>
    </row>
    <row r="1383" customFormat="false" ht="15" hidden="false" customHeight="false" outlineLevel="0" collapsed="false">
      <c r="A1383" s="4" t="s">
        <v>686</v>
      </c>
      <c r="B1383" s="4" t="n">
        <v>2003</v>
      </c>
      <c r="C1383" s="4" t="str">
        <f aca="false">FLOOR(B1383,10)&amp;"s"</f>
        <v>2000s</v>
      </c>
      <c r="D1383" s="4" t="s">
        <v>687</v>
      </c>
      <c r="E1383" s="25" t="str">
        <f aca="false">IF(G1383=1,"✓","")</f>
        <v/>
      </c>
      <c r="F1383" s="4" t="n">
        <v>3</v>
      </c>
      <c r="G1383" s="4" t="n">
        <f aca="false">IF(COUNTIF('Letterboxd Watched'!$E$2:$E$3000,M1383)&gt;0,1,0)</f>
        <v>0</v>
      </c>
      <c r="H1383" s="4" t="n">
        <v>6</v>
      </c>
      <c r="I1383" s="4" t="s">
        <v>144</v>
      </c>
      <c r="J1383" s="4" t="s">
        <v>52</v>
      </c>
      <c r="K1383" s="4" t="s">
        <v>5582</v>
      </c>
      <c r="L1383" s="48" t="str">
        <f aca="false">HYPERLINK("https://boxd.it/15xq","open")</f>
        <v>open</v>
      </c>
      <c r="M1383" s="4" t="str">
        <f aca="false">LOWER(A1383)&amp;"|"&amp;B1383</f>
        <v>los angeles plays itself|2003</v>
      </c>
      <c r="N1383" s="4" t="n">
        <v>0</v>
      </c>
      <c r="O1383" s="4" t="n">
        <v>0</v>
      </c>
      <c r="P1383" s="4" t="n">
        <v>0</v>
      </c>
      <c r="Q1383" s="4" t="n">
        <v>1</v>
      </c>
      <c r="R1383" s="4" t="n">
        <v>0</v>
      </c>
      <c r="S1383" s="4" t="n">
        <v>0</v>
      </c>
      <c r="T1383" s="4" t="n">
        <v>1</v>
      </c>
      <c r="U1383" s="4" t="n">
        <v>0</v>
      </c>
      <c r="V1383" s="4" t="n">
        <v>0</v>
      </c>
      <c r="W1383" s="4" t="n">
        <v>0</v>
      </c>
    </row>
    <row r="1384" customFormat="false" ht="15" hidden="false" customHeight="false" outlineLevel="0" collapsed="false">
      <c r="A1384" s="4" t="s">
        <v>741</v>
      </c>
      <c r="B1384" s="4" t="n">
        <v>1950</v>
      </c>
      <c r="C1384" s="4" t="str">
        <f aca="false">FLOOR(B1384,10)&amp;"s"</f>
        <v>1950s</v>
      </c>
      <c r="D1384" s="4" t="s">
        <v>402</v>
      </c>
      <c r="E1384" s="25" t="str">
        <f aca="false">IF(G1384=1,"✓","")</f>
        <v/>
      </c>
      <c r="F1384" s="4" t="n">
        <v>2</v>
      </c>
      <c r="G1384" s="4" t="n">
        <f aca="false">IF(COUNTIF('Letterboxd Watched'!$E$2:$E$3000,M1384)&gt;0,1,0)</f>
        <v>0</v>
      </c>
      <c r="H1384" s="4" t="n">
        <v>5</v>
      </c>
      <c r="I1384" s="4" t="s">
        <v>144</v>
      </c>
      <c r="J1384" s="4" t="s">
        <v>51</v>
      </c>
      <c r="K1384" s="4" t="s">
        <v>5583</v>
      </c>
      <c r="L1384" s="48" t="str">
        <f aca="false">HYPERLINK("https://letterboxd.com/search/films/Los+Olvidados+1950/","open")</f>
        <v>open</v>
      </c>
      <c r="M1384" s="4" t="str">
        <f aca="false">LOWER(A1384)&amp;"|"&amp;B1384</f>
        <v>los olvidados|1950</v>
      </c>
      <c r="N1384" s="4" t="n">
        <v>0</v>
      </c>
      <c r="O1384" s="4" t="n">
        <v>0</v>
      </c>
      <c r="P1384" s="4" t="n">
        <v>1</v>
      </c>
      <c r="Q1384" s="4" t="n">
        <v>0</v>
      </c>
      <c r="R1384" s="4" t="n">
        <v>1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</row>
    <row r="1385" customFormat="false" ht="15" hidden="false" customHeight="false" outlineLevel="0" collapsed="false">
      <c r="A1385" s="4" t="s">
        <v>442</v>
      </c>
      <c r="B1385" s="4" t="n">
        <v>1997</v>
      </c>
      <c r="C1385" s="4" t="str">
        <f aca="false">FLOOR(B1385,10)&amp;"s"</f>
        <v>1990s</v>
      </c>
      <c r="D1385" s="4" t="s">
        <v>154</v>
      </c>
      <c r="E1385" s="25" t="str">
        <f aca="false">IF(G1385=1,"✓","")</f>
        <v/>
      </c>
      <c r="F1385" s="4" t="n">
        <v>4</v>
      </c>
      <c r="G1385" s="4" t="n">
        <f aca="false">IF(COUNTIF('Letterboxd Watched'!$E$2:$E$3000,M1385)&gt;0,1,0)</f>
        <v>0</v>
      </c>
      <c r="H1385" s="4" t="n">
        <v>7</v>
      </c>
      <c r="I1385" s="4" t="s">
        <v>213</v>
      </c>
      <c r="J1385" s="4" t="s">
        <v>52</v>
      </c>
      <c r="K1385" s="4" t="s">
        <v>5584</v>
      </c>
      <c r="L1385" s="48" t="str">
        <f aca="false">HYPERLINK("https://boxd.it/29Wc","open")</f>
        <v>open</v>
      </c>
      <c r="M1385" s="4" t="str">
        <f aca="false">LOWER(A1385)&amp;"|"&amp;B1385</f>
        <v>lost highway|1997</v>
      </c>
      <c r="N1385" s="4" t="n">
        <v>0</v>
      </c>
      <c r="O1385" s="4" t="n">
        <v>0</v>
      </c>
      <c r="P1385" s="4" t="n">
        <v>0</v>
      </c>
      <c r="Q1385" s="4" t="n">
        <v>1</v>
      </c>
      <c r="R1385" s="4" t="n">
        <v>1</v>
      </c>
      <c r="S1385" s="4" t="n">
        <v>1</v>
      </c>
      <c r="T1385" s="4" t="n">
        <v>0</v>
      </c>
      <c r="U1385" s="4" t="n">
        <v>0</v>
      </c>
      <c r="V1385" s="4" t="n">
        <v>0</v>
      </c>
      <c r="W1385" s="4" t="n">
        <v>1</v>
      </c>
    </row>
    <row r="1386" customFormat="false" ht="15" hidden="false" customHeight="false" outlineLevel="0" collapsed="false">
      <c r="A1386" s="4" t="s">
        <v>440</v>
      </c>
      <c r="B1386" s="4" t="n">
        <v>2003</v>
      </c>
      <c r="C1386" s="4" t="str">
        <f aca="false">FLOOR(B1386,10)&amp;"s"</f>
        <v>2000s</v>
      </c>
      <c r="D1386" s="4" t="s">
        <v>441</v>
      </c>
      <c r="E1386" s="25" t="str">
        <f aca="false">IF(G1386=1,"✓","")</f>
        <v>✓</v>
      </c>
      <c r="F1386" s="4" t="n">
        <v>3</v>
      </c>
      <c r="G1386" s="4" t="n">
        <f aca="false">IF(COUNTIF('Letterboxd Watched'!$E$2:$E$3000,M1386)&gt;0,1,0)</f>
        <v>1</v>
      </c>
      <c r="H1386" s="4" t="n">
        <v>8</v>
      </c>
      <c r="I1386" s="4" t="s">
        <v>144</v>
      </c>
      <c r="J1386" s="4" t="s">
        <v>54</v>
      </c>
      <c r="K1386" s="4" t="s">
        <v>5585</v>
      </c>
      <c r="L1386" s="48" t="str">
        <f aca="false">HYPERLINK("https://boxd.it/2b0E","open")</f>
        <v>open</v>
      </c>
      <c r="M1386" s="4" t="str">
        <f aca="false">LOWER(A1386)&amp;"|"&amp;B1386</f>
        <v>lost in translation|2003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1</v>
      </c>
      <c r="T1386" s="4" t="n">
        <v>1</v>
      </c>
      <c r="U1386" s="4" t="n">
        <v>0</v>
      </c>
      <c r="V1386" s="4" t="n">
        <v>0</v>
      </c>
      <c r="W1386" s="4" t="n">
        <v>0</v>
      </c>
    </row>
    <row r="1387" customFormat="false" ht="15" hidden="false" customHeight="false" outlineLevel="0" collapsed="false">
      <c r="A1387" s="4" t="s">
        <v>3553</v>
      </c>
      <c r="B1387" s="4" t="n">
        <v>1976</v>
      </c>
      <c r="C1387" s="4" t="str">
        <f aca="false">FLOOR(B1387,10)&amp;"s"</f>
        <v>1970s</v>
      </c>
      <c r="D1387" s="4" t="s">
        <v>3554</v>
      </c>
      <c r="E1387" s="25" t="str">
        <f aca="false">IF(G1387=1,"✓","")</f>
        <v/>
      </c>
      <c r="F1387" s="4" t="n">
        <v>1</v>
      </c>
      <c r="G1387" s="4" t="n">
        <f aca="false">IF(COUNTIF('Letterboxd Watched'!$E$2:$E$3000,M1387)&gt;0,1,0)</f>
        <v>0</v>
      </c>
      <c r="H1387" s="4" t="n">
        <v>1</v>
      </c>
      <c r="I1387" s="4" t="s">
        <v>1327</v>
      </c>
      <c r="J1387" s="4" t="s">
        <v>52</v>
      </c>
      <c r="K1387" s="4" t="s">
        <v>4182</v>
      </c>
      <c r="L1387" s="48" t="str">
        <f aca="false">HYPERLINK("https://letterboxd.com/search/films/Lost+Lost+Lost+1976/","open")</f>
        <v>open</v>
      </c>
      <c r="M1387" s="4" t="str">
        <f aca="false">LOWER(A1387)&amp;"|"&amp;B1387</f>
        <v>lost lost lost|1976</v>
      </c>
      <c r="N1387" s="4" t="n">
        <v>0</v>
      </c>
      <c r="O1387" s="4" t="n">
        <v>0</v>
      </c>
      <c r="P1387" s="4" t="n">
        <v>0</v>
      </c>
      <c r="Q1387" s="4" t="n">
        <v>1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</row>
    <row r="1388" customFormat="false" ht="15" hidden="false" customHeight="false" outlineLevel="0" collapsed="false">
      <c r="A1388" s="4" t="s">
        <v>1830</v>
      </c>
      <c r="B1388" s="4" t="n">
        <v>1945</v>
      </c>
      <c r="C1388" s="4" t="str">
        <f aca="false">FLOOR(B1388,10)&amp;"s"</f>
        <v>1940s</v>
      </c>
      <c r="D1388" s="4" t="s">
        <v>200</v>
      </c>
      <c r="E1388" s="25" t="str">
        <f aca="false">IF(G1388=1,"✓","")</f>
        <v/>
      </c>
      <c r="F1388" s="4" t="n">
        <v>1</v>
      </c>
      <c r="G1388" s="4" t="n">
        <f aca="false">IF(COUNTIF('Letterboxd Watched'!$E$2:$E$3000,M1388)&gt;0,1,0)</f>
        <v>0</v>
      </c>
      <c r="H1388" s="4" t="n">
        <v>2</v>
      </c>
      <c r="I1388" s="4" t="s">
        <v>213</v>
      </c>
      <c r="J1388" s="4" t="s">
        <v>53</v>
      </c>
      <c r="K1388" s="4" t="s">
        <v>200</v>
      </c>
      <c r="L1388" s="48" t="str">
        <f aca="false">HYPERLINK("https://boxd.it/1pgE","open")</f>
        <v>open</v>
      </c>
      <c r="M1388" s="4" t="str">
        <f aca="false">LOWER(A1388)&amp;"|"&amp;B1388</f>
        <v>the lost weekend|1945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1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</row>
    <row r="1389" customFormat="false" ht="15" hidden="false" customHeight="false" outlineLevel="0" collapsed="false">
      <c r="A1389" s="4" t="s">
        <v>2725</v>
      </c>
      <c r="B1389" s="4" t="n">
        <v>2000</v>
      </c>
      <c r="C1389" s="4" t="str">
        <f aca="false">FLOOR(B1389,10)&amp;"s"</f>
        <v>2000s</v>
      </c>
      <c r="D1389" s="4" t="s">
        <v>2726</v>
      </c>
      <c r="E1389" s="25" t="str">
        <f aca="false">IF(G1389=1,"✓","")</f>
        <v/>
      </c>
      <c r="F1389" s="4" t="n">
        <v>1</v>
      </c>
      <c r="G1389" s="4" t="n">
        <f aca="false">IF(COUNTIF('Letterboxd Watched'!$E$2:$E$3000,M1389)&gt;0,1,0)</f>
        <v>0</v>
      </c>
      <c r="H1389" s="4" t="n">
        <v>2</v>
      </c>
      <c r="I1389" s="4" t="s">
        <v>213</v>
      </c>
      <c r="J1389" s="4" t="s">
        <v>54</v>
      </c>
      <c r="K1389" s="4" t="s">
        <v>4290</v>
      </c>
      <c r="L1389" s="48" t="str">
        <f aca="false">HYPERLINK("https://boxd.it/1Nu6","open")</f>
        <v>open</v>
      </c>
      <c r="M1389" s="4" t="str">
        <f aca="false">LOWER(A1389)&amp;"|"&amp;B1389</f>
        <v>love &amp; basketball|2000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1</v>
      </c>
      <c r="T1389" s="4" t="n">
        <v>0</v>
      </c>
      <c r="U1389" s="4" t="n">
        <v>0</v>
      </c>
      <c r="V1389" s="4" t="n">
        <v>0</v>
      </c>
      <c r="W1389" s="4" t="n">
        <v>0</v>
      </c>
    </row>
    <row r="1390" customFormat="false" ht="15" hidden="false" customHeight="false" outlineLevel="0" collapsed="false">
      <c r="A1390" s="4" t="s">
        <v>2203</v>
      </c>
      <c r="B1390" s="4" t="n">
        <v>1972</v>
      </c>
      <c r="C1390" s="4" t="str">
        <f aca="false">FLOOR(B1390,10)&amp;"s"</f>
        <v>1970s</v>
      </c>
      <c r="D1390" s="4" t="s">
        <v>419</v>
      </c>
      <c r="E1390" s="25" t="str">
        <f aca="false">IF(G1390=1,"✓","")</f>
        <v/>
      </c>
      <c r="F1390" s="4" t="n">
        <v>1</v>
      </c>
      <c r="G1390" s="4" t="n">
        <f aca="false">IF(COUNTIF('Letterboxd Watched'!$E$2:$E$3000,M1390)&gt;0,1,0)</f>
        <v>0</v>
      </c>
      <c r="H1390" s="4" t="n">
        <v>2</v>
      </c>
      <c r="I1390" s="4" t="s">
        <v>213</v>
      </c>
      <c r="J1390" s="4" t="s">
        <v>53</v>
      </c>
      <c r="K1390" s="4" t="s">
        <v>4226</v>
      </c>
      <c r="L1390" s="48" t="str">
        <f aca="false">HYPERLINK("https://boxd.it/1Svo","open")</f>
        <v>open</v>
      </c>
      <c r="M1390" s="4" t="str">
        <f aca="false">LOWER(A1390)&amp;"|"&amp;B1390</f>
        <v>love in the afternoon|1972</v>
      </c>
      <c r="N1390" s="4" t="n">
        <v>0</v>
      </c>
      <c r="O1390" s="4" t="n">
        <v>0</v>
      </c>
      <c r="P1390" s="4" t="n">
        <v>0</v>
      </c>
      <c r="Q1390" s="4" t="n">
        <v>0</v>
      </c>
      <c r="R1390" s="4" t="n">
        <v>1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</row>
    <row r="1391" customFormat="false" ht="15" hidden="false" customHeight="false" outlineLevel="0" collapsed="false">
      <c r="A1391" s="4" t="s">
        <v>1303</v>
      </c>
      <c r="B1391" s="4" t="n">
        <v>1932</v>
      </c>
      <c r="C1391" s="4" t="str">
        <f aca="false">FLOOR(B1391,10)&amp;"s"</f>
        <v>1930s</v>
      </c>
      <c r="D1391" s="4" t="s">
        <v>1304</v>
      </c>
      <c r="E1391" s="25" t="str">
        <f aca="false">IF(G1391=1,"✓","")</f>
        <v/>
      </c>
      <c r="F1391" s="4" t="n">
        <v>2</v>
      </c>
      <c r="G1391" s="4" t="n">
        <f aca="false">IF(COUNTIF('Letterboxd Watched'!$E$2:$E$3000,M1391)&gt;0,1,0)</f>
        <v>0</v>
      </c>
      <c r="H1391" s="4" t="n">
        <v>3</v>
      </c>
      <c r="I1391" s="4" t="s">
        <v>213</v>
      </c>
      <c r="J1391" s="4" t="s">
        <v>50</v>
      </c>
      <c r="K1391" s="4" t="s">
        <v>5586</v>
      </c>
      <c r="L1391" s="48" t="str">
        <f aca="false">HYPERLINK("https://letterboxd.com/search/films/Love+Me+Tonight+1932/","open")</f>
        <v>open</v>
      </c>
      <c r="M1391" s="4" t="str">
        <f aca="false">LOWER(A1391)&amp;"|"&amp;B1391</f>
        <v>love me tonight|1932</v>
      </c>
      <c r="N1391" s="4" t="n">
        <v>0</v>
      </c>
      <c r="O1391" s="4" t="n">
        <v>1</v>
      </c>
      <c r="P1391" s="4" t="n">
        <v>0</v>
      </c>
      <c r="Q1391" s="4" t="n">
        <v>1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</row>
    <row r="1392" customFormat="false" ht="15" hidden="false" customHeight="false" outlineLevel="0" collapsed="false">
      <c r="A1392" s="4" t="s">
        <v>2407</v>
      </c>
      <c r="B1392" s="4" t="n">
        <v>1984</v>
      </c>
      <c r="C1392" s="4" t="str">
        <f aca="false">FLOOR(B1392,10)&amp;"s"</f>
        <v>1980s</v>
      </c>
      <c r="D1392" s="4" t="s">
        <v>801</v>
      </c>
      <c r="E1392" s="25" t="str">
        <f aca="false">IF(G1392=1,"✓","")</f>
        <v/>
      </c>
      <c r="F1392" s="4" t="n">
        <v>1</v>
      </c>
      <c r="G1392" s="4" t="n">
        <f aca="false">IF(COUNTIF('Letterboxd Watched'!$E$2:$E$3000,M1392)&gt;0,1,0)</f>
        <v>0</v>
      </c>
      <c r="H1392" s="4" t="n">
        <v>2</v>
      </c>
      <c r="I1392" s="4" t="s">
        <v>213</v>
      </c>
      <c r="J1392" s="4" t="s">
        <v>53</v>
      </c>
      <c r="K1392" s="4" t="s">
        <v>801</v>
      </c>
      <c r="L1392" s="48" t="str">
        <f aca="false">HYPERLINK("https://boxd.it/zOk","open")</f>
        <v>open</v>
      </c>
      <c r="M1392" s="4" t="str">
        <f aca="false">LOWER(A1392)&amp;"|"&amp;B1392</f>
        <v>love streams|1984</v>
      </c>
      <c r="N1392" s="4" t="n">
        <v>0</v>
      </c>
      <c r="O1392" s="4" t="n">
        <v>0</v>
      </c>
      <c r="P1392" s="4" t="n">
        <v>0</v>
      </c>
      <c r="Q1392" s="4" t="n">
        <v>0</v>
      </c>
      <c r="R1392" s="4" t="n">
        <v>1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</row>
    <row r="1393" customFormat="false" ht="15" hidden="false" customHeight="false" outlineLevel="0" collapsed="false">
      <c r="A1393" s="4" t="s">
        <v>2063</v>
      </c>
      <c r="B1393" s="4" t="n">
        <v>1965</v>
      </c>
      <c r="C1393" s="4" t="str">
        <f aca="false">FLOOR(B1393,10)&amp;"s"</f>
        <v>1960s</v>
      </c>
      <c r="D1393" s="4" t="s">
        <v>1991</v>
      </c>
      <c r="E1393" s="25" t="str">
        <f aca="false">IF(G1393=1,"✓","")</f>
        <v/>
      </c>
      <c r="F1393" s="4" t="n">
        <v>1</v>
      </c>
      <c r="G1393" s="4" t="n">
        <f aca="false">IF(COUNTIF('Letterboxd Watched'!$E$2:$E$3000,M1393)&gt;0,1,0)</f>
        <v>0</v>
      </c>
      <c r="H1393" s="4" t="n">
        <v>2</v>
      </c>
      <c r="I1393" s="4" t="s">
        <v>213</v>
      </c>
      <c r="J1393" s="4" t="s">
        <v>52</v>
      </c>
      <c r="K1393" s="4" t="s">
        <v>4100</v>
      </c>
      <c r="L1393" s="48" t="str">
        <f aca="false">HYPERLINK("https://letterboxd.com/search/films/The+Loved+One+1965/","open")</f>
        <v>open</v>
      </c>
      <c r="M1393" s="4" t="str">
        <f aca="false">LOWER(A1393)&amp;"|"&amp;B1393</f>
        <v>the loved one|1965</v>
      </c>
      <c r="N1393" s="4" t="n">
        <v>0</v>
      </c>
      <c r="O1393" s="4" t="n">
        <v>0</v>
      </c>
      <c r="P1393" s="4" t="n">
        <v>0</v>
      </c>
      <c r="Q1393" s="4" t="n">
        <v>1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</row>
    <row r="1394" customFormat="false" ht="15" hidden="false" customHeight="false" outlineLevel="0" collapsed="false">
      <c r="A1394" s="4" t="s">
        <v>2518</v>
      </c>
      <c r="B1394" s="4" t="n">
        <v>1991</v>
      </c>
      <c r="C1394" s="4" t="str">
        <f aca="false">FLOOR(B1394,10)&amp;"s"</f>
        <v>1990s</v>
      </c>
      <c r="D1394" s="4" t="s">
        <v>1202</v>
      </c>
      <c r="E1394" s="25" t="str">
        <f aca="false">IF(G1394=1,"✓","")</f>
        <v/>
      </c>
      <c r="F1394" s="4" t="n">
        <v>1</v>
      </c>
      <c r="G1394" s="4" t="n">
        <f aca="false">IF(COUNTIF('Letterboxd Watched'!$E$2:$E$3000,M1394)&gt;0,1,0)</f>
        <v>0</v>
      </c>
      <c r="H1394" s="4" t="n">
        <v>2</v>
      </c>
      <c r="I1394" s="4" t="s">
        <v>213</v>
      </c>
      <c r="J1394" s="4" t="s">
        <v>51</v>
      </c>
      <c r="K1394" s="4" t="s">
        <v>3966</v>
      </c>
      <c r="L1394" s="48" t="str">
        <f aca="false">HYPERLINK("https://boxd.it/26li","open")</f>
        <v>open</v>
      </c>
      <c r="M1394" s="4" t="str">
        <f aca="false">LOWER(A1394)&amp;"|"&amp;B1394</f>
        <v>the lovers on the bridge|1991</v>
      </c>
      <c r="N1394" s="4" t="n">
        <v>0</v>
      </c>
      <c r="O1394" s="4" t="n">
        <v>0</v>
      </c>
      <c r="P1394" s="4" t="n">
        <v>1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</row>
    <row r="1395" customFormat="false" ht="15" hidden="false" customHeight="false" outlineLevel="0" collapsed="false">
      <c r="A1395" s="4" t="s">
        <v>2059</v>
      </c>
      <c r="B1395" s="4" t="n">
        <v>1965</v>
      </c>
      <c r="C1395" s="4" t="str">
        <f aca="false">FLOOR(B1395,10)&amp;"s"</f>
        <v>1960s</v>
      </c>
      <c r="D1395" s="4" t="s">
        <v>548</v>
      </c>
      <c r="E1395" s="25" t="str">
        <f aca="false">IF(G1395=1,"✓","")</f>
        <v/>
      </c>
      <c r="F1395" s="4" t="n">
        <v>1</v>
      </c>
      <c r="G1395" s="4" t="n">
        <f aca="false">IF(COUNTIF('Letterboxd Watched'!$E$2:$E$3000,M1395)&gt;0,1,0)</f>
        <v>0</v>
      </c>
      <c r="H1395" s="4" t="n">
        <v>2</v>
      </c>
      <c r="I1395" s="4" t="s">
        <v>213</v>
      </c>
      <c r="J1395" s="4" t="s">
        <v>51</v>
      </c>
      <c r="K1395" s="4" t="s">
        <v>3992</v>
      </c>
      <c r="L1395" s="48" t="str">
        <f aca="false">HYPERLINK("https://boxd.it/13NG","open")</f>
        <v>open</v>
      </c>
      <c r="M1395" s="4" t="str">
        <f aca="false">LOWER(A1395)&amp;"|"&amp;B1395</f>
        <v>loves of a blonde|1965</v>
      </c>
      <c r="N1395" s="4" t="n">
        <v>0</v>
      </c>
      <c r="O1395" s="4" t="n">
        <v>0</v>
      </c>
      <c r="P1395" s="4" t="n">
        <v>1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</row>
    <row r="1396" customFormat="false" ht="15" hidden="false" customHeight="false" outlineLevel="0" collapsed="false">
      <c r="A1396" s="4" t="s">
        <v>998</v>
      </c>
      <c r="B1396" s="4" t="n">
        <v>1968</v>
      </c>
      <c r="C1396" s="4" t="str">
        <f aca="false">FLOOR(B1396,10)&amp;"s"</f>
        <v>1960s</v>
      </c>
      <c r="D1396" s="4" t="s">
        <v>999</v>
      </c>
      <c r="E1396" s="25" t="str">
        <f aca="false">IF(G1396=1,"✓","")</f>
        <v/>
      </c>
      <c r="F1396" s="4" t="n">
        <v>2</v>
      </c>
      <c r="G1396" s="4" t="n">
        <f aca="false">IF(COUNTIF('Letterboxd Watched'!$E$2:$E$3000,M1396)&gt;0,1,0)</f>
        <v>0</v>
      </c>
      <c r="H1396" s="4" t="n">
        <v>4</v>
      </c>
      <c r="I1396" s="4" t="s">
        <v>213</v>
      </c>
      <c r="J1396" s="4" t="s">
        <v>51</v>
      </c>
      <c r="K1396" s="4" t="s">
        <v>5587</v>
      </c>
      <c r="L1396" s="48" t="str">
        <f aca="false">HYPERLINK("https://letterboxd.com/search/films/Lucía+1968/","open")</f>
        <v>open</v>
      </c>
      <c r="M1396" s="4" t="str">
        <f aca="false">LOWER(A1396)&amp;"|"&amp;B1396</f>
        <v>lucía|1968</v>
      </c>
      <c r="N1396" s="4" t="n">
        <v>0</v>
      </c>
      <c r="O1396" s="4" t="n">
        <v>0</v>
      </c>
      <c r="P1396" s="4" t="n">
        <v>1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1</v>
      </c>
      <c r="W1396" s="4" t="n">
        <v>0</v>
      </c>
    </row>
    <row r="1397" customFormat="false" ht="15" hidden="false" customHeight="false" outlineLevel="0" collapsed="false">
      <c r="A1397" s="4" t="s">
        <v>3843</v>
      </c>
      <c r="B1397" s="4" t="n">
        <v>2017</v>
      </c>
      <c r="C1397" s="4" t="str">
        <f aca="false">FLOOR(B1397,10)&amp;"s"</f>
        <v>2010s</v>
      </c>
      <c r="D1397" s="4" t="s">
        <v>3844</v>
      </c>
      <c r="E1397" s="25" t="str">
        <f aca="false">IF(G1397=1,"✓","")</f>
        <v>✓</v>
      </c>
      <c r="F1397" s="4" t="n">
        <v>1</v>
      </c>
      <c r="G1397" s="4" t="n">
        <f aca="false">IF(COUNTIF('Letterboxd Watched'!$E$2:$E$3000,M1397)&gt;0,1,0)</f>
        <v>1</v>
      </c>
      <c r="H1397" s="4" t="n">
        <v>1</v>
      </c>
      <c r="I1397" s="4" t="s">
        <v>1327</v>
      </c>
      <c r="J1397" s="4" t="s">
        <v>55</v>
      </c>
      <c r="K1397" s="4" t="s">
        <v>4350</v>
      </c>
      <c r="L1397" s="48" t="str">
        <f aca="false">HYPERLINK("https://boxd.it/el3M","open")</f>
        <v>open</v>
      </c>
      <c r="M1397" s="4" t="str">
        <f aca="false">LOWER(A1397)&amp;"|"&amp;B1397</f>
        <v>lucky|2017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1</v>
      </c>
      <c r="U1397" s="4" t="n">
        <v>0</v>
      </c>
      <c r="V1397" s="4" t="n">
        <v>0</v>
      </c>
      <c r="W1397" s="4" t="n">
        <v>0</v>
      </c>
    </row>
    <row r="1398" customFormat="false" ht="15" hidden="false" customHeight="false" outlineLevel="0" collapsed="false">
      <c r="A1398" s="4" t="s">
        <v>3022</v>
      </c>
      <c r="B1398" s="4" t="n">
        <v>2013</v>
      </c>
      <c r="C1398" s="4" t="str">
        <f aca="false">FLOOR(B1398,10)&amp;"s"</f>
        <v>2010s</v>
      </c>
      <c r="D1398" s="4" t="s">
        <v>3023</v>
      </c>
      <c r="E1398" s="25" t="str">
        <f aca="false">IF(G1398=1,"✓","")</f>
        <v/>
      </c>
      <c r="F1398" s="4" t="n">
        <v>1</v>
      </c>
      <c r="G1398" s="4" t="n">
        <f aca="false">IF(COUNTIF('Letterboxd Watched'!$E$2:$E$3000,M1398)&gt;0,1,0)</f>
        <v>0</v>
      </c>
      <c r="H1398" s="4" t="n">
        <v>2</v>
      </c>
      <c r="I1398" s="4" t="s">
        <v>213</v>
      </c>
      <c r="J1398" s="4" t="s">
        <v>51</v>
      </c>
      <c r="K1398" s="4" t="s">
        <v>4028</v>
      </c>
      <c r="L1398" s="48" t="str">
        <f aca="false">HYPERLINK("https://letterboxd.com/search/films/The+Lunchbox+2013/","open")</f>
        <v>open</v>
      </c>
      <c r="M1398" s="4" t="str">
        <f aca="false">LOWER(A1398)&amp;"|"&amp;B1398</f>
        <v>the lunchbox|2013</v>
      </c>
      <c r="N1398" s="4" t="n">
        <v>0</v>
      </c>
      <c r="O1398" s="4" t="n">
        <v>0</v>
      </c>
      <c r="P1398" s="4" t="n">
        <v>1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</row>
    <row r="1399" customFormat="false" ht="15" hidden="false" customHeight="false" outlineLevel="0" collapsed="false">
      <c r="A1399" s="4" t="s">
        <v>247</v>
      </c>
      <c r="B1399" s="4" t="n">
        <v>1931</v>
      </c>
      <c r="C1399" s="4" t="str">
        <f aca="false">FLOOR(B1399,10)&amp;"s"</f>
        <v>1930s</v>
      </c>
      <c r="D1399" s="4" t="s">
        <v>248</v>
      </c>
      <c r="E1399" s="25" t="str">
        <f aca="false">IF(G1399=1,"✓","")</f>
        <v>✓</v>
      </c>
      <c r="F1399" s="4" t="n">
        <v>5</v>
      </c>
      <c r="G1399" s="4" t="n">
        <f aca="false">IF(COUNTIF('Letterboxd Watched'!$E$2:$E$3000,M1399)&gt;0,1,0)</f>
        <v>1</v>
      </c>
      <c r="H1399" s="4" t="n">
        <v>12</v>
      </c>
      <c r="I1399" s="4" t="s">
        <v>144</v>
      </c>
      <c r="J1399" s="4" t="s">
        <v>49</v>
      </c>
      <c r="K1399" s="4" t="s">
        <v>5588</v>
      </c>
      <c r="L1399" s="48" t="str">
        <f aca="false">HYPERLINK("https://boxd.it/29vq","open")</f>
        <v>open</v>
      </c>
      <c r="M1399" s="4" t="str">
        <f aca="false">LOWER(A1399)&amp;"|"&amp;B1399</f>
        <v>m|1931</v>
      </c>
      <c r="N1399" s="4" t="n">
        <v>1</v>
      </c>
      <c r="O1399" s="4" t="n">
        <v>1</v>
      </c>
      <c r="P1399" s="4" t="n">
        <v>0</v>
      </c>
      <c r="Q1399" s="4" t="n">
        <v>1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1</v>
      </c>
      <c r="W1399" s="4" t="n">
        <v>0</v>
      </c>
    </row>
    <row r="1400" customFormat="false" ht="15" hidden="false" customHeight="false" outlineLevel="0" collapsed="false">
      <c r="A1400" s="4" t="s">
        <v>422</v>
      </c>
      <c r="B1400" s="4" t="n">
        <v>1970</v>
      </c>
      <c r="C1400" s="4" t="str">
        <f aca="false">FLOOR(B1400,10)&amp;"s"</f>
        <v>1970s</v>
      </c>
      <c r="D1400" s="4" t="s">
        <v>197</v>
      </c>
      <c r="E1400" s="25" t="str">
        <f aca="false">IF(G1400=1,"✓","")</f>
        <v>✓</v>
      </c>
      <c r="F1400" s="4" t="n">
        <v>4</v>
      </c>
      <c r="G1400" s="4" t="n">
        <f aca="false">IF(COUNTIF('Letterboxd Watched'!$E$2:$E$3000,M1400)&gt;0,1,0)</f>
        <v>1</v>
      </c>
      <c r="H1400" s="4" t="n">
        <v>8</v>
      </c>
      <c r="I1400" s="4" t="s">
        <v>213</v>
      </c>
      <c r="J1400" s="4" t="s">
        <v>52</v>
      </c>
      <c r="K1400" s="4" t="s">
        <v>5589</v>
      </c>
      <c r="L1400" s="48" t="str">
        <f aca="false">HYPERLINK("https://boxd.it/29U6","open")</f>
        <v>open</v>
      </c>
      <c r="M1400" s="4" t="str">
        <f aca="false">LOWER(A1400)&amp;"|"&amp;B1400</f>
        <v>m*a*s*h|1970</v>
      </c>
      <c r="N1400" s="4" t="n">
        <v>0</v>
      </c>
      <c r="O1400" s="4" t="n">
        <v>0</v>
      </c>
      <c r="P1400" s="4" t="n">
        <v>0</v>
      </c>
      <c r="Q1400" s="4" t="n">
        <v>1</v>
      </c>
      <c r="R1400" s="4" t="n">
        <v>1</v>
      </c>
      <c r="S1400" s="4" t="n">
        <v>0</v>
      </c>
      <c r="T1400" s="4" t="n">
        <v>0</v>
      </c>
      <c r="U1400" s="4" t="n">
        <v>0</v>
      </c>
      <c r="V1400" s="4" t="n">
        <v>1</v>
      </c>
      <c r="W1400" s="4" t="n">
        <v>0</v>
      </c>
    </row>
    <row r="1401" customFormat="false" ht="15" hidden="false" customHeight="false" outlineLevel="0" collapsed="false">
      <c r="A1401" s="4" t="s">
        <v>2604</v>
      </c>
      <c r="B1401" s="4" t="n">
        <v>1995</v>
      </c>
      <c r="C1401" s="4" t="str">
        <f aca="false">FLOOR(B1401,10)&amp;"s"</f>
        <v>1990s</v>
      </c>
      <c r="D1401" s="4" t="s">
        <v>1205</v>
      </c>
      <c r="E1401" s="25" t="str">
        <f aca="false">IF(G1401=1,"✓","")</f>
        <v/>
      </c>
      <c r="F1401" s="4" t="n">
        <v>1</v>
      </c>
      <c r="G1401" s="4" t="n">
        <f aca="false">IF(COUNTIF('Letterboxd Watched'!$E$2:$E$3000,M1401)&gt;0,1,0)</f>
        <v>0</v>
      </c>
      <c r="H1401" s="4" t="n">
        <v>2</v>
      </c>
      <c r="I1401" s="4" t="s">
        <v>213</v>
      </c>
      <c r="J1401" s="4" t="s">
        <v>51</v>
      </c>
      <c r="K1401" s="4" t="s">
        <v>3940</v>
      </c>
      <c r="L1401" s="48" t="str">
        <f aca="false">HYPERLINK("https://boxd.it/1G9U","open")</f>
        <v>open</v>
      </c>
      <c r="M1401" s="4" t="str">
        <f aca="false">LOWER(A1401)&amp;"|"&amp;B1401</f>
        <v>maborosi|1995</v>
      </c>
      <c r="N1401" s="4" t="n">
        <v>0</v>
      </c>
      <c r="O1401" s="4" t="n">
        <v>0</v>
      </c>
      <c r="P1401" s="4" t="n">
        <v>1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 customFormat="false" ht="15" hidden="false" customHeight="false" outlineLevel="0" collapsed="false">
      <c r="A1402" s="4" t="s">
        <v>3405</v>
      </c>
      <c r="B1402" s="4" t="n">
        <v>1960</v>
      </c>
      <c r="C1402" s="4" t="str">
        <f aca="false">FLOOR(B1402,10)&amp;"s"</f>
        <v>1960s</v>
      </c>
      <c r="D1402" s="4" t="s">
        <v>3406</v>
      </c>
      <c r="E1402" s="25" t="str">
        <f aca="false">IF(G1402=1,"✓","")</f>
        <v/>
      </c>
      <c r="F1402" s="4" t="n">
        <v>1</v>
      </c>
      <c r="G1402" s="4" t="n">
        <f aca="false">IF(COUNTIF('Letterboxd Watched'!$E$2:$E$3000,M1402)&gt;0,1,0)</f>
        <v>0</v>
      </c>
      <c r="H1402" s="4" t="n">
        <v>1</v>
      </c>
      <c r="I1402" s="4" t="s">
        <v>1327</v>
      </c>
      <c r="J1402" s="4" t="s">
        <v>51</v>
      </c>
      <c r="K1402" s="4" t="s">
        <v>4004</v>
      </c>
      <c r="L1402" s="48" t="str">
        <f aca="false">HYPERLINK("https://boxd.it/41Va","open")</f>
        <v>open</v>
      </c>
      <c r="M1402" s="4" t="str">
        <f aca="false">LOWER(A1402)&amp;"|"&amp;B1402</f>
        <v>macario|1960</v>
      </c>
      <c r="N1402" s="4" t="n">
        <v>0</v>
      </c>
      <c r="O1402" s="4" t="n">
        <v>0</v>
      </c>
      <c r="P1402" s="4" t="n">
        <v>1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 customFormat="false" ht="15" hidden="false" customHeight="false" outlineLevel="0" collapsed="false">
      <c r="A1403" s="4" t="s">
        <v>3350</v>
      </c>
      <c r="B1403" s="4" t="n">
        <v>1948</v>
      </c>
      <c r="C1403" s="4" t="str">
        <f aca="false">FLOOR(B1403,10)&amp;"s"</f>
        <v>1940s</v>
      </c>
      <c r="D1403" s="4" t="s">
        <v>143</v>
      </c>
      <c r="E1403" s="25" t="str">
        <f aca="false">IF(G1403=1,"✓","")</f>
        <v/>
      </c>
      <c r="F1403" s="4" t="n">
        <v>1</v>
      </c>
      <c r="G1403" s="4" t="n">
        <f aca="false">IF(COUNTIF('Letterboxd Watched'!$E$2:$E$3000,M1403)&gt;0,1,0)</f>
        <v>0</v>
      </c>
      <c r="H1403" s="4" t="n">
        <v>1</v>
      </c>
      <c r="I1403" s="4" t="s">
        <v>1327</v>
      </c>
      <c r="J1403" s="4" t="s">
        <v>53</v>
      </c>
      <c r="K1403" s="4" t="s">
        <v>143</v>
      </c>
      <c r="L1403" s="48" t="str">
        <f aca="false">HYPERLINK("https://boxd.it/1qKA","open")</f>
        <v>open</v>
      </c>
      <c r="M1403" s="4" t="str">
        <f aca="false">LOWER(A1403)&amp;"|"&amp;B1403</f>
        <v>macbeth|1948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1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</row>
    <row r="1404" customFormat="false" ht="15" hidden="false" customHeight="false" outlineLevel="0" collapsed="false">
      <c r="A1404" s="4" t="s">
        <v>2139</v>
      </c>
      <c r="B1404" s="4" t="n">
        <v>1969</v>
      </c>
      <c r="C1404" s="4" t="str">
        <f aca="false">FLOOR(B1404,10)&amp;"s"</f>
        <v>1960s</v>
      </c>
      <c r="D1404" s="4" t="s">
        <v>2140</v>
      </c>
      <c r="E1404" s="25" t="str">
        <f aca="false">IF(G1404=1,"✓","")</f>
        <v/>
      </c>
      <c r="F1404" s="4" t="n">
        <v>1</v>
      </c>
      <c r="G1404" s="4" t="n">
        <f aca="false">IF(COUNTIF('Letterboxd Watched'!$E$2:$E$3000,M1404)&gt;0,1,0)</f>
        <v>0</v>
      </c>
      <c r="H1404" s="4" t="n">
        <v>2</v>
      </c>
      <c r="I1404" s="4" t="s">
        <v>213</v>
      </c>
      <c r="J1404" s="4" t="s">
        <v>51</v>
      </c>
      <c r="K1404" s="4" t="s">
        <v>4006</v>
      </c>
      <c r="L1404" s="48" t="str">
        <f aca="false">HYPERLINK("https://letterboxd.com/search/films/Macunaíma+1969/","open")</f>
        <v>open</v>
      </c>
      <c r="M1404" s="4" t="str">
        <f aca="false">LOWER(A1404)&amp;"|"&amp;B1404</f>
        <v>macunaíma|1969</v>
      </c>
      <c r="N1404" s="4" t="n">
        <v>0</v>
      </c>
      <c r="O1404" s="4" t="n">
        <v>0</v>
      </c>
      <c r="P1404" s="4" t="n">
        <v>1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</row>
    <row r="1405" customFormat="false" ht="15" hidden="false" customHeight="false" outlineLevel="0" collapsed="false">
      <c r="A1405" s="4" t="s">
        <v>3856</v>
      </c>
      <c r="B1405" s="4" t="n">
        <v>2021</v>
      </c>
      <c r="C1405" s="4" t="str">
        <f aca="false">FLOOR(B1405,10)&amp;"s"</f>
        <v>2020s</v>
      </c>
      <c r="D1405" s="4" t="s">
        <v>3857</v>
      </c>
      <c r="E1405" s="25" t="str">
        <f aca="false">IF(G1405=1,"✓","")</f>
        <v/>
      </c>
      <c r="F1405" s="4" t="n">
        <v>1</v>
      </c>
      <c r="G1405" s="4" t="n">
        <f aca="false">IF(COUNTIF('Letterboxd Watched'!$E$2:$E$3000,M1405)&gt;0,1,0)</f>
        <v>0</v>
      </c>
      <c r="H1405" s="4" t="n">
        <v>1</v>
      </c>
      <c r="I1405" s="4" t="s">
        <v>1327</v>
      </c>
      <c r="J1405" s="4" t="s">
        <v>52</v>
      </c>
      <c r="K1405" s="4" t="s">
        <v>4164</v>
      </c>
      <c r="L1405" s="48" t="str">
        <f aca="false">HYPERLINK("https://boxd.it/vVPm","open")</f>
        <v>open</v>
      </c>
      <c r="M1405" s="4" t="str">
        <f aca="false">LOWER(A1405)&amp;"|"&amp;B1405</f>
        <v>mad god|2021</v>
      </c>
      <c r="N1405" s="4" t="n">
        <v>0</v>
      </c>
      <c r="O1405" s="4" t="n">
        <v>0</v>
      </c>
      <c r="P1405" s="4" t="n">
        <v>0</v>
      </c>
      <c r="Q1405" s="4" t="n">
        <v>1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</row>
    <row r="1406" customFormat="false" ht="15" hidden="false" customHeight="false" outlineLevel="0" collapsed="false">
      <c r="A1406" s="4" t="s">
        <v>1514</v>
      </c>
      <c r="B1406" s="4" t="n">
        <v>1979</v>
      </c>
      <c r="C1406" s="4" t="str">
        <f aca="false">FLOOR(B1406,10)&amp;"s"</f>
        <v>1970s</v>
      </c>
      <c r="D1406" s="4" t="s">
        <v>872</v>
      </c>
      <c r="E1406" s="25" t="str">
        <f aca="false">IF(G1406=1,"✓","")</f>
        <v>✓</v>
      </c>
      <c r="F1406" s="4" t="n">
        <v>1</v>
      </c>
      <c r="G1406" s="4" t="n">
        <f aca="false">IF(COUNTIF('Letterboxd Watched'!$E$2:$E$3000,M1406)&gt;0,1,0)</f>
        <v>1</v>
      </c>
      <c r="H1406" s="4" t="n">
        <v>3</v>
      </c>
      <c r="I1406" s="4" t="s">
        <v>144</v>
      </c>
      <c r="J1406" s="4" t="s">
        <v>51</v>
      </c>
      <c r="K1406" s="4" t="s">
        <v>4038</v>
      </c>
      <c r="L1406" s="48" t="str">
        <f aca="false">HYPERLINK("https://boxd.it/1Y7i","open")</f>
        <v>open</v>
      </c>
      <c r="M1406" s="4" t="str">
        <f aca="false">LOWER(A1406)&amp;"|"&amp;B1406</f>
        <v>mad max|1979</v>
      </c>
      <c r="N1406" s="4" t="n">
        <v>0</v>
      </c>
      <c r="O1406" s="4" t="n">
        <v>0</v>
      </c>
      <c r="P1406" s="4" t="n">
        <v>1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</row>
    <row r="1407" customFormat="false" ht="15" hidden="false" customHeight="false" outlineLevel="0" collapsed="false">
      <c r="A1407" s="4" t="s">
        <v>2351</v>
      </c>
      <c r="B1407" s="4" t="n">
        <v>1981</v>
      </c>
      <c r="C1407" s="4" t="str">
        <f aca="false">FLOOR(B1407,10)&amp;"s"</f>
        <v>1980s</v>
      </c>
      <c r="D1407" s="4" t="s">
        <v>872</v>
      </c>
      <c r="E1407" s="25" t="str">
        <f aca="false">IF(G1407=1,"✓","")</f>
        <v/>
      </c>
      <c r="F1407" s="4" t="n">
        <v>1</v>
      </c>
      <c r="G1407" s="4" t="n">
        <f aca="false">IF(COUNTIF('Letterboxd Watched'!$E$2:$E$3000,M1407)&gt;0,1,0)</f>
        <v>0</v>
      </c>
      <c r="H1407" s="4" t="n">
        <v>2</v>
      </c>
      <c r="I1407" s="4" t="s">
        <v>213</v>
      </c>
      <c r="J1407" s="4" t="s">
        <v>51</v>
      </c>
      <c r="K1407" s="4" t="s">
        <v>4038</v>
      </c>
      <c r="L1407" s="48" t="str">
        <f aca="false">HYPERLINK("https://boxd.it/1ZPg","open")</f>
        <v>open</v>
      </c>
      <c r="M1407" s="4" t="str">
        <f aca="false">LOWER(A1407)&amp;"|"&amp;B1407</f>
        <v>mad max 2|1981</v>
      </c>
      <c r="N1407" s="4" t="n">
        <v>0</v>
      </c>
      <c r="O1407" s="4" t="n">
        <v>0</v>
      </c>
      <c r="P1407" s="4" t="n">
        <v>1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 customFormat="false" ht="15" hidden="false" customHeight="false" outlineLevel="0" collapsed="false">
      <c r="A1408" s="4" t="s">
        <v>871</v>
      </c>
      <c r="B1408" s="4" t="n">
        <v>2015</v>
      </c>
      <c r="C1408" s="4" t="str">
        <f aca="false">FLOOR(B1408,10)&amp;"s"</f>
        <v>2010s</v>
      </c>
      <c r="D1408" s="4" t="s">
        <v>872</v>
      </c>
      <c r="E1408" s="25" t="str">
        <f aca="false">IF(G1408=1,"✓","")</f>
        <v/>
      </c>
      <c r="F1408" s="4" t="n">
        <v>2</v>
      </c>
      <c r="G1408" s="4" t="n">
        <f aca="false">IF(COUNTIF('Letterboxd Watched'!$E$2:$E$3000,M1408)&gt;0,1,0)</f>
        <v>0</v>
      </c>
      <c r="H1408" s="4" t="n">
        <v>5</v>
      </c>
      <c r="I1408" s="4" t="s">
        <v>144</v>
      </c>
      <c r="J1408" s="4" t="s">
        <v>49</v>
      </c>
      <c r="K1408" s="4" t="s">
        <v>5590</v>
      </c>
      <c r="L1408" s="48" t="str">
        <f aca="false">HYPERLINK("https://boxd.it/2DjO","open")</f>
        <v>open</v>
      </c>
      <c r="M1408" s="4" t="str">
        <f aca="false">LOWER(A1408)&amp;"|"&amp;B1408</f>
        <v>mad max: fury road|2015</v>
      </c>
      <c r="N1408" s="4" t="n">
        <v>1</v>
      </c>
      <c r="O1408" s="4" t="n">
        <v>0</v>
      </c>
      <c r="P1408" s="4" t="n">
        <v>0</v>
      </c>
      <c r="Q1408" s="4" t="n">
        <v>1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</row>
    <row r="1409" customFormat="false" ht="15" hidden="false" customHeight="false" outlineLevel="0" collapsed="false">
      <c r="A1409" s="4" t="s">
        <v>1813</v>
      </c>
      <c r="B1409" s="4" t="n">
        <v>1943</v>
      </c>
      <c r="C1409" s="4" t="str">
        <f aca="false">FLOOR(B1409,10)&amp;"s"</f>
        <v>1940s</v>
      </c>
      <c r="D1409" s="4" t="s">
        <v>909</v>
      </c>
      <c r="E1409" s="25" t="str">
        <f aca="false">IF(G1409=1,"✓","")</f>
        <v/>
      </c>
      <c r="F1409" s="4" t="n">
        <v>1</v>
      </c>
      <c r="G1409" s="4" t="n">
        <f aca="false">IF(COUNTIF('Letterboxd Watched'!$E$2:$E$3000,M1409)&gt;0,1,0)</f>
        <v>0</v>
      </c>
      <c r="H1409" s="4" t="n">
        <v>2</v>
      </c>
      <c r="I1409" s="4" t="s">
        <v>213</v>
      </c>
      <c r="J1409" s="4" t="s">
        <v>55</v>
      </c>
      <c r="K1409" s="4" t="s">
        <v>4338</v>
      </c>
      <c r="L1409" s="48" t="str">
        <f aca="false">HYPERLINK("https://letterboxd.com/search/films/Madame+Curie+1943/","open")</f>
        <v>open</v>
      </c>
      <c r="M1409" s="4" t="str">
        <f aca="false">LOWER(A1409)&amp;"|"&amp;B1409</f>
        <v>madame curie|1943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1</v>
      </c>
      <c r="U1409" s="4" t="n">
        <v>0</v>
      </c>
      <c r="V1409" s="4" t="n">
        <v>0</v>
      </c>
      <c r="W1409" s="4" t="n">
        <v>0</v>
      </c>
    </row>
    <row r="1410" customFormat="false" ht="15" hidden="false" customHeight="false" outlineLevel="0" collapsed="false">
      <c r="A1410" s="4" t="s">
        <v>1720</v>
      </c>
      <c r="B1410" s="4" t="n">
        <v>1931</v>
      </c>
      <c r="C1410" s="4" t="str">
        <f aca="false">FLOOR(B1410,10)&amp;"s"</f>
        <v>1930s</v>
      </c>
      <c r="D1410" s="4" t="s">
        <v>1721</v>
      </c>
      <c r="E1410" s="25" t="str">
        <f aca="false">IF(G1410=1,"✓","")</f>
        <v/>
      </c>
      <c r="F1410" s="4" t="n">
        <v>1</v>
      </c>
      <c r="G1410" s="4" t="n">
        <f aca="false">IF(COUNTIF('Letterboxd Watched'!$E$2:$E$3000,M1410)&gt;0,1,0)</f>
        <v>0</v>
      </c>
      <c r="H1410" s="4" t="n">
        <v>2</v>
      </c>
      <c r="I1410" s="4" t="s">
        <v>213</v>
      </c>
      <c r="J1410" s="4" t="s">
        <v>54</v>
      </c>
      <c r="K1410" s="4" t="s">
        <v>4296</v>
      </c>
      <c r="L1410" s="48" t="str">
        <f aca="false">HYPERLINK("https://letterboxd.com/search/films/Mädchen+in+Uniform+1931/","open")</f>
        <v>open</v>
      </c>
      <c r="M1410" s="4" t="str">
        <f aca="false">LOWER(A1410)&amp;"|"&amp;B1410</f>
        <v>mädchen in uniform|1931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1</v>
      </c>
      <c r="T1410" s="4" t="n">
        <v>0</v>
      </c>
      <c r="U1410" s="4" t="n">
        <v>0</v>
      </c>
      <c r="V1410" s="4" t="n">
        <v>0</v>
      </c>
      <c r="W1410" s="4" t="n">
        <v>0</v>
      </c>
    </row>
    <row r="1411" customFormat="false" ht="15" hidden="false" customHeight="false" outlineLevel="0" collapsed="false">
      <c r="A1411" s="4" t="s">
        <v>2355</v>
      </c>
      <c r="B1411" s="4" t="n">
        <v>1982</v>
      </c>
      <c r="C1411" s="4" t="str">
        <f aca="false">FLOOR(B1411,10)&amp;"s"</f>
        <v>1980s</v>
      </c>
      <c r="D1411" s="4" t="s">
        <v>2356</v>
      </c>
      <c r="E1411" s="25" t="str">
        <f aca="false">IF(G1411=1,"✓","")</f>
        <v/>
      </c>
      <c r="F1411" s="4" t="n">
        <v>1</v>
      </c>
      <c r="G1411" s="4" t="n">
        <f aca="false">IF(COUNTIF('Letterboxd Watched'!$E$2:$E$3000,M1411)&gt;0,1,0)</f>
        <v>0</v>
      </c>
      <c r="H1411" s="4" t="n">
        <v>2</v>
      </c>
      <c r="I1411" s="4" t="s">
        <v>213</v>
      </c>
      <c r="J1411" s="4" t="s">
        <v>51</v>
      </c>
      <c r="K1411" s="4" t="s">
        <v>3982</v>
      </c>
      <c r="L1411" s="48" t="str">
        <f aca="false">HYPERLINK("https://letterboxd.com/search/films/Made+in+Britain+1982/","open")</f>
        <v>open</v>
      </c>
      <c r="M1411" s="4" t="str">
        <f aca="false">LOWER(A1411)&amp;"|"&amp;B1411</f>
        <v>made in britain|1982</v>
      </c>
      <c r="N1411" s="4" t="n">
        <v>0</v>
      </c>
      <c r="O1411" s="4" t="n">
        <v>0</v>
      </c>
      <c r="P1411" s="4" t="n">
        <v>1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 customFormat="false" ht="15" hidden="false" customHeight="false" outlineLevel="0" collapsed="false">
      <c r="A1412" s="4" t="s">
        <v>3697</v>
      </c>
      <c r="B1412" s="4" t="n">
        <v>1997</v>
      </c>
      <c r="C1412" s="4" t="str">
        <f aca="false">FLOOR(B1412,10)&amp;"s"</f>
        <v>1990s</v>
      </c>
      <c r="D1412" s="4" t="s">
        <v>3698</v>
      </c>
      <c r="E1412" s="25" t="str">
        <f aca="false">IF(G1412=1,"✓","")</f>
        <v/>
      </c>
      <c r="F1412" s="4" t="n">
        <v>1</v>
      </c>
      <c r="G1412" s="4" t="n">
        <f aca="false">IF(COUNTIF('Letterboxd Watched'!$E$2:$E$3000,M1412)&gt;0,1,0)</f>
        <v>0</v>
      </c>
      <c r="H1412" s="4" t="n">
        <v>1</v>
      </c>
      <c r="I1412" s="4" t="s">
        <v>1327</v>
      </c>
      <c r="J1412" s="4" t="s">
        <v>51</v>
      </c>
      <c r="K1412" s="4" t="s">
        <v>4016</v>
      </c>
      <c r="L1412" s="48" t="str">
        <f aca="false">HYPERLINK("https://boxd.it/1uFk","open")</f>
        <v>open</v>
      </c>
      <c r="M1412" s="4" t="str">
        <f aca="false">LOWER(A1412)&amp;"|"&amp;B1412</f>
        <v>made in hong kong|1997</v>
      </c>
      <c r="N1412" s="4" t="n">
        <v>0</v>
      </c>
      <c r="O1412" s="4" t="n">
        <v>0</v>
      </c>
      <c r="P1412" s="4" t="n">
        <v>1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 customFormat="false" ht="15" hidden="false" customHeight="false" outlineLevel="0" collapsed="false">
      <c r="A1413" s="4" t="s">
        <v>918</v>
      </c>
      <c r="B1413" s="4" t="n">
        <v>1942</v>
      </c>
      <c r="C1413" s="4" t="str">
        <f aca="false">FLOOR(B1413,10)&amp;"s"</f>
        <v>1940s</v>
      </c>
      <c r="D1413" s="4" t="s">
        <v>143</v>
      </c>
      <c r="E1413" s="25" t="str">
        <f aca="false">IF(G1413=1,"✓","")</f>
        <v/>
      </c>
      <c r="F1413" s="4" t="n">
        <v>2</v>
      </c>
      <c r="G1413" s="4" t="n">
        <f aca="false">IF(COUNTIF('Letterboxd Watched'!$E$2:$E$3000,M1413)&gt;0,1,0)</f>
        <v>0</v>
      </c>
      <c r="H1413" s="4" t="n">
        <v>4</v>
      </c>
      <c r="I1413" s="4" t="s">
        <v>213</v>
      </c>
      <c r="J1413" s="4" t="s">
        <v>49</v>
      </c>
      <c r="K1413" s="4" t="s">
        <v>5591</v>
      </c>
      <c r="L1413" s="48" t="str">
        <f aca="false">HYPERLINK("https://boxd.it/29bK","open")</f>
        <v>open</v>
      </c>
      <c r="M1413" s="4" t="str">
        <f aca="false">LOWER(A1413)&amp;"|"&amp;B1413</f>
        <v>the magnificent ambersons|1942</v>
      </c>
      <c r="N1413" s="4" t="n">
        <v>1</v>
      </c>
      <c r="O1413" s="4" t="n">
        <v>0</v>
      </c>
      <c r="P1413" s="4" t="n">
        <v>0</v>
      </c>
      <c r="Q1413" s="4" t="n">
        <v>0</v>
      </c>
      <c r="R1413" s="4" t="n">
        <v>1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 customFormat="false" ht="15" hidden="false" customHeight="false" outlineLevel="0" collapsed="false">
      <c r="A1414" s="4" t="s">
        <v>1907</v>
      </c>
      <c r="B1414" s="4" t="n">
        <v>1954</v>
      </c>
      <c r="C1414" s="4" t="str">
        <f aca="false">FLOOR(B1414,10)&amp;"s"</f>
        <v>1950s</v>
      </c>
      <c r="D1414" s="4" t="s">
        <v>1447</v>
      </c>
      <c r="E1414" s="25" t="str">
        <f aca="false">IF(G1414=1,"✓","")</f>
        <v/>
      </c>
      <c r="F1414" s="4" t="n">
        <v>1</v>
      </c>
      <c r="G1414" s="4" t="n">
        <f aca="false">IF(COUNTIF('Letterboxd Watched'!$E$2:$E$3000,M1414)&gt;0,1,0)</f>
        <v>0</v>
      </c>
      <c r="H1414" s="4" t="n">
        <v>2</v>
      </c>
      <c r="I1414" s="4" t="s">
        <v>213</v>
      </c>
      <c r="J1414" s="4" t="s">
        <v>52</v>
      </c>
      <c r="K1414" s="4" t="s">
        <v>4146</v>
      </c>
      <c r="L1414" s="48" t="str">
        <f aca="false">HYPERLINK("https://boxd.it/1Q8M","open")</f>
        <v>open</v>
      </c>
      <c r="M1414" s="4" t="str">
        <f aca="false">LOWER(A1414)&amp;"|"&amp;B1414</f>
        <v>magnificent obsession|1954</v>
      </c>
      <c r="N1414" s="4" t="n">
        <v>0</v>
      </c>
      <c r="O1414" s="4" t="n">
        <v>0</v>
      </c>
      <c r="P1414" s="4" t="n">
        <v>0</v>
      </c>
      <c r="Q1414" s="4" t="n">
        <v>1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</row>
    <row r="1415" customFormat="false" ht="15" hidden="false" customHeight="false" outlineLevel="0" collapsed="false">
      <c r="A1415" s="4" t="s">
        <v>1457</v>
      </c>
      <c r="B1415" s="4" t="n">
        <v>1960</v>
      </c>
      <c r="C1415" s="4" t="str">
        <f aca="false">FLOOR(B1415,10)&amp;"s"</f>
        <v>1960s</v>
      </c>
      <c r="D1415" s="4" t="s">
        <v>971</v>
      </c>
      <c r="E1415" s="25" t="str">
        <f aca="false">IF(G1415=1,"✓","")</f>
        <v/>
      </c>
      <c r="F1415" s="4" t="n">
        <v>1</v>
      </c>
      <c r="G1415" s="4" t="n">
        <f aca="false">IF(COUNTIF('Letterboxd Watched'!$E$2:$E$3000,M1415)&gt;0,1,0)</f>
        <v>0</v>
      </c>
      <c r="H1415" s="4" t="n">
        <v>3</v>
      </c>
      <c r="I1415" s="4" t="s">
        <v>144</v>
      </c>
      <c r="J1415" s="4" t="s">
        <v>56</v>
      </c>
      <c r="K1415" s="4" t="s">
        <v>4412</v>
      </c>
      <c r="L1415" s="48" t="str">
        <f aca="false">HYPERLINK("https://boxd.it/29bA","open")</f>
        <v>open</v>
      </c>
      <c r="M1415" s="4" t="str">
        <f aca="false">LOWER(A1415)&amp;"|"&amp;B1415</f>
        <v>the magnificent seven|1960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1</v>
      </c>
      <c r="V1415" s="4" t="n">
        <v>0</v>
      </c>
      <c r="W1415" s="4" t="n">
        <v>0</v>
      </c>
    </row>
    <row r="1416" customFormat="false" ht="15" hidden="false" customHeight="false" outlineLevel="0" collapsed="false">
      <c r="A1416" s="4" t="s">
        <v>509</v>
      </c>
      <c r="B1416" s="4" t="n">
        <v>1999</v>
      </c>
      <c r="C1416" s="4" t="str">
        <f aca="false">FLOOR(B1416,10)&amp;"s"</f>
        <v>1990s</v>
      </c>
      <c r="D1416" s="4" t="s">
        <v>278</v>
      </c>
      <c r="E1416" s="25" t="str">
        <f aca="false">IF(G1416=1,"✓","")</f>
        <v>✓</v>
      </c>
      <c r="F1416" s="4" t="n">
        <v>3</v>
      </c>
      <c r="G1416" s="4" t="n">
        <f aca="false">IF(COUNTIF('Letterboxd Watched'!$E$2:$E$3000,M1416)&gt;0,1,0)</f>
        <v>1</v>
      </c>
      <c r="H1416" s="4" t="n">
        <v>7</v>
      </c>
      <c r="I1416" s="4" t="s">
        <v>144</v>
      </c>
      <c r="J1416" s="4" t="s">
        <v>50</v>
      </c>
      <c r="K1416" s="4" t="s">
        <v>5592</v>
      </c>
      <c r="L1416" s="48" t="str">
        <f aca="false">HYPERLINK("https://boxd.it/2aze","open")</f>
        <v>open</v>
      </c>
      <c r="M1416" s="4" t="str">
        <f aca="false">LOWER(A1416)&amp;"|"&amp;B1416</f>
        <v>magnolia|1999</v>
      </c>
      <c r="N1416" s="4" t="n">
        <v>0</v>
      </c>
      <c r="O1416" s="4" t="n">
        <v>1</v>
      </c>
      <c r="P1416" s="4" t="n">
        <v>0</v>
      </c>
      <c r="Q1416" s="4" t="n">
        <v>0</v>
      </c>
      <c r="R1416" s="4" t="n">
        <v>1</v>
      </c>
      <c r="S1416" s="4" t="n">
        <v>1</v>
      </c>
      <c r="T1416" s="4" t="n">
        <v>0</v>
      </c>
      <c r="U1416" s="4" t="n">
        <v>0</v>
      </c>
      <c r="V1416" s="4" t="n">
        <v>0</v>
      </c>
      <c r="W1416" s="4" t="n">
        <v>0</v>
      </c>
    </row>
    <row r="1417" customFormat="false" ht="15" hidden="false" customHeight="false" outlineLevel="0" collapsed="false">
      <c r="A1417" s="4" t="s">
        <v>1773</v>
      </c>
      <c r="B1417" s="4" t="n">
        <v>1937</v>
      </c>
      <c r="C1417" s="4" t="str">
        <f aca="false">FLOOR(B1417,10)&amp;"s"</f>
        <v>1930s</v>
      </c>
      <c r="D1417" s="4" t="s">
        <v>450</v>
      </c>
      <c r="E1417" s="25" t="str">
        <f aca="false">IF(G1417=1,"✓","")</f>
        <v/>
      </c>
      <c r="F1417" s="4" t="n">
        <v>1</v>
      </c>
      <c r="G1417" s="4" t="n">
        <f aca="false">IF(COUNTIF('Letterboxd Watched'!$E$2:$E$3000,M1417)&gt;0,1,0)</f>
        <v>0</v>
      </c>
      <c r="H1417" s="4" t="n">
        <v>2</v>
      </c>
      <c r="I1417" s="4" t="s">
        <v>213</v>
      </c>
      <c r="J1417" s="4" t="s">
        <v>55</v>
      </c>
      <c r="K1417" s="4" t="s">
        <v>4350</v>
      </c>
      <c r="L1417" s="48" t="str">
        <f aca="false">HYPERLINK("https://boxd.it/10hC","open")</f>
        <v>open</v>
      </c>
      <c r="M1417" s="4" t="str">
        <f aca="false">LOWER(A1417)&amp;"|"&amp;B1417</f>
        <v>make way for tomorrow|1937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1</v>
      </c>
      <c r="U1417" s="4" t="n">
        <v>0</v>
      </c>
      <c r="V1417" s="4" t="n">
        <v>0</v>
      </c>
      <c r="W1417" s="4" t="n">
        <v>0</v>
      </c>
    </row>
    <row r="1418" customFormat="false" ht="15" hidden="false" customHeight="false" outlineLevel="0" collapsed="false">
      <c r="A1418" s="4" t="s">
        <v>2440</v>
      </c>
      <c r="B1418" s="4" t="n">
        <v>1986</v>
      </c>
      <c r="C1418" s="4" t="str">
        <f aca="false">FLOOR(B1418,10)&amp;"s"</f>
        <v>1980s</v>
      </c>
      <c r="D1418" s="4" t="s">
        <v>827</v>
      </c>
      <c r="E1418" s="25" t="str">
        <f aca="false">IF(G1418=1,"✓","")</f>
        <v/>
      </c>
      <c r="F1418" s="4" t="n">
        <v>1</v>
      </c>
      <c r="G1418" s="4" t="n">
        <f aca="false">IF(COUNTIF('Letterboxd Watched'!$E$2:$E$3000,M1418)&gt;0,1,0)</f>
        <v>0</v>
      </c>
      <c r="H1418" s="4" t="n">
        <v>2</v>
      </c>
      <c r="I1418" s="4" t="s">
        <v>213</v>
      </c>
      <c r="J1418" s="4" t="s">
        <v>54</v>
      </c>
      <c r="K1418" s="4" t="s">
        <v>4298</v>
      </c>
      <c r="L1418" s="48" t="str">
        <f aca="false">HYPERLINK("https://boxd.it/2avc","open")</f>
        <v>open</v>
      </c>
      <c r="M1418" s="4" t="str">
        <f aca="false">LOWER(A1418)&amp;"|"&amp;B1418</f>
        <v>mala noche|1986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1</v>
      </c>
      <c r="T1418" s="4" t="n">
        <v>0</v>
      </c>
      <c r="U1418" s="4" t="n">
        <v>0</v>
      </c>
      <c r="V1418" s="4" t="n">
        <v>0</v>
      </c>
      <c r="W1418" s="4" t="n">
        <v>0</v>
      </c>
    </row>
    <row r="1419" customFormat="false" ht="15" hidden="false" customHeight="false" outlineLevel="0" collapsed="false">
      <c r="A1419" s="4" t="s">
        <v>497</v>
      </c>
      <c r="B1419" s="4" t="n">
        <v>1992</v>
      </c>
      <c r="C1419" s="4" t="str">
        <f aca="false">FLOOR(B1419,10)&amp;"s"</f>
        <v>1990s</v>
      </c>
      <c r="D1419" s="4" t="s">
        <v>148</v>
      </c>
      <c r="E1419" s="25" t="str">
        <f aca="false">IF(G1419=1,"✓","")</f>
        <v/>
      </c>
      <c r="F1419" s="4" t="n">
        <v>3</v>
      </c>
      <c r="G1419" s="4" t="n">
        <f aca="false">IF(COUNTIF('Letterboxd Watched'!$E$2:$E$3000,M1419)&gt;0,1,0)</f>
        <v>0</v>
      </c>
      <c r="H1419" s="4" t="n">
        <v>7</v>
      </c>
      <c r="I1419" s="4" t="s">
        <v>144</v>
      </c>
      <c r="J1419" s="4" t="s">
        <v>53</v>
      </c>
      <c r="K1419" s="4" t="s">
        <v>5593</v>
      </c>
      <c r="L1419" s="48" t="str">
        <f aca="false">HYPERLINK("https://boxd.it/27WE","open")</f>
        <v>open</v>
      </c>
      <c r="M1419" s="4" t="str">
        <f aca="false">LOWER(A1419)&amp;"|"&amp;B1419</f>
        <v>malcolm x|1992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1</v>
      </c>
      <c r="S1419" s="4" t="n">
        <v>0</v>
      </c>
      <c r="T1419" s="4" t="n">
        <v>1</v>
      </c>
      <c r="U1419" s="4" t="n">
        <v>0</v>
      </c>
      <c r="V1419" s="4" t="n">
        <v>0</v>
      </c>
      <c r="W1419" s="4" t="n">
        <v>1</v>
      </c>
    </row>
    <row r="1420" customFormat="false" ht="15" hidden="false" customHeight="false" outlineLevel="0" collapsed="false">
      <c r="A1420" s="4" t="s">
        <v>282</v>
      </c>
      <c r="B1420" s="4" t="n">
        <v>1941</v>
      </c>
      <c r="C1420" s="4" t="str">
        <f aca="false">FLOOR(B1420,10)&amp;"s"</f>
        <v>1940s</v>
      </c>
      <c r="D1420" s="4" t="s">
        <v>283</v>
      </c>
      <c r="E1420" s="25" t="str">
        <f aca="false">IF(G1420=1,"✓","")</f>
        <v/>
      </c>
      <c r="F1420" s="4" t="n">
        <v>5</v>
      </c>
      <c r="G1420" s="4" t="n">
        <f aca="false">IF(COUNTIF('Letterboxd Watched'!$E$2:$E$3000,M1420)&gt;0,1,0)</f>
        <v>0</v>
      </c>
      <c r="H1420" s="4" t="n">
        <v>11</v>
      </c>
      <c r="I1420" s="4" t="s">
        <v>144</v>
      </c>
      <c r="J1420" s="4" t="s">
        <v>50</v>
      </c>
      <c r="K1420" s="4" t="s">
        <v>5594</v>
      </c>
      <c r="L1420" s="48" t="str">
        <f aca="false">HYPERLINK("https://boxd.it/29c4","open")</f>
        <v>open</v>
      </c>
      <c r="M1420" s="4" t="str">
        <f aca="false">LOWER(A1420)&amp;"|"&amp;B1420</f>
        <v>the maltese falcon|1941</v>
      </c>
      <c r="N1420" s="4" t="n">
        <v>0</v>
      </c>
      <c r="O1420" s="4" t="n">
        <v>1</v>
      </c>
      <c r="P1420" s="4" t="n">
        <v>0</v>
      </c>
      <c r="Q1420" s="4" t="n">
        <v>1</v>
      </c>
      <c r="R1420" s="4" t="n">
        <v>0</v>
      </c>
      <c r="S1420" s="4" t="n">
        <v>0</v>
      </c>
      <c r="T1420" s="4" t="n">
        <v>1</v>
      </c>
      <c r="U1420" s="4" t="n">
        <v>0</v>
      </c>
      <c r="V1420" s="4" t="n">
        <v>1</v>
      </c>
      <c r="W1420" s="4" t="n">
        <v>0</v>
      </c>
    </row>
    <row r="1421" customFormat="false" ht="15" hidden="false" customHeight="false" outlineLevel="0" collapsed="false">
      <c r="A1421" s="4" t="s">
        <v>3528</v>
      </c>
      <c r="B1421" s="4" t="n">
        <v>1973</v>
      </c>
      <c r="C1421" s="4" t="str">
        <f aca="false">FLOOR(B1421,10)&amp;"s"</f>
        <v>1970s</v>
      </c>
      <c r="D1421" s="4" t="s">
        <v>3529</v>
      </c>
      <c r="E1421" s="25" t="str">
        <f aca="false">IF(G1421=1,"✓","")</f>
        <v/>
      </c>
      <c r="F1421" s="4" t="n">
        <v>1</v>
      </c>
      <c r="G1421" s="4" t="n">
        <f aca="false">IF(COUNTIF('Letterboxd Watched'!$E$2:$E$3000,M1421)&gt;0,1,0)</f>
        <v>0</v>
      </c>
      <c r="H1421" s="4" t="n">
        <v>1</v>
      </c>
      <c r="I1421" s="4" t="s">
        <v>1327</v>
      </c>
      <c r="J1421" s="4" t="s">
        <v>58</v>
      </c>
      <c r="K1421" s="4" t="s">
        <v>4462</v>
      </c>
      <c r="L1421" s="48" t="str">
        <f aca="false">HYPERLINK("https://letterboxd.com/search/films/La+Maman+et+la+Putain+1973/","open")</f>
        <v>open</v>
      </c>
      <c r="M1421" s="4" t="str">
        <f aca="false">LOWER(A1421)&amp;"|"&amp;B1421</f>
        <v>la maman et la putain|1973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1</v>
      </c>
    </row>
    <row r="1422" customFormat="false" ht="15" hidden="false" customHeight="false" outlineLevel="0" collapsed="false">
      <c r="A1422" s="4" t="s">
        <v>1544</v>
      </c>
      <c r="B1422" s="4" t="n">
        <v>1992</v>
      </c>
      <c r="C1422" s="4" t="str">
        <f aca="false">FLOOR(B1422,10)&amp;"s"</f>
        <v>1990s</v>
      </c>
      <c r="D1422" s="4" t="s">
        <v>1545</v>
      </c>
      <c r="E1422" s="25" t="str">
        <f aca="false">IF(G1422=1,"✓","")</f>
        <v/>
      </c>
      <c r="F1422" s="4" t="n">
        <v>2</v>
      </c>
      <c r="G1422" s="4" t="n">
        <f aca="false">IF(COUNTIF('Letterboxd Watched'!$E$2:$E$3000,M1422)&gt;0,1,0)</f>
        <v>0</v>
      </c>
      <c r="H1422" s="4" t="n">
        <v>3</v>
      </c>
      <c r="I1422" s="4" t="s">
        <v>213</v>
      </c>
      <c r="J1422" s="4" t="s">
        <v>52</v>
      </c>
      <c r="K1422" s="4" t="s">
        <v>5595</v>
      </c>
      <c r="L1422" s="48" t="str">
        <f aca="false">HYPERLINK("https://boxd.it/1X7Q","open")</f>
        <v>open</v>
      </c>
      <c r="M1422" s="4" t="str">
        <f aca="false">LOWER(A1422)&amp;"|"&amp;B1422</f>
        <v>man bites dog|1992</v>
      </c>
      <c r="N1422" s="4" t="n">
        <v>0</v>
      </c>
      <c r="O1422" s="4" t="n">
        <v>0</v>
      </c>
      <c r="P1422" s="4" t="n">
        <v>0</v>
      </c>
      <c r="Q1422" s="4" t="n">
        <v>1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 customFormat="false" ht="15" hidden="false" customHeight="false" outlineLevel="0" collapsed="false">
      <c r="A1423" s="4" t="s">
        <v>456</v>
      </c>
      <c r="B1423" s="4" t="n">
        <v>1956</v>
      </c>
      <c r="C1423" s="4" t="str">
        <f aca="false">FLOOR(B1423,10)&amp;"s"</f>
        <v>1950s</v>
      </c>
      <c r="D1423" s="4" t="s">
        <v>215</v>
      </c>
      <c r="E1423" s="25" t="str">
        <f aca="false">IF(G1423=1,"✓","")</f>
        <v>✓</v>
      </c>
      <c r="F1423" s="4" t="n">
        <v>3</v>
      </c>
      <c r="G1423" s="4" t="n">
        <f aca="false">IF(COUNTIF('Letterboxd Watched'!$E$2:$E$3000,M1423)&gt;0,1,0)</f>
        <v>1</v>
      </c>
      <c r="H1423" s="4" t="n">
        <v>7</v>
      </c>
      <c r="I1423" s="4" t="s">
        <v>144</v>
      </c>
      <c r="J1423" s="4" t="s">
        <v>49</v>
      </c>
      <c r="K1423" s="4" t="s">
        <v>5596</v>
      </c>
      <c r="L1423" s="48" t="str">
        <f aca="false">HYPERLINK("https://boxd.it/1MzY","open")</f>
        <v>open</v>
      </c>
      <c r="M1423" s="4" t="str">
        <f aca="false">LOWER(A1423)&amp;"|"&amp;B1423</f>
        <v>a man escaped|1956</v>
      </c>
      <c r="N1423" s="4" t="n">
        <v>1</v>
      </c>
      <c r="O1423" s="4" t="n">
        <v>0</v>
      </c>
      <c r="P1423" s="4" t="n">
        <v>0</v>
      </c>
      <c r="Q1423" s="4" t="n">
        <v>0</v>
      </c>
      <c r="R1423" s="4" t="n">
        <v>1</v>
      </c>
      <c r="S1423" s="4" t="n">
        <v>0</v>
      </c>
      <c r="T1423" s="4" t="n">
        <v>1</v>
      </c>
      <c r="U1423" s="4" t="n">
        <v>0</v>
      </c>
      <c r="V1423" s="4" t="n">
        <v>0</v>
      </c>
      <c r="W1423" s="4" t="n">
        <v>0</v>
      </c>
    </row>
    <row r="1424" customFormat="false" ht="15" hidden="false" customHeight="false" outlineLevel="0" collapsed="false">
      <c r="A1424" s="4" t="s">
        <v>2895</v>
      </c>
      <c r="B1424" s="4" t="n">
        <v>2007</v>
      </c>
      <c r="C1424" s="4" t="str">
        <f aca="false">FLOOR(B1424,10)&amp;"s"</f>
        <v>2000s</v>
      </c>
      <c r="D1424" s="4" t="s">
        <v>2896</v>
      </c>
      <c r="E1424" s="25" t="str">
        <f aca="false">IF(G1424=1,"✓","")</f>
        <v/>
      </c>
      <c r="F1424" s="4" t="n">
        <v>1</v>
      </c>
      <c r="G1424" s="4" t="n">
        <f aca="false">IF(COUNTIF('Letterboxd Watched'!$E$2:$E$3000,M1424)&gt;0,1,0)</f>
        <v>0</v>
      </c>
      <c r="H1424" s="4" t="n">
        <v>2</v>
      </c>
      <c r="I1424" s="4" t="s">
        <v>213</v>
      </c>
      <c r="J1424" s="4" t="s">
        <v>56</v>
      </c>
      <c r="K1424" s="4" t="s">
        <v>4378</v>
      </c>
      <c r="L1424" s="48" t="str">
        <f aca="false">HYPERLINK("https://boxd.it/1Ql2","open")</f>
        <v>open</v>
      </c>
      <c r="M1424" s="4" t="str">
        <f aca="false">LOWER(A1424)&amp;"|"&amp;B1424</f>
        <v>the man from earth|2007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1</v>
      </c>
      <c r="V1424" s="4" t="n">
        <v>0</v>
      </c>
      <c r="W1424" s="4" t="n">
        <v>0</v>
      </c>
    </row>
    <row r="1425" customFormat="false" ht="15" hidden="false" customHeight="false" outlineLevel="0" collapsed="false">
      <c r="A1425" s="4" t="s">
        <v>1919</v>
      </c>
      <c r="B1425" s="4" t="n">
        <v>1955</v>
      </c>
      <c r="C1425" s="4" t="str">
        <f aca="false">FLOOR(B1425,10)&amp;"s"</f>
        <v>1950s</v>
      </c>
      <c r="D1425" s="4" t="s">
        <v>1843</v>
      </c>
      <c r="E1425" s="25" t="str">
        <f aca="false">IF(G1425=1,"✓","")</f>
        <v/>
      </c>
      <c r="F1425" s="4" t="n">
        <v>1</v>
      </c>
      <c r="G1425" s="4" t="n">
        <f aca="false">IF(COUNTIF('Letterboxd Watched'!$E$2:$E$3000,M1425)&gt;0,1,0)</f>
        <v>0</v>
      </c>
      <c r="H1425" s="4" t="n">
        <v>2</v>
      </c>
      <c r="I1425" s="4" t="s">
        <v>213</v>
      </c>
      <c r="J1425" s="4" t="s">
        <v>52</v>
      </c>
      <c r="K1425" s="4" t="s">
        <v>4050</v>
      </c>
      <c r="L1425" s="48" t="str">
        <f aca="false">HYPERLINK("https://letterboxd.com/search/films/The+Man+from+Laramie+1955/","open")</f>
        <v>open</v>
      </c>
      <c r="M1425" s="4" t="str">
        <f aca="false">LOWER(A1425)&amp;"|"&amp;B1425</f>
        <v>the man from laramie|1955</v>
      </c>
      <c r="N1425" s="4" t="n">
        <v>0</v>
      </c>
      <c r="O1425" s="4" t="n">
        <v>0</v>
      </c>
      <c r="P1425" s="4" t="n">
        <v>0</v>
      </c>
      <c r="Q1425" s="4" t="n">
        <v>1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 customFormat="false" ht="15" hidden="false" customHeight="false" outlineLevel="0" collapsed="false">
      <c r="A1426" s="4" t="s">
        <v>937</v>
      </c>
      <c r="B1426" s="4" t="n">
        <v>1951</v>
      </c>
      <c r="C1426" s="4" t="str">
        <f aca="false">FLOOR(B1426,10)&amp;"s"</f>
        <v>1950s</v>
      </c>
      <c r="D1426" s="4" t="s">
        <v>411</v>
      </c>
      <c r="E1426" s="25" t="str">
        <f aca="false">IF(G1426=1,"✓","")</f>
        <v/>
      </c>
      <c r="F1426" s="4" t="n">
        <v>2</v>
      </c>
      <c r="G1426" s="4" t="n">
        <f aca="false">IF(COUNTIF('Letterboxd Watched'!$E$2:$E$3000,M1426)&gt;0,1,0)</f>
        <v>0</v>
      </c>
      <c r="H1426" s="4" t="n">
        <v>4</v>
      </c>
      <c r="I1426" s="4" t="s">
        <v>213</v>
      </c>
      <c r="J1426" s="4" t="s">
        <v>51</v>
      </c>
      <c r="K1426" s="4" t="s">
        <v>5597</v>
      </c>
      <c r="L1426" s="48" t="str">
        <f aca="false">HYPERLINK("https://boxd.it/1gVS","open")</f>
        <v>open</v>
      </c>
      <c r="M1426" s="4" t="str">
        <f aca="false">LOWER(A1426)&amp;"|"&amp;B1426</f>
        <v>the man in the white suit|1951</v>
      </c>
      <c r="N1426" s="4" t="n">
        <v>0</v>
      </c>
      <c r="O1426" s="4" t="n">
        <v>0</v>
      </c>
      <c r="P1426" s="4" t="n">
        <v>1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1</v>
      </c>
    </row>
    <row r="1427" customFormat="false" ht="15" hidden="false" customHeight="false" outlineLevel="0" collapsed="false">
      <c r="A1427" s="4" t="s">
        <v>2293</v>
      </c>
      <c r="B1427" s="4" t="n">
        <v>1977</v>
      </c>
      <c r="C1427" s="4" t="str">
        <f aca="false">FLOOR(B1427,10)&amp;"s"</f>
        <v>1970s</v>
      </c>
      <c r="D1427" s="4" t="s">
        <v>753</v>
      </c>
      <c r="E1427" s="25" t="str">
        <f aca="false">IF(G1427=1,"✓","")</f>
        <v/>
      </c>
      <c r="F1427" s="4" t="n">
        <v>1</v>
      </c>
      <c r="G1427" s="4" t="n">
        <f aca="false">IF(COUNTIF('Letterboxd Watched'!$E$2:$E$3000,M1427)&gt;0,1,0)</f>
        <v>0</v>
      </c>
      <c r="H1427" s="4" t="n">
        <v>2</v>
      </c>
      <c r="I1427" s="4" t="s">
        <v>213</v>
      </c>
      <c r="J1427" s="4" t="s">
        <v>51</v>
      </c>
      <c r="K1427" s="4" t="s">
        <v>3994</v>
      </c>
      <c r="L1427" s="48" t="str">
        <f aca="false">HYPERLINK("https://letterboxd.com/search/films/Man+of+Marble+1977/","open")</f>
        <v>open</v>
      </c>
      <c r="M1427" s="4" t="str">
        <f aca="false">LOWER(A1427)&amp;"|"&amp;B1427</f>
        <v>man of marble|1977</v>
      </c>
      <c r="N1427" s="4" t="n">
        <v>0</v>
      </c>
      <c r="O1427" s="4" t="n">
        <v>0</v>
      </c>
      <c r="P1427" s="4" t="n">
        <v>1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</row>
    <row r="1428" customFormat="false" ht="15" hidden="false" customHeight="false" outlineLevel="0" collapsed="false">
      <c r="A1428" s="4" t="s">
        <v>1955</v>
      </c>
      <c r="B1428" s="4" t="n">
        <v>1958</v>
      </c>
      <c r="C1428" s="4" t="str">
        <f aca="false">FLOOR(B1428,10)&amp;"s"</f>
        <v>1950s</v>
      </c>
      <c r="D1428" s="4" t="s">
        <v>1843</v>
      </c>
      <c r="E1428" s="25" t="str">
        <f aca="false">IF(G1428=1,"✓","")</f>
        <v/>
      </c>
      <c r="F1428" s="4" t="n">
        <v>1</v>
      </c>
      <c r="G1428" s="4" t="n">
        <f aca="false">IF(COUNTIF('Letterboxd Watched'!$E$2:$E$3000,M1428)&gt;0,1,0)</f>
        <v>0</v>
      </c>
      <c r="H1428" s="4" t="n">
        <v>2</v>
      </c>
      <c r="I1428" s="4" t="s">
        <v>213</v>
      </c>
      <c r="J1428" s="4" t="s">
        <v>52</v>
      </c>
      <c r="K1428" s="4" t="s">
        <v>4050</v>
      </c>
      <c r="L1428" s="48" t="str">
        <f aca="false">HYPERLINK("https://letterboxd.com/search/films/Man+of+the+West+1958/","open")</f>
        <v>open</v>
      </c>
      <c r="M1428" s="4" t="str">
        <f aca="false">LOWER(A1428)&amp;"|"&amp;B1428</f>
        <v>man of the west|1958</v>
      </c>
      <c r="N1428" s="4" t="n">
        <v>0</v>
      </c>
      <c r="O1428" s="4" t="n">
        <v>0</v>
      </c>
      <c r="P1428" s="4" t="n">
        <v>0</v>
      </c>
      <c r="Q1428" s="4" t="n">
        <v>1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</row>
    <row r="1429" customFormat="false" ht="15" hidden="false" customHeight="false" outlineLevel="0" collapsed="false">
      <c r="A1429" s="4" t="s">
        <v>2151</v>
      </c>
      <c r="B1429" s="4" t="n">
        <v>1969</v>
      </c>
      <c r="C1429" s="4" t="str">
        <f aca="false">FLOOR(B1429,10)&amp;"s"</f>
        <v>1960s</v>
      </c>
      <c r="D1429" s="4" t="s">
        <v>2152</v>
      </c>
      <c r="E1429" s="25" t="str">
        <f aca="false">IF(G1429=1,"✓","")</f>
        <v/>
      </c>
      <c r="F1429" s="4" t="n">
        <v>1</v>
      </c>
      <c r="G1429" s="4" t="n">
        <f aca="false">IF(COUNTIF('Letterboxd Watched'!$E$2:$E$3000,M1429)&gt;0,1,0)</f>
        <v>0</v>
      </c>
      <c r="H1429" s="4" t="n">
        <v>2</v>
      </c>
      <c r="I1429" s="4" t="s">
        <v>213</v>
      </c>
      <c r="J1429" s="4" t="s">
        <v>57</v>
      </c>
      <c r="K1429" s="4" t="s">
        <v>4442</v>
      </c>
      <c r="L1429" s="48" t="str">
        <f aca="false">HYPERLINK("https://letterboxd.com/search/films/Man+of+Violence+1969/","open")</f>
        <v>open</v>
      </c>
      <c r="M1429" s="4" t="str">
        <f aca="false">LOWER(A1429)&amp;"|"&amp;B1429</f>
        <v>man of violence|1969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1</v>
      </c>
      <c r="W1429" s="4" t="n">
        <v>0</v>
      </c>
    </row>
    <row r="1430" customFormat="false" ht="15" hidden="false" customHeight="false" outlineLevel="0" collapsed="false">
      <c r="A1430" s="4" t="s">
        <v>2709</v>
      </c>
      <c r="B1430" s="4" t="n">
        <v>1999</v>
      </c>
      <c r="C1430" s="4" t="str">
        <f aca="false">FLOOR(B1430,10)&amp;"s"</f>
        <v>1990s</v>
      </c>
      <c r="D1430" s="4" t="s">
        <v>548</v>
      </c>
      <c r="E1430" s="25" t="str">
        <f aca="false">IF(G1430=1,"✓","")</f>
        <v>✓</v>
      </c>
      <c r="F1430" s="4" t="n">
        <v>1</v>
      </c>
      <c r="G1430" s="4" t="n">
        <f aca="false">IF(COUNTIF('Letterboxd Watched'!$E$2:$E$3000,M1430)&gt;0,1,0)</f>
        <v>1</v>
      </c>
      <c r="H1430" s="4" t="n">
        <v>2</v>
      </c>
      <c r="I1430" s="4" t="s">
        <v>213</v>
      </c>
      <c r="J1430" s="4" t="s">
        <v>55</v>
      </c>
      <c r="K1430" s="4" t="s">
        <v>4322</v>
      </c>
      <c r="L1430" s="48" t="str">
        <f aca="false">HYPERLINK("https://boxd.it/281k","open")</f>
        <v>open</v>
      </c>
      <c r="M1430" s="4" t="str">
        <f aca="false">LOWER(A1430)&amp;"|"&amp;B1430</f>
        <v>man on the moon|1999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1</v>
      </c>
      <c r="U1430" s="4" t="n">
        <v>0</v>
      </c>
      <c r="V1430" s="4" t="n">
        <v>0</v>
      </c>
      <c r="W1430" s="4" t="n">
        <v>0</v>
      </c>
    </row>
    <row r="1431" customFormat="false" ht="15" hidden="false" customHeight="false" outlineLevel="0" collapsed="false">
      <c r="A1431" s="4" t="s">
        <v>2905</v>
      </c>
      <c r="B1431" s="4" t="n">
        <v>2008</v>
      </c>
      <c r="C1431" s="4" t="str">
        <f aca="false">FLOOR(B1431,10)&amp;"s"</f>
        <v>2000s</v>
      </c>
      <c r="D1431" s="4" t="s">
        <v>2906</v>
      </c>
      <c r="E1431" s="25" t="str">
        <f aca="false">IF(G1431=1,"✓","")</f>
        <v/>
      </c>
      <c r="F1431" s="4" t="n">
        <v>1</v>
      </c>
      <c r="G1431" s="4" t="n">
        <f aca="false">IF(COUNTIF('Letterboxd Watched'!$E$2:$E$3000,M1431)&gt;0,1,0)</f>
        <v>0</v>
      </c>
      <c r="H1431" s="4" t="n">
        <v>2</v>
      </c>
      <c r="I1431" s="4" t="s">
        <v>213</v>
      </c>
      <c r="J1431" s="4" t="s">
        <v>52</v>
      </c>
      <c r="K1431" s="4" t="s">
        <v>4176</v>
      </c>
      <c r="L1431" s="48" t="str">
        <f aca="false">HYPERLINK("https://letterboxd.com/search/films/Man+on+Wire+2008/","open")</f>
        <v>open</v>
      </c>
      <c r="M1431" s="4" t="str">
        <f aca="false">LOWER(A1431)&amp;"|"&amp;B1431</f>
        <v>man on wire|2008</v>
      </c>
      <c r="N1431" s="4" t="n">
        <v>0</v>
      </c>
      <c r="O1431" s="4" t="n">
        <v>0</v>
      </c>
      <c r="P1431" s="4" t="n">
        <v>0</v>
      </c>
      <c r="Q1431" s="4" t="n">
        <v>1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</row>
    <row r="1432" customFormat="false" ht="15" hidden="false" customHeight="false" outlineLevel="0" collapsed="false">
      <c r="A1432" s="4" t="s">
        <v>963</v>
      </c>
      <c r="B1432" s="4" t="n">
        <v>1962</v>
      </c>
      <c r="C1432" s="4" t="str">
        <f aca="false">FLOOR(B1432,10)&amp;"s"</f>
        <v>1960s</v>
      </c>
      <c r="D1432" s="4" t="s">
        <v>205</v>
      </c>
      <c r="E1432" s="25" t="str">
        <f aca="false">IF(G1432=1,"✓","")</f>
        <v/>
      </c>
      <c r="F1432" s="4" t="n">
        <v>2</v>
      </c>
      <c r="G1432" s="4" t="n">
        <f aca="false">IF(COUNTIF('Letterboxd Watched'!$E$2:$E$3000,M1432)&gt;0,1,0)</f>
        <v>0</v>
      </c>
      <c r="H1432" s="4" t="n">
        <v>4</v>
      </c>
      <c r="I1432" s="4" t="s">
        <v>213</v>
      </c>
      <c r="J1432" s="4" t="s">
        <v>52</v>
      </c>
      <c r="K1432" s="4" t="s">
        <v>5416</v>
      </c>
      <c r="L1432" s="48" t="str">
        <f aca="false">HYPERLINK("https://boxd.it/1Tdg","open")</f>
        <v>open</v>
      </c>
      <c r="M1432" s="4" t="str">
        <f aca="false">LOWER(A1432)&amp;"|"&amp;B1432</f>
        <v>the man who shot liberty valance|1962</v>
      </c>
      <c r="N1432" s="4" t="n">
        <v>0</v>
      </c>
      <c r="O1432" s="4" t="n">
        <v>0</v>
      </c>
      <c r="P1432" s="4" t="n">
        <v>0</v>
      </c>
      <c r="Q1432" s="4" t="n">
        <v>1</v>
      </c>
      <c r="R1432" s="4" t="n">
        <v>1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</row>
    <row r="1433" customFormat="false" ht="15" hidden="false" customHeight="false" outlineLevel="0" collapsed="false">
      <c r="A1433" s="4" t="s">
        <v>1148</v>
      </c>
      <c r="B1433" s="4" t="n">
        <v>2001</v>
      </c>
      <c r="C1433" s="4" t="str">
        <f aca="false">FLOOR(B1433,10)&amp;"s"</f>
        <v>2000s</v>
      </c>
      <c r="D1433" s="4" t="s">
        <v>397</v>
      </c>
      <c r="E1433" s="25" t="str">
        <f aca="false">IF(G1433=1,"✓","")</f>
        <v/>
      </c>
      <c r="F1433" s="4" t="n">
        <v>2</v>
      </c>
      <c r="G1433" s="4" t="n">
        <f aca="false">IF(COUNTIF('Letterboxd Watched'!$E$2:$E$3000,M1433)&gt;0,1,0)</f>
        <v>0</v>
      </c>
      <c r="H1433" s="4" t="n">
        <v>4</v>
      </c>
      <c r="I1433" s="4" t="s">
        <v>213</v>
      </c>
      <c r="J1433" s="4" t="s">
        <v>52</v>
      </c>
      <c r="K1433" s="4" t="s">
        <v>5598</v>
      </c>
      <c r="L1433" s="48" t="str">
        <f aca="false">HYPERLINK("https://boxd.it/1Vqc","open")</f>
        <v>open</v>
      </c>
      <c r="M1433" s="4" t="str">
        <f aca="false">LOWER(A1433)&amp;"|"&amp;B1433</f>
        <v>the man who wasn't there|2001</v>
      </c>
      <c r="N1433" s="4" t="n">
        <v>0</v>
      </c>
      <c r="O1433" s="4" t="n">
        <v>0</v>
      </c>
      <c r="P1433" s="4" t="n">
        <v>0</v>
      </c>
      <c r="Q1433" s="4" t="n">
        <v>1</v>
      </c>
      <c r="R1433" s="4" t="n">
        <v>1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</row>
    <row r="1434" customFormat="false" ht="15" hidden="false" customHeight="false" outlineLevel="0" collapsed="false">
      <c r="A1434" s="4" t="s">
        <v>2266</v>
      </c>
      <c r="B1434" s="4" t="n">
        <v>1975</v>
      </c>
      <c r="C1434" s="4" t="str">
        <f aca="false">FLOOR(B1434,10)&amp;"s"</f>
        <v>1970s</v>
      </c>
      <c r="D1434" s="4" t="s">
        <v>283</v>
      </c>
      <c r="E1434" s="25" t="str">
        <f aca="false">IF(G1434=1,"✓","")</f>
        <v/>
      </c>
      <c r="F1434" s="4" t="n">
        <v>1</v>
      </c>
      <c r="G1434" s="4" t="n">
        <f aca="false">IF(COUNTIF('Letterboxd Watched'!$E$2:$E$3000,M1434)&gt;0,1,0)</f>
        <v>0</v>
      </c>
      <c r="H1434" s="4" t="n">
        <v>2</v>
      </c>
      <c r="I1434" s="4" t="s">
        <v>213</v>
      </c>
      <c r="J1434" s="4" t="s">
        <v>52</v>
      </c>
      <c r="K1434" s="4" t="s">
        <v>4156</v>
      </c>
      <c r="L1434" s="48" t="str">
        <f aca="false">HYPERLINK("https://boxd.it/299O","open")</f>
        <v>open</v>
      </c>
      <c r="M1434" s="4" t="str">
        <f aca="false">LOWER(A1434)&amp;"|"&amp;B1434</f>
        <v>the man who would be king|1975</v>
      </c>
      <c r="N1434" s="4" t="n">
        <v>0</v>
      </c>
      <c r="O1434" s="4" t="n">
        <v>0</v>
      </c>
      <c r="P1434" s="4" t="n">
        <v>0</v>
      </c>
      <c r="Q1434" s="4" t="n">
        <v>1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</row>
    <row r="1435" customFormat="false" ht="15" hidden="false" customHeight="false" outlineLevel="0" collapsed="false">
      <c r="A1435" s="4" t="s">
        <v>180</v>
      </c>
      <c r="B1435" s="4" t="n">
        <v>1929</v>
      </c>
      <c r="C1435" s="4" t="str">
        <f aca="false">FLOOR(B1435,10)&amp;"s"</f>
        <v>1920s</v>
      </c>
      <c r="D1435" s="4" t="s">
        <v>181</v>
      </c>
      <c r="E1435" s="25" t="str">
        <f aca="false">IF(G1435=1,"✓","")</f>
        <v/>
      </c>
      <c r="F1435" s="4" t="n">
        <v>7</v>
      </c>
      <c r="G1435" s="4" t="n">
        <f aca="false">IF(COUNTIF('Letterboxd Watched'!$E$2:$E$3000,M1435)&gt;0,1,0)</f>
        <v>0</v>
      </c>
      <c r="H1435" s="4" t="n">
        <v>17</v>
      </c>
      <c r="I1435" s="4" t="s">
        <v>144</v>
      </c>
      <c r="J1435" s="4" t="s">
        <v>49</v>
      </c>
      <c r="K1435" s="4" t="s">
        <v>5599</v>
      </c>
      <c r="L1435" s="48" t="str">
        <f aca="false">HYPERLINK("https://boxd.it/1u7s","open")</f>
        <v>open</v>
      </c>
      <c r="M1435" s="4" t="str">
        <f aca="false">LOWER(A1435)&amp;"|"&amp;B1435</f>
        <v>man with a movie camera|1929</v>
      </c>
      <c r="N1435" s="4" t="n">
        <v>1</v>
      </c>
      <c r="O1435" s="4" t="n">
        <v>1</v>
      </c>
      <c r="P1435" s="4" t="n">
        <v>0</v>
      </c>
      <c r="Q1435" s="4" t="n">
        <v>1</v>
      </c>
      <c r="R1435" s="4" t="n">
        <v>0</v>
      </c>
      <c r="S1435" s="4" t="n">
        <v>1</v>
      </c>
      <c r="T1435" s="4" t="n">
        <v>0</v>
      </c>
      <c r="U1435" s="4" t="n">
        <v>0</v>
      </c>
      <c r="V1435" s="4" t="n">
        <v>1</v>
      </c>
      <c r="W1435" s="4" t="n">
        <v>0</v>
      </c>
    </row>
    <row r="1436" customFormat="false" ht="15" hidden="false" customHeight="false" outlineLevel="0" collapsed="false">
      <c r="A1436" s="4" t="s">
        <v>1154</v>
      </c>
      <c r="B1436" s="4" t="n">
        <v>2002</v>
      </c>
      <c r="C1436" s="4" t="str">
        <f aca="false">FLOOR(B1436,10)&amp;"s"</f>
        <v>2000s</v>
      </c>
      <c r="D1436" s="4" t="s">
        <v>1155</v>
      </c>
      <c r="E1436" s="25" t="str">
        <f aca="false">IF(G1436=1,"✓","")</f>
        <v/>
      </c>
      <c r="F1436" s="4" t="n">
        <v>2</v>
      </c>
      <c r="G1436" s="4" t="n">
        <f aca="false">IF(COUNTIF('Letterboxd Watched'!$E$2:$E$3000,M1436)&gt;0,1,0)</f>
        <v>0</v>
      </c>
      <c r="H1436" s="4" t="n">
        <v>4</v>
      </c>
      <c r="I1436" s="4" t="s">
        <v>144</v>
      </c>
      <c r="J1436" s="4" t="s">
        <v>51</v>
      </c>
      <c r="K1436" s="4" t="s">
        <v>5600</v>
      </c>
      <c r="L1436" s="48" t="str">
        <f aca="false">HYPERLINK("https://letterboxd.com/search/films/The+Man+Without+a+Past+2002/","open")</f>
        <v>open</v>
      </c>
      <c r="M1436" s="4" t="str">
        <f aca="false">LOWER(A1436)&amp;"|"&amp;B1436</f>
        <v>the man without a past|2002</v>
      </c>
      <c r="N1436" s="4" t="n">
        <v>0</v>
      </c>
      <c r="O1436" s="4" t="n">
        <v>0</v>
      </c>
      <c r="P1436" s="4" t="n">
        <v>1</v>
      </c>
      <c r="Q1436" s="4" t="n">
        <v>0</v>
      </c>
      <c r="R1436" s="4" t="n">
        <v>1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</row>
    <row r="1437" customFormat="false" ht="15" hidden="false" customHeight="false" outlineLevel="0" collapsed="false">
      <c r="A1437" s="4" t="s">
        <v>3112</v>
      </c>
      <c r="B1437" s="4" t="n">
        <v>2016</v>
      </c>
      <c r="C1437" s="4" t="str">
        <f aca="false">FLOOR(B1437,10)&amp;"s"</f>
        <v>2010s</v>
      </c>
      <c r="D1437" s="4" t="s">
        <v>3113</v>
      </c>
      <c r="E1437" s="25" t="str">
        <f aca="false">IF(G1437=1,"✓","")</f>
        <v/>
      </c>
      <c r="F1437" s="4" t="n">
        <v>1</v>
      </c>
      <c r="G1437" s="4" t="n">
        <f aca="false">IF(COUNTIF('Letterboxd Watched'!$E$2:$E$3000,M1437)&gt;0,1,0)</f>
        <v>0</v>
      </c>
      <c r="H1437" s="4" t="n">
        <v>2</v>
      </c>
      <c r="I1437" s="4" t="s">
        <v>213</v>
      </c>
      <c r="J1437" s="4" t="s">
        <v>55</v>
      </c>
      <c r="K1437" s="4" t="s">
        <v>4350</v>
      </c>
      <c r="L1437" s="48" t="str">
        <f aca="false">HYPERLINK("https://boxd.it/b2L0","open")</f>
        <v>open</v>
      </c>
      <c r="M1437" s="4" t="str">
        <f aca="false">LOWER(A1437)&amp;"|"&amp;B1437</f>
        <v>manchester by the sea|2016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1</v>
      </c>
      <c r="U1437" s="4" t="n">
        <v>0</v>
      </c>
      <c r="V1437" s="4" t="n">
        <v>0</v>
      </c>
      <c r="W1437" s="4" t="n">
        <v>0</v>
      </c>
    </row>
    <row r="1438" customFormat="false" ht="15" hidden="false" customHeight="false" outlineLevel="0" collapsed="false">
      <c r="A1438" s="4" t="s">
        <v>964</v>
      </c>
      <c r="B1438" s="4" t="n">
        <v>1962</v>
      </c>
      <c r="C1438" s="4" t="str">
        <f aca="false">FLOOR(B1438,10)&amp;"s"</f>
        <v>1960s</v>
      </c>
      <c r="D1438" s="4" t="s">
        <v>965</v>
      </c>
      <c r="E1438" s="25" t="str">
        <f aca="false">IF(G1438=1,"✓","")</f>
        <v/>
      </c>
      <c r="F1438" s="4" t="n">
        <v>2</v>
      </c>
      <c r="G1438" s="4" t="n">
        <f aca="false">IF(COUNTIF('Letterboxd Watched'!$E$2:$E$3000,M1438)&gt;0,1,0)</f>
        <v>0</v>
      </c>
      <c r="H1438" s="4" t="n">
        <v>4</v>
      </c>
      <c r="I1438" s="4" t="s">
        <v>213</v>
      </c>
      <c r="J1438" s="4" t="s">
        <v>52</v>
      </c>
      <c r="K1438" s="4" t="s">
        <v>5601</v>
      </c>
      <c r="L1438" s="48" t="str">
        <f aca="false">HYPERLINK("https://boxd.it/299Y","open")</f>
        <v>open</v>
      </c>
      <c r="M1438" s="4" t="str">
        <f aca="false">LOWER(A1438)&amp;"|"&amp;B1438</f>
        <v>the manchurian candidate|1962</v>
      </c>
      <c r="N1438" s="4" t="n">
        <v>0</v>
      </c>
      <c r="O1438" s="4" t="n">
        <v>0</v>
      </c>
      <c r="P1438" s="4" t="n">
        <v>0</v>
      </c>
      <c r="Q1438" s="4" t="n">
        <v>1</v>
      </c>
      <c r="R1438" s="4" t="n">
        <v>0</v>
      </c>
      <c r="S1438" s="4" t="n">
        <v>0</v>
      </c>
      <c r="T1438" s="4" t="n">
        <v>1</v>
      </c>
      <c r="U1438" s="4" t="n">
        <v>0</v>
      </c>
      <c r="V1438" s="4" t="n">
        <v>0</v>
      </c>
      <c r="W1438" s="4" t="n">
        <v>0</v>
      </c>
    </row>
    <row r="1439" customFormat="false" ht="15" hidden="false" customHeight="false" outlineLevel="0" collapsed="false">
      <c r="A1439" s="4" t="s">
        <v>1517</v>
      </c>
      <c r="B1439" s="4" t="n">
        <v>1979</v>
      </c>
      <c r="C1439" s="4" t="str">
        <f aca="false">FLOOR(B1439,10)&amp;"s"</f>
        <v>1970s</v>
      </c>
      <c r="D1439" s="4" t="s">
        <v>604</v>
      </c>
      <c r="E1439" s="25" t="str">
        <f aca="false">IF(G1439=1,"✓","")</f>
        <v>✓</v>
      </c>
      <c r="F1439" s="4" t="n">
        <v>1</v>
      </c>
      <c r="G1439" s="4" t="n">
        <f aca="false">IF(COUNTIF('Letterboxd Watched'!$E$2:$E$3000,M1439)&gt;0,1,0)</f>
        <v>1</v>
      </c>
      <c r="H1439" s="4" t="n">
        <v>3</v>
      </c>
      <c r="I1439" s="4" t="s">
        <v>144</v>
      </c>
      <c r="J1439" s="4" t="s">
        <v>55</v>
      </c>
      <c r="K1439" s="4" t="s">
        <v>4356</v>
      </c>
      <c r="L1439" s="48" t="str">
        <f aca="false">HYPERLINK("https://boxd.it/29Na","open")</f>
        <v>open</v>
      </c>
      <c r="M1439" s="4" t="str">
        <f aca="false">LOWER(A1439)&amp;"|"&amp;B1439</f>
        <v>manhattan|1979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1</v>
      </c>
      <c r="U1439" s="4" t="n">
        <v>0</v>
      </c>
      <c r="V1439" s="4" t="n">
        <v>0</v>
      </c>
      <c r="W1439" s="4" t="n">
        <v>0</v>
      </c>
    </row>
    <row r="1440" customFormat="false" ht="15" hidden="false" customHeight="false" outlineLevel="0" collapsed="false">
      <c r="A1440" s="4" t="s">
        <v>1076</v>
      </c>
      <c r="B1440" s="4" t="n">
        <v>1986</v>
      </c>
      <c r="C1440" s="4" t="str">
        <f aca="false">FLOOR(B1440,10)&amp;"s"</f>
        <v>1980s</v>
      </c>
      <c r="D1440" s="4" t="s">
        <v>296</v>
      </c>
      <c r="E1440" s="25" t="str">
        <f aca="false">IF(G1440=1,"✓","")</f>
        <v/>
      </c>
      <c r="F1440" s="4" t="n">
        <v>2</v>
      </c>
      <c r="G1440" s="4" t="n">
        <f aca="false">IF(COUNTIF('Letterboxd Watched'!$E$2:$E$3000,M1440)&gt;0,1,0)</f>
        <v>0</v>
      </c>
      <c r="H1440" s="4" t="n">
        <v>4</v>
      </c>
      <c r="I1440" s="4" t="s">
        <v>213</v>
      </c>
      <c r="J1440" s="4" t="s">
        <v>52</v>
      </c>
      <c r="K1440" s="4" t="s">
        <v>5602</v>
      </c>
      <c r="L1440" s="48" t="str">
        <f aca="false">HYPERLINK("https://boxd.it/1TOw","open")</f>
        <v>open</v>
      </c>
      <c r="M1440" s="4" t="str">
        <f aca="false">LOWER(A1440)&amp;"|"&amp;B1440</f>
        <v>manhunter|1986</v>
      </c>
      <c r="N1440" s="4" t="n">
        <v>0</v>
      </c>
      <c r="O1440" s="4" t="n">
        <v>0</v>
      </c>
      <c r="P1440" s="4" t="n">
        <v>0</v>
      </c>
      <c r="Q1440" s="4" t="n">
        <v>1</v>
      </c>
      <c r="R1440" s="4" t="n">
        <v>1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 customFormat="false" ht="15" hidden="false" customHeight="false" outlineLevel="0" collapsed="false">
      <c r="A1441" s="4" t="s">
        <v>802</v>
      </c>
      <c r="B1441" s="4" t="n">
        <v>1975</v>
      </c>
      <c r="C1441" s="4" t="str">
        <f aca="false">FLOOR(B1441,10)&amp;"s"</f>
        <v>1970s</v>
      </c>
      <c r="D1441" s="4" t="s">
        <v>803</v>
      </c>
      <c r="E1441" s="25" t="str">
        <f aca="false">IF(G1441=1,"✓","")</f>
        <v/>
      </c>
      <c r="F1441" s="4" t="n">
        <v>2</v>
      </c>
      <c r="G1441" s="4" t="n">
        <f aca="false">IF(COUNTIF('Letterboxd Watched'!$E$2:$E$3000,M1441)&gt;0,1,0)</f>
        <v>0</v>
      </c>
      <c r="H1441" s="4" t="n">
        <v>5</v>
      </c>
      <c r="I1441" s="4" t="s">
        <v>144</v>
      </c>
      <c r="J1441" s="4" t="s">
        <v>51</v>
      </c>
      <c r="K1441" s="4" t="s">
        <v>5160</v>
      </c>
      <c r="L1441" s="48" t="str">
        <f aca="false">HYPERLINK("https://boxd.it/2taM","open")</f>
        <v>open</v>
      </c>
      <c r="M1441" s="4" t="str">
        <f aca="false">LOWER(A1441)&amp;"|"&amp;B1441</f>
        <v>manila in the claws of light|1975</v>
      </c>
      <c r="N1441" s="4" t="n">
        <v>0</v>
      </c>
      <c r="O1441" s="4" t="n">
        <v>0</v>
      </c>
      <c r="P1441" s="4" t="n">
        <v>1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1</v>
      </c>
      <c r="W1441" s="4" t="n">
        <v>0</v>
      </c>
    </row>
    <row r="1442" customFormat="false" ht="15" hidden="false" customHeight="false" outlineLevel="0" collapsed="false">
      <c r="A1442" s="4" t="s">
        <v>3195</v>
      </c>
      <c r="B1442" s="4" t="n">
        <v>2020</v>
      </c>
      <c r="C1442" s="4" t="str">
        <f aca="false">FLOOR(B1442,10)&amp;"s"</f>
        <v>2020s</v>
      </c>
      <c r="D1442" s="4" t="s">
        <v>325</v>
      </c>
      <c r="E1442" s="25" t="str">
        <f aca="false">IF(G1442=1,"✓","")</f>
        <v/>
      </c>
      <c r="F1442" s="4" t="n">
        <v>1</v>
      </c>
      <c r="G1442" s="4" t="n">
        <f aca="false">IF(COUNTIF('Letterboxd Watched'!$E$2:$E$3000,M1442)&gt;0,1,0)</f>
        <v>0</v>
      </c>
      <c r="H1442" s="4" t="n">
        <v>2</v>
      </c>
      <c r="I1442" s="4" t="s">
        <v>213</v>
      </c>
      <c r="J1442" s="4" t="s">
        <v>53</v>
      </c>
      <c r="K1442" s="4" t="s">
        <v>325</v>
      </c>
      <c r="L1442" s="48" t="str">
        <f aca="false">HYPERLINK("https://letterboxd.com/search/films/Mank+2020/","open")</f>
        <v>open</v>
      </c>
      <c r="M1442" s="4" t="str">
        <f aca="false">LOWER(A1442)&amp;"|"&amp;B1442</f>
        <v>mank|2020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1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</row>
    <row r="1443" customFormat="false" ht="15" hidden="false" customHeight="false" outlineLevel="0" collapsed="false">
      <c r="A1443" s="4" t="s">
        <v>3444</v>
      </c>
      <c r="B1443" s="4" t="n">
        <v>1966</v>
      </c>
      <c r="C1443" s="4" t="str">
        <f aca="false">FLOOR(B1443,10)&amp;"s"</f>
        <v>1960s</v>
      </c>
      <c r="D1443" s="4" t="s">
        <v>3445</v>
      </c>
      <c r="E1443" s="25" t="str">
        <f aca="false">IF(G1443=1,"✓","")</f>
        <v/>
      </c>
      <c r="F1443" s="4" t="n">
        <v>1</v>
      </c>
      <c r="G1443" s="4" t="n">
        <f aca="false">IF(COUNTIF('Letterboxd Watched'!$E$2:$E$3000,M1443)&gt;0,1,0)</f>
        <v>0</v>
      </c>
      <c r="H1443" s="4" t="n">
        <v>1</v>
      </c>
      <c r="I1443" s="4" t="s">
        <v>1327</v>
      </c>
      <c r="J1443" s="4" t="s">
        <v>54</v>
      </c>
      <c r="K1443" s="4" t="s">
        <v>4306</v>
      </c>
      <c r="L1443" s="48" t="str">
        <f aca="false">HYPERLINK("https://letterboxd.com/search/films/Manos+The+Hands+of+Fate+1966/","open")</f>
        <v>open</v>
      </c>
      <c r="M1443" s="4" t="str">
        <f aca="false">LOWER(A1443)&amp;"|"&amp;B1443</f>
        <v>manos: the hands of fate|1966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1</v>
      </c>
      <c r="T1443" s="4" t="n">
        <v>0</v>
      </c>
      <c r="U1443" s="4" t="n">
        <v>0</v>
      </c>
      <c r="V1443" s="4" t="n">
        <v>0</v>
      </c>
      <c r="W1443" s="4" t="n">
        <v>0</v>
      </c>
    </row>
    <row r="1444" customFormat="false" ht="15" hidden="false" customHeight="false" outlineLevel="0" collapsed="false">
      <c r="A1444" s="4" t="s">
        <v>2287</v>
      </c>
      <c r="B1444" s="4" t="n">
        <v>1976</v>
      </c>
      <c r="C1444" s="4" t="str">
        <f aca="false">FLOOR(B1444,10)&amp;"s"</f>
        <v>1970s</v>
      </c>
      <c r="D1444" s="4" t="s">
        <v>589</v>
      </c>
      <c r="E1444" s="25" t="str">
        <f aca="false">IF(G1444=1,"✓","")</f>
        <v>✓</v>
      </c>
      <c r="F1444" s="4" t="n">
        <v>1</v>
      </c>
      <c r="G1444" s="4" t="n">
        <f aca="false">IF(COUNTIF('Letterboxd Watched'!$E$2:$E$3000,M1444)&gt;0,1,0)</f>
        <v>1</v>
      </c>
      <c r="H1444" s="4" t="n">
        <v>2</v>
      </c>
      <c r="I1444" s="4" t="s">
        <v>213</v>
      </c>
      <c r="J1444" s="4" t="s">
        <v>52</v>
      </c>
      <c r="K1444" s="4" t="s">
        <v>4126</v>
      </c>
      <c r="L1444" s="48" t="str">
        <f aca="false">HYPERLINK("https://boxd.it/1W4c","open")</f>
        <v>open</v>
      </c>
      <c r="M1444" s="4" t="str">
        <f aca="false">LOWER(A1444)&amp;"|"&amp;B1444</f>
        <v>marathon man|1976</v>
      </c>
      <c r="N1444" s="4" t="n">
        <v>0</v>
      </c>
      <c r="O1444" s="4" t="n">
        <v>0</v>
      </c>
      <c r="P1444" s="4" t="n">
        <v>0</v>
      </c>
      <c r="Q1444" s="4" t="n">
        <v>1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 customFormat="false" ht="15" hidden="false" customHeight="false" outlineLevel="0" collapsed="false">
      <c r="A1445" s="4" t="s">
        <v>3209</v>
      </c>
      <c r="B1445" s="4" t="n">
        <v>2021</v>
      </c>
      <c r="C1445" s="4" t="str">
        <f aca="false">FLOOR(B1445,10)&amp;"s"</f>
        <v>2020s</v>
      </c>
      <c r="D1445" s="4" t="s">
        <v>3210</v>
      </c>
      <c r="E1445" s="25" t="str">
        <f aca="false">IF(G1445=1,"✓","")</f>
        <v>✓</v>
      </c>
      <c r="F1445" s="4" t="n">
        <v>1</v>
      </c>
      <c r="G1445" s="4" t="n">
        <f aca="false">IF(COUNTIF('Letterboxd Watched'!$E$2:$E$3000,M1445)&gt;0,1,0)</f>
        <v>1</v>
      </c>
      <c r="H1445" s="4" t="n">
        <v>2</v>
      </c>
      <c r="I1445" s="4" t="s">
        <v>213</v>
      </c>
      <c r="J1445" s="4" t="s">
        <v>52</v>
      </c>
      <c r="K1445" s="4" t="s">
        <v>4164</v>
      </c>
      <c r="L1445" s="48" t="str">
        <f aca="false">HYPERLINK("https://boxd.it/wMAk","open")</f>
        <v>open</v>
      </c>
      <c r="M1445" s="4" t="str">
        <f aca="false">LOWER(A1445)&amp;"|"&amp;B1445</f>
        <v>marcel the shell with shoes on|2021</v>
      </c>
      <c r="N1445" s="4" t="n">
        <v>0</v>
      </c>
      <c r="O1445" s="4" t="n">
        <v>0</v>
      </c>
      <c r="P1445" s="4" t="n">
        <v>0</v>
      </c>
      <c r="Q1445" s="4" t="n">
        <v>1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 customFormat="false" ht="15" hidden="false" customHeight="false" outlineLevel="0" collapsed="false">
      <c r="A1446" s="4" t="s">
        <v>1614</v>
      </c>
      <c r="B1446" s="4" t="n">
        <v>2011</v>
      </c>
      <c r="C1446" s="4" t="str">
        <f aca="false">FLOOR(B1446,10)&amp;"s"</f>
        <v>2010s</v>
      </c>
      <c r="D1446" s="4" t="s">
        <v>1615</v>
      </c>
      <c r="E1446" s="25" t="str">
        <f aca="false">IF(G1446=1,"✓","")</f>
        <v/>
      </c>
      <c r="F1446" s="4" t="n">
        <v>1</v>
      </c>
      <c r="G1446" s="4" t="n">
        <f aca="false">IF(COUNTIF('Letterboxd Watched'!$E$2:$E$3000,M1446)&gt;0,1,0)</f>
        <v>0</v>
      </c>
      <c r="H1446" s="4" t="n">
        <v>3</v>
      </c>
      <c r="I1446" s="4" t="s">
        <v>144</v>
      </c>
      <c r="J1446" s="4" t="s">
        <v>55</v>
      </c>
      <c r="K1446" s="4" t="s">
        <v>4314</v>
      </c>
      <c r="L1446" s="48" t="str">
        <f aca="false">HYPERLINK("https://boxd.it/CJ8","open")</f>
        <v>open</v>
      </c>
      <c r="M1446" s="4" t="str">
        <f aca="false">LOWER(A1446)&amp;"|"&amp;B1446</f>
        <v>margin call|2011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1</v>
      </c>
      <c r="U1446" s="4" t="n">
        <v>0</v>
      </c>
      <c r="V1446" s="4" t="n">
        <v>0</v>
      </c>
      <c r="W1446" s="4" t="n">
        <v>0</v>
      </c>
    </row>
    <row r="1447" customFormat="false" ht="15" hidden="false" customHeight="false" outlineLevel="0" collapsed="false">
      <c r="A1447" s="4" t="s">
        <v>3586</v>
      </c>
      <c r="B1447" s="4" t="n">
        <v>1981</v>
      </c>
      <c r="C1447" s="4" t="str">
        <f aca="false">FLOOR(B1447,10)&amp;"s"</f>
        <v>1980s</v>
      </c>
      <c r="D1447" s="4" t="s">
        <v>3587</v>
      </c>
      <c r="E1447" s="25" t="str">
        <f aca="false">IF(G1447=1,"✓","")</f>
        <v/>
      </c>
      <c r="F1447" s="4" t="n">
        <v>1</v>
      </c>
      <c r="G1447" s="4" t="n">
        <f aca="false">IF(COUNTIF('Letterboxd Watched'!$E$2:$E$3000,M1447)&gt;0,1,0)</f>
        <v>0</v>
      </c>
      <c r="H1447" s="4" t="n">
        <v>1</v>
      </c>
      <c r="I1447" s="4" t="s">
        <v>1327</v>
      </c>
      <c r="J1447" s="4" t="s">
        <v>51</v>
      </c>
      <c r="K1447" s="4" t="s">
        <v>3972</v>
      </c>
      <c r="L1447" s="48" t="str">
        <f aca="false">HYPERLINK("https://letterboxd.com/search/films/Marianne+and+Juliane+1981/","open")</f>
        <v>open</v>
      </c>
      <c r="M1447" s="4" t="str">
        <f aca="false">LOWER(A1447)&amp;"|"&amp;B1447</f>
        <v>marianne and juliane|1981</v>
      </c>
      <c r="N1447" s="4" t="n">
        <v>0</v>
      </c>
      <c r="O1447" s="4" t="n">
        <v>0</v>
      </c>
      <c r="P1447" s="4" t="n">
        <v>1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</row>
    <row r="1448" customFormat="false" ht="15" hidden="false" customHeight="false" outlineLevel="0" collapsed="false">
      <c r="A1448" s="4" t="s">
        <v>1786</v>
      </c>
      <c r="B1448" s="4" t="n">
        <v>1940</v>
      </c>
      <c r="C1448" s="4" t="str">
        <f aca="false">FLOOR(B1448,10)&amp;"s"</f>
        <v>1940s</v>
      </c>
      <c r="D1448" s="4" t="s">
        <v>1304</v>
      </c>
      <c r="E1448" s="25" t="str">
        <f aca="false">IF(G1448=1,"✓","")</f>
        <v/>
      </c>
      <c r="F1448" s="4" t="n">
        <v>1</v>
      </c>
      <c r="G1448" s="4" t="n">
        <f aca="false">IF(COUNTIF('Letterboxd Watched'!$E$2:$E$3000,M1448)&gt;0,1,0)</f>
        <v>0</v>
      </c>
      <c r="H1448" s="4" t="n">
        <v>2</v>
      </c>
      <c r="I1448" s="4" t="s">
        <v>213</v>
      </c>
      <c r="J1448" s="4" t="s">
        <v>52</v>
      </c>
      <c r="K1448" s="4" t="s">
        <v>4156</v>
      </c>
      <c r="L1448" s="48" t="str">
        <f aca="false">HYPERLINK("https://boxd.it/1hJS","open")</f>
        <v>open</v>
      </c>
      <c r="M1448" s="4" t="str">
        <f aca="false">LOWER(A1448)&amp;"|"&amp;B1448</f>
        <v>the mark of zorro|1940</v>
      </c>
      <c r="N1448" s="4" t="n">
        <v>0</v>
      </c>
      <c r="O1448" s="4" t="n">
        <v>0</v>
      </c>
      <c r="P1448" s="4" t="n">
        <v>0</v>
      </c>
      <c r="Q1448" s="4" t="n">
        <v>1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 customFormat="false" ht="15" hidden="false" customHeight="false" outlineLevel="0" collapsed="false">
      <c r="A1449" s="4" t="s">
        <v>989</v>
      </c>
      <c r="B1449" s="4" t="n">
        <v>1967</v>
      </c>
      <c r="C1449" s="4" t="str">
        <f aca="false">FLOOR(B1449,10)&amp;"s"</f>
        <v>1960s</v>
      </c>
      <c r="D1449" s="4" t="s">
        <v>990</v>
      </c>
      <c r="E1449" s="25" t="str">
        <f aca="false">IF(G1449=1,"✓","")</f>
        <v/>
      </c>
      <c r="F1449" s="4" t="n">
        <v>2</v>
      </c>
      <c r="G1449" s="4" t="n">
        <f aca="false">IF(COUNTIF('Letterboxd Watched'!$E$2:$E$3000,M1449)&gt;0,1,0)</f>
        <v>0</v>
      </c>
      <c r="H1449" s="4" t="n">
        <v>4</v>
      </c>
      <c r="I1449" s="4" t="s">
        <v>213</v>
      </c>
      <c r="J1449" s="4" t="s">
        <v>51</v>
      </c>
      <c r="K1449" s="4" t="s">
        <v>5327</v>
      </c>
      <c r="L1449" s="48" t="str">
        <f aca="false">HYPERLINK("https://letterboxd.com/search/films/Marketa+Lazarová+1967/","open")</f>
        <v>open</v>
      </c>
      <c r="M1449" s="4" t="str">
        <f aca="false">LOWER(A1449)&amp;"|"&amp;B1449</f>
        <v>marketa lazarová|1967</v>
      </c>
      <c r="N1449" s="4" t="n">
        <v>0</v>
      </c>
      <c r="O1449" s="4" t="n">
        <v>0</v>
      </c>
      <c r="P1449" s="4" t="n">
        <v>1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1</v>
      </c>
      <c r="W1449" s="4" t="n">
        <v>0</v>
      </c>
    </row>
    <row r="1450" customFormat="false" ht="15" hidden="false" customHeight="false" outlineLevel="0" collapsed="false">
      <c r="A1450" s="4" t="s">
        <v>1330</v>
      </c>
      <c r="B1450" s="4" t="n">
        <v>1964</v>
      </c>
      <c r="C1450" s="4" t="str">
        <f aca="false">FLOOR(B1450,10)&amp;"s"</f>
        <v>1960s</v>
      </c>
      <c r="D1450" s="4" t="s">
        <v>162</v>
      </c>
      <c r="E1450" s="25" t="str">
        <f aca="false">IF(G1450=1,"✓","")</f>
        <v/>
      </c>
      <c r="F1450" s="4" t="n">
        <v>2</v>
      </c>
      <c r="G1450" s="4" t="n">
        <f aca="false">IF(COUNTIF('Letterboxd Watched'!$E$2:$E$3000,M1450)&gt;0,1,0)</f>
        <v>0</v>
      </c>
      <c r="H1450" s="4" t="n">
        <v>3</v>
      </c>
      <c r="I1450" s="4" t="s">
        <v>213</v>
      </c>
      <c r="J1450" s="4" t="s">
        <v>53</v>
      </c>
      <c r="K1450" s="4" t="s">
        <v>5603</v>
      </c>
      <c r="L1450" s="48" t="str">
        <f aca="false">HYPERLINK("https://boxd.it/2afe","open")</f>
        <v>open</v>
      </c>
      <c r="M1450" s="4" t="str">
        <f aca="false">LOWER(A1450)&amp;"|"&amp;B1450</f>
        <v>marnie|1964</v>
      </c>
      <c r="N1450" s="4" t="n">
        <v>0</v>
      </c>
      <c r="O1450" s="4" t="n">
        <v>0</v>
      </c>
      <c r="P1450" s="4" t="n">
        <v>0</v>
      </c>
      <c r="Q1450" s="4" t="n">
        <v>0</v>
      </c>
      <c r="R1450" s="4" t="n">
        <v>1</v>
      </c>
      <c r="S1450" s="4" t="n">
        <v>1</v>
      </c>
      <c r="T1450" s="4" t="n">
        <v>0</v>
      </c>
      <c r="U1450" s="4" t="n">
        <v>0</v>
      </c>
      <c r="V1450" s="4" t="n">
        <v>0</v>
      </c>
      <c r="W1450" s="4" t="n">
        <v>0</v>
      </c>
    </row>
    <row r="1451" customFormat="false" ht="15" hidden="false" customHeight="false" outlineLevel="0" collapsed="false">
      <c r="A1451" s="4" t="s">
        <v>2043</v>
      </c>
      <c r="B1451" s="4" t="n">
        <v>1964</v>
      </c>
      <c r="C1451" s="4" t="str">
        <f aca="false">FLOOR(B1451,10)&amp;"s"</f>
        <v>1960s</v>
      </c>
      <c r="D1451" s="4" t="s">
        <v>160</v>
      </c>
      <c r="E1451" s="25" t="str">
        <f aca="false">IF(G1451=1,"✓","")</f>
        <v/>
      </c>
      <c r="F1451" s="4" t="n">
        <v>1</v>
      </c>
      <c r="G1451" s="4" t="n">
        <f aca="false">IF(COUNTIF('Letterboxd Watched'!$E$2:$E$3000,M1451)&gt;0,1,0)</f>
        <v>0</v>
      </c>
      <c r="H1451" s="4" t="n">
        <v>2</v>
      </c>
      <c r="I1451" s="4" t="s">
        <v>213</v>
      </c>
      <c r="J1451" s="4" t="s">
        <v>51</v>
      </c>
      <c r="K1451" s="4" t="s">
        <v>3946</v>
      </c>
      <c r="L1451" s="48" t="str">
        <f aca="false">HYPERLINK("https://boxd.it/Fs0","open")</f>
        <v>open</v>
      </c>
      <c r="M1451" s="4" t="str">
        <f aca="false">LOWER(A1451)&amp;"|"&amp;B1451</f>
        <v>marriage italian style|1964</v>
      </c>
      <c r="N1451" s="4" t="n">
        <v>0</v>
      </c>
      <c r="O1451" s="4" t="n">
        <v>0</v>
      </c>
      <c r="P1451" s="4" t="n">
        <v>1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</row>
    <row r="1452" customFormat="false" ht="15" hidden="false" customHeight="false" outlineLevel="0" collapsed="false">
      <c r="A1452" s="4" t="s">
        <v>807</v>
      </c>
      <c r="B1452" s="4" t="n">
        <v>1979</v>
      </c>
      <c r="C1452" s="4" t="str">
        <f aca="false">FLOOR(B1452,10)&amp;"s"</f>
        <v>1970s</v>
      </c>
      <c r="D1452" s="4" t="s">
        <v>312</v>
      </c>
      <c r="E1452" s="25" t="str">
        <f aca="false">IF(G1452=1,"✓","")</f>
        <v/>
      </c>
      <c r="F1452" s="4" t="n">
        <v>2</v>
      </c>
      <c r="G1452" s="4" t="n">
        <f aca="false">IF(COUNTIF('Letterboxd Watched'!$E$2:$E$3000,M1452)&gt;0,1,0)</f>
        <v>0</v>
      </c>
      <c r="H1452" s="4" t="n">
        <v>5</v>
      </c>
      <c r="I1452" s="4" t="s">
        <v>144</v>
      </c>
      <c r="J1452" s="4" t="s">
        <v>51</v>
      </c>
      <c r="K1452" s="4" t="s">
        <v>5235</v>
      </c>
      <c r="L1452" s="48" t="str">
        <f aca="false">HYPERLINK("https://boxd.it/29Su","open")</f>
        <v>open</v>
      </c>
      <c r="M1452" s="4" t="str">
        <f aca="false">LOWER(A1452)&amp;"|"&amp;B1452</f>
        <v>the marriage of maria braun|1979</v>
      </c>
      <c r="N1452" s="4" t="n">
        <v>0</v>
      </c>
      <c r="O1452" s="4" t="n">
        <v>0</v>
      </c>
      <c r="P1452" s="4" t="n">
        <v>1</v>
      </c>
      <c r="Q1452" s="4" t="n">
        <v>0</v>
      </c>
      <c r="R1452" s="4" t="n">
        <v>1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</row>
    <row r="1453" customFormat="false" ht="15" hidden="false" customHeight="false" outlineLevel="0" collapsed="false">
      <c r="A1453" s="4" t="s">
        <v>1421</v>
      </c>
      <c r="B1453" s="4" t="n">
        <v>2019</v>
      </c>
      <c r="C1453" s="4" t="str">
        <f aca="false">FLOOR(B1453,10)&amp;"s"</f>
        <v>2010s</v>
      </c>
      <c r="D1453" s="4" t="s">
        <v>870</v>
      </c>
      <c r="E1453" s="25" t="str">
        <f aca="false">IF(G1453=1,"✓","")</f>
        <v>✓</v>
      </c>
      <c r="F1453" s="4" t="n">
        <v>2</v>
      </c>
      <c r="G1453" s="4" t="n">
        <f aca="false">IF(COUNTIF('Letterboxd Watched'!$E$2:$E$3000,M1453)&gt;0,1,0)</f>
        <v>1</v>
      </c>
      <c r="H1453" s="4" t="n">
        <v>3</v>
      </c>
      <c r="I1453" s="4" t="s">
        <v>213</v>
      </c>
      <c r="J1453" s="4" t="s">
        <v>52</v>
      </c>
      <c r="K1453" s="4" t="s">
        <v>5604</v>
      </c>
      <c r="L1453" s="48" t="str">
        <f aca="false">HYPERLINK("https://boxd.it/hJAw","open")</f>
        <v>open</v>
      </c>
      <c r="M1453" s="4" t="str">
        <f aca="false">LOWER(A1453)&amp;"|"&amp;B1453</f>
        <v>marriage story|2019</v>
      </c>
      <c r="N1453" s="4" t="n">
        <v>0</v>
      </c>
      <c r="O1453" s="4" t="n">
        <v>0</v>
      </c>
      <c r="P1453" s="4" t="n">
        <v>0</v>
      </c>
      <c r="Q1453" s="4" t="n">
        <v>1</v>
      </c>
      <c r="R1453" s="4" t="n">
        <v>0</v>
      </c>
      <c r="S1453" s="4" t="n">
        <v>0</v>
      </c>
      <c r="T1453" s="4" t="n">
        <v>1</v>
      </c>
      <c r="U1453" s="4" t="n">
        <v>0</v>
      </c>
      <c r="V1453" s="4" t="n">
        <v>0</v>
      </c>
      <c r="W1453" s="4" t="n">
        <v>0</v>
      </c>
    </row>
    <row r="1454" customFormat="false" ht="15" hidden="false" customHeight="false" outlineLevel="0" collapsed="false">
      <c r="A1454" s="4" t="s">
        <v>3849</v>
      </c>
      <c r="B1454" s="4" t="n">
        <v>2019</v>
      </c>
      <c r="C1454" s="4" t="str">
        <f aca="false">FLOOR(B1454,10)&amp;"s"</f>
        <v>2010s</v>
      </c>
      <c r="D1454" s="4" t="s">
        <v>3850</v>
      </c>
      <c r="E1454" s="25" t="str">
        <f aca="false">IF(G1454=1,"✓","")</f>
        <v/>
      </c>
      <c r="F1454" s="4" t="n">
        <v>1</v>
      </c>
      <c r="G1454" s="4" t="n">
        <f aca="false">IF(COUNTIF('Letterboxd Watched'!$E$2:$E$3000,M1454)&gt;0,1,0)</f>
        <v>0</v>
      </c>
      <c r="H1454" s="4" t="n">
        <v>1</v>
      </c>
      <c r="I1454" s="4" t="s">
        <v>1327</v>
      </c>
      <c r="J1454" s="4" t="s">
        <v>51</v>
      </c>
      <c r="K1454" s="4" t="s">
        <v>3956</v>
      </c>
      <c r="L1454" s="48" t="str">
        <f aca="false">HYPERLINK("https://letterboxd.com/search/films/Martin+Eden+2019/","open")</f>
        <v>open</v>
      </c>
      <c r="M1454" s="4" t="str">
        <f aca="false">LOWER(A1454)&amp;"|"&amp;B1454</f>
        <v>martin eden|2019</v>
      </c>
      <c r="N1454" s="4" t="n">
        <v>0</v>
      </c>
      <c r="O1454" s="4" t="n">
        <v>0</v>
      </c>
      <c r="P1454" s="4" t="n">
        <v>1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</row>
    <row r="1455" customFormat="false" ht="15" hidden="false" customHeight="false" outlineLevel="0" collapsed="false">
      <c r="A1455" s="4" t="s">
        <v>2898</v>
      </c>
      <c r="B1455" s="4" t="n">
        <v>2008</v>
      </c>
      <c r="C1455" s="4" t="str">
        <f aca="false">FLOOR(B1455,10)&amp;"s"</f>
        <v>2000s</v>
      </c>
      <c r="D1455" s="4" t="s">
        <v>2899</v>
      </c>
      <c r="E1455" s="25" t="str">
        <f aca="false">IF(G1455=1,"✓","")</f>
        <v/>
      </c>
      <c r="F1455" s="4" t="n">
        <v>1</v>
      </c>
      <c r="G1455" s="4" t="n">
        <f aca="false">IF(COUNTIF('Letterboxd Watched'!$E$2:$E$3000,M1455)&gt;0,1,0)</f>
        <v>0</v>
      </c>
      <c r="H1455" s="4" t="n">
        <v>2</v>
      </c>
      <c r="I1455" s="4" t="s">
        <v>213</v>
      </c>
      <c r="J1455" s="4" t="s">
        <v>51</v>
      </c>
      <c r="K1455" s="4" t="s">
        <v>3968</v>
      </c>
      <c r="L1455" s="48" t="str">
        <f aca="false">HYPERLINK("https://boxd.it/1Yqu","open")</f>
        <v>open</v>
      </c>
      <c r="M1455" s="4" t="str">
        <f aca="false">LOWER(A1455)&amp;"|"&amp;B1455</f>
        <v>martyrs|2008</v>
      </c>
      <c r="N1455" s="4" t="n">
        <v>0</v>
      </c>
      <c r="O1455" s="4" t="n">
        <v>0</v>
      </c>
      <c r="P1455" s="4" t="n">
        <v>1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</row>
    <row r="1456" customFormat="false" ht="15" hidden="false" customHeight="false" outlineLevel="0" collapsed="false">
      <c r="A1456" s="4" t="s">
        <v>2925</v>
      </c>
      <c r="B1456" s="4" t="n">
        <v>2009</v>
      </c>
      <c r="C1456" s="4" t="str">
        <f aca="false">FLOOR(B1456,10)&amp;"s"</f>
        <v>2000s</v>
      </c>
      <c r="D1456" s="4" t="s">
        <v>2926</v>
      </c>
      <c r="E1456" s="25" t="str">
        <f aca="false">IF(G1456=1,"✓","")</f>
        <v>✓</v>
      </c>
      <c r="F1456" s="4" t="n">
        <v>1</v>
      </c>
      <c r="G1456" s="4" t="n">
        <f aca="false">IF(COUNTIF('Letterboxd Watched'!$E$2:$E$3000,M1456)&gt;0,1,0)</f>
        <v>1</v>
      </c>
      <c r="H1456" s="4" t="n">
        <v>2</v>
      </c>
      <c r="I1456" s="4" t="s">
        <v>213</v>
      </c>
      <c r="J1456" s="4" t="s">
        <v>52</v>
      </c>
      <c r="K1456" s="4" t="s">
        <v>4164</v>
      </c>
      <c r="L1456" s="48" t="str">
        <f aca="false">HYPERLINK("https://boxd.it/1y2m","open")</f>
        <v>open</v>
      </c>
      <c r="M1456" s="4" t="str">
        <f aca="false">LOWER(A1456)&amp;"|"&amp;B1456</f>
        <v>mary and max|2009</v>
      </c>
      <c r="N1456" s="4" t="n">
        <v>0</v>
      </c>
      <c r="O1456" s="4" t="n">
        <v>0</v>
      </c>
      <c r="P1456" s="4" t="n">
        <v>0</v>
      </c>
      <c r="Q1456" s="4" t="n">
        <v>1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 customFormat="false" ht="15" hidden="false" customHeight="false" outlineLevel="0" collapsed="false">
      <c r="A1457" s="4" t="s">
        <v>2086</v>
      </c>
      <c r="B1457" s="4" t="n">
        <v>1966</v>
      </c>
      <c r="C1457" s="4" t="str">
        <f aca="false">FLOOR(B1457,10)&amp;"s"</f>
        <v>1960s</v>
      </c>
      <c r="D1457" s="4" t="s">
        <v>152</v>
      </c>
      <c r="E1457" s="25" t="str">
        <f aca="false">IF(G1457=1,"✓","")</f>
        <v/>
      </c>
      <c r="F1457" s="4" t="n">
        <v>1</v>
      </c>
      <c r="G1457" s="4" t="n">
        <f aca="false">IF(COUNTIF('Letterboxd Watched'!$E$2:$E$3000,M1457)&gt;0,1,0)</f>
        <v>0</v>
      </c>
      <c r="H1457" s="4" t="n">
        <v>2</v>
      </c>
      <c r="I1457" s="4" t="s">
        <v>213</v>
      </c>
      <c r="J1457" s="4" t="s">
        <v>53</v>
      </c>
      <c r="K1457" s="4" t="s">
        <v>152</v>
      </c>
      <c r="L1457" s="48" t="str">
        <f aca="false">HYPERLINK("https://boxd.it/23UY","open")</f>
        <v>open</v>
      </c>
      <c r="M1457" s="4" t="str">
        <f aca="false">LOWER(A1457)&amp;"|"&amp;B1457</f>
        <v>masculin féminin|1966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1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</row>
    <row r="1458" customFormat="false" ht="15" hidden="false" customHeight="false" outlineLevel="0" collapsed="false">
      <c r="A1458" s="4" t="s">
        <v>2054</v>
      </c>
      <c r="B1458" s="4" t="n">
        <v>1964</v>
      </c>
      <c r="C1458" s="4" t="str">
        <f aca="false">FLOOR(B1458,10)&amp;"s"</f>
        <v>1960s</v>
      </c>
      <c r="D1458" s="4" t="s">
        <v>2055</v>
      </c>
      <c r="E1458" s="25" t="str">
        <f aca="false">IF(G1458=1,"✓","")</f>
        <v/>
      </c>
      <c r="F1458" s="4" t="n">
        <v>1</v>
      </c>
      <c r="G1458" s="4" t="n">
        <f aca="false">IF(COUNTIF('Letterboxd Watched'!$E$2:$E$3000,M1458)&gt;0,1,0)</f>
        <v>0</v>
      </c>
      <c r="H1458" s="4" t="n">
        <v>2</v>
      </c>
      <c r="I1458" s="4" t="s">
        <v>213</v>
      </c>
      <c r="J1458" s="4" t="s">
        <v>54</v>
      </c>
      <c r="K1458" s="4" t="s">
        <v>4308</v>
      </c>
      <c r="L1458" s="48" t="str">
        <f aca="false">HYPERLINK("https://boxd.it/1w12","open")</f>
        <v>open</v>
      </c>
      <c r="M1458" s="4" t="str">
        <f aca="false">LOWER(A1458)&amp;"|"&amp;B1458</f>
        <v>the masque of the red death|1964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1</v>
      </c>
      <c r="T1458" s="4" t="n">
        <v>0</v>
      </c>
      <c r="U1458" s="4" t="n">
        <v>0</v>
      </c>
      <c r="V1458" s="4" t="n">
        <v>0</v>
      </c>
      <c r="W1458" s="4" t="n">
        <v>0</v>
      </c>
    </row>
    <row r="1459" customFormat="false" ht="15" hidden="false" customHeight="false" outlineLevel="0" collapsed="false">
      <c r="A1459" s="4" t="s">
        <v>641</v>
      </c>
      <c r="B1459" s="4" t="n">
        <v>2012</v>
      </c>
      <c r="C1459" s="4" t="str">
        <f aca="false">FLOOR(B1459,10)&amp;"s"</f>
        <v>2010s</v>
      </c>
      <c r="D1459" s="4" t="s">
        <v>278</v>
      </c>
      <c r="E1459" s="25" t="str">
        <f aca="false">IF(G1459=1,"✓","")</f>
        <v>✓</v>
      </c>
      <c r="F1459" s="4" t="n">
        <v>3</v>
      </c>
      <c r="G1459" s="4" t="n">
        <f aca="false">IF(COUNTIF('Letterboxd Watched'!$E$2:$E$3000,M1459)&gt;0,1,0)</f>
        <v>1</v>
      </c>
      <c r="H1459" s="4" t="n">
        <v>6</v>
      </c>
      <c r="I1459" s="4" t="s">
        <v>213</v>
      </c>
      <c r="J1459" s="4" t="s">
        <v>50</v>
      </c>
      <c r="K1459" s="4" t="s">
        <v>5605</v>
      </c>
      <c r="L1459" s="48" t="str">
        <f aca="false">HYPERLINK("https://boxd.it/2cBG","open")</f>
        <v>open</v>
      </c>
      <c r="M1459" s="4" t="str">
        <f aca="false">LOWER(A1459)&amp;"|"&amp;B1459</f>
        <v>the master|2012</v>
      </c>
      <c r="N1459" s="4" t="n">
        <v>0</v>
      </c>
      <c r="O1459" s="4" t="n">
        <v>1</v>
      </c>
      <c r="P1459" s="4" t="n">
        <v>0</v>
      </c>
      <c r="Q1459" s="4" t="n">
        <v>0</v>
      </c>
      <c r="R1459" s="4" t="n">
        <v>1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1</v>
      </c>
    </row>
    <row r="1460" customFormat="false" ht="15" hidden="false" customHeight="false" outlineLevel="0" collapsed="false">
      <c r="A1460" s="4" t="s">
        <v>2810</v>
      </c>
      <c r="B1460" s="4" t="n">
        <v>2003</v>
      </c>
      <c r="C1460" s="4" t="str">
        <f aca="false">FLOOR(B1460,10)&amp;"s"</f>
        <v>2000s</v>
      </c>
      <c r="D1460" s="4" t="s">
        <v>439</v>
      </c>
      <c r="E1460" s="25" t="str">
        <f aca="false">IF(G1460=1,"✓","")</f>
        <v/>
      </c>
      <c r="F1460" s="4" t="n">
        <v>1</v>
      </c>
      <c r="G1460" s="4" t="n">
        <f aca="false">IF(COUNTIF('Letterboxd Watched'!$E$2:$E$3000,M1460)&gt;0,1,0)</f>
        <v>0</v>
      </c>
      <c r="H1460" s="4" t="n">
        <v>2</v>
      </c>
      <c r="I1460" s="4" t="s">
        <v>213</v>
      </c>
      <c r="J1460" s="4" t="s">
        <v>56</v>
      </c>
      <c r="K1460" s="4" t="s">
        <v>4400</v>
      </c>
      <c r="L1460" s="48" t="str">
        <f aca="false">HYPERLINK("https://boxd.it/200S","open")</f>
        <v>open</v>
      </c>
      <c r="M1460" s="4" t="str">
        <f aca="false">LOWER(A1460)&amp;"|"&amp;B1460</f>
        <v>master and commander: the far side of the world|2003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1</v>
      </c>
      <c r="V1460" s="4" t="n">
        <v>0</v>
      </c>
      <c r="W1460" s="4" t="n">
        <v>0</v>
      </c>
    </row>
    <row r="1461" customFormat="false" ht="15" hidden="false" customHeight="false" outlineLevel="0" collapsed="false">
      <c r="A1461" s="4" t="s">
        <v>3422</v>
      </c>
      <c r="B1461" s="4" t="n">
        <v>1963</v>
      </c>
      <c r="C1461" s="4" t="str">
        <f aca="false">FLOOR(B1461,10)&amp;"s"</f>
        <v>1960s</v>
      </c>
      <c r="D1461" s="4" t="s">
        <v>407</v>
      </c>
      <c r="E1461" s="25" t="str">
        <f aca="false">IF(G1461=1,"✓","")</f>
        <v/>
      </c>
      <c r="F1461" s="4" t="n">
        <v>1</v>
      </c>
      <c r="G1461" s="4" t="n">
        <f aca="false">IF(COUNTIF('Letterboxd Watched'!$E$2:$E$3000,M1461)&gt;0,1,0)</f>
        <v>0</v>
      </c>
      <c r="H1461" s="4" t="n">
        <v>1</v>
      </c>
      <c r="I1461" s="4" t="s">
        <v>1327</v>
      </c>
      <c r="J1461" s="4" t="s">
        <v>56</v>
      </c>
      <c r="K1461" s="4" t="s">
        <v>4410</v>
      </c>
      <c r="L1461" s="48" t="str">
        <f aca="false">HYPERLINK("https://letterboxd.com/search/films/Matango+1963/","open")</f>
        <v>open</v>
      </c>
      <c r="M1461" s="4" t="str">
        <f aca="false">LOWER(A1461)&amp;"|"&amp;B1461</f>
        <v>matango|1963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1</v>
      </c>
      <c r="V1461" s="4" t="n">
        <v>0</v>
      </c>
      <c r="W1461" s="4" t="n">
        <v>0</v>
      </c>
    </row>
    <row r="1462" customFormat="false" ht="15" hidden="false" customHeight="false" outlineLevel="0" collapsed="false">
      <c r="A1462" s="4" t="s">
        <v>2513</v>
      </c>
      <c r="B1462" s="4" t="n">
        <v>1990</v>
      </c>
      <c r="C1462" s="4" t="str">
        <f aca="false">FLOOR(B1462,10)&amp;"s"</f>
        <v>1990s</v>
      </c>
      <c r="D1462" s="4" t="s">
        <v>1155</v>
      </c>
      <c r="E1462" s="25" t="str">
        <f aca="false">IF(G1462=1,"✓","")</f>
        <v/>
      </c>
      <c r="F1462" s="4" t="n">
        <v>1</v>
      </c>
      <c r="G1462" s="4" t="n">
        <f aca="false">IF(COUNTIF('Letterboxd Watched'!$E$2:$E$3000,M1462)&gt;0,1,0)</f>
        <v>0</v>
      </c>
      <c r="H1462" s="4" t="n">
        <v>2</v>
      </c>
      <c r="I1462" s="4" t="s">
        <v>213</v>
      </c>
      <c r="J1462" s="4" t="s">
        <v>53</v>
      </c>
      <c r="K1462" s="4" t="s">
        <v>4240</v>
      </c>
      <c r="L1462" s="48" t="str">
        <f aca="false">HYPERLINK("https://boxd.it/20Je","open")</f>
        <v>open</v>
      </c>
      <c r="M1462" s="4" t="str">
        <f aca="false">LOWER(A1462)&amp;"|"&amp;B1462</f>
        <v>the match factory girl|1990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1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</row>
    <row r="1463" customFormat="false" ht="15" hidden="false" customHeight="false" outlineLevel="0" collapsed="false">
      <c r="A1463" s="4" t="s">
        <v>2802</v>
      </c>
      <c r="B1463" s="4" t="n">
        <v>2003</v>
      </c>
      <c r="C1463" s="4" t="str">
        <f aca="false">FLOOR(B1463,10)&amp;"s"</f>
        <v>2000s</v>
      </c>
      <c r="D1463" s="4" t="s">
        <v>174</v>
      </c>
      <c r="E1463" s="25" t="str">
        <f aca="false">IF(G1463=1,"✓","")</f>
        <v/>
      </c>
      <c r="F1463" s="4" t="n">
        <v>1</v>
      </c>
      <c r="G1463" s="4" t="n">
        <f aca="false">IF(COUNTIF('Letterboxd Watched'!$E$2:$E$3000,M1463)&gt;0,1,0)</f>
        <v>0</v>
      </c>
      <c r="H1463" s="4" t="n">
        <v>2</v>
      </c>
      <c r="I1463" s="4" t="s">
        <v>213</v>
      </c>
      <c r="J1463" s="4" t="s">
        <v>52</v>
      </c>
      <c r="K1463" s="4" t="s">
        <v>4122</v>
      </c>
      <c r="L1463" s="48" t="str">
        <f aca="false">HYPERLINK("https://boxd.it/215a","open")</f>
        <v>open</v>
      </c>
      <c r="M1463" s="4" t="str">
        <f aca="false">LOWER(A1463)&amp;"|"&amp;B1463</f>
        <v>matchstick men|2003</v>
      </c>
      <c r="N1463" s="4" t="n">
        <v>0</v>
      </c>
      <c r="O1463" s="4" t="n">
        <v>0</v>
      </c>
      <c r="P1463" s="4" t="n">
        <v>0</v>
      </c>
      <c r="Q1463" s="4" t="n">
        <v>1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 customFormat="false" ht="15" hidden="false" customHeight="false" outlineLevel="0" collapsed="false">
      <c r="A1464" s="4" t="s">
        <v>1279</v>
      </c>
      <c r="B1464" s="4" t="n">
        <v>1987</v>
      </c>
      <c r="C1464" s="4" t="str">
        <f aca="false">FLOOR(B1464,10)&amp;"s"</f>
        <v>1980s</v>
      </c>
      <c r="D1464" s="4" t="s">
        <v>1280</v>
      </c>
      <c r="E1464" s="25" t="str">
        <f aca="false">IF(G1464=1,"✓","")</f>
        <v/>
      </c>
      <c r="F1464" s="4" t="n">
        <v>2</v>
      </c>
      <c r="G1464" s="4" t="n">
        <f aca="false">IF(COUNTIF('Letterboxd Watched'!$E$2:$E$3000,M1464)&gt;0,1,0)</f>
        <v>0</v>
      </c>
      <c r="H1464" s="4" t="n">
        <v>4</v>
      </c>
      <c r="I1464" s="4" t="s">
        <v>213</v>
      </c>
      <c r="J1464" s="4" t="s">
        <v>55</v>
      </c>
      <c r="K1464" s="4" t="s">
        <v>5606</v>
      </c>
      <c r="L1464" s="48" t="str">
        <f aca="false">HYPERLINK("https://boxd.it/1xXQ","open")</f>
        <v>open</v>
      </c>
      <c r="M1464" s="4" t="str">
        <f aca="false">LOWER(A1464)&amp;"|"&amp;B1464</f>
        <v>matewan|1987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1</v>
      </c>
      <c r="U1464" s="4" t="n">
        <v>0</v>
      </c>
      <c r="V1464" s="4" t="n">
        <v>0</v>
      </c>
      <c r="W1464" s="4" t="n">
        <v>0</v>
      </c>
    </row>
    <row r="1465" customFormat="false" ht="15" hidden="false" customHeight="false" outlineLevel="0" collapsed="false">
      <c r="A1465" s="4" t="s">
        <v>847</v>
      </c>
      <c r="B1465" s="4" t="n">
        <v>1999</v>
      </c>
      <c r="C1465" s="4" t="str">
        <f aca="false">FLOOR(B1465,10)&amp;"s"</f>
        <v>1990s</v>
      </c>
      <c r="D1465" s="4" t="s">
        <v>848</v>
      </c>
      <c r="E1465" s="25" t="str">
        <f aca="false">IF(G1465=1,"✓","")</f>
        <v>✓</v>
      </c>
      <c r="F1465" s="4" t="n">
        <v>2</v>
      </c>
      <c r="G1465" s="4" t="n">
        <f aca="false">IF(COUNTIF('Letterboxd Watched'!$E$2:$E$3000,M1465)&gt;0,1,0)</f>
        <v>1</v>
      </c>
      <c r="H1465" s="4" t="n">
        <v>5</v>
      </c>
      <c r="I1465" s="4" t="s">
        <v>144</v>
      </c>
      <c r="J1465" s="4" t="s">
        <v>52</v>
      </c>
      <c r="K1465" s="4" t="s">
        <v>5607</v>
      </c>
      <c r="L1465" s="48" t="str">
        <f aca="false">HYPERLINK("https://boxd.it/2a1m","open")</f>
        <v>open</v>
      </c>
      <c r="M1465" s="4" t="str">
        <f aca="false">LOWER(A1465)&amp;"|"&amp;B1465</f>
        <v>the matrix|1999</v>
      </c>
      <c r="N1465" s="4" t="n">
        <v>0</v>
      </c>
      <c r="O1465" s="4" t="n">
        <v>0</v>
      </c>
      <c r="P1465" s="4" t="n">
        <v>0</v>
      </c>
      <c r="Q1465" s="4" t="n">
        <v>1</v>
      </c>
      <c r="R1465" s="4" t="n">
        <v>0</v>
      </c>
      <c r="S1465" s="4" t="n">
        <v>0</v>
      </c>
      <c r="T1465" s="4" t="n">
        <v>1</v>
      </c>
      <c r="U1465" s="4" t="n">
        <v>0</v>
      </c>
      <c r="V1465" s="4" t="n">
        <v>0</v>
      </c>
      <c r="W1465" s="4" t="n">
        <v>0</v>
      </c>
    </row>
    <row r="1466" customFormat="false" ht="15" hidden="false" customHeight="false" outlineLevel="0" collapsed="false">
      <c r="A1466" s="4" t="s">
        <v>740</v>
      </c>
      <c r="B1466" s="4" t="n">
        <v>1946</v>
      </c>
      <c r="C1466" s="4" t="str">
        <f aca="false">FLOOR(B1466,10)&amp;"s"</f>
        <v>1940s</v>
      </c>
      <c r="D1466" s="4" t="s">
        <v>453</v>
      </c>
      <c r="E1466" s="25" t="str">
        <f aca="false">IF(G1466=1,"✓","")</f>
        <v/>
      </c>
      <c r="F1466" s="4" t="n">
        <v>2</v>
      </c>
      <c r="G1466" s="4" t="n">
        <f aca="false">IF(COUNTIF('Letterboxd Watched'!$E$2:$E$3000,M1466)&gt;0,1,0)</f>
        <v>0</v>
      </c>
      <c r="H1466" s="4" t="n">
        <v>5</v>
      </c>
      <c r="I1466" s="4" t="s">
        <v>144</v>
      </c>
      <c r="J1466" s="4" t="s">
        <v>51</v>
      </c>
      <c r="K1466" s="4" t="s">
        <v>5608</v>
      </c>
      <c r="L1466" s="48" t="str">
        <f aca="false">HYPERLINK("https://boxd.it/1q6K","open")</f>
        <v>open</v>
      </c>
      <c r="M1466" s="4" t="str">
        <f aca="false">LOWER(A1466)&amp;"|"&amp;B1466</f>
        <v>a matter of life and death|1946</v>
      </c>
      <c r="N1466" s="4" t="n">
        <v>0</v>
      </c>
      <c r="O1466" s="4" t="n">
        <v>0</v>
      </c>
      <c r="P1466" s="4" t="n">
        <v>1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1</v>
      </c>
      <c r="W1466" s="4" t="n">
        <v>0</v>
      </c>
    </row>
    <row r="1467" customFormat="false" ht="15" hidden="false" customHeight="false" outlineLevel="0" collapsed="false">
      <c r="A1467" s="4" t="s">
        <v>2428</v>
      </c>
      <c r="B1467" s="4" t="n">
        <v>1986</v>
      </c>
      <c r="C1467" s="4" t="str">
        <f aca="false">FLOOR(B1467,10)&amp;"s"</f>
        <v>1980s</v>
      </c>
      <c r="D1467" s="4" t="s">
        <v>1202</v>
      </c>
      <c r="E1467" s="25" t="str">
        <f aca="false">IF(G1467=1,"✓","")</f>
        <v/>
      </c>
      <c r="F1467" s="4" t="n">
        <v>1</v>
      </c>
      <c r="G1467" s="4" t="n">
        <f aca="false">IF(COUNTIF('Letterboxd Watched'!$E$2:$E$3000,M1467)&gt;0,1,0)</f>
        <v>0</v>
      </c>
      <c r="H1467" s="4" t="n">
        <v>2</v>
      </c>
      <c r="I1467" s="4" t="s">
        <v>213</v>
      </c>
      <c r="J1467" s="4" t="s">
        <v>51</v>
      </c>
      <c r="K1467" s="4" t="s">
        <v>3966</v>
      </c>
      <c r="L1467" s="48" t="str">
        <f aca="false">HYPERLINK("https://boxd.it/5c6","open")</f>
        <v>open</v>
      </c>
      <c r="M1467" s="4" t="str">
        <f aca="false">LOWER(A1467)&amp;"|"&amp;B1467</f>
        <v>mauvais sang|1986</v>
      </c>
      <c r="N1467" s="4" t="n">
        <v>0</v>
      </c>
      <c r="O1467" s="4" t="n">
        <v>0</v>
      </c>
      <c r="P1467" s="4" t="n">
        <v>1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</row>
    <row r="1468" customFormat="false" ht="15" hidden="false" customHeight="false" outlineLevel="0" collapsed="false">
      <c r="A1468" s="4" t="s">
        <v>387</v>
      </c>
      <c r="B1468" s="4" t="n">
        <v>1971</v>
      </c>
      <c r="C1468" s="4" t="str">
        <f aca="false">FLOOR(B1468,10)&amp;"s"</f>
        <v>1970s</v>
      </c>
      <c r="D1468" s="4" t="s">
        <v>197</v>
      </c>
      <c r="E1468" s="25" t="str">
        <f aca="false">IF(G1468=1,"✓","")</f>
        <v/>
      </c>
      <c r="F1468" s="4" t="n">
        <v>4</v>
      </c>
      <c r="G1468" s="4" t="n">
        <f aca="false">IF(COUNTIF('Letterboxd Watched'!$E$2:$E$3000,M1468)&gt;0,1,0)</f>
        <v>0</v>
      </c>
      <c r="H1468" s="4" t="n">
        <v>8</v>
      </c>
      <c r="I1468" s="4" t="s">
        <v>213</v>
      </c>
      <c r="J1468" s="4" t="s">
        <v>50</v>
      </c>
      <c r="K1468" s="4" t="s">
        <v>5609</v>
      </c>
      <c r="L1468" s="48" t="str">
        <f aca="false">HYPERLINK("https://boxd.it/1ooC","open")</f>
        <v>open</v>
      </c>
      <c r="M1468" s="4" t="str">
        <f aca="false">LOWER(A1468)&amp;"|"&amp;B1468</f>
        <v>mccabe &amp; mrs. miller|1971</v>
      </c>
      <c r="N1468" s="4" t="n">
        <v>0</v>
      </c>
      <c r="O1468" s="4" t="n">
        <v>1</v>
      </c>
      <c r="P1468" s="4" t="n">
        <v>0</v>
      </c>
      <c r="Q1468" s="4" t="n">
        <v>1</v>
      </c>
      <c r="R1468" s="4" t="n">
        <v>1</v>
      </c>
      <c r="S1468" s="4" t="n">
        <v>0</v>
      </c>
      <c r="T1468" s="4" t="n">
        <v>0</v>
      </c>
      <c r="U1468" s="4" t="n">
        <v>1</v>
      </c>
      <c r="V1468" s="4" t="n">
        <v>0</v>
      </c>
      <c r="W1468" s="4" t="n">
        <v>0</v>
      </c>
    </row>
    <row r="1469" customFormat="false" ht="15" hidden="false" customHeight="false" outlineLevel="0" collapsed="false">
      <c r="A1469" s="4" t="s">
        <v>600</v>
      </c>
      <c r="B1469" s="4" t="n">
        <v>1973</v>
      </c>
      <c r="C1469" s="4" t="str">
        <f aca="false">FLOOR(B1469,10)&amp;"s"</f>
        <v>1970s</v>
      </c>
      <c r="D1469" s="4" t="s">
        <v>164</v>
      </c>
      <c r="E1469" s="25" t="str">
        <f aca="false">IF(G1469=1,"✓","")</f>
        <v>✓</v>
      </c>
      <c r="F1469" s="4" t="n">
        <v>3</v>
      </c>
      <c r="G1469" s="4" t="n">
        <f aca="false">IF(COUNTIF('Letterboxd Watched'!$E$2:$E$3000,M1469)&gt;0,1,0)</f>
        <v>1</v>
      </c>
      <c r="H1469" s="4" t="n">
        <v>6</v>
      </c>
      <c r="I1469" s="4" t="s">
        <v>213</v>
      </c>
      <c r="J1469" s="4" t="s">
        <v>50</v>
      </c>
      <c r="K1469" s="4" t="s">
        <v>5610</v>
      </c>
      <c r="L1469" s="48" t="str">
        <f aca="false">HYPERLINK("https://boxd.it/2aSU","open")</f>
        <v>open</v>
      </c>
      <c r="M1469" s="4" t="str">
        <f aca="false">LOWER(A1469)&amp;"|"&amp;B1469</f>
        <v>mean streets|1973</v>
      </c>
      <c r="N1469" s="4" t="n">
        <v>0</v>
      </c>
      <c r="O1469" s="4" t="n">
        <v>1</v>
      </c>
      <c r="P1469" s="4" t="n">
        <v>0</v>
      </c>
      <c r="Q1469" s="4" t="n">
        <v>0</v>
      </c>
      <c r="R1469" s="4" t="n">
        <v>1</v>
      </c>
      <c r="S1469" s="4" t="n">
        <v>0</v>
      </c>
      <c r="T1469" s="4" t="n">
        <v>1</v>
      </c>
      <c r="U1469" s="4" t="n">
        <v>0</v>
      </c>
      <c r="V1469" s="4" t="n">
        <v>0</v>
      </c>
      <c r="W1469" s="4" t="n">
        <v>0</v>
      </c>
    </row>
    <row r="1470" customFormat="false" ht="15" hidden="false" customHeight="false" outlineLevel="0" collapsed="false">
      <c r="A1470" s="4" t="s">
        <v>2378</v>
      </c>
      <c r="B1470" s="4" t="n">
        <v>1983</v>
      </c>
      <c r="C1470" s="4" t="str">
        <f aca="false">FLOOR(B1470,10)&amp;"s"</f>
        <v>1980s</v>
      </c>
      <c r="D1470" s="4" t="s">
        <v>1549</v>
      </c>
      <c r="E1470" s="25" t="str">
        <f aca="false">IF(G1470=1,"✓","")</f>
        <v/>
      </c>
      <c r="F1470" s="4" t="n">
        <v>1</v>
      </c>
      <c r="G1470" s="4" t="n">
        <f aca="false">IF(COUNTIF('Letterboxd Watched'!$E$2:$E$3000,M1470)&gt;0,1,0)</f>
        <v>0</v>
      </c>
      <c r="H1470" s="4" t="n">
        <v>2</v>
      </c>
      <c r="I1470" s="4" t="s">
        <v>213</v>
      </c>
      <c r="J1470" s="4" t="s">
        <v>51</v>
      </c>
      <c r="K1470" s="4" t="s">
        <v>3982</v>
      </c>
      <c r="L1470" s="48" t="str">
        <f aca="false">HYPERLINK("https://boxd.it/loW","open")</f>
        <v>open</v>
      </c>
      <c r="M1470" s="4" t="str">
        <f aca="false">LOWER(A1470)&amp;"|"&amp;B1470</f>
        <v>meantime|1983</v>
      </c>
      <c r="N1470" s="4" t="n">
        <v>0</v>
      </c>
      <c r="O1470" s="4" t="n">
        <v>0</v>
      </c>
      <c r="P1470" s="4" t="n">
        <v>1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</row>
    <row r="1471" customFormat="false" ht="15" hidden="false" customHeight="false" outlineLevel="0" collapsed="false">
      <c r="A1471" s="4" t="s">
        <v>1341</v>
      </c>
      <c r="B1471" s="4" t="n">
        <v>1969</v>
      </c>
      <c r="C1471" s="4" t="str">
        <f aca="false">FLOOR(B1471,10)&amp;"s"</f>
        <v>1960s</v>
      </c>
      <c r="D1471" s="4" t="s">
        <v>1342</v>
      </c>
      <c r="E1471" s="25" t="str">
        <f aca="false">IF(G1471=1,"✓","")</f>
        <v/>
      </c>
      <c r="F1471" s="4" t="n">
        <v>2</v>
      </c>
      <c r="G1471" s="4" t="n">
        <f aca="false">IF(COUNTIF('Letterboxd Watched'!$E$2:$E$3000,M1471)&gt;0,1,0)</f>
        <v>0</v>
      </c>
      <c r="H1471" s="4" t="n">
        <v>3</v>
      </c>
      <c r="I1471" s="4" t="s">
        <v>213</v>
      </c>
      <c r="J1471" s="4" t="s">
        <v>55</v>
      </c>
      <c r="K1471" s="4" t="s">
        <v>5611</v>
      </c>
      <c r="L1471" s="48" t="str">
        <f aca="false">HYPERLINK("https://boxd.it/WsQ","open")</f>
        <v>open</v>
      </c>
      <c r="M1471" s="4" t="str">
        <f aca="false">LOWER(A1471)&amp;"|"&amp;B1471</f>
        <v>medium cool|1969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1</v>
      </c>
      <c r="U1471" s="4" t="n">
        <v>0</v>
      </c>
      <c r="V1471" s="4" t="n">
        <v>0</v>
      </c>
      <c r="W1471" s="4" t="n">
        <v>1</v>
      </c>
    </row>
    <row r="1472" customFormat="false" ht="15" hidden="false" customHeight="false" outlineLevel="0" collapsed="false">
      <c r="A1472" s="4" t="s">
        <v>1408</v>
      </c>
      <c r="B1472" s="4" t="n">
        <v>2010</v>
      </c>
      <c r="C1472" s="4" t="str">
        <f aca="false">FLOOR(B1472,10)&amp;"s"</f>
        <v>2010s</v>
      </c>
      <c r="D1472" s="4" t="s">
        <v>867</v>
      </c>
      <c r="E1472" s="25" t="str">
        <f aca="false">IF(G1472=1,"✓","")</f>
        <v/>
      </c>
      <c r="F1472" s="4" t="n">
        <v>2</v>
      </c>
      <c r="G1472" s="4" t="n">
        <f aca="false">IF(COUNTIF('Letterboxd Watched'!$E$2:$E$3000,M1472)&gt;0,1,0)</f>
        <v>0</v>
      </c>
      <c r="H1472" s="4" t="n">
        <v>3</v>
      </c>
      <c r="I1472" s="4" t="s">
        <v>213</v>
      </c>
      <c r="J1472" s="4" t="s">
        <v>52</v>
      </c>
      <c r="K1472" s="4" t="s">
        <v>5404</v>
      </c>
      <c r="L1472" s="48" t="str">
        <f aca="false">HYPERLINK("https://boxd.it/nsG","open")</f>
        <v>open</v>
      </c>
      <c r="M1472" s="4" t="str">
        <f aca="false">LOWER(A1472)&amp;"|"&amp;B1472</f>
        <v>meek's cutoff|2010</v>
      </c>
      <c r="N1472" s="4" t="n">
        <v>0</v>
      </c>
      <c r="O1472" s="4" t="n">
        <v>0</v>
      </c>
      <c r="P1472" s="4" t="n">
        <v>0</v>
      </c>
      <c r="Q1472" s="4" t="n">
        <v>1</v>
      </c>
      <c r="R1472" s="4" t="n">
        <v>1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</row>
    <row r="1473" customFormat="false" ht="15" hidden="false" customHeight="false" outlineLevel="0" collapsed="false">
      <c r="A1473" s="4" t="s">
        <v>917</v>
      </c>
      <c r="B1473" s="4" t="n">
        <v>1941</v>
      </c>
      <c r="C1473" s="4" t="str">
        <f aca="false">FLOOR(B1473,10)&amp;"s"</f>
        <v>1940s</v>
      </c>
      <c r="D1473" s="4" t="s">
        <v>176</v>
      </c>
      <c r="E1473" s="25" t="str">
        <f aca="false">IF(G1473=1,"✓","")</f>
        <v/>
      </c>
      <c r="F1473" s="4" t="n">
        <v>2</v>
      </c>
      <c r="G1473" s="4" t="n">
        <f aca="false">IF(COUNTIF('Letterboxd Watched'!$E$2:$E$3000,M1473)&gt;0,1,0)</f>
        <v>0</v>
      </c>
      <c r="H1473" s="4" t="n">
        <v>4</v>
      </c>
      <c r="I1473" s="4" t="s">
        <v>213</v>
      </c>
      <c r="J1473" s="4" t="s">
        <v>53</v>
      </c>
      <c r="K1473" s="4" t="s">
        <v>5612</v>
      </c>
      <c r="L1473" s="48" t="str">
        <f aca="false">HYPERLINK("https://boxd.it/1gVe","open")</f>
        <v>open</v>
      </c>
      <c r="M1473" s="4" t="str">
        <f aca="false">LOWER(A1473)&amp;"|"&amp;B1473</f>
        <v>meet john doe|1941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1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1</v>
      </c>
    </row>
    <row r="1474" customFormat="false" ht="15" hidden="false" customHeight="false" outlineLevel="0" collapsed="false">
      <c r="A1474" s="4" t="s">
        <v>569</v>
      </c>
      <c r="B1474" s="4" t="n">
        <v>1944</v>
      </c>
      <c r="C1474" s="4" t="str">
        <f aca="false">FLOOR(B1474,10)&amp;"s"</f>
        <v>1940s</v>
      </c>
      <c r="D1474" s="4" t="s">
        <v>570</v>
      </c>
      <c r="E1474" s="25" t="str">
        <f aca="false">IF(G1474=1,"✓","")</f>
        <v/>
      </c>
      <c r="F1474" s="4" t="n">
        <v>3</v>
      </c>
      <c r="G1474" s="4" t="n">
        <f aca="false">IF(COUNTIF('Letterboxd Watched'!$E$2:$E$3000,M1474)&gt;0,1,0)</f>
        <v>0</v>
      </c>
      <c r="H1474" s="4" t="n">
        <v>6</v>
      </c>
      <c r="I1474" s="4" t="s">
        <v>213</v>
      </c>
      <c r="J1474" s="4" t="s">
        <v>49</v>
      </c>
      <c r="K1474" s="4" t="s">
        <v>5613</v>
      </c>
      <c r="L1474" s="48" t="str">
        <f aca="false">HYPERLINK("https://boxd.it/29j0","open")</f>
        <v>open</v>
      </c>
      <c r="M1474" s="4" t="str">
        <f aca="false">LOWER(A1474)&amp;"|"&amp;B1474</f>
        <v>meet me in st. louis|1944</v>
      </c>
      <c r="N1474" s="4" t="n">
        <v>1</v>
      </c>
      <c r="O1474" s="4" t="n">
        <v>0</v>
      </c>
      <c r="P1474" s="4" t="n">
        <v>0</v>
      </c>
      <c r="Q1474" s="4" t="n">
        <v>1</v>
      </c>
      <c r="R1474" s="4" t="n">
        <v>0</v>
      </c>
      <c r="S1474" s="4" t="n">
        <v>0</v>
      </c>
      <c r="T1474" s="4" t="n">
        <v>0</v>
      </c>
      <c r="U1474" s="4" t="n">
        <v>1</v>
      </c>
      <c r="V1474" s="4" t="n">
        <v>0</v>
      </c>
      <c r="W1474" s="4" t="n">
        <v>0</v>
      </c>
    </row>
    <row r="1475" customFormat="false" ht="15" hidden="false" customHeight="false" outlineLevel="0" collapsed="false">
      <c r="A1475" s="4" t="s">
        <v>2979</v>
      </c>
      <c r="B1475" s="4" t="n">
        <v>2011</v>
      </c>
      <c r="C1475" s="4" t="str">
        <f aca="false">FLOOR(B1475,10)&amp;"s"</f>
        <v>2010s</v>
      </c>
      <c r="D1475" s="4" t="s">
        <v>1135</v>
      </c>
      <c r="E1475" s="25" t="str">
        <f aca="false">IF(G1475=1,"✓","")</f>
        <v/>
      </c>
      <c r="F1475" s="4" t="n">
        <v>1</v>
      </c>
      <c r="G1475" s="4" t="n">
        <f aca="false">IF(COUNTIF('Letterboxd Watched'!$E$2:$E$3000,M1475)&gt;0,1,0)</f>
        <v>0</v>
      </c>
      <c r="H1475" s="4" t="n">
        <v>2</v>
      </c>
      <c r="I1475" s="4" t="s">
        <v>213</v>
      </c>
      <c r="J1475" s="4" t="s">
        <v>55</v>
      </c>
      <c r="K1475" s="4" t="s">
        <v>4332</v>
      </c>
      <c r="L1475" s="48" t="str">
        <f aca="false">HYPERLINK("https://boxd.it/bPI","open")</f>
        <v>open</v>
      </c>
      <c r="M1475" s="4" t="str">
        <f aca="false">LOWER(A1475)&amp;"|"&amp;B1475</f>
        <v>melancholia|2011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1</v>
      </c>
      <c r="U1475" s="4" t="n">
        <v>0</v>
      </c>
      <c r="V1475" s="4" t="n">
        <v>0</v>
      </c>
      <c r="W1475" s="4" t="n">
        <v>0</v>
      </c>
    </row>
    <row r="1476" customFormat="false" ht="15" hidden="false" customHeight="false" outlineLevel="0" collapsed="false">
      <c r="A1476" s="4" t="s">
        <v>341</v>
      </c>
      <c r="B1476" s="4" t="n">
        <v>2000</v>
      </c>
      <c r="C1476" s="4" t="str">
        <f aca="false">FLOOR(B1476,10)&amp;"s"</f>
        <v>2000s</v>
      </c>
      <c r="D1476" s="4" t="s">
        <v>342</v>
      </c>
      <c r="E1476" s="25" t="str">
        <f aca="false">IF(G1476=1,"✓","")</f>
        <v>✓</v>
      </c>
      <c r="F1476" s="4" t="n">
        <v>4</v>
      </c>
      <c r="G1476" s="4" t="n">
        <f aca="false">IF(COUNTIF('Letterboxd Watched'!$E$2:$E$3000,M1476)&gt;0,1,0)</f>
        <v>1</v>
      </c>
      <c r="H1476" s="4" t="n">
        <v>10</v>
      </c>
      <c r="I1476" s="4" t="s">
        <v>144</v>
      </c>
      <c r="J1476" s="4" t="s">
        <v>49</v>
      </c>
      <c r="K1476" s="4" t="s">
        <v>5614</v>
      </c>
      <c r="L1476" s="48" t="str">
        <f aca="false">HYPERLINK("https://boxd.it/2bcK","open")</f>
        <v>open</v>
      </c>
      <c r="M1476" s="4" t="str">
        <f aca="false">LOWER(A1476)&amp;"|"&amp;B1476</f>
        <v>memento|2000</v>
      </c>
      <c r="N1476" s="4" t="n">
        <v>1</v>
      </c>
      <c r="O1476" s="4" t="n">
        <v>0</v>
      </c>
      <c r="P1476" s="4" t="n">
        <v>0</v>
      </c>
      <c r="Q1476" s="4" t="n">
        <v>0</v>
      </c>
      <c r="R1476" s="4" t="n">
        <v>1</v>
      </c>
      <c r="S1476" s="4" t="n">
        <v>1</v>
      </c>
      <c r="T1476" s="4" t="n">
        <v>0</v>
      </c>
      <c r="U1476" s="4" t="n">
        <v>0</v>
      </c>
      <c r="V1476" s="4" t="n">
        <v>0</v>
      </c>
      <c r="W1476" s="4" t="n">
        <v>0</v>
      </c>
    </row>
    <row r="1477" customFormat="false" ht="15" hidden="false" customHeight="false" outlineLevel="0" collapsed="false">
      <c r="A1477" s="4" t="s">
        <v>3260</v>
      </c>
      <c r="B1477" s="4" t="n">
        <v>2024</v>
      </c>
      <c r="C1477" s="4" t="str">
        <f aca="false">FLOOR(B1477,10)&amp;"s"</f>
        <v>2020s</v>
      </c>
      <c r="D1477" s="4" t="s">
        <v>2926</v>
      </c>
      <c r="E1477" s="25" t="str">
        <f aca="false">IF(G1477=1,"✓","")</f>
        <v/>
      </c>
      <c r="F1477" s="4" t="n">
        <v>1</v>
      </c>
      <c r="G1477" s="4" t="n">
        <f aca="false">IF(COUNTIF('Letterboxd Watched'!$E$2:$E$3000,M1477)&gt;0,1,0)</f>
        <v>0</v>
      </c>
      <c r="H1477" s="4" t="n">
        <v>2</v>
      </c>
      <c r="I1477" s="4" t="s">
        <v>213</v>
      </c>
      <c r="J1477" s="4" t="s">
        <v>52</v>
      </c>
      <c r="K1477" s="4" t="s">
        <v>4164</v>
      </c>
      <c r="L1477" s="48" t="str">
        <f aca="false">HYPERLINK("https://boxd.it/EgX8","open")</f>
        <v>open</v>
      </c>
      <c r="M1477" s="4" t="str">
        <f aca="false">LOWER(A1477)&amp;"|"&amp;B1477</f>
        <v>memoir of a snail|2024</v>
      </c>
      <c r="N1477" s="4" t="n">
        <v>0</v>
      </c>
      <c r="O1477" s="4" t="n">
        <v>0</v>
      </c>
      <c r="P1477" s="4" t="n">
        <v>0</v>
      </c>
      <c r="Q1477" s="4" t="n">
        <v>1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 customFormat="false" ht="15" hidden="false" customHeight="false" outlineLevel="0" collapsed="false">
      <c r="A1478" s="4" t="s">
        <v>1261</v>
      </c>
      <c r="B1478" s="4" t="n">
        <v>2021</v>
      </c>
      <c r="C1478" s="4" t="str">
        <f aca="false">FLOOR(B1478,10)&amp;"s"</f>
        <v>2020s</v>
      </c>
      <c r="D1478" s="4" t="s">
        <v>444</v>
      </c>
      <c r="E1478" s="25" t="str">
        <f aca="false">IF(G1478=1,"✓","")</f>
        <v/>
      </c>
      <c r="F1478" s="4" t="n">
        <v>2</v>
      </c>
      <c r="G1478" s="4" t="n">
        <f aca="false">IF(COUNTIF('Letterboxd Watched'!$E$2:$E$3000,M1478)&gt;0,1,0)</f>
        <v>0</v>
      </c>
      <c r="H1478" s="4" t="n">
        <v>4</v>
      </c>
      <c r="I1478" s="4" t="s">
        <v>213</v>
      </c>
      <c r="J1478" s="4" t="s">
        <v>51</v>
      </c>
      <c r="K1478" s="4" t="s">
        <v>5243</v>
      </c>
      <c r="L1478" s="48" t="str">
        <f aca="false">HYPERLINK("https://boxd.it/iwtE","open")</f>
        <v>open</v>
      </c>
      <c r="M1478" s="4" t="str">
        <f aca="false">LOWER(A1478)&amp;"|"&amp;B1478</f>
        <v>memoria|2021</v>
      </c>
      <c r="N1478" s="4" t="n">
        <v>0</v>
      </c>
      <c r="O1478" s="4" t="n">
        <v>0</v>
      </c>
      <c r="P1478" s="4" t="n">
        <v>1</v>
      </c>
      <c r="Q1478" s="4" t="n">
        <v>0</v>
      </c>
      <c r="R1478" s="4" t="n">
        <v>1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 customFormat="false" ht="15" hidden="false" customHeight="false" outlineLevel="0" collapsed="false">
      <c r="A1479" s="4" t="s">
        <v>275</v>
      </c>
      <c r="B1479" s="4" t="n">
        <v>2003</v>
      </c>
      <c r="C1479" s="4" t="str">
        <f aca="false">FLOOR(B1479,10)&amp;"s"</f>
        <v>2000s</v>
      </c>
      <c r="D1479" s="4" t="s">
        <v>276</v>
      </c>
      <c r="E1479" s="25" t="str">
        <f aca="false">IF(G1479=1,"✓","")</f>
        <v/>
      </c>
      <c r="F1479" s="4" t="n">
        <v>5</v>
      </c>
      <c r="G1479" s="4" t="n">
        <f aca="false">IF(COUNTIF('Letterboxd Watched'!$E$2:$E$3000,M1479)&gt;0,1,0)</f>
        <v>0</v>
      </c>
      <c r="H1479" s="4" t="n">
        <v>11</v>
      </c>
      <c r="I1479" s="4" t="s">
        <v>144</v>
      </c>
      <c r="J1479" s="4" t="s">
        <v>50</v>
      </c>
      <c r="K1479" s="4" t="s">
        <v>5615</v>
      </c>
      <c r="L1479" s="48" t="str">
        <f aca="false">HYPERLINK("https://boxd.it/1TSo","open")</f>
        <v>open</v>
      </c>
      <c r="M1479" s="4" t="str">
        <f aca="false">LOWER(A1479)&amp;"|"&amp;B1479</f>
        <v>memories of murder|2003</v>
      </c>
      <c r="N1479" s="4" t="n">
        <v>0</v>
      </c>
      <c r="O1479" s="4" t="n">
        <v>1</v>
      </c>
      <c r="P1479" s="4" t="n">
        <v>1</v>
      </c>
      <c r="Q1479" s="4" t="n">
        <v>1</v>
      </c>
      <c r="R1479" s="4" t="n">
        <v>1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1</v>
      </c>
    </row>
    <row r="1480" customFormat="false" ht="15" hidden="false" customHeight="false" outlineLevel="0" collapsed="false">
      <c r="A1480" s="4" t="s">
        <v>778</v>
      </c>
      <c r="B1480" s="4" t="n">
        <v>1968</v>
      </c>
      <c r="C1480" s="4" t="str">
        <f aca="false">FLOOR(B1480,10)&amp;"s"</f>
        <v>1960s</v>
      </c>
      <c r="D1480" s="4" t="s">
        <v>779</v>
      </c>
      <c r="E1480" s="25" t="str">
        <f aca="false">IF(G1480=1,"✓","")</f>
        <v/>
      </c>
      <c r="F1480" s="4" t="n">
        <v>2</v>
      </c>
      <c r="G1480" s="4" t="n">
        <f aca="false">IF(COUNTIF('Letterboxd Watched'!$E$2:$E$3000,M1480)&gt;0,1,0)</f>
        <v>0</v>
      </c>
      <c r="H1480" s="4" t="n">
        <v>5</v>
      </c>
      <c r="I1480" s="4" t="s">
        <v>144</v>
      </c>
      <c r="J1480" s="4" t="s">
        <v>50</v>
      </c>
      <c r="K1480" s="4" t="s">
        <v>5616</v>
      </c>
      <c r="L1480" s="48" t="str">
        <f aca="false">HYPERLINK("https://boxd.it/Kos","open")</f>
        <v>open</v>
      </c>
      <c r="M1480" s="4" t="str">
        <f aca="false">LOWER(A1480)&amp;"|"&amp;B1480</f>
        <v>memories of underdevelopment|1968</v>
      </c>
      <c r="N1480" s="4" t="n">
        <v>0</v>
      </c>
      <c r="O1480" s="4" t="n">
        <v>1</v>
      </c>
      <c r="P1480" s="4" t="n">
        <v>1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</row>
    <row r="1481" customFormat="false" ht="15" hidden="false" customHeight="false" outlineLevel="0" collapsed="false">
      <c r="A1481" s="4" t="s">
        <v>499</v>
      </c>
      <c r="B1481" s="4" t="n">
        <v>1993</v>
      </c>
      <c r="C1481" s="4" t="str">
        <f aca="false">FLOOR(B1481,10)&amp;"s"</f>
        <v>1990s</v>
      </c>
      <c r="D1481" s="4" t="s">
        <v>500</v>
      </c>
      <c r="E1481" s="25" t="str">
        <f aca="false">IF(G1481=1,"✓","")</f>
        <v/>
      </c>
      <c r="F1481" s="4" t="n">
        <v>3</v>
      </c>
      <c r="G1481" s="4" t="n">
        <f aca="false">IF(COUNTIF('Letterboxd Watched'!$E$2:$E$3000,M1481)&gt;0,1,0)</f>
        <v>0</v>
      </c>
      <c r="H1481" s="4" t="n">
        <v>7</v>
      </c>
      <c r="I1481" s="4" t="s">
        <v>144</v>
      </c>
      <c r="J1481" s="4" t="s">
        <v>54</v>
      </c>
      <c r="K1481" s="4" t="s">
        <v>5617</v>
      </c>
      <c r="L1481" s="48" t="str">
        <f aca="false">HYPERLINK("https://boxd.it/1Yuc","open")</f>
        <v>open</v>
      </c>
      <c r="M1481" s="4" t="str">
        <f aca="false">LOWER(A1481)&amp;"|"&amp;B1481</f>
        <v>menace ii society|1993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1</v>
      </c>
      <c r="T1481" s="4" t="n">
        <v>0</v>
      </c>
      <c r="U1481" s="4" t="n">
        <v>1</v>
      </c>
      <c r="V1481" s="4" t="n">
        <v>0</v>
      </c>
      <c r="W1481" s="4" t="n">
        <v>1</v>
      </c>
    </row>
    <row r="1482" customFormat="false" ht="15" hidden="false" customHeight="false" outlineLevel="0" collapsed="false">
      <c r="A1482" s="4" t="s">
        <v>1687</v>
      </c>
      <c r="B1482" s="4" t="n">
        <v>1926</v>
      </c>
      <c r="C1482" s="4" t="str">
        <f aca="false">FLOOR(B1482,10)&amp;"s"</f>
        <v>1920s</v>
      </c>
      <c r="D1482" s="4" t="s">
        <v>1688</v>
      </c>
      <c r="E1482" s="25" t="str">
        <f aca="false">IF(G1482=1,"✓","")</f>
        <v/>
      </c>
      <c r="F1482" s="4" t="n">
        <v>1</v>
      </c>
      <c r="G1482" s="4" t="n">
        <f aca="false">IF(COUNTIF('Letterboxd Watched'!$E$2:$E$3000,M1482)&gt;0,1,0)</f>
        <v>0</v>
      </c>
      <c r="H1482" s="4" t="n">
        <v>2</v>
      </c>
      <c r="I1482" s="4" t="s">
        <v>213</v>
      </c>
      <c r="J1482" s="4" t="s">
        <v>50</v>
      </c>
      <c r="K1482" s="4" t="s">
        <v>3902</v>
      </c>
      <c r="L1482" s="48" t="str">
        <f aca="false">HYPERLINK("https://letterboxd.com/search/films/Ménilmontant+1926/","open")</f>
        <v>open</v>
      </c>
      <c r="M1482" s="4" t="str">
        <f aca="false">LOWER(A1482)&amp;"|"&amp;B1482</f>
        <v>ménilmontant|1926</v>
      </c>
      <c r="N1482" s="4" t="n">
        <v>0</v>
      </c>
      <c r="O1482" s="4" t="n">
        <v>1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</row>
    <row r="1483" customFormat="false" ht="15" hidden="false" customHeight="false" outlineLevel="0" collapsed="false">
      <c r="A1483" s="4" t="s">
        <v>2349</v>
      </c>
      <c r="B1483" s="4" t="n">
        <v>1981</v>
      </c>
      <c r="C1483" s="4" t="str">
        <f aca="false">FLOOR(B1483,10)&amp;"s"</f>
        <v>1980s</v>
      </c>
      <c r="D1483" s="4" t="s">
        <v>2350</v>
      </c>
      <c r="E1483" s="25" t="str">
        <f aca="false">IF(G1483=1,"✓","")</f>
        <v/>
      </c>
      <c r="F1483" s="4" t="n">
        <v>1</v>
      </c>
      <c r="G1483" s="4" t="n">
        <f aca="false">IF(COUNTIF('Letterboxd Watched'!$E$2:$E$3000,M1483)&gt;0,1,0)</f>
        <v>0</v>
      </c>
      <c r="H1483" s="4" t="n">
        <v>2</v>
      </c>
      <c r="I1483" s="4" t="s">
        <v>213</v>
      </c>
      <c r="J1483" s="4" t="s">
        <v>51</v>
      </c>
      <c r="K1483" s="4" t="s">
        <v>3998</v>
      </c>
      <c r="L1483" s="48" t="str">
        <f aca="false">HYPERLINK("https://letterboxd.com/search/films/Mephisto+1981/","open")</f>
        <v>open</v>
      </c>
      <c r="M1483" s="4" t="str">
        <f aca="false">LOWER(A1483)&amp;"|"&amp;B1483</f>
        <v>mephisto|1981</v>
      </c>
      <c r="N1483" s="4" t="n">
        <v>0</v>
      </c>
      <c r="O1483" s="4" t="n">
        <v>0</v>
      </c>
      <c r="P1483" s="4" t="n">
        <v>1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 customFormat="false" ht="15" hidden="false" customHeight="false" outlineLevel="0" collapsed="false">
      <c r="A1484" s="4" t="s">
        <v>1012</v>
      </c>
      <c r="B1484" s="4" t="n">
        <v>1971</v>
      </c>
      <c r="C1484" s="4" t="str">
        <f aca="false">FLOOR(B1484,10)&amp;"s"</f>
        <v>1970s</v>
      </c>
      <c r="D1484" s="4" t="s">
        <v>312</v>
      </c>
      <c r="E1484" s="25" t="str">
        <f aca="false">IF(G1484=1,"✓","")</f>
        <v/>
      </c>
      <c r="F1484" s="4" t="n">
        <v>2</v>
      </c>
      <c r="G1484" s="4" t="n">
        <f aca="false">IF(COUNTIF('Letterboxd Watched'!$E$2:$E$3000,M1484)&gt;0,1,0)</f>
        <v>0</v>
      </c>
      <c r="H1484" s="4" t="n">
        <v>4</v>
      </c>
      <c r="I1484" s="4" t="s">
        <v>213</v>
      </c>
      <c r="J1484" s="4" t="s">
        <v>51</v>
      </c>
      <c r="K1484" s="4" t="s">
        <v>5235</v>
      </c>
      <c r="L1484" s="48" t="str">
        <f aca="false">HYPERLINK("https://letterboxd.com/search/films/The+Merchant+of+Four+Seasons+1971/","open")</f>
        <v>open</v>
      </c>
      <c r="M1484" s="4" t="str">
        <f aca="false">LOWER(A1484)&amp;"|"&amp;B1484</f>
        <v>the merchant of four seasons|1971</v>
      </c>
      <c r="N1484" s="4" t="n">
        <v>0</v>
      </c>
      <c r="O1484" s="4" t="n">
        <v>0</v>
      </c>
      <c r="P1484" s="4" t="n">
        <v>1</v>
      </c>
      <c r="Q1484" s="4" t="n">
        <v>0</v>
      </c>
      <c r="R1484" s="4" t="n">
        <v>1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 customFormat="false" ht="15" hidden="false" customHeight="false" outlineLevel="0" collapsed="false">
      <c r="A1485" s="4" t="s">
        <v>3318</v>
      </c>
      <c r="B1485" s="4" t="n">
        <v>1934</v>
      </c>
      <c r="C1485" s="4" t="str">
        <f aca="false">FLOOR(B1485,10)&amp;"s"</f>
        <v>1930s</v>
      </c>
      <c r="D1485" s="4" t="s">
        <v>348</v>
      </c>
      <c r="E1485" s="25" t="str">
        <f aca="false">IF(G1485=1,"✓","")</f>
        <v/>
      </c>
      <c r="F1485" s="4" t="n">
        <v>1</v>
      </c>
      <c r="G1485" s="4" t="n">
        <f aca="false">IF(COUNTIF('Letterboxd Watched'!$E$2:$E$3000,M1485)&gt;0,1,0)</f>
        <v>0</v>
      </c>
      <c r="H1485" s="4" t="n">
        <v>1</v>
      </c>
      <c r="I1485" s="4" t="s">
        <v>1327</v>
      </c>
      <c r="J1485" s="4" t="s">
        <v>52</v>
      </c>
      <c r="K1485" s="4" t="s">
        <v>4114</v>
      </c>
      <c r="L1485" s="48" t="str">
        <f aca="false">HYPERLINK("https://letterboxd.com/search/films/The+Merry+Widow+1934/","open")</f>
        <v>open</v>
      </c>
      <c r="M1485" s="4" t="str">
        <f aca="false">LOWER(A1485)&amp;"|"&amp;B1485</f>
        <v>the merry widow|1934</v>
      </c>
      <c r="N1485" s="4" t="n">
        <v>0</v>
      </c>
      <c r="O1485" s="4" t="n">
        <v>0</v>
      </c>
      <c r="P1485" s="4" t="n">
        <v>0</v>
      </c>
      <c r="Q1485" s="4" t="n">
        <v>1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</row>
    <row r="1486" customFormat="false" ht="15" hidden="false" customHeight="false" outlineLevel="0" collapsed="false">
      <c r="A1486" s="4" t="s">
        <v>3084</v>
      </c>
      <c r="B1486" s="4" t="n">
        <v>2015</v>
      </c>
      <c r="C1486" s="4" t="str">
        <f aca="false">FLOOR(B1486,10)&amp;"s"</f>
        <v>2010s</v>
      </c>
      <c r="D1486" s="4" t="s">
        <v>3085</v>
      </c>
      <c r="E1486" s="25" t="str">
        <f aca="false">IF(G1486=1,"✓","")</f>
        <v/>
      </c>
      <c r="F1486" s="4" t="n">
        <v>1</v>
      </c>
      <c r="G1486" s="4" t="n">
        <f aca="false">IF(COUNTIF('Letterboxd Watched'!$E$2:$E$3000,M1486)&gt;0,1,0)</f>
        <v>0</v>
      </c>
      <c r="H1486" s="4" t="n">
        <v>2</v>
      </c>
      <c r="I1486" s="4" t="s">
        <v>213</v>
      </c>
      <c r="J1486" s="4" t="s">
        <v>56</v>
      </c>
      <c r="K1486" s="4" t="s">
        <v>4386</v>
      </c>
      <c r="L1486" s="48" t="str">
        <f aca="false">HYPERLINK("https://boxd.it/aixm","open")</f>
        <v>open</v>
      </c>
      <c r="M1486" s="4" t="str">
        <f aca="false">LOWER(A1486)&amp;"|"&amp;B1486</f>
        <v>meru|2015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1</v>
      </c>
      <c r="V1486" s="4" t="n">
        <v>0</v>
      </c>
      <c r="W1486" s="4" t="n">
        <v>0</v>
      </c>
    </row>
    <row r="1487" customFormat="false" ht="15" hidden="false" customHeight="false" outlineLevel="0" collapsed="false">
      <c r="A1487" s="4" t="s">
        <v>263</v>
      </c>
      <c r="B1487" s="4" t="n">
        <v>1943</v>
      </c>
      <c r="C1487" s="4" t="str">
        <f aca="false">FLOOR(B1487,10)&amp;"s"</f>
        <v>1940s</v>
      </c>
      <c r="D1487" s="4" t="s">
        <v>264</v>
      </c>
      <c r="E1487" s="25" t="str">
        <f aca="false">IF(G1487=1,"✓","")</f>
        <v/>
      </c>
      <c r="F1487" s="4" t="n">
        <v>5</v>
      </c>
      <c r="G1487" s="4" t="n">
        <f aca="false">IF(COUNTIF('Letterboxd Watched'!$E$2:$E$3000,M1487)&gt;0,1,0)</f>
        <v>0</v>
      </c>
      <c r="H1487" s="4" t="n">
        <v>12</v>
      </c>
      <c r="I1487" s="4" t="s">
        <v>144</v>
      </c>
      <c r="J1487" s="4" t="s">
        <v>52</v>
      </c>
      <c r="K1487" s="4" t="s">
        <v>5618</v>
      </c>
      <c r="L1487" s="48" t="str">
        <f aca="false">HYPERLINK("https://boxd.it/1sEE","open")</f>
        <v>open</v>
      </c>
      <c r="M1487" s="4" t="str">
        <f aca="false">LOWER(A1487)&amp;"|"&amp;B1487</f>
        <v>meshes of the afternoon|1943</v>
      </c>
      <c r="N1487" s="4" t="n">
        <v>0</v>
      </c>
      <c r="O1487" s="4" t="n">
        <v>0</v>
      </c>
      <c r="P1487" s="4" t="n">
        <v>0</v>
      </c>
      <c r="Q1487" s="4" t="n">
        <v>1</v>
      </c>
      <c r="R1487" s="4" t="n">
        <v>0</v>
      </c>
      <c r="S1487" s="4" t="n">
        <v>1</v>
      </c>
      <c r="T1487" s="4" t="n">
        <v>0</v>
      </c>
      <c r="U1487" s="4" t="n">
        <v>0</v>
      </c>
      <c r="V1487" s="4" t="n">
        <v>1</v>
      </c>
      <c r="W1487" s="4" t="n">
        <v>0</v>
      </c>
    </row>
    <row r="1488" customFormat="false" ht="15" hidden="false" customHeight="false" outlineLevel="0" collapsed="false">
      <c r="A1488" s="4" t="s">
        <v>281</v>
      </c>
      <c r="B1488" s="4" t="n">
        <v>1927</v>
      </c>
      <c r="C1488" s="4" t="str">
        <f aca="false">FLOOR(B1488,10)&amp;"s"</f>
        <v>1920s</v>
      </c>
      <c r="D1488" s="4" t="s">
        <v>248</v>
      </c>
      <c r="E1488" s="25" t="str">
        <f aca="false">IF(G1488=1,"✓","")</f>
        <v>✓</v>
      </c>
      <c r="F1488" s="4" t="n">
        <v>5</v>
      </c>
      <c r="G1488" s="4" t="n">
        <f aca="false">IF(COUNTIF('Letterboxd Watched'!$E$2:$E$3000,M1488)&gt;0,1,0)</f>
        <v>1</v>
      </c>
      <c r="H1488" s="4" t="n">
        <v>11</v>
      </c>
      <c r="I1488" s="4" t="s">
        <v>144</v>
      </c>
      <c r="J1488" s="4" t="s">
        <v>49</v>
      </c>
      <c r="K1488" s="4" t="s">
        <v>5619</v>
      </c>
      <c r="L1488" s="48" t="str">
        <f aca="false">HYPERLINK("https://boxd.it/71a","open")</f>
        <v>open</v>
      </c>
      <c r="M1488" s="4" t="str">
        <f aca="false">LOWER(A1488)&amp;"|"&amp;B1488</f>
        <v>metropolis|1927</v>
      </c>
      <c r="N1488" s="4" t="n">
        <v>1</v>
      </c>
      <c r="O1488" s="4" t="n">
        <v>1</v>
      </c>
      <c r="P1488" s="4" t="n">
        <v>0</v>
      </c>
      <c r="Q1488" s="4" t="n">
        <v>1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1</v>
      </c>
      <c r="W1488" s="4" t="n">
        <v>0</v>
      </c>
    </row>
    <row r="1489" customFormat="false" ht="15" hidden="false" customHeight="false" outlineLevel="0" collapsed="false">
      <c r="A1489" s="4" t="s">
        <v>1177</v>
      </c>
      <c r="B1489" s="4" t="n">
        <v>2006</v>
      </c>
      <c r="C1489" s="4" t="str">
        <f aca="false">FLOOR(B1489,10)&amp;"s"</f>
        <v>2000s</v>
      </c>
      <c r="D1489" s="4" t="s">
        <v>296</v>
      </c>
      <c r="E1489" s="25" t="str">
        <f aca="false">IF(G1489=1,"✓","")</f>
        <v>✓</v>
      </c>
      <c r="F1489" s="4" t="n">
        <v>2</v>
      </c>
      <c r="G1489" s="4" t="n">
        <f aca="false">IF(COUNTIF('Letterboxd Watched'!$E$2:$E$3000,M1489)&gt;0,1,0)</f>
        <v>1</v>
      </c>
      <c r="H1489" s="4" t="n">
        <v>4</v>
      </c>
      <c r="I1489" s="4" t="s">
        <v>144</v>
      </c>
      <c r="J1489" s="4" t="s">
        <v>53</v>
      </c>
      <c r="K1489" s="4" t="s">
        <v>5620</v>
      </c>
      <c r="L1489" s="48" t="str">
        <f aca="false">HYPERLINK("https://boxd.it/2bbW","open")</f>
        <v>open</v>
      </c>
      <c r="M1489" s="4" t="str">
        <f aca="false">LOWER(A1489)&amp;"|"&amp;B1489</f>
        <v>miami vice|2006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1</v>
      </c>
      <c r="S1489" s="4" t="n">
        <v>1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 customFormat="false" ht="15" hidden="false" customHeight="false" outlineLevel="0" collapsed="false">
      <c r="A1490" s="4" t="s">
        <v>1684</v>
      </c>
      <c r="B1490" s="4" t="n">
        <v>1924</v>
      </c>
      <c r="C1490" s="4" t="str">
        <f aca="false">FLOOR(B1490,10)&amp;"s"</f>
        <v>1920s</v>
      </c>
      <c r="D1490" s="4" t="s">
        <v>246</v>
      </c>
      <c r="E1490" s="25" t="str">
        <f aca="false">IF(G1490=1,"✓","")</f>
        <v/>
      </c>
      <c r="F1490" s="4" t="n">
        <v>1</v>
      </c>
      <c r="G1490" s="4" t="n">
        <f aca="false">IF(COUNTIF('Letterboxd Watched'!$E$2:$E$3000,M1490)&gt;0,1,0)</f>
        <v>0</v>
      </c>
      <c r="H1490" s="4" t="n">
        <v>2</v>
      </c>
      <c r="I1490" s="4" t="s">
        <v>213</v>
      </c>
      <c r="J1490" s="4" t="s">
        <v>54</v>
      </c>
      <c r="K1490" s="4" t="s">
        <v>4296</v>
      </c>
      <c r="L1490" s="48" t="str">
        <f aca="false">HYPERLINK("https://boxd.it/rtI","open")</f>
        <v>open</v>
      </c>
      <c r="M1490" s="4" t="str">
        <f aca="false">LOWER(A1490)&amp;"|"&amp;B1490</f>
        <v>michael|1924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1</v>
      </c>
      <c r="T1490" s="4" t="n">
        <v>0</v>
      </c>
      <c r="U1490" s="4" t="n">
        <v>0</v>
      </c>
      <c r="V1490" s="4" t="n">
        <v>0</v>
      </c>
      <c r="W1490" s="4" t="n">
        <v>0</v>
      </c>
    </row>
    <row r="1491" customFormat="false" ht="15" hidden="false" customHeight="false" outlineLevel="0" collapsed="false">
      <c r="A1491" s="4" t="s">
        <v>1640</v>
      </c>
      <c r="B1491" s="4" t="n">
        <v>2018</v>
      </c>
      <c r="C1491" s="4" t="str">
        <f aca="false">FLOOR(B1491,10)&amp;"s"</f>
        <v>2010s</v>
      </c>
      <c r="D1491" s="4" t="s">
        <v>1641</v>
      </c>
      <c r="E1491" s="25" t="str">
        <f aca="false">IF(G1491=1,"✓","")</f>
        <v>✓</v>
      </c>
      <c r="F1491" s="4" t="n">
        <v>1</v>
      </c>
      <c r="G1491" s="4" t="n">
        <f aca="false">IF(COUNTIF('Letterboxd Watched'!$E$2:$E$3000,M1491)&gt;0,1,0)</f>
        <v>1</v>
      </c>
      <c r="H1491" s="4" t="n">
        <v>3</v>
      </c>
      <c r="I1491" s="4" t="s">
        <v>144</v>
      </c>
      <c r="J1491" s="4" t="s">
        <v>56</v>
      </c>
      <c r="K1491" s="4" t="s">
        <v>4396</v>
      </c>
      <c r="L1491" s="48" t="str">
        <f aca="false">HYPERLINK("https://boxd.it/fxIa","open")</f>
        <v>open</v>
      </c>
      <c r="M1491" s="4" t="str">
        <f aca="false">LOWER(A1491)&amp;"|"&amp;B1491</f>
        <v>mid90s|2018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1</v>
      </c>
      <c r="V1491" s="4" t="n">
        <v>0</v>
      </c>
      <c r="W1491" s="4" t="n">
        <v>0</v>
      </c>
    </row>
    <row r="1492" customFormat="false" ht="15" hidden="false" customHeight="false" outlineLevel="0" collapsed="false">
      <c r="A1492" s="4" t="s">
        <v>2290</v>
      </c>
      <c r="B1492" s="4" t="n">
        <v>1976</v>
      </c>
      <c r="C1492" s="4" t="str">
        <f aca="false">FLOOR(B1492,10)&amp;"s"</f>
        <v>1970s</v>
      </c>
      <c r="D1492" s="4" t="s">
        <v>253</v>
      </c>
      <c r="E1492" s="25" t="str">
        <f aca="false">IF(G1492=1,"✓","")</f>
        <v/>
      </c>
      <c r="F1492" s="4" t="n">
        <v>1</v>
      </c>
      <c r="G1492" s="4" t="n">
        <f aca="false">IF(COUNTIF('Letterboxd Watched'!$E$2:$E$3000,M1492)&gt;0,1,0)</f>
        <v>0</v>
      </c>
      <c r="H1492" s="4" t="n">
        <v>2</v>
      </c>
      <c r="I1492" s="4" t="s">
        <v>213</v>
      </c>
      <c r="J1492" s="4" t="s">
        <v>53</v>
      </c>
      <c r="K1492" s="4" t="s">
        <v>253</v>
      </c>
      <c r="L1492" s="48" t="str">
        <f aca="false">HYPERLINK("https://letterboxd.com/search/films/The+Middleman+1976/","open")</f>
        <v>open</v>
      </c>
      <c r="M1492" s="4" t="str">
        <f aca="false">LOWER(A1492)&amp;"|"&amp;B1492</f>
        <v>the middleman|1976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1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</row>
    <row r="1493" customFormat="false" ht="15" hidden="false" customHeight="false" outlineLevel="0" collapsed="false">
      <c r="A1493" s="4" t="s">
        <v>3333</v>
      </c>
      <c r="B1493" s="4" t="n">
        <v>1939</v>
      </c>
      <c r="C1493" s="4" t="str">
        <f aca="false">FLOOR(B1493,10)&amp;"s"</f>
        <v>1930s</v>
      </c>
      <c r="D1493" s="4" t="s">
        <v>3325</v>
      </c>
      <c r="E1493" s="25" t="str">
        <f aca="false">IF(G1493=1,"✓","")</f>
        <v/>
      </c>
      <c r="F1493" s="4" t="n">
        <v>1</v>
      </c>
      <c r="G1493" s="4" t="n">
        <f aca="false">IF(COUNTIF('Letterboxd Watched'!$E$2:$E$3000,M1493)&gt;0,1,0)</f>
        <v>0</v>
      </c>
      <c r="H1493" s="4" t="n">
        <v>1</v>
      </c>
      <c r="I1493" s="4" t="s">
        <v>1327</v>
      </c>
      <c r="J1493" s="4" t="s">
        <v>52</v>
      </c>
      <c r="K1493" s="4" t="s">
        <v>4096</v>
      </c>
      <c r="L1493" s="48" t="str">
        <f aca="false">HYPERLINK("https://boxd.it/1hXK","open")</f>
        <v>open</v>
      </c>
      <c r="M1493" s="4" t="str">
        <f aca="false">LOWER(A1493)&amp;"|"&amp;B1493</f>
        <v>midnight|1939</v>
      </c>
      <c r="N1493" s="4" t="n">
        <v>0</v>
      </c>
      <c r="O1493" s="4" t="n">
        <v>0</v>
      </c>
      <c r="P1493" s="4" t="n">
        <v>0</v>
      </c>
      <c r="Q1493" s="4" t="n">
        <v>1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</row>
    <row r="1494" customFormat="false" ht="15" hidden="false" customHeight="false" outlineLevel="0" collapsed="false">
      <c r="A1494" s="4" t="s">
        <v>588</v>
      </c>
      <c r="B1494" s="4" t="n">
        <v>1969</v>
      </c>
      <c r="C1494" s="4" t="str">
        <f aca="false">FLOOR(B1494,10)&amp;"s"</f>
        <v>1960s</v>
      </c>
      <c r="D1494" s="4" t="s">
        <v>589</v>
      </c>
      <c r="E1494" s="25" t="str">
        <f aca="false">IF(G1494=1,"✓","")</f>
        <v>✓</v>
      </c>
      <c r="F1494" s="4" t="n">
        <v>3</v>
      </c>
      <c r="G1494" s="4" t="n">
        <f aca="false">IF(COUNTIF('Letterboxd Watched'!$E$2:$E$3000,M1494)&gt;0,1,0)</f>
        <v>1</v>
      </c>
      <c r="H1494" s="4" t="n">
        <v>6</v>
      </c>
      <c r="I1494" s="4" t="s">
        <v>213</v>
      </c>
      <c r="J1494" s="4" t="s">
        <v>50</v>
      </c>
      <c r="K1494" s="4" t="s">
        <v>5621</v>
      </c>
      <c r="L1494" s="48" t="str">
        <f aca="false">HYPERLINK("https://boxd.it/25Hi","open")</f>
        <v>open</v>
      </c>
      <c r="M1494" s="4" t="str">
        <f aca="false">LOWER(A1494)&amp;"|"&amp;B1494</f>
        <v>midnight cowboy|1969</v>
      </c>
      <c r="N1494" s="4" t="n">
        <v>0</v>
      </c>
      <c r="O1494" s="4" t="n">
        <v>1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1</v>
      </c>
      <c r="U1494" s="4" t="n">
        <v>0</v>
      </c>
      <c r="V1494" s="4" t="n">
        <v>1</v>
      </c>
      <c r="W1494" s="4" t="n">
        <v>0</v>
      </c>
    </row>
    <row r="1495" customFormat="false" ht="15" hidden="false" customHeight="false" outlineLevel="0" collapsed="false">
      <c r="A1495" s="4" t="s">
        <v>2315</v>
      </c>
      <c r="B1495" s="4" t="n">
        <v>1978</v>
      </c>
      <c r="C1495" s="4" t="str">
        <f aca="false">FLOOR(B1495,10)&amp;"s"</f>
        <v>1970s</v>
      </c>
      <c r="D1495" s="4" t="s">
        <v>2316</v>
      </c>
      <c r="E1495" s="25" t="str">
        <f aca="false">IF(G1495=1,"✓","")</f>
        <v/>
      </c>
      <c r="F1495" s="4" t="n">
        <v>1</v>
      </c>
      <c r="G1495" s="4" t="n">
        <f aca="false">IF(COUNTIF('Letterboxd Watched'!$E$2:$E$3000,M1495)&gt;0,1,0)</f>
        <v>0</v>
      </c>
      <c r="H1495" s="4" t="n">
        <v>2</v>
      </c>
      <c r="I1495" s="4" t="s">
        <v>213</v>
      </c>
      <c r="J1495" s="4" t="s">
        <v>55</v>
      </c>
      <c r="K1495" s="4" t="s">
        <v>4326</v>
      </c>
      <c r="L1495" s="48" t="str">
        <f aca="false">HYPERLINK("https://boxd.it/1U7I","open")</f>
        <v>open</v>
      </c>
      <c r="M1495" s="4" t="str">
        <f aca="false">LOWER(A1495)&amp;"|"&amp;B1495</f>
        <v>midnight express|1978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1</v>
      </c>
      <c r="U1495" s="4" t="n">
        <v>0</v>
      </c>
      <c r="V1495" s="4" t="n">
        <v>0</v>
      </c>
      <c r="W1495" s="4" t="n">
        <v>0</v>
      </c>
    </row>
    <row r="1496" customFormat="false" ht="15" hidden="false" customHeight="false" outlineLevel="0" collapsed="false">
      <c r="A1496" s="4" t="s">
        <v>3171</v>
      </c>
      <c r="B1496" s="4" t="n">
        <v>2019</v>
      </c>
      <c r="C1496" s="4" t="str">
        <f aca="false">FLOOR(B1496,10)&amp;"s"</f>
        <v>2010s</v>
      </c>
      <c r="D1496" s="4" t="s">
        <v>696</v>
      </c>
      <c r="E1496" s="25" t="str">
        <f aca="false">IF(G1496=1,"✓","")</f>
        <v>✓</v>
      </c>
      <c r="F1496" s="4" t="n">
        <v>1</v>
      </c>
      <c r="G1496" s="4" t="n">
        <f aca="false">IF(COUNTIF('Letterboxd Watched'!$E$2:$E$3000,M1496)&gt;0,1,0)</f>
        <v>1</v>
      </c>
      <c r="H1496" s="4" t="n">
        <v>2</v>
      </c>
      <c r="I1496" s="4" t="s">
        <v>213</v>
      </c>
      <c r="J1496" s="4" t="s">
        <v>52</v>
      </c>
      <c r="K1496" s="4" t="s">
        <v>4064</v>
      </c>
      <c r="L1496" s="48" t="str">
        <f aca="false">HYPERLINK("https://boxd.it/jhxe","open")</f>
        <v>open</v>
      </c>
      <c r="M1496" s="4" t="str">
        <f aca="false">LOWER(A1496)&amp;"|"&amp;B1496</f>
        <v>midsommar|2019</v>
      </c>
      <c r="N1496" s="4" t="n">
        <v>0</v>
      </c>
      <c r="O1496" s="4" t="n">
        <v>0</v>
      </c>
      <c r="P1496" s="4" t="n">
        <v>0</v>
      </c>
      <c r="Q1496" s="4" t="n">
        <v>1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</row>
    <row r="1497" customFormat="false" ht="15" hidden="false" customHeight="false" outlineLevel="0" collapsed="false">
      <c r="A1497" s="4" t="s">
        <v>2695</v>
      </c>
      <c r="B1497" s="4" t="n">
        <v>1999</v>
      </c>
      <c r="C1497" s="4" t="str">
        <f aca="false">FLOOR(B1497,10)&amp;"s"</f>
        <v>1990s</v>
      </c>
      <c r="D1497" s="4" t="s">
        <v>2696</v>
      </c>
      <c r="E1497" s="25" t="str">
        <f aca="false">IF(G1497=1,"✓","")</f>
        <v/>
      </c>
      <c r="F1497" s="4" t="n">
        <v>1</v>
      </c>
      <c r="G1497" s="4" t="n">
        <f aca="false">IF(COUNTIF('Letterboxd Watched'!$E$2:$E$3000,M1497)&gt;0,1,0)</f>
        <v>0</v>
      </c>
      <c r="H1497" s="4" t="n">
        <v>2</v>
      </c>
      <c r="I1497" s="4" t="s">
        <v>213</v>
      </c>
      <c r="J1497" s="4" t="s">
        <v>51</v>
      </c>
      <c r="K1497" s="4" t="s">
        <v>3988</v>
      </c>
      <c r="L1497" s="48" t="str">
        <f aca="false">HYPERLINK("https://letterboxd.com/search/films/Mifune+1999/","open")</f>
        <v>open</v>
      </c>
      <c r="M1497" s="4" t="str">
        <f aca="false">LOWER(A1497)&amp;"|"&amp;B1497</f>
        <v>mifune|1999</v>
      </c>
      <c r="N1497" s="4" t="n">
        <v>0</v>
      </c>
      <c r="O1497" s="4" t="n">
        <v>0</v>
      </c>
      <c r="P1497" s="4" t="n">
        <v>1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</row>
    <row r="1498" customFormat="false" ht="15" hidden="false" customHeight="false" outlineLevel="0" collapsed="false">
      <c r="A1498" s="4" t="s">
        <v>2801</v>
      </c>
      <c r="B1498" s="4" t="n">
        <v>2003</v>
      </c>
      <c r="C1498" s="4" t="str">
        <f aca="false">FLOOR(B1498,10)&amp;"s"</f>
        <v>2000s</v>
      </c>
      <c r="D1498" s="4" t="s">
        <v>2636</v>
      </c>
      <c r="E1498" s="25" t="str">
        <f aca="false">IF(G1498=1,"✓","")</f>
        <v/>
      </c>
      <c r="F1498" s="4" t="n">
        <v>1</v>
      </c>
      <c r="G1498" s="4" t="n">
        <f aca="false">IF(COUNTIF('Letterboxd Watched'!$E$2:$E$3000,M1498)&gt;0,1,0)</f>
        <v>0</v>
      </c>
      <c r="H1498" s="4" t="n">
        <v>2</v>
      </c>
      <c r="I1498" s="4" t="s">
        <v>213</v>
      </c>
      <c r="J1498" s="4" t="s">
        <v>52</v>
      </c>
      <c r="K1498" s="4" t="s">
        <v>4104</v>
      </c>
      <c r="L1498" s="48" t="str">
        <f aca="false">HYPERLINK("https://boxd.it/1Qke","open")</f>
        <v>open</v>
      </c>
      <c r="M1498" s="4" t="str">
        <f aca="false">LOWER(A1498)&amp;"|"&amp;B1498</f>
        <v>a mighty wind|2003</v>
      </c>
      <c r="N1498" s="4" t="n">
        <v>0</v>
      </c>
      <c r="O1498" s="4" t="n">
        <v>0</v>
      </c>
      <c r="P1498" s="4" t="n">
        <v>0</v>
      </c>
      <c r="Q1498" s="4" t="n">
        <v>1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</row>
    <row r="1499" customFormat="false" ht="15" hidden="false" customHeight="false" outlineLevel="0" collapsed="false">
      <c r="A1499" s="4" t="s">
        <v>1356</v>
      </c>
      <c r="B1499" s="4" t="n">
        <v>1976</v>
      </c>
      <c r="C1499" s="4" t="str">
        <f aca="false">FLOOR(B1499,10)&amp;"s"</f>
        <v>1970s</v>
      </c>
      <c r="D1499" s="4" t="s">
        <v>707</v>
      </c>
      <c r="E1499" s="25" t="str">
        <f aca="false">IF(G1499=1,"✓","")</f>
        <v>✓</v>
      </c>
      <c r="F1499" s="4" t="n">
        <v>2</v>
      </c>
      <c r="G1499" s="4" t="n">
        <f aca="false">IF(COUNTIF('Letterboxd Watched'!$E$2:$E$3000,M1499)&gt;0,1,0)</f>
        <v>1</v>
      </c>
      <c r="H1499" s="4" t="n">
        <v>3</v>
      </c>
      <c r="I1499" s="4" t="s">
        <v>213</v>
      </c>
      <c r="J1499" s="4" t="s">
        <v>53</v>
      </c>
      <c r="K1499" s="4" t="s">
        <v>5622</v>
      </c>
      <c r="L1499" s="48" t="str">
        <f aca="false">HYPERLINK("https://boxd.it/iL4","open")</f>
        <v>open</v>
      </c>
      <c r="M1499" s="4" t="str">
        <f aca="false">LOWER(A1499)&amp;"|"&amp;B1499</f>
        <v>mikey and nicky|1976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1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1</v>
      </c>
    </row>
    <row r="1500" customFormat="false" ht="15" hidden="false" customHeight="false" outlineLevel="0" collapsed="false">
      <c r="A1500" s="4" t="s">
        <v>1490</v>
      </c>
      <c r="B1500" s="4" t="n">
        <v>1972</v>
      </c>
      <c r="C1500" s="4" t="str">
        <f aca="false">FLOOR(B1500,10)&amp;"s"</f>
        <v>1970s</v>
      </c>
      <c r="D1500" s="4" t="s">
        <v>1491</v>
      </c>
      <c r="E1500" s="25" t="str">
        <f aca="false">IF(G1500=1,"✓","")</f>
        <v/>
      </c>
      <c r="F1500" s="4" t="n">
        <v>1</v>
      </c>
      <c r="G1500" s="4" t="n">
        <f aca="false">IF(COUNTIF('Letterboxd Watched'!$E$2:$E$3000,M1500)&gt;0,1,0)</f>
        <v>0</v>
      </c>
      <c r="H1500" s="4" t="n">
        <v>3</v>
      </c>
      <c r="I1500" s="4" t="s">
        <v>144</v>
      </c>
      <c r="J1500" s="4" t="s">
        <v>51</v>
      </c>
      <c r="K1500" s="4" t="s">
        <v>3954</v>
      </c>
      <c r="L1500" s="48" t="str">
        <f aca="false">HYPERLINK("https://letterboxd.com/search/films/Milano+Calibro+9+1972/","open")</f>
        <v>open</v>
      </c>
      <c r="M1500" s="4" t="str">
        <f aca="false">LOWER(A1500)&amp;"|"&amp;B1500</f>
        <v>milano calibro 9|1972</v>
      </c>
      <c r="N1500" s="4" t="n">
        <v>0</v>
      </c>
      <c r="O1500" s="4" t="n">
        <v>0</v>
      </c>
      <c r="P1500" s="4" t="n">
        <v>1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</row>
    <row r="1501" customFormat="false" ht="15" hidden="false" customHeight="false" outlineLevel="0" collapsed="false">
      <c r="A1501" s="4" t="s">
        <v>1829</v>
      </c>
      <c r="B1501" s="4" t="n">
        <v>1945</v>
      </c>
      <c r="C1501" s="4" t="str">
        <f aca="false">FLOOR(B1501,10)&amp;"s"</f>
        <v>1940s</v>
      </c>
      <c r="D1501" s="4" t="s">
        <v>335</v>
      </c>
      <c r="E1501" s="25" t="str">
        <f aca="false">IF(G1501=1,"✓","")</f>
        <v/>
      </c>
      <c r="F1501" s="4" t="n">
        <v>1</v>
      </c>
      <c r="G1501" s="4" t="n">
        <f aca="false">IF(COUNTIF('Letterboxd Watched'!$E$2:$E$3000,M1501)&gt;0,1,0)</f>
        <v>0</v>
      </c>
      <c r="H1501" s="4" t="n">
        <v>2</v>
      </c>
      <c r="I1501" s="4" t="s">
        <v>213</v>
      </c>
      <c r="J1501" s="4" t="s">
        <v>52</v>
      </c>
      <c r="K1501" s="4" t="s">
        <v>4148</v>
      </c>
      <c r="L1501" s="48" t="str">
        <f aca="false">HYPERLINK("https://boxd.it/25uS","open")</f>
        <v>open</v>
      </c>
      <c r="M1501" s="4" t="str">
        <f aca="false">LOWER(A1501)&amp;"|"&amp;B1501</f>
        <v>mildred pierce|1945</v>
      </c>
      <c r="N1501" s="4" t="n">
        <v>0</v>
      </c>
      <c r="O1501" s="4" t="n">
        <v>0</v>
      </c>
      <c r="P1501" s="4" t="n">
        <v>0</v>
      </c>
      <c r="Q1501" s="4" t="n">
        <v>1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 customFormat="false" ht="15" hidden="false" customHeight="false" outlineLevel="0" collapsed="false">
      <c r="A1502" s="4" t="s">
        <v>2915</v>
      </c>
      <c r="B1502" s="4" t="n">
        <v>2008</v>
      </c>
      <c r="C1502" s="4" t="str">
        <f aca="false">FLOOR(B1502,10)&amp;"s"</f>
        <v>2000s</v>
      </c>
      <c r="D1502" s="4" t="s">
        <v>827</v>
      </c>
      <c r="E1502" s="25" t="str">
        <f aca="false">IF(G1502=1,"✓","")</f>
        <v/>
      </c>
      <c r="F1502" s="4" t="n">
        <v>1</v>
      </c>
      <c r="G1502" s="4" t="n">
        <f aca="false">IF(COUNTIF('Letterboxd Watched'!$E$2:$E$3000,M1502)&gt;0,1,0)</f>
        <v>0</v>
      </c>
      <c r="H1502" s="4" t="n">
        <v>2</v>
      </c>
      <c r="I1502" s="4" t="s">
        <v>213</v>
      </c>
      <c r="J1502" s="4" t="s">
        <v>55</v>
      </c>
      <c r="K1502" s="4" t="s">
        <v>4360</v>
      </c>
      <c r="L1502" s="48" t="str">
        <f aca="false">HYPERLINK("https://boxd.it/1WZC","open")</f>
        <v>open</v>
      </c>
      <c r="M1502" s="4" t="str">
        <f aca="false">LOWER(A1502)&amp;"|"&amp;B1502</f>
        <v>milk|2008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1</v>
      </c>
      <c r="U1502" s="4" t="n">
        <v>0</v>
      </c>
      <c r="V1502" s="4" t="n">
        <v>0</v>
      </c>
      <c r="W1502" s="4" t="n">
        <v>0</v>
      </c>
    </row>
    <row r="1503" customFormat="false" ht="15" hidden="false" customHeight="false" outlineLevel="0" collapsed="false">
      <c r="A1503" s="4" t="s">
        <v>2734</v>
      </c>
      <c r="B1503" s="4" t="n">
        <v>2001</v>
      </c>
      <c r="C1503" s="4" t="str">
        <f aca="false">FLOOR(B1503,10)&amp;"s"</f>
        <v>2000s</v>
      </c>
      <c r="D1503" s="4" t="s">
        <v>635</v>
      </c>
      <c r="E1503" s="25" t="str">
        <f aca="false">IF(G1503=1,"✓","")</f>
        <v/>
      </c>
      <c r="F1503" s="4" t="n">
        <v>1</v>
      </c>
      <c r="G1503" s="4" t="n">
        <f aca="false">IF(COUNTIF('Letterboxd Watched'!$E$2:$E$3000,M1503)&gt;0,1,0)</f>
        <v>0</v>
      </c>
      <c r="H1503" s="4" t="n">
        <v>2</v>
      </c>
      <c r="I1503" s="4" t="s">
        <v>213</v>
      </c>
      <c r="J1503" s="4" t="s">
        <v>51</v>
      </c>
      <c r="K1503" s="4" t="s">
        <v>3938</v>
      </c>
      <c r="L1503" s="48" t="str">
        <f aca="false">HYPERLINK("https://boxd.it/1fK0","open")</f>
        <v>open</v>
      </c>
      <c r="M1503" s="4" t="str">
        <f aca="false">LOWER(A1503)&amp;"|"&amp;B1503</f>
        <v>millennium actress|2001</v>
      </c>
      <c r="N1503" s="4" t="n">
        <v>0</v>
      </c>
      <c r="O1503" s="4" t="n">
        <v>0</v>
      </c>
      <c r="P1503" s="4" t="n">
        <v>1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</row>
    <row r="1504" customFormat="false" ht="15" hidden="false" customHeight="false" outlineLevel="0" collapsed="false">
      <c r="A1504" s="4" t="s">
        <v>1394</v>
      </c>
      <c r="B1504" s="4" t="n">
        <v>2001</v>
      </c>
      <c r="C1504" s="4" t="str">
        <f aca="false">FLOOR(B1504,10)&amp;"s"</f>
        <v>2000s</v>
      </c>
      <c r="D1504" s="4" t="s">
        <v>492</v>
      </c>
      <c r="E1504" s="25" t="str">
        <f aca="false">IF(G1504=1,"✓","")</f>
        <v/>
      </c>
      <c r="F1504" s="4" t="n">
        <v>2</v>
      </c>
      <c r="G1504" s="4" t="n">
        <f aca="false">IF(COUNTIF('Letterboxd Watched'!$E$2:$E$3000,M1504)&gt;0,1,0)</f>
        <v>0</v>
      </c>
      <c r="H1504" s="4" t="n">
        <v>3</v>
      </c>
      <c r="I1504" s="4" t="s">
        <v>213</v>
      </c>
      <c r="J1504" s="4" t="s">
        <v>51</v>
      </c>
      <c r="K1504" s="4" t="s">
        <v>5623</v>
      </c>
      <c r="L1504" s="48" t="str">
        <f aca="false">HYPERLINK("https://boxd.it/1Tzw","open")</f>
        <v>open</v>
      </c>
      <c r="M1504" s="4" t="str">
        <f aca="false">LOWER(A1504)&amp;"|"&amp;B1504</f>
        <v>millennium mambo|2001</v>
      </c>
      <c r="N1504" s="4" t="n">
        <v>0</v>
      </c>
      <c r="O1504" s="4" t="n">
        <v>0</v>
      </c>
      <c r="P1504" s="4" t="n">
        <v>1</v>
      </c>
      <c r="Q1504" s="4" t="n">
        <v>0</v>
      </c>
      <c r="R1504" s="4" t="n">
        <v>1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</row>
    <row r="1505" customFormat="false" ht="15" hidden="false" customHeight="false" outlineLevel="0" collapsed="false">
      <c r="A1505" s="4" t="s">
        <v>612</v>
      </c>
      <c r="B1505" s="4" t="n">
        <v>1990</v>
      </c>
      <c r="C1505" s="4" t="str">
        <f aca="false">FLOOR(B1505,10)&amp;"s"</f>
        <v>1990s</v>
      </c>
      <c r="D1505" s="4" t="s">
        <v>397</v>
      </c>
      <c r="E1505" s="25" t="str">
        <f aca="false">IF(G1505=1,"✓","")</f>
        <v>✓</v>
      </c>
      <c r="F1505" s="4" t="n">
        <v>3</v>
      </c>
      <c r="G1505" s="4" t="n">
        <f aca="false">IF(COUNTIF('Letterboxd Watched'!$E$2:$E$3000,M1505)&gt;0,1,0)</f>
        <v>1</v>
      </c>
      <c r="H1505" s="4" t="n">
        <v>6</v>
      </c>
      <c r="I1505" s="4" t="s">
        <v>213</v>
      </c>
      <c r="J1505" s="4" t="s">
        <v>52</v>
      </c>
      <c r="K1505" s="4" t="s">
        <v>5624</v>
      </c>
      <c r="L1505" s="48" t="str">
        <f aca="false">HYPERLINK("https://boxd.it/2avG","open")</f>
        <v>open</v>
      </c>
      <c r="M1505" s="4" t="str">
        <f aca="false">LOWER(A1505)&amp;"|"&amp;B1505</f>
        <v>miller's crossing|1990</v>
      </c>
      <c r="N1505" s="4" t="n">
        <v>0</v>
      </c>
      <c r="O1505" s="4" t="n">
        <v>0</v>
      </c>
      <c r="P1505" s="4" t="n">
        <v>0</v>
      </c>
      <c r="Q1505" s="4" t="n">
        <v>1</v>
      </c>
      <c r="R1505" s="4" t="n">
        <v>1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1</v>
      </c>
    </row>
    <row r="1506" customFormat="false" ht="15" hidden="false" customHeight="false" outlineLevel="0" collapsed="false">
      <c r="A1506" s="4" t="s">
        <v>1255</v>
      </c>
      <c r="B1506" s="4" t="n">
        <v>2020</v>
      </c>
      <c r="C1506" s="4" t="str">
        <f aca="false">FLOOR(B1506,10)&amp;"s"</f>
        <v>2020s</v>
      </c>
      <c r="D1506" s="4" t="s">
        <v>1256</v>
      </c>
      <c r="E1506" s="25" t="str">
        <f aca="false">IF(G1506=1,"✓","")</f>
        <v/>
      </c>
      <c r="F1506" s="4" t="n">
        <v>2</v>
      </c>
      <c r="G1506" s="4" t="n">
        <f aca="false">IF(COUNTIF('Letterboxd Watched'!$E$2:$E$3000,M1506)&gt;0,1,0)</f>
        <v>0</v>
      </c>
      <c r="H1506" s="4" t="n">
        <v>4</v>
      </c>
      <c r="I1506" s="4" t="s">
        <v>213</v>
      </c>
      <c r="J1506" s="4" t="s">
        <v>54</v>
      </c>
      <c r="K1506" s="4" t="s">
        <v>5625</v>
      </c>
      <c r="L1506" s="48" t="str">
        <f aca="false">HYPERLINK("https://boxd.it/mL9M","open")</f>
        <v>open</v>
      </c>
      <c r="M1506" s="4" t="str">
        <f aca="false">LOWER(A1506)&amp;"|"&amp;B1506</f>
        <v>minari|2020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1</v>
      </c>
      <c r="T1506" s="4" t="n">
        <v>0</v>
      </c>
      <c r="U1506" s="4" t="n">
        <v>0</v>
      </c>
      <c r="V1506" s="4" t="n">
        <v>1</v>
      </c>
      <c r="W1506" s="4" t="n">
        <v>0</v>
      </c>
    </row>
    <row r="1507" customFormat="false" ht="15" hidden="false" customHeight="false" outlineLevel="0" collapsed="false">
      <c r="A1507" s="4" t="s">
        <v>3742</v>
      </c>
      <c r="B1507" s="4" t="n">
        <v>2004</v>
      </c>
      <c r="C1507" s="4" t="str">
        <f aca="false">FLOOR(B1507,10)&amp;"s"</f>
        <v>2000s</v>
      </c>
      <c r="D1507" s="4" t="s">
        <v>3743</v>
      </c>
      <c r="E1507" s="25" t="str">
        <f aca="false">IF(G1507=1,"✓","")</f>
        <v/>
      </c>
      <c r="F1507" s="4" t="n">
        <v>1</v>
      </c>
      <c r="G1507" s="4" t="n">
        <f aca="false">IF(COUNTIF('Letterboxd Watched'!$E$2:$E$3000,M1507)&gt;0,1,0)</f>
        <v>0</v>
      </c>
      <c r="H1507" s="4" t="n">
        <v>1</v>
      </c>
      <c r="I1507" s="4" t="s">
        <v>1327</v>
      </c>
      <c r="J1507" s="4" t="s">
        <v>51</v>
      </c>
      <c r="K1507" s="4" t="s">
        <v>3938</v>
      </c>
      <c r="L1507" s="48" t="str">
        <f aca="false">HYPERLINK("https://boxd.it/1Bv2","open")</f>
        <v>open</v>
      </c>
      <c r="M1507" s="4" t="str">
        <f aca="false">LOWER(A1507)&amp;"|"&amp;B1507</f>
        <v>mind game|2004</v>
      </c>
      <c r="N1507" s="4" t="n">
        <v>0</v>
      </c>
      <c r="O1507" s="4" t="n">
        <v>0</v>
      </c>
      <c r="P1507" s="4" t="n">
        <v>1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</row>
    <row r="1508" customFormat="false" ht="15" hidden="false" customHeight="false" outlineLevel="0" collapsed="false">
      <c r="A1508" s="4" t="s">
        <v>3162</v>
      </c>
      <c r="B1508" s="4" t="n">
        <v>2018</v>
      </c>
      <c r="C1508" s="4" t="str">
        <f aca="false">FLOOR(B1508,10)&amp;"s"</f>
        <v>2010s</v>
      </c>
      <c r="D1508" s="4" t="s">
        <v>3163</v>
      </c>
      <c r="E1508" s="25" t="str">
        <f aca="false">IF(G1508=1,"✓","")</f>
        <v/>
      </c>
      <c r="F1508" s="4" t="n">
        <v>1</v>
      </c>
      <c r="G1508" s="4" t="n">
        <f aca="false">IF(COUNTIF('Letterboxd Watched'!$E$2:$E$3000,M1508)&gt;0,1,0)</f>
        <v>0</v>
      </c>
      <c r="H1508" s="4" t="n">
        <v>2</v>
      </c>
      <c r="I1508" s="4" t="s">
        <v>213</v>
      </c>
      <c r="J1508" s="4" t="s">
        <v>56</v>
      </c>
      <c r="K1508" s="4" t="s">
        <v>4396</v>
      </c>
      <c r="L1508" s="48" t="str">
        <f aca="false">HYPERLINK("https://letterboxd.com/search/films/Minding+the+Gap+2018/","open")</f>
        <v>open</v>
      </c>
      <c r="M1508" s="4" t="str">
        <f aca="false">LOWER(A1508)&amp;"|"&amp;B1508</f>
        <v>minding the gap|2018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1</v>
      </c>
      <c r="V1508" s="4" t="n">
        <v>0</v>
      </c>
      <c r="W1508" s="4" t="n">
        <v>0</v>
      </c>
    </row>
    <row r="1509" customFormat="false" ht="15" hidden="false" customHeight="false" outlineLevel="0" collapsed="false">
      <c r="A1509" s="4" t="s">
        <v>2187</v>
      </c>
      <c r="B1509" s="4" t="n">
        <v>1971</v>
      </c>
      <c r="C1509" s="4" t="str">
        <f aca="false">FLOOR(B1509,10)&amp;"s"</f>
        <v>1970s</v>
      </c>
      <c r="D1509" s="4" t="s">
        <v>801</v>
      </c>
      <c r="E1509" s="25" t="str">
        <f aca="false">IF(G1509=1,"✓","")</f>
        <v/>
      </c>
      <c r="F1509" s="4" t="n">
        <v>1</v>
      </c>
      <c r="G1509" s="4" t="n">
        <f aca="false">IF(COUNTIF('Letterboxd Watched'!$E$2:$E$3000,M1509)&gt;0,1,0)</f>
        <v>0</v>
      </c>
      <c r="H1509" s="4" t="n">
        <v>2</v>
      </c>
      <c r="I1509" s="4" t="s">
        <v>213</v>
      </c>
      <c r="J1509" s="4" t="s">
        <v>53</v>
      </c>
      <c r="K1509" s="4" t="s">
        <v>801</v>
      </c>
      <c r="L1509" s="48" t="str">
        <f aca="false">HYPERLINK("https://boxd.it/1xPi","open")</f>
        <v>open</v>
      </c>
      <c r="M1509" s="4" t="str">
        <f aca="false">LOWER(A1509)&amp;"|"&amp;B1509</f>
        <v>minnie and moskowitz|1971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1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</row>
    <row r="1510" customFormat="false" ht="15" hidden="false" customHeight="false" outlineLevel="0" collapsed="false">
      <c r="A1510" s="4" t="s">
        <v>683</v>
      </c>
      <c r="B1510" s="4" t="n">
        <v>2002</v>
      </c>
      <c r="C1510" s="4" t="str">
        <f aca="false">FLOOR(B1510,10)&amp;"s"</f>
        <v>2000s</v>
      </c>
      <c r="D1510" s="4" t="s">
        <v>183</v>
      </c>
      <c r="E1510" s="25" t="str">
        <f aca="false">IF(G1510=1,"✓","")</f>
        <v/>
      </c>
      <c r="F1510" s="4" t="n">
        <v>3</v>
      </c>
      <c r="G1510" s="4" t="n">
        <f aca="false">IF(COUNTIF('Letterboxd Watched'!$E$2:$E$3000,M1510)&gt;0,1,0)</f>
        <v>0</v>
      </c>
      <c r="H1510" s="4" t="n">
        <v>6</v>
      </c>
      <c r="I1510" s="4" t="s">
        <v>213</v>
      </c>
      <c r="J1510" s="4" t="s">
        <v>52</v>
      </c>
      <c r="K1510" s="4" t="s">
        <v>5626</v>
      </c>
      <c r="L1510" s="48" t="str">
        <f aca="false">HYPERLINK("https://boxd.it/2aWi","open")</f>
        <v>open</v>
      </c>
      <c r="M1510" s="4" t="str">
        <f aca="false">LOWER(A1510)&amp;"|"&amp;B1510</f>
        <v>minority report|2002</v>
      </c>
      <c r="N1510" s="4" t="n">
        <v>0</v>
      </c>
      <c r="O1510" s="4" t="n">
        <v>0</v>
      </c>
      <c r="P1510" s="4" t="n">
        <v>0</v>
      </c>
      <c r="Q1510" s="4" t="n">
        <v>1</v>
      </c>
      <c r="R1510" s="4" t="n">
        <v>1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</row>
    <row r="1511" customFormat="false" ht="15" hidden="false" customHeight="false" outlineLevel="0" collapsed="false">
      <c r="A1511" s="4" t="s">
        <v>921</v>
      </c>
      <c r="B1511" s="4" t="n">
        <v>1943</v>
      </c>
      <c r="C1511" s="4" t="str">
        <f aca="false">FLOOR(B1511,10)&amp;"s"</f>
        <v>1940s</v>
      </c>
      <c r="D1511" s="4" t="s">
        <v>250</v>
      </c>
      <c r="E1511" s="25" t="str">
        <f aca="false">IF(G1511=1,"✓","")</f>
        <v/>
      </c>
      <c r="F1511" s="4" t="n">
        <v>2</v>
      </c>
      <c r="G1511" s="4" t="n">
        <f aca="false">IF(COUNTIF('Letterboxd Watched'!$E$2:$E$3000,M1511)&gt;0,1,0)</f>
        <v>0</v>
      </c>
      <c r="H1511" s="4" t="n">
        <v>4</v>
      </c>
      <c r="I1511" s="4" t="s">
        <v>213</v>
      </c>
      <c r="J1511" s="4" t="s">
        <v>53</v>
      </c>
      <c r="K1511" s="4" t="s">
        <v>5627</v>
      </c>
      <c r="L1511" s="48" t="str">
        <f aca="false">HYPERLINK("https://boxd.it/VO2","open")</f>
        <v>open</v>
      </c>
      <c r="M1511" s="4" t="str">
        <f aca="false">LOWER(A1511)&amp;"|"&amp;B1511</f>
        <v>the miracle of morgan's creek|1943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1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1</v>
      </c>
    </row>
    <row r="1512" customFormat="false" ht="15" hidden="false" customHeight="false" outlineLevel="0" collapsed="false">
      <c r="A1512" s="4" t="s">
        <v>1848</v>
      </c>
      <c r="B1512" s="4" t="n">
        <v>1947</v>
      </c>
      <c r="C1512" s="4" t="str">
        <f aca="false">FLOOR(B1512,10)&amp;"s"</f>
        <v>1940s</v>
      </c>
      <c r="D1512" s="4" t="s">
        <v>1849</v>
      </c>
      <c r="E1512" s="25" t="str">
        <f aca="false">IF(G1512=1,"✓","")</f>
        <v/>
      </c>
      <c r="F1512" s="4" t="n">
        <v>1</v>
      </c>
      <c r="G1512" s="4" t="n">
        <f aca="false">IF(COUNTIF('Letterboxd Watched'!$E$2:$E$3000,M1512)&gt;0,1,0)</f>
        <v>0</v>
      </c>
      <c r="H1512" s="4" t="n">
        <v>2</v>
      </c>
      <c r="I1512" s="4" t="s">
        <v>213</v>
      </c>
      <c r="J1512" s="4" t="s">
        <v>56</v>
      </c>
      <c r="K1512" s="4" t="s">
        <v>4420</v>
      </c>
      <c r="L1512" s="48" t="str">
        <f aca="false">HYPERLINK("https://boxd.it/1SRu","open")</f>
        <v>open</v>
      </c>
      <c r="M1512" s="4" t="str">
        <f aca="false">LOWER(A1512)&amp;"|"&amp;B1512</f>
        <v>miracle on 34th street|1947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1</v>
      </c>
      <c r="V1512" s="4" t="n">
        <v>0</v>
      </c>
      <c r="W1512" s="4" t="n">
        <v>0</v>
      </c>
    </row>
    <row r="1513" customFormat="false" ht="15" hidden="false" customHeight="false" outlineLevel="0" collapsed="false">
      <c r="A1513" s="4" t="s">
        <v>229</v>
      </c>
      <c r="B1513" s="4" t="n">
        <v>1975</v>
      </c>
      <c r="C1513" s="4" t="str">
        <f aca="false">FLOOR(B1513,10)&amp;"s"</f>
        <v>1970s</v>
      </c>
      <c r="D1513" s="4" t="s">
        <v>210</v>
      </c>
      <c r="E1513" s="25" t="str">
        <f aca="false">IF(G1513=1,"✓","")</f>
        <v/>
      </c>
      <c r="F1513" s="4" t="n">
        <v>6</v>
      </c>
      <c r="G1513" s="4" t="n">
        <f aca="false">IF(COUNTIF('Letterboxd Watched'!$E$2:$E$3000,M1513)&gt;0,1,0)</f>
        <v>0</v>
      </c>
      <c r="H1513" s="4" t="n">
        <v>13</v>
      </c>
      <c r="I1513" s="4" t="s">
        <v>144</v>
      </c>
      <c r="J1513" s="4" t="s">
        <v>53</v>
      </c>
      <c r="K1513" s="4" t="s">
        <v>5628</v>
      </c>
      <c r="L1513" s="48" t="str">
        <f aca="false">HYPERLINK("https://boxd.it/28Q8","open")</f>
        <v>open</v>
      </c>
      <c r="M1513" s="4" t="str">
        <f aca="false">LOWER(A1513)&amp;"|"&amp;B1513</f>
        <v>mirror|1975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1</v>
      </c>
      <c r="S1513" s="4" t="n">
        <v>1</v>
      </c>
      <c r="T1513" s="4" t="n">
        <v>1</v>
      </c>
      <c r="U1513" s="4" t="n">
        <v>0</v>
      </c>
      <c r="V1513" s="4" t="n">
        <v>1</v>
      </c>
      <c r="W1513" s="4" t="n">
        <v>1</v>
      </c>
    </row>
    <row r="1514" customFormat="false" ht="15" hidden="false" customHeight="false" outlineLevel="0" collapsed="false">
      <c r="A1514" s="4" t="s">
        <v>3024</v>
      </c>
      <c r="B1514" s="4" t="n">
        <v>2013</v>
      </c>
      <c r="C1514" s="4" t="str">
        <f aca="false">FLOOR(B1514,10)&amp;"s"</f>
        <v>2010s</v>
      </c>
      <c r="D1514" s="4" t="s">
        <v>3025</v>
      </c>
      <c r="E1514" s="25" t="str">
        <f aca="false">IF(G1514=1,"✓","")</f>
        <v/>
      </c>
      <c r="F1514" s="4" t="n">
        <v>1</v>
      </c>
      <c r="G1514" s="4" t="n">
        <f aca="false">IF(COUNTIF('Letterboxd Watched'!$E$2:$E$3000,M1514)&gt;0,1,0)</f>
        <v>0</v>
      </c>
      <c r="H1514" s="4" t="n">
        <v>2</v>
      </c>
      <c r="I1514" s="4" t="s">
        <v>213</v>
      </c>
      <c r="J1514" s="4" t="s">
        <v>51</v>
      </c>
      <c r="K1514" s="4" t="s">
        <v>4030</v>
      </c>
      <c r="L1514" s="48" t="str">
        <f aca="false">HYPERLINK("https://boxd.it/5Fj8","open")</f>
        <v>open</v>
      </c>
      <c r="M1514" s="4" t="str">
        <f aca="false">LOWER(A1514)&amp;"|"&amp;B1514</f>
        <v>the missing picture|2013</v>
      </c>
      <c r="N1514" s="4" t="n">
        <v>0</v>
      </c>
      <c r="O1514" s="4" t="n">
        <v>0</v>
      </c>
      <c r="P1514" s="4" t="n">
        <v>1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</row>
    <row r="1515" customFormat="false" ht="15" hidden="false" customHeight="false" outlineLevel="0" collapsed="false">
      <c r="A1515" s="4" t="s">
        <v>2638</v>
      </c>
      <c r="B1515" s="4" t="n">
        <v>1996</v>
      </c>
      <c r="C1515" s="4" t="str">
        <f aca="false">FLOOR(B1515,10)&amp;"s"</f>
        <v>1990s</v>
      </c>
      <c r="D1515" s="4" t="s">
        <v>488</v>
      </c>
      <c r="E1515" s="25" t="str">
        <f aca="false">IF(G1515=1,"✓","")</f>
        <v/>
      </c>
      <c r="F1515" s="4" t="n">
        <v>1</v>
      </c>
      <c r="G1515" s="4" t="n">
        <f aca="false">IF(COUNTIF('Letterboxd Watched'!$E$2:$E$3000,M1515)&gt;0,1,0)</f>
        <v>0</v>
      </c>
      <c r="H1515" s="4" t="n">
        <v>2</v>
      </c>
      <c r="I1515" s="4" t="s">
        <v>213</v>
      </c>
      <c r="J1515" s="4" t="s">
        <v>53</v>
      </c>
      <c r="K1515" s="4" t="s">
        <v>488</v>
      </c>
      <c r="L1515" s="48" t="str">
        <f aca="false">HYPERLINK("https://boxd.it/29d2","open")</f>
        <v>open</v>
      </c>
      <c r="M1515" s="4" t="str">
        <f aca="false">LOWER(A1515)&amp;"|"&amp;B1515</f>
        <v>mission: impossible|1996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1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</row>
    <row r="1516" customFormat="false" ht="15" hidden="false" customHeight="false" outlineLevel="0" collapsed="false">
      <c r="A1516" s="4" t="s">
        <v>3144</v>
      </c>
      <c r="B1516" s="4" t="n">
        <v>2018</v>
      </c>
      <c r="C1516" s="4" t="str">
        <f aca="false">FLOOR(B1516,10)&amp;"s"</f>
        <v>2010s</v>
      </c>
      <c r="D1516" s="4" t="s">
        <v>3145</v>
      </c>
      <c r="E1516" s="25" t="str">
        <f aca="false">IF(G1516=1,"✓","")</f>
        <v/>
      </c>
      <c r="F1516" s="4" t="n">
        <v>1</v>
      </c>
      <c r="G1516" s="4" t="n">
        <f aca="false">IF(COUNTIF('Letterboxd Watched'!$E$2:$E$3000,M1516)&gt;0,1,0)</f>
        <v>0</v>
      </c>
      <c r="H1516" s="4" t="n">
        <v>2</v>
      </c>
      <c r="I1516" s="4" t="s">
        <v>213</v>
      </c>
      <c r="J1516" s="4" t="s">
        <v>52</v>
      </c>
      <c r="K1516" s="4" t="s">
        <v>4160</v>
      </c>
      <c r="L1516" s="48" t="str">
        <f aca="false">HYPERLINK("https://letterboxd.com/search/films/Mission+Impossible+Fallout+2018/","open")</f>
        <v>open</v>
      </c>
      <c r="M1516" s="4" t="str">
        <f aca="false">LOWER(A1516)&amp;"|"&amp;B1516</f>
        <v>mission: impossible – fallout|2018</v>
      </c>
      <c r="N1516" s="4" t="n">
        <v>0</v>
      </c>
      <c r="O1516" s="4" t="n">
        <v>0</v>
      </c>
      <c r="P1516" s="4" t="n">
        <v>0</v>
      </c>
      <c r="Q1516" s="4" t="n">
        <v>1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</row>
    <row r="1517" customFormat="false" ht="15" hidden="false" customHeight="false" outlineLevel="0" collapsed="false">
      <c r="A1517" s="4" t="s">
        <v>2533</v>
      </c>
      <c r="B1517" s="4" t="n">
        <v>1991</v>
      </c>
      <c r="C1517" s="4" t="str">
        <f aca="false">FLOOR(B1517,10)&amp;"s"</f>
        <v>1990s</v>
      </c>
      <c r="D1517" s="4" t="s">
        <v>2534</v>
      </c>
      <c r="E1517" s="25" t="str">
        <f aca="false">IF(G1517=1,"✓","")</f>
        <v/>
      </c>
      <c r="F1517" s="4" t="n">
        <v>1</v>
      </c>
      <c r="G1517" s="4" t="n">
        <f aca="false">IF(COUNTIF('Letterboxd Watched'!$E$2:$E$3000,M1517)&gt;0,1,0)</f>
        <v>0</v>
      </c>
      <c r="H1517" s="4" t="n">
        <v>2</v>
      </c>
      <c r="I1517" s="4" t="s">
        <v>213</v>
      </c>
      <c r="J1517" s="4" t="s">
        <v>54</v>
      </c>
      <c r="K1517" s="4" t="s">
        <v>4292</v>
      </c>
      <c r="L1517" s="48" t="str">
        <f aca="false">HYPERLINK("https://boxd.it/Ywg","open")</f>
        <v>open</v>
      </c>
      <c r="M1517" s="4" t="str">
        <f aca="false">LOWER(A1517)&amp;"|"&amp;B1517</f>
        <v>mississippi masala|1991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1</v>
      </c>
      <c r="T1517" s="4" t="n">
        <v>0</v>
      </c>
      <c r="U1517" s="4" t="n">
        <v>0</v>
      </c>
      <c r="V1517" s="4" t="n">
        <v>0</v>
      </c>
      <c r="W1517" s="4" t="n">
        <v>0</v>
      </c>
    </row>
    <row r="1518" customFormat="false" ht="15" hidden="false" customHeight="false" outlineLevel="0" collapsed="false">
      <c r="A1518" s="4" t="s">
        <v>2873</v>
      </c>
      <c r="B1518" s="4" t="n">
        <v>2007</v>
      </c>
      <c r="C1518" s="4" t="str">
        <f aca="false">FLOOR(B1518,10)&amp;"s"</f>
        <v>2000s</v>
      </c>
      <c r="D1518" s="4" t="s">
        <v>2599</v>
      </c>
      <c r="E1518" s="25" t="str">
        <f aca="false">IF(G1518=1,"✓","")</f>
        <v/>
      </c>
      <c r="F1518" s="4" t="n">
        <v>1</v>
      </c>
      <c r="G1518" s="4" t="n">
        <f aca="false">IF(COUNTIF('Letterboxd Watched'!$E$2:$E$3000,M1518)&gt;0,1,0)</f>
        <v>0</v>
      </c>
      <c r="H1518" s="4" t="n">
        <v>2</v>
      </c>
      <c r="I1518" s="4" t="s">
        <v>213</v>
      </c>
      <c r="J1518" s="4" t="s">
        <v>52</v>
      </c>
      <c r="K1518" s="4" t="s">
        <v>4080</v>
      </c>
      <c r="L1518" s="48" t="str">
        <f aca="false">HYPERLINK("https://boxd.it/22r2","open")</f>
        <v>open</v>
      </c>
      <c r="M1518" s="4" t="str">
        <f aca="false">LOWER(A1518)&amp;"|"&amp;B1518</f>
        <v>the mist|2007</v>
      </c>
      <c r="N1518" s="4" t="n">
        <v>0</v>
      </c>
      <c r="O1518" s="4" t="n">
        <v>0</v>
      </c>
      <c r="P1518" s="4" t="n">
        <v>0</v>
      </c>
      <c r="Q1518" s="4" t="n">
        <v>1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</row>
    <row r="1519" customFormat="false" ht="15" hidden="false" customHeight="false" outlineLevel="0" collapsed="false">
      <c r="A1519" s="4" t="s">
        <v>2512</v>
      </c>
      <c r="B1519" s="4" t="n">
        <v>1990</v>
      </c>
      <c r="C1519" s="4" t="str">
        <f aca="false">FLOOR(B1519,10)&amp;"s"</f>
        <v>1990s</v>
      </c>
      <c r="D1519" s="4" t="s">
        <v>148</v>
      </c>
      <c r="E1519" s="25" t="str">
        <f aca="false">IF(G1519=1,"✓","")</f>
        <v/>
      </c>
      <c r="F1519" s="4" t="n">
        <v>1</v>
      </c>
      <c r="G1519" s="4" t="n">
        <f aca="false">IF(COUNTIF('Letterboxd Watched'!$E$2:$E$3000,M1519)&gt;0,1,0)</f>
        <v>0</v>
      </c>
      <c r="H1519" s="4" t="n">
        <v>2</v>
      </c>
      <c r="I1519" s="4" t="s">
        <v>213</v>
      </c>
      <c r="J1519" s="4" t="s">
        <v>53</v>
      </c>
      <c r="K1519" s="4" t="s">
        <v>148</v>
      </c>
      <c r="L1519" s="48" t="str">
        <f aca="false">HYPERLINK("https://boxd.it/Yrq","open")</f>
        <v>open</v>
      </c>
      <c r="M1519" s="4" t="str">
        <f aca="false">LOWER(A1519)&amp;"|"&amp;B1519</f>
        <v>mo' better blues|1990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1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 customFormat="false" ht="15" hidden="false" customHeight="false" outlineLevel="0" collapsed="false">
      <c r="A1520" s="4" t="s">
        <v>913</v>
      </c>
      <c r="B1520" s="4" t="n">
        <v>1936</v>
      </c>
      <c r="C1520" s="4" t="str">
        <f aca="false">FLOOR(B1520,10)&amp;"s"</f>
        <v>1930s</v>
      </c>
      <c r="D1520" s="4" t="s">
        <v>344</v>
      </c>
      <c r="E1520" s="25" t="str">
        <f aca="false">IF(G1520=1,"✓","")</f>
        <v>✓</v>
      </c>
      <c r="F1520" s="4" t="n">
        <v>2</v>
      </c>
      <c r="G1520" s="4" t="n">
        <f aca="false">IF(COUNTIF('Letterboxd Watched'!$E$2:$E$3000,M1520)&gt;0,1,0)</f>
        <v>1</v>
      </c>
      <c r="H1520" s="4" t="n">
        <v>4</v>
      </c>
      <c r="I1520" s="4" t="s">
        <v>213</v>
      </c>
      <c r="J1520" s="4" t="s">
        <v>55</v>
      </c>
      <c r="K1520" s="4" t="s">
        <v>5629</v>
      </c>
      <c r="L1520" s="48" t="str">
        <f aca="false">HYPERLINK("https://boxd.it/25MC","open")</f>
        <v>open</v>
      </c>
      <c r="M1520" s="4" t="str">
        <f aca="false">LOWER(A1520)&amp;"|"&amp;B1520</f>
        <v>modern times|1936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1</v>
      </c>
      <c r="U1520" s="4" t="n">
        <v>0</v>
      </c>
      <c r="V1520" s="4" t="n">
        <v>1</v>
      </c>
      <c r="W1520" s="4" t="n">
        <v>0</v>
      </c>
    </row>
    <row r="1521" customFormat="false" ht="15" hidden="false" customHeight="false" outlineLevel="0" collapsed="false">
      <c r="A1521" s="4" t="s">
        <v>2631</v>
      </c>
      <c r="B1521" s="4" t="n">
        <v>1996</v>
      </c>
      <c r="C1521" s="4" t="str">
        <f aca="false">FLOOR(B1521,10)&amp;"s"</f>
        <v>1990s</v>
      </c>
      <c r="D1521" s="4" t="s">
        <v>2632</v>
      </c>
      <c r="E1521" s="25" t="str">
        <f aca="false">IF(G1521=1,"✓","")</f>
        <v/>
      </c>
      <c r="F1521" s="4" t="n">
        <v>1</v>
      </c>
      <c r="G1521" s="4" t="n">
        <f aca="false">IF(COUNTIF('Letterboxd Watched'!$E$2:$E$3000,M1521)&gt;0,1,0)</f>
        <v>0</v>
      </c>
      <c r="H1521" s="4" t="n">
        <v>2</v>
      </c>
      <c r="I1521" s="4" t="s">
        <v>213</v>
      </c>
      <c r="J1521" s="4" t="s">
        <v>51</v>
      </c>
      <c r="K1521" s="4" t="s">
        <v>4032</v>
      </c>
      <c r="L1521" s="48" t="str">
        <f aca="false">HYPERLINK("https://boxd.it/T6W","open")</f>
        <v>open</v>
      </c>
      <c r="M1521" s="4" t="str">
        <f aca="false">LOWER(A1521)&amp;"|"&amp;B1521</f>
        <v>a moment of innocence|1996</v>
      </c>
      <c r="N1521" s="4" t="n">
        <v>0</v>
      </c>
      <c r="O1521" s="4" t="n">
        <v>0</v>
      </c>
      <c r="P1521" s="4" t="n">
        <v>1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 customFormat="false" ht="15" hidden="false" customHeight="false" outlineLevel="0" collapsed="false">
      <c r="A1522" s="4" t="s">
        <v>3382</v>
      </c>
      <c r="B1522" s="4" t="n">
        <v>1956</v>
      </c>
      <c r="C1522" s="4" t="str">
        <f aca="false">FLOOR(B1522,10)&amp;"s"</f>
        <v>1950s</v>
      </c>
      <c r="D1522" s="4" t="s">
        <v>3383</v>
      </c>
      <c r="E1522" s="25" t="str">
        <f aca="false">IF(G1522=1,"✓","")</f>
        <v/>
      </c>
      <c r="F1522" s="4" t="n">
        <v>1</v>
      </c>
      <c r="G1522" s="4" t="n">
        <f aca="false">IF(COUNTIF('Letterboxd Watched'!$E$2:$E$3000,M1522)&gt;0,1,0)</f>
        <v>0</v>
      </c>
      <c r="H1522" s="4" t="n">
        <v>1</v>
      </c>
      <c r="I1522" s="4" t="s">
        <v>1327</v>
      </c>
      <c r="J1522" s="4" t="s">
        <v>51</v>
      </c>
      <c r="K1522" s="4" t="s">
        <v>3980</v>
      </c>
      <c r="L1522" s="48" t="str">
        <f aca="false">HYPERLINK("https://letterboxd.com/search/films/Momma+Dont+Allow+1956/","open")</f>
        <v>open</v>
      </c>
      <c r="M1522" s="4" t="str">
        <f aca="false">LOWER(A1522)&amp;"|"&amp;B1522</f>
        <v>momma don't allow|1956</v>
      </c>
      <c r="N1522" s="4" t="n">
        <v>0</v>
      </c>
      <c r="O1522" s="4" t="n">
        <v>0</v>
      </c>
      <c r="P1522" s="4" t="n">
        <v>1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</row>
    <row r="1523" customFormat="false" ht="15" hidden="false" customHeight="false" outlineLevel="0" collapsed="false">
      <c r="A1523" s="4" t="s">
        <v>3050</v>
      </c>
      <c r="B1523" s="4" t="n">
        <v>2014</v>
      </c>
      <c r="C1523" s="4" t="str">
        <f aca="false">FLOOR(B1523,10)&amp;"s"</f>
        <v>2010s</v>
      </c>
      <c r="D1523" s="4" t="s">
        <v>3051</v>
      </c>
      <c r="E1523" s="25" t="str">
        <f aca="false">IF(G1523=1,"✓","")</f>
        <v/>
      </c>
      <c r="F1523" s="4" t="n">
        <v>1</v>
      </c>
      <c r="G1523" s="4" t="n">
        <f aca="false">IF(COUNTIF('Letterboxd Watched'!$E$2:$E$3000,M1523)&gt;0,1,0)</f>
        <v>0</v>
      </c>
      <c r="H1523" s="4" t="n">
        <v>2</v>
      </c>
      <c r="I1523" s="4" t="s">
        <v>213</v>
      </c>
      <c r="J1523" s="4" t="s">
        <v>51</v>
      </c>
      <c r="K1523" s="4" t="s">
        <v>4040</v>
      </c>
      <c r="L1523" s="48" t="str">
        <f aca="false">HYPERLINK("https://boxd.it/7Uau","open")</f>
        <v>open</v>
      </c>
      <c r="M1523" s="4" t="str">
        <f aca="false">LOWER(A1523)&amp;"|"&amp;B1523</f>
        <v>mommy|2014</v>
      </c>
      <c r="N1523" s="4" t="n">
        <v>0</v>
      </c>
      <c r="O1523" s="4" t="n">
        <v>0</v>
      </c>
      <c r="P1523" s="4" t="n">
        <v>1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 customFormat="false" ht="15" hidden="false" customHeight="false" outlineLevel="0" collapsed="false">
      <c r="A1524" s="4" t="s">
        <v>3487</v>
      </c>
      <c r="B1524" s="4" t="n">
        <v>1971</v>
      </c>
      <c r="C1524" s="4" t="str">
        <f aca="false">FLOOR(B1524,10)&amp;"s"</f>
        <v>1970s</v>
      </c>
      <c r="D1524" s="4" t="s">
        <v>3488</v>
      </c>
      <c r="E1524" s="25" t="str">
        <f aca="false">IF(G1524=1,"✓","")</f>
        <v/>
      </c>
      <c r="F1524" s="4" t="n">
        <v>1</v>
      </c>
      <c r="G1524" s="4" t="n">
        <f aca="false">IF(COUNTIF('Letterboxd Watched'!$E$2:$E$3000,M1524)&gt;0,1,0)</f>
        <v>0</v>
      </c>
      <c r="H1524" s="4" t="n">
        <v>1</v>
      </c>
      <c r="I1524" s="4" t="s">
        <v>1327</v>
      </c>
      <c r="J1524" s="4" t="s">
        <v>51</v>
      </c>
      <c r="K1524" s="4" t="s">
        <v>4040</v>
      </c>
      <c r="L1524" s="48" t="str">
        <f aca="false">HYPERLINK("https://letterboxd.com/search/films/Mon+Oncle+Antoine+1971/","open")</f>
        <v>open</v>
      </c>
      <c r="M1524" s="4" t="str">
        <f aca="false">LOWER(A1524)&amp;"|"&amp;B1524</f>
        <v>mon oncle antoine|1971</v>
      </c>
      <c r="N1524" s="4" t="n">
        <v>0</v>
      </c>
      <c r="O1524" s="4" t="n">
        <v>0</v>
      </c>
      <c r="P1524" s="4" t="n">
        <v>1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 customFormat="false" ht="15" hidden="false" customHeight="false" outlineLevel="0" collapsed="false">
      <c r="A1525" s="4" t="s">
        <v>808</v>
      </c>
      <c r="B1525" s="4" t="n">
        <v>1980</v>
      </c>
      <c r="C1525" s="4" t="str">
        <f aca="false">FLOOR(B1525,10)&amp;"s"</f>
        <v>1980s</v>
      </c>
      <c r="D1525" s="4" t="s">
        <v>272</v>
      </c>
      <c r="E1525" s="25" t="str">
        <f aca="false">IF(G1525=1,"✓","")</f>
        <v/>
      </c>
      <c r="F1525" s="4" t="n">
        <v>2</v>
      </c>
      <c r="G1525" s="4" t="n">
        <f aca="false">IF(COUNTIF('Letterboxd Watched'!$E$2:$E$3000,M1525)&gt;0,1,0)</f>
        <v>0</v>
      </c>
      <c r="H1525" s="4" t="n">
        <v>5</v>
      </c>
      <c r="I1525" s="4" t="s">
        <v>144</v>
      </c>
      <c r="J1525" s="4" t="s">
        <v>55</v>
      </c>
      <c r="K1525" s="4" t="s">
        <v>5630</v>
      </c>
      <c r="L1525" s="48" t="str">
        <f aca="false">HYPERLINK("https://letterboxd.com/search/films/Mon+Oncle+dAmérique+1980/","open")</f>
        <v>open</v>
      </c>
      <c r="M1525" s="4" t="str">
        <f aca="false">LOWER(A1525)&amp;"|"&amp;B1525</f>
        <v>mon oncle d'amérique|1980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1</v>
      </c>
      <c r="U1525" s="4" t="n">
        <v>0</v>
      </c>
      <c r="V1525" s="4" t="n">
        <v>0</v>
      </c>
      <c r="W1525" s="4" t="n">
        <v>1</v>
      </c>
    </row>
    <row r="1526" customFormat="false" ht="15" hidden="false" customHeight="false" outlineLevel="0" collapsed="false">
      <c r="A1526" s="4" t="s">
        <v>2982</v>
      </c>
      <c r="B1526" s="4" t="n">
        <v>2011</v>
      </c>
      <c r="C1526" s="4" t="str">
        <f aca="false">FLOOR(B1526,10)&amp;"s"</f>
        <v>2010s</v>
      </c>
      <c r="D1526" s="4" t="s">
        <v>2983</v>
      </c>
      <c r="E1526" s="25" t="str">
        <f aca="false">IF(G1526=1,"✓","")</f>
        <v>✓</v>
      </c>
      <c r="F1526" s="4" t="n">
        <v>1</v>
      </c>
      <c r="G1526" s="4" t="n">
        <f aca="false">IF(COUNTIF('Letterboxd Watched'!$E$2:$E$3000,M1526)&gt;0,1,0)</f>
        <v>1</v>
      </c>
      <c r="H1526" s="4" t="n">
        <v>2</v>
      </c>
      <c r="I1526" s="4" t="s">
        <v>213</v>
      </c>
      <c r="J1526" s="4" t="s">
        <v>55</v>
      </c>
      <c r="K1526" s="4" t="s">
        <v>4364</v>
      </c>
      <c r="L1526" s="48" t="str">
        <f aca="false">HYPERLINK("https://boxd.it/glS","open")</f>
        <v>open</v>
      </c>
      <c r="M1526" s="4" t="str">
        <f aca="false">LOWER(A1526)&amp;"|"&amp;B1526</f>
        <v>moneyball|2011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1</v>
      </c>
      <c r="U1526" s="4" t="n">
        <v>0</v>
      </c>
      <c r="V1526" s="4" t="n">
        <v>0</v>
      </c>
      <c r="W1526" s="4" t="n">
        <v>0</v>
      </c>
    </row>
    <row r="1527" customFormat="false" ht="15" hidden="false" customHeight="false" outlineLevel="0" collapsed="false">
      <c r="A1527" s="4" t="s">
        <v>2750</v>
      </c>
      <c r="B1527" s="4" t="n">
        <v>2001</v>
      </c>
      <c r="C1527" s="4" t="str">
        <f aca="false">FLOOR(B1527,10)&amp;"s"</f>
        <v>2000s</v>
      </c>
      <c r="D1527" s="4" t="s">
        <v>2751</v>
      </c>
      <c r="E1527" s="25" t="str">
        <f aca="false">IF(G1527=1,"✓","")</f>
        <v>✓</v>
      </c>
      <c r="F1527" s="4" t="n">
        <v>1</v>
      </c>
      <c r="G1527" s="4" t="n">
        <f aca="false">IF(COUNTIF('Letterboxd Watched'!$E$2:$E$3000,M1527)&gt;0,1,0)</f>
        <v>1</v>
      </c>
      <c r="H1527" s="4" t="n">
        <v>2</v>
      </c>
      <c r="I1527" s="4" t="s">
        <v>213</v>
      </c>
      <c r="J1527" s="4" t="s">
        <v>52</v>
      </c>
      <c r="K1527" s="4" t="s">
        <v>4168</v>
      </c>
      <c r="L1527" s="48" t="str">
        <f aca="false">HYPERLINK("https://boxd.it/2a46","open")</f>
        <v>open</v>
      </c>
      <c r="M1527" s="4" t="str">
        <f aca="false">LOWER(A1527)&amp;"|"&amp;B1527</f>
        <v>monsters, inc.|2001</v>
      </c>
      <c r="N1527" s="4" t="n">
        <v>0</v>
      </c>
      <c r="O1527" s="4" t="n">
        <v>0</v>
      </c>
      <c r="P1527" s="4" t="n">
        <v>0</v>
      </c>
      <c r="Q1527" s="4" t="n">
        <v>1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</row>
    <row r="1528" customFormat="false" ht="15" hidden="false" customHeight="false" outlineLevel="0" collapsed="false">
      <c r="A1528" s="4" t="s">
        <v>2126</v>
      </c>
      <c r="B1528" s="4" t="n">
        <v>1968</v>
      </c>
      <c r="C1528" s="4" t="str">
        <f aca="false">FLOOR(B1528,10)&amp;"s"</f>
        <v>1960s</v>
      </c>
      <c r="D1528" s="4" t="s">
        <v>2105</v>
      </c>
      <c r="E1528" s="25" t="str">
        <f aca="false">IF(G1528=1,"✓","")</f>
        <v/>
      </c>
      <c r="F1528" s="4" t="n">
        <v>1</v>
      </c>
      <c r="G1528" s="4" t="n">
        <f aca="false">IF(COUNTIF('Letterboxd Watched'!$E$2:$E$3000,M1528)&gt;0,1,0)</f>
        <v>0</v>
      </c>
      <c r="H1528" s="4" t="n">
        <v>2</v>
      </c>
      <c r="I1528" s="4" t="s">
        <v>213</v>
      </c>
      <c r="J1528" s="4" t="s">
        <v>52</v>
      </c>
      <c r="K1528" s="4" t="s">
        <v>4178</v>
      </c>
      <c r="L1528" s="48" t="str">
        <f aca="false">HYPERLINK("https://letterboxd.com/search/films/Monterey+Pop+1968/","open")</f>
        <v>open</v>
      </c>
      <c r="M1528" s="4" t="str">
        <f aca="false">LOWER(A1528)&amp;"|"&amp;B1528</f>
        <v>monterey pop|1968</v>
      </c>
      <c r="N1528" s="4" t="n">
        <v>0</v>
      </c>
      <c r="O1528" s="4" t="n">
        <v>0</v>
      </c>
      <c r="P1528" s="4" t="n">
        <v>0</v>
      </c>
      <c r="Q1528" s="4" t="n">
        <v>1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</row>
    <row r="1529" customFormat="false" ht="15" hidden="false" customHeight="false" outlineLevel="0" collapsed="false">
      <c r="A1529" s="4" t="s">
        <v>2264</v>
      </c>
      <c r="B1529" s="4" t="n">
        <v>1975</v>
      </c>
      <c r="C1529" s="4" t="str">
        <f aca="false">FLOOR(B1529,10)&amp;"s"</f>
        <v>1970s</v>
      </c>
      <c r="D1529" s="4" t="s">
        <v>2265</v>
      </c>
      <c r="E1529" s="25" t="str">
        <f aca="false">IF(G1529=1,"✓","")</f>
        <v/>
      </c>
      <c r="F1529" s="4" t="n">
        <v>1</v>
      </c>
      <c r="G1529" s="4" t="n">
        <f aca="false">IF(COUNTIF('Letterboxd Watched'!$E$2:$E$3000,M1529)&gt;0,1,0)</f>
        <v>0</v>
      </c>
      <c r="H1529" s="4" t="n">
        <v>2</v>
      </c>
      <c r="I1529" s="4" t="s">
        <v>213</v>
      </c>
      <c r="J1529" s="4" t="s">
        <v>52</v>
      </c>
      <c r="K1529" s="4" t="s">
        <v>4102</v>
      </c>
      <c r="L1529" s="48" t="str">
        <f aca="false">HYPERLINK("https://boxd.it/29GI","open")</f>
        <v>open</v>
      </c>
      <c r="M1529" s="4" t="str">
        <f aca="false">LOWER(A1529)&amp;"|"&amp;B1529</f>
        <v>monty python and the holy grail|1975</v>
      </c>
      <c r="N1529" s="4" t="n">
        <v>0</v>
      </c>
      <c r="O1529" s="4" t="n">
        <v>0</v>
      </c>
      <c r="P1529" s="4" t="n">
        <v>0</v>
      </c>
      <c r="Q1529" s="4" t="n">
        <v>1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 customFormat="false" ht="15" hidden="false" customHeight="false" outlineLevel="0" collapsed="false">
      <c r="A1530" s="4" t="s">
        <v>2814</v>
      </c>
      <c r="B1530" s="4" t="n">
        <v>2004</v>
      </c>
      <c r="C1530" s="4" t="str">
        <f aca="false">FLOOR(B1530,10)&amp;"s"</f>
        <v>2000s</v>
      </c>
      <c r="D1530" s="4" t="s">
        <v>470</v>
      </c>
      <c r="E1530" s="25" t="str">
        <f aca="false">IF(G1530=1,"✓","")</f>
        <v/>
      </c>
      <c r="F1530" s="4" t="n">
        <v>1</v>
      </c>
      <c r="G1530" s="4" t="n">
        <f aca="false">IF(COUNTIF('Letterboxd Watched'!$E$2:$E$3000,M1530)&gt;0,1,0)</f>
        <v>0</v>
      </c>
      <c r="H1530" s="4" t="n">
        <v>2</v>
      </c>
      <c r="I1530" s="4" t="s">
        <v>213</v>
      </c>
      <c r="J1530" s="4" t="s">
        <v>51</v>
      </c>
      <c r="K1530" s="4" t="s">
        <v>4036</v>
      </c>
      <c r="L1530" s="48" t="str">
        <f aca="false">HYPERLINK("https://letterboxd.com/search/films/Moolaadé+2004/","open")</f>
        <v>open</v>
      </c>
      <c r="M1530" s="4" t="str">
        <f aca="false">LOWER(A1530)&amp;"|"&amp;B1530</f>
        <v>moolaadé|2004</v>
      </c>
      <c r="N1530" s="4" t="n">
        <v>0</v>
      </c>
      <c r="O1530" s="4" t="n">
        <v>0</v>
      </c>
      <c r="P1530" s="4" t="n">
        <v>1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</row>
    <row r="1531" customFormat="false" ht="15" hidden="false" customHeight="false" outlineLevel="0" collapsed="false">
      <c r="A1531" s="4" t="s">
        <v>1193</v>
      </c>
      <c r="B1531" s="4" t="n">
        <v>2009</v>
      </c>
      <c r="C1531" s="4" t="str">
        <f aca="false">FLOOR(B1531,10)&amp;"s"</f>
        <v>2000s</v>
      </c>
      <c r="D1531" s="4" t="s">
        <v>1194</v>
      </c>
      <c r="E1531" s="25" t="str">
        <f aca="false">IF(G1531=1,"✓","")</f>
        <v>✓</v>
      </c>
      <c r="F1531" s="4" t="n">
        <v>2</v>
      </c>
      <c r="G1531" s="4" t="n">
        <f aca="false">IF(COUNTIF('Letterboxd Watched'!$E$2:$E$3000,M1531)&gt;0,1,0)</f>
        <v>1</v>
      </c>
      <c r="H1531" s="4" t="n">
        <v>4</v>
      </c>
      <c r="I1531" s="4" t="s">
        <v>213</v>
      </c>
      <c r="J1531" s="4" t="s">
        <v>52</v>
      </c>
      <c r="K1531" s="4" t="s">
        <v>5631</v>
      </c>
      <c r="L1531" s="48" t="str">
        <f aca="false">HYPERLINK("https://boxd.it/1IGQ","open")</f>
        <v>open</v>
      </c>
      <c r="M1531" s="4" t="str">
        <f aca="false">LOWER(A1531)&amp;"|"&amp;B1531</f>
        <v>moon|2009</v>
      </c>
      <c r="N1531" s="4" t="n">
        <v>0</v>
      </c>
      <c r="O1531" s="4" t="n">
        <v>0</v>
      </c>
      <c r="P1531" s="4" t="n">
        <v>0</v>
      </c>
      <c r="Q1531" s="4" t="n">
        <v>1</v>
      </c>
      <c r="R1531" s="4" t="n">
        <v>0</v>
      </c>
      <c r="S1531" s="4" t="n">
        <v>0</v>
      </c>
      <c r="T1531" s="4" t="n">
        <v>1</v>
      </c>
      <c r="U1531" s="4" t="n">
        <v>0</v>
      </c>
      <c r="V1531" s="4" t="n">
        <v>0</v>
      </c>
      <c r="W1531" s="4" t="n">
        <v>0</v>
      </c>
    </row>
    <row r="1532" customFormat="false" ht="15" hidden="false" customHeight="false" outlineLevel="0" collapsed="false">
      <c r="A1532" s="4" t="s">
        <v>2190</v>
      </c>
      <c r="B1532" s="4" t="n">
        <v>1971</v>
      </c>
      <c r="C1532" s="4" t="str">
        <f aca="false">FLOOR(B1532,10)&amp;"s"</f>
        <v>1970s</v>
      </c>
      <c r="D1532" s="4" t="s">
        <v>2191</v>
      </c>
      <c r="E1532" s="25" t="str">
        <f aca="false">IF(G1532=1,"✓","")</f>
        <v/>
      </c>
      <c r="F1532" s="4" t="n">
        <v>1</v>
      </c>
      <c r="G1532" s="4" t="n">
        <f aca="false">IF(COUNTIF('Letterboxd Watched'!$E$2:$E$3000,M1532)&gt;0,1,0)</f>
        <v>0</v>
      </c>
      <c r="H1532" s="4" t="n">
        <v>2</v>
      </c>
      <c r="I1532" s="4" t="s">
        <v>213</v>
      </c>
      <c r="J1532" s="4" t="s">
        <v>57</v>
      </c>
      <c r="K1532" s="4" t="s">
        <v>4442</v>
      </c>
      <c r="L1532" s="48" t="str">
        <f aca="false">HYPERLINK("https://letterboxd.com/search/films/The+Moon+and+the+Sledgehammer+1971/","open")</f>
        <v>open</v>
      </c>
      <c r="M1532" s="4" t="str">
        <f aca="false">LOWER(A1532)&amp;"|"&amp;B1532</f>
        <v>the moon and the sledgehammer|1971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1</v>
      </c>
      <c r="W1532" s="4" t="n">
        <v>0</v>
      </c>
    </row>
    <row r="1533" customFormat="false" ht="15" hidden="false" customHeight="false" outlineLevel="0" collapsed="false">
      <c r="A1533" s="4" t="s">
        <v>165</v>
      </c>
      <c r="B1533" s="4" t="n">
        <v>2016</v>
      </c>
      <c r="C1533" s="4" t="str">
        <f aca="false">FLOOR(B1533,10)&amp;"s"</f>
        <v>2010s</v>
      </c>
      <c r="D1533" s="4" t="s">
        <v>166</v>
      </c>
      <c r="E1533" s="25" t="str">
        <f aca="false">IF(G1533=1,"✓","")</f>
        <v>✓</v>
      </c>
      <c r="F1533" s="4" t="n">
        <v>8</v>
      </c>
      <c r="G1533" s="4" t="n">
        <f aca="false">IF(COUNTIF('Letterboxd Watched'!$E$2:$E$3000,M1533)&gt;0,1,0)</f>
        <v>1</v>
      </c>
      <c r="H1533" s="4" t="n">
        <v>19</v>
      </c>
      <c r="I1533" s="4" t="s">
        <v>144</v>
      </c>
      <c r="J1533" s="4" t="s">
        <v>50</v>
      </c>
      <c r="K1533" s="4" t="s">
        <v>5632</v>
      </c>
      <c r="L1533" s="48" t="str">
        <f aca="false">HYPERLINK("https://boxd.it/d6bE","open")</f>
        <v>open</v>
      </c>
      <c r="M1533" s="4" t="str">
        <f aca="false">LOWER(A1533)&amp;"|"&amp;B1533</f>
        <v>moonlight|2016</v>
      </c>
      <c r="N1533" s="4" t="n">
        <v>0</v>
      </c>
      <c r="O1533" s="4" t="n">
        <v>1</v>
      </c>
      <c r="P1533" s="4" t="n">
        <v>0</v>
      </c>
      <c r="Q1533" s="4" t="n">
        <v>0</v>
      </c>
      <c r="R1533" s="4" t="n">
        <v>0</v>
      </c>
      <c r="S1533" s="4" t="n">
        <v>1</v>
      </c>
      <c r="T1533" s="4" t="n">
        <v>1</v>
      </c>
      <c r="U1533" s="4" t="n">
        <v>0</v>
      </c>
      <c r="V1533" s="4" t="n">
        <v>1</v>
      </c>
      <c r="W1533" s="4" t="n">
        <v>1</v>
      </c>
    </row>
    <row r="1534" customFormat="false" ht="15" hidden="false" customHeight="false" outlineLevel="0" collapsed="false">
      <c r="A1534" s="4" t="s">
        <v>3004</v>
      </c>
      <c r="B1534" s="4" t="n">
        <v>2012</v>
      </c>
      <c r="C1534" s="4" t="str">
        <f aca="false">FLOOR(B1534,10)&amp;"s"</f>
        <v>2010s</v>
      </c>
      <c r="D1534" s="4" t="s">
        <v>274</v>
      </c>
      <c r="E1534" s="25" t="str">
        <f aca="false">IF(G1534=1,"✓","")</f>
        <v>✓</v>
      </c>
      <c r="F1534" s="4" t="n">
        <v>1</v>
      </c>
      <c r="G1534" s="4" t="n">
        <f aca="false">IF(COUNTIF('Letterboxd Watched'!$E$2:$E$3000,M1534)&gt;0,1,0)</f>
        <v>1</v>
      </c>
      <c r="H1534" s="4" t="n">
        <v>2</v>
      </c>
      <c r="I1534" s="4" t="s">
        <v>213</v>
      </c>
      <c r="J1534" s="4" t="s">
        <v>53</v>
      </c>
      <c r="K1534" s="4" t="s">
        <v>274</v>
      </c>
      <c r="L1534" s="48" t="str">
        <f aca="false">HYPERLINK("https://boxd.it/2Wng","open")</f>
        <v>open</v>
      </c>
      <c r="M1534" s="4" t="str">
        <f aca="false">LOWER(A1534)&amp;"|"&amp;B1534</f>
        <v>moonrise kingdom|2012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1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</row>
    <row r="1535" customFormat="false" ht="15" hidden="false" customHeight="false" outlineLevel="0" collapsed="false">
      <c r="A1535" s="4" t="s">
        <v>2454</v>
      </c>
      <c r="B1535" s="4" t="n">
        <v>1987</v>
      </c>
      <c r="C1535" s="4" t="str">
        <f aca="false">FLOOR(B1535,10)&amp;"s"</f>
        <v>1980s</v>
      </c>
      <c r="D1535" s="4" t="s">
        <v>2116</v>
      </c>
      <c r="E1535" s="25" t="str">
        <f aca="false">IF(G1535=1,"✓","")</f>
        <v/>
      </c>
      <c r="F1535" s="4" t="n">
        <v>1</v>
      </c>
      <c r="G1535" s="4" t="n">
        <f aca="false">IF(COUNTIF('Letterboxd Watched'!$E$2:$E$3000,M1535)&gt;0,1,0)</f>
        <v>0</v>
      </c>
      <c r="H1535" s="4" t="n">
        <v>2</v>
      </c>
      <c r="I1535" s="4" t="s">
        <v>213</v>
      </c>
      <c r="J1535" s="4" t="s">
        <v>52</v>
      </c>
      <c r="K1535" s="4" t="s">
        <v>4152</v>
      </c>
      <c r="L1535" s="48" t="str">
        <f aca="false">HYPERLINK("https://boxd.it/27zg","open")</f>
        <v>open</v>
      </c>
      <c r="M1535" s="4" t="str">
        <f aca="false">LOWER(A1535)&amp;"|"&amp;B1535</f>
        <v>moonstruck|1987</v>
      </c>
      <c r="N1535" s="4" t="n">
        <v>0</v>
      </c>
      <c r="O1535" s="4" t="n">
        <v>0</v>
      </c>
      <c r="P1535" s="4" t="n">
        <v>0</v>
      </c>
      <c r="Q1535" s="4" t="n">
        <v>1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 customFormat="false" ht="15" hidden="false" customHeight="false" outlineLevel="0" collapsed="false">
      <c r="A1536" s="4" t="s">
        <v>1715</v>
      </c>
      <c r="B1536" s="4" t="n">
        <v>1930</v>
      </c>
      <c r="C1536" s="4" t="str">
        <f aca="false">FLOOR(B1536,10)&amp;"s"</f>
        <v>1930s</v>
      </c>
      <c r="D1536" s="4" t="s">
        <v>1710</v>
      </c>
      <c r="E1536" s="25" t="str">
        <f aca="false">IF(G1536=1,"✓","")</f>
        <v/>
      </c>
      <c r="F1536" s="4" t="n">
        <v>1</v>
      </c>
      <c r="G1536" s="4" t="n">
        <f aca="false">IF(COUNTIF('Letterboxd Watched'!$E$2:$E$3000,M1536)&gt;0,1,0)</f>
        <v>0</v>
      </c>
      <c r="H1536" s="4" t="n">
        <v>2</v>
      </c>
      <c r="I1536" s="4" t="s">
        <v>213</v>
      </c>
      <c r="J1536" s="4" t="s">
        <v>54</v>
      </c>
      <c r="K1536" s="4" t="s">
        <v>4278</v>
      </c>
      <c r="L1536" s="48" t="str">
        <f aca="false">HYPERLINK("https://boxd.it/Woa","open")</f>
        <v>open</v>
      </c>
      <c r="M1536" s="4" t="str">
        <f aca="false">LOWER(A1536)&amp;"|"&amp;B1536</f>
        <v>morocco|1930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1</v>
      </c>
      <c r="T1536" s="4" t="n">
        <v>0</v>
      </c>
      <c r="U1536" s="4" t="n">
        <v>0</v>
      </c>
      <c r="V1536" s="4" t="n">
        <v>0</v>
      </c>
      <c r="W1536" s="4" t="n">
        <v>0</v>
      </c>
    </row>
    <row r="1537" customFormat="false" ht="15" hidden="false" customHeight="false" outlineLevel="0" collapsed="false">
      <c r="A1537" s="4" t="s">
        <v>2757</v>
      </c>
      <c r="B1537" s="4" t="n">
        <v>2001</v>
      </c>
      <c r="C1537" s="4" t="str">
        <f aca="false">FLOOR(B1537,10)&amp;"s"</f>
        <v>2000s</v>
      </c>
      <c r="D1537" s="4" t="s">
        <v>2758</v>
      </c>
      <c r="E1537" s="25" t="str">
        <f aca="false">IF(G1537=1,"✓","")</f>
        <v/>
      </c>
      <c r="F1537" s="4" t="n">
        <v>1</v>
      </c>
      <c r="G1537" s="4" t="n">
        <f aca="false">IF(COUNTIF('Letterboxd Watched'!$E$2:$E$3000,M1537)&gt;0,1,0)</f>
        <v>0</v>
      </c>
      <c r="H1537" s="4" t="n">
        <v>2</v>
      </c>
      <c r="I1537" s="4" t="s">
        <v>213</v>
      </c>
      <c r="J1537" s="4" t="s">
        <v>55</v>
      </c>
      <c r="K1537" s="4" t="s">
        <v>4368</v>
      </c>
      <c r="L1537" s="48" t="str">
        <f aca="false">HYPERLINK("https://letterboxd.com/search/films/Mostly+Martha+2001/","open")</f>
        <v>open</v>
      </c>
      <c r="M1537" s="4" t="str">
        <f aca="false">LOWER(A1537)&amp;"|"&amp;B1537</f>
        <v>mostly martha|2001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1</v>
      </c>
      <c r="U1537" s="4" t="n">
        <v>0</v>
      </c>
      <c r="V1537" s="4" t="n">
        <v>0</v>
      </c>
      <c r="W1537" s="4" t="n">
        <v>0</v>
      </c>
    </row>
    <row r="1538" customFormat="false" ht="15" hidden="false" customHeight="false" outlineLevel="0" collapsed="false">
      <c r="A1538" s="4" t="s">
        <v>1192</v>
      </c>
      <c r="B1538" s="4" t="n">
        <v>1926</v>
      </c>
      <c r="C1538" s="4" t="str">
        <f aca="false">FLOOR(B1538,10)&amp;"s"</f>
        <v>1920s</v>
      </c>
      <c r="D1538" s="4" t="s">
        <v>1686</v>
      </c>
      <c r="E1538" s="25" t="str">
        <f aca="false">IF(G1538=1,"✓","")</f>
        <v/>
      </c>
      <c r="F1538" s="4" t="n">
        <v>1</v>
      </c>
      <c r="G1538" s="4" t="n">
        <f aca="false">IF(COUNTIF('Letterboxd Watched'!$E$2:$E$3000,M1538)&gt;0,1,0)</f>
        <v>0</v>
      </c>
      <c r="H1538" s="4" t="n">
        <v>2</v>
      </c>
      <c r="I1538" s="4" t="s">
        <v>213</v>
      </c>
      <c r="J1538" s="4" t="s">
        <v>50</v>
      </c>
      <c r="K1538" s="4" t="s">
        <v>3900</v>
      </c>
      <c r="L1538" s="48" t="str">
        <f aca="false">HYPERLINK("https://boxd.it/3oH4","open")</f>
        <v>open</v>
      </c>
      <c r="M1538" s="4" t="str">
        <f aca="false">LOWER(A1538)&amp;"|"&amp;B1538</f>
        <v>mother|1926</v>
      </c>
      <c r="N1538" s="4" t="n">
        <v>0</v>
      </c>
      <c r="O1538" s="4" t="n">
        <v>1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 customFormat="false" ht="15" hidden="false" customHeight="false" outlineLevel="0" collapsed="false">
      <c r="A1539" s="4" t="s">
        <v>1192</v>
      </c>
      <c r="B1539" s="4" t="n">
        <v>2009</v>
      </c>
      <c r="C1539" s="4" t="str">
        <f aca="false">FLOOR(B1539,10)&amp;"s"</f>
        <v>2000s</v>
      </c>
      <c r="D1539" s="4" t="s">
        <v>276</v>
      </c>
      <c r="E1539" s="25" t="str">
        <f aca="false">IF(G1539=1,"✓","")</f>
        <v/>
      </c>
      <c r="F1539" s="4" t="n">
        <v>2</v>
      </c>
      <c r="G1539" s="4" t="n">
        <f aca="false">IF(COUNTIF('Letterboxd Watched'!$E$2:$E$3000,M1539)&gt;0,1,0)</f>
        <v>0</v>
      </c>
      <c r="H1539" s="4" t="n">
        <v>4</v>
      </c>
      <c r="I1539" s="4" t="s">
        <v>213</v>
      </c>
      <c r="J1539" s="4" t="s">
        <v>51</v>
      </c>
      <c r="K1539" s="4" t="s">
        <v>5347</v>
      </c>
      <c r="L1539" s="48" t="str">
        <f aca="false">HYPERLINK("https://boxd.it/1m9g","open")</f>
        <v>open</v>
      </c>
      <c r="M1539" s="4" t="str">
        <f aca="false">LOWER(A1539)&amp;"|"&amp;B1539</f>
        <v>mother|2009</v>
      </c>
      <c r="N1539" s="4" t="n">
        <v>0</v>
      </c>
      <c r="O1539" s="4" t="n">
        <v>0</v>
      </c>
      <c r="P1539" s="4" t="n">
        <v>1</v>
      </c>
      <c r="Q1539" s="4" t="n">
        <v>0</v>
      </c>
      <c r="R1539" s="4" t="n">
        <v>1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 customFormat="false" ht="15" hidden="false" customHeight="false" outlineLevel="0" collapsed="false">
      <c r="A1540" s="4" t="s">
        <v>1939</v>
      </c>
      <c r="B1540" s="4" t="n">
        <v>1957</v>
      </c>
      <c r="C1540" s="4" t="str">
        <f aca="false">FLOOR(B1540,10)&amp;"s"</f>
        <v>1950s</v>
      </c>
      <c r="D1540" s="4" t="s">
        <v>1940</v>
      </c>
      <c r="E1540" s="25" t="str">
        <f aca="false">IF(G1540=1,"✓","")</f>
        <v/>
      </c>
      <c r="F1540" s="4" t="n">
        <v>1</v>
      </c>
      <c r="G1540" s="4" t="n">
        <f aca="false">IF(COUNTIF('Letterboxd Watched'!$E$2:$E$3000,M1540)&gt;0,1,0)</f>
        <v>0</v>
      </c>
      <c r="H1540" s="4" t="n">
        <v>2</v>
      </c>
      <c r="I1540" s="4" t="s">
        <v>213</v>
      </c>
      <c r="J1540" s="4" t="s">
        <v>51</v>
      </c>
      <c r="K1540" s="4" t="s">
        <v>4028</v>
      </c>
      <c r="L1540" s="48" t="str">
        <f aca="false">HYPERLINK("https://letterboxd.com/search/films/Mother+India+1957/","open")</f>
        <v>open</v>
      </c>
      <c r="M1540" s="4" t="str">
        <f aca="false">LOWER(A1540)&amp;"|"&amp;B1540</f>
        <v>mother india|1957</v>
      </c>
      <c r="N1540" s="4" t="n">
        <v>0</v>
      </c>
      <c r="O1540" s="4" t="n">
        <v>0</v>
      </c>
      <c r="P1540" s="4" t="n">
        <v>1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 customFormat="false" ht="15" hidden="false" customHeight="false" outlineLevel="0" collapsed="false">
      <c r="A1541" s="4" t="s">
        <v>1646</v>
      </c>
      <c r="B1541" s="4" t="n">
        <v>1961</v>
      </c>
      <c r="C1541" s="4" t="str">
        <f aca="false">FLOOR(B1541,10)&amp;"s"</f>
        <v>1960s</v>
      </c>
      <c r="D1541" s="4" t="s">
        <v>1647</v>
      </c>
      <c r="E1541" s="25" t="str">
        <f aca="false">IF(G1541=1,"✓","")</f>
        <v/>
      </c>
      <c r="F1541" s="4" t="n">
        <v>2</v>
      </c>
      <c r="G1541" s="4" t="n">
        <f aca="false">IF(COUNTIF('Letterboxd Watched'!$E$2:$E$3000,M1541)&gt;0,1,0)</f>
        <v>0</v>
      </c>
      <c r="H1541" s="4" t="n">
        <v>2</v>
      </c>
      <c r="I1541" s="4" t="s">
        <v>1327</v>
      </c>
      <c r="J1541" s="4" t="s">
        <v>51</v>
      </c>
      <c r="K1541" s="4" t="s">
        <v>5491</v>
      </c>
      <c r="L1541" s="48" t="str">
        <f aca="false">HYPERLINK("https://letterboxd.com/search/films/Mother+Joan+of+the+Angels+1961/","open")</f>
        <v>open</v>
      </c>
      <c r="M1541" s="4" t="str">
        <f aca="false">LOWER(A1541)&amp;"|"&amp;B1541</f>
        <v>mother joan of the angels|1961</v>
      </c>
      <c r="N1541" s="4" t="n">
        <v>0</v>
      </c>
      <c r="O1541" s="4" t="n">
        <v>0</v>
      </c>
      <c r="P1541" s="4" t="n">
        <v>1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1</v>
      </c>
      <c r="W1541" s="4" t="n">
        <v>0</v>
      </c>
    </row>
    <row r="1542" customFormat="false" ht="15" hidden="false" customHeight="false" outlineLevel="0" collapsed="false">
      <c r="A1542" s="4" t="s">
        <v>3421</v>
      </c>
      <c r="B1542" s="4" t="n">
        <v>1963</v>
      </c>
      <c r="C1542" s="4" t="str">
        <f aca="false">FLOOR(B1542,10)&amp;"s"</f>
        <v>1960s</v>
      </c>
      <c r="D1542" s="4" t="s">
        <v>1966</v>
      </c>
      <c r="E1542" s="25" t="str">
        <f aca="false">IF(G1542=1,"✓","")</f>
        <v/>
      </c>
      <c r="F1542" s="4" t="n">
        <v>1</v>
      </c>
      <c r="G1542" s="4" t="n">
        <f aca="false">IF(COUNTIF('Letterboxd Watched'!$E$2:$E$3000,M1542)&gt;0,1,0)</f>
        <v>0</v>
      </c>
      <c r="H1542" s="4" t="n">
        <v>1</v>
      </c>
      <c r="I1542" s="4" t="s">
        <v>1327</v>
      </c>
      <c r="J1542" s="4" t="s">
        <v>52</v>
      </c>
      <c r="K1542" s="4" t="s">
        <v>4182</v>
      </c>
      <c r="L1542" s="48" t="str">
        <f aca="false">HYPERLINK("https://letterboxd.com/search/films/Mothlight+1963/","open")</f>
        <v>open</v>
      </c>
      <c r="M1542" s="4" t="str">
        <f aca="false">LOWER(A1542)&amp;"|"&amp;B1542</f>
        <v>mothlight|1963</v>
      </c>
      <c r="N1542" s="4" t="n">
        <v>0</v>
      </c>
      <c r="O1542" s="4" t="n">
        <v>0</v>
      </c>
      <c r="P1542" s="4" t="n">
        <v>0</v>
      </c>
      <c r="Q1542" s="4" t="n">
        <v>1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 customFormat="false" ht="15" hidden="false" customHeight="false" outlineLevel="0" collapsed="false">
      <c r="A1543" s="4" t="s">
        <v>2006</v>
      </c>
      <c r="B1543" s="4" t="n">
        <v>1961</v>
      </c>
      <c r="C1543" s="4" t="str">
        <f aca="false">FLOOR(B1543,10)&amp;"s"</f>
        <v>1960s</v>
      </c>
      <c r="D1543" s="4" t="s">
        <v>407</v>
      </c>
      <c r="E1543" s="25" t="str">
        <f aca="false">IF(G1543=1,"✓","")</f>
        <v/>
      </c>
      <c r="F1543" s="4" t="n">
        <v>1</v>
      </c>
      <c r="G1543" s="4" t="n">
        <f aca="false">IF(COUNTIF('Letterboxd Watched'!$E$2:$E$3000,M1543)&gt;0,1,0)</f>
        <v>0</v>
      </c>
      <c r="H1543" s="4" t="n">
        <v>2</v>
      </c>
      <c r="I1543" s="4" t="s">
        <v>213</v>
      </c>
      <c r="J1543" s="4" t="s">
        <v>56</v>
      </c>
      <c r="K1543" s="4" t="s">
        <v>4390</v>
      </c>
      <c r="L1543" s="48" t="str">
        <f aca="false">HYPERLINK("https://boxd.it/13K8","open")</f>
        <v>open</v>
      </c>
      <c r="M1543" s="4" t="str">
        <f aca="false">LOWER(A1543)&amp;"|"&amp;B1543</f>
        <v>mothra|1961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1</v>
      </c>
      <c r="V1543" s="4" t="n">
        <v>0</v>
      </c>
      <c r="W1543" s="4" t="n">
        <v>0</v>
      </c>
    </row>
    <row r="1544" customFormat="false" ht="15" hidden="false" customHeight="false" outlineLevel="0" collapsed="false">
      <c r="A1544" s="4" t="s">
        <v>993</v>
      </c>
      <c r="B1544" s="4" t="n">
        <v>1967</v>
      </c>
      <c r="C1544" s="4" t="str">
        <f aca="false">FLOOR(B1544,10)&amp;"s"</f>
        <v>1960s</v>
      </c>
      <c r="D1544" s="4" t="s">
        <v>215</v>
      </c>
      <c r="E1544" s="25" t="str">
        <f aca="false">IF(G1544=1,"✓","")</f>
        <v/>
      </c>
      <c r="F1544" s="4" t="n">
        <v>2</v>
      </c>
      <c r="G1544" s="4" t="n">
        <f aca="false">IF(COUNTIF('Letterboxd Watched'!$E$2:$E$3000,M1544)&gt;0,1,0)</f>
        <v>0</v>
      </c>
      <c r="H1544" s="4" t="n">
        <v>4</v>
      </c>
      <c r="I1544" s="4" t="s">
        <v>213</v>
      </c>
      <c r="J1544" s="4" t="s">
        <v>53</v>
      </c>
      <c r="K1544" s="4" t="s">
        <v>5633</v>
      </c>
      <c r="L1544" s="48" t="str">
        <f aca="false">HYPERLINK("https://boxd.it/28Bs","open")</f>
        <v>open</v>
      </c>
      <c r="M1544" s="4" t="str">
        <f aca="false">LOWER(A1544)&amp;"|"&amp;B1544</f>
        <v>mouchette|1967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1</v>
      </c>
      <c r="S1544" s="4" t="n">
        <v>0</v>
      </c>
      <c r="T1544" s="4" t="n">
        <v>0</v>
      </c>
      <c r="U1544" s="4" t="n">
        <v>0</v>
      </c>
      <c r="V1544" s="4" t="n">
        <v>1</v>
      </c>
      <c r="W1544" s="4" t="n">
        <v>0</v>
      </c>
    </row>
    <row r="1545" customFormat="false" ht="15" hidden="false" customHeight="false" outlineLevel="0" collapsed="false">
      <c r="A1545" s="4" t="s">
        <v>2745</v>
      </c>
      <c r="B1545" s="4" t="n">
        <v>2001</v>
      </c>
      <c r="C1545" s="4" t="str">
        <f aca="false">FLOOR(B1545,10)&amp;"s"</f>
        <v>2000s</v>
      </c>
      <c r="D1545" s="4" t="s">
        <v>2746</v>
      </c>
      <c r="E1545" s="25" t="str">
        <f aca="false">IF(G1545=1,"✓","")</f>
        <v>✓</v>
      </c>
      <c r="F1545" s="4" t="n">
        <v>1</v>
      </c>
      <c r="G1545" s="4" t="n">
        <f aca="false">IF(COUNTIF('Letterboxd Watched'!$E$2:$E$3000,M1545)&gt;0,1,0)</f>
        <v>1</v>
      </c>
      <c r="H1545" s="4" t="n">
        <v>2</v>
      </c>
      <c r="I1545" s="4" t="s">
        <v>213</v>
      </c>
      <c r="J1545" s="4" t="s">
        <v>52</v>
      </c>
      <c r="K1545" s="4" t="s">
        <v>4112</v>
      </c>
      <c r="L1545" s="48" t="str">
        <f aca="false">HYPERLINK("https://boxd.it/29wI","open")</f>
        <v>open</v>
      </c>
      <c r="M1545" s="4" t="str">
        <f aca="false">LOWER(A1545)&amp;"|"&amp;B1545</f>
        <v>moulin rouge!|2001</v>
      </c>
      <c r="N1545" s="4" t="n">
        <v>0</v>
      </c>
      <c r="O1545" s="4" t="n">
        <v>0</v>
      </c>
      <c r="P1545" s="4" t="n">
        <v>0</v>
      </c>
      <c r="Q1545" s="4" t="n">
        <v>1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 customFormat="false" ht="15" hidden="false" customHeight="false" outlineLevel="0" collapsed="false">
      <c r="A1546" s="4" t="s">
        <v>3082</v>
      </c>
      <c r="B1546" s="4" t="n">
        <v>2015</v>
      </c>
      <c r="C1546" s="4" t="str">
        <f aca="false">FLOOR(B1546,10)&amp;"s"</f>
        <v>2010s</v>
      </c>
      <c r="D1546" s="4" t="s">
        <v>859</v>
      </c>
      <c r="E1546" s="25" t="str">
        <f aca="false">IF(G1546=1,"✓","")</f>
        <v/>
      </c>
      <c r="F1546" s="4" t="n">
        <v>1</v>
      </c>
      <c r="G1546" s="4" t="n">
        <f aca="false">IF(COUNTIF('Letterboxd Watched'!$E$2:$E$3000,M1546)&gt;0,1,0)</f>
        <v>0</v>
      </c>
      <c r="H1546" s="4" t="n">
        <v>2</v>
      </c>
      <c r="I1546" s="4" t="s">
        <v>213</v>
      </c>
      <c r="J1546" s="4" t="s">
        <v>53</v>
      </c>
      <c r="K1546" s="4" t="s">
        <v>4258</v>
      </c>
      <c r="L1546" s="48" t="str">
        <f aca="false">HYPERLINK("https://letterboxd.com/search/films/Mountains+May+Depart+2015/","open")</f>
        <v>open</v>
      </c>
      <c r="M1546" s="4" t="str">
        <f aca="false">LOWER(A1546)&amp;"|"&amp;B1546</f>
        <v>mountains may depart|2015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1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 customFormat="false" ht="15" hidden="false" customHeight="false" outlineLevel="0" collapsed="false">
      <c r="A1547" s="4" t="s">
        <v>3392</v>
      </c>
      <c r="B1547" s="4" t="n">
        <v>1958</v>
      </c>
      <c r="C1547" s="4" t="str">
        <f aca="false">FLOOR(B1547,10)&amp;"s"</f>
        <v>1950s</v>
      </c>
      <c r="D1547" s="4" t="s">
        <v>3393</v>
      </c>
      <c r="E1547" s="25" t="str">
        <f aca="false">IF(G1547=1,"✓","")</f>
        <v/>
      </c>
      <c r="F1547" s="4" t="n">
        <v>1</v>
      </c>
      <c r="G1547" s="4" t="n">
        <f aca="false">IF(COUNTIF('Letterboxd Watched'!$E$2:$E$3000,M1547)&gt;0,1,0)</f>
        <v>0</v>
      </c>
      <c r="H1547" s="4" t="n">
        <v>1</v>
      </c>
      <c r="I1547" s="4" t="s">
        <v>1327</v>
      </c>
      <c r="J1547" s="4" t="s">
        <v>52</v>
      </c>
      <c r="K1547" s="4" t="s">
        <v>4182</v>
      </c>
      <c r="L1547" s="48" t="str">
        <f aca="false">HYPERLINK("https://letterboxd.com/search/films/A+Movie+1958/","open")</f>
        <v>open</v>
      </c>
      <c r="M1547" s="4" t="str">
        <f aca="false">LOWER(A1547)&amp;"|"&amp;B1547</f>
        <v>a movie|1958</v>
      </c>
      <c r="N1547" s="4" t="n">
        <v>0</v>
      </c>
      <c r="O1547" s="4" t="n">
        <v>0</v>
      </c>
      <c r="P1547" s="4" t="n">
        <v>0</v>
      </c>
      <c r="Q1547" s="4" t="n">
        <v>1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 customFormat="false" ht="15" hidden="false" customHeight="false" outlineLevel="0" collapsed="false">
      <c r="A1548" s="4" t="s">
        <v>1925</v>
      </c>
      <c r="B1548" s="4" t="n">
        <v>1955</v>
      </c>
      <c r="C1548" s="4" t="str">
        <f aca="false">FLOOR(B1548,10)&amp;"s"</f>
        <v>1950s</v>
      </c>
      <c r="D1548" s="4" t="s">
        <v>143</v>
      </c>
      <c r="E1548" s="25" t="str">
        <f aca="false">IF(G1548=1,"✓","")</f>
        <v/>
      </c>
      <c r="F1548" s="4" t="n">
        <v>1</v>
      </c>
      <c r="G1548" s="4" t="n">
        <f aca="false">IF(COUNTIF('Letterboxd Watched'!$E$2:$E$3000,M1548)&gt;0,1,0)</f>
        <v>0</v>
      </c>
      <c r="H1548" s="4" t="n">
        <v>2</v>
      </c>
      <c r="I1548" s="4" t="s">
        <v>213</v>
      </c>
      <c r="J1548" s="4" t="s">
        <v>53</v>
      </c>
      <c r="K1548" s="4" t="s">
        <v>143</v>
      </c>
      <c r="L1548" s="48" t="str">
        <f aca="false">HYPERLINK("https://boxd.it/SZc","open")</f>
        <v>open</v>
      </c>
      <c r="M1548" s="4" t="str">
        <f aca="false">LOWER(A1548)&amp;"|"&amp;B1548</f>
        <v>mr. arkadin|1955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1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 customFormat="false" ht="15" hidden="false" customHeight="false" outlineLevel="0" collapsed="false">
      <c r="A1549" s="4" t="s">
        <v>1762</v>
      </c>
      <c r="B1549" s="4" t="n">
        <v>1936</v>
      </c>
      <c r="C1549" s="4" t="str">
        <f aca="false">FLOOR(B1549,10)&amp;"s"</f>
        <v>1930s</v>
      </c>
      <c r="D1549" s="4" t="s">
        <v>176</v>
      </c>
      <c r="E1549" s="25" t="str">
        <f aca="false">IF(G1549=1,"✓","")</f>
        <v/>
      </c>
      <c r="F1549" s="4" t="n">
        <v>1</v>
      </c>
      <c r="G1549" s="4" t="n">
        <f aca="false">IF(COUNTIF('Letterboxd Watched'!$E$2:$E$3000,M1549)&gt;0,1,0)</f>
        <v>0</v>
      </c>
      <c r="H1549" s="4" t="n">
        <v>2</v>
      </c>
      <c r="I1549" s="4" t="s">
        <v>213</v>
      </c>
      <c r="J1549" s="4" t="s">
        <v>53</v>
      </c>
      <c r="K1549" s="4" t="s">
        <v>176</v>
      </c>
      <c r="L1549" s="48" t="str">
        <f aca="false">HYPERLINK("https://boxd.it/1wWM","open")</f>
        <v>open</v>
      </c>
      <c r="M1549" s="4" t="str">
        <f aca="false">LOWER(A1549)&amp;"|"&amp;B1549</f>
        <v>mr. deeds goes to town|1936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1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 customFormat="false" ht="15" hidden="false" customHeight="false" outlineLevel="0" collapsed="false">
      <c r="A1550" s="4" t="s">
        <v>3375</v>
      </c>
      <c r="B1550" s="4" t="n">
        <v>1953</v>
      </c>
      <c r="C1550" s="4" t="str">
        <f aca="false">FLOOR(B1550,10)&amp;"s"</f>
        <v>1950s</v>
      </c>
      <c r="D1550" s="4" t="s">
        <v>338</v>
      </c>
      <c r="E1550" s="25" t="str">
        <f aca="false">IF(G1550=1,"✓","")</f>
        <v/>
      </c>
      <c r="F1550" s="4" t="n">
        <v>1</v>
      </c>
      <c r="G1550" s="4" t="n">
        <f aca="false">IF(COUNTIF('Letterboxd Watched'!$E$2:$E$3000,M1550)&gt;0,1,0)</f>
        <v>0</v>
      </c>
      <c r="H1550" s="4" t="n">
        <v>1</v>
      </c>
      <c r="I1550" s="4" t="s">
        <v>1327</v>
      </c>
      <c r="J1550" s="4" t="s">
        <v>56</v>
      </c>
      <c r="K1550" s="4" t="s">
        <v>4424</v>
      </c>
      <c r="L1550" s="48" t="str">
        <f aca="false">HYPERLINK("https://letterboxd.com/search/films/Mr+Hulots+Holiday+1953/","open")</f>
        <v>open</v>
      </c>
      <c r="M1550" s="4" t="str">
        <f aca="false">LOWER(A1550)&amp;"|"&amp;B1550</f>
        <v>mr. hulot's holiday|1953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1</v>
      </c>
      <c r="V1550" s="4" t="n">
        <v>0</v>
      </c>
      <c r="W1550" s="4" t="n">
        <v>0</v>
      </c>
    </row>
    <row r="1551" customFormat="false" ht="15" hidden="false" customHeight="false" outlineLevel="0" collapsed="false">
      <c r="A1551" s="4" t="s">
        <v>303</v>
      </c>
      <c r="B1551" s="4" t="n">
        <v>1939</v>
      </c>
      <c r="C1551" s="4" t="str">
        <f aca="false">FLOOR(B1551,10)&amp;"s"</f>
        <v>1930s</v>
      </c>
      <c r="D1551" s="4" t="s">
        <v>176</v>
      </c>
      <c r="E1551" s="25" t="str">
        <f aca="false">IF(G1551=1,"✓","")</f>
        <v/>
      </c>
      <c r="F1551" s="4" t="n">
        <v>4</v>
      </c>
      <c r="G1551" s="4" t="n">
        <f aca="false">IF(COUNTIF('Letterboxd Watched'!$E$2:$E$3000,M1551)&gt;0,1,0)</f>
        <v>0</v>
      </c>
      <c r="H1551" s="4" t="n">
        <v>10</v>
      </c>
      <c r="I1551" s="4" t="s">
        <v>144</v>
      </c>
      <c r="J1551" s="4" t="s">
        <v>50</v>
      </c>
      <c r="K1551" s="4" t="s">
        <v>5634</v>
      </c>
      <c r="L1551" s="48" t="str">
        <f aca="false">HYPERLINK("https://boxd.it/25Ms","open")</f>
        <v>open</v>
      </c>
      <c r="M1551" s="4" t="str">
        <f aca="false">LOWER(A1551)&amp;"|"&amp;B1551</f>
        <v>mr. smith goes to washington|1939</v>
      </c>
      <c r="N1551" s="4" t="n">
        <v>0</v>
      </c>
      <c r="O1551" s="4" t="n">
        <v>1</v>
      </c>
      <c r="P1551" s="4" t="n">
        <v>0</v>
      </c>
      <c r="Q1551" s="4" t="n">
        <v>0</v>
      </c>
      <c r="R1551" s="4" t="n">
        <v>1</v>
      </c>
      <c r="S1551" s="4" t="n">
        <v>0</v>
      </c>
      <c r="T1551" s="4" t="n">
        <v>1</v>
      </c>
      <c r="U1551" s="4" t="n">
        <v>0</v>
      </c>
      <c r="V1551" s="4" t="n">
        <v>1</v>
      </c>
      <c r="W1551" s="4" t="n">
        <v>0</v>
      </c>
    </row>
    <row r="1552" customFormat="false" ht="15" hidden="false" customHeight="false" outlineLevel="0" collapsed="false">
      <c r="A1552" s="4" t="s">
        <v>3596</v>
      </c>
      <c r="B1552" s="4" t="n">
        <v>1981</v>
      </c>
      <c r="C1552" s="4" t="str">
        <f aca="false">FLOOR(B1552,10)&amp;"s"</f>
        <v>1980s</v>
      </c>
      <c r="D1552" s="4" t="s">
        <v>3597</v>
      </c>
      <c r="E1552" s="25" t="str">
        <f aca="false">IF(G1552=1,"✓","")</f>
        <v/>
      </c>
      <c r="F1552" s="4" t="n">
        <v>1</v>
      </c>
      <c r="G1552" s="4" t="n">
        <f aca="false">IF(COUNTIF('Letterboxd Watched'!$E$2:$E$3000,M1552)&gt;0,1,0)</f>
        <v>0</v>
      </c>
      <c r="H1552" s="4" t="n">
        <v>1</v>
      </c>
      <c r="I1552" s="4" t="s">
        <v>1327</v>
      </c>
      <c r="J1552" s="4" t="s">
        <v>54</v>
      </c>
      <c r="K1552" s="4" t="s">
        <v>4282</v>
      </c>
      <c r="L1552" s="48" t="str">
        <f aca="false">HYPERLINK("https://boxd.it/1AWG","open")</f>
        <v>open</v>
      </c>
      <c r="M1552" s="4" t="str">
        <f aca="false">LOWER(A1552)&amp;"|"&amp;B1552</f>
        <v>ms .45|1981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1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 customFormat="false" ht="15" hidden="false" customHeight="false" outlineLevel="0" collapsed="false">
      <c r="A1553" s="4" t="s">
        <v>3015</v>
      </c>
      <c r="B1553" s="4" t="n">
        <v>2012</v>
      </c>
      <c r="C1553" s="4" t="str">
        <f aca="false">FLOOR(B1553,10)&amp;"s"</f>
        <v>2010s</v>
      </c>
      <c r="D1553" s="4" t="s">
        <v>1412</v>
      </c>
      <c r="E1553" s="25" t="str">
        <f aca="false">IF(G1553=1,"✓","")</f>
        <v/>
      </c>
      <c r="F1553" s="4" t="n">
        <v>1</v>
      </c>
      <c r="G1553" s="4" t="n">
        <f aca="false">IF(COUNTIF('Letterboxd Watched'!$E$2:$E$3000,M1553)&gt;0,1,0)</f>
        <v>0</v>
      </c>
      <c r="H1553" s="4" t="n">
        <v>2</v>
      </c>
      <c r="I1553" s="4" t="s">
        <v>213</v>
      </c>
      <c r="J1553" s="4" t="s">
        <v>56</v>
      </c>
      <c r="K1553" s="4" t="s">
        <v>4392</v>
      </c>
      <c r="L1553" s="48" t="str">
        <f aca="false">HYPERLINK("https://boxd.it/3wPA","open")</f>
        <v>open</v>
      </c>
      <c r="M1553" s="4" t="str">
        <f aca="false">LOWER(A1553)&amp;"|"&amp;B1553</f>
        <v>mud|2012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1</v>
      </c>
      <c r="V1553" s="4" t="n">
        <v>0</v>
      </c>
      <c r="W1553" s="4" t="n">
        <v>0</v>
      </c>
    </row>
    <row r="1554" customFormat="false" ht="15" hidden="false" customHeight="false" outlineLevel="0" collapsed="false">
      <c r="A1554" s="4" t="s">
        <v>3433</v>
      </c>
      <c r="B1554" s="4" t="n">
        <v>1965</v>
      </c>
      <c r="C1554" s="4" t="str">
        <f aca="false">FLOOR(B1554,10)&amp;"s"</f>
        <v>1960s</v>
      </c>
      <c r="D1554" s="4" t="s">
        <v>1469</v>
      </c>
      <c r="E1554" s="25" t="str">
        <f aca="false">IF(G1554=1,"✓","")</f>
        <v/>
      </c>
      <c r="F1554" s="4" t="n">
        <v>1</v>
      </c>
      <c r="G1554" s="4" t="n">
        <f aca="false">IF(COUNTIF('Letterboxd Watched'!$E$2:$E$3000,M1554)&gt;0,1,0)</f>
        <v>0</v>
      </c>
      <c r="H1554" s="4" t="n">
        <v>1</v>
      </c>
      <c r="I1554" s="4" t="s">
        <v>1327</v>
      </c>
      <c r="J1554" s="4" t="s">
        <v>54</v>
      </c>
      <c r="K1554" s="4" t="s">
        <v>4308</v>
      </c>
      <c r="L1554" s="48" t="str">
        <f aca="false">HYPERLINK("https://letterboxd.com/search/films/Mudhoney+1965/","open")</f>
        <v>open</v>
      </c>
      <c r="M1554" s="4" t="str">
        <f aca="false">LOWER(A1554)&amp;"|"&amp;B1554</f>
        <v>mudhoney|1965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1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 customFormat="false" ht="15" hidden="false" customHeight="false" outlineLevel="0" collapsed="false">
      <c r="A1555" s="4" t="s">
        <v>1976</v>
      </c>
      <c r="B1555" s="4" t="n">
        <v>1960</v>
      </c>
      <c r="C1555" s="4" t="str">
        <f aca="false">FLOOR(B1555,10)&amp;"s"</f>
        <v>1960s</v>
      </c>
      <c r="D1555" s="4" t="s">
        <v>1977</v>
      </c>
      <c r="E1555" s="25" t="str">
        <f aca="false">IF(G1555=1,"✓","")</f>
        <v/>
      </c>
      <c r="F1555" s="4" t="n">
        <v>1</v>
      </c>
      <c r="G1555" s="4" t="n">
        <f aca="false">IF(COUNTIF('Letterboxd Watched'!$E$2:$E$3000,M1555)&gt;0,1,0)</f>
        <v>0</v>
      </c>
      <c r="H1555" s="4" t="n">
        <v>2</v>
      </c>
      <c r="I1555" s="4" t="s">
        <v>213</v>
      </c>
      <c r="J1555" s="4" t="s">
        <v>51</v>
      </c>
      <c r="K1555" s="4" t="s">
        <v>4028</v>
      </c>
      <c r="L1555" s="48" t="str">
        <f aca="false">HYPERLINK("https://letterboxd.com/search/films/MughaleAzam+1960/","open")</f>
        <v>open</v>
      </c>
      <c r="M1555" s="4" t="str">
        <f aca="false">LOWER(A1555)&amp;"|"&amp;B1555</f>
        <v>mughal-e-azam|1960</v>
      </c>
      <c r="N1555" s="4" t="n">
        <v>0</v>
      </c>
      <c r="O1555" s="4" t="n">
        <v>0</v>
      </c>
      <c r="P1555" s="4" t="n">
        <v>1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 customFormat="false" ht="15" hidden="false" customHeight="false" outlineLevel="0" collapsed="false">
      <c r="A1556" s="4" t="s">
        <v>153</v>
      </c>
      <c r="B1556" s="4" t="n">
        <v>2001</v>
      </c>
      <c r="C1556" s="4" t="str">
        <f aca="false">FLOOR(B1556,10)&amp;"s"</f>
        <v>2000s</v>
      </c>
      <c r="D1556" s="4" t="s">
        <v>154</v>
      </c>
      <c r="E1556" s="25" t="str">
        <f aca="false">IF(G1556=1,"✓","")</f>
        <v>✓</v>
      </c>
      <c r="F1556" s="4" t="n">
        <v>9</v>
      </c>
      <c r="G1556" s="4" t="n">
        <f aca="false">IF(COUNTIF('Letterboxd Watched'!$E$2:$E$3000,M1556)&gt;0,1,0)</f>
        <v>1</v>
      </c>
      <c r="H1556" s="4" t="n">
        <v>20</v>
      </c>
      <c r="I1556" s="4" t="s">
        <v>144</v>
      </c>
      <c r="J1556" s="4" t="s">
        <v>49</v>
      </c>
      <c r="K1556" s="4" t="s">
        <v>5635</v>
      </c>
      <c r="L1556" s="48" t="str">
        <f aca="false">HYPERLINK("https://boxd.it/297o","open")</f>
        <v>open</v>
      </c>
      <c r="M1556" s="4" t="str">
        <f aca="false">LOWER(A1556)&amp;"|"&amp;B1556</f>
        <v>mulholland drive|2001</v>
      </c>
      <c r="N1556" s="4" t="n">
        <v>1</v>
      </c>
      <c r="O1556" s="4" t="n">
        <v>1</v>
      </c>
      <c r="P1556" s="4" t="n">
        <v>0</v>
      </c>
      <c r="Q1556" s="4" t="n">
        <v>0</v>
      </c>
      <c r="R1556" s="4" t="n">
        <v>1</v>
      </c>
      <c r="S1556" s="4" t="n">
        <v>1</v>
      </c>
      <c r="T1556" s="4" t="n">
        <v>1</v>
      </c>
      <c r="U1556" s="4" t="n">
        <v>0</v>
      </c>
      <c r="V1556" s="4" t="n">
        <v>1</v>
      </c>
      <c r="W1556" s="4" t="n">
        <v>1</v>
      </c>
    </row>
    <row r="1557" customFormat="false" ht="15" hidden="false" customHeight="false" outlineLevel="0" collapsed="false">
      <c r="A1557" s="4" t="s">
        <v>1729</v>
      </c>
      <c r="B1557" s="4" t="n">
        <v>1932</v>
      </c>
      <c r="C1557" s="4" t="str">
        <f aca="false">FLOOR(B1557,10)&amp;"s"</f>
        <v>1930s</v>
      </c>
      <c r="D1557" s="4" t="s">
        <v>1730</v>
      </c>
      <c r="E1557" s="25" t="str">
        <f aca="false">IF(G1557=1,"✓","")</f>
        <v/>
      </c>
      <c r="F1557" s="4" t="n">
        <v>1</v>
      </c>
      <c r="G1557" s="4" t="n">
        <f aca="false">IF(COUNTIF('Letterboxd Watched'!$E$2:$E$3000,M1557)&gt;0,1,0)</f>
        <v>0</v>
      </c>
      <c r="H1557" s="4" t="n">
        <v>2</v>
      </c>
      <c r="I1557" s="4" t="s">
        <v>213</v>
      </c>
      <c r="J1557" s="4" t="s">
        <v>52</v>
      </c>
      <c r="K1557" s="4" t="s">
        <v>4058</v>
      </c>
      <c r="L1557" s="48" t="str">
        <f aca="false">HYPERLINK("https://boxd.it/1LnW","open")</f>
        <v>open</v>
      </c>
      <c r="M1557" s="4" t="str">
        <f aca="false">LOWER(A1557)&amp;"|"&amp;B1557</f>
        <v>the mummy|1932</v>
      </c>
      <c r="N1557" s="4" t="n">
        <v>0</v>
      </c>
      <c r="O1557" s="4" t="n">
        <v>0</v>
      </c>
      <c r="P1557" s="4" t="n">
        <v>0</v>
      </c>
      <c r="Q1557" s="4" t="n">
        <v>1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 customFormat="false" ht="15" hidden="false" customHeight="false" outlineLevel="0" collapsed="false">
      <c r="A1558" s="4" t="s">
        <v>1651</v>
      </c>
      <c r="B1558" s="4" t="n">
        <v>1975</v>
      </c>
      <c r="C1558" s="4" t="str">
        <f aca="false">FLOOR(B1558,10)&amp;"s"</f>
        <v>1970s</v>
      </c>
      <c r="D1558" s="4" t="s">
        <v>1652</v>
      </c>
      <c r="E1558" s="25" t="str">
        <f aca="false">IF(G1558=1,"✓","")</f>
        <v/>
      </c>
      <c r="F1558" s="4" t="n">
        <v>2</v>
      </c>
      <c r="G1558" s="4" t="n">
        <f aca="false">IF(COUNTIF('Letterboxd Watched'!$E$2:$E$3000,M1558)&gt;0,1,0)</f>
        <v>0</v>
      </c>
      <c r="H1558" s="4" t="n">
        <v>2</v>
      </c>
      <c r="I1558" s="4" t="s">
        <v>1327</v>
      </c>
      <c r="J1558" s="4" t="s">
        <v>51</v>
      </c>
      <c r="K1558" s="4" t="s">
        <v>5636</v>
      </c>
      <c r="L1558" s="48" t="str">
        <f aca="false">HYPERLINK("https://letterboxd.com/search/films/Muna+Moto+1975/","open")</f>
        <v>open</v>
      </c>
      <c r="M1558" s="4" t="str">
        <f aca="false">LOWER(A1558)&amp;"|"&amp;B1558</f>
        <v>muna moto|1975</v>
      </c>
      <c r="N1558" s="4" t="n">
        <v>0</v>
      </c>
      <c r="O1558" s="4" t="n">
        <v>0</v>
      </c>
      <c r="P1558" s="4" t="n">
        <v>1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1</v>
      </c>
      <c r="W1558" s="4" t="n">
        <v>0</v>
      </c>
    </row>
    <row r="1559" customFormat="false" ht="15" hidden="false" customHeight="false" outlineLevel="0" collapsed="false">
      <c r="A1559" s="4" t="s">
        <v>1170</v>
      </c>
      <c r="B1559" s="4" t="n">
        <v>2005</v>
      </c>
      <c r="C1559" s="4" t="str">
        <f aca="false">FLOOR(B1559,10)&amp;"s"</f>
        <v>2000s</v>
      </c>
      <c r="D1559" s="4" t="s">
        <v>183</v>
      </c>
      <c r="E1559" s="25" t="str">
        <f aca="false">IF(G1559=1,"✓","")</f>
        <v/>
      </c>
      <c r="F1559" s="4" t="n">
        <v>2</v>
      </c>
      <c r="G1559" s="4" t="n">
        <f aca="false">IF(COUNTIF('Letterboxd Watched'!$E$2:$E$3000,M1559)&gt;0,1,0)</f>
        <v>0</v>
      </c>
      <c r="H1559" s="4" t="n">
        <v>4</v>
      </c>
      <c r="I1559" s="4" t="s">
        <v>213</v>
      </c>
      <c r="J1559" s="4" t="s">
        <v>52</v>
      </c>
      <c r="K1559" s="4" t="s">
        <v>5637</v>
      </c>
      <c r="L1559" s="48" t="str">
        <f aca="false">HYPERLINK("https://boxd.it/2a0e","open")</f>
        <v>open</v>
      </c>
      <c r="M1559" s="4" t="str">
        <f aca="false">LOWER(A1559)&amp;"|"&amp;B1559</f>
        <v>munich|2005</v>
      </c>
      <c r="N1559" s="4" t="n">
        <v>0</v>
      </c>
      <c r="O1559" s="4" t="n">
        <v>0</v>
      </c>
      <c r="P1559" s="4" t="n">
        <v>0</v>
      </c>
      <c r="Q1559" s="4" t="n">
        <v>1</v>
      </c>
      <c r="R1559" s="4" t="n">
        <v>1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 customFormat="false" ht="15" hidden="false" customHeight="false" outlineLevel="0" collapsed="false">
      <c r="A1560" s="4" t="s">
        <v>3595</v>
      </c>
      <c r="B1560" s="4" t="n">
        <v>1981</v>
      </c>
      <c r="C1560" s="4" t="str">
        <f aca="false">FLOOR(B1560,10)&amp;"s"</f>
        <v>1980s</v>
      </c>
      <c r="D1560" s="4" t="s">
        <v>158</v>
      </c>
      <c r="E1560" s="25" t="str">
        <f aca="false">IF(G1560=1,"✓","")</f>
        <v/>
      </c>
      <c r="F1560" s="4" t="n">
        <v>1</v>
      </c>
      <c r="G1560" s="4" t="n">
        <f aca="false">IF(COUNTIF('Letterboxd Watched'!$E$2:$E$3000,M1560)&gt;0,1,0)</f>
        <v>0</v>
      </c>
      <c r="H1560" s="4" t="n">
        <v>1</v>
      </c>
      <c r="I1560" s="4" t="s">
        <v>1327</v>
      </c>
      <c r="J1560" s="4" t="s">
        <v>53</v>
      </c>
      <c r="K1560" s="4" t="s">
        <v>158</v>
      </c>
      <c r="L1560" s="48" t="str">
        <f aca="false">HYPERLINK("https://boxd.it/6MpE","open")</f>
        <v>open</v>
      </c>
      <c r="M1560" s="4" t="str">
        <f aca="false">LOWER(A1560)&amp;"|"&amp;B1560</f>
        <v>mur murs|1981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1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 customFormat="false" ht="15" hidden="false" customHeight="false" outlineLevel="0" collapsed="false">
      <c r="A1561" s="4" t="s">
        <v>1816</v>
      </c>
      <c r="B1561" s="4" t="n">
        <v>1944</v>
      </c>
      <c r="C1561" s="4" t="str">
        <f aca="false">FLOOR(B1561,10)&amp;"s"</f>
        <v>1940s</v>
      </c>
      <c r="D1561" s="4" t="s">
        <v>1817</v>
      </c>
      <c r="E1561" s="25" t="str">
        <f aca="false">IF(G1561=1,"✓","")</f>
        <v/>
      </c>
      <c r="F1561" s="4" t="n">
        <v>1</v>
      </c>
      <c r="G1561" s="4" t="n">
        <f aca="false">IF(COUNTIF('Letterboxd Watched'!$E$2:$E$3000,M1561)&gt;0,1,0)</f>
        <v>0</v>
      </c>
      <c r="H1561" s="4" t="n">
        <v>2</v>
      </c>
      <c r="I1561" s="4" t="s">
        <v>213</v>
      </c>
      <c r="J1561" s="4" t="s">
        <v>52</v>
      </c>
      <c r="K1561" s="4" t="s">
        <v>4042</v>
      </c>
      <c r="L1561" s="48" t="str">
        <f aca="false">HYPERLINK("https://letterboxd.com/search/films/Murder+My+Sweet+1944/","open")</f>
        <v>open</v>
      </c>
      <c r="M1561" s="4" t="str">
        <f aca="false">LOWER(A1561)&amp;"|"&amp;B1561</f>
        <v>murder, my sweet|1944</v>
      </c>
      <c r="N1561" s="4" t="n">
        <v>0</v>
      </c>
      <c r="O1561" s="4" t="n">
        <v>0</v>
      </c>
      <c r="P1561" s="4" t="n">
        <v>0</v>
      </c>
      <c r="Q1561" s="4" t="n">
        <v>1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 customFormat="false" ht="15" hidden="false" customHeight="false" outlineLevel="0" collapsed="false">
      <c r="A1562" s="4" t="s">
        <v>3420</v>
      </c>
      <c r="B1562" s="4" t="n">
        <v>1963</v>
      </c>
      <c r="C1562" s="4" t="str">
        <f aca="false">FLOOR(B1562,10)&amp;"s"</f>
        <v>1960s</v>
      </c>
      <c r="D1562" s="4" t="s">
        <v>272</v>
      </c>
      <c r="E1562" s="25" t="str">
        <f aca="false">IF(G1562=1,"✓","")</f>
        <v/>
      </c>
      <c r="F1562" s="4" t="n">
        <v>1</v>
      </c>
      <c r="G1562" s="4" t="n">
        <f aca="false">IF(COUNTIF('Letterboxd Watched'!$E$2:$E$3000,M1562)&gt;0,1,0)</f>
        <v>0</v>
      </c>
      <c r="H1562" s="4" t="n">
        <v>1</v>
      </c>
      <c r="I1562" s="4" t="s">
        <v>1327</v>
      </c>
      <c r="J1562" s="4" t="s">
        <v>51</v>
      </c>
      <c r="K1562" s="4" t="s">
        <v>3962</v>
      </c>
      <c r="L1562" s="48" t="str">
        <f aca="false">HYPERLINK("https://letterboxd.com/search/films/Muriel+or+the+Time+of+Return+1963/","open")</f>
        <v>open</v>
      </c>
      <c r="M1562" s="4" t="str">
        <f aca="false">LOWER(A1562)&amp;"|"&amp;B1562</f>
        <v>muriel, or the time of return|1963</v>
      </c>
      <c r="N1562" s="4" t="n">
        <v>0</v>
      </c>
      <c r="O1562" s="4" t="n">
        <v>0</v>
      </c>
      <c r="P1562" s="4" t="n">
        <v>1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 customFormat="false" ht="15" hidden="false" customHeight="false" outlineLevel="0" collapsed="false">
      <c r="A1563" s="4" t="s">
        <v>948</v>
      </c>
      <c r="B1563" s="4" t="n">
        <v>1958</v>
      </c>
      <c r="C1563" s="4" t="str">
        <f aca="false">FLOOR(B1563,10)&amp;"s"</f>
        <v>1950s</v>
      </c>
      <c r="D1563" s="4" t="s">
        <v>253</v>
      </c>
      <c r="E1563" s="25" t="str">
        <f aca="false">IF(G1563=1,"✓","")</f>
        <v/>
      </c>
      <c r="F1563" s="4" t="n">
        <v>2</v>
      </c>
      <c r="G1563" s="4" t="n">
        <f aca="false">IF(COUNTIF('Letterboxd Watched'!$E$2:$E$3000,M1563)&gt;0,1,0)</f>
        <v>0</v>
      </c>
      <c r="H1563" s="4" t="n">
        <v>4</v>
      </c>
      <c r="I1563" s="4" t="s">
        <v>213</v>
      </c>
      <c r="J1563" s="4" t="s">
        <v>51</v>
      </c>
      <c r="K1563" s="4" t="s">
        <v>5188</v>
      </c>
      <c r="L1563" s="48" t="str">
        <f aca="false">HYPERLINK("https://boxd.it/29x2","open")</f>
        <v>open</v>
      </c>
      <c r="M1563" s="4" t="str">
        <f aca="false">LOWER(A1563)&amp;"|"&amp;B1563</f>
        <v>the music room|1958</v>
      </c>
      <c r="N1563" s="4" t="n">
        <v>0</v>
      </c>
      <c r="O1563" s="4" t="n">
        <v>0</v>
      </c>
      <c r="P1563" s="4" t="n">
        <v>1</v>
      </c>
      <c r="Q1563" s="4" t="n">
        <v>0</v>
      </c>
      <c r="R1563" s="4" t="n">
        <v>1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 customFormat="false" ht="15" hidden="false" customHeight="false" outlineLevel="0" collapsed="false">
      <c r="A1564" s="4" t="s">
        <v>2842</v>
      </c>
      <c r="B1564" s="4" t="n">
        <v>2005</v>
      </c>
      <c r="C1564" s="4" t="str">
        <f aca="false">FLOOR(B1564,10)&amp;"s"</f>
        <v>2000s</v>
      </c>
      <c r="D1564" s="4" t="s">
        <v>1584</v>
      </c>
      <c r="E1564" s="25" t="str">
        <f aca="false">IF(G1564=1,"✓","")</f>
        <v/>
      </c>
      <c r="F1564" s="4" t="n">
        <v>1</v>
      </c>
      <c r="G1564" s="4" t="n">
        <f aca="false">IF(COUNTIF('Letterboxd Watched'!$E$2:$E$3000,M1564)&gt;0,1,0)</f>
        <v>0</v>
      </c>
      <c r="H1564" s="4" t="n">
        <v>2</v>
      </c>
      <c r="I1564" s="4" t="s">
        <v>213</v>
      </c>
      <c r="J1564" s="4" t="s">
        <v>54</v>
      </c>
      <c r="K1564" s="4" t="s">
        <v>4312</v>
      </c>
      <c r="L1564" s="48" t="str">
        <f aca="false">HYPERLINK("https://letterboxd.com/search/films/Mutual+Appreciation+2005/","open")</f>
        <v>open</v>
      </c>
      <c r="M1564" s="4" t="str">
        <f aca="false">LOWER(A1564)&amp;"|"&amp;B1564</f>
        <v>mutual appreciation|2005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1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 customFormat="false" ht="15" hidden="false" customHeight="false" outlineLevel="0" collapsed="false">
      <c r="A1565" s="4" t="s">
        <v>2420</v>
      </c>
      <c r="B1565" s="4" t="n">
        <v>1985</v>
      </c>
      <c r="C1565" s="4" t="str">
        <f aca="false">FLOOR(B1565,10)&amp;"s"</f>
        <v>1980s</v>
      </c>
      <c r="D1565" s="4" t="s">
        <v>1284</v>
      </c>
      <c r="E1565" s="25" t="str">
        <f aca="false">IF(G1565=1,"✓","")</f>
        <v/>
      </c>
      <c r="F1565" s="4" t="n">
        <v>1</v>
      </c>
      <c r="G1565" s="4" t="n">
        <f aca="false">IF(COUNTIF('Letterboxd Watched'!$E$2:$E$3000,M1565)&gt;0,1,0)</f>
        <v>0</v>
      </c>
      <c r="H1565" s="4" t="n">
        <v>2</v>
      </c>
      <c r="I1565" s="4" t="s">
        <v>213</v>
      </c>
      <c r="J1565" s="4" t="s">
        <v>54</v>
      </c>
      <c r="K1565" s="4" t="s">
        <v>4292</v>
      </c>
      <c r="L1565" s="48" t="str">
        <f aca="false">HYPERLINK("https://boxd.it/1UhI","open")</f>
        <v>open</v>
      </c>
      <c r="M1565" s="4" t="str">
        <f aca="false">LOWER(A1565)&amp;"|"&amp;B1565</f>
        <v>my beautiful laundrette|1985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1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 customFormat="false" ht="15" hidden="false" customHeight="false" outlineLevel="0" collapsed="false">
      <c r="A1566" s="4" t="s">
        <v>1366</v>
      </c>
      <c r="B1566" s="4" t="n">
        <v>1981</v>
      </c>
      <c r="C1566" s="4" t="str">
        <f aca="false">FLOOR(B1566,10)&amp;"s"</f>
        <v>1980s</v>
      </c>
      <c r="D1566" s="4" t="s">
        <v>1367</v>
      </c>
      <c r="E1566" s="25" t="str">
        <f aca="false">IF(G1566=1,"✓","")</f>
        <v/>
      </c>
      <c r="F1566" s="4" t="n">
        <v>2</v>
      </c>
      <c r="G1566" s="4" t="n">
        <f aca="false">IF(COUNTIF('Letterboxd Watched'!$E$2:$E$3000,M1566)&gt;0,1,0)</f>
        <v>0</v>
      </c>
      <c r="H1566" s="4" t="n">
        <v>3</v>
      </c>
      <c r="I1566" s="4" t="s">
        <v>213</v>
      </c>
      <c r="J1566" s="4" t="s">
        <v>52</v>
      </c>
      <c r="K1566" s="4" t="s">
        <v>5638</v>
      </c>
      <c r="L1566" s="48" t="str">
        <f aca="false">HYPERLINK("https://boxd.it/131M","open")</f>
        <v>open</v>
      </c>
      <c r="M1566" s="4" t="str">
        <f aca="false">LOWER(A1566)&amp;"|"&amp;B1566</f>
        <v>my bloody valentine|1981</v>
      </c>
      <c r="N1566" s="4" t="n">
        <v>0</v>
      </c>
      <c r="O1566" s="4" t="n">
        <v>0</v>
      </c>
      <c r="P1566" s="4" t="n">
        <v>0</v>
      </c>
      <c r="Q1566" s="4" t="n">
        <v>1</v>
      </c>
      <c r="R1566" s="4" t="n">
        <v>0</v>
      </c>
      <c r="S1566" s="4" t="n">
        <v>0</v>
      </c>
      <c r="T1566" s="4" t="n">
        <v>0</v>
      </c>
      <c r="U1566" s="4" t="n">
        <v>1</v>
      </c>
      <c r="V1566" s="4" t="n">
        <v>0</v>
      </c>
      <c r="W1566" s="4" t="n">
        <v>0</v>
      </c>
    </row>
    <row r="1567" customFormat="false" ht="15" hidden="false" customHeight="false" outlineLevel="0" collapsed="false">
      <c r="A1567" s="4" t="s">
        <v>3766</v>
      </c>
      <c r="B1567" s="4" t="n">
        <v>2007</v>
      </c>
      <c r="C1567" s="4" t="str">
        <f aca="false">FLOOR(B1567,10)&amp;"s"</f>
        <v>2000s</v>
      </c>
      <c r="D1567" s="4" t="s">
        <v>193</v>
      </c>
      <c r="E1567" s="25" t="str">
        <f aca="false">IF(G1567=1,"✓","")</f>
        <v/>
      </c>
      <c r="F1567" s="4" t="n">
        <v>1</v>
      </c>
      <c r="G1567" s="4" t="n">
        <f aca="false">IF(COUNTIF('Letterboxd Watched'!$E$2:$E$3000,M1567)&gt;0,1,0)</f>
        <v>0</v>
      </c>
      <c r="H1567" s="4" t="n">
        <v>1</v>
      </c>
      <c r="I1567" s="4" t="s">
        <v>1327</v>
      </c>
      <c r="J1567" s="4" t="s">
        <v>53</v>
      </c>
      <c r="K1567" s="4" t="s">
        <v>193</v>
      </c>
      <c r="L1567" s="48" t="str">
        <f aca="false">HYPERLINK("https://boxd.it/27H0","open")</f>
        <v>open</v>
      </c>
      <c r="M1567" s="4" t="str">
        <f aca="false">LOWER(A1567)&amp;"|"&amp;B1567</f>
        <v>my blueberry nights|2007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1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 customFormat="false" ht="15" hidden="false" customHeight="false" outlineLevel="0" collapsed="false">
      <c r="A1568" s="4" t="s">
        <v>2326</v>
      </c>
      <c r="B1568" s="4" t="n">
        <v>1979</v>
      </c>
      <c r="C1568" s="4" t="str">
        <f aca="false">FLOOR(B1568,10)&amp;"s"</f>
        <v>1970s</v>
      </c>
      <c r="D1568" s="4" t="s">
        <v>2327</v>
      </c>
      <c r="E1568" s="25" t="str">
        <f aca="false">IF(G1568=1,"✓","")</f>
        <v/>
      </c>
      <c r="F1568" s="4" t="n">
        <v>1</v>
      </c>
      <c r="G1568" s="4" t="n">
        <f aca="false">IF(COUNTIF('Letterboxd Watched'!$E$2:$E$3000,M1568)&gt;0,1,0)</f>
        <v>0</v>
      </c>
      <c r="H1568" s="4" t="n">
        <v>2</v>
      </c>
      <c r="I1568" s="4" t="s">
        <v>213</v>
      </c>
      <c r="J1568" s="4" t="s">
        <v>51</v>
      </c>
      <c r="K1568" s="4" t="s">
        <v>4038</v>
      </c>
      <c r="L1568" s="48" t="str">
        <f aca="false">HYPERLINK("https://letterboxd.com/search/films/My+Brilliant+Career+1979/","open")</f>
        <v>open</v>
      </c>
      <c r="M1568" s="4" t="str">
        <f aca="false">LOWER(A1568)&amp;"|"&amp;B1568</f>
        <v>my brilliant career|1979</v>
      </c>
      <c r="N1568" s="4" t="n">
        <v>0</v>
      </c>
      <c r="O1568" s="4" t="n">
        <v>0</v>
      </c>
      <c r="P1568" s="4" t="n">
        <v>1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 customFormat="false" ht="15" hidden="false" customHeight="false" outlineLevel="0" collapsed="false">
      <c r="A1569" s="4" t="s">
        <v>2392</v>
      </c>
      <c r="B1569" s="4" t="n">
        <v>1983</v>
      </c>
      <c r="C1569" s="4" t="str">
        <f aca="false">FLOOR(B1569,10)&amp;"s"</f>
        <v>1980s</v>
      </c>
      <c r="D1569" s="4" t="s">
        <v>239</v>
      </c>
      <c r="E1569" s="25" t="str">
        <f aca="false">IF(G1569=1,"✓","")</f>
        <v/>
      </c>
      <c r="F1569" s="4" t="n">
        <v>1</v>
      </c>
      <c r="G1569" s="4" t="n">
        <f aca="false">IF(COUNTIF('Letterboxd Watched'!$E$2:$E$3000,M1569)&gt;0,1,0)</f>
        <v>0</v>
      </c>
      <c r="H1569" s="4" t="n">
        <v>2</v>
      </c>
      <c r="I1569" s="4" t="s">
        <v>213</v>
      </c>
      <c r="J1569" s="4" t="s">
        <v>54</v>
      </c>
      <c r="K1569" s="4" t="s">
        <v>4286</v>
      </c>
      <c r="L1569" s="48" t="str">
        <f aca="false">HYPERLINK("https://letterboxd.com/search/films/My+Brothers+Wedding+1983/","open")</f>
        <v>open</v>
      </c>
      <c r="M1569" s="4" t="str">
        <f aca="false">LOWER(A1569)&amp;"|"&amp;B1569</f>
        <v>my brother's wedding|1983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1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 customFormat="false" ht="15" hidden="false" customHeight="false" outlineLevel="0" collapsed="false">
      <c r="A1570" s="4" t="s">
        <v>2555</v>
      </c>
      <c r="B1570" s="4" t="n">
        <v>1992</v>
      </c>
      <c r="C1570" s="4" t="str">
        <f aca="false">FLOOR(B1570,10)&amp;"s"</f>
        <v>1990s</v>
      </c>
      <c r="D1570" s="4" t="s">
        <v>2424</v>
      </c>
      <c r="E1570" s="25" t="str">
        <f aca="false">IF(G1570=1,"✓","")</f>
        <v/>
      </c>
      <c r="F1570" s="4" t="n">
        <v>1</v>
      </c>
      <c r="G1570" s="4" t="n">
        <f aca="false">IF(COUNTIF('Letterboxd Watched'!$E$2:$E$3000,M1570)&gt;0,1,0)</f>
        <v>0</v>
      </c>
      <c r="H1570" s="4" t="n">
        <v>2</v>
      </c>
      <c r="I1570" s="4" t="s">
        <v>213</v>
      </c>
      <c r="J1570" s="4" t="s">
        <v>55</v>
      </c>
      <c r="K1570" s="4" t="s">
        <v>4324</v>
      </c>
      <c r="L1570" s="48" t="str">
        <f aca="false">HYPERLINK("https://boxd.it/1WpO","open")</f>
        <v>open</v>
      </c>
      <c r="M1570" s="4" t="str">
        <f aca="false">LOWER(A1570)&amp;"|"&amp;B1570</f>
        <v>my cousin vinny|1992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1</v>
      </c>
      <c r="U1570" s="4" t="n">
        <v>0</v>
      </c>
      <c r="V1570" s="4" t="n">
        <v>0</v>
      </c>
      <c r="W1570" s="4" t="n">
        <v>0</v>
      </c>
    </row>
    <row r="1571" customFormat="false" ht="15" hidden="false" customHeight="false" outlineLevel="0" collapsed="false">
      <c r="A1571" s="4" t="s">
        <v>924</v>
      </c>
      <c r="B1571" s="4" t="n">
        <v>1946</v>
      </c>
      <c r="C1571" s="4" t="str">
        <f aca="false">FLOOR(B1571,10)&amp;"s"</f>
        <v>1940s</v>
      </c>
      <c r="D1571" s="4" t="s">
        <v>205</v>
      </c>
      <c r="E1571" s="25" t="str">
        <f aca="false">IF(G1571=1,"✓","")</f>
        <v/>
      </c>
      <c r="F1571" s="4" t="n">
        <v>2</v>
      </c>
      <c r="G1571" s="4" t="n">
        <f aca="false">IF(COUNTIF('Letterboxd Watched'!$E$2:$E$3000,M1571)&gt;0,1,0)</f>
        <v>0</v>
      </c>
      <c r="H1571" s="4" t="n">
        <v>4</v>
      </c>
      <c r="I1571" s="4" t="s">
        <v>213</v>
      </c>
      <c r="J1571" s="4" t="s">
        <v>52</v>
      </c>
      <c r="K1571" s="4" t="s">
        <v>5416</v>
      </c>
      <c r="L1571" s="48" t="str">
        <f aca="false">HYPERLINK("https://boxd.it/25LE","open")</f>
        <v>open</v>
      </c>
      <c r="M1571" s="4" t="str">
        <f aca="false">LOWER(A1571)&amp;"|"&amp;B1571</f>
        <v>my darling clementine|1946</v>
      </c>
      <c r="N1571" s="4" t="n">
        <v>0</v>
      </c>
      <c r="O1571" s="4" t="n">
        <v>0</v>
      </c>
      <c r="P1571" s="4" t="n">
        <v>0</v>
      </c>
      <c r="Q1571" s="4" t="n">
        <v>1</v>
      </c>
      <c r="R1571" s="4" t="n">
        <v>1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 customFormat="false" ht="15" hidden="false" customHeight="false" outlineLevel="0" collapsed="false">
      <c r="A1572" s="4" t="s">
        <v>812</v>
      </c>
      <c r="B1572" s="4" t="n">
        <v>1981</v>
      </c>
      <c r="C1572" s="4" t="str">
        <f aca="false">FLOOR(B1572,10)&amp;"s"</f>
        <v>1980s</v>
      </c>
      <c r="D1572" s="4" t="s">
        <v>813</v>
      </c>
      <c r="E1572" s="25" t="str">
        <f aca="false">IF(G1572=1,"✓","")</f>
        <v>✓</v>
      </c>
      <c r="F1572" s="4" t="n">
        <v>2</v>
      </c>
      <c r="G1572" s="4" t="n">
        <f aca="false">IF(COUNTIF('Letterboxd Watched'!$E$2:$E$3000,M1572)&gt;0,1,0)</f>
        <v>1</v>
      </c>
      <c r="H1572" s="4" t="n">
        <v>5</v>
      </c>
      <c r="I1572" s="4" t="s">
        <v>144</v>
      </c>
      <c r="J1572" s="4" t="s">
        <v>55</v>
      </c>
      <c r="K1572" s="4" t="s">
        <v>5639</v>
      </c>
      <c r="L1572" s="48" t="str">
        <f aca="false">HYPERLINK("https://boxd.it/1vLe","open")</f>
        <v>open</v>
      </c>
      <c r="M1572" s="4" t="str">
        <f aca="false">LOWER(A1572)&amp;"|"&amp;B1572</f>
        <v>my dinner with andre|1981</v>
      </c>
      <c r="N1572" s="4" t="n">
        <v>0</v>
      </c>
      <c r="O1572" s="4" t="n">
        <v>0</v>
      </c>
      <c r="P1572" s="4" t="n">
        <v>0</v>
      </c>
      <c r="Q1572" s="4" t="n">
        <v>0</v>
      </c>
      <c r="R1572" s="4" t="n">
        <v>0</v>
      </c>
      <c r="S1572" s="4" t="n">
        <v>0</v>
      </c>
      <c r="T1572" s="4" t="n">
        <v>1</v>
      </c>
      <c r="U1572" s="4" t="n">
        <v>1</v>
      </c>
      <c r="V1572" s="4" t="n">
        <v>0</v>
      </c>
      <c r="W1572" s="4" t="n">
        <v>0</v>
      </c>
    </row>
    <row r="1573" customFormat="false" ht="15" hidden="false" customHeight="false" outlineLevel="0" collapsed="false">
      <c r="A1573" s="4" t="s">
        <v>2421</v>
      </c>
      <c r="B1573" s="4" t="n">
        <v>1985</v>
      </c>
      <c r="C1573" s="4" t="str">
        <f aca="false">FLOOR(B1573,10)&amp;"s"</f>
        <v>1980s</v>
      </c>
      <c r="D1573" s="4" t="s">
        <v>2422</v>
      </c>
      <c r="E1573" s="25" t="str">
        <f aca="false">IF(G1573=1,"✓","")</f>
        <v/>
      </c>
      <c r="F1573" s="4" t="n">
        <v>1</v>
      </c>
      <c r="G1573" s="4" t="n">
        <f aca="false">IF(COUNTIF('Letterboxd Watched'!$E$2:$E$3000,M1573)&gt;0,1,0)</f>
        <v>0</v>
      </c>
      <c r="H1573" s="4" t="n">
        <v>2</v>
      </c>
      <c r="I1573" s="4" t="s">
        <v>213</v>
      </c>
      <c r="J1573" s="4" t="s">
        <v>55</v>
      </c>
      <c r="K1573" s="4" t="s">
        <v>4344</v>
      </c>
      <c r="L1573" s="48" t="str">
        <f aca="false">HYPERLINK("https://boxd.it/1ZOM","open")</f>
        <v>open</v>
      </c>
      <c r="M1573" s="4" t="str">
        <f aca="false">LOWER(A1573)&amp;"|"&amp;B1573</f>
        <v>my life as a dog|1985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1</v>
      </c>
      <c r="U1573" s="4" t="n">
        <v>0</v>
      </c>
      <c r="V1573" s="4" t="n">
        <v>0</v>
      </c>
      <c r="W1573" s="4" t="n">
        <v>0</v>
      </c>
    </row>
    <row r="1574" customFormat="false" ht="15" hidden="false" customHeight="false" outlineLevel="0" collapsed="false">
      <c r="A1574" s="4" t="s">
        <v>1758</v>
      </c>
      <c r="B1574" s="4" t="n">
        <v>1936</v>
      </c>
      <c r="C1574" s="4" t="str">
        <f aca="false">FLOOR(B1574,10)&amp;"s"</f>
        <v>1930s</v>
      </c>
      <c r="D1574" s="4" t="s">
        <v>1759</v>
      </c>
      <c r="E1574" s="25" t="str">
        <f aca="false">IF(G1574=1,"✓","")</f>
        <v/>
      </c>
      <c r="F1574" s="4" t="n">
        <v>1</v>
      </c>
      <c r="G1574" s="4" t="n">
        <f aca="false">IF(COUNTIF('Letterboxd Watched'!$E$2:$E$3000,M1574)&gt;0,1,0)</f>
        <v>0</v>
      </c>
      <c r="H1574" s="4" t="n">
        <v>2</v>
      </c>
      <c r="I1574" s="4" t="s">
        <v>213</v>
      </c>
      <c r="J1574" s="4" t="s">
        <v>52</v>
      </c>
      <c r="K1574" s="4" t="s">
        <v>4096</v>
      </c>
      <c r="L1574" s="48" t="str">
        <f aca="false">HYPERLINK("https://boxd.it/1PTC","open")</f>
        <v>open</v>
      </c>
      <c r="M1574" s="4" t="str">
        <f aca="false">LOWER(A1574)&amp;"|"&amp;B1574</f>
        <v>my man godfrey|1936</v>
      </c>
      <c r="N1574" s="4" t="n">
        <v>0</v>
      </c>
      <c r="O1574" s="4" t="n">
        <v>0</v>
      </c>
      <c r="P1574" s="4" t="n">
        <v>0</v>
      </c>
      <c r="Q1574" s="4" t="n">
        <v>1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 customFormat="false" ht="15" hidden="false" customHeight="false" outlineLevel="0" collapsed="false">
      <c r="A1575" s="4" t="s">
        <v>424</v>
      </c>
      <c r="B1575" s="4" t="n">
        <v>1988</v>
      </c>
      <c r="C1575" s="4" t="str">
        <f aca="false">FLOOR(B1575,10)&amp;"s"</f>
        <v>1980s</v>
      </c>
      <c r="D1575" s="4" t="s">
        <v>382</v>
      </c>
      <c r="E1575" s="25" t="str">
        <f aca="false">IF(G1575=1,"✓","")</f>
        <v/>
      </c>
      <c r="F1575" s="4" t="n">
        <v>3</v>
      </c>
      <c r="G1575" s="4" t="n">
        <f aca="false">IF(COUNTIF('Letterboxd Watched'!$E$2:$E$3000,M1575)&gt;0,1,0)</f>
        <v>0</v>
      </c>
      <c r="H1575" s="4" t="n">
        <v>8</v>
      </c>
      <c r="I1575" s="4" t="s">
        <v>144</v>
      </c>
      <c r="J1575" s="4" t="s">
        <v>53</v>
      </c>
      <c r="K1575" s="4" t="s">
        <v>5640</v>
      </c>
      <c r="L1575" s="48" t="str">
        <f aca="false">HYPERLINK("https://boxd.it/20eA","open")</f>
        <v>open</v>
      </c>
      <c r="M1575" s="4" t="str">
        <f aca="false">LOWER(A1575)&amp;"|"&amp;B1575</f>
        <v>my neighbor totoro|1988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1</v>
      </c>
      <c r="S1575" s="4" t="n">
        <v>0</v>
      </c>
      <c r="T1575" s="4" t="n">
        <v>0</v>
      </c>
      <c r="U1575" s="4" t="n">
        <v>1</v>
      </c>
      <c r="V1575" s="4" t="n">
        <v>1</v>
      </c>
      <c r="W1575" s="4" t="n">
        <v>0</v>
      </c>
    </row>
    <row r="1576" customFormat="false" ht="15" hidden="false" customHeight="false" outlineLevel="0" collapsed="false">
      <c r="A1576" s="4" t="s">
        <v>418</v>
      </c>
      <c r="B1576" s="4" t="n">
        <v>1969</v>
      </c>
      <c r="C1576" s="4" t="str">
        <f aca="false">FLOOR(B1576,10)&amp;"s"</f>
        <v>1960s</v>
      </c>
      <c r="D1576" s="4" t="s">
        <v>419</v>
      </c>
      <c r="E1576" s="25" t="str">
        <f aca="false">IF(G1576=1,"✓","")</f>
        <v/>
      </c>
      <c r="F1576" s="4" t="n">
        <v>3</v>
      </c>
      <c r="G1576" s="4" t="n">
        <f aca="false">IF(COUNTIF('Letterboxd Watched'!$E$2:$E$3000,M1576)&gt;0,1,0)</f>
        <v>0</v>
      </c>
      <c r="H1576" s="4" t="n">
        <v>8</v>
      </c>
      <c r="I1576" s="4" t="s">
        <v>144</v>
      </c>
      <c r="J1576" s="4" t="s">
        <v>51</v>
      </c>
      <c r="K1576" s="4" t="s">
        <v>5641</v>
      </c>
      <c r="L1576" s="48" t="str">
        <f aca="false">HYPERLINK("https://boxd.it/Hwo","open")</f>
        <v>open</v>
      </c>
      <c r="M1576" s="4" t="str">
        <f aca="false">LOWER(A1576)&amp;"|"&amp;B1576</f>
        <v>my night at maud's|1969</v>
      </c>
      <c r="N1576" s="4" t="n">
        <v>0</v>
      </c>
      <c r="O1576" s="4" t="n">
        <v>0</v>
      </c>
      <c r="P1576" s="4" t="n">
        <v>1</v>
      </c>
      <c r="Q1576" s="4" t="n">
        <v>1</v>
      </c>
      <c r="R1576" s="4" t="n">
        <v>1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 customFormat="false" ht="15" hidden="false" customHeight="false" outlineLevel="0" collapsed="false">
      <c r="A1577" s="4" t="s">
        <v>826</v>
      </c>
      <c r="B1577" s="4" t="n">
        <v>1991</v>
      </c>
      <c r="C1577" s="4" t="str">
        <f aca="false">FLOOR(B1577,10)&amp;"s"</f>
        <v>1990s</v>
      </c>
      <c r="D1577" s="4" t="s">
        <v>827</v>
      </c>
      <c r="E1577" s="25" t="str">
        <f aca="false">IF(G1577=1,"✓","")</f>
        <v>✓</v>
      </c>
      <c r="F1577" s="4" t="n">
        <v>2</v>
      </c>
      <c r="G1577" s="4" t="n">
        <f aca="false">IF(COUNTIF('Letterboxd Watched'!$E$2:$E$3000,M1577)&gt;0,1,0)</f>
        <v>1</v>
      </c>
      <c r="H1577" s="4" t="n">
        <v>5</v>
      </c>
      <c r="I1577" s="4" t="s">
        <v>144</v>
      </c>
      <c r="J1577" s="4" t="s">
        <v>54</v>
      </c>
      <c r="K1577" s="4" t="s">
        <v>5642</v>
      </c>
      <c r="L1577" s="48" t="str">
        <f aca="false">HYPERLINK("https://boxd.it/2ak4","open")</f>
        <v>open</v>
      </c>
      <c r="M1577" s="4" t="str">
        <f aca="false">LOWER(A1577)&amp;"|"&amp;B1577</f>
        <v>my own private idaho|1991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1</v>
      </c>
      <c r="T1577" s="4" t="n">
        <v>1</v>
      </c>
      <c r="U1577" s="4" t="n">
        <v>0</v>
      </c>
      <c r="V1577" s="4" t="n">
        <v>0</v>
      </c>
      <c r="W1577" s="4" t="n">
        <v>0</v>
      </c>
    </row>
    <row r="1578" customFormat="false" ht="15" hidden="false" customHeight="false" outlineLevel="0" collapsed="false">
      <c r="A1578" s="4" t="s">
        <v>823</v>
      </c>
      <c r="B1578" s="4" t="n">
        <v>1989</v>
      </c>
      <c r="C1578" s="4" t="str">
        <f aca="false">FLOOR(B1578,10)&amp;"s"</f>
        <v>1980s</v>
      </c>
      <c r="D1578" s="4" t="s">
        <v>615</v>
      </c>
      <c r="E1578" s="25" t="str">
        <f aca="false">IF(G1578=1,"✓","")</f>
        <v/>
      </c>
      <c r="F1578" s="4" t="n">
        <v>3</v>
      </c>
      <c r="G1578" s="4" t="n">
        <f aca="false">IF(COUNTIF('Letterboxd Watched'!$E$2:$E$3000,M1578)&gt;0,1,0)</f>
        <v>0</v>
      </c>
      <c r="H1578" s="4" t="n">
        <v>5</v>
      </c>
      <c r="I1578" s="4" t="s">
        <v>213</v>
      </c>
      <c r="J1578" s="4" t="s">
        <v>53</v>
      </c>
      <c r="K1578" s="4" t="s">
        <v>5643</v>
      </c>
      <c r="L1578" s="48" t="str">
        <f aca="false">HYPERLINK("https://boxd.it/1Ub6","open")</f>
        <v>open</v>
      </c>
      <c r="M1578" s="4" t="str">
        <f aca="false">LOWER(A1578)&amp;"|"&amp;B1578</f>
        <v>mystery train|1989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1</v>
      </c>
      <c r="S1578" s="4" t="n">
        <v>0</v>
      </c>
      <c r="T1578" s="4" t="n">
        <v>0</v>
      </c>
      <c r="U1578" s="4" t="n">
        <v>1</v>
      </c>
      <c r="V1578" s="4" t="n">
        <v>0</v>
      </c>
      <c r="W1578" s="4" t="n">
        <v>0</v>
      </c>
    </row>
    <row r="1579" customFormat="false" ht="15" hidden="false" customHeight="false" outlineLevel="0" collapsed="false">
      <c r="A1579" s="4" t="s">
        <v>1548</v>
      </c>
      <c r="B1579" s="4" t="n">
        <v>1993</v>
      </c>
      <c r="C1579" s="4" t="str">
        <f aca="false">FLOOR(B1579,10)&amp;"s"</f>
        <v>1990s</v>
      </c>
      <c r="D1579" s="4" t="s">
        <v>1549</v>
      </c>
      <c r="E1579" s="25" t="str">
        <f aca="false">IF(G1579=1,"✓","")</f>
        <v/>
      </c>
      <c r="F1579" s="4" t="n">
        <v>1</v>
      </c>
      <c r="G1579" s="4" t="n">
        <f aca="false">IF(COUNTIF('Letterboxd Watched'!$E$2:$E$3000,M1579)&gt;0,1,0)</f>
        <v>0</v>
      </c>
      <c r="H1579" s="4" t="n">
        <v>3</v>
      </c>
      <c r="I1579" s="4" t="s">
        <v>144</v>
      </c>
      <c r="J1579" s="4" t="s">
        <v>51</v>
      </c>
      <c r="K1579" s="4" t="s">
        <v>3982</v>
      </c>
      <c r="L1579" s="48" t="str">
        <f aca="false">HYPERLINK("https://boxd.it/1BT4","open")</f>
        <v>open</v>
      </c>
      <c r="M1579" s="4" t="str">
        <f aca="false">LOWER(A1579)&amp;"|"&amp;B1579</f>
        <v>naked|1993</v>
      </c>
      <c r="N1579" s="4" t="n">
        <v>0</v>
      </c>
      <c r="O1579" s="4" t="n">
        <v>0</v>
      </c>
      <c r="P1579" s="4" t="n">
        <v>1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 customFormat="false" ht="15" hidden="false" customHeight="false" outlineLevel="0" collapsed="false">
      <c r="A1580" s="4" t="s">
        <v>2467</v>
      </c>
      <c r="B1580" s="4" t="n">
        <v>1988</v>
      </c>
      <c r="C1580" s="4" t="str">
        <f aca="false">FLOOR(B1580,10)&amp;"s"</f>
        <v>1980s</v>
      </c>
      <c r="D1580" s="4" t="s">
        <v>2468</v>
      </c>
      <c r="E1580" s="25" t="str">
        <f aca="false">IF(G1580=1,"✓","")</f>
        <v>✓</v>
      </c>
      <c r="F1580" s="4" t="n">
        <v>1</v>
      </c>
      <c r="G1580" s="4" t="n">
        <f aca="false">IF(COUNTIF('Letterboxd Watched'!$E$2:$E$3000,M1580)&gt;0,1,0)</f>
        <v>1</v>
      </c>
      <c r="H1580" s="4" t="n">
        <v>2</v>
      </c>
      <c r="I1580" s="4" t="s">
        <v>213</v>
      </c>
      <c r="J1580" s="4" t="s">
        <v>52</v>
      </c>
      <c r="K1580" s="4" t="s">
        <v>4102</v>
      </c>
      <c r="L1580" s="48" t="str">
        <f aca="false">HYPERLINK("https://boxd.it/18YE","open")</f>
        <v>open</v>
      </c>
      <c r="M1580" s="4" t="str">
        <f aca="false">LOWER(A1580)&amp;"|"&amp;B1580</f>
        <v>the naked gun: from the files of police squad!|1988</v>
      </c>
      <c r="N1580" s="4" t="n">
        <v>0</v>
      </c>
      <c r="O1580" s="4" t="n">
        <v>0</v>
      </c>
      <c r="P1580" s="4" t="n">
        <v>0</v>
      </c>
      <c r="Q1580" s="4" t="n">
        <v>1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 customFormat="false" ht="15" hidden="false" customHeight="false" outlineLevel="0" collapsed="false">
      <c r="A1581" s="4" t="s">
        <v>2052</v>
      </c>
      <c r="B1581" s="4" t="n">
        <v>1964</v>
      </c>
      <c r="C1581" s="4" t="str">
        <f aca="false">FLOOR(B1581,10)&amp;"s"</f>
        <v>1960s</v>
      </c>
      <c r="D1581" s="4" t="s">
        <v>940</v>
      </c>
      <c r="E1581" s="25" t="str">
        <f aca="false">IF(G1581=1,"✓","")</f>
        <v/>
      </c>
      <c r="F1581" s="4" t="n">
        <v>1</v>
      </c>
      <c r="G1581" s="4" t="n">
        <f aca="false">IF(COUNTIF('Letterboxd Watched'!$E$2:$E$3000,M1581)&gt;0,1,0)</f>
        <v>0</v>
      </c>
      <c r="H1581" s="4" t="n">
        <v>2</v>
      </c>
      <c r="I1581" s="4" t="s">
        <v>213</v>
      </c>
      <c r="J1581" s="4" t="s">
        <v>53</v>
      </c>
      <c r="K1581" s="4" t="s">
        <v>4194</v>
      </c>
      <c r="L1581" s="48" t="str">
        <f aca="false">HYPERLINK("https://boxd.it/1uBW","open")</f>
        <v>open</v>
      </c>
      <c r="M1581" s="4" t="str">
        <f aca="false">LOWER(A1581)&amp;"|"&amp;B1581</f>
        <v>the naked kiss|1964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1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 customFormat="false" ht="15" hidden="false" customHeight="false" outlineLevel="0" collapsed="false">
      <c r="A1582" s="4" t="s">
        <v>2530</v>
      </c>
      <c r="B1582" s="4" t="n">
        <v>1991</v>
      </c>
      <c r="C1582" s="4" t="str">
        <f aca="false">FLOOR(B1582,10)&amp;"s"</f>
        <v>1990s</v>
      </c>
      <c r="D1582" s="4" t="s">
        <v>316</v>
      </c>
      <c r="E1582" s="25" t="str">
        <f aca="false">IF(G1582=1,"✓","")</f>
        <v/>
      </c>
      <c r="F1582" s="4" t="n">
        <v>1</v>
      </c>
      <c r="G1582" s="4" t="n">
        <f aca="false">IF(COUNTIF('Letterboxd Watched'!$E$2:$E$3000,M1582)&gt;0,1,0)</f>
        <v>0</v>
      </c>
      <c r="H1582" s="4" t="n">
        <v>2</v>
      </c>
      <c r="I1582" s="4" t="s">
        <v>213</v>
      </c>
      <c r="J1582" s="4" t="s">
        <v>53</v>
      </c>
      <c r="K1582" s="4" t="s">
        <v>316</v>
      </c>
      <c r="L1582" s="48" t="str">
        <f aca="false">HYPERLINK("https://boxd.it/26ow","open")</f>
        <v>open</v>
      </c>
      <c r="M1582" s="4" t="str">
        <f aca="false">LOWER(A1582)&amp;"|"&amp;B1582</f>
        <v>naked lunch|1991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1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</row>
    <row r="1583" customFormat="false" ht="15" hidden="false" customHeight="false" outlineLevel="0" collapsed="false">
      <c r="A1583" s="4" t="s">
        <v>3367</v>
      </c>
      <c r="B1583" s="4" t="n">
        <v>1953</v>
      </c>
      <c r="C1583" s="4" t="str">
        <f aca="false">FLOOR(B1583,10)&amp;"s"</f>
        <v>1950s</v>
      </c>
      <c r="D1583" s="4" t="s">
        <v>1843</v>
      </c>
      <c r="E1583" s="25" t="str">
        <f aca="false">IF(G1583=1,"✓","")</f>
        <v/>
      </c>
      <c r="F1583" s="4" t="n">
        <v>1</v>
      </c>
      <c r="G1583" s="4" t="n">
        <f aca="false">IF(COUNTIF('Letterboxd Watched'!$E$2:$E$3000,M1583)&gt;0,1,0)</f>
        <v>0</v>
      </c>
      <c r="H1583" s="4" t="n">
        <v>1</v>
      </c>
      <c r="I1583" s="4" t="s">
        <v>1327</v>
      </c>
      <c r="J1583" s="4" t="s">
        <v>52</v>
      </c>
      <c r="K1583" s="4" t="s">
        <v>4048</v>
      </c>
      <c r="L1583" s="48" t="str">
        <f aca="false">HYPERLINK("https://boxd.it/1Dts","open")</f>
        <v>open</v>
      </c>
      <c r="M1583" s="4" t="str">
        <f aca="false">LOWER(A1583)&amp;"|"&amp;B1583</f>
        <v>the naked spur|1953</v>
      </c>
      <c r="N1583" s="4" t="n">
        <v>0</v>
      </c>
      <c r="O1583" s="4" t="n">
        <v>0</v>
      </c>
      <c r="P1583" s="4" t="n">
        <v>0</v>
      </c>
      <c r="Q1583" s="4" t="n">
        <v>1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</row>
    <row r="1584" customFormat="false" ht="15" hidden="false" customHeight="false" outlineLevel="0" collapsed="false">
      <c r="A1584" s="4" t="s">
        <v>2862</v>
      </c>
      <c r="B1584" s="4" t="n">
        <v>2006</v>
      </c>
      <c r="C1584" s="4" t="str">
        <f aca="false">FLOOR(B1584,10)&amp;"s"</f>
        <v>2000s</v>
      </c>
      <c r="D1584" s="4" t="s">
        <v>2534</v>
      </c>
      <c r="E1584" s="25" t="str">
        <f aca="false">IF(G1584=1,"✓","")</f>
        <v/>
      </c>
      <c r="F1584" s="4" t="n">
        <v>1</v>
      </c>
      <c r="G1584" s="4" t="n">
        <f aca="false">IF(COUNTIF('Letterboxd Watched'!$E$2:$E$3000,M1584)&gt;0,1,0)</f>
        <v>0</v>
      </c>
      <c r="H1584" s="4" t="n">
        <v>2</v>
      </c>
      <c r="I1584" s="4" t="s">
        <v>213</v>
      </c>
      <c r="J1584" s="4" t="s">
        <v>54</v>
      </c>
      <c r="K1584" s="4" t="s">
        <v>4292</v>
      </c>
      <c r="L1584" s="48" t="str">
        <f aca="false">HYPERLINK("https://letterboxd.com/search/films/The+Namesake+2006/","open")</f>
        <v>open</v>
      </c>
      <c r="M1584" s="4" t="str">
        <f aca="false">LOWER(A1584)&amp;"|"&amp;B1584</f>
        <v>the namesake|2006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1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 customFormat="false" ht="15" hidden="false" customHeight="false" outlineLevel="0" collapsed="false">
      <c r="A1585" s="4" t="s">
        <v>723</v>
      </c>
      <c r="B1585" s="4" t="n">
        <v>1922</v>
      </c>
      <c r="C1585" s="4" t="str">
        <f aca="false">FLOOR(B1585,10)&amp;"s"</f>
        <v>1920s</v>
      </c>
      <c r="D1585" s="4" t="s">
        <v>724</v>
      </c>
      <c r="E1585" s="25" t="str">
        <f aca="false">IF(G1585=1,"✓","")</f>
        <v/>
      </c>
      <c r="F1585" s="4" t="n">
        <v>2</v>
      </c>
      <c r="G1585" s="4" t="n">
        <f aca="false">IF(COUNTIF('Letterboxd Watched'!$E$2:$E$3000,M1585)&gt;0,1,0)</f>
        <v>0</v>
      </c>
      <c r="H1585" s="4" t="n">
        <v>5</v>
      </c>
      <c r="I1585" s="4" t="s">
        <v>144</v>
      </c>
      <c r="J1585" s="4" t="s">
        <v>52</v>
      </c>
      <c r="K1585" s="4" t="s">
        <v>5644</v>
      </c>
      <c r="L1585" s="48" t="str">
        <f aca="false">HYPERLINK("https://boxd.it/29Rc","open")</f>
        <v>open</v>
      </c>
      <c r="M1585" s="4" t="str">
        <f aca="false">LOWER(A1585)&amp;"|"&amp;B1585</f>
        <v>nanook of the north|1922</v>
      </c>
      <c r="N1585" s="4" t="n">
        <v>0</v>
      </c>
      <c r="O1585" s="4" t="n">
        <v>0</v>
      </c>
      <c r="P1585" s="4" t="n">
        <v>0</v>
      </c>
      <c r="Q1585" s="4" t="n">
        <v>1</v>
      </c>
      <c r="R1585" s="4" t="n">
        <v>0</v>
      </c>
      <c r="S1585" s="4" t="n">
        <v>1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 customFormat="false" ht="15" hidden="false" customHeight="false" outlineLevel="0" collapsed="false">
      <c r="A1586" s="4" t="s">
        <v>1690</v>
      </c>
      <c r="B1586" s="4" t="n">
        <v>1927</v>
      </c>
      <c r="C1586" s="4" t="str">
        <f aca="false">FLOOR(B1586,10)&amp;"s"</f>
        <v>1920s</v>
      </c>
      <c r="D1586" s="4" t="s">
        <v>1682</v>
      </c>
      <c r="E1586" s="25" t="str">
        <f aca="false">IF(G1586=1,"✓","")</f>
        <v/>
      </c>
      <c r="F1586" s="4" t="n">
        <v>1</v>
      </c>
      <c r="G1586" s="4" t="n">
        <f aca="false">IF(COUNTIF('Letterboxd Watched'!$E$2:$E$3000,M1586)&gt;0,1,0)</f>
        <v>0</v>
      </c>
      <c r="H1586" s="4" t="n">
        <v>2</v>
      </c>
      <c r="I1586" s="4" t="s">
        <v>213</v>
      </c>
      <c r="J1586" s="4" t="s">
        <v>50</v>
      </c>
      <c r="K1586" s="4" t="s">
        <v>3902</v>
      </c>
      <c r="L1586" s="48" t="str">
        <f aca="false">HYPERLINK("https://boxd.it/WEC","open")</f>
        <v>open</v>
      </c>
      <c r="M1586" s="4" t="str">
        <f aca="false">LOWER(A1586)&amp;"|"&amp;B1586</f>
        <v>napoleon|1927</v>
      </c>
      <c r="N1586" s="4" t="n">
        <v>0</v>
      </c>
      <c r="O1586" s="4" t="n">
        <v>1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 customFormat="false" ht="15" hidden="false" customHeight="false" outlineLevel="0" collapsed="false">
      <c r="A1587" s="4" t="s">
        <v>2819</v>
      </c>
      <c r="B1587" s="4" t="n">
        <v>2004</v>
      </c>
      <c r="C1587" s="4" t="str">
        <f aca="false">FLOOR(B1587,10)&amp;"s"</f>
        <v>2000s</v>
      </c>
      <c r="D1587" s="4" t="s">
        <v>2820</v>
      </c>
      <c r="E1587" s="25" t="str">
        <f aca="false">IF(G1587=1,"✓","")</f>
        <v>✓</v>
      </c>
      <c r="F1587" s="4" t="n">
        <v>1</v>
      </c>
      <c r="G1587" s="4" t="n">
        <f aca="false">IF(COUNTIF('Letterboxd Watched'!$E$2:$E$3000,M1587)&gt;0,1,0)</f>
        <v>1</v>
      </c>
      <c r="H1587" s="4" t="n">
        <v>2</v>
      </c>
      <c r="I1587" s="4" t="s">
        <v>213</v>
      </c>
      <c r="J1587" s="4" t="s">
        <v>52</v>
      </c>
      <c r="K1587" s="4" t="s">
        <v>4106</v>
      </c>
      <c r="L1587" s="48" t="str">
        <f aca="false">HYPERLINK("https://boxd.it/20wu","open")</f>
        <v>open</v>
      </c>
      <c r="M1587" s="4" t="str">
        <f aca="false">LOWER(A1587)&amp;"|"&amp;B1587</f>
        <v>napoleon dynamite|2004</v>
      </c>
      <c r="N1587" s="4" t="n">
        <v>0</v>
      </c>
      <c r="O1587" s="4" t="n">
        <v>0</v>
      </c>
      <c r="P1587" s="4" t="n">
        <v>0</v>
      </c>
      <c r="Q1587" s="4" t="n">
        <v>1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 customFormat="false" ht="15" hidden="false" customHeight="false" outlineLevel="0" collapsed="false">
      <c r="A1588" s="4" t="s">
        <v>196</v>
      </c>
      <c r="B1588" s="4" t="n">
        <v>1975</v>
      </c>
      <c r="C1588" s="4" t="str">
        <f aca="false">FLOOR(B1588,10)&amp;"s"</f>
        <v>1970s</v>
      </c>
      <c r="D1588" s="4" t="s">
        <v>197</v>
      </c>
      <c r="E1588" s="25" t="str">
        <f aca="false">IF(G1588=1,"✓","")</f>
        <v>✓</v>
      </c>
      <c r="F1588" s="4" t="n">
        <v>6</v>
      </c>
      <c r="G1588" s="4" t="n">
        <f aca="false">IF(COUNTIF('Letterboxd Watched'!$E$2:$E$3000,M1588)&gt;0,1,0)</f>
        <v>1</v>
      </c>
      <c r="H1588" s="4" t="n">
        <v>15</v>
      </c>
      <c r="I1588" s="4" t="s">
        <v>144</v>
      </c>
      <c r="J1588" s="4" t="s">
        <v>50</v>
      </c>
      <c r="K1588" s="4" t="s">
        <v>5645</v>
      </c>
      <c r="L1588" s="48" t="str">
        <f aca="false">HYPERLINK("https://boxd.it/25GE","open")</f>
        <v>open</v>
      </c>
      <c r="M1588" s="4" t="str">
        <f aca="false">LOWER(A1588)&amp;"|"&amp;B1588</f>
        <v>nashville|1975</v>
      </c>
      <c r="N1588" s="4" t="n">
        <v>0</v>
      </c>
      <c r="O1588" s="4" t="n">
        <v>1</v>
      </c>
      <c r="P1588" s="4" t="n">
        <v>0</v>
      </c>
      <c r="Q1588" s="4" t="n">
        <v>0</v>
      </c>
      <c r="R1588" s="4" t="n">
        <v>1</v>
      </c>
      <c r="S1588" s="4" t="n">
        <v>1</v>
      </c>
      <c r="T1588" s="4" t="n">
        <v>1</v>
      </c>
      <c r="U1588" s="4" t="n">
        <v>0</v>
      </c>
      <c r="V1588" s="4" t="n">
        <v>1</v>
      </c>
      <c r="W1588" s="4" t="n">
        <v>1</v>
      </c>
    </row>
    <row r="1589" customFormat="false" ht="15" hidden="false" customHeight="false" outlineLevel="0" collapsed="false">
      <c r="A1589" s="4" t="s">
        <v>2406</v>
      </c>
      <c r="B1589" s="4" t="n">
        <v>1984</v>
      </c>
      <c r="C1589" s="4" t="str">
        <f aca="false">FLOOR(B1589,10)&amp;"s"</f>
        <v>1980s</v>
      </c>
      <c r="D1589" s="4" t="s">
        <v>382</v>
      </c>
      <c r="E1589" s="25" t="str">
        <f aca="false">IF(G1589=1,"✓","")</f>
        <v/>
      </c>
      <c r="F1589" s="4" t="n">
        <v>1</v>
      </c>
      <c r="G1589" s="4" t="n">
        <f aca="false">IF(COUNTIF('Letterboxd Watched'!$E$2:$E$3000,M1589)&gt;0,1,0)</f>
        <v>0</v>
      </c>
      <c r="H1589" s="4" t="n">
        <v>2</v>
      </c>
      <c r="I1589" s="4" t="s">
        <v>213</v>
      </c>
      <c r="J1589" s="4" t="s">
        <v>53</v>
      </c>
      <c r="K1589" s="4" t="s">
        <v>4248</v>
      </c>
      <c r="L1589" s="48" t="str">
        <f aca="false">HYPERLINK("https://boxd.it/2bc6","open")</f>
        <v>open</v>
      </c>
      <c r="M1589" s="4" t="str">
        <f aca="false">LOWER(A1589)&amp;"|"&amp;B1589</f>
        <v>nausicaä of the valley of the wind|1984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1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 customFormat="false" ht="15" hidden="false" customHeight="false" outlineLevel="0" collapsed="false">
      <c r="A1590" s="4" t="s">
        <v>3443</v>
      </c>
      <c r="B1590" s="4" t="n">
        <v>1966</v>
      </c>
      <c r="C1590" s="4" t="str">
        <f aca="false">FLOOR(B1590,10)&amp;"s"</f>
        <v>1960s</v>
      </c>
      <c r="D1590" s="4" t="s">
        <v>253</v>
      </c>
      <c r="E1590" s="25" t="str">
        <f aca="false">IF(G1590=1,"✓","")</f>
        <v/>
      </c>
      <c r="F1590" s="4" t="n">
        <v>1</v>
      </c>
      <c r="G1590" s="4" t="n">
        <f aca="false">IF(COUNTIF('Letterboxd Watched'!$E$2:$E$3000,M1590)&gt;0,1,0)</f>
        <v>0</v>
      </c>
      <c r="H1590" s="4" t="n">
        <v>1</v>
      </c>
      <c r="I1590" s="4" t="s">
        <v>1327</v>
      </c>
      <c r="J1590" s="4" t="s">
        <v>53</v>
      </c>
      <c r="K1590" s="4" t="s">
        <v>253</v>
      </c>
      <c r="L1590" s="48" t="str">
        <f aca="false">HYPERLINK("https://letterboxd.com/search/films/Nayak+The+Hero+1966/","open")</f>
        <v>open</v>
      </c>
      <c r="M1590" s="4" t="str">
        <f aca="false">LOWER(A1590)&amp;"|"&amp;B1590</f>
        <v>nayak: the hero|1966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1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 customFormat="false" ht="15" hidden="false" customHeight="false" outlineLevel="0" collapsed="false">
      <c r="A1591" s="4" t="s">
        <v>1323</v>
      </c>
      <c r="B1591" s="4" t="n">
        <v>1959</v>
      </c>
      <c r="C1591" s="4" t="str">
        <f aca="false">FLOOR(B1591,10)&amp;"s"</f>
        <v>1950s</v>
      </c>
      <c r="D1591" s="4" t="s">
        <v>402</v>
      </c>
      <c r="E1591" s="25" t="str">
        <f aca="false">IF(G1591=1,"✓","")</f>
        <v/>
      </c>
      <c r="F1591" s="4" t="n">
        <v>2</v>
      </c>
      <c r="G1591" s="4" t="n">
        <f aca="false">IF(COUNTIF('Letterboxd Watched'!$E$2:$E$3000,M1591)&gt;0,1,0)</f>
        <v>0</v>
      </c>
      <c r="H1591" s="4" t="n">
        <v>3</v>
      </c>
      <c r="I1591" s="4" t="s">
        <v>213</v>
      </c>
      <c r="J1591" s="4" t="s">
        <v>55</v>
      </c>
      <c r="K1591" s="4" t="s">
        <v>5646</v>
      </c>
      <c r="L1591" s="48" t="str">
        <f aca="false">HYPERLINK("https://letterboxd.com/search/films/Nazarín+1959/","open")</f>
        <v>open</v>
      </c>
      <c r="M1591" s="4" t="str">
        <f aca="false">LOWER(A1591)&amp;"|"&amp;B1591</f>
        <v>nazarín|1959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1</v>
      </c>
      <c r="U1591" s="4" t="n">
        <v>0</v>
      </c>
      <c r="V1591" s="4" t="n">
        <v>1</v>
      </c>
      <c r="W1591" s="4" t="n">
        <v>0</v>
      </c>
    </row>
    <row r="1592" customFormat="false" ht="15" hidden="false" customHeight="false" outlineLevel="0" collapsed="false">
      <c r="A1592" s="4" t="s">
        <v>690</v>
      </c>
      <c r="B1592" s="4" t="n">
        <v>2013</v>
      </c>
      <c r="C1592" s="4" t="str">
        <f aca="false">FLOOR(B1592,10)&amp;"s"</f>
        <v>2010s</v>
      </c>
      <c r="D1592" s="4" t="s">
        <v>429</v>
      </c>
      <c r="E1592" s="25" t="str">
        <f aca="false">IF(G1592=1,"✓","")</f>
        <v>✓</v>
      </c>
      <c r="F1592" s="4" t="n">
        <v>3</v>
      </c>
      <c r="G1592" s="4" t="n">
        <f aca="false">IF(COUNTIF('Letterboxd Watched'!$E$2:$E$3000,M1592)&gt;0,1,0)</f>
        <v>1</v>
      </c>
      <c r="H1592" s="4" t="n">
        <v>6</v>
      </c>
      <c r="I1592" s="4" t="s">
        <v>213</v>
      </c>
      <c r="J1592" s="4" t="s">
        <v>55</v>
      </c>
      <c r="K1592" s="4" t="s">
        <v>5647</v>
      </c>
      <c r="L1592" s="48" t="str">
        <f aca="false">HYPERLINK("https://boxd.it/4exq","open")</f>
        <v>open</v>
      </c>
      <c r="M1592" s="4" t="str">
        <f aca="false">LOWER(A1592)&amp;"|"&amp;B1592</f>
        <v>nebraska|2013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0</v>
      </c>
      <c r="T1592" s="4" t="n">
        <v>1</v>
      </c>
      <c r="U1592" s="4" t="n">
        <v>0</v>
      </c>
      <c r="V1592" s="4" t="n">
        <v>0</v>
      </c>
      <c r="W1592" s="4" t="n">
        <v>1</v>
      </c>
    </row>
    <row r="1593" customFormat="false" ht="15" hidden="false" customHeight="false" outlineLevel="0" collapsed="false">
      <c r="A1593" s="4" t="s">
        <v>2643</v>
      </c>
      <c r="B1593" s="4" t="n">
        <v>1996</v>
      </c>
      <c r="C1593" s="4" t="str">
        <f aca="false">FLOOR(B1593,10)&amp;"s"</f>
        <v>1990s</v>
      </c>
      <c r="D1593" s="4" t="s">
        <v>262</v>
      </c>
      <c r="E1593" s="25" t="str">
        <f aca="false">IF(G1593=1,"✓","")</f>
        <v/>
      </c>
      <c r="F1593" s="4" t="n">
        <v>1</v>
      </c>
      <c r="G1593" s="4" t="n">
        <f aca="false">IF(COUNTIF('Letterboxd Watched'!$E$2:$E$3000,M1593)&gt;0,1,0)</f>
        <v>0</v>
      </c>
      <c r="H1593" s="4" t="n">
        <v>2</v>
      </c>
      <c r="I1593" s="4" t="s">
        <v>213</v>
      </c>
      <c r="J1593" s="4" t="s">
        <v>53</v>
      </c>
      <c r="K1593" s="4" t="s">
        <v>262</v>
      </c>
      <c r="L1593" s="48" t="str">
        <f aca="false">HYPERLINK("https://boxd.it/3oOu","open")</f>
        <v>open</v>
      </c>
      <c r="M1593" s="4" t="str">
        <f aca="false">LOWER(A1593)&amp;"|"&amp;B1593</f>
        <v>nenette and boni|1996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1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 customFormat="false" ht="15" hidden="false" customHeight="false" outlineLevel="0" collapsed="false">
      <c r="A1594" s="4" t="s">
        <v>188</v>
      </c>
      <c r="B1594" s="4" t="n">
        <v>1976</v>
      </c>
      <c r="C1594" s="4" t="str">
        <f aca="false">FLOOR(B1594,10)&amp;"s"</f>
        <v>1970s</v>
      </c>
      <c r="D1594" s="4" t="s">
        <v>189</v>
      </c>
      <c r="E1594" s="25" t="str">
        <f aca="false">IF(G1594=1,"✓","")</f>
        <v>✓</v>
      </c>
      <c r="F1594" s="4" t="n">
        <v>7</v>
      </c>
      <c r="G1594" s="4" t="n">
        <f aca="false">IF(COUNTIF('Letterboxd Watched'!$E$2:$E$3000,M1594)&gt;0,1,0)</f>
        <v>1</v>
      </c>
      <c r="H1594" s="4" t="n">
        <v>16</v>
      </c>
      <c r="I1594" s="4" t="s">
        <v>144</v>
      </c>
      <c r="J1594" s="4" t="s">
        <v>50</v>
      </c>
      <c r="K1594" s="4" t="s">
        <v>5648</v>
      </c>
      <c r="L1594" s="48" t="str">
        <f aca="false">HYPERLINK("https://boxd.it/1VqG","open")</f>
        <v>open</v>
      </c>
      <c r="M1594" s="4" t="str">
        <f aca="false">LOWER(A1594)&amp;"|"&amp;B1594</f>
        <v>network|1976</v>
      </c>
      <c r="N1594" s="4" t="n">
        <v>0</v>
      </c>
      <c r="O1594" s="4" t="n">
        <v>1</v>
      </c>
      <c r="P1594" s="4" t="n">
        <v>0</v>
      </c>
      <c r="Q1594" s="4" t="n">
        <v>1</v>
      </c>
      <c r="R1594" s="4" t="n">
        <v>1</v>
      </c>
      <c r="S1594" s="4" t="n">
        <v>0</v>
      </c>
      <c r="T1594" s="4" t="n">
        <v>1</v>
      </c>
      <c r="U1594" s="4" t="n">
        <v>0</v>
      </c>
      <c r="V1594" s="4" t="n">
        <v>1</v>
      </c>
      <c r="W1594" s="4" t="n">
        <v>1</v>
      </c>
    </row>
    <row r="1595" customFormat="false" ht="15" hidden="false" customHeight="false" outlineLevel="0" collapsed="false">
      <c r="A1595" s="4" t="s">
        <v>3501</v>
      </c>
      <c r="B1595" s="4" t="n">
        <v>1972</v>
      </c>
      <c r="C1595" s="4" t="str">
        <f aca="false">FLOOR(B1595,10)&amp;"s"</f>
        <v>1970s</v>
      </c>
      <c r="D1595" s="4" t="s">
        <v>2223</v>
      </c>
      <c r="E1595" s="25" t="str">
        <f aca="false">IF(G1595=1,"✓","")</f>
        <v/>
      </c>
      <c r="F1595" s="4" t="n">
        <v>1</v>
      </c>
      <c r="G1595" s="4" t="n">
        <f aca="false">IF(COUNTIF('Letterboxd Watched'!$E$2:$E$3000,M1595)&gt;0,1,0)</f>
        <v>0</v>
      </c>
      <c r="H1595" s="4" t="n">
        <v>1</v>
      </c>
      <c r="I1595" s="4" t="s">
        <v>1327</v>
      </c>
      <c r="J1595" s="4" t="s">
        <v>52</v>
      </c>
      <c r="K1595" s="4" t="s">
        <v>4120</v>
      </c>
      <c r="L1595" s="48" t="str">
        <f aca="false">HYPERLINK("https://boxd.it/17WC","open")</f>
        <v>open</v>
      </c>
      <c r="M1595" s="4" t="str">
        <f aca="false">LOWER(A1595)&amp;"|"&amp;B1595</f>
        <v>the new centurions|1972</v>
      </c>
      <c r="N1595" s="4" t="n">
        <v>0</v>
      </c>
      <c r="O1595" s="4" t="n">
        <v>0</v>
      </c>
      <c r="P1595" s="4" t="n">
        <v>0</v>
      </c>
      <c r="Q1595" s="4" t="n">
        <v>1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</row>
    <row r="1596" customFormat="false" ht="15" hidden="false" customHeight="false" outlineLevel="0" collapsed="false">
      <c r="A1596" s="4" t="s">
        <v>2537</v>
      </c>
      <c r="B1596" s="4" t="n">
        <v>1991</v>
      </c>
      <c r="C1596" s="4" t="str">
        <f aca="false">FLOOR(B1596,10)&amp;"s"</f>
        <v>1990s</v>
      </c>
      <c r="D1596" s="4" t="s">
        <v>2538</v>
      </c>
      <c r="E1596" s="25" t="str">
        <f aca="false">IF(G1596=1,"✓","")</f>
        <v/>
      </c>
      <c r="F1596" s="4" t="n">
        <v>1</v>
      </c>
      <c r="G1596" s="4" t="n">
        <f aca="false">IF(COUNTIF('Letterboxd Watched'!$E$2:$E$3000,M1596)&gt;0,1,0)</f>
        <v>0</v>
      </c>
      <c r="H1596" s="4" t="n">
        <v>2</v>
      </c>
      <c r="I1596" s="4" t="s">
        <v>213</v>
      </c>
      <c r="J1596" s="4" t="s">
        <v>56</v>
      </c>
      <c r="K1596" s="4" t="s">
        <v>4394</v>
      </c>
      <c r="L1596" s="48" t="str">
        <f aca="false">HYPERLINK("https://boxd.it/1UZK","open")</f>
        <v>open</v>
      </c>
      <c r="M1596" s="4" t="str">
        <f aca="false">LOWER(A1596)&amp;"|"&amp;B1596</f>
        <v>new jack city|1991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1</v>
      </c>
      <c r="V1596" s="4" t="n">
        <v>0</v>
      </c>
      <c r="W1596" s="4" t="n">
        <v>0</v>
      </c>
    </row>
    <row r="1597" customFormat="false" ht="15" hidden="false" customHeight="false" outlineLevel="0" collapsed="false">
      <c r="A1597" s="4" t="s">
        <v>2186</v>
      </c>
      <c r="B1597" s="4" t="n">
        <v>1971</v>
      </c>
      <c r="C1597" s="4" t="str">
        <f aca="false">FLOOR(B1597,10)&amp;"s"</f>
        <v>1970s</v>
      </c>
      <c r="D1597" s="4" t="s">
        <v>707</v>
      </c>
      <c r="E1597" s="25" t="str">
        <f aca="false">IF(G1597=1,"✓","")</f>
        <v/>
      </c>
      <c r="F1597" s="4" t="n">
        <v>1</v>
      </c>
      <c r="G1597" s="4" t="n">
        <f aca="false">IF(COUNTIF('Letterboxd Watched'!$E$2:$E$3000,M1597)&gt;0,1,0)</f>
        <v>0</v>
      </c>
      <c r="H1597" s="4" t="n">
        <v>2</v>
      </c>
      <c r="I1597" s="4" t="s">
        <v>213</v>
      </c>
      <c r="J1597" s="4" t="s">
        <v>53</v>
      </c>
      <c r="K1597" s="4" t="s">
        <v>4267</v>
      </c>
      <c r="L1597" s="48" t="str">
        <f aca="false">HYPERLINK("https://boxd.it/19FS","open")</f>
        <v>open</v>
      </c>
      <c r="M1597" s="4" t="str">
        <f aca="false">LOWER(A1597)&amp;"|"&amp;B1597</f>
        <v>a new leaf|1971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1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 customFormat="false" ht="15" hidden="false" customHeight="false" outlineLevel="0" collapsed="false">
      <c r="A1598" s="4" t="s">
        <v>2839</v>
      </c>
      <c r="B1598" s="4" t="n">
        <v>2005</v>
      </c>
      <c r="C1598" s="4" t="str">
        <f aca="false">FLOOR(B1598,10)&amp;"s"</f>
        <v>2000s</v>
      </c>
      <c r="D1598" s="4" t="s">
        <v>361</v>
      </c>
      <c r="E1598" s="25" t="str">
        <f aca="false">IF(G1598=1,"✓","")</f>
        <v/>
      </c>
      <c r="F1598" s="4" t="n">
        <v>1</v>
      </c>
      <c r="G1598" s="4" t="n">
        <f aca="false">IF(COUNTIF('Letterboxd Watched'!$E$2:$E$3000,M1598)&gt;0,1,0)</f>
        <v>0</v>
      </c>
      <c r="H1598" s="4" t="n">
        <v>2</v>
      </c>
      <c r="I1598" s="4" t="s">
        <v>213</v>
      </c>
      <c r="J1598" s="4" t="s">
        <v>53</v>
      </c>
      <c r="K1598" s="4" t="s">
        <v>361</v>
      </c>
      <c r="L1598" s="48" t="str">
        <f aca="false">HYPERLINK("https://boxd.it/1TVW","open")</f>
        <v>open</v>
      </c>
      <c r="M1598" s="4" t="str">
        <f aca="false">LOWER(A1598)&amp;"|"&amp;B1598</f>
        <v>the new world|2005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1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 customFormat="false" ht="15" hidden="false" customHeight="false" outlineLevel="0" collapsed="false">
      <c r="A1599" s="4" t="s">
        <v>1031</v>
      </c>
      <c r="B1599" s="4" t="n">
        <v>1976</v>
      </c>
      <c r="C1599" s="4" t="str">
        <f aca="false">FLOOR(B1599,10)&amp;"s"</f>
        <v>1970s</v>
      </c>
      <c r="D1599" s="4" t="s">
        <v>185</v>
      </c>
      <c r="E1599" s="25" t="str">
        <f aca="false">IF(G1599=1,"✓","")</f>
        <v/>
      </c>
      <c r="F1599" s="4" t="n">
        <v>2</v>
      </c>
      <c r="G1599" s="4" t="n">
        <f aca="false">IF(COUNTIF('Letterboxd Watched'!$E$2:$E$3000,M1599)&gt;0,1,0)</f>
        <v>0</v>
      </c>
      <c r="H1599" s="4" t="n">
        <v>4</v>
      </c>
      <c r="I1599" s="4" t="s">
        <v>144</v>
      </c>
      <c r="J1599" s="4" t="s">
        <v>52</v>
      </c>
      <c r="K1599" s="4" t="s">
        <v>5649</v>
      </c>
      <c r="L1599" s="48" t="str">
        <f aca="false">HYPERLINK("https://boxd.it/34TO","open")</f>
        <v>open</v>
      </c>
      <c r="M1599" s="4" t="str">
        <f aca="false">LOWER(A1599)&amp;"|"&amp;B1599</f>
        <v>news from home|1976</v>
      </c>
      <c r="N1599" s="4" t="n">
        <v>0</v>
      </c>
      <c r="O1599" s="4" t="n">
        <v>0</v>
      </c>
      <c r="P1599" s="4" t="n">
        <v>0</v>
      </c>
      <c r="Q1599" s="4" t="n">
        <v>1</v>
      </c>
      <c r="R1599" s="4" t="n">
        <v>1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 customFormat="false" ht="15" hidden="false" customHeight="false" outlineLevel="0" collapsed="false">
      <c r="A1600" s="4" t="s">
        <v>2622</v>
      </c>
      <c r="B1600" s="4" t="n">
        <v>1995</v>
      </c>
      <c r="C1600" s="4" t="str">
        <f aca="false">FLOOR(B1600,10)&amp;"s"</f>
        <v>1990s</v>
      </c>
      <c r="D1600" s="4" t="s">
        <v>2394</v>
      </c>
      <c r="E1600" s="25" t="str">
        <f aca="false">IF(G1600=1,"✓","")</f>
        <v/>
      </c>
      <c r="F1600" s="4" t="n">
        <v>1</v>
      </c>
      <c r="G1600" s="4" t="n">
        <f aca="false">IF(COUNTIF('Letterboxd Watched'!$E$2:$E$3000,M1600)&gt;0,1,0)</f>
        <v>0</v>
      </c>
      <c r="H1600" s="4" t="n">
        <v>2</v>
      </c>
      <c r="I1600" s="4" t="s">
        <v>213</v>
      </c>
      <c r="J1600" s="4" t="s">
        <v>56</v>
      </c>
      <c r="K1600" s="4" t="s">
        <v>4376</v>
      </c>
      <c r="L1600" s="48" t="str">
        <f aca="false">HYPERLINK("https://boxd.it/27ts","open")</f>
        <v>open</v>
      </c>
      <c r="M1600" s="4" t="str">
        <f aca="false">LOWER(A1600)&amp;"|"&amp;B1600</f>
        <v>nick of time|1995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1</v>
      </c>
      <c r="V1600" s="4" t="n">
        <v>0</v>
      </c>
      <c r="W1600" s="4" t="n">
        <v>0</v>
      </c>
    </row>
    <row r="1601" customFormat="false" ht="15" hidden="false" customHeight="false" outlineLevel="0" collapsed="false">
      <c r="A1601" s="4" t="s">
        <v>659</v>
      </c>
      <c r="B1601" s="4" t="n">
        <v>1956</v>
      </c>
      <c r="C1601" s="4" t="str">
        <f aca="false">FLOOR(B1601,10)&amp;"s"</f>
        <v>1950s</v>
      </c>
      <c r="D1601" s="4" t="s">
        <v>272</v>
      </c>
      <c r="E1601" s="25" t="str">
        <f aca="false">IF(G1601=1,"✓","")</f>
        <v/>
      </c>
      <c r="F1601" s="4" t="n">
        <v>3</v>
      </c>
      <c r="G1601" s="4" t="n">
        <f aca="false">IF(COUNTIF('Letterboxd Watched'!$E$2:$E$3000,M1601)&gt;0,1,0)</f>
        <v>0</v>
      </c>
      <c r="H1601" s="4" t="n">
        <v>6</v>
      </c>
      <c r="I1601" s="4" t="s">
        <v>213</v>
      </c>
      <c r="J1601" s="4" t="s">
        <v>51</v>
      </c>
      <c r="K1601" s="4" t="s">
        <v>5650</v>
      </c>
      <c r="L1601" s="48" t="str">
        <f aca="false">HYPERLINK("https://boxd.it/29A6","open")</f>
        <v>open</v>
      </c>
      <c r="M1601" s="4" t="str">
        <f aca="false">LOWER(A1601)&amp;"|"&amp;B1601</f>
        <v>night and fog|1956</v>
      </c>
      <c r="N1601" s="4" t="n">
        <v>0</v>
      </c>
      <c r="O1601" s="4" t="n">
        <v>0</v>
      </c>
      <c r="P1601" s="4" t="n">
        <v>1</v>
      </c>
      <c r="Q1601" s="4" t="n">
        <v>1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 customFormat="false" ht="15" hidden="false" customHeight="false" outlineLevel="0" collapsed="false">
      <c r="A1602" s="4" t="s">
        <v>1877</v>
      </c>
      <c r="B1602" s="4" t="n">
        <v>1950</v>
      </c>
      <c r="C1602" s="4" t="str">
        <f aca="false">FLOOR(B1602,10)&amp;"s"</f>
        <v>1950s</v>
      </c>
      <c r="D1602" s="4" t="s">
        <v>658</v>
      </c>
      <c r="E1602" s="25" t="str">
        <f aca="false">IF(G1602=1,"✓","")</f>
        <v/>
      </c>
      <c r="F1602" s="4" t="n">
        <v>1</v>
      </c>
      <c r="G1602" s="4" t="n">
        <f aca="false">IF(COUNTIF('Letterboxd Watched'!$E$2:$E$3000,M1602)&gt;0,1,0)</f>
        <v>0</v>
      </c>
      <c r="H1602" s="4" t="n">
        <v>2</v>
      </c>
      <c r="I1602" s="4" t="s">
        <v>213</v>
      </c>
      <c r="J1602" s="4" t="s">
        <v>52</v>
      </c>
      <c r="K1602" s="4" t="s">
        <v>4042</v>
      </c>
      <c r="L1602" s="48" t="str">
        <f aca="false">HYPERLINK("https://letterboxd.com/search/films/Night+and+the+City+1950/","open")</f>
        <v>open</v>
      </c>
      <c r="M1602" s="4" t="str">
        <f aca="false">LOWER(A1602)&amp;"|"&amp;B1602</f>
        <v>night and the city|1950</v>
      </c>
      <c r="N1602" s="4" t="n">
        <v>0</v>
      </c>
      <c r="O1602" s="4" t="n">
        <v>0</v>
      </c>
      <c r="P1602" s="4" t="n">
        <v>0</v>
      </c>
      <c r="Q1602" s="4" t="n">
        <v>1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 customFormat="false" ht="15" hidden="false" customHeight="false" outlineLevel="0" collapsed="false">
      <c r="A1603" s="4" t="s">
        <v>733</v>
      </c>
      <c r="B1603" s="4" t="n">
        <v>1935</v>
      </c>
      <c r="C1603" s="4" t="str">
        <f aca="false">FLOOR(B1603,10)&amp;"s"</f>
        <v>1930s</v>
      </c>
      <c r="D1603" s="4" t="s">
        <v>734</v>
      </c>
      <c r="E1603" s="25" t="str">
        <f aca="false">IF(G1603=1,"✓","")</f>
        <v/>
      </c>
      <c r="F1603" s="4" t="n">
        <v>2</v>
      </c>
      <c r="G1603" s="4" t="n">
        <f aca="false">IF(COUNTIF('Letterboxd Watched'!$E$2:$E$3000,M1603)&gt;0,1,0)</f>
        <v>0</v>
      </c>
      <c r="H1603" s="4" t="n">
        <v>5</v>
      </c>
      <c r="I1603" s="4" t="s">
        <v>144</v>
      </c>
      <c r="J1603" s="4" t="s">
        <v>52</v>
      </c>
      <c r="K1603" s="4" t="s">
        <v>5651</v>
      </c>
      <c r="L1603" s="48" t="str">
        <f aca="false">HYPERLINK("https://boxd.it/17G0","open")</f>
        <v>open</v>
      </c>
      <c r="M1603" s="4" t="str">
        <f aca="false">LOWER(A1603)&amp;"|"&amp;B1603</f>
        <v>a night at the opera|1935</v>
      </c>
      <c r="N1603" s="4" t="n">
        <v>0</v>
      </c>
      <c r="O1603" s="4" t="n">
        <v>0</v>
      </c>
      <c r="P1603" s="4" t="n">
        <v>0</v>
      </c>
      <c r="Q1603" s="4" t="n">
        <v>1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1</v>
      </c>
      <c r="W1603" s="4" t="n">
        <v>0</v>
      </c>
    </row>
    <row r="1604" customFormat="false" ht="15" hidden="false" customHeight="false" outlineLevel="0" collapsed="false">
      <c r="A1604" s="4" t="s">
        <v>1760</v>
      </c>
      <c r="B1604" s="4" t="n">
        <v>1936</v>
      </c>
      <c r="C1604" s="4" t="str">
        <f aca="false">FLOOR(B1604,10)&amp;"s"</f>
        <v>1930s</v>
      </c>
      <c r="D1604" s="4" t="s">
        <v>1761</v>
      </c>
      <c r="E1604" s="25" t="str">
        <f aca="false">IF(G1604=1,"✓","")</f>
        <v/>
      </c>
      <c r="F1604" s="4" t="n">
        <v>1</v>
      </c>
      <c r="G1604" s="4" t="n">
        <f aca="false">IF(COUNTIF('Letterboxd Watched'!$E$2:$E$3000,M1604)&gt;0,1,0)</f>
        <v>0</v>
      </c>
      <c r="H1604" s="4" t="n">
        <v>2</v>
      </c>
      <c r="I1604" s="4" t="s">
        <v>213</v>
      </c>
      <c r="J1604" s="4" t="s">
        <v>52</v>
      </c>
      <c r="K1604" s="4" t="s">
        <v>4170</v>
      </c>
      <c r="L1604" s="48" t="str">
        <f aca="false">HYPERLINK("https://letterboxd.com/search/films/Night+Mail+1936/","open")</f>
        <v>open</v>
      </c>
      <c r="M1604" s="4" t="str">
        <f aca="false">LOWER(A1604)&amp;"|"&amp;B1604</f>
        <v>night mail|1936</v>
      </c>
      <c r="N1604" s="4" t="n">
        <v>0</v>
      </c>
      <c r="O1604" s="4" t="n">
        <v>0</v>
      </c>
      <c r="P1604" s="4" t="n">
        <v>0</v>
      </c>
      <c r="Q1604" s="4" t="n">
        <v>1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 customFormat="false" ht="15" hidden="false" customHeight="false" outlineLevel="0" collapsed="false">
      <c r="A1605" s="4" t="s">
        <v>2263</v>
      </c>
      <c r="B1605" s="4" t="n">
        <v>1975</v>
      </c>
      <c r="C1605" s="4" t="str">
        <f aca="false">FLOOR(B1605,10)&amp;"s"</f>
        <v>1970s</v>
      </c>
      <c r="D1605" s="4" t="s">
        <v>301</v>
      </c>
      <c r="E1605" s="25" t="str">
        <f aca="false">IF(G1605=1,"✓","")</f>
        <v/>
      </c>
      <c r="F1605" s="4" t="n">
        <v>1</v>
      </c>
      <c r="G1605" s="4" t="n">
        <f aca="false">IF(COUNTIF('Letterboxd Watched'!$E$2:$E$3000,M1605)&gt;0,1,0)</f>
        <v>0</v>
      </c>
      <c r="H1605" s="4" t="n">
        <v>2</v>
      </c>
      <c r="I1605" s="4" t="s">
        <v>213</v>
      </c>
      <c r="J1605" s="4" t="s">
        <v>52</v>
      </c>
      <c r="K1605" s="4" t="s">
        <v>4044</v>
      </c>
      <c r="L1605" s="48" t="str">
        <f aca="false">HYPERLINK("https://boxd.it/1hRM","open")</f>
        <v>open</v>
      </c>
      <c r="M1605" s="4" t="str">
        <f aca="false">LOWER(A1605)&amp;"|"&amp;B1605</f>
        <v>night moves|1975</v>
      </c>
      <c r="N1605" s="4" t="n">
        <v>0</v>
      </c>
      <c r="O1605" s="4" t="n">
        <v>0</v>
      </c>
      <c r="P1605" s="4" t="n">
        <v>0</v>
      </c>
      <c r="Q1605" s="4" t="n">
        <v>1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 customFormat="false" ht="15" hidden="false" customHeight="false" outlineLevel="0" collapsed="false">
      <c r="A1606" s="4" t="s">
        <v>1943</v>
      </c>
      <c r="B1606" s="4" t="n">
        <v>1957</v>
      </c>
      <c r="C1606" s="4" t="str">
        <f aca="false">FLOOR(B1606,10)&amp;"s"</f>
        <v>1950s</v>
      </c>
      <c r="D1606" s="4" t="s">
        <v>884</v>
      </c>
      <c r="E1606" s="25" t="str">
        <f aca="false">IF(G1606=1,"✓","")</f>
        <v/>
      </c>
      <c r="F1606" s="4" t="n">
        <v>1</v>
      </c>
      <c r="G1606" s="4" t="n">
        <f aca="false">IF(COUNTIF('Letterboxd Watched'!$E$2:$E$3000,M1606)&gt;0,1,0)</f>
        <v>0</v>
      </c>
      <c r="H1606" s="4" t="n">
        <v>2</v>
      </c>
      <c r="I1606" s="4" t="s">
        <v>213</v>
      </c>
      <c r="J1606" s="4" t="s">
        <v>52</v>
      </c>
      <c r="K1606" s="4" t="s">
        <v>4060</v>
      </c>
      <c r="L1606" s="48" t="str">
        <f aca="false">HYPERLINK("https://boxd.it/1woA","open")</f>
        <v>open</v>
      </c>
      <c r="M1606" s="4" t="str">
        <f aca="false">LOWER(A1606)&amp;"|"&amp;B1606</f>
        <v>night of the demon|1957</v>
      </c>
      <c r="N1606" s="4" t="n">
        <v>0</v>
      </c>
      <c r="O1606" s="4" t="n">
        <v>0</v>
      </c>
      <c r="P1606" s="4" t="n">
        <v>0</v>
      </c>
      <c r="Q1606" s="4" t="n">
        <v>1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 customFormat="false" ht="15" hidden="false" customHeight="false" outlineLevel="0" collapsed="false">
      <c r="A1607" s="4" t="s">
        <v>354</v>
      </c>
      <c r="B1607" s="4" t="n">
        <v>1955</v>
      </c>
      <c r="C1607" s="4" t="str">
        <f aca="false">FLOOR(B1607,10)&amp;"s"</f>
        <v>1950s</v>
      </c>
      <c r="D1607" s="4" t="s">
        <v>355</v>
      </c>
      <c r="E1607" s="25" t="str">
        <f aca="false">IF(G1607=1,"✓","")</f>
        <v>✓</v>
      </c>
      <c r="F1607" s="4" t="n">
        <v>4</v>
      </c>
      <c r="G1607" s="4" t="n">
        <f aca="false">IF(COUNTIF('Letterboxd Watched'!$E$2:$E$3000,M1607)&gt;0,1,0)</f>
        <v>1</v>
      </c>
      <c r="H1607" s="4" t="n">
        <v>9</v>
      </c>
      <c r="I1607" s="4" t="s">
        <v>144</v>
      </c>
      <c r="J1607" s="4" t="s">
        <v>52</v>
      </c>
      <c r="K1607" s="4" t="s">
        <v>5652</v>
      </c>
      <c r="L1607" s="48" t="str">
        <f aca="false">HYPERLINK("https://boxd.it/25HW","open")</f>
        <v>open</v>
      </c>
      <c r="M1607" s="4" t="str">
        <f aca="false">LOWER(A1607)&amp;"|"&amp;B1607</f>
        <v>the night of the hunter|1955</v>
      </c>
      <c r="N1607" s="4" t="n">
        <v>0</v>
      </c>
      <c r="O1607" s="4" t="n">
        <v>0</v>
      </c>
      <c r="P1607" s="4" t="n">
        <v>0</v>
      </c>
      <c r="Q1607" s="4" t="n">
        <v>1</v>
      </c>
      <c r="R1607" s="4" t="n">
        <v>0</v>
      </c>
      <c r="S1607" s="4" t="n">
        <v>0</v>
      </c>
      <c r="T1607" s="4" t="n">
        <v>1</v>
      </c>
      <c r="U1607" s="4" t="n">
        <v>1</v>
      </c>
      <c r="V1607" s="4" t="n">
        <v>1</v>
      </c>
      <c r="W1607" s="4" t="n">
        <v>0</v>
      </c>
    </row>
    <row r="1608" customFormat="false" ht="15" hidden="false" customHeight="false" outlineLevel="0" collapsed="false">
      <c r="A1608" s="4" t="s">
        <v>474</v>
      </c>
      <c r="B1608" s="4" t="n">
        <v>1968</v>
      </c>
      <c r="C1608" s="4" t="str">
        <f aca="false">FLOOR(B1608,10)&amp;"s"</f>
        <v>1960s</v>
      </c>
      <c r="D1608" s="4" t="s">
        <v>475</v>
      </c>
      <c r="E1608" s="25" t="str">
        <f aca="false">IF(G1608=1,"✓","")</f>
        <v/>
      </c>
      <c r="F1608" s="4" t="n">
        <v>3</v>
      </c>
      <c r="G1608" s="4" t="n">
        <f aca="false">IF(COUNTIF('Letterboxd Watched'!$E$2:$E$3000,M1608)&gt;0,1,0)</f>
        <v>0</v>
      </c>
      <c r="H1608" s="4" t="n">
        <v>7</v>
      </c>
      <c r="I1608" s="4" t="s">
        <v>144</v>
      </c>
      <c r="J1608" s="4" t="s">
        <v>52</v>
      </c>
      <c r="K1608" s="4" t="s">
        <v>5653</v>
      </c>
      <c r="L1608" s="48" t="str">
        <f aca="false">HYPERLINK("https://boxd.it/1WwA","open")</f>
        <v>open</v>
      </c>
      <c r="M1608" s="4" t="str">
        <f aca="false">LOWER(A1608)&amp;"|"&amp;B1608</f>
        <v>night of the living dead|1968</v>
      </c>
      <c r="N1608" s="4" t="n">
        <v>0</v>
      </c>
      <c r="O1608" s="4" t="n">
        <v>0</v>
      </c>
      <c r="P1608" s="4" t="n">
        <v>0</v>
      </c>
      <c r="Q1608" s="4" t="n">
        <v>1</v>
      </c>
      <c r="R1608" s="4" t="n">
        <v>0</v>
      </c>
      <c r="S1608" s="4" t="n">
        <v>1</v>
      </c>
      <c r="T1608" s="4" t="n">
        <v>0</v>
      </c>
      <c r="U1608" s="4" t="n">
        <v>1</v>
      </c>
      <c r="V1608" s="4" t="n">
        <v>0</v>
      </c>
      <c r="W1608" s="4" t="n">
        <v>0</v>
      </c>
    </row>
    <row r="1609" customFormat="false" ht="15" hidden="false" customHeight="false" outlineLevel="0" collapsed="false">
      <c r="A1609" s="4" t="s">
        <v>614</v>
      </c>
      <c r="B1609" s="4" t="n">
        <v>1991</v>
      </c>
      <c r="C1609" s="4" t="str">
        <f aca="false">FLOOR(B1609,10)&amp;"s"</f>
        <v>1990s</v>
      </c>
      <c r="D1609" s="4" t="s">
        <v>615</v>
      </c>
      <c r="E1609" s="25" t="str">
        <f aca="false">IF(G1609=1,"✓","")</f>
        <v/>
      </c>
      <c r="F1609" s="4" t="n">
        <v>3</v>
      </c>
      <c r="G1609" s="4" t="n">
        <f aca="false">IF(COUNTIF('Letterboxd Watched'!$E$2:$E$3000,M1609)&gt;0,1,0)</f>
        <v>0</v>
      </c>
      <c r="H1609" s="4" t="n">
        <v>6</v>
      </c>
      <c r="I1609" s="4" t="s">
        <v>144</v>
      </c>
      <c r="J1609" s="4" t="s">
        <v>53</v>
      </c>
      <c r="K1609" s="4" t="s">
        <v>5312</v>
      </c>
      <c r="L1609" s="48" t="str">
        <f aca="false">HYPERLINK("https://boxd.it/2ayq","open")</f>
        <v>open</v>
      </c>
      <c r="M1609" s="4" t="str">
        <f aca="false">LOWER(A1609)&amp;"|"&amp;B1609</f>
        <v>night on earth|1991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1</v>
      </c>
      <c r="S1609" s="4" t="n">
        <v>0</v>
      </c>
      <c r="T1609" s="4" t="n">
        <v>0</v>
      </c>
      <c r="U1609" s="4" t="n">
        <v>1</v>
      </c>
      <c r="V1609" s="4" t="n">
        <v>0</v>
      </c>
      <c r="W1609" s="4" t="n">
        <v>1</v>
      </c>
    </row>
    <row r="1610" customFormat="false" ht="15" hidden="false" customHeight="false" outlineLevel="0" collapsed="false">
      <c r="A1610" s="4" t="s">
        <v>3410</v>
      </c>
      <c r="B1610" s="4" t="n">
        <v>1961</v>
      </c>
      <c r="C1610" s="4" t="str">
        <f aca="false">FLOOR(B1610,10)&amp;"s"</f>
        <v>1960s</v>
      </c>
      <c r="D1610" s="4" t="s">
        <v>3411</v>
      </c>
      <c r="E1610" s="25" t="str">
        <f aca="false">IF(G1610=1,"✓","")</f>
        <v/>
      </c>
      <c r="F1610" s="4" t="n">
        <v>1</v>
      </c>
      <c r="G1610" s="4" t="n">
        <f aca="false">IF(COUNTIF('Letterboxd Watched'!$E$2:$E$3000,M1610)&gt;0,1,0)</f>
        <v>0</v>
      </c>
      <c r="H1610" s="4" t="n">
        <v>1</v>
      </c>
      <c r="I1610" s="4" t="s">
        <v>1327</v>
      </c>
      <c r="J1610" s="4" t="s">
        <v>55</v>
      </c>
      <c r="K1610" s="4" t="s">
        <v>4358</v>
      </c>
      <c r="L1610" s="48" t="str">
        <f aca="false">HYPERLINK("https://letterboxd.com/search/films/Night+Tide+1961/","open")</f>
        <v>open</v>
      </c>
      <c r="M1610" s="4" t="str">
        <f aca="false">LOWER(A1610)&amp;"|"&amp;B1610</f>
        <v>night tide|1961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1</v>
      </c>
      <c r="U1610" s="4" t="n">
        <v>0</v>
      </c>
      <c r="V1610" s="4" t="n">
        <v>0</v>
      </c>
      <c r="W1610" s="4" t="n">
        <v>0</v>
      </c>
    </row>
    <row r="1611" customFormat="false" ht="15" hidden="false" customHeight="false" outlineLevel="0" collapsed="false">
      <c r="A1611" s="4" t="s">
        <v>1214</v>
      </c>
      <c r="B1611" s="4" t="n">
        <v>2014</v>
      </c>
      <c r="C1611" s="4" t="str">
        <f aca="false">FLOOR(B1611,10)&amp;"s"</f>
        <v>2010s</v>
      </c>
      <c r="D1611" s="4" t="s">
        <v>1215</v>
      </c>
      <c r="E1611" s="25" t="str">
        <f aca="false">IF(G1611=1,"✓","")</f>
        <v>✓</v>
      </c>
      <c r="F1611" s="4" t="n">
        <v>2</v>
      </c>
      <c r="G1611" s="4" t="n">
        <f aca="false">IF(COUNTIF('Letterboxd Watched'!$E$2:$E$3000,M1611)&gt;0,1,0)</f>
        <v>1</v>
      </c>
      <c r="H1611" s="4" t="n">
        <v>4</v>
      </c>
      <c r="I1611" s="4" t="s">
        <v>213</v>
      </c>
      <c r="J1611" s="4" t="s">
        <v>52</v>
      </c>
      <c r="K1611" s="4" t="s">
        <v>5654</v>
      </c>
      <c r="L1611" s="48" t="str">
        <f aca="false">HYPERLINK("https://boxd.it/780m","open")</f>
        <v>open</v>
      </c>
      <c r="M1611" s="4" t="str">
        <f aca="false">LOWER(A1611)&amp;"|"&amp;B1611</f>
        <v>nightcrawler|2014</v>
      </c>
      <c r="N1611" s="4" t="n">
        <v>0</v>
      </c>
      <c r="O1611" s="4" t="n">
        <v>0</v>
      </c>
      <c r="P1611" s="4" t="n">
        <v>0</v>
      </c>
      <c r="Q1611" s="4" t="n">
        <v>1</v>
      </c>
      <c r="R1611" s="4" t="n">
        <v>0</v>
      </c>
      <c r="S1611" s="4" t="n">
        <v>0</v>
      </c>
      <c r="T1611" s="4" t="n">
        <v>1</v>
      </c>
      <c r="U1611" s="4" t="n">
        <v>0</v>
      </c>
      <c r="V1611" s="4" t="n">
        <v>0</v>
      </c>
      <c r="W1611" s="4" t="n">
        <v>0</v>
      </c>
    </row>
    <row r="1612" customFormat="false" ht="15" hidden="false" customHeight="false" outlineLevel="0" collapsed="false">
      <c r="A1612" s="4" t="s">
        <v>1844</v>
      </c>
      <c r="B1612" s="4" t="n">
        <v>1947</v>
      </c>
      <c r="C1612" s="4" t="str">
        <f aca="false">FLOOR(B1612,10)&amp;"s"</f>
        <v>1940s</v>
      </c>
      <c r="D1612" s="4" t="s">
        <v>1845</v>
      </c>
      <c r="E1612" s="25" t="str">
        <f aca="false">IF(G1612=1,"✓","")</f>
        <v/>
      </c>
      <c r="F1612" s="4" t="n">
        <v>1</v>
      </c>
      <c r="G1612" s="4" t="n">
        <f aca="false">IF(COUNTIF('Letterboxd Watched'!$E$2:$E$3000,M1612)&gt;0,1,0)</f>
        <v>0</v>
      </c>
      <c r="H1612" s="4" t="n">
        <v>2</v>
      </c>
      <c r="I1612" s="4" t="s">
        <v>213</v>
      </c>
      <c r="J1612" s="4" t="s">
        <v>52</v>
      </c>
      <c r="K1612" s="4" t="s">
        <v>4122</v>
      </c>
      <c r="L1612" s="48" t="str">
        <f aca="false">HYPERLINK("https://letterboxd.com/search/films/Nightmare+Alley+1947/","open")</f>
        <v>open</v>
      </c>
      <c r="M1612" s="4" t="str">
        <f aca="false">LOWER(A1612)&amp;"|"&amp;B1612</f>
        <v>nightmare alley|1947</v>
      </c>
      <c r="N1612" s="4" t="n">
        <v>0</v>
      </c>
      <c r="O1612" s="4" t="n">
        <v>0</v>
      </c>
      <c r="P1612" s="4" t="n">
        <v>0</v>
      </c>
      <c r="Q1612" s="4" t="n">
        <v>1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 customFormat="false" ht="15" hidden="false" customHeight="false" outlineLevel="0" collapsed="false">
      <c r="A1613" s="4" t="s">
        <v>1552</v>
      </c>
      <c r="B1613" s="4" t="n">
        <v>1993</v>
      </c>
      <c r="C1613" s="4" t="str">
        <f aca="false">FLOOR(B1613,10)&amp;"s"</f>
        <v>1990s</v>
      </c>
      <c r="D1613" s="4" t="s">
        <v>1553</v>
      </c>
      <c r="E1613" s="25" t="str">
        <f aca="false">IF(G1613=1,"✓","")</f>
        <v>✓</v>
      </c>
      <c r="F1613" s="4" t="n">
        <v>1</v>
      </c>
      <c r="G1613" s="4" t="n">
        <f aca="false">IF(COUNTIF('Letterboxd Watched'!$E$2:$E$3000,M1613)&gt;0,1,0)</f>
        <v>1</v>
      </c>
      <c r="H1613" s="4" t="n">
        <v>3</v>
      </c>
      <c r="I1613" s="4" t="s">
        <v>144</v>
      </c>
      <c r="J1613" s="4" t="s">
        <v>52</v>
      </c>
      <c r="K1613" s="4" t="s">
        <v>4164</v>
      </c>
      <c r="L1613" s="48" t="str">
        <f aca="false">HYPERLINK("https://boxd.it/1YzQ","open")</f>
        <v>open</v>
      </c>
      <c r="M1613" s="4" t="str">
        <f aca="false">LOWER(A1613)&amp;"|"&amp;B1613</f>
        <v>the nightmare before christmas|1993</v>
      </c>
      <c r="N1613" s="4" t="n">
        <v>0</v>
      </c>
      <c r="O1613" s="4" t="n">
        <v>0</v>
      </c>
      <c r="P1613" s="4" t="n">
        <v>0</v>
      </c>
      <c r="Q1613" s="4" t="n">
        <v>1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 customFormat="false" ht="15" hidden="false" customHeight="false" outlineLevel="0" collapsed="false">
      <c r="A1614" s="4" t="s">
        <v>2401</v>
      </c>
      <c r="B1614" s="4" t="n">
        <v>1984</v>
      </c>
      <c r="C1614" s="4" t="str">
        <f aca="false">FLOOR(B1614,10)&amp;"s"</f>
        <v>1980s</v>
      </c>
      <c r="D1614" s="4" t="s">
        <v>1496</v>
      </c>
      <c r="E1614" s="25" t="str">
        <f aca="false">IF(G1614=1,"✓","")</f>
        <v>✓</v>
      </c>
      <c r="F1614" s="4" t="n">
        <v>1</v>
      </c>
      <c r="G1614" s="4" t="n">
        <f aca="false">IF(COUNTIF('Letterboxd Watched'!$E$2:$E$3000,M1614)&gt;0,1,0)</f>
        <v>1</v>
      </c>
      <c r="H1614" s="4" t="n">
        <v>2</v>
      </c>
      <c r="I1614" s="4" t="s">
        <v>213</v>
      </c>
      <c r="J1614" s="4" t="s">
        <v>52</v>
      </c>
      <c r="K1614" s="4" t="s">
        <v>4070</v>
      </c>
      <c r="L1614" s="48" t="str">
        <f aca="false">HYPERLINK("https://boxd.it/2aw0","open")</f>
        <v>open</v>
      </c>
      <c r="M1614" s="4" t="str">
        <f aca="false">LOWER(A1614)&amp;"|"&amp;B1614</f>
        <v>a nightmare on elm street|1984</v>
      </c>
      <c r="N1614" s="4" t="n">
        <v>0</v>
      </c>
      <c r="O1614" s="4" t="n">
        <v>0</v>
      </c>
      <c r="P1614" s="4" t="n">
        <v>0</v>
      </c>
      <c r="Q1614" s="4" t="n">
        <v>1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 customFormat="false" ht="15" hidden="false" customHeight="false" outlineLevel="0" collapsed="false">
      <c r="A1615" s="4" t="s">
        <v>946</v>
      </c>
      <c r="B1615" s="4" t="n">
        <v>1957</v>
      </c>
      <c r="C1615" s="4" t="str">
        <f aca="false">FLOOR(B1615,10)&amp;"s"</f>
        <v>1950s</v>
      </c>
      <c r="D1615" s="4" t="s">
        <v>179</v>
      </c>
      <c r="E1615" s="25" t="str">
        <f aca="false">IF(G1615=1,"✓","")</f>
        <v/>
      </c>
      <c r="F1615" s="4" t="n">
        <v>2</v>
      </c>
      <c r="G1615" s="4" t="n">
        <f aca="false">IF(COUNTIF('Letterboxd Watched'!$E$2:$E$3000,M1615)&gt;0,1,0)</f>
        <v>0</v>
      </c>
      <c r="H1615" s="4" t="n">
        <v>4</v>
      </c>
      <c r="I1615" s="4" t="s">
        <v>213</v>
      </c>
      <c r="J1615" s="4" t="s">
        <v>50</v>
      </c>
      <c r="K1615" s="4" t="s">
        <v>5655</v>
      </c>
      <c r="L1615" s="48" t="str">
        <f aca="false">HYPERLINK("https://boxd.it/1F7e","open")</f>
        <v>open</v>
      </c>
      <c r="M1615" s="4" t="str">
        <f aca="false">LOWER(A1615)&amp;"|"&amp;B1615</f>
        <v>nights of cabiria|1957</v>
      </c>
      <c r="N1615" s="4" t="n">
        <v>0</v>
      </c>
      <c r="O1615" s="4" t="n">
        <v>1</v>
      </c>
      <c r="P1615" s="4" t="n">
        <v>0</v>
      </c>
      <c r="Q1615" s="4" t="n">
        <v>0</v>
      </c>
      <c r="R1615" s="4" t="n">
        <v>1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 customFormat="false" ht="15" hidden="false" customHeight="false" outlineLevel="0" collapsed="false">
      <c r="A1616" s="4" t="s">
        <v>2508</v>
      </c>
      <c r="B1616" s="4" t="n">
        <v>1990</v>
      </c>
      <c r="C1616" s="4" t="str">
        <f aca="false">FLOOR(B1616,10)&amp;"s"</f>
        <v>1990s</v>
      </c>
      <c r="D1616" s="4" t="s">
        <v>1558</v>
      </c>
      <c r="E1616" s="25" t="str">
        <f aca="false">IF(G1616=1,"✓","")</f>
        <v/>
      </c>
      <c r="F1616" s="4" t="n">
        <v>1</v>
      </c>
      <c r="G1616" s="4" t="n">
        <f aca="false">IF(COUNTIF('Letterboxd Watched'!$E$2:$E$3000,M1616)&gt;0,1,0)</f>
        <v>0</v>
      </c>
      <c r="H1616" s="4" t="n">
        <v>2</v>
      </c>
      <c r="I1616" s="4" t="s">
        <v>213</v>
      </c>
      <c r="J1616" s="4" t="s">
        <v>51</v>
      </c>
      <c r="K1616" s="4" t="s">
        <v>3966</v>
      </c>
      <c r="L1616" s="48" t="str">
        <f aca="false">HYPERLINK("https://boxd.it/1YYm","open")</f>
        <v>open</v>
      </c>
      <c r="M1616" s="4" t="str">
        <f aca="false">LOWER(A1616)&amp;"|"&amp;B1616</f>
        <v>nikita|1990</v>
      </c>
      <c r="N1616" s="4" t="n">
        <v>0</v>
      </c>
      <c r="O1616" s="4" t="n">
        <v>0</v>
      </c>
      <c r="P1616" s="4" t="n">
        <v>1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 customFormat="false" ht="15" hidden="false" customHeight="false" outlineLevel="0" collapsed="false">
      <c r="A1617" s="4" t="s">
        <v>2664</v>
      </c>
      <c r="B1617" s="4" t="n">
        <v>1997</v>
      </c>
      <c r="C1617" s="4" t="str">
        <f aca="false">FLOOR(B1617,10)&amp;"s"</f>
        <v>1990s</v>
      </c>
      <c r="D1617" s="4" t="s">
        <v>2665</v>
      </c>
      <c r="E1617" s="25" t="str">
        <f aca="false">IF(G1617=1,"✓","")</f>
        <v/>
      </c>
      <c r="F1617" s="4" t="n">
        <v>1</v>
      </c>
      <c r="G1617" s="4" t="n">
        <f aca="false">IF(COUNTIF('Letterboxd Watched'!$E$2:$E$3000,M1617)&gt;0,1,0)</f>
        <v>0</v>
      </c>
      <c r="H1617" s="4" t="n">
        <v>2</v>
      </c>
      <c r="I1617" s="4" t="s">
        <v>213</v>
      </c>
      <c r="J1617" s="4" t="s">
        <v>51</v>
      </c>
      <c r="K1617" s="4" t="s">
        <v>3982</v>
      </c>
      <c r="L1617" s="48" t="str">
        <f aca="false">HYPERLINK("https://letterboxd.com/search/films/Nil+by+Mouth+1997/","open")</f>
        <v>open</v>
      </c>
      <c r="M1617" s="4" t="str">
        <f aca="false">LOWER(A1617)&amp;"|"&amp;B1617</f>
        <v>nil by mouth|1997</v>
      </c>
      <c r="N1617" s="4" t="n">
        <v>0</v>
      </c>
      <c r="O1617" s="4" t="n">
        <v>0</v>
      </c>
      <c r="P1617" s="4" t="n">
        <v>1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 customFormat="false" ht="15" hidden="false" customHeight="false" outlineLevel="0" collapsed="false">
      <c r="A1618" s="4" t="s">
        <v>1138</v>
      </c>
      <c r="B1618" s="4" t="n">
        <v>2000</v>
      </c>
      <c r="C1618" s="4" t="str">
        <f aca="false">FLOOR(B1618,10)&amp;"s"</f>
        <v>2000s</v>
      </c>
      <c r="D1618" s="4" t="s">
        <v>1139</v>
      </c>
      <c r="E1618" s="25" t="str">
        <f aca="false">IF(G1618=1,"✓","")</f>
        <v/>
      </c>
      <c r="F1618" s="4" t="n">
        <v>2</v>
      </c>
      <c r="G1618" s="4" t="n">
        <f aca="false">IF(COUNTIF('Letterboxd Watched'!$E$2:$E$3000,M1618)&gt;0,1,0)</f>
        <v>0</v>
      </c>
      <c r="H1618" s="4" t="n">
        <v>4</v>
      </c>
      <c r="I1618" s="4" t="s">
        <v>213</v>
      </c>
      <c r="J1618" s="4" t="s">
        <v>51</v>
      </c>
      <c r="K1618" s="4" t="s">
        <v>5656</v>
      </c>
      <c r="L1618" s="48" t="str">
        <f aca="false">HYPERLINK("https://letterboxd.com/search/films/Nine+Queens+2000/","open")</f>
        <v>open</v>
      </c>
      <c r="M1618" s="4" t="str">
        <f aca="false">LOWER(A1618)&amp;"|"&amp;B1618</f>
        <v>nine queens|2000</v>
      </c>
      <c r="N1618" s="4" t="n">
        <v>0</v>
      </c>
      <c r="O1618" s="4" t="n">
        <v>0</v>
      </c>
      <c r="P1618" s="4" t="n">
        <v>1</v>
      </c>
      <c r="Q1618" s="4" t="n">
        <v>1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</row>
    <row r="1619" customFormat="false" ht="15" hidden="false" customHeight="false" outlineLevel="0" collapsed="false">
      <c r="A1619" s="4" t="s">
        <v>1783</v>
      </c>
      <c r="B1619" s="4" t="n">
        <v>1939</v>
      </c>
      <c r="C1619" s="4" t="str">
        <f aca="false">FLOOR(B1619,10)&amp;"s"</f>
        <v>1930s</v>
      </c>
      <c r="D1619" s="4" t="s">
        <v>348</v>
      </c>
      <c r="E1619" s="25" t="str">
        <f aca="false">IF(G1619=1,"✓","")</f>
        <v/>
      </c>
      <c r="F1619" s="4" t="n">
        <v>1</v>
      </c>
      <c r="G1619" s="4" t="n">
        <f aca="false">IF(COUNTIF('Letterboxd Watched'!$E$2:$E$3000,M1619)&gt;0,1,0)</f>
        <v>0</v>
      </c>
      <c r="H1619" s="4" t="n">
        <v>2</v>
      </c>
      <c r="I1619" s="4" t="s">
        <v>213</v>
      </c>
      <c r="J1619" s="4" t="s">
        <v>53</v>
      </c>
      <c r="K1619" s="4" t="s">
        <v>4191</v>
      </c>
      <c r="L1619" s="48" t="str">
        <f aca="false">HYPERLINK("https://boxd.it/2802","open")</f>
        <v>open</v>
      </c>
      <c r="M1619" s="4" t="str">
        <f aca="false">LOWER(A1619)&amp;"|"&amp;B1619</f>
        <v>ninotchka|1939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1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 customFormat="false" ht="15" hidden="false" customHeight="false" outlineLevel="0" collapsed="false">
      <c r="A1620" s="4" t="s">
        <v>2334</v>
      </c>
      <c r="B1620" s="4" t="n">
        <v>1980</v>
      </c>
      <c r="C1620" s="4" t="str">
        <f aca="false">FLOOR(B1620,10)&amp;"s"</f>
        <v>1980s</v>
      </c>
      <c r="D1620" s="4" t="s">
        <v>2335</v>
      </c>
      <c r="E1620" s="25" t="str">
        <f aca="false">IF(G1620=1,"✓","")</f>
        <v/>
      </c>
      <c r="F1620" s="4" t="n">
        <v>1</v>
      </c>
      <c r="G1620" s="4" t="n">
        <f aca="false">IF(COUNTIF('Letterboxd Watched'!$E$2:$E$3000,M1620)&gt;0,1,0)</f>
        <v>0</v>
      </c>
      <c r="H1620" s="4" t="n">
        <v>2</v>
      </c>
      <c r="I1620" s="4" t="s">
        <v>213</v>
      </c>
      <c r="J1620" s="4" t="s">
        <v>52</v>
      </c>
      <c r="K1620" s="4" t="s">
        <v>4066</v>
      </c>
      <c r="L1620" s="48" t="str">
        <f aca="false">HYPERLINK("https://letterboxd.com/search/films/The+Ninth+Configuration+1980/","open")</f>
        <v>open</v>
      </c>
      <c r="M1620" s="4" t="str">
        <f aca="false">LOWER(A1620)&amp;"|"&amp;B1620</f>
        <v>the ninth configuration|1980</v>
      </c>
      <c r="N1620" s="4" t="n">
        <v>0</v>
      </c>
      <c r="O1620" s="4" t="n">
        <v>0</v>
      </c>
      <c r="P1620" s="4" t="n">
        <v>0</v>
      </c>
      <c r="Q1620" s="4" t="n">
        <v>1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 customFormat="false" ht="15" hidden="false" customHeight="false" outlineLevel="0" collapsed="false">
      <c r="A1621" s="4" t="s">
        <v>2615</v>
      </c>
      <c r="B1621" s="4" t="n">
        <v>1995</v>
      </c>
      <c r="C1621" s="4" t="str">
        <f aca="false">FLOOR(B1621,10)&amp;"s"</f>
        <v>1990s</v>
      </c>
      <c r="D1621" s="4" t="s">
        <v>816</v>
      </c>
      <c r="E1621" s="25" t="str">
        <f aca="false">IF(G1621=1,"✓","")</f>
        <v/>
      </c>
      <c r="F1621" s="4" t="n">
        <v>1</v>
      </c>
      <c r="G1621" s="4" t="n">
        <f aca="false">IF(COUNTIF('Letterboxd Watched'!$E$2:$E$3000,M1621)&gt;0,1,0)</f>
        <v>0</v>
      </c>
      <c r="H1621" s="4" t="n">
        <v>2</v>
      </c>
      <c r="I1621" s="4" t="s">
        <v>213</v>
      </c>
      <c r="J1621" s="4" t="s">
        <v>55</v>
      </c>
      <c r="K1621" s="4" t="s">
        <v>4318</v>
      </c>
      <c r="L1621" s="48" t="str">
        <f aca="false">HYPERLINK("https://boxd.it/1Vds","open")</f>
        <v>open</v>
      </c>
      <c r="M1621" s="4" t="str">
        <f aca="false">LOWER(A1621)&amp;"|"&amp;B1621</f>
        <v>nixon|1995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1</v>
      </c>
      <c r="U1621" s="4" t="n">
        <v>0</v>
      </c>
      <c r="V1621" s="4" t="n">
        <v>0</v>
      </c>
      <c r="W1621" s="4" t="n">
        <v>0</v>
      </c>
    </row>
    <row r="1622" customFormat="false" ht="15" hidden="false" customHeight="false" outlineLevel="0" collapsed="false">
      <c r="A1622" s="4" t="s">
        <v>2994</v>
      </c>
      <c r="B1622" s="4" t="n">
        <v>2012</v>
      </c>
      <c r="C1622" s="4" t="str">
        <f aca="false">FLOOR(B1622,10)&amp;"s"</f>
        <v>2010s</v>
      </c>
      <c r="D1622" s="4" t="s">
        <v>2995</v>
      </c>
      <c r="E1622" s="25" t="str">
        <f aca="false">IF(G1622=1,"✓","")</f>
        <v/>
      </c>
      <c r="F1622" s="4" t="n">
        <v>1</v>
      </c>
      <c r="G1622" s="4" t="n">
        <f aca="false">IF(COUNTIF('Letterboxd Watched'!$E$2:$E$3000,M1622)&gt;0,1,0)</f>
        <v>0</v>
      </c>
      <c r="H1622" s="4" t="n">
        <v>2</v>
      </c>
      <c r="I1622" s="4" t="s">
        <v>213</v>
      </c>
      <c r="J1622" s="4" t="s">
        <v>51</v>
      </c>
      <c r="K1622" s="4" t="s">
        <v>4010</v>
      </c>
      <c r="L1622" s="48" t="str">
        <f aca="false">HYPERLINK("https://boxd.it/3Ie2","open")</f>
        <v>open</v>
      </c>
      <c r="M1622" s="4" t="str">
        <f aca="false">LOWER(A1622)&amp;"|"&amp;B1622</f>
        <v>no|2012</v>
      </c>
      <c r="N1622" s="4" t="n">
        <v>0</v>
      </c>
      <c r="O1622" s="4" t="n">
        <v>0</v>
      </c>
      <c r="P1622" s="4" t="n">
        <v>1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 customFormat="false" ht="15" hidden="false" customHeight="false" outlineLevel="0" collapsed="false">
      <c r="A1623" s="4" t="s">
        <v>322</v>
      </c>
      <c r="B1623" s="4" t="n">
        <v>2007</v>
      </c>
      <c r="C1623" s="4" t="str">
        <f aca="false">FLOOR(B1623,10)&amp;"s"</f>
        <v>2000s</v>
      </c>
      <c r="D1623" s="4" t="s">
        <v>323</v>
      </c>
      <c r="E1623" s="25" t="str">
        <f aca="false">IF(G1623=1,"✓","")</f>
        <v>✓</v>
      </c>
      <c r="F1623" s="4" t="n">
        <v>4</v>
      </c>
      <c r="G1623" s="4" t="n">
        <f aca="false">IF(COUNTIF('Letterboxd Watched'!$E$2:$E$3000,M1623)&gt;0,1,0)</f>
        <v>1</v>
      </c>
      <c r="H1623" s="4" t="n">
        <v>10</v>
      </c>
      <c r="I1623" s="4" t="s">
        <v>144</v>
      </c>
      <c r="J1623" s="4" t="s">
        <v>50</v>
      </c>
      <c r="K1623" s="4" t="s">
        <v>5657</v>
      </c>
      <c r="L1623" s="48" t="str">
        <f aca="false">HYPERLINK("https://boxd.it/21ew","open")</f>
        <v>open</v>
      </c>
      <c r="M1623" s="4" t="str">
        <f aca="false">LOWER(A1623)&amp;"|"&amp;B1623</f>
        <v>no country for old men|2007</v>
      </c>
      <c r="N1623" s="4" t="n">
        <v>0</v>
      </c>
      <c r="O1623" s="4" t="n">
        <v>1</v>
      </c>
      <c r="P1623" s="4" t="n">
        <v>0</v>
      </c>
      <c r="Q1623" s="4" t="n">
        <v>1</v>
      </c>
      <c r="R1623" s="4" t="n">
        <v>1</v>
      </c>
      <c r="S1623" s="4" t="n">
        <v>0</v>
      </c>
      <c r="T1623" s="4" t="n">
        <v>1</v>
      </c>
      <c r="U1623" s="4" t="n">
        <v>0</v>
      </c>
      <c r="V1623" s="4" t="n">
        <v>0</v>
      </c>
      <c r="W1623" s="4" t="n">
        <v>0</v>
      </c>
    </row>
    <row r="1624" customFormat="false" ht="15" hidden="false" customHeight="false" outlineLevel="0" collapsed="false">
      <c r="A1624" s="4" t="s">
        <v>3828</v>
      </c>
      <c r="B1624" s="4" t="n">
        <v>2015</v>
      </c>
      <c r="C1624" s="4" t="str">
        <f aca="false">FLOOR(B1624,10)&amp;"s"</f>
        <v>2010s</v>
      </c>
      <c r="D1624" s="4" t="s">
        <v>185</v>
      </c>
      <c r="E1624" s="25" t="str">
        <f aca="false">IF(G1624=1,"✓","")</f>
        <v/>
      </c>
      <c r="F1624" s="4" t="n">
        <v>1</v>
      </c>
      <c r="G1624" s="4" t="n">
        <f aca="false">IF(COUNTIF('Letterboxd Watched'!$E$2:$E$3000,M1624)&gt;0,1,0)</f>
        <v>0</v>
      </c>
      <c r="H1624" s="4" t="n">
        <v>1</v>
      </c>
      <c r="I1624" s="4" t="s">
        <v>1327</v>
      </c>
      <c r="J1624" s="4" t="s">
        <v>53</v>
      </c>
      <c r="K1624" s="4" t="s">
        <v>185</v>
      </c>
      <c r="L1624" s="48" t="str">
        <f aca="false">HYPERLINK("https://letterboxd.com/search/films/No+Home+Movie+2015/","open")</f>
        <v>open</v>
      </c>
      <c r="M1624" s="4" t="str">
        <f aca="false">LOWER(A1624)&amp;"|"&amp;B1624</f>
        <v>no home movie|2015</v>
      </c>
      <c r="N1624" s="4" t="n">
        <v>0</v>
      </c>
      <c r="O1624" s="4" t="n">
        <v>0</v>
      </c>
      <c r="P1624" s="4" t="n">
        <v>0</v>
      </c>
      <c r="Q1624" s="4" t="n">
        <v>0</v>
      </c>
      <c r="R1624" s="4" t="n">
        <v>1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 customFormat="false" ht="15" hidden="false" customHeight="false" outlineLevel="0" collapsed="false">
      <c r="A1625" s="4" t="s">
        <v>2737</v>
      </c>
      <c r="B1625" s="4" t="n">
        <v>2001</v>
      </c>
      <c r="C1625" s="4" t="str">
        <f aca="false">FLOOR(B1625,10)&amp;"s"</f>
        <v>2000s</v>
      </c>
      <c r="D1625" s="4" t="s">
        <v>2738</v>
      </c>
      <c r="E1625" s="25" t="str">
        <f aca="false">IF(G1625=1,"✓","")</f>
        <v/>
      </c>
      <c r="F1625" s="4" t="n">
        <v>1</v>
      </c>
      <c r="G1625" s="4" t="n">
        <f aca="false">IF(COUNTIF('Letterboxd Watched'!$E$2:$E$3000,M1625)&gt;0,1,0)</f>
        <v>0</v>
      </c>
      <c r="H1625" s="4" t="n">
        <v>2</v>
      </c>
      <c r="I1625" s="4" t="s">
        <v>213</v>
      </c>
      <c r="J1625" s="4" t="s">
        <v>51</v>
      </c>
      <c r="K1625" s="4" t="s">
        <v>3996</v>
      </c>
      <c r="L1625" s="48" t="str">
        <f aca="false">HYPERLINK("https://letterboxd.com/search/films/No+Mans+Land+2001/","open")</f>
        <v>open</v>
      </c>
      <c r="M1625" s="4" t="str">
        <f aca="false">LOWER(A1625)&amp;"|"&amp;B1625</f>
        <v>no man's land|2001</v>
      </c>
      <c r="N1625" s="4" t="n">
        <v>0</v>
      </c>
      <c r="O1625" s="4" t="n">
        <v>0</v>
      </c>
      <c r="P1625" s="4" t="n">
        <v>1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</row>
    <row r="1626" customFormat="false" ht="15" hidden="false" customHeight="false" outlineLevel="0" collapsed="false">
      <c r="A1626" s="4" t="s">
        <v>1257</v>
      </c>
      <c r="B1626" s="4" t="n">
        <v>2020</v>
      </c>
      <c r="C1626" s="4" t="str">
        <f aca="false">FLOOR(B1626,10)&amp;"s"</f>
        <v>2020s</v>
      </c>
      <c r="D1626" s="4" t="s">
        <v>1258</v>
      </c>
      <c r="E1626" s="25" t="str">
        <f aca="false">IF(G1626=1,"✓","")</f>
        <v>✓</v>
      </c>
      <c r="F1626" s="4" t="n">
        <v>2</v>
      </c>
      <c r="G1626" s="4" t="n">
        <f aca="false">IF(COUNTIF('Letterboxd Watched'!$E$2:$E$3000,M1626)&gt;0,1,0)</f>
        <v>1</v>
      </c>
      <c r="H1626" s="4" t="n">
        <v>4</v>
      </c>
      <c r="I1626" s="4" t="s">
        <v>213</v>
      </c>
      <c r="J1626" s="4" t="s">
        <v>55</v>
      </c>
      <c r="K1626" s="4" t="s">
        <v>5658</v>
      </c>
      <c r="L1626" s="48" t="str">
        <f aca="false">HYPERLINK("https://boxd.it/lnRy","open")</f>
        <v>open</v>
      </c>
      <c r="M1626" s="4" t="str">
        <f aca="false">LOWER(A1626)&amp;"|"&amp;B1626</f>
        <v>nomadland|2020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1</v>
      </c>
      <c r="U1626" s="4" t="n">
        <v>0</v>
      </c>
      <c r="V1626" s="4" t="n">
        <v>0</v>
      </c>
      <c r="W1626" s="4" t="n">
        <v>1</v>
      </c>
    </row>
    <row r="1627" customFormat="false" ht="15" hidden="false" customHeight="false" outlineLevel="0" collapsed="false">
      <c r="A1627" s="4" t="s">
        <v>3223</v>
      </c>
      <c r="B1627" s="4" t="n">
        <v>2022</v>
      </c>
      <c r="C1627" s="4" t="str">
        <f aca="false">FLOOR(B1627,10)&amp;"s"</f>
        <v>2020s</v>
      </c>
      <c r="D1627" s="4" t="s">
        <v>280</v>
      </c>
      <c r="E1627" s="25" t="str">
        <f aca="false">IF(G1627=1,"✓","")</f>
        <v>✓</v>
      </c>
      <c r="F1627" s="4" t="n">
        <v>1</v>
      </c>
      <c r="G1627" s="4" t="n">
        <f aca="false">IF(COUNTIF('Letterboxd Watched'!$E$2:$E$3000,M1627)&gt;0,1,0)</f>
        <v>1</v>
      </c>
      <c r="H1627" s="4" t="n">
        <v>2</v>
      </c>
      <c r="I1627" s="4" t="s">
        <v>213</v>
      </c>
      <c r="J1627" s="4" t="s">
        <v>52</v>
      </c>
      <c r="K1627" s="4" t="s">
        <v>4078</v>
      </c>
      <c r="L1627" s="48" t="str">
        <f aca="false">HYPERLINK("https://boxd.it/sDCe","open")</f>
        <v>open</v>
      </c>
      <c r="M1627" s="4" t="str">
        <f aca="false">LOWER(A1627)&amp;"|"&amp;B1627</f>
        <v>nope|2022</v>
      </c>
      <c r="N1627" s="4" t="n">
        <v>0</v>
      </c>
      <c r="O1627" s="4" t="n">
        <v>0</v>
      </c>
      <c r="P1627" s="4" t="n">
        <v>0</v>
      </c>
      <c r="Q1627" s="4" t="n">
        <v>1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 customFormat="false" ht="15" hidden="false" customHeight="false" outlineLevel="0" collapsed="false">
      <c r="A1628" s="4" t="s">
        <v>1515</v>
      </c>
      <c r="B1628" s="4" t="n">
        <v>1979</v>
      </c>
      <c r="C1628" s="4" t="str">
        <f aca="false">FLOOR(B1628,10)&amp;"s"</f>
        <v>1970s</v>
      </c>
      <c r="D1628" s="4" t="s">
        <v>1516</v>
      </c>
      <c r="E1628" s="25" t="str">
        <f aca="false">IF(G1628=1,"✓","")</f>
        <v/>
      </c>
      <c r="F1628" s="4" t="n">
        <v>1</v>
      </c>
      <c r="G1628" s="4" t="n">
        <f aca="false">IF(COUNTIF('Letterboxd Watched'!$E$2:$E$3000,M1628)&gt;0,1,0)</f>
        <v>0</v>
      </c>
      <c r="H1628" s="4" t="n">
        <v>3</v>
      </c>
      <c r="I1628" s="4" t="s">
        <v>144</v>
      </c>
      <c r="J1628" s="4" t="s">
        <v>55</v>
      </c>
      <c r="K1628" s="4" t="s">
        <v>4316</v>
      </c>
      <c r="L1628" s="48" t="str">
        <f aca="false">HYPERLINK("https://boxd.it/10Ow","open")</f>
        <v>open</v>
      </c>
      <c r="M1628" s="4" t="str">
        <f aca="false">LOWER(A1628)&amp;"|"&amp;B1628</f>
        <v>norma rae|1979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1</v>
      </c>
      <c r="U1628" s="4" t="n">
        <v>0</v>
      </c>
      <c r="V1628" s="4" t="n">
        <v>0</v>
      </c>
      <c r="W1628" s="4" t="n">
        <v>0</v>
      </c>
    </row>
    <row r="1629" customFormat="false" ht="15" hidden="false" customHeight="false" outlineLevel="0" collapsed="false">
      <c r="A1629" s="4" t="s">
        <v>3746</v>
      </c>
      <c r="B1629" s="4" t="n">
        <v>2005</v>
      </c>
      <c r="C1629" s="4" t="str">
        <f aca="false">FLOOR(B1629,10)&amp;"s"</f>
        <v>2000s</v>
      </c>
      <c r="D1629" s="4" t="s">
        <v>3747</v>
      </c>
      <c r="E1629" s="25" t="str">
        <f aca="false">IF(G1629=1,"✓","")</f>
        <v/>
      </c>
      <c r="F1629" s="4" t="n">
        <v>1</v>
      </c>
      <c r="G1629" s="4" t="n">
        <f aca="false">IF(COUNTIF('Letterboxd Watched'!$E$2:$E$3000,M1629)&gt;0,1,0)</f>
        <v>0</v>
      </c>
      <c r="H1629" s="4" t="n">
        <v>1</v>
      </c>
      <c r="I1629" s="4" t="s">
        <v>1327</v>
      </c>
      <c r="J1629" s="4" t="s">
        <v>52</v>
      </c>
      <c r="K1629" s="4" t="s">
        <v>4076</v>
      </c>
      <c r="L1629" s="48" t="str">
        <f aca="false">HYPERLINK("https://letterboxd.com/search/films/Noroi+The+Curse+2005/","open")</f>
        <v>open</v>
      </c>
      <c r="M1629" s="4" t="str">
        <f aca="false">LOWER(A1629)&amp;"|"&amp;B1629</f>
        <v>noroi: the curse|2005</v>
      </c>
      <c r="N1629" s="4" t="n">
        <v>0</v>
      </c>
      <c r="O1629" s="4" t="n">
        <v>0</v>
      </c>
      <c r="P1629" s="4" t="n">
        <v>0</v>
      </c>
      <c r="Q1629" s="4" t="n">
        <v>1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 customFormat="false" ht="15" hidden="false" customHeight="false" outlineLevel="0" collapsed="false">
      <c r="A1630" s="4" t="s">
        <v>3812</v>
      </c>
      <c r="B1630" s="4" t="n">
        <v>2013</v>
      </c>
      <c r="C1630" s="4" t="str">
        <f aca="false">FLOOR(B1630,10)&amp;"s"</f>
        <v>2010s</v>
      </c>
      <c r="D1630" s="4" t="s">
        <v>3813</v>
      </c>
      <c r="E1630" s="25" t="str">
        <f aca="false">IF(G1630=1,"✓","")</f>
        <v/>
      </c>
      <c r="F1630" s="4" t="n">
        <v>1</v>
      </c>
      <c r="G1630" s="4" t="n">
        <f aca="false">IF(COUNTIF('Letterboxd Watched'!$E$2:$E$3000,M1630)&gt;0,1,0)</f>
        <v>0</v>
      </c>
      <c r="H1630" s="4" t="n">
        <v>1</v>
      </c>
      <c r="I1630" s="4" t="s">
        <v>1327</v>
      </c>
      <c r="J1630" s="4" t="s">
        <v>51</v>
      </c>
      <c r="K1630" s="4" t="s">
        <v>4030</v>
      </c>
      <c r="L1630" s="48" t="str">
        <f aca="false">HYPERLINK("https://boxd.it/5FkU","open")</f>
        <v>open</v>
      </c>
      <c r="M1630" s="4" t="str">
        <f aca="false">LOWER(A1630)&amp;"|"&amp;B1630</f>
        <v>norte, the end of history|2013</v>
      </c>
      <c r="N1630" s="4" t="n">
        <v>0</v>
      </c>
      <c r="O1630" s="4" t="n">
        <v>0</v>
      </c>
      <c r="P1630" s="4" t="n">
        <v>1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</row>
    <row r="1631" customFormat="false" ht="15" hidden="false" customHeight="false" outlineLevel="0" collapsed="false">
      <c r="A1631" s="4" t="s">
        <v>412</v>
      </c>
      <c r="B1631" s="4" t="n">
        <v>1959</v>
      </c>
      <c r="C1631" s="4" t="str">
        <f aca="false">FLOOR(B1631,10)&amp;"s"</f>
        <v>1950s</v>
      </c>
      <c r="D1631" s="4" t="s">
        <v>162</v>
      </c>
      <c r="E1631" s="25" t="str">
        <f aca="false">IF(G1631=1,"✓","")</f>
        <v/>
      </c>
      <c r="F1631" s="4" t="n">
        <v>3</v>
      </c>
      <c r="G1631" s="4" t="n">
        <f aca="false">IF(COUNTIF('Letterboxd Watched'!$E$2:$E$3000,M1631)&gt;0,1,0)</f>
        <v>0</v>
      </c>
      <c r="H1631" s="4" t="n">
        <v>8</v>
      </c>
      <c r="I1631" s="4" t="s">
        <v>144</v>
      </c>
      <c r="J1631" s="4" t="s">
        <v>49</v>
      </c>
      <c r="K1631" s="4" t="s">
        <v>5659</v>
      </c>
      <c r="L1631" s="48" t="str">
        <f aca="false">HYPERLINK("https://boxd.it/2aRM","open")</f>
        <v>open</v>
      </c>
      <c r="M1631" s="4" t="str">
        <f aca="false">LOWER(A1631)&amp;"|"&amp;B1631</f>
        <v>north by northwest|1959</v>
      </c>
      <c r="N1631" s="4" t="n">
        <v>1</v>
      </c>
      <c r="O1631" s="4" t="n">
        <v>0</v>
      </c>
      <c r="P1631" s="4" t="n">
        <v>0</v>
      </c>
      <c r="Q1631" s="4" t="n">
        <v>0</v>
      </c>
      <c r="R1631" s="4" t="n">
        <v>1</v>
      </c>
      <c r="S1631" s="4" t="n">
        <v>0</v>
      </c>
      <c r="T1631" s="4" t="n">
        <v>0</v>
      </c>
      <c r="U1631" s="4" t="n">
        <v>0</v>
      </c>
      <c r="V1631" s="4" t="n">
        <v>1</v>
      </c>
      <c r="W1631" s="4" t="n">
        <v>0</v>
      </c>
    </row>
    <row r="1632" customFormat="false" ht="15" hidden="false" customHeight="false" outlineLevel="0" collapsed="false">
      <c r="A1632" s="4" t="s">
        <v>2918</v>
      </c>
      <c r="B1632" s="4" t="n">
        <v>2008</v>
      </c>
      <c r="C1632" s="4" t="str">
        <f aca="false">FLOOR(B1632,10)&amp;"s"</f>
        <v>2000s</v>
      </c>
      <c r="D1632" s="4" t="s">
        <v>2919</v>
      </c>
      <c r="E1632" s="25" t="str">
        <f aca="false">IF(G1632=1,"✓","")</f>
        <v/>
      </c>
      <c r="F1632" s="4" t="n">
        <v>1</v>
      </c>
      <c r="G1632" s="4" t="n">
        <f aca="false">IF(COUNTIF('Letterboxd Watched'!$E$2:$E$3000,M1632)&gt;0,1,0)</f>
        <v>0</v>
      </c>
      <c r="H1632" s="4" t="n">
        <v>2</v>
      </c>
      <c r="I1632" s="4" t="s">
        <v>213</v>
      </c>
      <c r="J1632" s="4" t="s">
        <v>56</v>
      </c>
      <c r="K1632" s="4" t="s">
        <v>4386</v>
      </c>
      <c r="L1632" s="48" t="str">
        <f aca="false">HYPERLINK("https://letterboxd.com/search/films/North+Face+2008/","open")</f>
        <v>open</v>
      </c>
      <c r="M1632" s="4" t="str">
        <f aca="false">LOWER(A1632)&amp;"|"&amp;B1632</f>
        <v>north face|2008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1</v>
      </c>
      <c r="V1632" s="4" t="n">
        <v>0</v>
      </c>
      <c r="W1632" s="4" t="n">
        <v>0</v>
      </c>
    </row>
    <row r="1633" customFormat="false" ht="15" hidden="false" customHeight="false" outlineLevel="0" collapsed="false">
      <c r="A1633" s="4" t="s">
        <v>448</v>
      </c>
      <c r="B1633" s="4" t="n">
        <v>1922</v>
      </c>
      <c r="C1633" s="4" t="str">
        <f aca="false">FLOOR(B1633,10)&amp;"s"</f>
        <v>1920s</v>
      </c>
      <c r="D1633" s="4" t="s">
        <v>299</v>
      </c>
      <c r="E1633" s="25" t="str">
        <f aca="false">IF(G1633=1,"✓","")</f>
        <v/>
      </c>
      <c r="F1633" s="4" t="n">
        <v>3</v>
      </c>
      <c r="G1633" s="4" t="n">
        <f aca="false">IF(COUNTIF('Letterboxd Watched'!$E$2:$E$3000,M1633)&gt;0,1,0)</f>
        <v>0</v>
      </c>
      <c r="H1633" s="4" t="n">
        <v>7</v>
      </c>
      <c r="I1633" s="4" t="s">
        <v>144</v>
      </c>
      <c r="J1633" s="4" t="s">
        <v>50</v>
      </c>
      <c r="K1633" s="4" t="s">
        <v>5660</v>
      </c>
      <c r="L1633" s="48" t="str">
        <f aca="false">HYPERLINK("https://boxd.it/29TM","open")</f>
        <v>open</v>
      </c>
      <c r="M1633" s="4" t="str">
        <f aca="false">LOWER(A1633)&amp;"|"&amp;B1633</f>
        <v>nosferatu|1922</v>
      </c>
      <c r="N1633" s="4" t="n">
        <v>0</v>
      </c>
      <c r="O1633" s="4" t="n">
        <v>1</v>
      </c>
      <c r="P1633" s="4" t="n">
        <v>0</v>
      </c>
      <c r="Q1633" s="4" t="n">
        <v>0</v>
      </c>
      <c r="R1633" s="4" t="n">
        <v>0</v>
      </c>
      <c r="S1633" s="4" t="n">
        <v>1</v>
      </c>
      <c r="T1633" s="4" t="n">
        <v>0</v>
      </c>
      <c r="U1633" s="4" t="n">
        <v>0</v>
      </c>
      <c r="V1633" s="4" t="n">
        <v>1</v>
      </c>
      <c r="W1633" s="4" t="n">
        <v>0</v>
      </c>
    </row>
    <row r="1634" customFormat="false" ht="15" hidden="false" customHeight="false" outlineLevel="0" collapsed="false">
      <c r="A1634" s="4" t="s">
        <v>2329</v>
      </c>
      <c r="B1634" s="4" t="n">
        <v>1979</v>
      </c>
      <c r="C1634" s="4" t="str">
        <f aca="false">FLOOR(B1634,10)&amp;"s"</f>
        <v>1970s</v>
      </c>
      <c r="D1634" s="4" t="s">
        <v>292</v>
      </c>
      <c r="E1634" s="25" t="str">
        <f aca="false">IF(G1634=1,"✓","")</f>
        <v/>
      </c>
      <c r="F1634" s="4" t="n">
        <v>1</v>
      </c>
      <c r="G1634" s="4" t="n">
        <f aca="false">IF(COUNTIF('Letterboxd Watched'!$E$2:$E$3000,M1634)&gt;0,1,0)</f>
        <v>0</v>
      </c>
      <c r="H1634" s="4" t="n">
        <v>2</v>
      </c>
      <c r="I1634" s="4" t="s">
        <v>213</v>
      </c>
      <c r="J1634" s="4" t="s">
        <v>53</v>
      </c>
      <c r="K1634" s="4" t="s">
        <v>292</v>
      </c>
      <c r="L1634" s="48" t="str">
        <f aca="false">HYPERLINK("https://boxd.it/21J0","open")</f>
        <v>open</v>
      </c>
      <c r="M1634" s="4" t="str">
        <f aca="false">LOWER(A1634)&amp;"|"&amp;B1634</f>
        <v>nosferatu the vampyre|1979</v>
      </c>
      <c r="N1634" s="4" t="n">
        <v>0</v>
      </c>
      <c r="O1634" s="4" t="n">
        <v>0</v>
      </c>
      <c r="P1634" s="4" t="n">
        <v>0</v>
      </c>
      <c r="Q1634" s="4" t="n">
        <v>0</v>
      </c>
      <c r="R1634" s="4" t="n">
        <v>1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</row>
    <row r="1635" customFormat="false" ht="15" hidden="false" customHeight="false" outlineLevel="0" collapsed="false">
      <c r="A1635" s="4" t="s">
        <v>2388</v>
      </c>
      <c r="B1635" s="4" t="n">
        <v>1983</v>
      </c>
      <c r="C1635" s="4" t="str">
        <f aca="false">FLOOR(B1635,10)&amp;"s"</f>
        <v>1980s</v>
      </c>
      <c r="D1635" s="4" t="s">
        <v>210</v>
      </c>
      <c r="E1635" s="25" t="str">
        <f aca="false">IF(G1635=1,"✓","")</f>
        <v/>
      </c>
      <c r="F1635" s="4" t="n">
        <v>1</v>
      </c>
      <c r="G1635" s="4" t="n">
        <f aca="false">IF(COUNTIF('Letterboxd Watched'!$E$2:$E$3000,M1635)&gt;0,1,0)</f>
        <v>0</v>
      </c>
      <c r="H1635" s="4" t="n">
        <v>2</v>
      </c>
      <c r="I1635" s="4" t="s">
        <v>213</v>
      </c>
      <c r="J1635" s="4" t="s">
        <v>53</v>
      </c>
      <c r="K1635" s="4" t="s">
        <v>210</v>
      </c>
      <c r="L1635" s="48" t="str">
        <f aca="false">HYPERLINK("https://letterboxd.com/search/films/Nostalghia+1983/","open")</f>
        <v>open</v>
      </c>
      <c r="M1635" s="4" t="str">
        <f aca="false">LOWER(A1635)&amp;"|"&amp;B1635</f>
        <v>nostalghia|1983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1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 customFormat="false" ht="15" hidden="false" customHeight="false" outlineLevel="0" collapsed="false">
      <c r="A1636" s="4" t="s">
        <v>2950</v>
      </c>
      <c r="B1636" s="4" t="n">
        <v>2010</v>
      </c>
      <c r="C1636" s="4" t="str">
        <f aca="false">FLOOR(B1636,10)&amp;"s"</f>
        <v>2010s</v>
      </c>
      <c r="D1636" s="4" t="s">
        <v>2259</v>
      </c>
      <c r="E1636" s="25" t="str">
        <f aca="false">IF(G1636=1,"✓","")</f>
        <v/>
      </c>
      <c r="F1636" s="4" t="n">
        <v>1</v>
      </c>
      <c r="G1636" s="4" t="n">
        <f aca="false">IF(COUNTIF('Letterboxd Watched'!$E$2:$E$3000,M1636)&gt;0,1,0)</f>
        <v>0</v>
      </c>
      <c r="H1636" s="4" t="n">
        <v>2</v>
      </c>
      <c r="I1636" s="4" t="s">
        <v>213</v>
      </c>
      <c r="J1636" s="4" t="s">
        <v>52</v>
      </c>
      <c r="K1636" s="4" t="s">
        <v>4184</v>
      </c>
      <c r="L1636" s="48" t="str">
        <f aca="false">HYPERLINK("https://boxd.it/2nGM","open")</f>
        <v>open</v>
      </c>
      <c r="M1636" s="4" t="str">
        <f aca="false">LOWER(A1636)&amp;"|"&amp;B1636</f>
        <v>nostalgia for the light|2010</v>
      </c>
      <c r="N1636" s="4" t="n">
        <v>0</v>
      </c>
      <c r="O1636" s="4" t="n">
        <v>0</v>
      </c>
      <c r="P1636" s="4" t="n">
        <v>0</v>
      </c>
      <c r="Q1636" s="4" t="n">
        <v>1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 customFormat="false" ht="15" hidden="false" customHeight="false" outlineLevel="0" collapsed="false">
      <c r="A1637" s="4" t="s">
        <v>1331</v>
      </c>
      <c r="B1637" s="4" t="n">
        <v>1964</v>
      </c>
      <c r="C1637" s="4" t="str">
        <f aca="false">FLOOR(B1637,10)&amp;"s"</f>
        <v>1960s</v>
      </c>
      <c r="D1637" s="4" t="s">
        <v>1332</v>
      </c>
      <c r="E1637" s="25" t="str">
        <f aca="false">IF(G1637=1,"✓","")</f>
        <v/>
      </c>
      <c r="F1637" s="4" t="n">
        <v>2</v>
      </c>
      <c r="G1637" s="4" t="n">
        <f aca="false">IF(COUNTIF('Letterboxd Watched'!$E$2:$E$3000,M1637)&gt;0,1,0)</f>
        <v>0</v>
      </c>
      <c r="H1637" s="4" t="n">
        <v>3</v>
      </c>
      <c r="I1637" s="4" t="s">
        <v>213</v>
      </c>
      <c r="J1637" s="4" t="s">
        <v>54</v>
      </c>
      <c r="K1637" s="4" t="s">
        <v>5661</v>
      </c>
      <c r="L1637" s="48" t="str">
        <f aca="false">HYPERLINK("https://boxd.it/3dDA","open")</f>
        <v>open</v>
      </c>
      <c r="M1637" s="4" t="str">
        <f aca="false">LOWER(A1637)&amp;"|"&amp;B1637</f>
        <v>nothing but a man|1964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1</v>
      </c>
      <c r="T1637" s="4" t="n">
        <v>0</v>
      </c>
      <c r="U1637" s="4" t="n">
        <v>0</v>
      </c>
      <c r="V1637" s="4" t="n">
        <v>0</v>
      </c>
      <c r="W1637" s="4" t="n">
        <v>1</v>
      </c>
    </row>
    <row r="1638" customFormat="false" ht="15" hidden="false" customHeight="false" outlineLevel="0" collapsed="false">
      <c r="A1638" s="4" t="s">
        <v>3323</v>
      </c>
      <c r="B1638" s="4" t="n">
        <v>1937</v>
      </c>
      <c r="C1638" s="4" t="str">
        <f aca="false">FLOOR(B1638,10)&amp;"s"</f>
        <v>1930s</v>
      </c>
      <c r="D1638" s="4" t="s">
        <v>564</v>
      </c>
      <c r="E1638" s="25" t="str">
        <f aca="false">IF(G1638=1,"✓","")</f>
        <v/>
      </c>
      <c r="F1638" s="4" t="n">
        <v>1</v>
      </c>
      <c r="G1638" s="4" t="n">
        <f aca="false">IF(COUNTIF('Letterboxd Watched'!$E$2:$E$3000,M1638)&gt;0,1,0)</f>
        <v>0</v>
      </c>
      <c r="H1638" s="4" t="n">
        <v>1</v>
      </c>
      <c r="I1638" s="4" t="s">
        <v>1327</v>
      </c>
      <c r="J1638" s="4" t="s">
        <v>52</v>
      </c>
      <c r="K1638" s="4" t="s">
        <v>4096</v>
      </c>
      <c r="L1638" s="48" t="str">
        <f aca="false">HYPERLINK("https://boxd.it/17Qa","open")</f>
        <v>open</v>
      </c>
      <c r="M1638" s="4" t="str">
        <f aca="false">LOWER(A1638)&amp;"|"&amp;B1638</f>
        <v>nothing sacred|1937</v>
      </c>
      <c r="N1638" s="4" t="n">
        <v>0</v>
      </c>
      <c r="O1638" s="4" t="n">
        <v>0</v>
      </c>
      <c r="P1638" s="4" t="n">
        <v>0</v>
      </c>
      <c r="Q1638" s="4" t="n">
        <v>1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</row>
    <row r="1639" customFormat="false" ht="15" hidden="false" customHeight="false" outlineLevel="0" collapsed="false">
      <c r="A1639" s="4" t="s">
        <v>925</v>
      </c>
      <c r="B1639" s="4" t="n">
        <v>1946</v>
      </c>
      <c r="C1639" s="4" t="str">
        <f aca="false">FLOOR(B1639,10)&amp;"s"</f>
        <v>1940s</v>
      </c>
      <c r="D1639" s="4" t="s">
        <v>162</v>
      </c>
      <c r="E1639" s="25" t="str">
        <f aca="false">IF(G1639=1,"✓","")</f>
        <v/>
      </c>
      <c r="F1639" s="4" t="n">
        <v>2</v>
      </c>
      <c r="G1639" s="4" t="n">
        <f aca="false">IF(COUNTIF('Letterboxd Watched'!$E$2:$E$3000,M1639)&gt;0,1,0)</f>
        <v>0</v>
      </c>
      <c r="H1639" s="4" t="n">
        <v>4</v>
      </c>
      <c r="I1639" s="4" t="s">
        <v>213</v>
      </c>
      <c r="J1639" s="4" t="s">
        <v>52</v>
      </c>
      <c r="K1639" s="4" t="s">
        <v>5662</v>
      </c>
      <c r="L1639" s="48" t="str">
        <f aca="false">HYPERLINK("https://boxd.it/2aDK","open")</f>
        <v>open</v>
      </c>
      <c r="M1639" s="4" t="str">
        <f aca="false">LOWER(A1639)&amp;"|"&amp;B1639</f>
        <v>notorious|1946</v>
      </c>
      <c r="N1639" s="4" t="n">
        <v>0</v>
      </c>
      <c r="O1639" s="4" t="n">
        <v>0</v>
      </c>
      <c r="P1639" s="4" t="n">
        <v>0</v>
      </c>
      <c r="Q1639" s="4" t="n">
        <v>1</v>
      </c>
      <c r="R1639" s="4" t="n">
        <v>1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 customFormat="false" ht="15" hidden="false" customHeight="false" outlineLevel="0" collapsed="false">
      <c r="A1640" s="4" t="s">
        <v>582</v>
      </c>
      <c r="B1640" s="4" t="n">
        <v>1961</v>
      </c>
      <c r="C1640" s="4" t="str">
        <f aca="false">FLOOR(B1640,10)&amp;"s"</f>
        <v>1960s</v>
      </c>
      <c r="D1640" s="4" t="s">
        <v>217</v>
      </c>
      <c r="E1640" s="25" t="str">
        <f aca="false">IF(G1640=1,"✓","")</f>
        <v/>
      </c>
      <c r="F1640" s="4" t="n">
        <v>3</v>
      </c>
      <c r="G1640" s="4" t="n">
        <f aca="false">IF(COUNTIF('Letterboxd Watched'!$E$2:$E$3000,M1640)&gt;0,1,0)</f>
        <v>0</v>
      </c>
      <c r="H1640" s="4" t="n">
        <v>6</v>
      </c>
      <c r="I1640" s="4" t="s">
        <v>213</v>
      </c>
      <c r="J1640" s="4" t="s">
        <v>51</v>
      </c>
      <c r="K1640" s="4" t="s">
        <v>5663</v>
      </c>
      <c r="L1640" s="48" t="str">
        <f aca="false">HYPERLINK("https://boxd.it/10iU","open")</f>
        <v>open</v>
      </c>
      <c r="M1640" s="4" t="str">
        <f aca="false">LOWER(A1640)&amp;"|"&amp;B1640</f>
        <v>la notte|1961</v>
      </c>
      <c r="N1640" s="4" t="n">
        <v>0</v>
      </c>
      <c r="O1640" s="4" t="n">
        <v>0</v>
      </c>
      <c r="P1640" s="4" t="n">
        <v>1</v>
      </c>
      <c r="Q1640" s="4" t="n">
        <v>0</v>
      </c>
      <c r="R1640" s="4" t="n">
        <v>1</v>
      </c>
      <c r="S1640" s="4" t="n">
        <v>0</v>
      </c>
      <c r="T1640" s="4" t="n">
        <v>0</v>
      </c>
      <c r="U1640" s="4" t="n">
        <v>0</v>
      </c>
      <c r="V1640" s="4" t="n">
        <v>1</v>
      </c>
      <c r="W1640" s="4" t="n">
        <v>0</v>
      </c>
    </row>
    <row r="1641" customFormat="false" ht="15" hidden="false" customHeight="false" outlineLevel="0" collapsed="false">
      <c r="A1641" s="4" t="s">
        <v>3868</v>
      </c>
      <c r="B1641" s="4" t="n">
        <v>2025</v>
      </c>
      <c r="C1641" s="4" t="str">
        <f aca="false">FLOOR(B1641,10)&amp;"s"</f>
        <v>2020s</v>
      </c>
      <c r="D1641" s="4" t="s">
        <v>320</v>
      </c>
      <c r="E1641" s="25" t="str">
        <f aca="false">IF(G1641=1,"✓","")</f>
        <v/>
      </c>
      <c r="F1641" s="4" t="n">
        <v>1</v>
      </c>
      <c r="G1641" s="4" t="n">
        <f aca="false">IF(COUNTIF('Letterboxd Watched'!$E$2:$E$3000,M1641)&gt;0,1,0)</f>
        <v>0</v>
      </c>
      <c r="H1641" s="4" t="n">
        <v>1</v>
      </c>
      <c r="I1641" s="4" t="s">
        <v>1327</v>
      </c>
      <c r="J1641" s="4" t="s">
        <v>53</v>
      </c>
      <c r="K1641" s="4" t="s">
        <v>320</v>
      </c>
      <c r="L1641" s="48" t="str">
        <f aca="false">HYPERLINK("https://boxd.it/LLLQ","open")</f>
        <v>open</v>
      </c>
      <c r="M1641" s="4" t="str">
        <f aca="false">LOWER(A1641)&amp;"|"&amp;B1641</f>
        <v>nouvelle vague|2025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1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 customFormat="false" ht="15" hidden="false" customHeight="false" outlineLevel="0" collapsed="false">
      <c r="A1642" s="4" t="s">
        <v>1442</v>
      </c>
      <c r="B1642" s="4" t="n">
        <v>1942</v>
      </c>
      <c r="C1642" s="4" t="str">
        <f aca="false">FLOOR(B1642,10)&amp;"s"</f>
        <v>1940s</v>
      </c>
      <c r="D1642" s="4" t="s">
        <v>1443</v>
      </c>
      <c r="E1642" s="25" t="str">
        <f aca="false">IF(G1642=1,"✓","")</f>
        <v/>
      </c>
      <c r="F1642" s="4" t="n">
        <v>1</v>
      </c>
      <c r="G1642" s="4" t="n">
        <f aca="false">IF(COUNTIF('Letterboxd Watched'!$E$2:$E$3000,M1642)&gt;0,1,0)</f>
        <v>0</v>
      </c>
      <c r="H1642" s="4" t="n">
        <v>3</v>
      </c>
      <c r="I1642" s="4" t="s">
        <v>144</v>
      </c>
      <c r="J1642" s="4" t="s">
        <v>52</v>
      </c>
      <c r="K1642" s="4" t="s">
        <v>4148</v>
      </c>
      <c r="L1642" s="48" t="str">
        <f aca="false">HYPERLINK("https://boxd.it/1gvq","open")</f>
        <v>open</v>
      </c>
      <c r="M1642" s="4" t="str">
        <f aca="false">LOWER(A1642)&amp;"|"&amp;B1642</f>
        <v>now, voyager|1942</v>
      </c>
      <c r="N1642" s="4" t="n">
        <v>0</v>
      </c>
      <c r="O1642" s="4" t="n">
        <v>0</v>
      </c>
      <c r="P1642" s="4" t="n">
        <v>0</v>
      </c>
      <c r="Q1642" s="4" t="n">
        <v>1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</row>
    <row r="1643" customFormat="false" ht="15" hidden="false" customHeight="false" outlineLevel="0" collapsed="false">
      <c r="A1643" s="4" t="s">
        <v>2722</v>
      </c>
      <c r="B1643" s="4" t="n">
        <v>2000</v>
      </c>
      <c r="C1643" s="4" t="str">
        <f aca="false">FLOOR(B1643,10)&amp;"s"</f>
        <v>2000s</v>
      </c>
      <c r="D1643" s="4" t="s">
        <v>397</v>
      </c>
      <c r="E1643" s="25" t="str">
        <f aca="false">IF(G1643=1,"✓","")</f>
        <v>✓</v>
      </c>
      <c r="F1643" s="4" t="n">
        <v>1</v>
      </c>
      <c r="G1643" s="4" t="n">
        <f aca="false">IF(COUNTIF('Letterboxd Watched'!$E$2:$E$3000,M1643)&gt;0,1,0)</f>
        <v>1</v>
      </c>
      <c r="H1643" s="4" t="n">
        <v>2</v>
      </c>
      <c r="I1643" s="4" t="s">
        <v>213</v>
      </c>
      <c r="J1643" s="4" t="s">
        <v>53</v>
      </c>
      <c r="K1643" s="4" t="s">
        <v>4208</v>
      </c>
      <c r="L1643" s="48" t="str">
        <f aca="false">HYPERLINK("https://boxd.it/2b3I","open")</f>
        <v>open</v>
      </c>
      <c r="M1643" s="4" t="str">
        <f aca="false">LOWER(A1643)&amp;"|"&amp;B1643</f>
        <v>o brother, where art thou?|2000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1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 customFormat="false" ht="15" hidden="false" customHeight="false" outlineLevel="0" collapsed="false">
      <c r="A1644" s="4" t="s">
        <v>2768</v>
      </c>
      <c r="B1644" s="4" t="n">
        <v>2002</v>
      </c>
      <c r="C1644" s="4" t="str">
        <f aca="false">FLOOR(B1644,10)&amp;"s"</f>
        <v>2000s</v>
      </c>
      <c r="D1644" s="4" t="s">
        <v>1243</v>
      </c>
      <c r="E1644" s="25" t="str">
        <f aca="false">IF(G1644=1,"✓","")</f>
        <v/>
      </c>
      <c r="F1644" s="4" t="n">
        <v>1</v>
      </c>
      <c r="G1644" s="4" t="n">
        <f aca="false">IF(COUNTIF('Letterboxd Watched'!$E$2:$E$3000,M1644)&gt;0,1,0)</f>
        <v>0</v>
      </c>
      <c r="H1644" s="4" t="n">
        <v>2</v>
      </c>
      <c r="I1644" s="4" t="s">
        <v>213</v>
      </c>
      <c r="J1644" s="4" t="s">
        <v>51</v>
      </c>
      <c r="K1644" s="4" t="s">
        <v>4022</v>
      </c>
      <c r="L1644" s="48" t="str">
        <f aca="false">HYPERLINK("https://letterboxd.com/search/films/Oasis+2002/","open")</f>
        <v>open</v>
      </c>
      <c r="M1644" s="4" t="str">
        <f aca="false">LOWER(A1644)&amp;"|"&amp;B1644</f>
        <v>oasis|2002</v>
      </c>
      <c r="N1644" s="4" t="n">
        <v>0</v>
      </c>
      <c r="O1644" s="4" t="n">
        <v>0</v>
      </c>
      <c r="P1644" s="4" t="n">
        <v>1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 customFormat="false" ht="15" hidden="false" customHeight="false" outlineLevel="0" collapsed="false">
      <c r="A1645" s="4" t="s">
        <v>1355</v>
      </c>
      <c r="B1645" s="4" t="n">
        <v>1976</v>
      </c>
      <c r="C1645" s="4" t="str">
        <f aca="false">FLOOR(B1645,10)&amp;"s"</f>
        <v>1970s</v>
      </c>
      <c r="D1645" s="4" t="s">
        <v>488</v>
      </c>
      <c r="E1645" s="25" t="str">
        <f aca="false">IF(G1645=1,"✓","")</f>
        <v/>
      </c>
      <c r="F1645" s="4" t="n">
        <v>2</v>
      </c>
      <c r="G1645" s="4" t="n">
        <f aca="false">IF(COUNTIF('Letterboxd Watched'!$E$2:$E$3000,M1645)&gt;0,1,0)</f>
        <v>0</v>
      </c>
      <c r="H1645" s="4" t="n">
        <v>3</v>
      </c>
      <c r="I1645" s="4" t="s">
        <v>213</v>
      </c>
      <c r="J1645" s="4" t="s">
        <v>52</v>
      </c>
      <c r="K1645" s="4" t="s">
        <v>5664</v>
      </c>
      <c r="L1645" s="48" t="str">
        <f aca="false">HYPERLINK("https://boxd.it/23QM","open")</f>
        <v>open</v>
      </c>
      <c r="M1645" s="4" t="str">
        <f aca="false">LOWER(A1645)&amp;"|"&amp;B1645</f>
        <v>obsession|1976</v>
      </c>
      <c r="N1645" s="4" t="n">
        <v>0</v>
      </c>
      <c r="O1645" s="4" t="n">
        <v>0</v>
      </c>
      <c r="P1645" s="4" t="n">
        <v>0</v>
      </c>
      <c r="Q1645" s="4" t="n">
        <v>1</v>
      </c>
      <c r="R1645" s="4" t="n">
        <v>1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</row>
    <row r="1646" customFormat="false" ht="15" hidden="false" customHeight="false" outlineLevel="0" collapsed="false">
      <c r="A1646" s="4" t="s">
        <v>2007</v>
      </c>
      <c r="B1646" s="4" t="n">
        <v>1961</v>
      </c>
      <c r="C1646" s="4" t="str">
        <f aca="false">FLOOR(B1646,10)&amp;"s"</f>
        <v>1960s</v>
      </c>
      <c r="D1646" s="4" t="s">
        <v>2008</v>
      </c>
      <c r="E1646" s="25" t="str">
        <f aca="false">IF(G1646=1,"✓","")</f>
        <v/>
      </c>
      <c r="F1646" s="4" t="n">
        <v>1</v>
      </c>
      <c r="G1646" s="4" t="n">
        <f aca="false">IF(COUNTIF('Letterboxd Watched'!$E$2:$E$3000,M1646)&gt;0,1,0)</f>
        <v>0</v>
      </c>
      <c r="H1646" s="4" t="n">
        <v>2</v>
      </c>
      <c r="I1646" s="4" t="s">
        <v>213</v>
      </c>
      <c r="J1646" s="4" t="s">
        <v>58</v>
      </c>
      <c r="K1646" s="4" t="s">
        <v>4458</v>
      </c>
      <c r="L1646" s="48" t="str">
        <f aca="false">HYPERLINK("https://letterboxd.com/search/films/An+Occurrence+at+Owl+Creek+Bridge+1961/","open")</f>
        <v>open</v>
      </c>
      <c r="M1646" s="4" t="str">
        <f aca="false">LOWER(A1646)&amp;"|"&amp;B1646</f>
        <v>an occurrence at owl creek bridge|1961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1</v>
      </c>
    </row>
    <row r="1647" customFormat="false" ht="15" hidden="false" customHeight="false" outlineLevel="0" collapsed="false">
      <c r="A1647" s="4" t="s">
        <v>632</v>
      </c>
      <c r="B1647" s="4" t="n">
        <v>2001</v>
      </c>
      <c r="C1647" s="4" t="str">
        <f aca="false">FLOOR(B1647,10)&amp;"s"</f>
        <v>2000s</v>
      </c>
      <c r="D1647" s="4" t="s">
        <v>490</v>
      </c>
      <c r="E1647" s="25" t="str">
        <f aca="false">IF(G1647=1,"✓","")</f>
        <v>✓</v>
      </c>
      <c r="F1647" s="4" t="n">
        <v>3</v>
      </c>
      <c r="G1647" s="4" t="n">
        <f aca="false">IF(COUNTIF('Letterboxd Watched'!$E$2:$E$3000,M1647)&gt;0,1,0)</f>
        <v>1</v>
      </c>
      <c r="H1647" s="4" t="n">
        <v>6</v>
      </c>
      <c r="I1647" s="4" t="s">
        <v>213</v>
      </c>
      <c r="J1647" s="4" t="s">
        <v>52</v>
      </c>
      <c r="K1647" s="4" t="s">
        <v>5665</v>
      </c>
      <c r="L1647" s="48" t="str">
        <f aca="false">HYPERLINK("https://boxd.it/2aZm","open")</f>
        <v>open</v>
      </c>
      <c r="M1647" s="4" t="str">
        <f aca="false">LOWER(A1647)&amp;"|"&amp;B1647</f>
        <v>ocean's eleven|2001</v>
      </c>
      <c r="N1647" s="4" t="n">
        <v>0</v>
      </c>
      <c r="O1647" s="4" t="n">
        <v>0</v>
      </c>
      <c r="P1647" s="4" t="n">
        <v>0</v>
      </c>
      <c r="Q1647" s="4" t="n">
        <v>1</v>
      </c>
      <c r="R1647" s="4" t="n">
        <v>1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1</v>
      </c>
    </row>
    <row r="1648" customFormat="false" ht="15" hidden="false" customHeight="false" outlineLevel="0" collapsed="false">
      <c r="A1648" s="4" t="s">
        <v>2712</v>
      </c>
      <c r="B1648" s="4" t="n">
        <v>1999</v>
      </c>
      <c r="C1648" s="4" t="str">
        <f aca="false">FLOOR(B1648,10)&amp;"s"</f>
        <v>1990s</v>
      </c>
      <c r="D1648" s="4" t="s">
        <v>2713</v>
      </c>
      <c r="E1648" s="25" t="str">
        <f aca="false">IF(G1648=1,"✓","")</f>
        <v/>
      </c>
      <c r="F1648" s="4" t="n">
        <v>1</v>
      </c>
      <c r="G1648" s="4" t="n">
        <f aca="false">IF(COUNTIF('Letterboxd Watched'!$E$2:$E$3000,M1648)&gt;0,1,0)</f>
        <v>0</v>
      </c>
      <c r="H1648" s="4" t="n">
        <v>2</v>
      </c>
      <c r="I1648" s="4" t="s">
        <v>213</v>
      </c>
      <c r="J1648" s="4" t="s">
        <v>55</v>
      </c>
      <c r="K1648" s="4" t="s">
        <v>4338</v>
      </c>
      <c r="L1648" s="48" t="str">
        <f aca="false">HYPERLINK("https://boxd.it/1Q7u","open")</f>
        <v>open</v>
      </c>
      <c r="M1648" s="4" t="str">
        <f aca="false">LOWER(A1648)&amp;"|"&amp;B1648</f>
        <v>october sky|1999</v>
      </c>
      <c r="N1648" s="4" t="n">
        <v>0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1</v>
      </c>
      <c r="U1648" s="4" t="n">
        <v>0</v>
      </c>
      <c r="V1648" s="4" t="n">
        <v>0</v>
      </c>
      <c r="W1648" s="4" t="n">
        <v>0</v>
      </c>
    </row>
    <row r="1649" customFormat="false" ht="15" hidden="false" customHeight="false" outlineLevel="0" collapsed="false">
      <c r="A1649" s="4" t="s">
        <v>903</v>
      </c>
      <c r="B1649" s="4" t="n">
        <v>1928</v>
      </c>
      <c r="C1649" s="4" t="str">
        <f aca="false">FLOOR(B1649,10)&amp;"s"</f>
        <v>1920s</v>
      </c>
      <c r="D1649" s="4" t="s">
        <v>904</v>
      </c>
      <c r="E1649" s="25" t="str">
        <f aca="false">IF(G1649=1,"✓","")</f>
        <v/>
      </c>
      <c r="F1649" s="4" t="n">
        <v>2</v>
      </c>
      <c r="G1649" s="4" t="n">
        <f aca="false">IF(COUNTIF('Letterboxd Watched'!$E$2:$E$3000,M1649)&gt;0,1,0)</f>
        <v>0</v>
      </c>
      <c r="H1649" s="4" t="n">
        <v>4</v>
      </c>
      <c r="I1649" s="4" t="s">
        <v>213</v>
      </c>
      <c r="J1649" s="4" t="s">
        <v>50</v>
      </c>
      <c r="K1649" s="4" t="s">
        <v>5666</v>
      </c>
      <c r="L1649" s="48" t="str">
        <f aca="false">HYPERLINK("https://letterboxd.com/search/films/October+Ten+Days+that+Shook+the+World+1928/","open")</f>
        <v>open</v>
      </c>
      <c r="M1649" s="4" t="str">
        <f aca="false">LOWER(A1649)&amp;"|"&amp;B1649</f>
        <v>october (ten days that shook the world)|1928</v>
      </c>
      <c r="N1649" s="4" t="n">
        <v>0</v>
      </c>
      <c r="O1649" s="4" t="n">
        <v>1</v>
      </c>
      <c r="P1649" s="4" t="n">
        <v>0</v>
      </c>
      <c r="Q1649" s="4" t="n">
        <v>0</v>
      </c>
      <c r="R1649" s="4" t="n">
        <v>0</v>
      </c>
      <c r="S1649" s="4" t="n">
        <v>1</v>
      </c>
      <c r="T1649" s="4" t="n">
        <v>0</v>
      </c>
      <c r="U1649" s="4" t="n">
        <v>0</v>
      </c>
      <c r="V1649" s="4" t="n">
        <v>0</v>
      </c>
      <c r="W1649" s="4" t="n">
        <v>0</v>
      </c>
    </row>
    <row r="1650" customFormat="false" ht="15" hidden="false" customHeight="false" outlineLevel="0" collapsed="false">
      <c r="A1650" s="4" t="s">
        <v>1850</v>
      </c>
      <c r="B1650" s="4" t="n">
        <v>1947</v>
      </c>
      <c r="C1650" s="4" t="str">
        <f aca="false">FLOOR(B1650,10)&amp;"s"</f>
        <v>1940s</v>
      </c>
      <c r="D1650" s="4" t="s">
        <v>539</v>
      </c>
      <c r="E1650" s="25" t="str">
        <f aca="false">IF(G1650=1,"✓","")</f>
        <v/>
      </c>
      <c r="F1650" s="4" t="n">
        <v>1</v>
      </c>
      <c r="G1650" s="4" t="n">
        <f aca="false">IF(COUNTIF('Letterboxd Watched'!$E$2:$E$3000,M1650)&gt;0,1,0)</f>
        <v>0</v>
      </c>
      <c r="H1650" s="4" t="n">
        <v>2</v>
      </c>
      <c r="I1650" s="4" t="s">
        <v>213</v>
      </c>
      <c r="J1650" s="4" t="s">
        <v>57</v>
      </c>
      <c r="K1650" s="4" t="s">
        <v>4430</v>
      </c>
      <c r="L1650" s="48" t="str">
        <f aca="false">HYPERLINK("https://boxd.it/Uq4","open")</f>
        <v>open</v>
      </c>
      <c r="M1650" s="4" t="str">
        <f aca="false">LOWER(A1650)&amp;"|"&amp;B1650</f>
        <v>odd man out|1947</v>
      </c>
      <c r="N1650" s="4" t="n">
        <v>0</v>
      </c>
      <c r="O1650" s="4" t="n">
        <v>0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1</v>
      </c>
      <c r="W1650" s="4" t="n">
        <v>0</v>
      </c>
    </row>
    <row r="1651" customFormat="false" ht="15" hidden="false" customHeight="false" outlineLevel="0" collapsed="false">
      <c r="A1651" s="4" t="s">
        <v>2961</v>
      </c>
      <c r="B1651" s="4" t="n">
        <v>2010</v>
      </c>
      <c r="C1651" s="4" t="str">
        <f aca="false">FLOOR(B1651,10)&amp;"s"</f>
        <v>2010s</v>
      </c>
      <c r="D1651" s="4" t="s">
        <v>2962</v>
      </c>
      <c r="E1651" s="25" t="str">
        <f aca="false">IF(G1651=1,"✓","")</f>
        <v/>
      </c>
      <c r="F1651" s="4" t="n">
        <v>1</v>
      </c>
      <c r="G1651" s="4" t="n">
        <f aca="false">IF(COUNTIF('Letterboxd Watched'!$E$2:$E$3000,M1651)&gt;0,1,0)</f>
        <v>0</v>
      </c>
      <c r="H1651" s="4" t="n">
        <v>2</v>
      </c>
      <c r="I1651" s="4" t="s">
        <v>213</v>
      </c>
      <c r="J1651" s="4" t="s">
        <v>55</v>
      </c>
      <c r="K1651" s="4" t="s">
        <v>4330</v>
      </c>
      <c r="L1651" s="48" t="str">
        <f aca="false">HYPERLINK("https://letterboxd.com/search/films/Of+Gods+and+Men+2010/","open")</f>
        <v>open</v>
      </c>
      <c r="M1651" s="4" t="str">
        <f aca="false">LOWER(A1651)&amp;"|"&amp;B1651</f>
        <v>of gods and men|2010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1</v>
      </c>
      <c r="U1651" s="4" t="n">
        <v>0</v>
      </c>
      <c r="V1651" s="4" t="n">
        <v>0</v>
      </c>
      <c r="W1651" s="4" t="n">
        <v>0</v>
      </c>
    </row>
    <row r="1652" customFormat="false" ht="15" hidden="false" customHeight="false" outlineLevel="0" collapsed="false">
      <c r="A1652" s="4" t="s">
        <v>3520</v>
      </c>
      <c r="B1652" s="4" t="n">
        <v>1973</v>
      </c>
      <c r="C1652" s="4" t="str">
        <f aca="false">FLOOR(B1652,10)&amp;"s"</f>
        <v>1970s</v>
      </c>
      <c r="D1652" s="4" t="s">
        <v>189</v>
      </c>
      <c r="E1652" s="25" t="str">
        <f aca="false">IF(G1652=1,"✓","")</f>
        <v/>
      </c>
      <c r="F1652" s="4" t="n">
        <v>1</v>
      </c>
      <c r="G1652" s="4" t="n">
        <f aca="false">IF(COUNTIF('Letterboxd Watched'!$E$2:$E$3000,M1652)&gt;0,1,0)</f>
        <v>0</v>
      </c>
      <c r="H1652" s="4" t="n">
        <v>1</v>
      </c>
      <c r="I1652" s="4" t="s">
        <v>1327</v>
      </c>
      <c r="J1652" s="4" t="s">
        <v>53</v>
      </c>
      <c r="K1652" s="4" t="s">
        <v>189</v>
      </c>
      <c r="L1652" s="48" t="str">
        <f aca="false">HYPERLINK("https://boxd.it/1gPq","open")</f>
        <v>open</v>
      </c>
      <c r="M1652" s="4" t="str">
        <f aca="false">LOWER(A1652)&amp;"|"&amp;B1652</f>
        <v>the offence|1973</v>
      </c>
      <c r="N1652" s="4" t="n">
        <v>0</v>
      </c>
      <c r="O1652" s="4" t="n">
        <v>0</v>
      </c>
      <c r="P1652" s="4" t="n">
        <v>0</v>
      </c>
      <c r="Q1652" s="4" t="n">
        <v>0</v>
      </c>
      <c r="R1652" s="4" t="n">
        <v>1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 customFormat="false" ht="15" hidden="false" customHeight="false" outlineLevel="0" collapsed="false">
      <c r="A1653" s="4" t="s">
        <v>2701</v>
      </c>
      <c r="B1653" s="4" t="n">
        <v>1999</v>
      </c>
      <c r="C1653" s="4" t="str">
        <f aca="false">FLOOR(B1653,10)&amp;"s"</f>
        <v>1990s</v>
      </c>
      <c r="D1653" s="4" t="s">
        <v>2702</v>
      </c>
      <c r="E1653" s="25" t="str">
        <f aca="false">IF(G1653=1,"✓","")</f>
        <v>✓</v>
      </c>
      <c r="F1653" s="4" t="n">
        <v>1</v>
      </c>
      <c r="G1653" s="4" t="n">
        <f aca="false">IF(COUNTIF('Letterboxd Watched'!$E$2:$E$3000,M1653)&gt;0,1,0)</f>
        <v>1</v>
      </c>
      <c r="H1653" s="4" t="n">
        <v>2</v>
      </c>
      <c r="I1653" s="4" t="s">
        <v>213</v>
      </c>
      <c r="J1653" s="4" t="s">
        <v>52</v>
      </c>
      <c r="K1653" s="4" t="s">
        <v>4108</v>
      </c>
      <c r="L1653" s="48" t="str">
        <f aca="false">HYPERLINK("https://boxd.it/28Em","open")</f>
        <v>open</v>
      </c>
      <c r="M1653" s="4" t="str">
        <f aca="false">LOWER(A1653)&amp;"|"&amp;B1653</f>
        <v>office space|1999</v>
      </c>
      <c r="N1653" s="4" t="n">
        <v>0</v>
      </c>
      <c r="O1653" s="4" t="n">
        <v>0</v>
      </c>
      <c r="P1653" s="4" t="n">
        <v>0</v>
      </c>
      <c r="Q1653" s="4" t="n">
        <v>1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</row>
    <row r="1654" customFormat="false" ht="15" hidden="false" customHeight="false" outlineLevel="0" collapsed="false">
      <c r="A1654" s="4" t="s">
        <v>3629</v>
      </c>
      <c r="B1654" s="4" t="n">
        <v>1985</v>
      </c>
      <c r="C1654" s="4" t="str">
        <f aca="false">FLOOR(B1654,10)&amp;"s"</f>
        <v>1980s</v>
      </c>
      <c r="D1654" s="4" t="s">
        <v>3630</v>
      </c>
      <c r="E1654" s="25" t="str">
        <f aca="false">IF(G1654=1,"✓","")</f>
        <v/>
      </c>
      <c r="F1654" s="4" t="n">
        <v>1</v>
      </c>
      <c r="G1654" s="4" t="n">
        <f aca="false">IF(COUNTIF('Letterboxd Watched'!$E$2:$E$3000,M1654)&gt;0,1,0)</f>
        <v>0</v>
      </c>
      <c r="H1654" s="4" t="n">
        <v>1</v>
      </c>
      <c r="I1654" s="4" t="s">
        <v>1327</v>
      </c>
      <c r="J1654" s="4" t="s">
        <v>51</v>
      </c>
      <c r="K1654" s="4" t="s">
        <v>4008</v>
      </c>
      <c r="L1654" s="48" t="str">
        <f aca="false">HYPERLINK("https://letterboxd.com/search/films/The+Official+Story+1985/","open")</f>
        <v>open</v>
      </c>
      <c r="M1654" s="4" t="str">
        <f aca="false">LOWER(A1654)&amp;"|"&amp;B1654</f>
        <v>the official story|1985</v>
      </c>
      <c r="N1654" s="4" t="n">
        <v>0</v>
      </c>
      <c r="O1654" s="4" t="n">
        <v>0</v>
      </c>
      <c r="P1654" s="4" t="n">
        <v>1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 customFormat="false" ht="15" hidden="false" customHeight="false" outlineLevel="0" collapsed="false">
      <c r="A1655" s="4" t="s">
        <v>2851</v>
      </c>
      <c r="B1655" s="4" t="n">
        <v>2006</v>
      </c>
      <c r="C1655" s="4" t="str">
        <f aca="false">FLOOR(B1655,10)&amp;"s"</f>
        <v>2000s</v>
      </c>
      <c r="D1655" s="4" t="s">
        <v>2608</v>
      </c>
      <c r="E1655" s="25" t="str">
        <f aca="false">IF(G1655=1,"✓","")</f>
        <v/>
      </c>
      <c r="F1655" s="4" t="n">
        <v>1</v>
      </c>
      <c r="G1655" s="4" t="n">
        <f aca="false">IF(COUNTIF('Letterboxd Watched'!$E$2:$E$3000,M1655)&gt;0,1,0)</f>
        <v>0</v>
      </c>
      <c r="H1655" s="4" t="n">
        <v>2</v>
      </c>
      <c r="I1655" s="4" t="s">
        <v>213</v>
      </c>
      <c r="J1655" s="4" t="s">
        <v>51</v>
      </c>
      <c r="K1655" s="4" t="s">
        <v>4034</v>
      </c>
      <c r="L1655" s="48" t="str">
        <f aca="false">HYPERLINK("https://letterboxd.com/search/films/Offside+2006/","open")</f>
        <v>open</v>
      </c>
      <c r="M1655" s="4" t="str">
        <f aca="false">LOWER(A1655)&amp;"|"&amp;B1655</f>
        <v>offside|2006</v>
      </c>
      <c r="N1655" s="4" t="n">
        <v>0</v>
      </c>
      <c r="O1655" s="4" t="n">
        <v>0</v>
      </c>
      <c r="P1655" s="4" t="n">
        <v>1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 customFormat="false" ht="15" hidden="false" customHeight="false" outlineLevel="0" collapsed="false">
      <c r="A1656" s="4" t="s">
        <v>3841</v>
      </c>
      <c r="B1656" s="4" t="n">
        <v>2017</v>
      </c>
      <c r="C1656" s="4" t="str">
        <f aca="false">FLOOR(B1656,10)&amp;"s"</f>
        <v>2010s</v>
      </c>
      <c r="D1656" s="4" t="s">
        <v>276</v>
      </c>
      <c r="E1656" s="25" t="str">
        <f aca="false">IF(G1656=1,"✓","")</f>
        <v>✓</v>
      </c>
      <c r="F1656" s="4" t="n">
        <v>1</v>
      </c>
      <c r="G1656" s="4" t="n">
        <f aca="false">IF(COUNTIF('Letterboxd Watched'!$E$2:$E$3000,M1656)&gt;0,1,0)</f>
        <v>1</v>
      </c>
      <c r="H1656" s="4" t="n">
        <v>1</v>
      </c>
      <c r="I1656" s="4" t="s">
        <v>1327</v>
      </c>
      <c r="J1656" s="4" t="s">
        <v>53</v>
      </c>
      <c r="K1656" s="4" t="s">
        <v>4251</v>
      </c>
      <c r="L1656" s="48" t="str">
        <f aca="false">HYPERLINK("https://boxd.it/dvXe","open")</f>
        <v>open</v>
      </c>
      <c r="M1656" s="4" t="str">
        <f aca="false">LOWER(A1656)&amp;"|"&amp;B1656</f>
        <v>okja|2017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1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 customFormat="false" ht="15" hidden="false" customHeight="false" outlineLevel="0" collapsed="false">
      <c r="A1657" s="4" t="s">
        <v>1731</v>
      </c>
      <c r="B1657" s="4" t="n">
        <v>1932</v>
      </c>
      <c r="C1657" s="4" t="str">
        <f aca="false">FLOOR(B1657,10)&amp;"s"</f>
        <v>1930s</v>
      </c>
      <c r="D1657" s="4" t="s">
        <v>1432</v>
      </c>
      <c r="E1657" s="25" t="str">
        <f aca="false">IF(G1657=1,"✓","")</f>
        <v/>
      </c>
      <c r="F1657" s="4" t="n">
        <v>1</v>
      </c>
      <c r="G1657" s="4" t="n">
        <f aca="false">IF(COUNTIF('Letterboxd Watched'!$E$2:$E$3000,M1657)&gt;0,1,0)</f>
        <v>0</v>
      </c>
      <c r="H1657" s="4" t="n">
        <v>2</v>
      </c>
      <c r="I1657" s="4" t="s">
        <v>213</v>
      </c>
      <c r="J1657" s="4" t="s">
        <v>52</v>
      </c>
      <c r="K1657" s="4" t="s">
        <v>4058</v>
      </c>
      <c r="L1657" s="48" t="str">
        <f aca="false">HYPERLINK("https://boxd.it/1iL6","open")</f>
        <v>open</v>
      </c>
      <c r="M1657" s="4" t="str">
        <f aca="false">LOWER(A1657)&amp;"|"&amp;B1657</f>
        <v>the old dark house|1932</v>
      </c>
      <c r="N1657" s="4" t="n">
        <v>0</v>
      </c>
      <c r="O1657" s="4" t="n">
        <v>0</v>
      </c>
      <c r="P1657" s="4" t="n">
        <v>0</v>
      </c>
      <c r="Q1657" s="4" t="n">
        <v>1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 customFormat="false" ht="15" hidden="false" customHeight="false" outlineLevel="0" collapsed="false">
      <c r="A1658" s="4" t="s">
        <v>2859</v>
      </c>
      <c r="B1658" s="4" t="n">
        <v>2006</v>
      </c>
      <c r="C1658" s="4" t="str">
        <f aca="false">FLOOR(B1658,10)&amp;"s"</f>
        <v>2000s</v>
      </c>
      <c r="D1658" s="4" t="s">
        <v>867</v>
      </c>
      <c r="E1658" s="25" t="str">
        <f aca="false">IF(G1658=1,"✓","")</f>
        <v>✓</v>
      </c>
      <c r="F1658" s="4" t="n">
        <v>1</v>
      </c>
      <c r="G1658" s="4" t="n">
        <f aca="false">IF(COUNTIF('Letterboxd Watched'!$E$2:$E$3000,M1658)&gt;0,1,0)</f>
        <v>1</v>
      </c>
      <c r="H1658" s="4" t="n">
        <v>2</v>
      </c>
      <c r="I1658" s="4" t="s">
        <v>213</v>
      </c>
      <c r="J1658" s="4" t="s">
        <v>53</v>
      </c>
      <c r="K1658" s="4" t="s">
        <v>4219</v>
      </c>
      <c r="L1658" s="48" t="str">
        <f aca="false">HYPERLINK("https://boxd.it/1tIW","open")</f>
        <v>open</v>
      </c>
      <c r="M1658" s="4" t="str">
        <f aca="false">LOWER(A1658)&amp;"|"&amp;B1658</f>
        <v>old joy|2006</v>
      </c>
      <c r="N1658" s="4" t="n">
        <v>0</v>
      </c>
      <c r="O1658" s="4" t="n">
        <v>0</v>
      </c>
      <c r="P1658" s="4" t="n">
        <v>0</v>
      </c>
      <c r="Q1658" s="4" t="n">
        <v>0</v>
      </c>
      <c r="R1658" s="4" t="n">
        <v>1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</row>
    <row r="1659" customFormat="false" ht="15" hidden="false" customHeight="false" outlineLevel="0" collapsed="false">
      <c r="A1659" s="4" t="s">
        <v>684</v>
      </c>
      <c r="B1659" s="4" t="n">
        <v>2003</v>
      </c>
      <c r="C1659" s="4" t="str">
        <f aca="false">FLOOR(B1659,10)&amp;"s"</f>
        <v>2000s</v>
      </c>
      <c r="D1659" s="4" t="s">
        <v>685</v>
      </c>
      <c r="E1659" s="25" t="str">
        <f aca="false">IF(G1659=1,"✓","")</f>
        <v/>
      </c>
      <c r="F1659" s="4" t="n">
        <v>2</v>
      </c>
      <c r="G1659" s="4" t="n">
        <f aca="false">IF(COUNTIF('Letterboxd Watched'!$E$2:$E$3000,M1659)&gt;0,1,0)</f>
        <v>0</v>
      </c>
      <c r="H1659" s="4" t="n">
        <v>6</v>
      </c>
      <c r="I1659" s="4" t="s">
        <v>144</v>
      </c>
      <c r="J1659" s="4" t="s">
        <v>51</v>
      </c>
      <c r="K1659" s="4" t="s">
        <v>5533</v>
      </c>
      <c r="L1659" s="48" t="str">
        <f aca="false">HYPERLINK("https://boxd.it/29R2","open")</f>
        <v>open</v>
      </c>
      <c r="M1659" s="4" t="str">
        <f aca="false">LOWER(A1659)&amp;"|"&amp;B1659</f>
        <v>oldboy|2003</v>
      </c>
      <c r="N1659" s="4" t="n">
        <v>0</v>
      </c>
      <c r="O1659" s="4" t="n">
        <v>0</v>
      </c>
      <c r="P1659" s="4" t="n">
        <v>1</v>
      </c>
      <c r="Q1659" s="4" t="n">
        <v>0</v>
      </c>
      <c r="R1659" s="4" t="n">
        <v>1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 customFormat="false" ht="15" hidden="false" customHeight="false" outlineLevel="0" collapsed="false">
      <c r="A1660" s="4" t="s">
        <v>1859</v>
      </c>
      <c r="B1660" s="4" t="n">
        <v>1948</v>
      </c>
      <c r="C1660" s="4" t="str">
        <f aca="false">FLOOR(B1660,10)&amp;"s"</f>
        <v>1940s</v>
      </c>
      <c r="D1660" s="4" t="s">
        <v>255</v>
      </c>
      <c r="E1660" s="25" t="str">
        <f aca="false">IF(G1660=1,"✓","")</f>
        <v/>
      </c>
      <c r="F1660" s="4" t="n">
        <v>1</v>
      </c>
      <c r="G1660" s="4" t="n">
        <f aca="false">IF(COUNTIF('Letterboxd Watched'!$E$2:$E$3000,M1660)&gt;0,1,0)</f>
        <v>0</v>
      </c>
      <c r="H1660" s="4" t="n">
        <v>2</v>
      </c>
      <c r="I1660" s="4" t="s">
        <v>213</v>
      </c>
      <c r="J1660" s="4" t="s">
        <v>53</v>
      </c>
      <c r="K1660" s="4" t="s">
        <v>255</v>
      </c>
      <c r="L1660" s="48" t="str">
        <f aca="false">HYPERLINK("https://boxd.it/1V0e","open")</f>
        <v>open</v>
      </c>
      <c r="M1660" s="4" t="str">
        <f aca="false">LOWER(A1660)&amp;"|"&amp;B1660</f>
        <v>oliver twist|1948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1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</row>
    <row r="1661" customFormat="false" ht="15" hidden="false" customHeight="false" outlineLevel="0" collapsed="false">
      <c r="A1661" s="4" t="s">
        <v>3330</v>
      </c>
      <c r="B1661" s="4" t="n">
        <v>1938</v>
      </c>
      <c r="C1661" s="4" t="str">
        <f aca="false">FLOOR(B1661,10)&amp;"s"</f>
        <v>1930s</v>
      </c>
      <c r="D1661" s="4" t="s">
        <v>1739</v>
      </c>
      <c r="E1661" s="25" t="str">
        <f aca="false">IF(G1661=1,"✓","")</f>
        <v/>
      </c>
      <c r="F1661" s="4" t="n">
        <v>1</v>
      </c>
      <c r="G1661" s="4" t="n">
        <f aca="false">IF(COUNTIF('Letterboxd Watched'!$E$2:$E$3000,M1661)&gt;0,1,0)</f>
        <v>0</v>
      </c>
      <c r="H1661" s="4" t="n">
        <v>1</v>
      </c>
      <c r="I1661" s="4" t="s">
        <v>1327</v>
      </c>
      <c r="J1661" s="4" t="s">
        <v>55</v>
      </c>
      <c r="K1661" s="4" t="s">
        <v>4364</v>
      </c>
      <c r="L1661" s="48" t="str">
        <f aca="false">HYPERLINK("https://letterboxd.com/search/films/Olympia+1938/","open")</f>
        <v>open</v>
      </c>
      <c r="M1661" s="4" t="str">
        <f aca="false">LOWER(A1661)&amp;"|"&amp;B1661</f>
        <v>olympia|1938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1</v>
      </c>
      <c r="U1661" s="4" t="n">
        <v>0</v>
      </c>
      <c r="V1661" s="4" t="n">
        <v>0</v>
      </c>
      <c r="W1661" s="4" t="n">
        <v>0</v>
      </c>
    </row>
    <row r="1662" customFormat="false" ht="15" hidden="false" customHeight="false" outlineLevel="0" collapsed="false">
      <c r="A1662" s="4" t="s">
        <v>2285</v>
      </c>
      <c r="B1662" s="4" t="n">
        <v>1976</v>
      </c>
      <c r="C1662" s="4" t="str">
        <f aca="false">FLOOR(B1662,10)&amp;"s"</f>
        <v>1970s</v>
      </c>
      <c r="D1662" s="4" t="s">
        <v>2286</v>
      </c>
      <c r="E1662" s="25" t="str">
        <f aca="false">IF(G1662=1,"✓","")</f>
        <v/>
      </c>
      <c r="F1662" s="4" t="n">
        <v>1</v>
      </c>
      <c r="G1662" s="4" t="n">
        <f aca="false">IF(COUNTIF('Letterboxd Watched'!$E$2:$E$3000,M1662)&gt;0,1,0)</f>
        <v>0</v>
      </c>
      <c r="H1662" s="4" t="n">
        <v>2</v>
      </c>
      <c r="I1662" s="4" t="s">
        <v>213</v>
      </c>
      <c r="J1662" s="4" t="s">
        <v>52</v>
      </c>
      <c r="K1662" s="4" t="s">
        <v>4066</v>
      </c>
      <c r="L1662" s="48" t="str">
        <f aca="false">HYPERLINK("https://boxd.it/29By","open")</f>
        <v>open</v>
      </c>
      <c r="M1662" s="4" t="str">
        <f aca="false">LOWER(A1662)&amp;"|"&amp;B1662</f>
        <v>the omen|1976</v>
      </c>
      <c r="N1662" s="4" t="n">
        <v>0</v>
      </c>
      <c r="O1662" s="4" t="n">
        <v>0</v>
      </c>
      <c r="P1662" s="4" t="n">
        <v>0</v>
      </c>
      <c r="Q1662" s="4" t="n">
        <v>1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</row>
    <row r="1663" customFormat="false" ht="15" hidden="false" customHeight="false" outlineLevel="0" collapsed="false">
      <c r="A1663" s="4" t="s">
        <v>3836</v>
      </c>
      <c r="B1663" s="4" t="n">
        <v>2017</v>
      </c>
      <c r="C1663" s="4" t="str">
        <f aca="false">FLOOR(B1663,10)&amp;"s"</f>
        <v>2010s</v>
      </c>
      <c r="D1663" s="4" t="s">
        <v>3837</v>
      </c>
      <c r="E1663" s="25" t="str">
        <f aca="false">IF(G1663=1,"✓","")</f>
        <v/>
      </c>
      <c r="F1663" s="4" t="n">
        <v>1</v>
      </c>
      <c r="G1663" s="4" t="n">
        <f aca="false">IF(COUNTIF('Letterboxd Watched'!$E$2:$E$3000,M1663)&gt;0,1,0)</f>
        <v>0</v>
      </c>
      <c r="H1663" s="4" t="n">
        <v>1</v>
      </c>
      <c r="I1663" s="4" t="s">
        <v>1327</v>
      </c>
      <c r="J1663" s="4" t="s">
        <v>51</v>
      </c>
      <c r="K1663" s="4" t="s">
        <v>3998</v>
      </c>
      <c r="L1663" s="48" t="str">
        <f aca="false">HYPERLINK("https://letterboxd.com/search/films/On+Body+and+Soul+2017/","open")</f>
        <v>open</v>
      </c>
      <c r="M1663" s="4" t="str">
        <f aca="false">LOWER(A1663)&amp;"|"&amp;B1663</f>
        <v>on body and soul|2017</v>
      </c>
      <c r="N1663" s="4" t="n">
        <v>0</v>
      </c>
      <c r="O1663" s="4" t="n">
        <v>0</v>
      </c>
      <c r="P1663" s="4" t="n">
        <v>1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 customFormat="false" ht="15" hidden="false" customHeight="false" outlineLevel="0" collapsed="false">
      <c r="A1664" s="4" t="s">
        <v>3357</v>
      </c>
      <c r="B1664" s="4" t="n">
        <v>1951</v>
      </c>
      <c r="C1664" s="4" t="str">
        <f aca="false">FLOOR(B1664,10)&amp;"s"</f>
        <v>1950s</v>
      </c>
      <c r="D1664" s="4" t="s">
        <v>270</v>
      </c>
      <c r="E1664" s="25" t="str">
        <f aca="false">IF(G1664=1,"✓","")</f>
        <v/>
      </c>
      <c r="F1664" s="4" t="n">
        <v>1</v>
      </c>
      <c r="G1664" s="4" t="n">
        <f aca="false">IF(COUNTIF('Letterboxd Watched'!$E$2:$E$3000,M1664)&gt;0,1,0)</f>
        <v>0</v>
      </c>
      <c r="H1664" s="4" t="n">
        <v>1</v>
      </c>
      <c r="I1664" s="4" t="s">
        <v>1327</v>
      </c>
      <c r="J1664" s="4" t="s">
        <v>53</v>
      </c>
      <c r="K1664" s="4" t="s">
        <v>4194</v>
      </c>
      <c r="L1664" s="48" t="str">
        <f aca="false">HYPERLINK("https://letterboxd.com/search/films/On+Dangerous+Ground+1951/","open")</f>
        <v>open</v>
      </c>
      <c r="M1664" s="4" t="str">
        <f aca="false">LOWER(A1664)&amp;"|"&amp;B1664</f>
        <v>on dangerous ground|1951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1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  <row r="1665" customFormat="false" ht="15" hidden="false" customHeight="false" outlineLevel="0" collapsed="false">
      <c r="A1665" s="4" t="s">
        <v>1968</v>
      </c>
      <c r="B1665" s="4" t="n">
        <v>1959</v>
      </c>
      <c r="C1665" s="4" t="str">
        <f aca="false">FLOOR(B1665,10)&amp;"s"</f>
        <v>1950s</v>
      </c>
      <c r="D1665" s="4" t="s">
        <v>1969</v>
      </c>
      <c r="E1665" s="25" t="str">
        <f aca="false">IF(G1665=1,"✓","")</f>
        <v/>
      </c>
      <c r="F1665" s="4" t="n">
        <v>1</v>
      </c>
      <c r="G1665" s="4" t="n">
        <f aca="false">IF(COUNTIF('Letterboxd Watched'!$E$2:$E$3000,M1665)&gt;0,1,0)</f>
        <v>0</v>
      </c>
      <c r="H1665" s="4" t="n">
        <v>2</v>
      </c>
      <c r="I1665" s="4" t="s">
        <v>213</v>
      </c>
      <c r="J1665" s="4" t="s">
        <v>55</v>
      </c>
      <c r="K1665" s="4" t="s">
        <v>4342</v>
      </c>
      <c r="L1665" s="48" t="str">
        <f aca="false">HYPERLINK("https://boxd.it/1cpe","open")</f>
        <v>open</v>
      </c>
      <c r="M1665" s="4" t="str">
        <f aca="false">LOWER(A1665)&amp;"|"&amp;B1665</f>
        <v>on the beach|1959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1</v>
      </c>
      <c r="U1665" s="4" t="n">
        <v>0</v>
      </c>
      <c r="V1665" s="4" t="n">
        <v>0</v>
      </c>
      <c r="W1665" s="4" t="n">
        <v>0</v>
      </c>
    </row>
    <row r="1666" customFormat="false" ht="15" hidden="false" customHeight="false" outlineLevel="0" collapsed="false">
      <c r="A1666" s="4" t="s">
        <v>1636</v>
      </c>
      <c r="B1666" s="4" t="n">
        <v>2017</v>
      </c>
      <c r="C1666" s="4" t="str">
        <f aca="false">FLOOR(B1666,10)&amp;"s"</f>
        <v>2010s</v>
      </c>
      <c r="D1666" s="4" t="s">
        <v>1628</v>
      </c>
      <c r="E1666" s="25" t="str">
        <f aca="false">IF(G1666=1,"✓","")</f>
        <v/>
      </c>
      <c r="F1666" s="4" t="n">
        <v>1</v>
      </c>
      <c r="G1666" s="4" t="n">
        <f aca="false">IF(COUNTIF('Letterboxd Watched'!$E$2:$E$3000,M1666)&gt;0,1,0)</f>
        <v>0</v>
      </c>
      <c r="H1666" s="4" t="n">
        <v>3</v>
      </c>
      <c r="I1666" s="4" t="s">
        <v>144</v>
      </c>
      <c r="J1666" s="4" t="s">
        <v>53</v>
      </c>
      <c r="K1666" s="4" t="s">
        <v>1628</v>
      </c>
      <c r="L1666" s="48" t="str">
        <f aca="false">HYPERLINK("https://letterboxd.com/search/films/On+the+Beach+at+Night+Alone+2017/","open")</f>
        <v>open</v>
      </c>
      <c r="M1666" s="4" t="str">
        <f aca="false">LOWER(A1666)&amp;"|"&amp;B1666</f>
        <v>on the beach at night alone|2017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1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</row>
    <row r="1667" customFormat="false" ht="15" hidden="false" customHeight="false" outlineLevel="0" collapsed="false">
      <c r="A1667" s="4" t="s">
        <v>931</v>
      </c>
      <c r="B1667" s="4" t="n">
        <v>1949</v>
      </c>
      <c r="C1667" s="4" t="str">
        <f aca="false">FLOOR(B1667,10)&amp;"s"</f>
        <v>1940s</v>
      </c>
      <c r="D1667" s="4" t="s">
        <v>225</v>
      </c>
      <c r="E1667" s="25" t="str">
        <f aca="false">IF(G1667=1,"✓","")</f>
        <v/>
      </c>
      <c r="F1667" s="4" t="n">
        <v>2</v>
      </c>
      <c r="G1667" s="4" t="n">
        <f aca="false">IF(COUNTIF('Letterboxd Watched'!$E$2:$E$3000,M1667)&gt;0,1,0)</f>
        <v>0</v>
      </c>
      <c r="H1667" s="4" t="n">
        <v>4</v>
      </c>
      <c r="I1667" s="4" t="s">
        <v>213</v>
      </c>
      <c r="J1667" s="4" t="s">
        <v>52</v>
      </c>
      <c r="K1667" s="4" t="s">
        <v>5667</v>
      </c>
      <c r="L1667" s="48" t="str">
        <f aca="false">HYPERLINK("https://boxd.it/1iVg","open")</f>
        <v>open</v>
      </c>
      <c r="M1667" s="4" t="str">
        <f aca="false">LOWER(A1667)&amp;"|"&amp;B1667</f>
        <v>on the town|1949</v>
      </c>
      <c r="N1667" s="4" t="n">
        <v>0</v>
      </c>
      <c r="O1667" s="4" t="n">
        <v>0</v>
      </c>
      <c r="P1667" s="4" t="n">
        <v>0</v>
      </c>
      <c r="Q1667" s="4" t="n">
        <v>1</v>
      </c>
      <c r="R1667" s="4" t="n">
        <v>0</v>
      </c>
      <c r="S1667" s="4" t="n">
        <v>0</v>
      </c>
      <c r="T1667" s="4" t="n">
        <v>1</v>
      </c>
      <c r="U1667" s="4" t="n">
        <v>0</v>
      </c>
      <c r="V1667" s="4" t="n">
        <v>0</v>
      </c>
      <c r="W1667" s="4" t="n">
        <v>0</v>
      </c>
    </row>
    <row r="1668" customFormat="false" ht="15" hidden="false" customHeight="false" outlineLevel="0" collapsed="false">
      <c r="A1668" s="4" t="s">
        <v>374</v>
      </c>
      <c r="B1668" s="4" t="n">
        <v>1954</v>
      </c>
      <c r="C1668" s="4" t="str">
        <f aca="false">FLOOR(B1668,10)&amp;"s"</f>
        <v>1950s</v>
      </c>
      <c r="D1668" s="4" t="s">
        <v>375</v>
      </c>
      <c r="E1668" s="25" t="str">
        <f aca="false">IF(G1668=1,"✓","")</f>
        <v/>
      </c>
      <c r="F1668" s="4" t="n">
        <v>4</v>
      </c>
      <c r="G1668" s="4" t="n">
        <f aca="false">IF(COUNTIF('Letterboxd Watched'!$E$2:$E$3000,M1668)&gt;0,1,0)</f>
        <v>0</v>
      </c>
      <c r="H1668" s="4" t="n">
        <v>9</v>
      </c>
      <c r="I1668" s="4" t="s">
        <v>144</v>
      </c>
      <c r="J1668" s="4" t="s">
        <v>50</v>
      </c>
      <c r="K1668" s="4" t="s">
        <v>5668</v>
      </c>
      <c r="L1668" s="48" t="str">
        <f aca="false">HYPERLINK("https://boxd.it/29TC","open")</f>
        <v>open</v>
      </c>
      <c r="M1668" s="4" t="str">
        <f aca="false">LOWER(A1668)&amp;"|"&amp;B1668</f>
        <v>on the waterfront|1954</v>
      </c>
      <c r="N1668" s="4" t="n">
        <v>0</v>
      </c>
      <c r="O1668" s="4" t="n">
        <v>1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1</v>
      </c>
      <c r="U1668" s="4" t="n">
        <v>0</v>
      </c>
      <c r="V1668" s="4" t="n">
        <v>1</v>
      </c>
      <c r="W1668" s="4" t="n">
        <v>0</v>
      </c>
    </row>
    <row r="1669" customFormat="false" ht="15" hidden="false" customHeight="false" outlineLevel="0" collapsed="false">
      <c r="A1669" s="4" t="s">
        <v>1405</v>
      </c>
      <c r="B1669" s="4" t="n">
        <v>2007</v>
      </c>
      <c r="C1669" s="4" t="str">
        <f aca="false">FLOOR(B1669,10)&amp;"s"</f>
        <v>2000s</v>
      </c>
      <c r="D1669" s="4" t="s">
        <v>1406</v>
      </c>
      <c r="E1669" s="25" t="str">
        <f aca="false">IF(G1669=1,"✓","")</f>
        <v/>
      </c>
      <c r="F1669" s="4" t="n">
        <v>2</v>
      </c>
      <c r="G1669" s="4" t="n">
        <f aca="false">IF(COUNTIF('Letterboxd Watched'!$E$2:$E$3000,M1669)&gt;0,1,0)</f>
        <v>0</v>
      </c>
      <c r="H1669" s="4" t="n">
        <v>3</v>
      </c>
      <c r="I1669" s="4" t="s">
        <v>213</v>
      </c>
      <c r="J1669" s="4" t="s">
        <v>52</v>
      </c>
      <c r="K1669" s="4" t="s">
        <v>5669</v>
      </c>
      <c r="L1669" s="48" t="str">
        <f aca="false">HYPERLINK("https://boxd.it/22GG","open")</f>
        <v>open</v>
      </c>
      <c r="M1669" s="4" t="str">
        <f aca="false">LOWER(A1669)&amp;"|"&amp;B1669</f>
        <v>once|2007</v>
      </c>
      <c r="N1669" s="4" t="n">
        <v>0</v>
      </c>
      <c r="O1669" s="4" t="n">
        <v>0</v>
      </c>
      <c r="P1669" s="4" t="n">
        <v>0</v>
      </c>
      <c r="Q1669" s="4" t="n">
        <v>1</v>
      </c>
      <c r="R1669" s="4" t="n">
        <v>0</v>
      </c>
      <c r="S1669" s="4" t="n">
        <v>0</v>
      </c>
      <c r="T1669" s="4" t="n">
        <v>1</v>
      </c>
      <c r="U1669" s="4" t="n">
        <v>0</v>
      </c>
      <c r="V1669" s="4" t="n">
        <v>0</v>
      </c>
      <c r="W1669" s="4" t="n">
        <v>0</v>
      </c>
    </row>
    <row r="1670" customFormat="false" ht="15" hidden="false" customHeight="false" outlineLevel="0" collapsed="false">
      <c r="A1670" s="4" t="s">
        <v>394</v>
      </c>
      <c r="B1670" s="4" t="n">
        <v>1984</v>
      </c>
      <c r="C1670" s="4" t="str">
        <f aca="false">FLOOR(B1670,10)&amp;"s"</f>
        <v>1980s</v>
      </c>
      <c r="D1670" s="4" t="s">
        <v>395</v>
      </c>
      <c r="E1670" s="25" t="str">
        <f aca="false">IF(G1670=1,"✓","")</f>
        <v/>
      </c>
      <c r="F1670" s="4" t="n">
        <v>4</v>
      </c>
      <c r="G1670" s="4" t="n">
        <f aca="false">IF(COUNTIF('Letterboxd Watched'!$E$2:$E$3000,M1670)&gt;0,1,0)</f>
        <v>0</v>
      </c>
      <c r="H1670" s="4" t="n">
        <v>8</v>
      </c>
      <c r="I1670" s="4" t="s">
        <v>213</v>
      </c>
      <c r="J1670" s="4" t="s">
        <v>50</v>
      </c>
      <c r="K1670" s="4" t="s">
        <v>5670</v>
      </c>
      <c r="L1670" s="48" t="str">
        <f aca="false">HYPERLINK("https://boxd.it/2aCs","open")</f>
        <v>open</v>
      </c>
      <c r="M1670" s="4" t="str">
        <f aca="false">LOWER(A1670)&amp;"|"&amp;B1670</f>
        <v>once upon a time in america|1984</v>
      </c>
      <c r="N1670" s="4" t="n">
        <v>0</v>
      </c>
      <c r="O1670" s="4" t="n">
        <v>1</v>
      </c>
      <c r="P1670" s="4" t="n">
        <v>0</v>
      </c>
      <c r="Q1670" s="4" t="n">
        <v>1</v>
      </c>
      <c r="R1670" s="4" t="n">
        <v>1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1</v>
      </c>
    </row>
    <row r="1671" customFormat="false" ht="15" hidden="false" customHeight="false" outlineLevel="0" collapsed="false">
      <c r="A1671" s="4" t="s">
        <v>2969</v>
      </c>
      <c r="B1671" s="4" t="n">
        <v>2011</v>
      </c>
      <c r="C1671" s="4" t="str">
        <f aca="false">FLOOR(B1671,10)&amp;"s"</f>
        <v>2010s</v>
      </c>
      <c r="D1671" s="4" t="s">
        <v>1213</v>
      </c>
      <c r="E1671" s="25" t="str">
        <f aca="false">IF(G1671=1,"✓","")</f>
        <v/>
      </c>
      <c r="F1671" s="4" t="n">
        <v>1</v>
      </c>
      <c r="G1671" s="4" t="n">
        <f aca="false">IF(COUNTIF('Letterboxd Watched'!$E$2:$E$3000,M1671)&gt;0,1,0)</f>
        <v>0</v>
      </c>
      <c r="H1671" s="4" t="n">
        <v>2</v>
      </c>
      <c r="I1671" s="4" t="s">
        <v>213</v>
      </c>
      <c r="J1671" s="4" t="s">
        <v>51</v>
      </c>
      <c r="K1671" s="4" t="s">
        <v>4034</v>
      </c>
      <c r="L1671" s="48" t="str">
        <f aca="false">HYPERLINK("https://boxd.it/2yHG","open")</f>
        <v>open</v>
      </c>
      <c r="M1671" s="4" t="str">
        <f aca="false">LOWER(A1671)&amp;"|"&amp;B1671</f>
        <v>once upon a time in anatolia|2011</v>
      </c>
      <c r="N1671" s="4" t="n">
        <v>0</v>
      </c>
      <c r="O1671" s="4" t="n">
        <v>0</v>
      </c>
      <c r="P1671" s="4" t="n">
        <v>1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</row>
    <row r="1672" customFormat="false" ht="15" hidden="false" customHeight="false" outlineLevel="0" collapsed="false">
      <c r="A1672" s="4" t="s">
        <v>2522</v>
      </c>
      <c r="B1672" s="4" t="n">
        <v>1991</v>
      </c>
      <c r="C1672" s="4" t="str">
        <f aca="false">FLOOR(B1672,10)&amp;"s"</f>
        <v>1990s</v>
      </c>
      <c r="D1672" s="4" t="s">
        <v>2523</v>
      </c>
      <c r="E1672" s="25" t="str">
        <f aca="false">IF(G1672=1,"✓","")</f>
        <v/>
      </c>
      <c r="F1672" s="4" t="n">
        <v>1</v>
      </c>
      <c r="G1672" s="4" t="n">
        <f aca="false">IF(COUNTIF('Letterboxd Watched'!$E$2:$E$3000,M1672)&gt;0,1,0)</f>
        <v>0</v>
      </c>
      <c r="H1672" s="4" t="n">
        <v>2</v>
      </c>
      <c r="I1672" s="4" t="s">
        <v>213</v>
      </c>
      <c r="J1672" s="4" t="s">
        <v>51</v>
      </c>
      <c r="K1672" s="4" t="s">
        <v>4012</v>
      </c>
      <c r="L1672" s="48" t="str">
        <f aca="false">HYPERLINK("https://boxd.it/1VOy","open")</f>
        <v>open</v>
      </c>
      <c r="M1672" s="4" t="str">
        <f aca="false">LOWER(A1672)&amp;"|"&amp;B1672</f>
        <v>once upon a time in china|1991</v>
      </c>
      <c r="N1672" s="4" t="n">
        <v>0</v>
      </c>
      <c r="O1672" s="4" t="n">
        <v>0</v>
      </c>
      <c r="P1672" s="4" t="n">
        <v>1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</row>
    <row r="1673" customFormat="false" ht="15" hidden="false" customHeight="false" outlineLevel="0" collapsed="false">
      <c r="A1673" s="4" t="s">
        <v>3179</v>
      </c>
      <c r="B1673" s="4" t="n">
        <v>2019</v>
      </c>
      <c r="C1673" s="4" t="str">
        <f aca="false">FLOOR(B1673,10)&amp;"s"</f>
        <v>2010s</v>
      </c>
      <c r="D1673" s="4" t="s">
        <v>208</v>
      </c>
      <c r="E1673" s="25" t="str">
        <f aca="false">IF(G1673=1,"✓","")</f>
        <v>✓</v>
      </c>
      <c r="F1673" s="4" t="n">
        <v>1</v>
      </c>
      <c r="G1673" s="4" t="n">
        <f aca="false">IF(COUNTIF('Letterboxd Watched'!$E$2:$E$3000,M1673)&gt;0,1,0)</f>
        <v>1</v>
      </c>
      <c r="H1673" s="4" t="n">
        <v>2</v>
      </c>
      <c r="I1673" s="4" t="s">
        <v>213</v>
      </c>
      <c r="J1673" s="4" t="s">
        <v>53</v>
      </c>
      <c r="K1673" s="4" t="s">
        <v>208</v>
      </c>
      <c r="L1673" s="48" t="str">
        <f aca="false">HYPERLINK("https://boxd.it/gH0O","open")</f>
        <v>open</v>
      </c>
      <c r="M1673" s="4" t="str">
        <f aca="false">LOWER(A1673)&amp;"|"&amp;B1673</f>
        <v>once upon a time... in hollywood|2019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1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</row>
    <row r="1674" customFormat="false" ht="15" hidden="false" customHeight="false" outlineLevel="0" collapsed="false">
      <c r="A1674" s="4" t="s">
        <v>473</v>
      </c>
      <c r="B1674" s="4" t="n">
        <v>1968</v>
      </c>
      <c r="C1674" s="4" t="str">
        <f aca="false">FLOOR(B1674,10)&amp;"s"</f>
        <v>1960s</v>
      </c>
      <c r="D1674" s="4" t="s">
        <v>395</v>
      </c>
      <c r="E1674" s="25" t="str">
        <f aca="false">IF(G1674=1,"✓","")</f>
        <v>✓</v>
      </c>
      <c r="F1674" s="4" t="n">
        <v>3</v>
      </c>
      <c r="G1674" s="4" t="n">
        <f aca="false">IF(COUNTIF('Letterboxd Watched'!$E$2:$E$3000,M1674)&gt;0,1,0)</f>
        <v>1</v>
      </c>
      <c r="H1674" s="4" t="n">
        <v>7</v>
      </c>
      <c r="I1674" s="4" t="s">
        <v>144</v>
      </c>
      <c r="J1674" s="4" t="s">
        <v>49</v>
      </c>
      <c r="K1674" s="4" t="s">
        <v>5671</v>
      </c>
      <c r="L1674" s="48" t="str">
        <f aca="false">HYPERLINK("https://boxd.it/2az4","open")</f>
        <v>open</v>
      </c>
      <c r="M1674" s="4" t="str">
        <f aca="false">LOWER(A1674)&amp;"|"&amp;B1674</f>
        <v>once upon a time in the west|1968</v>
      </c>
      <c r="N1674" s="4" t="n">
        <v>1</v>
      </c>
      <c r="O1674" s="4" t="n">
        <v>0</v>
      </c>
      <c r="P1674" s="4" t="n">
        <v>1</v>
      </c>
      <c r="Q1674" s="4" t="n">
        <v>0</v>
      </c>
      <c r="R1674" s="4" t="n">
        <v>1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</row>
    <row r="1675" customFormat="false" ht="15" hidden="false" customHeight="false" outlineLevel="0" collapsed="false">
      <c r="A1675" s="4" t="s">
        <v>1108</v>
      </c>
      <c r="B1675" s="4" t="n">
        <v>1994</v>
      </c>
      <c r="C1675" s="4" t="str">
        <f aca="false">FLOOR(B1675,10)&amp;"s"</f>
        <v>1990s</v>
      </c>
      <c r="D1675" s="4" t="s">
        <v>1109</v>
      </c>
      <c r="E1675" s="25" t="str">
        <f aca="false">IF(G1675=1,"✓","")</f>
        <v/>
      </c>
      <c r="F1675" s="4" t="n">
        <v>2</v>
      </c>
      <c r="G1675" s="4" t="n">
        <f aca="false">IF(COUNTIF('Letterboxd Watched'!$E$2:$E$3000,M1675)&gt;0,1,0)</f>
        <v>0</v>
      </c>
      <c r="H1675" s="4" t="n">
        <v>4</v>
      </c>
      <c r="I1675" s="4" t="s">
        <v>213</v>
      </c>
      <c r="J1675" s="4" t="s">
        <v>51</v>
      </c>
      <c r="K1675" s="4" t="s">
        <v>5672</v>
      </c>
      <c r="L1675" s="48" t="str">
        <f aca="false">HYPERLINK("https://boxd.it/2acY","open")</f>
        <v>open</v>
      </c>
      <c r="M1675" s="4" t="str">
        <f aca="false">LOWER(A1675)&amp;"|"&amp;B1675</f>
        <v>once were warriors|1994</v>
      </c>
      <c r="N1675" s="4" t="n">
        <v>0</v>
      </c>
      <c r="O1675" s="4" t="n">
        <v>0</v>
      </c>
      <c r="P1675" s="4" t="n">
        <v>1</v>
      </c>
      <c r="Q1675" s="4" t="n">
        <v>0</v>
      </c>
      <c r="R1675" s="4" t="n">
        <v>0</v>
      </c>
      <c r="S1675" s="4" t="n">
        <v>1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 customFormat="false" ht="15" hidden="false" customHeight="false" outlineLevel="0" collapsed="false">
      <c r="A1676" s="4" t="s">
        <v>3448</v>
      </c>
      <c r="B1676" s="4" t="n">
        <v>1967</v>
      </c>
      <c r="C1676" s="4" t="str">
        <f aca="false">FLOOR(B1676,10)&amp;"s"</f>
        <v>1960s</v>
      </c>
      <c r="D1676" s="4" t="s">
        <v>1039</v>
      </c>
      <c r="E1676" s="25" t="str">
        <f aca="false">IF(G1676=1,"✓","")</f>
        <v/>
      </c>
      <c r="F1676" s="4" t="n">
        <v>1</v>
      </c>
      <c r="G1676" s="4" t="n">
        <f aca="false">IF(COUNTIF('Letterboxd Watched'!$E$2:$E$3000,M1676)&gt;0,1,0)</f>
        <v>0</v>
      </c>
      <c r="H1676" s="4" t="n">
        <v>1</v>
      </c>
      <c r="I1676" s="4" t="s">
        <v>1327</v>
      </c>
      <c r="J1676" s="4" t="s">
        <v>51</v>
      </c>
      <c r="K1676" s="4" t="s">
        <v>4014</v>
      </c>
      <c r="L1676" s="48" t="str">
        <f aca="false">HYPERLINK("https://letterboxd.com/search/films/OneArmed+Swordsman+1967/","open")</f>
        <v>open</v>
      </c>
      <c r="M1676" s="4" t="str">
        <f aca="false">LOWER(A1676)&amp;"|"&amp;B1676</f>
        <v>one-armed swordsman|1967</v>
      </c>
      <c r="N1676" s="4" t="n">
        <v>0</v>
      </c>
      <c r="O1676" s="4" t="n">
        <v>0</v>
      </c>
      <c r="P1676" s="4" t="n">
        <v>1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</row>
    <row r="1677" customFormat="false" ht="15" hidden="false" customHeight="false" outlineLevel="0" collapsed="false">
      <c r="A1677" s="4" t="s">
        <v>3268</v>
      </c>
      <c r="B1677" s="4" t="n">
        <v>2025</v>
      </c>
      <c r="C1677" s="4" t="str">
        <f aca="false">FLOOR(B1677,10)&amp;"s"</f>
        <v>2020s</v>
      </c>
      <c r="D1677" s="4" t="s">
        <v>278</v>
      </c>
      <c r="E1677" s="25" t="str">
        <f aca="false">IF(G1677=1,"✓","")</f>
        <v>✓</v>
      </c>
      <c r="F1677" s="4" t="n">
        <v>1</v>
      </c>
      <c r="G1677" s="4" t="n">
        <f aca="false">IF(COUNTIF('Letterboxd Watched'!$E$2:$E$3000,M1677)&gt;0,1,0)</f>
        <v>1</v>
      </c>
      <c r="H1677" s="4" t="n">
        <v>2</v>
      </c>
      <c r="I1677" s="4" t="s">
        <v>213</v>
      </c>
      <c r="J1677" s="4" t="s">
        <v>53</v>
      </c>
      <c r="K1677" s="4" t="s">
        <v>278</v>
      </c>
      <c r="L1677" s="48" t="str">
        <f aca="false">HYPERLINK("https://boxd.it/DUHM","open")</f>
        <v>open</v>
      </c>
      <c r="M1677" s="4" t="str">
        <f aca="false">LOWER(A1677)&amp;"|"&amp;B1677</f>
        <v>one battle after another|2025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1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</row>
    <row r="1678" customFormat="false" ht="15" hidden="false" customHeight="false" outlineLevel="0" collapsed="false">
      <c r="A1678" s="4" t="s">
        <v>3118</v>
      </c>
      <c r="B1678" s="4" t="n">
        <v>2017</v>
      </c>
      <c r="C1678" s="4" t="str">
        <f aca="false">FLOOR(B1678,10)&amp;"s"</f>
        <v>2010s</v>
      </c>
      <c r="D1678" s="4" t="s">
        <v>3119</v>
      </c>
      <c r="E1678" s="25" t="str">
        <f aca="false">IF(G1678=1,"✓","")</f>
        <v/>
      </c>
      <c r="F1678" s="4" t="n">
        <v>1</v>
      </c>
      <c r="G1678" s="4" t="n">
        <f aca="false">IF(COUNTIF('Letterboxd Watched'!$E$2:$E$3000,M1678)&gt;0,1,0)</f>
        <v>0</v>
      </c>
      <c r="H1678" s="4" t="n">
        <v>2</v>
      </c>
      <c r="I1678" s="4" t="s">
        <v>213</v>
      </c>
      <c r="J1678" s="4" t="s">
        <v>52</v>
      </c>
      <c r="K1678" s="4" t="s">
        <v>4068</v>
      </c>
      <c r="L1678" s="48" t="str">
        <f aca="false">HYPERLINK("https://boxd.it/iAFu","open")</f>
        <v>open</v>
      </c>
      <c r="M1678" s="4" t="str">
        <f aca="false">LOWER(A1678)&amp;"|"&amp;B1678</f>
        <v>one cut of the dead|2017</v>
      </c>
      <c r="N1678" s="4" t="n">
        <v>0</v>
      </c>
      <c r="O1678" s="4" t="n">
        <v>0</v>
      </c>
      <c r="P1678" s="4" t="n">
        <v>0</v>
      </c>
      <c r="Q1678" s="4" t="n">
        <v>1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</row>
    <row r="1679" customFormat="false" ht="15" hidden="false" customHeight="false" outlineLevel="0" collapsed="false">
      <c r="A1679" s="4" t="s">
        <v>547</v>
      </c>
      <c r="B1679" s="4" t="n">
        <v>1975</v>
      </c>
      <c r="C1679" s="4" t="str">
        <f aca="false">FLOOR(B1679,10)&amp;"s"</f>
        <v>1970s</v>
      </c>
      <c r="D1679" s="4" t="s">
        <v>548</v>
      </c>
      <c r="E1679" s="25" t="str">
        <f aca="false">IF(G1679=1,"✓","")</f>
        <v>✓</v>
      </c>
      <c r="F1679" s="4" t="n">
        <v>3</v>
      </c>
      <c r="G1679" s="4" t="n">
        <f aca="false">IF(COUNTIF('Letterboxd Watched'!$E$2:$E$3000,M1679)&gt;0,1,0)</f>
        <v>1</v>
      </c>
      <c r="H1679" s="4" t="n">
        <v>7</v>
      </c>
      <c r="I1679" s="4" t="s">
        <v>144</v>
      </c>
      <c r="J1679" s="4" t="s">
        <v>55</v>
      </c>
      <c r="K1679" s="4" t="s">
        <v>5673</v>
      </c>
      <c r="L1679" s="48" t="str">
        <f aca="false">HYPERLINK("https://boxd.it/2aeA","open")</f>
        <v>open</v>
      </c>
      <c r="M1679" s="4" t="str">
        <f aca="false">LOWER(A1679)&amp;"|"&amp;B1679</f>
        <v>one flew over the cuckoo's nest|1975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1</v>
      </c>
      <c r="U1679" s="4" t="n">
        <v>0</v>
      </c>
      <c r="V1679" s="4" t="n">
        <v>1</v>
      </c>
      <c r="W1679" s="4" t="n">
        <v>0</v>
      </c>
    </row>
    <row r="1680" customFormat="false" ht="15" hidden="false" customHeight="false" outlineLevel="0" collapsed="false">
      <c r="A1680" s="4" t="s">
        <v>2365</v>
      </c>
      <c r="B1680" s="4" t="n">
        <v>1982</v>
      </c>
      <c r="C1680" s="4" t="str">
        <f aca="false">FLOOR(B1680,10)&amp;"s"</f>
        <v>1980s</v>
      </c>
      <c r="D1680" s="4" t="s">
        <v>172</v>
      </c>
      <c r="E1680" s="25" t="str">
        <f aca="false">IF(G1680=1,"✓","")</f>
        <v>✓</v>
      </c>
      <c r="F1680" s="4" t="n">
        <v>1</v>
      </c>
      <c r="G1680" s="4" t="n">
        <f aca="false">IF(COUNTIF('Letterboxd Watched'!$E$2:$E$3000,M1680)&gt;0,1,0)</f>
        <v>1</v>
      </c>
      <c r="H1680" s="4" t="n">
        <v>2</v>
      </c>
      <c r="I1680" s="4" t="s">
        <v>213</v>
      </c>
      <c r="J1680" s="4" t="s">
        <v>53</v>
      </c>
      <c r="K1680" s="4" t="s">
        <v>172</v>
      </c>
      <c r="L1680" s="48" t="str">
        <f aca="false">HYPERLINK("https://boxd.it/ZJq","open")</f>
        <v>open</v>
      </c>
      <c r="M1680" s="4" t="str">
        <f aca="false">LOWER(A1680)&amp;"|"&amp;B1680</f>
        <v>one from the heart|1982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1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</row>
    <row r="1681" customFormat="false" ht="15" hidden="false" customHeight="false" outlineLevel="0" collapsed="false">
      <c r="A1681" s="4" t="s">
        <v>2299</v>
      </c>
      <c r="B1681" s="4" t="n">
        <v>1977</v>
      </c>
      <c r="C1681" s="4" t="str">
        <f aca="false">FLOOR(B1681,10)&amp;"s"</f>
        <v>1970s</v>
      </c>
      <c r="D1681" s="4" t="s">
        <v>158</v>
      </c>
      <c r="E1681" s="25" t="str">
        <f aca="false">IF(G1681=1,"✓","")</f>
        <v/>
      </c>
      <c r="F1681" s="4" t="n">
        <v>1</v>
      </c>
      <c r="G1681" s="4" t="n">
        <f aca="false">IF(COUNTIF('Letterboxd Watched'!$E$2:$E$3000,M1681)&gt;0,1,0)</f>
        <v>0</v>
      </c>
      <c r="H1681" s="4" t="n">
        <v>2</v>
      </c>
      <c r="I1681" s="4" t="s">
        <v>213</v>
      </c>
      <c r="J1681" s="4" t="s">
        <v>53</v>
      </c>
      <c r="K1681" s="4" t="s">
        <v>158</v>
      </c>
      <c r="L1681" s="48" t="str">
        <f aca="false">HYPERLINK("https://boxd.it/98s","open")</f>
        <v>open</v>
      </c>
      <c r="M1681" s="4" t="str">
        <f aca="false">LOWER(A1681)&amp;"|"&amp;B1681</f>
        <v>one sings, the other doesn't|1977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1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 customFormat="false" ht="15" hidden="false" customHeight="false" outlineLevel="0" collapsed="false">
      <c r="A1682" s="4" t="s">
        <v>1997</v>
      </c>
      <c r="B1682" s="4" t="n">
        <v>1961</v>
      </c>
      <c r="C1682" s="4" t="str">
        <f aca="false">FLOOR(B1682,10)&amp;"s"</f>
        <v>1960s</v>
      </c>
      <c r="D1682" s="4" t="s">
        <v>200</v>
      </c>
      <c r="E1682" s="25" t="str">
        <f aca="false">IF(G1682=1,"✓","")</f>
        <v/>
      </c>
      <c r="F1682" s="4" t="n">
        <v>1</v>
      </c>
      <c r="G1682" s="4" t="n">
        <f aca="false">IF(COUNTIF('Letterboxd Watched'!$E$2:$E$3000,M1682)&gt;0,1,0)</f>
        <v>0</v>
      </c>
      <c r="H1682" s="4" t="n">
        <v>2</v>
      </c>
      <c r="I1682" s="4" t="s">
        <v>213</v>
      </c>
      <c r="J1682" s="4" t="s">
        <v>53</v>
      </c>
      <c r="K1682" s="4" t="s">
        <v>200</v>
      </c>
      <c r="L1682" s="48" t="str">
        <f aca="false">HYPERLINK("https://boxd.it/2ap4","open")</f>
        <v>open</v>
      </c>
      <c r="M1682" s="4" t="str">
        <f aca="false">LOWER(A1682)&amp;"|"&amp;B1682</f>
        <v>one, two, three|1961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1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</row>
    <row r="1683" customFormat="false" ht="15" hidden="false" customHeight="false" outlineLevel="0" collapsed="false">
      <c r="A1683" s="4" t="s">
        <v>3275</v>
      </c>
      <c r="B1683" s="4" t="n">
        <v>1920</v>
      </c>
      <c r="C1683" s="4" t="str">
        <f aca="false">FLOOR(B1683,10)&amp;"s"</f>
        <v>1920s</v>
      </c>
      <c r="D1683" s="4" t="s">
        <v>3276</v>
      </c>
      <c r="E1683" s="25" t="str">
        <f aca="false">IF(G1683=1,"✓","")</f>
        <v/>
      </c>
      <c r="F1683" s="4" t="n">
        <v>1</v>
      </c>
      <c r="G1683" s="4" t="n">
        <f aca="false">IF(COUNTIF('Letterboxd Watched'!$E$2:$E$3000,M1683)&gt;0,1,0)</f>
        <v>0</v>
      </c>
      <c r="H1683" s="4" t="n">
        <v>1</v>
      </c>
      <c r="I1683" s="4" t="s">
        <v>1327</v>
      </c>
      <c r="J1683" s="4" t="s">
        <v>50</v>
      </c>
      <c r="K1683" s="4" t="s">
        <v>3896</v>
      </c>
      <c r="L1683" s="48" t="str">
        <f aca="false">HYPERLINK("https://boxd.it/1zr8","open")</f>
        <v>open</v>
      </c>
      <c r="M1683" s="4" t="str">
        <f aca="false">LOWER(A1683)&amp;"|"&amp;B1683</f>
        <v>one week|1920</v>
      </c>
      <c r="N1683" s="4" t="n">
        <v>0</v>
      </c>
      <c r="O1683" s="4" t="n">
        <v>1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 customFormat="false" ht="15" hidden="false" customHeight="false" outlineLevel="0" collapsed="false">
      <c r="A1684" s="4" t="s">
        <v>376</v>
      </c>
      <c r="B1684" s="4" t="n">
        <v>1964</v>
      </c>
      <c r="C1684" s="4" t="str">
        <f aca="false">FLOOR(B1684,10)&amp;"s"</f>
        <v>1960s</v>
      </c>
      <c r="D1684" s="4" t="s">
        <v>377</v>
      </c>
      <c r="E1684" s="25" t="str">
        <f aca="false">IF(G1684=1,"✓","")</f>
        <v/>
      </c>
      <c r="F1684" s="4" t="n">
        <v>4</v>
      </c>
      <c r="G1684" s="4" t="n">
        <f aca="false">IF(COUNTIF('Letterboxd Watched'!$E$2:$E$3000,M1684)&gt;0,1,0)</f>
        <v>0</v>
      </c>
      <c r="H1684" s="4" t="n">
        <v>9</v>
      </c>
      <c r="I1684" s="4" t="s">
        <v>144</v>
      </c>
      <c r="J1684" s="4" t="s">
        <v>51</v>
      </c>
      <c r="K1684" s="4" t="s">
        <v>5674</v>
      </c>
      <c r="L1684" s="48" t="str">
        <f aca="false">HYPERLINK("https://boxd.it/252a","open")</f>
        <v>open</v>
      </c>
      <c r="M1684" s="4" t="str">
        <f aca="false">LOWER(A1684)&amp;"|"&amp;B1684</f>
        <v>onibaba|1964</v>
      </c>
      <c r="N1684" s="4" t="n">
        <v>0</v>
      </c>
      <c r="O1684" s="4" t="n">
        <v>0</v>
      </c>
      <c r="P1684" s="4" t="n">
        <v>1</v>
      </c>
      <c r="Q1684" s="4" t="n">
        <v>1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1</v>
      </c>
      <c r="W1684" s="4" t="n">
        <v>0</v>
      </c>
    </row>
    <row r="1685" customFormat="false" ht="15" hidden="false" customHeight="false" outlineLevel="0" collapsed="false">
      <c r="A1685" s="4" t="s">
        <v>1309</v>
      </c>
      <c r="B1685" s="4" t="n">
        <v>1939</v>
      </c>
      <c r="C1685" s="4" t="str">
        <f aca="false">FLOOR(B1685,10)&amp;"s"</f>
        <v>1930s</v>
      </c>
      <c r="D1685" s="4" t="s">
        <v>168</v>
      </c>
      <c r="E1685" s="25" t="str">
        <f aca="false">IF(G1685=1,"✓","")</f>
        <v>✓</v>
      </c>
      <c r="F1685" s="4" t="n">
        <v>2</v>
      </c>
      <c r="G1685" s="4" t="n">
        <f aca="false">IF(COUNTIF('Letterboxd Watched'!$E$2:$E$3000,M1685)&gt;0,1,0)</f>
        <v>1</v>
      </c>
      <c r="H1685" s="4" t="n">
        <v>3</v>
      </c>
      <c r="I1685" s="4" t="s">
        <v>213</v>
      </c>
      <c r="J1685" s="4" t="s">
        <v>50</v>
      </c>
      <c r="K1685" s="4" t="s">
        <v>5675</v>
      </c>
      <c r="L1685" s="48" t="str">
        <f aca="false">HYPERLINK("https://boxd.it/Ttw","open")</f>
        <v>open</v>
      </c>
      <c r="M1685" s="4" t="str">
        <f aca="false">LOWER(A1685)&amp;"|"&amp;B1685</f>
        <v>only angels have wings|1939</v>
      </c>
      <c r="N1685" s="4" t="n">
        <v>0</v>
      </c>
      <c r="O1685" s="4" t="n">
        <v>1</v>
      </c>
      <c r="P1685" s="4" t="n">
        <v>0</v>
      </c>
      <c r="Q1685" s="4" t="n">
        <v>0</v>
      </c>
      <c r="R1685" s="4" t="n">
        <v>1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</row>
    <row r="1686" customFormat="false" ht="15" hidden="false" customHeight="false" outlineLevel="0" collapsed="false">
      <c r="A1686" s="4" t="s">
        <v>3033</v>
      </c>
      <c r="B1686" s="4" t="n">
        <v>2013</v>
      </c>
      <c r="C1686" s="4" t="str">
        <f aca="false">FLOOR(B1686,10)&amp;"s"</f>
        <v>2010s</v>
      </c>
      <c r="D1686" s="4" t="s">
        <v>615</v>
      </c>
      <c r="E1686" s="25" t="str">
        <f aca="false">IF(G1686=1,"✓","")</f>
        <v/>
      </c>
      <c r="F1686" s="4" t="n">
        <v>1</v>
      </c>
      <c r="G1686" s="4" t="n">
        <f aca="false">IF(COUNTIF('Letterboxd Watched'!$E$2:$E$3000,M1686)&gt;0,1,0)</f>
        <v>0</v>
      </c>
      <c r="H1686" s="4" t="n">
        <v>2</v>
      </c>
      <c r="I1686" s="4" t="s">
        <v>213</v>
      </c>
      <c r="J1686" s="4" t="s">
        <v>53</v>
      </c>
      <c r="K1686" s="4" t="s">
        <v>615</v>
      </c>
      <c r="L1686" s="48" t="str">
        <f aca="false">HYPERLINK("https://boxd.it/4O1U","open")</f>
        <v>open</v>
      </c>
      <c r="M1686" s="4" t="str">
        <f aca="false">LOWER(A1686)&amp;"|"&amp;B1686</f>
        <v>only lovers left alive|2013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1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</row>
    <row r="1687" customFormat="false" ht="15" hidden="false" customHeight="false" outlineLevel="0" collapsed="false">
      <c r="A1687" s="4" t="s">
        <v>3321</v>
      </c>
      <c r="B1687" s="4" t="n">
        <v>1936</v>
      </c>
      <c r="C1687" s="4" t="str">
        <f aca="false">FLOOR(B1687,10)&amp;"s"</f>
        <v>1930s</v>
      </c>
      <c r="D1687" s="4" t="s">
        <v>146</v>
      </c>
      <c r="E1687" s="25" t="str">
        <f aca="false">IF(G1687=1,"✓","")</f>
        <v/>
      </c>
      <c r="F1687" s="4" t="n">
        <v>1</v>
      </c>
      <c r="G1687" s="4" t="n">
        <f aca="false">IF(COUNTIF('Letterboxd Watched'!$E$2:$E$3000,M1687)&gt;0,1,0)</f>
        <v>0</v>
      </c>
      <c r="H1687" s="4" t="n">
        <v>1</v>
      </c>
      <c r="I1687" s="4" t="s">
        <v>1327</v>
      </c>
      <c r="J1687" s="4" t="s">
        <v>53</v>
      </c>
      <c r="K1687" s="4" t="s">
        <v>146</v>
      </c>
      <c r="L1687" s="48" t="str">
        <f aca="false">HYPERLINK("https://boxd.it/zX2","open")</f>
        <v>open</v>
      </c>
      <c r="M1687" s="4" t="str">
        <f aca="false">LOWER(A1687)&amp;"|"&amp;B1687</f>
        <v>the only son|1936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1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</row>
    <row r="1688" customFormat="false" ht="15" hidden="false" customHeight="false" outlineLevel="0" collapsed="false">
      <c r="A1688" s="4" t="s">
        <v>2532</v>
      </c>
      <c r="B1688" s="4" t="n">
        <v>1991</v>
      </c>
      <c r="C1688" s="4" t="str">
        <f aca="false">FLOOR(B1688,10)&amp;"s"</f>
        <v>1990s</v>
      </c>
      <c r="D1688" s="4" t="s">
        <v>611</v>
      </c>
      <c r="E1688" s="25" t="str">
        <f aca="false">IF(G1688=1,"✓","")</f>
        <v/>
      </c>
      <c r="F1688" s="4" t="n">
        <v>1</v>
      </c>
      <c r="G1688" s="4" t="n">
        <f aca="false">IF(COUNTIF('Letterboxd Watched'!$E$2:$E$3000,M1688)&gt;0,1,0)</f>
        <v>0</v>
      </c>
      <c r="H1688" s="4" t="n">
        <v>2</v>
      </c>
      <c r="I1688" s="4" t="s">
        <v>213</v>
      </c>
      <c r="J1688" s="4" t="s">
        <v>53</v>
      </c>
      <c r="K1688" s="4" t="s">
        <v>4248</v>
      </c>
      <c r="L1688" s="48" t="str">
        <f aca="false">HYPERLINK("https://boxd.it/1MR4","open")</f>
        <v>open</v>
      </c>
      <c r="M1688" s="4" t="str">
        <f aca="false">LOWER(A1688)&amp;"|"&amp;B1688</f>
        <v>only yesterday|1991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1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 customFormat="false" ht="15" hidden="false" customHeight="false" outlineLevel="0" collapsed="false">
      <c r="A1689" s="4" t="s">
        <v>1037</v>
      </c>
      <c r="B1689" s="4" t="n">
        <v>1977</v>
      </c>
      <c r="C1689" s="4" t="str">
        <f aca="false">FLOOR(B1689,10)&amp;"s"</f>
        <v>1970s</v>
      </c>
      <c r="D1689" s="4" t="s">
        <v>801</v>
      </c>
      <c r="E1689" s="25" t="str">
        <f aca="false">IF(G1689=1,"✓","")</f>
        <v/>
      </c>
      <c r="F1689" s="4" t="n">
        <v>2</v>
      </c>
      <c r="G1689" s="4" t="n">
        <f aca="false">IF(COUNTIF('Letterboxd Watched'!$E$2:$E$3000,M1689)&gt;0,1,0)</f>
        <v>0</v>
      </c>
      <c r="H1689" s="4" t="n">
        <v>4</v>
      </c>
      <c r="I1689" s="4" t="s">
        <v>213</v>
      </c>
      <c r="J1689" s="4" t="s">
        <v>53</v>
      </c>
      <c r="K1689" s="4" t="s">
        <v>5676</v>
      </c>
      <c r="L1689" s="48" t="str">
        <f aca="false">HYPERLINK("https://boxd.it/1f4e","open")</f>
        <v>open</v>
      </c>
      <c r="M1689" s="4" t="str">
        <f aca="false">LOWER(A1689)&amp;"|"&amp;B1689</f>
        <v>opening night|1977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1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1</v>
      </c>
    </row>
    <row r="1690" customFormat="false" ht="15" hidden="false" customHeight="false" outlineLevel="0" collapsed="false">
      <c r="A1690" s="4" t="s">
        <v>556</v>
      </c>
      <c r="B1690" s="4" t="n">
        <v>2023</v>
      </c>
      <c r="C1690" s="4" t="str">
        <f aca="false">FLOOR(B1690,10)&amp;"s"</f>
        <v>2020s</v>
      </c>
      <c r="D1690" s="4" t="s">
        <v>342</v>
      </c>
      <c r="E1690" s="25" t="str">
        <f aca="false">IF(G1690=1,"✓","")</f>
        <v>✓</v>
      </c>
      <c r="F1690" s="4" t="n">
        <v>3</v>
      </c>
      <c r="G1690" s="4" t="n">
        <f aca="false">IF(COUNTIF('Letterboxd Watched'!$E$2:$E$3000,M1690)&gt;0,1,0)</f>
        <v>1</v>
      </c>
      <c r="H1690" s="4" t="n">
        <v>7</v>
      </c>
      <c r="I1690" s="4" t="s">
        <v>144</v>
      </c>
      <c r="J1690" s="4" t="s">
        <v>53</v>
      </c>
      <c r="K1690" s="4" t="s">
        <v>5677</v>
      </c>
      <c r="L1690" s="48" t="str">
        <f aca="false">HYPERLINK("https://boxd.it/wUow","open")</f>
        <v>open</v>
      </c>
      <c r="M1690" s="4" t="str">
        <f aca="false">LOWER(A1690)&amp;"|"&amp;B1690</f>
        <v>oppenheimer|2023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1</v>
      </c>
      <c r="S1690" s="4" t="n">
        <v>0</v>
      </c>
      <c r="T1690" s="4" t="n">
        <v>1</v>
      </c>
      <c r="U1690" s="4" t="n">
        <v>0</v>
      </c>
      <c r="V1690" s="4" t="n">
        <v>0</v>
      </c>
      <c r="W1690" s="4" t="n">
        <v>0</v>
      </c>
    </row>
    <row r="1691" customFormat="false" ht="15" hidden="false" customHeight="false" outlineLevel="0" collapsed="false">
      <c r="A1691" s="4" t="s">
        <v>385</v>
      </c>
      <c r="B1691" s="4" t="n">
        <v>1955</v>
      </c>
      <c r="C1691" s="4" t="str">
        <f aca="false">FLOOR(B1691,10)&amp;"s"</f>
        <v>1950s</v>
      </c>
      <c r="D1691" s="4" t="s">
        <v>246</v>
      </c>
      <c r="E1691" s="25" t="str">
        <f aca="false">IF(G1691=1,"✓","")</f>
        <v/>
      </c>
      <c r="F1691" s="4" t="n">
        <v>4</v>
      </c>
      <c r="G1691" s="4" t="n">
        <f aca="false">IF(COUNTIF('Letterboxd Watched'!$E$2:$E$3000,M1691)&gt;0,1,0)</f>
        <v>0</v>
      </c>
      <c r="H1691" s="4" t="n">
        <v>8</v>
      </c>
      <c r="I1691" s="4" t="s">
        <v>213</v>
      </c>
      <c r="J1691" s="4" t="s">
        <v>51</v>
      </c>
      <c r="K1691" s="4" t="s">
        <v>5678</v>
      </c>
      <c r="L1691" s="48" t="str">
        <f aca="false">HYPERLINK("https://boxd.it/Jiy","open")</f>
        <v>open</v>
      </c>
      <c r="M1691" s="4" t="str">
        <f aca="false">LOWER(A1691)&amp;"|"&amp;B1691</f>
        <v>ordet|1955</v>
      </c>
      <c r="N1691" s="4" t="n">
        <v>0</v>
      </c>
      <c r="O1691" s="4" t="n">
        <v>0</v>
      </c>
      <c r="P1691" s="4" t="n">
        <v>1</v>
      </c>
      <c r="Q1691" s="4" t="n">
        <v>0</v>
      </c>
      <c r="R1691" s="4" t="n">
        <v>0</v>
      </c>
      <c r="S1691" s="4" t="n">
        <v>1</v>
      </c>
      <c r="T1691" s="4" t="n">
        <v>1</v>
      </c>
      <c r="U1691" s="4" t="n">
        <v>0</v>
      </c>
      <c r="V1691" s="4" t="n">
        <v>0</v>
      </c>
      <c r="W1691" s="4" t="n">
        <v>1</v>
      </c>
    </row>
    <row r="1692" customFormat="false" ht="15" hidden="false" customHeight="false" outlineLevel="0" collapsed="false">
      <c r="A1692" s="4" t="s">
        <v>1522</v>
      </c>
      <c r="B1692" s="4" t="n">
        <v>1980</v>
      </c>
      <c r="C1692" s="4" t="str">
        <f aca="false">FLOOR(B1692,10)&amp;"s"</f>
        <v>1980s</v>
      </c>
      <c r="D1692" s="4" t="s">
        <v>1523</v>
      </c>
      <c r="E1692" s="25" t="str">
        <f aca="false">IF(G1692=1,"✓","")</f>
        <v/>
      </c>
      <c r="F1692" s="4" t="n">
        <v>1</v>
      </c>
      <c r="G1692" s="4" t="n">
        <f aca="false">IF(COUNTIF('Letterboxd Watched'!$E$2:$E$3000,M1692)&gt;0,1,0)</f>
        <v>0</v>
      </c>
      <c r="H1692" s="4" t="n">
        <v>3</v>
      </c>
      <c r="I1692" s="4" t="s">
        <v>144</v>
      </c>
      <c r="J1692" s="4" t="s">
        <v>55</v>
      </c>
      <c r="K1692" s="4" t="s">
        <v>4332</v>
      </c>
      <c r="L1692" s="48" t="str">
        <f aca="false">HYPERLINK("https://boxd.it/1JTm","open")</f>
        <v>open</v>
      </c>
      <c r="M1692" s="4" t="str">
        <f aca="false">LOWER(A1692)&amp;"|"&amp;B1692</f>
        <v>ordinary people|1980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0</v>
      </c>
      <c r="T1692" s="4" t="n">
        <v>1</v>
      </c>
      <c r="U1692" s="4" t="n">
        <v>0</v>
      </c>
      <c r="V1692" s="4" t="n">
        <v>0</v>
      </c>
      <c r="W1692" s="4" t="n">
        <v>0</v>
      </c>
    </row>
    <row r="1693" customFormat="false" ht="15" hidden="false" customHeight="false" outlineLevel="0" collapsed="false">
      <c r="A1693" s="4" t="s">
        <v>2874</v>
      </c>
      <c r="B1693" s="4" t="n">
        <v>2007</v>
      </c>
      <c r="C1693" s="4" t="str">
        <f aca="false">FLOOR(B1693,10)&amp;"s"</f>
        <v>2000s</v>
      </c>
      <c r="D1693" s="4" t="s">
        <v>2875</v>
      </c>
      <c r="E1693" s="25" t="str">
        <f aca="false">IF(G1693=1,"✓","")</f>
        <v/>
      </c>
      <c r="F1693" s="4" t="n">
        <v>1</v>
      </c>
      <c r="G1693" s="4" t="n">
        <f aca="false">IF(COUNTIF('Letterboxd Watched'!$E$2:$E$3000,M1693)&gt;0,1,0)</f>
        <v>0</v>
      </c>
      <c r="H1693" s="4" t="n">
        <v>2</v>
      </c>
      <c r="I1693" s="4" t="s">
        <v>213</v>
      </c>
      <c r="J1693" s="4" t="s">
        <v>52</v>
      </c>
      <c r="K1693" s="4" t="s">
        <v>4082</v>
      </c>
      <c r="L1693" s="48" t="str">
        <f aca="false">HYPERLINK("https://boxd.it/2bfE","open")</f>
        <v>open</v>
      </c>
      <c r="M1693" s="4" t="str">
        <f aca="false">LOWER(A1693)&amp;"|"&amp;B1693</f>
        <v>the orphanage|2007</v>
      </c>
      <c r="N1693" s="4" t="n">
        <v>0</v>
      </c>
      <c r="O1693" s="4" t="n">
        <v>0</v>
      </c>
      <c r="P1693" s="4" t="n">
        <v>0</v>
      </c>
      <c r="Q1693" s="4" t="n">
        <v>1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 customFormat="false" ht="15" hidden="false" customHeight="false" outlineLevel="0" collapsed="false">
      <c r="A1694" s="4" t="s">
        <v>1879</v>
      </c>
      <c r="B1694" s="4" t="n">
        <v>1950</v>
      </c>
      <c r="C1694" s="4" t="str">
        <f aca="false">FLOOR(B1694,10)&amp;"s"</f>
        <v>1950s</v>
      </c>
      <c r="D1694" s="4" t="s">
        <v>1737</v>
      </c>
      <c r="E1694" s="25" t="str">
        <f aca="false">IF(G1694=1,"✓","")</f>
        <v/>
      </c>
      <c r="F1694" s="4" t="n">
        <v>1</v>
      </c>
      <c r="G1694" s="4" t="n">
        <f aca="false">IF(COUNTIF('Letterboxd Watched'!$E$2:$E$3000,M1694)&gt;0,1,0)</f>
        <v>0</v>
      </c>
      <c r="H1694" s="4" t="n">
        <v>2</v>
      </c>
      <c r="I1694" s="4" t="s">
        <v>213</v>
      </c>
      <c r="J1694" s="4" t="s">
        <v>52</v>
      </c>
      <c r="K1694" s="4" t="s">
        <v>4180</v>
      </c>
      <c r="L1694" s="48" t="str">
        <f aca="false">HYPERLINK("https://boxd.it/247o","open")</f>
        <v>open</v>
      </c>
      <c r="M1694" s="4" t="str">
        <f aca="false">LOWER(A1694)&amp;"|"&amp;B1694</f>
        <v>orpheus|1950</v>
      </c>
      <c r="N1694" s="4" t="n">
        <v>0</v>
      </c>
      <c r="O1694" s="4" t="n">
        <v>0</v>
      </c>
      <c r="P1694" s="4" t="n">
        <v>0</v>
      </c>
      <c r="Q1694" s="4" t="n">
        <v>1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</row>
    <row r="1695" customFormat="false" ht="15" hidden="false" customHeight="false" outlineLevel="0" collapsed="false">
      <c r="A1695" s="4" t="s">
        <v>1803</v>
      </c>
      <c r="B1695" s="4" t="n">
        <v>1943</v>
      </c>
      <c r="C1695" s="4" t="str">
        <f aca="false">FLOOR(B1695,10)&amp;"s"</f>
        <v>1940s</v>
      </c>
      <c r="D1695" s="4" t="s">
        <v>461</v>
      </c>
      <c r="E1695" s="25" t="str">
        <f aca="false">IF(G1695=1,"✓","")</f>
        <v/>
      </c>
      <c r="F1695" s="4" t="n">
        <v>1</v>
      </c>
      <c r="G1695" s="4" t="n">
        <f aca="false">IF(COUNTIF('Letterboxd Watched'!$E$2:$E$3000,M1695)&gt;0,1,0)</f>
        <v>0</v>
      </c>
      <c r="H1695" s="4" t="n">
        <v>2</v>
      </c>
      <c r="I1695" s="4" t="s">
        <v>213</v>
      </c>
      <c r="J1695" s="4" t="s">
        <v>51</v>
      </c>
      <c r="K1695" s="4" t="s">
        <v>3942</v>
      </c>
      <c r="L1695" s="48" t="str">
        <f aca="false">HYPERLINK("https://letterboxd.com/search/films/Ossessione+1943/","open")</f>
        <v>open</v>
      </c>
      <c r="M1695" s="4" t="str">
        <f aca="false">LOWER(A1695)&amp;"|"&amp;B1695</f>
        <v>ossessione|1943</v>
      </c>
      <c r="N1695" s="4" t="n">
        <v>0</v>
      </c>
      <c r="O1695" s="4" t="n">
        <v>0</v>
      </c>
      <c r="P1695" s="4" t="n">
        <v>1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</row>
    <row r="1696" customFormat="false" ht="15" hidden="false" customHeight="false" outlineLevel="0" collapsed="false">
      <c r="A1696" s="4" t="s">
        <v>1884</v>
      </c>
      <c r="B1696" s="4" t="n">
        <v>1951</v>
      </c>
      <c r="C1696" s="4" t="str">
        <f aca="false">FLOOR(B1696,10)&amp;"s"</f>
        <v>1950s</v>
      </c>
      <c r="D1696" s="4" t="s">
        <v>143</v>
      </c>
      <c r="E1696" s="25" t="str">
        <f aca="false">IF(G1696=1,"✓","")</f>
        <v/>
      </c>
      <c r="F1696" s="4" t="n">
        <v>1</v>
      </c>
      <c r="G1696" s="4" t="n">
        <f aca="false">IF(COUNTIF('Letterboxd Watched'!$E$2:$E$3000,M1696)&gt;0,1,0)</f>
        <v>0</v>
      </c>
      <c r="H1696" s="4" t="n">
        <v>2</v>
      </c>
      <c r="I1696" s="4" t="s">
        <v>213</v>
      </c>
      <c r="J1696" s="4" t="s">
        <v>53</v>
      </c>
      <c r="K1696" s="4" t="s">
        <v>143</v>
      </c>
      <c r="L1696" s="48" t="str">
        <f aca="false">HYPERLINK("https://boxd.it/K5A","open")</f>
        <v>open</v>
      </c>
      <c r="M1696" s="4" t="str">
        <f aca="false">LOWER(A1696)&amp;"|"&amp;B1696</f>
        <v>othello|1951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1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</row>
    <row r="1697" customFormat="false" ht="15" hidden="false" customHeight="false" outlineLevel="0" collapsed="false">
      <c r="A1697" s="4" t="s">
        <v>3847</v>
      </c>
      <c r="B1697" s="4" t="n">
        <v>2018</v>
      </c>
      <c r="C1697" s="4" t="str">
        <f aca="false">FLOOR(B1697,10)&amp;"s"</f>
        <v>2010s</v>
      </c>
      <c r="D1697" s="4" t="s">
        <v>143</v>
      </c>
      <c r="E1697" s="25" t="str">
        <f aca="false">IF(G1697=1,"✓","")</f>
        <v/>
      </c>
      <c r="F1697" s="4" t="n">
        <v>1</v>
      </c>
      <c r="G1697" s="4" t="n">
        <f aca="false">IF(COUNTIF('Letterboxd Watched'!$E$2:$E$3000,M1697)&gt;0,1,0)</f>
        <v>0</v>
      </c>
      <c r="H1697" s="4" t="n">
        <v>1</v>
      </c>
      <c r="I1697" s="4" t="s">
        <v>1327</v>
      </c>
      <c r="J1697" s="4" t="s">
        <v>53</v>
      </c>
      <c r="K1697" s="4" t="s">
        <v>143</v>
      </c>
      <c r="L1697" s="48" t="str">
        <f aca="false">HYPERLINK("https://boxd.it/9w5Y","open")</f>
        <v>open</v>
      </c>
      <c r="M1697" s="4" t="str">
        <f aca="false">LOWER(A1697)&amp;"|"&amp;B1697</f>
        <v>the other side of the wind|2018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1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</row>
    <row r="1698" customFormat="false" ht="15" hidden="false" customHeight="false" outlineLevel="0" collapsed="false">
      <c r="A1698" s="4" t="s">
        <v>1144</v>
      </c>
      <c r="B1698" s="4" t="n">
        <v>2001</v>
      </c>
      <c r="C1698" s="4" t="str">
        <f aca="false">FLOOR(B1698,10)&amp;"s"</f>
        <v>2000s</v>
      </c>
      <c r="D1698" s="4" t="s">
        <v>1145</v>
      </c>
      <c r="E1698" s="25" t="str">
        <f aca="false">IF(G1698=1,"✓","")</f>
        <v/>
      </c>
      <c r="F1698" s="4" t="n">
        <v>2</v>
      </c>
      <c r="G1698" s="4" t="n">
        <f aca="false">IF(COUNTIF('Letterboxd Watched'!$E$2:$E$3000,M1698)&gt;0,1,0)</f>
        <v>0</v>
      </c>
      <c r="H1698" s="4" t="n">
        <v>4</v>
      </c>
      <c r="I1698" s="4" t="s">
        <v>213</v>
      </c>
      <c r="J1698" s="4" t="s">
        <v>51</v>
      </c>
      <c r="K1698" s="4" t="s">
        <v>5679</v>
      </c>
      <c r="L1698" s="48" t="str">
        <f aca="false">HYPERLINK("https://boxd.it/27Po","open")</f>
        <v>open</v>
      </c>
      <c r="M1698" s="4" t="str">
        <f aca="false">LOWER(A1698)&amp;"|"&amp;B1698</f>
        <v>the others|2001</v>
      </c>
      <c r="N1698" s="4" t="n">
        <v>0</v>
      </c>
      <c r="O1698" s="4" t="n">
        <v>0</v>
      </c>
      <c r="P1698" s="4" t="n">
        <v>1</v>
      </c>
      <c r="Q1698" s="4" t="n">
        <v>1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</row>
    <row r="1699" customFormat="false" ht="15" hidden="false" customHeight="false" outlineLevel="0" collapsed="false">
      <c r="A1699" s="4" t="s">
        <v>1298</v>
      </c>
      <c r="B1699" s="4" t="n">
        <v>1923</v>
      </c>
      <c r="C1699" s="4" t="str">
        <f aca="false">FLOOR(B1699,10)&amp;"s"</f>
        <v>1920s</v>
      </c>
      <c r="D1699" s="4" t="s">
        <v>333</v>
      </c>
      <c r="E1699" s="25" t="str">
        <f aca="false">IF(G1699=1,"✓","")</f>
        <v/>
      </c>
      <c r="F1699" s="4" t="n">
        <v>2</v>
      </c>
      <c r="G1699" s="4" t="n">
        <f aca="false">IF(COUNTIF('Letterboxd Watched'!$E$2:$E$3000,M1699)&gt;0,1,0)</f>
        <v>0</v>
      </c>
      <c r="H1699" s="4" t="n">
        <v>3</v>
      </c>
      <c r="I1699" s="4" t="s">
        <v>213</v>
      </c>
      <c r="J1699" s="4" t="s">
        <v>49</v>
      </c>
      <c r="K1699" s="4" t="s">
        <v>5680</v>
      </c>
      <c r="L1699" s="48" t="str">
        <f aca="false">HYPERLINK("https://boxd.it/29Mm","open")</f>
        <v>open</v>
      </c>
      <c r="M1699" s="4" t="str">
        <f aca="false">LOWER(A1699)&amp;"|"&amp;B1699</f>
        <v>our hospitality|1923</v>
      </c>
      <c r="N1699" s="4" t="n">
        <v>1</v>
      </c>
      <c r="O1699" s="4" t="n">
        <v>1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</row>
    <row r="1700" customFormat="false" ht="15" hidden="false" customHeight="false" outlineLevel="0" collapsed="false">
      <c r="A1700" s="4" t="s">
        <v>506</v>
      </c>
      <c r="B1700" s="4" t="n">
        <v>1998</v>
      </c>
      <c r="C1700" s="4" t="str">
        <f aca="false">FLOOR(B1700,10)&amp;"s"</f>
        <v>1990s</v>
      </c>
      <c r="D1700" s="4" t="s">
        <v>490</v>
      </c>
      <c r="E1700" s="25" t="str">
        <f aca="false">IF(G1700=1,"✓","")</f>
        <v/>
      </c>
      <c r="F1700" s="4" t="n">
        <v>3</v>
      </c>
      <c r="G1700" s="4" t="n">
        <f aca="false">IF(COUNTIF('Letterboxd Watched'!$E$2:$E$3000,M1700)&gt;0,1,0)</f>
        <v>0</v>
      </c>
      <c r="H1700" s="4" t="n">
        <v>7</v>
      </c>
      <c r="I1700" s="4" t="s">
        <v>144</v>
      </c>
      <c r="J1700" s="4" t="s">
        <v>49</v>
      </c>
      <c r="K1700" s="4" t="s">
        <v>5681</v>
      </c>
      <c r="L1700" s="48" t="str">
        <f aca="false">HYPERLINK("https://boxd.it/28R6","open")</f>
        <v>open</v>
      </c>
      <c r="M1700" s="4" t="str">
        <f aca="false">LOWER(A1700)&amp;"|"&amp;B1700</f>
        <v>out of sight|1998</v>
      </c>
      <c r="N1700" s="4" t="n">
        <v>1</v>
      </c>
      <c r="O1700" s="4" t="n">
        <v>0</v>
      </c>
      <c r="P1700" s="4" t="n">
        <v>0</v>
      </c>
      <c r="Q1700" s="4" t="n">
        <v>0</v>
      </c>
      <c r="R1700" s="4" t="n">
        <v>1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1</v>
      </c>
    </row>
    <row r="1701" customFormat="false" ht="15" hidden="false" customHeight="false" outlineLevel="0" collapsed="false">
      <c r="A1701" s="4" t="s">
        <v>1841</v>
      </c>
      <c r="B1701" s="4" t="n">
        <v>1947</v>
      </c>
      <c r="C1701" s="4" t="str">
        <f aca="false">FLOOR(B1701,10)&amp;"s"</f>
        <v>1940s</v>
      </c>
      <c r="D1701" s="4" t="s">
        <v>884</v>
      </c>
      <c r="E1701" s="25" t="str">
        <f aca="false">IF(G1701=1,"✓","")</f>
        <v/>
      </c>
      <c r="F1701" s="4" t="n">
        <v>1</v>
      </c>
      <c r="G1701" s="4" t="n">
        <f aca="false">IF(COUNTIF('Letterboxd Watched'!$E$2:$E$3000,M1701)&gt;0,1,0)</f>
        <v>0</v>
      </c>
      <c r="H1701" s="4" t="n">
        <v>2</v>
      </c>
      <c r="I1701" s="4" t="s">
        <v>213</v>
      </c>
      <c r="J1701" s="4" t="s">
        <v>52</v>
      </c>
      <c r="K1701" s="4" t="s">
        <v>4042</v>
      </c>
      <c r="L1701" s="48" t="str">
        <f aca="false">HYPERLINK("https://boxd.it/29PK","open")</f>
        <v>open</v>
      </c>
      <c r="M1701" s="4" t="str">
        <f aca="false">LOWER(A1701)&amp;"|"&amp;B1701</f>
        <v>out of the past|1947</v>
      </c>
      <c r="N1701" s="4" t="n">
        <v>0</v>
      </c>
      <c r="O1701" s="4" t="n">
        <v>0</v>
      </c>
      <c r="P1701" s="4" t="n">
        <v>0</v>
      </c>
      <c r="Q1701" s="4" t="n">
        <v>1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</row>
    <row r="1702" customFormat="false" ht="15" hidden="false" customHeight="false" outlineLevel="0" collapsed="false">
      <c r="A1702" s="4" t="s">
        <v>2284</v>
      </c>
      <c r="B1702" s="4" t="n">
        <v>1976</v>
      </c>
      <c r="C1702" s="4" t="str">
        <f aca="false">FLOOR(B1702,10)&amp;"s"</f>
        <v>1970s</v>
      </c>
      <c r="D1702" s="4" t="s">
        <v>829</v>
      </c>
      <c r="E1702" s="25" t="str">
        <f aca="false">IF(G1702=1,"✓","")</f>
        <v/>
      </c>
      <c r="F1702" s="4" t="n">
        <v>1</v>
      </c>
      <c r="G1702" s="4" t="n">
        <f aca="false">IF(COUNTIF('Letterboxd Watched'!$E$2:$E$3000,M1702)&gt;0,1,0)</f>
        <v>0</v>
      </c>
      <c r="H1702" s="4" t="n">
        <v>2</v>
      </c>
      <c r="I1702" s="4" t="s">
        <v>213</v>
      </c>
      <c r="J1702" s="4" t="s">
        <v>52</v>
      </c>
      <c r="K1702" s="4" t="s">
        <v>4052</v>
      </c>
      <c r="L1702" s="48" t="str">
        <f aca="false">HYPERLINK("https://boxd.it/1VuS","open")</f>
        <v>open</v>
      </c>
      <c r="M1702" s="4" t="str">
        <f aca="false">LOWER(A1702)&amp;"|"&amp;B1702</f>
        <v>the outlaw josey wales|1976</v>
      </c>
      <c r="N1702" s="4" t="n">
        <v>0</v>
      </c>
      <c r="O1702" s="4" t="n">
        <v>0</v>
      </c>
      <c r="P1702" s="4" t="n">
        <v>0</v>
      </c>
      <c r="Q1702" s="4" t="n">
        <v>1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</row>
    <row r="1703" customFormat="false" ht="15" hidden="false" customHeight="false" outlineLevel="0" collapsed="false">
      <c r="A1703" s="4" t="s">
        <v>2383</v>
      </c>
      <c r="B1703" s="4" t="n">
        <v>1983</v>
      </c>
      <c r="C1703" s="4" t="str">
        <f aca="false">FLOOR(B1703,10)&amp;"s"</f>
        <v>1980s</v>
      </c>
      <c r="D1703" s="4" t="s">
        <v>172</v>
      </c>
      <c r="E1703" s="25" t="str">
        <f aca="false">IF(G1703=1,"✓","")</f>
        <v/>
      </c>
      <c r="F1703" s="4" t="n">
        <v>1</v>
      </c>
      <c r="G1703" s="4" t="n">
        <f aca="false">IF(COUNTIF('Letterboxd Watched'!$E$2:$E$3000,M1703)&gt;0,1,0)</f>
        <v>0</v>
      </c>
      <c r="H1703" s="4" t="n">
        <v>2</v>
      </c>
      <c r="I1703" s="4" t="s">
        <v>213</v>
      </c>
      <c r="J1703" s="4" t="s">
        <v>53</v>
      </c>
      <c r="K1703" s="4" t="s">
        <v>172</v>
      </c>
      <c r="L1703" s="48" t="str">
        <f aca="false">HYPERLINK("https://boxd.it/2aPw","open")</f>
        <v>open</v>
      </c>
      <c r="M1703" s="4" t="str">
        <f aca="false">LOWER(A1703)&amp;"|"&amp;B1703</f>
        <v>the outsiders|1983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1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 customFormat="false" ht="15" hidden="false" customHeight="false" outlineLevel="0" collapsed="false">
      <c r="A1704" s="4" t="s">
        <v>1637</v>
      </c>
      <c r="B1704" s="4" t="n">
        <v>2017</v>
      </c>
      <c r="C1704" s="4" t="str">
        <f aca="false">FLOOR(B1704,10)&amp;"s"</f>
        <v>2010s</v>
      </c>
      <c r="D1704" s="4" t="s">
        <v>1638</v>
      </c>
      <c r="E1704" s="25" t="str">
        <f aca="false">IF(G1704=1,"✓","")</f>
        <v/>
      </c>
      <c r="F1704" s="4" t="n">
        <v>1</v>
      </c>
      <c r="G1704" s="4" t="n">
        <f aca="false">IF(COUNTIF('Letterboxd Watched'!$E$2:$E$3000,M1704)&gt;0,1,0)</f>
        <v>0</v>
      </c>
      <c r="H1704" s="4" t="n">
        <v>3</v>
      </c>
      <c r="I1704" s="4" t="s">
        <v>144</v>
      </c>
      <c r="J1704" s="4" t="s">
        <v>56</v>
      </c>
      <c r="K1704" s="4" t="s">
        <v>4424</v>
      </c>
      <c r="L1704" s="48" t="str">
        <f aca="false">HYPERLINK("https://boxd.it/bCF8","open")</f>
        <v>open</v>
      </c>
      <c r="M1704" s="4" t="str">
        <f aca="false">LOWER(A1704)&amp;"|"&amp;B1704</f>
        <v>paddington 2|2017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1</v>
      </c>
      <c r="V1704" s="4" t="n">
        <v>0</v>
      </c>
      <c r="W1704" s="4" t="n">
        <v>0</v>
      </c>
    </row>
    <row r="1705" customFormat="false" ht="15" hidden="false" customHeight="false" outlineLevel="0" collapsed="false">
      <c r="A1705" s="4" t="s">
        <v>3291</v>
      </c>
      <c r="B1705" s="4" t="n">
        <v>1926</v>
      </c>
      <c r="C1705" s="4" t="str">
        <f aca="false">FLOOR(B1705,10)&amp;"s"</f>
        <v>1920s</v>
      </c>
      <c r="D1705" s="4" t="s">
        <v>3292</v>
      </c>
      <c r="E1705" s="25" t="str">
        <f aca="false">IF(G1705=1,"✓","")</f>
        <v/>
      </c>
      <c r="F1705" s="4" t="n">
        <v>1</v>
      </c>
      <c r="G1705" s="4" t="n">
        <f aca="false">IF(COUNTIF('Letterboxd Watched'!$E$2:$E$3000,M1705)&gt;0,1,0)</f>
        <v>0</v>
      </c>
      <c r="H1705" s="4" t="n">
        <v>1</v>
      </c>
      <c r="I1705" s="4" t="s">
        <v>1327</v>
      </c>
      <c r="J1705" s="4" t="s">
        <v>50</v>
      </c>
      <c r="K1705" s="4" t="s">
        <v>3904</v>
      </c>
      <c r="L1705" s="48" t="str">
        <f aca="false">HYPERLINK("https://boxd.it/3i2u","open")</f>
        <v>open</v>
      </c>
      <c r="M1705" s="4" t="str">
        <f aca="false">LOWER(A1705)&amp;"|"&amp;B1705</f>
        <v>a page of madness|1926</v>
      </c>
      <c r="N1705" s="4" t="n">
        <v>0</v>
      </c>
      <c r="O1705" s="4" t="n">
        <v>1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</row>
    <row r="1706" customFormat="false" ht="15" hidden="false" customHeight="false" outlineLevel="0" collapsed="false">
      <c r="A1706" s="4" t="s">
        <v>3178</v>
      </c>
      <c r="B1706" s="4" t="n">
        <v>2019</v>
      </c>
      <c r="C1706" s="4" t="str">
        <f aca="false">FLOOR(B1706,10)&amp;"s"</f>
        <v>2010s</v>
      </c>
      <c r="D1706" s="4" t="s">
        <v>1087</v>
      </c>
      <c r="E1706" s="25" t="str">
        <f aca="false">IF(G1706=1,"✓","")</f>
        <v/>
      </c>
      <c r="F1706" s="4" t="n">
        <v>1</v>
      </c>
      <c r="G1706" s="4" t="n">
        <f aca="false">IF(COUNTIF('Letterboxd Watched'!$E$2:$E$3000,M1706)&gt;0,1,0)</f>
        <v>0</v>
      </c>
      <c r="H1706" s="4" t="n">
        <v>2</v>
      </c>
      <c r="I1706" s="4" t="s">
        <v>213</v>
      </c>
      <c r="J1706" s="4" t="s">
        <v>53</v>
      </c>
      <c r="K1706" s="4" t="s">
        <v>1087</v>
      </c>
      <c r="L1706" s="48" t="str">
        <f aca="false">HYPERLINK("https://boxd.it/iOBQ","open")</f>
        <v>open</v>
      </c>
      <c r="M1706" s="4" t="str">
        <f aca="false">LOWER(A1706)&amp;"|"&amp;B1706</f>
        <v>pain and glory|2019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1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 customFormat="false" ht="15" hidden="false" customHeight="false" outlineLevel="0" collapsed="false">
      <c r="A1707" s="4" t="s">
        <v>1833</v>
      </c>
      <c r="B1707" s="4" t="n">
        <v>1946</v>
      </c>
      <c r="C1707" s="4" t="str">
        <f aca="false">FLOOR(B1707,10)&amp;"s"</f>
        <v>1940s</v>
      </c>
      <c r="D1707" s="4" t="s">
        <v>268</v>
      </c>
      <c r="E1707" s="25" t="str">
        <f aca="false">IF(G1707=1,"✓","")</f>
        <v/>
      </c>
      <c r="F1707" s="4" t="n">
        <v>1</v>
      </c>
      <c r="G1707" s="4" t="n">
        <f aca="false">IF(COUNTIF('Letterboxd Watched'!$E$2:$E$3000,M1707)&gt;0,1,0)</f>
        <v>0</v>
      </c>
      <c r="H1707" s="4" t="n">
        <v>2</v>
      </c>
      <c r="I1707" s="4" t="s">
        <v>213</v>
      </c>
      <c r="J1707" s="4" t="s">
        <v>51</v>
      </c>
      <c r="K1707" s="4" t="s">
        <v>3942</v>
      </c>
      <c r="L1707" s="48" t="str">
        <f aca="false">HYPERLINK("https://boxd.it/20ay","open")</f>
        <v>open</v>
      </c>
      <c r="M1707" s="4" t="str">
        <f aca="false">LOWER(A1707)&amp;"|"&amp;B1707</f>
        <v>paisan|1946</v>
      </c>
      <c r="N1707" s="4" t="n">
        <v>0</v>
      </c>
      <c r="O1707" s="4" t="n">
        <v>0</v>
      </c>
      <c r="P1707" s="4" t="n">
        <v>1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</row>
    <row r="1708" customFormat="false" ht="15" hidden="false" customHeight="false" outlineLevel="0" collapsed="false">
      <c r="A1708" s="4" t="s">
        <v>1945</v>
      </c>
      <c r="B1708" s="4" t="n">
        <v>1957</v>
      </c>
      <c r="C1708" s="4" t="str">
        <f aca="false">FLOOR(B1708,10)&amp;"s"</f>
        <v>1950s</v>
      </c>
      <c r="D1708" s="4" t="s">
        <v>1946</v>
      </c>
      <c r="E1708" s="25" t="str">
        <f aca="false">IF(G1708=1,"✓","")</f>
        <v/>
      </c>
      <c r="F1708" s="4" t="n">
        <v>1</v>
      </c>
      <c r="G1708" s="4" t="n">
        <f aca="false">IF(COUNTIF('Letterboxd Watched'!$E$2:$E$3000,M1708)&gt;0,1,0)</f>
        <v>0</v>
      </c>
      <c r="H1708" s="4" t="n">
        <v>2</v>
      </c>
      <c r="I1708" s="4" t="s">
        <v>213</v>
      </c>
      <c r="J1708" s="4" t="s">
        <v>52</v>
      </c>
      <c r="K1708" s="4" t="s">
        <v>4114</v>
      </c>
      <c r="L1708" s="48" t="str">
        <f aca="false">HYPERLINK("https://boxd.it/10KE","open")</f>
        <v>open</v>
      </c>
      <c r="M1708" s="4" t="str">
        <f aca="false">LOWER(A1708)&amp;"|"&amp;B1708</f>
        <v>the pajama game|1957</v>
      </c>
      <c r="N1708" s="4" t="n">
        <v>0</v>
      </c>
      <c r="O1708" s="4" t="n">
        <v>0</v>
      </c>
      <c r="P1708" s="4" t="n">
        <v>0</v>
      </c>
      <c r="Q1708" s="4" t="n">
        <v>1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</row>
    <row r="1709" customFormat="false" ht="15" hidden="false" customHeight="false" outlineLevel="0" collapsed="false">
      <c r="A1709" s="4" t="s">
        <v>1325</v>
      </c>
      <c r="B1709" s="4" t="n">
        <v>1964</v>
      </c>
      <c r="C1709" s="4" t="str">
        <f aca="false">FLOOR(B1709,10)&amp;"s"</f>
        <v>1960s</v>
      </c>
      <c r="D1709" s="4" t="s">
        <v>1326</v>
      </c>
      <c r="E1709" s="25" t="str">
        <f aca="false">IF(G1709=1,"✓","")</f>
        <v/>
      </c>
      <c r="F1709" s="4" t="n">
        <v>3</v>
      </c>
      <c r="G1709" s="4" t="n">
        <f aca="false">IF(COUNTIF('Letterboxd Watched'!$E$2:$E$3000,M1709)&gt;0,1,0)</f>
        <v>0</v>
      </c>
      <c r="H1709" s="4" t="n">
        <v>3</v>
      </c>
      <c r="I1709" s="4" t="s">
        <v>1327</v>
      </c>
      <c r="J1709" s="4" t="s">
        <v>51</v>
      </c>
      <c r="K1709" s="4" t="s">
        <v>5682</v>
      </c>
      <c r="L1709" s="48" t="str">
        <f aca="false">HYPERLINK("https://boxd.it/dGS","open")</f>
        <v>open</v>
      </c>
      <c r="M1709" s="4" t="str">
        <f aca="false">LOWER(A1709)&amp;"|"&amp;B1709</f>
        <v>pale flower|1964</v>
      </c>
      <c r="N1709" s="4" t="n">
        <v>0</v>
      </c>
      <c r="O1709" s="4" t="n">
        <v>0</v>
      </c>
      <c r="P1709" s="4" t="n">
        <v>1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1</v>
      </c>
    </row>
    <row r="1710" customFormat="false" ht="15" hidden="false" customHeight="false" outlineLevel="0" collapsed="false">
      <c r="A1710" s="4" t="s">
        <v>919</v>
      </c>
      <c r="B1710" s="4" t="n">
        <v>1942</v>
      </c>
      <c r="C1710" s="4" t="str">
        <f aca="false">FLOOR(B1710,10)&amp;"s"</f>
        <v>1940s</v>
      </c>
      <c r="D1710" s="4" t="s">
        <v>250</v>
      </c>
      <c r="E1710" s="25" t="str">
        <f aca="false">IF(G1710=1,"✓","")</f>
        <v/>
      </c>
      <c r="F1710" s="4" t="n">
        <v>2</v>
      </c>
      <c r="G1710" s="4" t="n">
        <f aca="false">IF(COUNTIF('Letterboxd Watched'!$E$2:$E$3000,M1710)&gt;0,1,0)</f>
        <v>0</v>
      </c>
      <c r="H1710" s="4" t="n">
        <v>4</v>
      </c>
      <c r="I1710" s="4" t="s">
        <v>213</v>
      </c>
      <c r="J1710" s="4" t="s">
        <v>52</v>
      </c>
      <c r="K1710" s="4" t="s">
        <v>5683</v>
      </c>
      <c r="L1710" s="48" t="str">
        <f aca="false">HYPERLINK("https://boxd.it/1hp4","open")</f>
        <v>open</v>
      </c>
      <c r="M1710" s="4" t="str">
        <f aca="false">LOWER(A1710)&amp;"|"&amp;B1710</f>
        <v>the palm beach story|1942</v>
      </c>
      <c r="N1710" s="4" t="n">
        <v>0</v>
      </c>
      <c r="O1710" s="4" t="n">
        <v>0</v>
      </c>
      <c r="P1710" s="4" t="n">
        <v>0</v>
      </c>
      <c r="Q1710" s="4" t="n">
        <v>1</v>
      </c>
      <c r="R1710" s="4" t="n">
        <v>1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</row>
    <row r="1711" customFormat="false" ht="15" hidden="false" customHeight="false" outlineLevel="0" collapsed="false">
      <c r="A1711" s="4" t="s">
        <v>3197</v>
      </c>
      <c r="B1711" s="4" t="n">
        <v>2020</v>
      </c>
      <c r="C1711" s="4" t="str">
        <f aca="false">FLOOR(B1711,10)&amp;"s"</f>
        <v>2020s</v>
      </c>
      <c r="D1711" s="4" t="s">
        <v>3198</v>
      </c>
      <c r="E1711" s="25" t="str">
        <f aca="false">IF(G1711=1,"✓","")</f>
        <v/>
      </c>
      <c r="F1711" s="4" t="n">
        <v>1</v>
      </c>
      <c r="G1711" s="4" t="n">
        <f aca="false">IF(COUNTIF('Letterboxd Watched'!$E$2:$E$3000,M1711)&gt;0,1,0)</f>
        <v>0</v>
      </c>
      <c r="H1711" s="4" t="n">
        <v>2</v>
      </c>
      <c r="I1711" s="4" t="s">
        <v>213</v>
      </c>
      <c r="J1711" s="4" t="s">
        <v>55</v>
      </c>
      <c r="K1711" s="4" t="s">
        <v>4336</v>
      </c>
      <c r="L1711" s="48" t="str">
        <f aca="false">HYPERLINK("https://boxd.it/lCXQ","open")</f>
        <v>open</v>
      </c>
      <c r="M1711" s="4" t="str">
        <f aca="false">LOWER(A1711)&amp;"|"&amp;B1711</f>
        <v>palm springs|2020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1</v>
      </c>
      <c r="U1711" s="4" t="n">
        <v>0</v>
      </c>
      <c r="V1711" s="4" t="n">
        <v>0</v>
      </c>
      <c r="W1711" s="4" t="n">
        <v>0</v>
      </c>
    </row>
    <row r="1712" customFormat="false" ht="15" hidden="false" customHeight="false" outlineLevel="0" collapsed="false">
      <c r="A1712" s="4" t="s">
        <v>2850</v>
      </c>
      <c r="B1712" s="4" t="n">
        <v>2006</v>
      </c>
      <c r="C1712" s="4" t="str">
        <f aca="false">FLOOR(B1712,10)&amp;"s"</f>
        <v>2000s</v>
      </c>
      <c r="D1712" s="4" t="s">
        <v>1147</v>
      </c>
      <c r="E1712" s="25" t="str">
        <f aca="false">IF(G1712=1,"✓","")</f>
        <v/>
      </c>
      <c r="F1712" s="4" t="n">
        <v>1</v>
      </c>
      <c r="G1712" s="4" t="n">
        <f aca="false">IF(COUNTIF('Letterboxd Watched'!$E$2:$E$3000,M1712)&gt;0,1,0)</f>
        <v>0</v>
      </c>
      <c r="H1712" s="4" t="n">
        <v>2</v>
      </c>
      <c r="I1712" s="4" t="s">
        <v>213</v>
      </c>
      <c r="J1712" s="4" t="s">
        <v>51</v>
      </c>
      <c r="K1712" s="4" t="s">
        <v>4002</v>
      </c>
      <c r="L1712" s="48" t="str">
        <f aca="false">HYPERLINK("https://boxd.it/28No","open")</f>
        <v>open</v>
      </c>
      <c r="M1712" s="4" t="str">
        <f aca="false">LOWER(A1712)&amp;"|"&amp;B1712</f>
        <v>pan's labyrinth|2006</v>
      </c>
      <c r="N1712" s="4" t="n">
        <v>0</v>
      </c>
      <c r="O1712" s="4" t="n">
        <v>0</v>
      </c>
      <c r="P1712" s="4" t="n">
        <v>1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</row>
    <row r="1713" customFormat="false" ht="15" hidden="false" customHeight="false" outlineLevel="0" collapsed="false">
      <c r="A1713" s="4" t="s">
        <v>1271</v>
      </c>
      <c r="B1713" s="4" t="n">
        <v>1929</v>
      </c>
      <c r="C1713" s="4" t="str">
        <f aca="false">FLOOR(B1713,10)&amp;"s"</f>
        <v>1920s</v>
      </c>
      <c r="D1713" s="4" t="s">
        <v>1272</v>
      </c>
      <c r="E1713" s="25" t="str">
        <f aca="false">IF(G1713=1,"✓","")</f>
        <v/>
      </c>
      <c r="F1713" s="4" t="n">
        <v>2</v>
      </c>
      <c r="G1713" s="4" t="n">
        <f aca="false">IF(COUNTIF('Letterboxd Watched'!$E$2:$E$3000,M1713)&gt;0,1,0)</f>
        <v>0</v>
      </c>
      <c r="H1713" s="4" t="n">
        <v>4</v>
      </c>
      <c r="I1713" s="4" t="s">
        <v>213</v>
      </c>
      <c r="J1713" s="4" t="s">
        <v>50</v>
      </c>
      <c r="K1713" s="4" t="s">
        <v>5684</v>
      </c>
      <c r="L1713" s="48" t="str">
        <f aca="false">HYPERLINK("https://letterboxd.com/search/films/Pandoras+Box+1929/","open")</f>
        <v>open</v>
      </c>
      <c r="M1713" s="4" t="str">
        <f aca="false">LOWER(A1713)&amp;"|"&amp;B1713</f>
        <v>pandora's box|1929</v>
      </c>
      <c r="N1713" s="4" t="n">
        <v>0</v>
      </c>
      <c r="O1713" s="4" t="n">
        <v>1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 customFormat="false" ht="15" hidden="false" customHeight="false" outlineLevel="0" collapsed="false">
      <c r="A1714" s="4" t="s">
        <v>2782</v>
      </c>
      <c r="B1714" s="4" t="n">
        <v>2002</v>
      </c>
      <c r="C1714" s="4" t="str">
        <f aca="false">FLOOR(B1714,10)&amp;"s"</f>
        <v>2000s</v>
      </c>
      <c r="D1714" s="4" t="s">
        <v>325</v>
      </c>
      <c r="E1714" s="25" t="str">
        <f aca="false">IF(G1714=1,"✓","")</f>
        <v/>
      </c>
      <c r="F1714" s="4" t="n">
        <v>1</v>
      </c>
      <c r="G1714" s="4" t="n">
        <f aca="false">IF(COUNTIF('Letterboxd Watched'!$E$2:$E$3000,M1714)&gt;0,1,0)</f>
        <v>0</v>
      </c>
      <c r="H1714" s="4" t="n">
        <v>2</v>
      </c>
      <c r="I1714" s="4" t="s">
        <v>213</v>
      </c>
      <c r="J1714" s="4" t="s">
        <v>53</v>
      </c>
      <c r="K1714" s="4" t="s">
        <v>325</v>
      </c>
      <c r="L1714" s="48" t="str">
        <f aca="false">HYPERLINK("https://boxd.it/2490","open")</f>
        <v>open</v>
      </c>
      <c r="M1714" s="4" t="str">
        <f aca="false">LOWER(A1714)&amp;"|"&amp;B1714</f>
        <v>panic room|2002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1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</row>
    <row r="1715" customFormat="false" ht="15" hidden="false" customHeight="false" outlineLevel="0" collapsed="false">
      <c r="A1715" s="4" t="s">
        <v>2232</v>
      </c>
      <c r="B1715" s="4" t="n">
        <v>1973</v>
      </c>
      <c r="C1715" s="4" t="str">
        <f aca="false">FLOOR(B1715,10)&amp;"s"</f>
        <v>1970s</v>
      </c>
      <c r="D1715" s="4" t="s">
        <v>2233</v>
      </c>
      <c r="E1715" s="25" t="str">
        <f aca="false">IF(G1715=1,"✓","")</f>
        <v/>
      </c>
      <c r="F1715" s="4" t="n">
        <v>1</v>
      </c>
      <c r="G1715" s="4" t="n">
        <f aca="false">IF(COUNTIF('Letterboxd Watched'!$E$2:$E$3000,M1715)&gt;0,1,0)</f>
        <v>0</v>
      </c>
      <c r="H1715" s="4" t="n">
        <v>2</v>
      </c>
      <c r="I1715" s="4" t="s">
        <v>213</v>
      </c>
      <c r="J1715" s="4" t="s">
        <v>55</v>
      </c>
      <c r="K1715" s="4" t="s">
        <v>4346</v>
      </c>
      <c r="L1715" s="48" t="str">
        <f aca="false">HYPERLINK("https://boxd.it/1Oje","open")</f>
        <v>open</v>
      </c>
      <c r="M1715" s="4" t="str">
        <f aca="false">LOWER(A1715)&amp;"|"&amp;B1715</f>
        <v>the paper chase|1973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1</v>
      </c>
      <c r="U1715" s="4" t="n">
        <v>0</v>
      </c>
      <c r="V1715" s="4" t="n">
        <v>0</v>
      </c>
      <c r="W1715" s="4" t="n">
        <v>0</v>
      </c>
    </row>
    <row r="1716" customFormat="false" ht="15" hidden="false" customHeight="false" outlineLevel="0" collapsed="false">
      <c r="A1716" s="4" t="s">
        <v>423</v>
      </c>
      <c r="B1716" s="4" t="n">
        <v>1973</v>
      </c>
      <c r="C1716" s="4" t="str">
        <f aca="false">FLOOR(B1716,10)&amp;"s"</f>
        <v>1970s</v>
      </c>
      <c r="D1716" s="4" t="s">
        <v>389</v>
      </c>
      <c r="E1716" s="25" t="str">
        <f aca="false">IF(G1716=1,"✓","")</f>
        <v>✓</v>
      </c>
      <c r="F1716" s="4" t="n">
        <v>3</v>
      </c>
      <c r="G1716" s="4" t="n">
        <f aca="false">IF(COUNTIF('Letterboxd Watched'!$E$2:$E$3000,M1716)&gt;0,1,0)</f>
        <v>1</v>
      </c>
      <c r="H1716" s="4" t="n">
        <v>8</v>
      </c>
      <c r="I1716" s="4" t="s">
        <v>144</v>
      </c>
      <c r="J1716" s="4" t="s">
        <v>52</v>
      </c>
      <c r="K1716" s="4" t="s">
        <v>5685</v>
      </c>
      <c r="L1716" s="48" t="str">
        <f aca="false">HYPERLINK("https://boxd.it/1Ud2","open")</f>
        <v>open</v>
      </c>
      <c r="M1716" s="4" t="str">
        <f aca="false">LOWER(A1716)&amp;"|"&amp;B1716</f>
        <v>paper moon|1973</v>
      </c>
      <c r="N1716" s="4" t="n">
        <v>0</v>
      </c>
      <c r="O1716" s="4" t="n">
        <v>0</v>
      </c>
      <c r="P1716" s="4" t="n">
        <v>0</v>
      </c>
      <c r="Q1716" s="4" t="n">
        <v>1</v>
      </c>
      <c r="R1716" s="4" t="n">
        <v>0</v>
      </c>
      <c r="S1716" s="4" t="n">
        <v>0</v>
      </c>
      <c r="T1716" s="4" t="n">
        <v>1</v>
      </c>
      <c r="U1716" s="4" t="n">
        <v>0</v>
      </c>
      <c r="V1716" s="4" t="n">
        <v>0</v>
      </c>
      <c r="W1716" s="4" t="n">
        <v>1</v>
      </c>
    </row>
    <row r="1717" customFormat="false" ht="15" hidden="false" customHeight="false" outlineLevel="0" collapsed="false">
      <c r="A1717" s="4" t="s">
        <v>2231</v>
      </c>
      <c r="B1717" s="4" t="n">
        <v>1973</v>
      </c>
      <c r="C1717" s="4" t="str">
        <f aca="false">FLOOR(B1717,10)&amp;"s"</f>
        <v>1970s</v>
      </c>
      <c r="D1717" s="4" t="s">
        <v>1477</v>
      </c>
      <c r="E1717" s="25" t="str">
        <f aca="false">IF(G1717=1,"✓","")</f>
        <v/>
      </c>
      <c r="F1717" s="4" t="n">
        <v>1</v>
      </c>
      <c r="G1717" s="4" t="n">
        <f aca="false">IF(COUNTIF('Letterboxd Watched'!$E$2:$E$3000,M1717)&gt;0,1,0)</f>
        <v>0</v>
      </c>
      <c r="H1717" s="4" t="n">
        <v>2</v>
      </c>
      <c r="I1717" s="4" t="s">
        <v>213</v>
      </c>
      <c r="J1717" s="4" t="s">
        <v>55</v>
      </c>
      <c r="K1717" s="4" t="s">
        <v>4326</v>
      </c>
      <c r="L1717" s="48" t="str">
        <f aca="false">HYPERLINK("https://boxd.it/22kK","open")</f>
        <v>open</v>
      </c>
      <c r="M1717" s="4" t="str">
        <f aca="false">LOWER(A1717)&amp;"|"&amp;B1717</f>
        <v>papillon|1973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1</v>
      </c>
      <c r="U1717" s="4" t="n">
        <v>0</v>
      </c>
      <c r="V1717" s="4" t="n">
        <v>0</v>
      </c>
      <c r="W1717" s="4" t="n">
        <v>0</v>
      </c>
    </row>
    <row r="1718" customFormat="false" ht="15" hidden="false" customHeight="false" outlineLevel="0" collapsed="false">
      <c r="A1718" s="4" t="s">
        <v>1171</v>
      </c>
      <c r="B1718" s="4" t="n">
        <v>2006</v>
      </c>
      <c r="C1718" s="4" t="str">
        <f aca="false">FLOOR(B1718,10)&amp;"s"</f>
        <v>2000s</v>
      </c>
      <c r="D1718" s="4" t="s">
        <v>635</v>
      </c>
      <c r="E1718" s="25" t="str">
        <f aca="false">IF(G1718=1,"✓","")</f>
        <v/>
      </c>
      <c r="F1718" s="4" t="n">
        <v>2</v>
      </c>
      <c r="G1718" s="4" t="n">
        <f aca="false">IF(COUNTIF('Letterboxd Watched'!$E$2:$E$3000,M1718)&gt;0,1,0)</f>
        <v>0</v>
      </c>
      <c r="H1718" s="4" t="n">
        <v>4</v>
      </c>
      <c r="I1718" s="4" t="s">
        <v>213</v>
      </c>
      <c r="J1718" s="4" t="s">
        <v>51</v>
      </c>
      <c r="K1718" s="4" t="s">
        <v>5686</v>
      </c>
      <c r="L1718" s="48" t="str">
        <f aca="false">HYPERLINK("https://boxd.it/23wW","open")</f>
        <v>open</v>
      </c>
      <c r="M1718" s="4" t="str">
        <f aca="false">LOWER(A1718)&amp;"|"&amp;B1718</f>
        <v>paprika|2006</v>
      </c>
      <c r="N1718" s="4" t="n">
        <v>0</v>
      </c>
      <c r="O1718" s="4" t="n">
        <v>0</v>
      </c>
      <c r="P1718" s="4" t="n">
        <v>1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1</v>
      </c>
    </row>
    <row r="1719" customFormat="false" ht="15" hidden="false" customHeight="false" outlineLevel="0" collapsed="false">
      <c r="A1719" s="4" t="s">
        <v>1501</v>
      </c>
      <c r="B1719" s="4" t="n">
        <v>1974</v>
      </c>
      <c r="C1719" s="4" t="str">
        <f aca="false">FLOOR(B1719,10)&amp;"s"</f>
        <v>1970s</v>
      </c>
      <c r="D1719" s="4" t="s">
        <v>243</v>
      </c>
      <c r="E1719" s="25" t="str">
        <f aca="false">IF(G1719=1,"✓","")</f>
        <v/>
      </c>
      <c r="F1719" s="4" t="n">
        <v>1</v>
      </c>
      <c r="G1719" s="4" t="n">
        <f aca="false">IF(COUNTIF('Letterboxd Watched'!$E$2:$E$3000,M1719)&gt;0,1,0)</f>
        <v>0</v>
      </c>
      <c r="H1719" s="4" t="n">
        <v>3</v>
      </c>
      <c r="I1719" s="4" t="s">
        <v>144</v>
      </c>
      <c r="J1719" s="4" t="s">
        <v>52</v>
      </c>
      <c r="K1719" s="4" t="s">
        <v>4126</v>
      </c>
      <c r="L1719" s="48" t="str">
        <f aca="false">HYPERLINK("https://boxd.it/1ILG","open")</f>
        <v>open</v>
      </c>
      <c r="M1719" s="4" t="str">
        <f aca="false">LOWER(A1719)&amp;"|"&amp;B1719</f>
        <v>the parallax view|1974</v>
      </c>
      <c r="N1719" s="4" t="n">
        <v>0</v>
      </c>
      <c r="O1719" s="4" t="n">
        <v>0</v>
      </c>
      <c r="P1719" s="4" t="n">
        <v>0</v>
      </c>
      <c r="Q1719" s="4" t="n">
        <v>1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</row>
    <row r="1720" customFormat="false" ht="15" hidden="false" customHeight="false" outlineLevel="0" collapsed="false">
      <c r="A1720" s="4" t="s">
        <v>2871</v>
      </c>
      <c r="B1720" s="4" t="n">
        <v>2007</v>
      </c>
      <c r="C1720" s="4" t="str">
        <f aca="false">FLOOR(B1720,10)&amp;"s"</f>
        <v>2000s</v>
      </c>
      <c r="D1720" s="4" t="s">
        <v>2872</v>
      </c>
      <c r="E1720" s="25" t="str">
        <f aca="false">IF(G1720=1,"✓","")</f>
        <v/>
      </c>
      <c r="F1720" s="4" t="n">
        <v>1</v>
      </c>
      <c r="G1720" s="4" t="n">
        <f aca="false">IF(COUNTIF('Letterboxd Watched'!$E$2:$E$3000,M1720)&gt;0,1,0)</f>
        <v>0</v>
      </c>
      <c r="H1720" s="4" t="n">
        <v>2</v>
      </c>
      <c r="I1720" s="4" t="s">
        <v>213</v>
      </c>
      <c r="J1720" s="4" t="s">
        <v>52</v>
      </c>
      <c r="K1720" s="4" t="s">
        <v>4076</v>
      </c>
      <c r="L1720" s="48" t="str">
        <f aca="false">HYPERLINK("https://boxd.it/1yIM","open")</f>
        <v>open</v>
      </c>
      <c r="M1720" s="4" t="str">
        <f aca="false">LOWER(A1720)&amp;"|"&amp;B1720</f>
        <v>paranormal activity|2007</v>
      </c>
      <c r="N1720" s="4" t="n">
        <v>0</v>
      </c>
      <c r="O1720" s="4" t="n">
        <v>0</v>
      </c>
      <c r="P1720" s="4" t="n">
        <v>0</v>
      </c>
      <c r="Q1720" s="4" t="n">
        <v>1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</row>
    <row r="1721" customFormat="false" ht="15" hidden="false" customHeight="false" outlineLevel="0" collapsed="false">
      <c r="A1721" s="4" t="s">
        <v>297</v>
      </c>
      <c r="B1721" s="4" t="n">
        <v>2019</v>
      </c>
      <c r="C1721" s="4" t="str">
        <f aca="false">FLOOR(B1721,10)&amp;"s"</f>
        <v>2010s</v>
      </c>
      <c r="D1721" s="4" t="s">
        <v>276</v>
      </c>
      <c r="E1721" s="25" t="str">
        <f aca="false">IF(G1721=1,"✓","")</f>
        <v>✓</v>
      </c>
      <c r="F1721" s="4" t="n">
        <v>5</v>
      </c>
      <c r="G1721" s="4" t="n">
        <f aca="false">IF(COUNTIF('Letterboxd Watched'!$E$2:$E$3000,M1721)&gt;0,1,0)</f>
        <v>1</v>
      </c>
      <c r="H1721" s="4" t="n">
        <v>11</v>
      </c>
      <c r="I1721" s="4" t="s">
        <v>144</v>
      </c>
      <c r="J1721" s="4" t="s">
        <v>50</v>
      </c>
      <c r="K1721" s="4" t="s">
        <v>5687</v>
      </c>
      <c r="L1721" s="48" t="str">
        <f aca="false">HYPERLINK("https://boxd.it/hTha","open")</f>
        <v>open</v>
      </c>
      <c r="M1721" s="4" t="str">
        <f aca="false">LOWER(A1721)&amp;"|"&amp;B1721</f>
        <v>parasite|2019</v>
      </c>
      <c r="N1721" s="4" t="n">
        <v>0</v>
      </c>
      <c r="O1721" s="4" t="n">
        <v>1</v>
      </c>
      <c r="P1721" s="4" t="n">
        <v>0</v>
      </c>
      <c r="Q1721" s="4" t="n">
        <v>0</v>
      </c>
      <c r="R1721" s="4" t="n">
        <v>1</v>
      </c>
      <c r="S1721" s="4" t="n">
        <v>0</v>
      </c>
      <c r="T1721" s="4" t="n">
        <v>1</v>
      </c>
      <c r="U1721" s="4" t="n">
        <v>0</v>
      </c>
      <c r="V1721" s="4" t="n">
        <v>1</v>
      </c>
      <c r="W1721" s="4" t="n">
        <v>0</v>
      </c>
    </row>
    <row r="1722" customFormat="false" ht="15" hidden="false" customHeight="false" outlineLevel="0" collapsed="false">
      <c r="A1722" s="4" t="s">
        <v>956</v>
      </c>
      <c r="B1722" s="4" t="n">
        <v>1961</v>
      </c>
      <c r="C1722" s="4" t="str">
        <f aca="false">FLOOR(B1722,10)&amp;"s"</f>
        <v>1960s</v>
      </c>
      <c r="D1722" s="4" t="s">
        <v>957</v>
      </c>
      <c r="E1722" s="25" t="str">
        <f aca="false">IF(G1722=1,"✓","")</f>
        <v/>
      </c>
      <c r="F1722" s="4" t="n">
        <v>2</v>
      </c>
      <c r="G1722" s="4" t="n">
        <f aca="false">IF(COUNTIF('Letterboxd Watched'!$E$2:$E$3000,M1722)&gt;0,1,0)</f>
        <v>0</v>
      </c>
      <c r="H1722" s="4" t="n">
        <v>4</v>
      </c>
      <c r="I1722" s="4" t="s">
        <v>213</v>
      </c>
      <c r="J1722" s="4" t="s">
        <v>51</v>
      </c>
      <c r="K1722" s="4" t="s">
        <v>5688</v>
      </c>
      <c r="L1722" s="48" t="str">
        <f aca="false">HYPERLINK("https://boxd.it/VtS","open")</f>
        <v>open</v>
      </c>
      <c r="M1722" s="4" t="str">
        <f aca="false">LOWER(A1722)&amp;"|"&amp;B1722</f>
        <v>paris belongs to us|1961</v>
      </c>
      <c r="N1722" s="4" t="n">
        <v>0</v>
      </c>
      <c r="O1722" s="4" t="n">
        <v>0</v>
      </c>
      <c r="P1722" s="4" t="n">
        <v>1</v>
      </c>
      <c r="Q1722" s="4" t="n">
        <v>0</v>
      </c>
      <c r="R1722" s="4" t="n">
        <v>0</v>
      </c>
      <c r="S1722" s="4" t="n">
        <v>0</v>
      </c>
      <c r="T1722" s="4" t="n">
        <v>1</v>
      </c>
      <c r="U1722" s="4" t="n">
        <v>0</v>
      </c>
      <c r="V1722" s="4" t="n">
        <v>0</v>
      </c>
      <c r="W1722" s="4" t="n">
        <v>0</v>
      </c>
    </row>
    <row r="1723" customFormat="false" ht="15" hidden="false" customHeight="false" outlineLevel="0" collapsed="false">
      <c r="A1723" s="4" t="s">
        <v>824</v>
      </c>
      <c r="B1723" s="4" t="n">
        <v>1990</v>
      </c>
      <c r="C1723" s="4" t="str">
        <f aca="false">FLOOR(B1723,10)&amp;"s"</f>
        <v>1990s</v>
      </c>
      <c r="D1723" s="4" t="s">
        <v>825</v>
      </c>
      <c r="E1723" s="25" t="str">
        <f aca="false">IF(G1723=1,"✓","")</f>
        <v/>
      </c>
      <c r="F1723" s="4" t="n">
        <v>2</v>
      </c>
      <c r="G1723" s="4" t="n">
        <f aca="false">IF(COUNTIF('Letterboxd Watched'!$E$2:$E$3000,M1723)&gt;0,1,0)</f>
        <v>0</v>
      </c>
      <c r="H1723" s="4" t="n">
        <v>5</v>
      </c>
      <c r="I1723" s="4" t="s">
        <v>144</v>
      </c>
      <c r="J1723" s="4" t="s">
        <v>52</v>
      </c>
      <c r="K1723" s="4" t="s">
        <v>5689</v>
      </c>
      <c r="L1723" s="48" t="str">
        <f aca="false">HYPERLINK("https://boxd.it/1jzg","open")</f>
        <v>open</v>
      </c>
      <c r="M1723" s="4" t="str">
        <f aca="false">LOWER(A1723)&amp;"|"&amp;B1723</f>
        <v>paris is burning|1990</v>
      </c>
      <c r="N1723" s="4" t="n">
        <v>0</v>
      </c>
      <c r="O1723" s="4" t="n">
        <v>0</v>
      </c>
      <c r="P1723" s="4" t="n">
        <v>0</v>
      </c>
      <c r="Q1723" s="4" t="n">
        <v>1</v>
      </c>
      <c r="R1723" s="4" t="n">
        <v>0</v>
      </c>
      <c r="S1723" s="4" t="n">
        <v>1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 customFormat="false" ht="15" hidden="false" customHeight="false" outlineLevel="0" collapsed="false">
      <c r="A1724" s="4" t="s">
        <v>3762</v>
      </c>
      <c r="B1724" s="4" t="n">
        <v>2006</v>
      </c>
      <c r="C1724" s="4" t="str">
        <f aca="false">FLOOR(B1724,10)&amp;"s"</f>
        <v>2000s</v>
      </c>
      <c r="D1724" s="4" t="s">
        <v>3763</v>
      </c>
      <c r="E1724" s="25" t="str">
        <f aca="false">IF(G1724=1,"✓","")</f>
        <v/>
      </c>
      <c r="F1724" s="4" t="n">
        <v>1</v>
      </c>
      <c r="G1724" s="4" t="n">
        <f aca="false">IF(COUNTIF('Letterboxd Watched'!$E$2:$E$3000,M1724)&gt;0,1,0)</f>
        <v>0</v>
      </c>
      <c r="H1724" s="4" t="n">
        <v>1</v>
      </c>
      <c r="I1724" s="4" t="s">
        <v>1327</v>
      </c>
      <c r="J1724" s="4" t="s">
        <v>56</v>
      </c>
      <c r="K1724" s="4" t="s">
        <v>4380</v>
      </c>
      <c r="L1724" s="48" t="str">
        <f aca="false">HYPERLINK("https://boxd.it/273a","open")</f>
        <v>open</v>
      </c>
      <c r="M1724" s="4" t="str">
        <f aca="false">LOWER(A1724)&amp;"|"&amp;B1724</f>
        <v>paris je t'aime|2006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1</v>
      </c>
      <c r="V1724" s="4" t="n">
        <v>0</v>
      </c>
      <c r="W1724" s="4" t="n">
        <v>0</v>
      </c>
    </row>
    <row r="1725" customFormat="false" ht="15" hidden="false" customHeight="false" outlineLevel="0" collapsed="false">
      <c r="A1725" s="4" t="s">
        <v>364</v>
      </c>
      <c r="B1725" s="4" t="n">
        <v>1984</v>
      </c>
      <c r="C1725" s="4" t="str">
        <f aca="false">FLOOR(B1725,10)&amp;"s"</f>
        <v>1980s</v>
      </c>
      <c r="D1725" s="4" t="s">
        <v>365</v>
      </c>
      <c r="E1725" s="25" t="str">
        <f aca="false">IF(G1725=1,"✓","")</f>
        <v>✓</v>
      </c>
      <c r="F1725" s="4" t="n">
        <v>4</v>
      </c>
      <c r="G1725" s="4" t="n">
        <f aca="false">IF(COUNTIF('Letterboxd Watched'!$E$2:$E$3000,M1725)&gt;0,1,0)</f>
        <v>1</v>
      </c>
      <c r="H1725" s="4" t="n">
        <v>9</v>
      </c>
      <c r="I1725" s="4" t="s">
        <v>144</v>
      </c>
      <c r="J1725" s="4" t="s">
        <v>51</v>
      </c>
      <c r="K1725" s="4" t="s">
        <v>5690</v>
      </c>
      <c r="L1725" s="48" t="str">
        <f aca="false">HYPERLINK("https://boxd.it/29Ts","open")</f>
        <v>open</v>
      </c>
      <c r="M1725" s="4" t="str">
        <f aca="false">LOWER(A1725)&amp;"|"&amp;B1725</f>
        <v>paris, texas|1984</v>
      </c>
      <c r="N1725" s="4" t="n">
        <v>0</v>
      </c>
      <c r="O1725" s="4" t="n">
        <v>0</v>
      </c>
      <c r="P1725" s="4" t="n">
        <v>1</v>
      </c>
      <c r="Q1725" s="4" t="n">
        <v>0</v>
      </c>
      <c r="R1725" s="4" t="n">
        <v>0</v>
      </c>
      <c r="S1725" s="4" t="n">
        <v>1</v>
      </c>
      <c r="T1725" s="4" t="n">
        <v>1</v>
      </c>
      <c r="U1725" s="4" t="n">
        <v>0</v>
      </c>
      <c r="V1725" s="4" t="n">
        <v>1</v>
      </c>
      <c r="W1725" s="4" t="n">
        <v>0</v>
      </c>
    </row>
    <row r="1726" customFormat="false" ht="15" hidden="false" customHeight="false" outlineLevel="0" collapsed="false">
      <c r="A1726" s="4" t="s">
        <v>3816</v>
      </c>
      <c r="B1726" s="4" t="n">
        <v>2013</v>
      </c>
      <c r="C1726" s="4" t="str">
        <f aca="false">FLOOR(B1726,10)&amp;"s"</f>
        <v>2010s</v>
      </c>
      <c r="D1726" s="4" t="s">
        <v>3817</v>
      </c>
      <c r="E1726" s="25" t="str">
        <f aca="false">IF(G1726=1,"✓","")</f>
        <v/>
      </c>
      <c r="F1726" s="4" t="n">
        <v>1</v>
      </c>
      <c r="G1726" s="4" t="n">
        <f aca="false">IF(COUNTIF('Letterboxd Watched'!$E$2:$E$3000,M1726)&gt;0,1,0)</f>
        <v>0</v>
      </c>
      <c r="H1726" s="4" t="n">
        <v>1</v>
      </c>
      <c r="I1726" s="4" t="s">
        <v>1327</v>
      </c>
      <c r="J1726" s="4" t="s">
        <v>55</v>
      </c>
      <c r="K1726" s="4" t="s">
        <v>4338</v>
      </c>
      <c r="L1726" s="48" t="str">
        <f aca="false">HYPERLINK("https://letterboxd.com/search/films/Particle+Fever+2013/","open")</f>
        <v>open</v>
      </c>
      <c r="M1726" s="4" t="str">
        <f aca="false">LOWER(A1726)&amp;"|"&amp;B1726</f>
        <v>particle fever|2013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1</v>
      </c>
      <c r="U1726" s="4" t="n">
        <v>0</v>
      </c>
      <c r="V1726" s="4" t="n">
        <v>0</v>
      </c>
      <c r="W1726" s="4" t="n">
        <v>0</v>
      </c>
    </row>
    <row r="1727" customFormat="false" ht="15" hidden="false" customHeight="false" outlineLevel="0" collapsed="false">
      <c r="A1727" s="4" t="s">
        <v>3626</v>
      </c>
      <c r="B1727" s="4" t="n">
        <v>1984</v>
      </c>
      <c r="C1727" s="4" t="str">
        <f aca="false">FLOOR(B1727,10)&amp;"s"</f>
        <v>1980s</v>
      </c>
      <c r="D1727" s="4" t="s">
        <v>255</v>
      </c>
      <c r="E1727" s="25" t="str">
        <f aca="false">IF(G1727=1,"✓","")</f>
        <v/>
      </c>
      <c r="F1727" s="4" t="n">
        <v>1</v>
      </c>
      <c r="G1727" s="4" t="n">
        <f aca="false">IF(COUNTIF('Letterboxd Watched'!$E$2:$E$3000,M1727)&gt;0,1,0)</f>
        <v>0</v>
      </c>
      <c r="H1727" s="4" t="n">
        <v>1</v>
      </c>
      <c r="I1727" s="4" t="s">
        <v>1327</v>
      </c>
      <c r="J1727" s="4" t="s">
        <v>53</v>
      </c>
      <c r="K1727" s="4" t="s">
        <v>255</v>
      </c>
      <c r="L1727" s="48" t="str">
        <f aca="false">HYPERLINK("https://boxd.it/1Ld8","open")</f>
        <v>open</v>
      </c>
      <c r="M1727" s="4" t="str">
        <f aca="false">LOWER(A1727)&amp;"|"&amp;B1727</f>
        <v>a passage to india|1984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1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</row>
    <row r="1728" customFormat="false" ht="15" hidden="false" customHeight="false" outlineLevel="0" collapsed="false">
      <c r="A1728" s="4" t="s">
        <v>2268</v>
      </c>
      <c r="B1728" s="4" t="n">
        <v>1975</v>
      </c>
      <c r="C1728" s="4" t="str">
        <f aca="false">FLOOR(B1728,10)&amp;"s"</f>
        <v>1970s</v>
      </c>
      <c r="D1728" s="4" t="s">
        <v>217</v>
      </c>
      <c r="E1728" s="25" t="str">
        <f aca="false">IF(G1728=1,"✓","")</f>
        <v/>
      </c>
      <c r="F1728" s="4" t="n">
        <v>1</v>
      </c>
      <c r="G1728" s="4" t="n">
        <f aca="false">IF(COUNTIF('Letterboxd Watched'!$E$2:$E$3000,M1728)&gt;0,1,0)</f>
        <v>0</v>
      </c>
      <c r="H1728" s="4" t="n">
        <v>2</v>
      </c>
      <c r="I1728" s="4" t="s">
        <v>213</v>
      </c>
      <c r="J1728" s="4" t="s">
        <v>53</v>
      </c>
      <c r="K1728" s="4" t="s">
        <v>217</v>
      </c>
      <c r="L1728" s="48" t="str">
        <f aca="false">HYPERLINK("https://boxd.it/1Y8q","open")</f>
        <v>open</v>
      </c>
      <c r="M1728" s="4" t="str">
        <f aca="false">LOWER(A1728)&amp;"|"&amp;B1728</f>
        <v>the passenger|1975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1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</row>
    <row r="1729" customFormat="false" ht="15" hidden="false" customHeight="false" outlineLevel="0" collapsed="false">
      <c r="A1729" s="4" t="s">
        <v>3565</v>
      </c>
      <c r="B1729" s="4" t="n">
        <v>1977</v>
      </c>
      <c r="C1729" s="4" t="str">
        <f aca="false">FLOOR(B1729,10)&amp;"s"</f>
        <v>1970s</v>
      </c>
      <c r="D1729" s="4" t="s">
        <v>2629</v>
      </c>
      <c r="E1729" s="25" t="str">
        <f aca="false">IF(G1729=1,"✓","")</f>
        <v/>
      </c>
      <c r="F1729" s="4" t="n">
        <v>1</v>
      </c>
      <c r="G1729" s="4" t="n">
        <f aca="false">IF(COUNTIF('Letterboxd Watched'!$E$2:$E$3000,M1729)&gt;0,1,0)</f>
        <v>0</v>
      </c>
      <c r="H1729" s="4" t="n">
        <v>1</v>
      </c>
      <c r="I1729" s="4" t="s">
        <v>1327</v>
      </c>
      <c r="J1729" s="4" t="s">
        <v>54</v>
      </c>
      <c r="K1729" s="4" t="s">
        <v>4286</v>
      </c>
      <c r="L1729" s="48" t="str">
        <f aca="false">HYPERLINK("https://letterboxd.com/search/films/Passing+Through+1977/","open")</f>
        <v>open</v>
      </c>
      <c r="M1729" s="4" t="str">
        <f aca="false">LOWER(A1729)&amp;"|"&amp;B1729</f>
        <v>passing through|1977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1</v>
      </c>
      <c r="T1729" s="4" t="n">
        <v>0</v>
      </c>
      <c r="U1729" s="4" t="n">
        <v>0</v>
      </c>
      <c r="V1729" s="4" t="n">
        <v>0</v>
      </c>
      <c r="W1729" s="4" t="n">
        <v>0</v>
      </c>
    </row>
    <row r="1730" customFormat="false" ht="15" hidden="false" customHeight="false" outlineLevel="0" collapsed="false">
      <c r="A1730" s="4" t="s">
        <v>245</v>
      </c>
      <c r="B1730" s="4" t="n">
        <v>1928</v>
      </c>
      <c r="C1730" s="4" t="str">
        <f aca="false">FLOOR(B1730,10)&amp;"s"</f>
        <v>1920s</v>
      </c>
      <c r="D1730" s="4" t="s">
        <v>246</v>
      </c>
      <c r="E1730" s="25" t="str">
        <f aca="false">IF(G1730=1,"✓","")</f>
        <v/>
      </c>
      <c r="F1730" s="4" t="n">
        <v>5</v>
      </c>
      <c r="G1730" s="4" t="n">
        <f aca="false">IF(COUNTIF('Letterboxd Watched'!$E$2:$E$3000,M1730)&gt;0,1,0)</f>
        <v>0</v>
      </c>
      <c r="H1730" s="4" t="n">
        <v>12</v>
      </c>
      <c r="I1730" s="4" t="s">
        <v>144</v>
      </c>
      <c r="J1730" s="4" t="s">
        <v>50</v>
      </c>
      <c r="K1730" s="4" t="s">
        <v>5691</v>
      </c>
      <c r="L1730" s="48" t="str">
        <f aca="false">HYPERLINK("https://boxd.it/29DO","open")</f>
        <v>open</v>
      </c>
      <c r="M1730" s="4" t="str">
        <f aca="false">LOWER(A1730)&amp;"|"&amp;B1730</f>
        <v>the passion of joan of arc|1928</v>
      </c>
      <c r="N1730" s="4" t="n">
        <v>0</v>
      </c>
      <c r="O1730" s="4" t="n">
        <v>1</v>
      </c>
      <c r="P1730" s="4" t="n">
        <v>1</v>
      </c>
      <c r="Q1730" s="4" t="n">
        <v>0</v>
      </c>
      <c r="R1730" s="4" t="n">
        <v>0</v>
      </c>
      <c r="S1730" s="4" t="n">
        <v>0</v>
      </c>
      <c r="T1730" s="4" t="n">
        <v>1</v>
      </c>
      <c r="U1730" s="4" t="n">
        <v>0</v>
      </c>
      <c r="V1730" s="4" t="n">
        <v>1</v>
      </c>
      <c r="W1730" s="4" t="n">
        <v>0</v>
      </c>
    </row>
    <row r="1731" customFormat="false" ht="15" hidden="false" customHeight="false" outlineLevel="0" collapsed="false">
      <c r="A1731" s="4" t="s">
        <v>1864</v>
      </c>
      <c r="B1731" s="4" t="n">
        <v>1949</v>
      </c>
      <c r="C1731" s="4" t="str">
        <f aca="false">FLOOR(B1731,10)&amp;"s"</f>
        <v>1940s</v>
      </c>
      <c r="D1731" s="4" t="s">
        <v>1865</v>
      </c>
      <c r="E1731" s="25" t="str">
        <f aca="false">IF(G1731=1,"✓","")</f>
        <v/>
      </c>
      <c r="F1731" s="4" t="n">
        <v>1</v>
      </c>
      <c r="G1731" s="4" t="n">
        <f aca="false">IF(COUNTIF('Letterboxd Watched'!$E$2:$E$3000,M1731)&gt;0,1,0)</f>
        <v>0</v>
      </c>
      <c r="H1731" s="4" t="n">
        <v>2</v>
      </c>
      <c r="I1731" s="4" t="s">
        <v>213</v>
      </c>
      <c r="J1731" s="4" t="s">
        <v>51</v>
      </c>
      <c r="K1731" s="4" t="s">
        <v>3978</v>
      </c>
      <c r="L1731" s="48" t="str">
        <f aca="false">HYPERLINK("https://boxd.it/1lYM","open")</f>
        <v>open</v>
      </c>
      <c r="M1731" s="4" t="str">
        <f aca="false">LOWER(A1731)&amp;"|"&amp;B1731</f>
        <v>passport to pimlico|1949</v>
      </c>
      <c r="N1731" s="4" t="n">
        <v>0</v>
      </c>
      <c r="O1731" s="4" t="n">
        <v>0</v>
      </c>
      <c r="P1731" s="4" t="n">
        <v>1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 customFormat="false" ht="15" hidden="false" customHeight="false" outlineLevel="0" collapsed="false">
      <c r="A1732" s="4" t="s">
        <v>328</v>
      </c>
      <c r="B1732" s="4" t="n">
        <v>2023</v>
      </c>
      <c r="C1732" s="4" t="str">
        <f aca="false">FLOOR(B1732,10)&amp;"s"</f>
        <v>2020s</v>
      </c>
      <c r="D1732" s="4" t="s">
        <v>329</v>
      </c>
      <c r="E1732" s="25" t="str">
        <f aca="false">IF(G1732=1,"✓","")</f>
        <v/>
      </c>
      <c r="F1732" s="4" t="n">
        <v>5</v>
      </c>
      <c r="G1732" s="4" t="n">
        <f aca="false">IF(COUNTIF('Letterboxd Watched'!$E$2:$E$3000,M1732)&gt;0,1,0)</f>
        <v>0</v>
      </c>
      <c r="H1732" s="4" t="n">
        <v>10</v>
      </c>
      <c r="I1732" s="4" t="s">
        <v>213</v>
      </c>
      <c r="J1732" s="4" t="s">
        <v>50</v>
      </c>
      <c r="K1732" s="4" t="s">
        <v>5692</v>
      </c>
      <c r="L1732" s="48" t="str">
        <f aca="false">HYPERLINK("https://boxd.it/oNB8","open")</f>
        <v>open</v>
      </c>
      <c r="M1732" s="4" t="str">
        <f aca="false">LOWER(A1732)&amp;"|"&amp;B1732</f>
        <v>past lives|2023</v>
      </c>
      <c r="N1732" s="4" t="n">
        <v>0</v>
      </c>
      <c r="O1732" s="4" t="n">
        <v>1</v>
      </c>
      <c r="P1732" s="4" t="n">
        <v>0</v>
      </c>
      <c r="Q1732" s="4" t="n">
        <v>1</v>
      </c>
      <c r="R1732" s="4" t="n">
        <v>0</v>
      </c>
      <c r="S1732" s="4" t="n">
        <v>1</v>
      </c>
      <c r="T1732" s="4" t="n">
        <v>0</v>
      </c>
      <c r="U1732" s="4" t="n">
        <v>0</v>
      </c>
      <c r="V1732" s="4" t="n">
        <v>1</v>
      </c>
      <c r="W1732" s="4" t="n">
        <v>0</v>
      </c>
    </row>
    <row r="1733" customFormat="false" ht="15" hidden="false" customHeight="false" outlineLevel="0" collapsed="false">
      <c r="A1733" s="4" t="s">
        <v>2221</v>
      </c>
      <c r="B1733" s="4" t="n">
        <v>1973</v>
      </c>
      <c r="C1733" s="4" t="str">
        <f aca="false">FLOOR(B1733,10)&amp;"s"</f>
        <v>1970s</v>
      </c>
      <c r="D1733" s="4" t="s">
        <v>783</v>
      </c>
      <c r="E1733" s="25" t="str">
        <f aca="false">IF(G1733=1,"✓","")</f>
        <v/>
      </c>
      <c r="F1733" s="4" t="n">
        <v>1</v>
      </c>
      <c r="G1733" s="4" t="n">
        <f aca="false">IF(COUNTIF('Letterboxd Watched'!$E$2:$E$3000,M1733)&gt;0,1,0)</f>
        <v>0</v>
      </c>
      <c r="H1733" s="4" t="n">
        <v>2</v>
      </c>
      <c r="I1733" s="4" t="s">
        <v>213</v>
      </c>
      <c r="J1733" s="4" t="s">
        <v>52</v>
      </c>
      <c r="K1733" s="4" t="s">
        <v>4052</v>
      </c>
      <c r="L1733" s="48" t="str">
        <f aca="false">HYPERLINK("https://boxd.it/1TvE","open")</f>
        <v>open</v>
      </c>
      <c r="M1733" s="4" t="str">
        <f aca="false">LOWER(A1733)&amp;"|"&amp;B1733</f>
        <v>pat garrett &amp; billy the kid|1973</v>
      </c>
      <c r="N1733" s="4" t="n">
        <v>0</v>
      </c>
      <c r="O1733" s="4" t="n">
        <v>0</v>
      </c>
      <c r="P1733" s="4" t="n">
        <v>0</v>
      </c>
      <c r="Q1733" s="4" t="n">
        <v>1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 customFormat="false" ht="15" hidden="false" customHeight="false" outlineLevel="0" collapsed="false">
      <c r="A1734" s="4" t="s">
        <v>1633</v>
      </c>
      <c r="B1734" s="4" t="n">
        <v>2016</v>
      </c>
      <c r="C1734" s="4" t="str">
        <f aca="false">FLOOR(B1734,10)&amp;"s"</f>
        <v>2010s</v>
      </c>
      <c r="D1734" s="4" t="s">
        <v>615</v>
      </c>
      <c r="E1734" s="25" t="str">
        <f aca="false">IF(G1734=1,"✓","")</f>
        <v>✓</v>
      </c>
      <c r="F1734" s="4" t="n">
        <v>1</v>
      </c>
      <c r="G1734" s="4" t="n">
        <f aca="false">IF(COUNTIF('Letterboxd Watched'!$E$2:$E$3000,M1734)&gt;0,1,0)</f>
        <v>1</v>
      </c>
      <c r="H1734" s="4" t="n">
        <v>3</v>
      </c>
      <c r="I1734" s="4" t="s">
        <v>144</v>
      </c>
      <c r="J1734" s="4" t="s">
        <v>53</v>
      </c>
      <c r="K1734" s="4" t="s">
        <v>615</v>
      </c>
      <c r="L1734" s="48" t="str">
        <f aca="false">HYPERLINK("https://boxd.it/cRk2","open")</f>
        <v>open</v>
      </c>
      <c r="M1734" s="4" t="str">
        <f aca="false">LOWER(A1734)&amp;"|"&amp;B1734</f>
        <v>paterson|2016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1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</row>
    <row r="1735" customFormat="false" ht="15" hidden="false" customHeight="false" outlineLevel="0" collapsed="false">
      <c r="A1735" s="4" t="s">
        <v>252</v>
      </c>
      <c r="B1735" s="4" t="n">
        <v>1955</v>
      </c>
      <c r="C1735" s="4" t="str">
        <f aca="false">FLOOR(B1735,10)&amp;"s"</f>
        <v>1950s</v>
      </c>
      <c r="D1735" s="4" t="s">
        <v>253</v>
      </c>
      <c r="E1735" s="25" t="str">
        <f aca="false">IF(G1735=1,"✓","")</f>
        <v/>
      </c>
      <c r="F1735" s="4" t="n">
        <v>5</v>
      </c>
      <c r="G1735" s="4" t="n">
        <f aca="false">IF(COUNTIF('Letterboxd Watched'!$E$2:$E$3000,M1735)&gt;0,1,0)</f>
        <v>0</v>
      </c>
      <c r="H1735" s="4" t="n">
        <v>12</v>
      </c>
      <c r="I1735" s="4" t="s">
        <v>144</v>
      </c>
      <c r="J1735" s="4" t="s">
        <v>50</v>
      </c>
      <c r="K1735" s="4" t="s">
        <v>5693</v>
      </c>
      <c r="L1735" s="48" t="str">
        <f aca="false">HYPERLINK("https://boxd.it/22yC","open")</f>
        <v>open</v>
      </c>
      <c r="M1735" s="4" t="str">
        <f aca="false">LOWER(A1735)&amp;"|"&amp;B1735</f>
        <v>pather panchali|1955</v>
      </c>
      <c r="N1735" s="4" t="n">
        <v>0</v>
      </c>
      <c r="O1735" s="4" t="n">
        <v>1</v>
      </c>
      <c r="P1735" s="4" t="n">
        <v>1</v>
      </c>
      <c r="Q1735" s="4" t="n">
        <v>0</v>
      </c>
      <c r="R1735" s="4" t="n">
        <v>1</v>
      </c>
      <c r="S1735" s="4" t="n">
        <v>0</v>
      </c>
      <c r="T1735" s="4" t="n">
        <v>0</v>
      </c>
      <c r="U1735" s="4" t="n">
        <v>0</v>
      </c>
      <c r="V1735" s="4" t="n">
        <v>1</v>
      </c>
      <c r="W1735" s="4" t="n">
        <v>0</v>
      </c>
    </row>
    <row r="1736" customFormat="false" ht="15" hidden="false" customHeight="false" outlineLevel="0" collapsed="false">
      <c r="A1736" s="4" t="s">
        <v>307</v>
      </c>
      <c r="B1736" s="4" t="n">
        <v>1957</v>
      </c>
      <c r="C1736" s="4" t="str">
        <f aca="false">FLOOR(B1736,10)&amp;"s"</f>
        <v>1950s</v>
      </c>
      <c r="D1736" s="4" t="s">
        <v>187</v>
      </c>
      <c r="E1736" s="25" t="str">
        <f aca="false">IF(G1736=1,"✓","")</f>
        <v>✓</v>
      </c>
      <c r="F1736" s="4" t="n">
        <v>5</v>
      </c>
      <c r="G1736" s="4" t="n">
        <f aca="false">IF(COUNTIF('Letterboxd Watched'!$E$2:$E$3000,M1736)&gt;0,1,0)</f>
        <v>1</v>
      </c>
      <c r="H1736" s="4" t="n">
        <v>10</v>
      </c>
      <c r="I1736" s="4" t="s">
        <v>144</v>
      </c>
      <c r="J1736" s="4" t="s">
        <v>50</v>
      </c>
      <c r="K1736" s="4" t="s">
        <v>5694</v>
      </c>
      <c r="L1736" s="48" t="str">
        <f aca="false">HYPERLINK("https://boxd.it/29b6","open")</f>
        <v>open</v>
      </c>
      <c r="M1736" s="4" t="str">
        <f aca="false">LOWER(A1736)&amp;"|"&amp;B1736</f>
        <v>paths of glory|1957</v>
      </c>
      <c r="N1736" s="4" t="n">
        <v>0</v>
      </c>
      <c r="O1736" s="4" t="n">
        <v>1</v>
      </c>
      <c r="P1736" s="4" t="n">
        <v>0</v>
      </c>
      <c r="Q1736" s="4" t="n">
        <v>1</v>
      </c>
      <c r="R1736" s="4" t="n">
        <v>1</v>
      </c>
      <c r="S1736" s="4" t="n">
        <v>0</v>
      </c>
      <c r="T1736" s="4" t="n">
        <v>1</v>
      </c>
      <c r="U1736" s="4" t="n">
        <v>0</v>
      </c>
      <c r="V1736" s="4" t="n">
        <v>0</v>
      </c>
      <c r="W1736" s="4" t="n">
        <v>0</v>
      </c>
    </row>
    <row r="1737" customFormat="false" ht="15" hidden="false" customHeight="false" outlineLevel="0" collapsed="false">
      <c r="A1737" s="4" t="s">
        <v>3568</v>
      </c>
      <c r="B1737" s="4" t="n">
        <v>1978</v>
      </c>
      <c r="C1737" s="4" t="str">
        <f aca="false">FLOOR(B1737,10)&amp;"s"</f>
        <v>1970s</v>
      </c>
      <c r="D1737" s="4" t="s">
        <v>3569</v>
      </c>
      <c r="E1737" s="25" t="str">
        <f aca="false">IF(G1737=1,"✓","")</f>
        <v/>
      </c>
      <c r="F1737" s="4" t="n">
        <v>1</v>
      </c>
      <c r="G1737" s="4" t="n">
        <f aca="false">IF(COUNTIF('Letterboxd Watched'!$E$2:$E$3000,M1737)&gt;0,1,0)</f>
        <v>0</v>
      </c>
      <c r="H1737" s="4" t="n">
        <v>1</v>
      </c>
      <c r="I1737" s="4" t="s">
        <v>1327</v>
      </c>
      <c r="J1737" s="4" t="s">
        <v>51</v>
      </c>
      <c r="K1737" s="4" t="s">
        <v>4038</v>
      </c>
      <c r="L1737" s="48" t="str">
        <f aca="false">HYPERLINK("https://boxd.it/1IZo","open")</f>
        <v>open</v>
      </c>
      <c r="M1737" s="4" t="str">
        <f aca="false">LOWER(A1737)&amp;"|"&amp;B1737</f>
        <v>patrick|1978</v>
      </c>
      <c r="N1737" s="4" t="n">
        <v>0</v>
      </c>
      <c r="O1737" s="4" t="n">
        <v>0</v>
      </c>
      <c r="P1737" s="4" t="n">
        <v>1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</row>
    <row r="1738" customFormat="false" ht="15" hidden="false" customHeight="false" outlineLevel="0" collapsed="false">
      <c r="A1738" s="4" t="s">
        <v>2387</v>
      </c>
      <c r="B1738" s="4" t="n">
        <v>1983</v>
      </c>
      <c r="C1738" s="4" t="str">
        <f aca="false">FLOOR(B1738,10)&amp;"s"</f>
        <v>1980s</v>
      </c>
      <c r="D1738" s="4" t="s">
        <v>419</v>
      </c>
      <c r="E1738" s="25" t="str">
        <f aca="false">IF(G1738=1,"✓","")</f>
        <v/>
      </c>
      <c r="F1738" s="4" t="n">
        <v>1</v>
      </c>
      <c r="G1738" s="4" t="n">
        <f aca="false">IF(COUNTIF('Letterboxd Watched'!$E$2:$E$3000,M1738)&gt;0,1,0)</f>
        <v>0</v>
      </c>
      <c r="H1738" s="4" t="n">
        <v>2</v>
      </c>
      <c r="I1738" s="4" t="s">
        <v>213</v>
      </c>
      <c r="J1738" s="4" t="s">
        <v>53</v>
      </c>
      <c r="K1738" s="4" t="s">
        <v>4226</v>
      </c>
      <c r="L1738" s="48" t="str">
        <f aca="false">HYPERLINK("https://boxd.it/1WC4","open")</f>
        <v>open</v>
      </c>
      <c r="M1738" s="4" t="str">
        <f aca="false">LOWER(A1738)&amp;"|"&amp;B1738</f>
        <v>pauline at the beach|1983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1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</row>
    <row r="1739" customFormat="false" ht="15" hidden="false" customHeight="false" outlineLevel="0" collapsed="false">
      <c r="A1739" s="4" t="s">
        <v>2053</v>
      </c>
      <c r="B1739" s="4" t="n">
        <v>1964</v>
      </c>
      <c r="C1739" s="4" t="str">
        <f aca="false">FLOOR(B1739,10)&amp;"s"</f>
        <v>1960s</v>
      </c>
      <c r="D1739" s="4" t="s">
        <v>189</v>
      </c>
      <c r="E1739" s="25" t="str">
        <f aca="false">IF(G1739=1,"✓","")</f>
        <v/>
      </c>
      <c r="F1739" s="4" t="n">
        <v>1</v>
      </c>
      <c r="G1739" s="4" t="n">
        <f aca="false">IF(COUNTIF('Letterboxd Watched'!$E$2:$E$3000,M1739)&gt;0,1,0)</f>
        <v>0</v>
      </c>
      <c r="H1739" s="4" t="n">
        <v>2</v>
      </c>
      <c r="I1739" s="4" t="s">
        <v>213</v>
      </c>
      <c r="J1739" s="4" t="s">
        <v>53</v>
      </c>
      <c r="K1739" s="4" t="s">
        <v>189</v>
      </c>
      <c r="L1739" s="48" t="str">
        <f aca="false">HYPERLINK("https://boxd.it/1Dj8","open")</f>
        <v>open</v>
      </c>
      <c r="M1739" s="4" t="str">
        <f aca="false">LOWER(A1739)&amp;"|"&amp;B1739</f>
        <v>the pawnbroker|1964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1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</row>
    <row r="1740" customFormat="false" ht="15" hidden="false" customHeight="false" outlineLevel="0" collapsed="false">
      <c r="A1740" s="4" t="s">
        <v>580</v>
      </c>
      <c r="B1740" s="4" t="n">
        <v>1960</v>
      </c>
      <c r="C1740" s="4" t="str">
        <f aca="false">FLOOR(B1740,10)&amp;"s"</f>
        <v>1960s</v>
      </c>
      <c r="D1740" s="4" t="s">
        <v>581</v>
      </c>
      <c r="E1740" s="25" t="str">
        <f aca="false">IF(G1740=1,"✓","")</f>
        <v/>
      </c>
      <c r="F1740" s="4" t="n">
        <v>3</v>
      </c>
      <c r="G1740" s="4" t="n">
        <f aca="false">IF(COUNTIF('Letterboxd Watched'!$E$2:$E$3000,M1740)&gt;0,1,0)</f>
        <v>0</v>
      </c>
      <c r="H1740" s="4" t="n">
        <v>6</v>
      </c>
      <c r="I1740" s="4" t="s">
        <v>213</v>
      </c>
      <c r="J1740" s="4" t="s">
        <v>51</v>
      </c>
      <c r="K1740" s="4" t="s">
        <v>5695</v>
      </c>
      <c r="L1740" s="48" t="str">
        <f aca="false">HYPERLINK("https://boxd.it/1Utk","open")</f>
        <v>open</v>
      </c>
      <c r="M1740" s="4" t="str">
        <f aca="false">LOWER(A1740)&amp;"|"&amp;B1740</f>
        <v>peeping tom|1960</v>
      </c>
      <c r="N1740" s="4" t="n">
        <v>0</v>
      </c>
      <c r="O1740" s="4" t="n">
        <v>0</v>
      </c>
      <c r="P1740" s="4" t="n">
        <v>1</v>
      </c>
      <c r="Q1740" s="4" t="n">
        <v>1</v>
      </c>
      <c r="R1740" s="4" t="n">
        <v>0</v>
      </c>
      <c r="S1740" s="4" t="n">
        <v>1</v>
      </c>
      <c r="T1740" s="4" t="n">
        <v>0</v>
      </c>
      <c r="U1740" s="4" t="n">
        <v>0</v>
      </c>
      <c r="V1740" s="4" t="n">
        <v>0</v>
      </c>
      <c r="W1740" s="4" t="n">
        <v>0</v>
      </c>
    </row>
    <row r="1741" customFormat="false" ht="15" hidden="false" customHeight="false" outlineLevel="0" collapsed="false">
      <c r="A1741" s="4" t="s">
        <v>3593</v>
      </c>
      <c r="B1741" s="4" t="n">
        <v>1981</v>
      </c>
      <c r="C1741" s="4" t="str">
        <f aca="false">FLOOR(B1741,10)&amp;"s"</f>
        <v>1980s</v>
      </c>
      <c r="D1741" s="4" t="s">
        <v>3594</v>
      </c>
      <c r="E1741" s="25" t="str">
        <f aca="false">IF(G1741=1,"✓","")</f>
        <v/>
      </c>
      <c r="F1741" s="4" t="n">
        <v>1</v>
      </c>
      <c r="G1741" s="4" t="n">
        <f aca="false">IF(COUNTIF('Letterboxd Watched'!$E$2:$E$3000,M1741)&gt;0,1,0)</f>
        <v>0</v>
      </c>
      <c r="H1741" s="4" t="n">
        <v>1</v>
      </c>
      <c r="I1741" s="4" t="s">
        <v>1327</v>
      </c>
      <c r="J1741" s="4" t="s">
        <v>52</v>
      </c>
      <c r="K1741" s="4" t="s">
        <v>4112</v>
      </c>
      <c r="L1741" s="48" t="str">
        <f aca="false">HYPERLINK("https://boxd.it/1IF4","open")</f>
        <v>open</v>
      </c>
      <c r="M1741" s="4" t="str">
        <f aca="false">LOWER(A1741)&amp;"|"&amp;B1741</f>
        <v>pennies from heaven|1981</v>
      </c>
      <c r="N1741" s="4" t="n">
        <v>0</v>
      </c>
      <c r="O1741" s="4" t="n">
        <v>0</v>
      </c>
      <c r="P1741" s="4" t="n">
        <v>0</v>
      </c>
      <c r="Q1741" s="4" t="n">
        <v>1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 customFormat="false" ht="15" hidden="false" customHeight="false" outlineLevel="0" collapsed="false">
      <c r="A1742" s="4" t="s">
        <v>3306</v>
      </c>
      <c r="B1742" s="4" t="n">
        <v>1930</v>
      </c>
      <c r="C1742" s="4" t="str">
        <f aca="false">FLOOR(B1742,10)&amp;"s"</f>
        <v>1930s</v>
      </c>
      <c r="D1742" s="4" t="s">
        <v>3307</v>
      </c>
      <c r="E1742" s="25" t="str">
        <f aca="false">IF(G1742=1,"✓","")</f>
        <v/>
      </c>
      <c r="F1742" s="4" t="n">
        <v>1</v>
      </c>
      <c r="G1742" s="4" t="n">
        <f aca="false">IF(COUNTIF('Letterboxd Watched'!$E$2:$E$3000,M1742)&gt;0,1,0)</f>
        <v>0</v>
      </c>
      <c r="H1742" s="4" t="n">
        <v>1</v>
      </c>
      <c r="I1742" s="4" t="s">
        <v>1327</v>
      </c>
      <c r="J1742" s="4" t="s">
        <v>50</v>
      </c>
      <c r="K1742" s="4" t="s">
        <v>3898</v>
      </c>
      <c r="L1742" s="48" t="str">
        <f aca="false">HYPERLINK("https://boxd.it/2ax8","open")</f>
        <v>open</v>
      </c>
      <c r="M1742" s="4" t="str">
        <f aca="false">LOWER(A1742)&amp;"|"&amp;B1742</f>
        <v>people on sunday|1930</v>
      </c>
      <c r="N1742" s="4" t="n">
        <v>0</v>
      </c>
      <c r="O1742" s="4" t="n">
        <v>1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</row>
    <row r="1743" customFormat="false" ht="15" hidden="false" customHeight="false" outlineLevel="0" collapsed="false">
      <c r="A1743" s="4" t="s">
        <v>1771</v>
      </c>
      <c r="B1743" s="4" t="n">
        <v>1937</v>
      </c>
      <c r="C1743" s="4" t="str">
        <f aca="false">FLOOR(B1743,10)&amp;"s"</f>
        <v>1930s</v>
      </c>
      <c r="D1743" s="4" t="s">
        <v>1772</v>
      </c>
      <c r="E1743" s="25" t="str">
        <f aca="false">IF(G1743=1,"✓","")</f>
        <v/>
      </c>
      <c r="F1743" s="4" t="n">
        <v>1</v>
      </c>
      <c r="G1743" s="4" t="n">
        <f aca="false">IF(COUNTIF('Letterboxd Watched'!$E$2:$E$3000,M1743)&gt;0,1,0)</f>
        <v>0</v>
      </c>
      <c r="H1743" s="4" t="n">
        <v>2</v>
      </c>
      <c r="I1743" s="4" t="s">
        <v>213</v>
      </c>
      <c r="J1743" s="4" t="s">
        <v>51</v>
      </c>
      <c r="K1743" s="4" t="s">
        <v>3958</v>
      </c>
      <c r="L1743" s="48" t="str">
        <f aca="false">HYPERLINK("https://letterboxd.com/search/films/Pépé+le+Moko+1937/","open")</f>
        <v>open</v>
      </c>
      <c r="M1743" s="4" t="str">
        <f aca="false">LOWER(A1743)&amp;"|"&amp;B1743</f>
        <v>pépé le moko|1937</v>
      </c>
      <c r="N1743" s="4" t="n">
        <v>0</v>
      </c>
      <c r="O1743" s="4" t="n">
        <v>0</v>
      </c>
      <c r="P1743" s="4" t="n">
        <v>1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</row>
    <row r="1744" customFormat="false" ht="15" hidden="false" customHeight="false" outlineLevel="0" collapsed="false">
      <c r="A1744" s="4" t="s">
        <v>2699</v>
      </c>
      <c r="B1744" s="4" t="n">
        <v>1999</v>
      </c>
      <c r="C1744" s="4" t="str">
        <f aca="false">FLOOR(B1744,10)&amp;"s"</f>
        <v>1990s</v>
      </c>
      <c r="D1744" s="4" t="s">
        <v>1243</v>
      </c>
      <c r="E1744" s="25" t="str">
        <f aca="false">IF(G1744=1,"✓","")</f>
        <v/>
      </c>
      <c r="F1744" s="4" t="n">
        <v>1</v>
      </c>
      <c r="G1744" s="4" t="n">
        <f aca="false">IF(COUNTIF('Letterboxd Watched'!$E$2:$E$3000,M1744)&gt;0,1,0)</f>
        <v>0</v>
      </c>
      <c r="H1744" s="4" t="n">
        <v>2</v>
      </c>
      <c r="I1744" s="4" t="s">
        <v>213</v>
      </c>
      <c r="J1744" s="4" t="s">
        <v>51</v>
      </c>
      <c r="K1744" s="4" t="s">
        <v>4022</v>
      </c>
      <c r="L1744" s="48" t="str">
        <f aca="false">HYPERLINK("https://boxd.it/ZQc","open")</f>
        <v>open</v>
      </c>
      <c r="M1744" s="4" t="str">
        <f aca="false">LOWER(A1744)&amp;"|"&amp;B1744</f>
        <v>peppermint candy|1999</v>
      </c>
      <c r="N1744" s="4" t="n">
        <v>0</v>
      </c>
      <c r="O1744" s="4" t="n">
        <v>0</v>
      </c>
      <c r="P1744" s="4" t="n">
        <v>1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</row>
    <row r="1745" customFormat="false" ht="15" hidden="false" customHeight="false" outlineLevel="0" collapsed="false">
      <c r="A1745" s="4" t="s">
        <v>2663</v>
      </c>
      <c r="B1745" s="4" t="n">
        <v>1997</v>
      </c>
      <c r="C1745" s="4" t="str">
        <f aca="false">FLOOR(B1745,10)&amp;"s"</f>
        <v>1990s</v>
      </c>
      <c r="D1745" s="4" t="s">
        <v>635</v>
      </c>
      <c r="E1745" s="25" t="str">
        <f aca="false">IF(G1745=1,"✓","")</f>
        <v/>
      </c>
      <c r="F1745" s="4" t="n">
        <v>1</v>
      </c>
      <c r="G1745" s="4" t="n">
        <f aca="false">IF(COUNTIF('Letterboxd Watched'!$E$2:$E$3000,M1745)&gt;0,1,0)</f>
        <v>0</v>
      </c>
      <c r="H1745" s="4" t="n">
        <v>2</v>
      </c>
      <c r="I1745" s="4" t="s">
        <v>213</v>
      </c>
      <c r="J1745" s="4" t="s">
        <v>51</v>
      </c>
      <c r="K1745" s="4" t="s">
        <v>3938</v>
      </c>
      <c r="L1745" s="48" t="str">
        <f aca="false">HYPERLINK("https://boxd.it/1W7A","open")</f>
        <v>open</v>
      </c>
      <c r="M1745" s="4" t="str">
        <f aca="false">LOWER(A1745)&amp;"|"&amp;B1745</f>
        <v>perfect blue|1997</v>
      </c>
      <c r="N1745" s="4" t="n">
        <v>0</v>
      </c>
      <c r="O1745" s="4" t="n">
        <v>0</v>
      </c>
      <c r="P1745" s="4" t="n">
        <v>1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</row>
    <row r="1746" customFormat="false" ht="15" hidden="false" customHeight="false" outlineLevel="0" collapsed="false">
      <c r="A1746" s="4" t="s">
        <v>697</v>
      </c>
      <c r="B1746" s="4" t="n">
        <v>2023</v>
      </c>
      <c r="C1746" s="4" t="str">
        <f aca="false">FLOOR(B1746,10)&amp;"s"</f>
        <v>2020s</v>
      </c>
      <c r="D1746" s="4" t="s">
        <v>365</v>
      </c>
      <c r="E1746" s="25" t="str">
        <f aca="false">IF(G1746=1,"✓","")</f>
        <v>✓</v>
      </c>
      <c r="F1746" s="4" t="n">
        <v>3</v>
      </c>
      <c r="G1746" s="4" t="n">
        <f aca="false">IF(COUNTIF('Letterboxd Watched'!$E$2:$E$3000,M1746)&gt;0,1,0)</f>
        <v>1</v>
      </c>
      <c r="H1746" s="4" t="n">
        <v>6</v>
      </c>
      <c r="I1746" s="4" t="s">
        <v>213</v>
      </c>
      <c r="J1746" s="4" t="s">
        <v>50</v>
      </c>
      <c r="K1746" s="4" t="s">
        <v>5696</v>
      </c>
      <c r="L1746" s="48" t="str">
        <f aca="false">HYPERLINK("https://boxd.it/ATh8","open")</f>
        <v>open</v>
      </c>
      <c r="M1746" s="4" t="str">
        <f aca="false">LOWER(A1746)&amp;"|"&amp;B1746</f>
        <v>perfect days|2023</v>
      </c>
      <c r="N1746" s="4" t="n">
        <v>0</v>
      </c>
      <c r="O1746" s="4" t="n">
        <v>1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1</v>
      </c>
      <c r="U1746" s="4" t="n">
        <v>0</v>
      </c>
      <c r="V1746" s="4" t="n">
        <v>0</v>
      </c>
      <c r="W1746" s="4" t="n">
        <v>0</v>
      </c>
    </row>
    <row r="1747" customFormat="false" ht="15" hidden="false" customHeight="false" outlineLevel="0" collapsed="false">
      <c r="A1747" s="4" t="s">
        <v>1480</v>
      </c>
      <c r="B1747" s="4" t="n">
        <v>1970</v>
      </c>
      <c r="C1747" s="4" t="str">
        <f aca="false">FLOOR(B1747,10)&amp;"s"</f>
        <v>1970s</v>
      </c>
      <c r="D1747" s="4" t="s">
        <v>1481</v>
      </c>
      <c r="E1747" s="25" t="str">
        <f aca="false">IF(G1747=1,"✓","")</f>
        <v/>
      </c>
      <c r="F1747" s="4" t="n">
        <v>1</v>
      </c>
      <c r="G1747" s="4" t="n">
        <f aca="false">IF(COUNTIF('Letterboxd Watched'!$E$2:$E$3000,M1747)&gt;0,1,0)</f>
        <v>0</v>
      </c>
      <c r="H1747" s="4" t="n">
        <v>3</v>
      </c>
      <c r="I1747" s="4" t="s">
        <v>144</v>
      </c>
      <c r="J1747" s="4" t="s">
        <v>51</v>
      </c>
      <c r="K1747" s="4" t="s">
        <v>3984</v>
      </c>
      <c r="L1747" s="48" t="str">
        <f aca="false">HYPERLINK("https://boxd.it/1txE","open")</f>
        <v>open</v>
      </c>
      <c r="M1747" s="4" t="str">
        <f aca="false">LOWER(A1747)&amp;"|"&amp;B1747</f>
        <v>performance|1970</v>
      </c>
      <c r="N1747" s="4" t="n">
        <v>0</v>
      </c>
      <c r="O1747" s="4" t="n">
        <v>0</v>
      </c>
      <c r="P1747" s="4" t="n">
        <v>1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 customFormat="false" ht="15" hidden="false" customHeight="false" outlineLevel="0" collapsed="false">
      <c r="A1748" s="4" t="s">
        <v>3583</v>
      </c>
      <c r="B1748" s="4" t="n">
        <v>1980</v>
      </c>
      <c r="C1748" s="4" t="str">
        <f aca="false">FLOOR(B1748,10)&amp;"s"</f>
        <v>1980s</v>
      </c>
      <c r="D1748" s="4" t="s">
        <v>615</v>
      </c>
      <c r="E1748" s="25" t="str">
        <f aca="false">IF(G1748=1,"✓","")</f>
        <v/>
      </c>
      <c r="F1748" s="4" t="n">
        <v>1</v>
      </c>
      <c r="G1748" s="4" t="n">
        <f aca="false">IF(COUNTIF('Letterboxd Watched'!$E$2:$E$3000,M1748)&gt;0,1,0)</f>
        <v>0</v>
      </c>
      <c r="H1748" s="4" t="n">
        <v>1</v>
      </c>
      <c r="I1748" s="4" t="s">
        <v>1327</v>
      </c>
      <c r="J1748" s="4" t="s">
        <v>53</v>
      </c>
      <c r="K1748" s="4" t="s">
        <v>615</v>
      </c>
      <c r="L1748" s="48" t="str">
        <f aca="false">HYPERLINK("https://boxd.it/171c","open")</f>
        <v>open</v>
      </c>
      <c r="M1748" s="4" t="str">
        <f aca="false">LOWER(A1748)&amp;"|"&amp;B1748</f>
        <v>permanent vacation|1980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1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</row>
    <row r="1749" customFormat="false" ht="15" hidden="false" customHeight="false" outlineLevel="0" collapsed="false">
      <c r="A1749" s="4" t="s">
        <v>688</v>
      </c>
      <c r="B1749" s="4" t="n">
        <v>2007</v>
      </c>
      <c r="C1749" s="4" t="str">
        <f aca="false">FLOOR(B1749,10)&amp;"s"</f>
        <v>2000s</v>
      </c>
      <c r="D1749" s="4" t="s">
        <v>689</v>
      </c>
      <c r="E1749" s="25" t="str">
        <f aca="false">IF(G1749=1,"✓","")</f>
        <v/>
      </c>
      <c r="F1749" s="4" t="n">
        <v>2</v>
      </c>
      <c r="G1749" s="4" t="n">
        <f aca="false">IF(COUNTIF('Letterboxd Watched'!$E$2:$E$3000,M1749)&gt;0,1,0)</f>
        <v>0</v>
      </c>
      <c r="H1749" s="4" t="n">
        <v>6</v>
      </c>
      <c r="I1749" s="4" t="s">
        <v>144</v>
      </c>
      <c r="J1749" s="4" t="s">
        <v>51</v>
      </c>
      <c r="K1749" s="4" t="s">
        <v>5697</v>
      </c>
      <c r="L1749" s="48" t="str">
        <f aca="false">HYPERLINK("https://boxd.it/27DC","open")</f>
        <v>open</v>
      </c>
      <c r="M1749" s="4" t="str">
        <f aca="false">LOWER(A1749)&amp;"|"&amp;B1749</f>
        <v>persepolis|2007</v>
      </c>
      <c r="N1749" s="4" t="n">
        <v>0</v>
      </c>
      <c r="O1749" s="4" t="n">
        <v>0</v>
      </c>
      <c r="P1749" s="4" t="n">
        <v>1</v>
      </c>
      <c r="Q1749" s="4" t="n">
        <v>1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</row>
    <row r="1750" customFormat="false" ht="15" hidden="false" customHeight="false" outlineLevel="0" collapsed="false">
      <c r="A1750" s="4" t="s">
        <v>191</v>
      </c>
      <c r="B1750" s="4" t="n">
        <v>1966</v>
      </c>
      <c r="C1750" s="4" t="str">
        <f aca="false">FLOOR(B1750,10)&amp;"s"</f>
        <v>1960s</v>
      </c>
      <c r="D1750" s="4" t="s">
        <v>170</v>
      </c>
      <c r="E1750" s="25" t="str">
        <f aca="false">IF(G1750=1,"✓","")</f>
        <v/>
      </c>
      <c r="F1750" s="4" t="n">
        <v>7</v>
      </c>
      <c r="G1750" s="4" t="n">
        <f aca="false">IF(COUNTIF('Letterboxd Watched'!$E$2:$E$3000,M1750)&gt;0,1,0)</f>
        <v>0</v>
      </c>
      <c r="H1750" s="4" t="n">
        <v>16</v>
      </c>
      <c r="I1750" s="4" t="s">
        <v>144</v>
      </c>
      <c r="J1750" s="4" t="s">
        <v>50</v>
      </c>
      <c r="K1750" s="4" t="s">
        <v>5698</v>
      </c>
      <c r="L1750" s="48" t="str">
        <f aca="false">HYPERLINK("https://boxd.it/29B4","open")</f>
        <v>open</v>
      </c>
      <c r="M1750" s="4" t="str">
        <f aca="false">LOWER(A1750)&amp;"|"&amp;B1750</f>
        <v>persona|1966</v>
      </c>
      <c r="N1750" s="4" t="n">
        <v>0</v>
      </c>
      <c r="O1750" s="4" t="n">
        <v>1</v>
      </c>
      <c r="P1750" s="4" t="n">
        <v>1</v>
      </c>
      <c r="Q1750" s="4" t="n">
        <v>0</v>
      </c>
      <c r="R1750" s="4" t="n">
        <v>1</v>
      </c>
      <c r="S1750" s="4" t="n">
        <v>0</v>
      </c>
      <c r="T1750" s="4" t="n">
        <v>0</v>
      </c>
      <c r="U1750" s="4" t="n">
        <v>0</v>
      </c>
      <c r="V1750" s="4" t="n">
        <v>1</v>
      </c>
      <c r="W1750" s="4" t="n">
        <v>1</v>
      </c>
    </row>
    <row r="1751" customFormat="false" ht="15" hidden="false" customHeight="false" outlineLevel="0" collapsed="false">
      <c r="A1751" s="4" t="s">
        <v>3092</v>
      </c>
      <c r="B1751" s="4" t="n">
        <v>2016</v>
      </c>
      <c r="C1751" s="4" t="str">
        <f aca="false">FLOOR(B1751,10)&amp;"s"</f>
        <v>2010s</v>
      </c>
      <c r="D1751" s="4" t="s">
        <v>1391</v>
      </c>
      <c r="E1751" s="25" t="str">
        <f aca="false">IF(G1751=1,"✓","")</f>
        <v/>
      </c>
      <c r="F1751" s="4" t="n">
        <v>1</v>
      </c>
      <c r="G1751" s="4" t="n">
        <f aca="false">IF(COUNTIF('Letterboxd Watched'!$E$2:$E$3000,M1751)&gt;0,1,0)</f>
        <v>0</v>
      </c>
      <c r="H1751" s="4" t="n">
        <v>2</v>
      </c>
      <c r="I1751" s="4" t="s">
        <v>213</v>
      </c>
      <c r="J1751" s="4" t="s">
        <v>51</v>
      </c>
      <c r="K1751" s="4" t="s">
        <v>3970</v>
      </c>
      <c r="L1751" s="48" t="str">
        <f aca="false">HYPERLINK("https://boxd.it/bkGM","open")</f>
        <v>open</v>
      </c>
      <c r="M1751" s="4" t="str">
        <f aca="false">LOWER(A1751)&amp;"|"&amp;B1751</f>
        <v>personal shopper|2016</v>
      </c>
      <c r="N1751" s="4" t="n">
        <v>0</v>
      </c>
      <c r="O1751" s="4" t="n">
        <v>0</v>
      </c>
      <c r="P1751" s="4" t="n">
        <v>1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</row>
    <row r="1752" customFormat="false" ht="15" hidden="false" customHeight="false" outlineLevel="0" collapsed="false">
      <c r="A1752" s="4" t="s">
        <v>1678</v>
      </c>
      <c r="B1752" s="4" t="n">
        <v>1921</v>
      </c>
      <c r="C1752" s="4" t="str">
        <f aca="false">FLOOR(B1752,10)&amp;"s"</f>
        <v>1920s</v>
      </c>
      <c r="D1752" s="4" t="s">
        <v>1270</v>
      </c>
      <c r="E1752" s="25" t="str">
        <f aca="false">IF(G1752=1,"✓","")</f>
        <v/>
      </c>
      <c r="F1752" s="4" t="n">
        <v>1</v>
      </c>
      <c r="G1752" s="4" t="n">
        <f aca="false">IF(COUNTIF('Letterboxd Watched'!$E$2:$E$3000,M1752)&gt;0,1,0)</f>
        <v>0</v>
      </c>
      <c r="H1752" s="4" t="n">
        <v>2</v>
      </c>
      <c r="I1752" s="4" t="s">
        <v>213</v>
      </c>
      <c r="J1752" s="4" t="s">
        <v>51</v>
      </c>
      <c r="K1752" s="4" t="s">
        <v>3986</v>
      </c>
      <c r="L1752" s="48" t="str">
        <f aca="false">HYPERLINK("https://boxd.it/l4s","open")</f>
        <v>open</v>
      </c>
      <c r="M1752" s="4" t="str">
        <f aca="false">LOWER(A1752)&amp;"|"&amp;B1752</f>
        <v>the phantom carriage|1921</v>
      </c>
      <c r="N1752" s="4" t="n">
        <v>0</v>
      </c>
      <c r="O1752" s="4" t="n">
        <v>0</v>
      </c>
      <c r="P1752" s="4" t="n">
        <v>1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</row>
    <row r="1753" customFormat="false" ht="15" hidden="false" customHeight="false" outlineLevel="0" collapsed="false">
      <c r="A1753" s="4" t="s">
        <v>2245</v>
      </c>
      <c r="B1753" s="4" t="n">
        <v>1974</v>
      </c>
      <c r="C1753" s="4" t="str">
        <f aca="false">FLOOR(B1753,10)&amp;"s"</f>
        <v>1970s</v>
      </c>
      <c r="D1753" s="4" t="s">
        <v>402</v>
      </c>
      <c r="E1753" s="25" t="str">
        <f aca="false">IF(G1753=1,"✓","")</f>
        <v/>
      </c>
      <c r="F1753" s="4" t="n">
        <v>1</v>
      </c>
      <c r="G1753" s="4" t="n">
        <f aca="false">IF(COUNTIF('Letterboxd Watched'!$E$2:$E$3000,M1753)&gt;0,1,0)</f>
        <v>0</v>
      </c>
      <c r="H1753" s="4" t="n">
        <v>2</v>
      </c>
      <c r="I1753" s="4" t="s">
        <v>213</v>
      </c>
      <c r="J1753" s="4" t="s">
        <v>52</v>
      </c>
      <c r="K1753" s="4" t="s">
        <v>4180</v>
      </c>
      <c r="L1753" s="48" t="str">
        <f aca="false">HYPERLINK("https://boxd.it/22VG","open")</f>
        <v>open</v>
      </c>
      <c r="M1753" s="4" t="str">
        <f aca="false">LOWER(A1753)&amp;"|"&amp;B1753</f>
        <v>the phantom of liberty|1974</v>
      </c>
      <c r="N1753" s="4" t="n">
        <v>0</v>
      </c>
      <c r="O1753" s="4" t="n">
        <v>0</v>
      </c>
      <c r="P1753" s="4" t="n">
        <v>0</v>
      </c>
      <c r="Q1753" s="4" t="n">
        <v>1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</row>
    <row r="1754" customFormat="false" ht="15" hidden="false" customHeight="false" outlineLevel="0" collapsed="false">
      <c r="A1754" s="4" t="s">
        <v>1351</v>
      </c>
      <c r="B1754" s="4" t="n">
        <v>1974</v>
      </c>
      <c r="C1754" s="4" t="str">
        <f aca="false">FLOOR(B1754,10)&amp;"s"</f>
        <v>1970s</v>
      </c>
      <c r="D1754" s="4" t="s">
        <v>488</v>
      </c>
      <c r="E1754" s="25" t="str">
        <f aca="false">IF(G1754=1,"✓","")</f>
        <v/>
      </c>
      <c r="F1754" s="4" t="n">
        <v>2</v>
      </c>
      <c r="G1754" s="4" t="n">
        <f aca="false">IF(COUNTIF('Letterboxd Watched'!$E$2:$E$3000,M1754)&gt;0,1,0)</f>
        <v>0</v>
      </c>
      <c r="H1754" s="4" t="n">
        <v>3</v>
      </c>
      <c r="I1754" s="4" t="s">
        <v>213</v>
      </c>
      <c r="J1754" s="4" t="s">
        <v>52</v>
      </c>
      <c r="K1754" s="4" t="s">
        <v>5699</v>
      </c>
      <c r="L1754" s="48" t="str">
        <f aca="false">HYPERLINK("https://boxd.it/1s34","open")</f>
        <v>open</v>
      </c>
      <c r="M1754" s="4" t="str">
        <f aca="false">LOWER(A1754)&amp;"|"&amp;B1754</f>
        <v>phantom of the paradise|1974</v>
      </c>
      <c r="N1754" s="4" t="n">
        <v>0</v>
      </c>
      <c r="O1754" s="4" t="n">
        <v>0</v>
      </c>
      <c r="P1754" s="4" t="n">
        <v>0</v>
      </c>
      <c r="Q1754" s="4" t="n">
        <v>1</v>
      </c>
      <c r="R1754" s="4" t="n">
        <v>1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</row>
    <row r="1755" customFormat="false" ht="15" hidden="false" customHeight="false" outlineLevel="0" collapsed="false">
      <c r="A1755" s="4" t="s">
        <v>649</v>
      </c>
      <c r="B1755" s="4" t="n">
        <v>2017</v>
      </c>
      <c r="C1755" s="4" t="str">
        <f aca="false">FLOOR(B1755,10)&amp;"s"</f>
        <v>2010s</v>
      </c>
      <c r="D1755" s="4" t="s">
        <v>278</v>
      </c>
      <c r="E1755" s="25" t="str">
        <f aca="false">IF(G1755=1,"✓","")</f>
        <v>✓</v>
      </c>
      <c r="F1755" s="4" t="n">
        <v>3</v>
      </c>
      <c r="G1755" s="4" t="n">
        <f aca="false">IF(COUNTIF('Letterboxd Watched'!$E$2:$E$3000,M1755)&gt;0,1,0)</f>
        <v>1</v>
      </c>
      <c r="H1755" s="4" t="n">
        <v>6</v>
      </c>
      <c r="I1755" s="4" t="s">
        <v>213</v>
      </c>
      <c r="J1755" s="4" t="s">
        <v>50</v>
      </c>
      <c r="K1755" s="4" t="s">
        <v>5700</v>
      </c>
      <c r="L1755" s="48" t="str">
        <f aca="false">HYPERLINK("https://boxd.it/e4uc","open")</f>
        <v>open</v>
      </c>
      <c r="M1755" s="4" t="str">
        <f aca="false">LOWER(A1755)&amp;"|"&amp;B1755</f>
        <v>phantom thread|2017</v>
      </c>
      <c r="N1755" s="4" t="n">
        <v>0</v>
      </c>
      <c r="O1755" s="4" t="n">
        <v>1</v>
      </c>
      <c r="P1755" s="4" t="n">
        <v>0</v>
      </c>
      <c r="Q1755" s="4" t="n">
        <v>0</v>
      </c>
      <c r="R1755" s="4" t="n">
        <v>1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1</v>
      </c>
    </row>
    <row r="1756" customFormat="false" ht="15" hidden="false" customHeight="false" outlineLevel="0" collapsed="false">
      <c r="A1756" s="4" t="s">
        <v>3536</v>
      </c>
      <c r="B1756" s="4" t="n">
        <v>1974</v>
      </c>
      <c r="C1756" s="4" t="str">
        <f aca="false">FLOOR(B1756,10)&amp;"s"</f>
        <v>1970s</v>
      </c>
      <c r="D1756" s="4" t="s">
        <v>3537</v>
      </c>
      <c r="E1756" s="25" t="str">
        <f aca="false">IF(G1756=1,"✓","")</f>
        <v/>
      </c>
      <c r="F1756" s="4" t="n">
        <v>1</v>
      </c>
      <c r="G1756" s="4" t="n">
        <f aca="false">IF(COUNTIF('Letterboxd Watched'!$E$2:$E$3000,M1756)&gt;0,1,0)</f>
        <v>0</v>
      </c>
      <c r="H1756" s="4" t="n">
        <v>1</v>
      </c>
      <c r="I1756" s="4" t="s">
        <v>1327</v>
      </c>
      <c r="J1756" s="4" t="s">
        <v>52</v>
      </c>
      <c r="K1756" s="4" t="s">
        <v>4086</v>
      </c>
      <c r="L1756" s="48" t="str">
        <f aca="false">HYPERLINK("https://boxd.it/iDY","open")</f>
        <v>open</v>
      </c>
      <c r="M1756" s="4" t="str">
        <f aca="false">LOWER(A1756)&amp;"|"&amp;B1756</f>
        <v>phase iv|1974</v>
      </c>
      <c r="N1756" s="4" t="n">
        <v>0</v>
      </c>
      <c r="O1756" s="4" t="n">
        <v>0</v>
      </c>
      <c r="P1756" s="4" t="n">
        <v>0</v>
      </c>
      <c r="Q1756" s="4" t="n">
        <v>1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</row>
    <row r="1757" customFormat="false" ht="15" hidden="false" customHeight="false" outlineLevel="0" collapsed="false">
      <c r="A1757" s="4" t="s">
        <v>2575</v>
      </c>
      <c r="B1757" s="4" t="n">
        <v>1993</v>
      </c>
      <c r="C1757" s="4" t="str">
        <f aca="false">FLOOR(B1757,10)&amp;"s"</f>
        <v>1990s</v>
      </c>
      <c r="D1757" s="4" t="s">
        <v>496</v>
      </c>
      <c r="E1757" s="25" t="str">
        <f aca="false">IF(G1757=1,"✓","")</f>
        <v/>
      </c>
      <c r="F1757" s="4" t="n">
        <v>1</v>
      </c>
      <c r="G1757" s="4" t="n">
        <f aca="false">IF(COUNTIF('Letterboxd Watched'!$E$2:$E$3000,M1757)&gt;0,1,0)</f>
        <v>0</v>
      </c>
      <c r="H1757" s="4" t="n">
        <v>2</v>
      </c>
      <c r="I1757" s="4" t="s">
        <v>213</v>
      </c>
      <c r="J1757" s="4" t="s">
        <v>55</v>
      </c>
      <c r="K1757" s="4" t="s">
        <v>4324</v>
      </c>
      <c r="L1757" s="48" t="str">
        <f aca="false">HYPERLINK("https://boxd.it/1XMk","open")</f>
        <v>open</v>
      </c>
      <c r="M1757" s="4" t="str">
        <f aca="false">LOWER(A1757)&amp;"|"&amp;B1757</f>
        <v>philadelphia|1993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1</v>
      </c>
      <c r="U1757" s="4" t="n">
        <v>0</v>
      </c>
      <c r="V1757" s="4" t="n">
        <v>0</v>
      </c>
      <c r="W1757" s="4" t="n">
        <v>0</v>
      </c>
    </row>
    <row r="1758" customFormat="false" ht="15" hidden="false" customHeight="false" outlineLevel="0" collapsed="false">
      <c r="A1758" s="4" t="s">
        <v>536</v>
      </c>
      <c r="B1758" s="4" t="n">
        <v>1940</v>
      </c>
      <c r="C1758" s="4" t="str">
        <f aca="false">FLOOR(B1758,10)&amp;"s"</f>
        <v>1940s</v>
      </c>
      <c r="D1758" s="4" t="s">
        <v>537</v>
      </c>
      <c r="E1758" s="25" t="str">
        <f aca="false">IF(G1758=1,"✓","")</f>
        <v/>
      </c>
      <c r="F1758" s="4" t="n">
        <v>3</v>
      </c>
      <c r="G1758" s="4" t="n">
        <f aca="false">IF(COUNTIF('Letterboxd Watched'!$E$2:$E$3000,M1758)&gt;0,1,0)</f>
        <v>0</v>
      </c>
      <c r="H1758" s="4" t="n">
        <v>7</v>
      </c>
      <c r="I1758" s="4" t="s">
        <v>144</v>
      </c>
      <c r="J1758" s="4" t="s">
        <v>52</v>
      </c>
      <c r="K1758" s="4" t="s">
        <v>5701</v>
      </c>
      <c r="L1758" s="48" t="str">
        <f aca="false">HYPERLINK("https://boxd.it/29a8","open")</f>
        <v>open</v>
      </c>
      <c r="M1758" s="4" t="str">
        <f aca="false">LOWER(A1758)&amp;"|"&amp;B1758</f>
        <v>the philadelphia story|1940</v>
      </c>
      <c r="N1758" s="4" t="n">
        <v>0</v>
      </c>
      <c r="O1758" s="4" t="n">
        <v>0</v>
      </c>
      <c r="P1758" s="4" t="n">
        <v>0</v>
      </c>
      <c r="Q1758" s="4" t="n">
        <v>1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1</v>
      </c>
      <c r="W1758" s="4" t="n">
        <v>0</v>
      </c>
    </row>
    <row r="1759" customFormat="false" ht="15" hidden="false" customHeight="false" outlineLevel="0" collapsed="false">
      <c r="A1759" s="4" t="s">
        <v>3047</v>
      </c>
      <c r="B1759" s="4" t="n">
        <v>2014</v>
      </c>
      <c r="C1759" s="4" t="str">
        <f aca="false">FLOOR(B1759,10)&amp;"s"</f>
        <v>2010s</v>
      </c>
      <c r="D1759" s="4" t="s">
        <v>2991</v>
      </c>
      <c r="E1759" s="25" t="str">
        <f aca="false">IF(G1759=1,"✓","")</f>
        <v/>
      </c>
      <c r="F1759" s="4" t="n">
        <v>1</v>
      </c>
      <c r="G1759" s="4" t="n">
        <f aca="false">IF(COUNTIF('Letterboxd Watched'!$E$2:$E$3000,M1759)&gt;0,1,0)</f>
        <v>0</v>
      </c>
      <c r="H1759" s="4" t="n">
        <v>2</v>
      </c>
      <c r="I1759" s="4" t="s">
        <v>213</v>
      </c>
      <c r="J1759" s="4" t="s">
        <v>51</v>
      </c>
      <c r="K1759" s="4" t="s">
        <v>3974</v>
      </c>
      <c r="L1759" s="48" t="str">
        <f aca="false">HYPERLINK("https://boxd.it/7u46","open")</f>
        <v>open</v>
      </c>
      <c r="M1759" s="4" t="str">
        <f aca="false">LOWER(A1759)&amp;"|"&amp;B1759</f>
        <v>phoenix|2014</v>
      </c>
      <c r="N1759" s="4" t="n">
        <v>0</v>
      </c>
      <c r="O1759" s="4" t="n">
        <v>0</v>
      </c>
      <c r="P1759" s="4" t="n">
        <v>1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</row>
    <row r="1760" customFormat="false" ht="15" hidden="false" customHeight="false" outlineLevel="0" collapsed="false">
      <c r="A1760" s="4" t="s">
        <v>2792</v>
      </c>
      <c r="B1760" s="4" t="n">
        <v>2002</v>
      </c>
      <c r="C1760" s="4" t="str">
        <f aca="false">FLOOR(B1760,10)&amp;"s"</f>
        <v>2000s</v>
      </c>
      <c r="D1760" s="4" t="s">
        <v>2793</v>
      </c>
      <c r="E1760" s="25" t="str">
        <f aca="false">IF(G1760=1,"✓","")</f>
        <v>✓</v>
      </c>
      <c r="F1760" s="4" t="n">
        <v>1</v>
      </c>
      <c r="G1760" s="4" t="n">
        <f aca="false">IF(COUNTIF('Letterboxd Watched'!$E$2:$E$3000,M1760)&gt;0,1,0)</f>
        <v>1</v>
      </c>
      <c r="H1760" s="4" t="n">
        <v>2</v>
      </c>
      <c r="I1760" s="4" t="s">
        <v>213</v>
      </c>
      <c r="J1760" s="4" t="s">
        <v>56</v>
      </c>
      <c r="K1760" s="4" t="s">
        <v>4378</v>
      </c>
      <c r="L1760" s="48" t="str">
        <f aca="false">HYPERLINK("https://boxd.it/285G","open")</f>
        <v>open</v>
      </c>
      <c r="M1760" s="4" t="str">
        <f aca="false">LOWER(A1760)&amp;"|"&amp;B1760</f>
        <v>phone booth|2002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1</v>
      </c>
      <c r="V1760" s="4" t="n">
        <v>0</v>
      </c>
      <c r="W1760" s="4" t="n">
        <v>0</v>
      </c>
    </row>
    <row r="1761" customFormat="false" ht="15" hidden="false" customHeight="false" outlineLevel="0" collapsed="false">
      <c r="A1761" s="4" t="s">
        <v>832</v>
      </c>
      <c r="B1761" s="4" t="n">
        <v>1993</v>
      </c>
      <c r="C1761" s="4" t="str">
        <f aca="false">FLOOR(B1761,10)&amp;"s"</f>
        <v>1990s</v>
      </c>
      <c r="D1761" s="4" t="s">
        <v>833</v>
      </c>
      <c r="E1761" s="25" t="str">
        <f aca="false">IF(G1761=1,"✓","")</f>
        <v/>
      </c>
      <c r="F1761" s="4" t="n">
        <v>2</v>
      </c>
      <c r="G1761" s="4" t="n">
        <f aca="false">IF(COUNTIF('Letterboxd Watched'!$E$2:$E$3000,M1761)&gt;0,1,0)</f>
        <v>0</v>
      </c>
      <c r="H1761" s="4" t="n">
        <v>5</v>
      </c>
      <c r="I1761" s="4" t="s">
        <v>144</v>
      </c>
      <c r="J1761" s="4" t="s">
        <v>51</v>
      </c>
      <c r="K1761" s="4" t="s">
        <v>5702</v>
      </c>
      <c r="L1761" s="48" t="str">
        <f aca="false">HYPERLINK("https://boxd.it/29Kq","open")</f>
        <v>open</v>
      </c>
      <c r="M1761" s="4" t="str">
        <f aca="false">LOWER(A1761)&amp;"|"&amp;B1761</f>
        <v>the piano|1993</v>
      </c>
      <c r="N1761" s="4" t="n">
        <v>0</v>
      </c>
      <c r="O1761" s="4" t="n">
        <v>0</v>
      </c>
      <c r="P1761" s="4" t="n">
        <v>1</v>
      </c>
      <c r="Q1761" s="4" t="n">
        <v>0</v>
      </c>
      <c r="R1761" s="4" t="n">
        <v>0</v>
      </c>
      <c r="S1761" s="4" t="n">
        <v>1</v>
      </c>
      <c r="T1761" s="4" t="n">
        <v>0</v>
      </c>
      <c r="U1761" s="4" t="n">
        <v>0</v>
      </c>
      <c r="V1761" s="4" t="n">
        <v>0</v>
      </c>
      <c r="W1761" s="4" t="n">
        <v>0</v>
      </c>
    </row>
    <row r="1762" customFormat="false" ht="15" hidden="false" customHeight="false" outlineLevel="0" collapsed="false">
      <c r="A1762" s="4" t="s">
        <v>1143</v>
      </c>
      <c r="B1762" s="4" t="n">
        <v>2001</v>
      </c>
      <c r="C1762" s="4" t="str">
        <f aca="false">FLOOR(B1762,10)&amp;"s"</f>
        <v>2000s</v>
      </c>
      <c r="D1762" s="4" t="s">
        <v>516</v>
      </c>
      <c r="E1762" s="25" t="str">
        <f aca="false">IF(G1762=1,"✓","")</f>
        <v/>
      </c>
      <c r="F1762" s="4" t="n">
        <v>2</v>
      </c>
      <c r="G1762" s="4" t="n">
        <f aca="false">IF(COUNTIF('Letterboxd Watched'!$E$2:$E$3000,M1762)&gt;0,1,0)</f>
        <v>0</v>
      </c>
      <c r="H1762" s="4" t="n">
        <v>4</v>
      </c>
      <c r="I1762" s="4" t="s">
        <v>213</v>
      </c>
      <c r="J1762" s="4" t="s">
        <v>51</v>
      </c>
      <c r="K1762" s="4" t="s">
        <v>5423</v>
      </c>
      <c r="L1762" s="48" t="str">
        <f aca="false">HYPERLINK("https://boxd.it/2886","open")</f>
        <v>open</v>
      </c>
      <c r="M1762" s="4" t="str">
        <f aca="false">LOWER(A1762)&amp;"|"&amp;B1762</f>
        <v>the piano teacher|2001</v>
      </c>
      <c r="N1762" s="4" t="n">
        <v>0</v>
      </c>
      <c r="O1762" s="4" t="n">
        <v>0</v>
      </c>
      <c r="P1762" s="4" t="n">
        <v>1</v>
      </c>
      <c r="Q1762" s="4" t="n">
        <v>0</v>
      </c>
      <c r="R1762" s="4" t="n">
        <v>1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</row>
    <row r="1763" customFormat="false" ht="15" hidden="false" customHeight="false" outlineLevel="0" collapsed="false">
      <c r="A1763" s="4" t="s">
        <v>457</v>
      </c>
      <c r="B1763" s="4" t="n">
        <v>1959</v>
      </c>
      <c r="C1763" s="4" t="str">
        <f aca="false">FLOOR(B1763,10)&amp;"s"</f>
        <v>1950s</v>
      </c>
      <c r="D1763" s="4" t="s">
        <v>215</v>
      </c>
      <c r="E1763" s="25" t="str">
        <f aca="false">IF(G1763=1,"✓","")</f>
        <v>✓</v>
      </c>
      <c r="F1763" s="4" t="n">
        <v>3</v>
      </c>
      <c r="G1763" s="4" t="n">
        <f aca="false">IF(COUNTIF('Letterboxd Watched'!$E$2:$E$3000,M1763)&gt;0,1,0)</f>
        <v>1</v>
      </c>
      <c r="H1763" s="4" t="n">
        <v>7</v>
      </c>
      <c r="I1763" s="4" t="s">
        <v>144</v>
      </c>
      <c r="J1763" s="4" t="s">
        <v>50</v>
      </c>
      <c r="K1763" s="4" t="s">
        <v>5703</v>
      </c>
      <c r="L1763" s="48" t="str">
        <f aca="false">HYPERLINK("https://boxd.it/29O8","open")</f>
        <v>open</v>
      </c>
      <c r="M1763" s="4" t="str">
        <f aca="false">LOWER(A1763)&amp;"|"&amp;B1763</f>
        <v>pickpocket|1959</v>
      </c>
      <c r="N1763" s="4" t="n">
        <v>0</v>
      </c>
      <c r="O1763" s="4" t="n">
        <v>1</v>
      </c>
      <c r="P1763" s="4" t="n">
        <v>0</v>
      </c>
      <c r="Q1763" s="4" t="n">
        <v>0</v>
      </c>
      <c r="R1763" s="4" t="n">
        <v>1</v>
      </c>
      <c r="S1763" s="4" t="n">
        <v>1</v>
      </c>
      <c r="T1763" s="4" t="n">
        <v>0</v>
      </c>
      <c r="U1763" s="4" t="n">
        <v>0</v>
      </c>
      <c r="V1763" s="4" t="n">
        <v>0</v>
      </c>
      <c r="W1763" s="4" t="n">
        <v>0</v>
      </c>
    </row>
    <row r="1764" customFormat="false" ht="15" hidden="false" customHeight="false" outlineLevel="0" collapsed="false">
      <c r="A1764" s="4" t="s">
        <v>939</v>
      </c>
      <c r="B1764" s="4" t="n">
        <v>1953</v>
      </c>
      <c r="C1764" s="4" t="str">
        <f aca="false">FLOOR(B1764,10)&amp;"s"</f>
        <v>1950s</v>
      </c>
      <c r="D1764" s="4" t="s">
        <v>940</v>
      </c>
      <c r="E1764" s="25" t="str">
        <f aca="false">IF(G1764=1,"✓","")</f>
        <v/>
      </c>
      <c r="F1764" s="4" t="n">
        <v>2</v>
      </c>
      <c r="G1764" s="4" t="n">
        <f aca="false">IF(COUNTIF('Letterboxd Watched'!$E$2:$E$3000,M1764)&gt;0,1,0)</f>
        <v>0</v>
      </c>
      <c r="H1764" s="4" t="n">
        <v>4</v>
      </c>
      <c r="I1764" s="4" t="s">
        <v>213</v>
      </c>
      <c r="J1764" s="4" t="s">
        <v>52</v>
      </c>
      <c r="K1764" s="4" t="s">
        <v>5504</v>
      </c>
      <c r="L1764" s="48" t="str">
        <f aca="false">HYPERLINK("https://boxd.it/1uLM","open")</f>
        <v>open</v>
      </c>
      <c r="M1764" s="4" t="str">
        <f aca="false">LOWER(A1764)&amp;"|"&amp;B1764</f>
        <v>pickup on south street|1953</v>
      </c>
      <c r="N1764" s="4" t="n">
        <v>0</v>
      </c>
      <c r="O1764" s="4" t="n">
        <v>0</v>
      </c>
      <c r="P1764" s="4" t="n">
        <v>0</v>
      </c>
      <c r="Q1764" s="4" t="n">
        <v>1</v>
      </c>
      <c r="R1764" s="4" t="n">
        <v>1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</row>
    <row r="1765" customFormat="false" ht="15" hidden="false" customHeight="false" outlineLevel="0" collapsed="false">
      <c r="A1765" s="4" t="s">
        <v>1506</v>
      </c>
      <c r="B1765" s="4" t="n">
        <v>1975</v>
      </c>
      <c r="C1765" s="4" t="str">
        <f aca="false">FLOOR(B1765,10)&amp;"s"</f>
        <v>1970s</v>
      </c>
      <c r="D1765" s="4" t="s">
        <v>439</v>
      </c>
      <c r="E1765" s="25" t="str">
        <f aca="false">IF(G1765=1,"✓","")</f>
        <v>✓</v>
      </c>
      <c r="F1765" s="4" t="n">
        <v>1</v>
      </c>
      <c r="G1765" s="4" t="n">
        <f aca="false">IF(COUNTIF('Letterboxd Watched'!$E$2:$E$3000,M1765)&gt;0,1,0)</f>
        <v>1</v>
      </c>
      <c r="H1765" s="4" t="n">
        <v>3</v>
      </c>
      <c r="I1765" s="4" t="s">
        <v>144</v>
      </c>
      <c r="J1765" s="4" t="s">
        <v>51</v>
      </c>
      <c r="K1765" s="4" t="s">
        <v>4038</v>
      </c>
      <c r="L1765" s="48" t="str">
        <f aca="false">HYPERLINK("https://boxd.it/1UQe","open")</f>
        <v>open</v>
      </c>
      <c r="M1765" s="4" t="str">
        <f aca="false">LOWER(A1765)&amp;"|"&amp;B1765</f>
        <v>picnic at hanging rock|1975</v>
      </c>
      <c r="N1765" s="4" t="n">
        <v>0</v>
      </c>
      <c r="O1765" s="4" t="n">
        <v>0</v>
      </c>
      <c r="P1765" s="4" t="n">
        <v>1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</row>
    <row r="1766" customFormat="false" ht="15" hidden="false" customHeight="false" outlineLevel="0" collapsed="false">
      <c r="A1766" s="4" t="s">
        <v>984</v>
      </c>
      <c r="B1766" s="4" t="n">
        <v>1965</v>
      </c>
      <c r="C1766" s="4" t="str">
        <f aca="false">FLOOR(B1766,10)&amp;"s"</f>
        <v>1960s</v>
      </c>
      <c r="D1766" s="4" t="s">
        <v>152</v>
      </c>
      <c r="E1766" s="25" t="str">
        <f aca="false">IF(G1766=1,"✓","")</f>
        <v/>
      </c>
      <c r="F1766" s="4" t="n">
        <v>2</v>
      </c>
      <c r="G1766" s="4" t="n">
        <f aca="false">IF(COUNTIF('Letterboxd Watched'!$E$2:$E$3000,M1766)&gt;0,1,0)</f>
        <v>0</v>
      </c>
      <c r="H1766" s="4" t="n">
        <v>4</v>
      </c>
      <c r="I1766" s="4" t="s">
        <v>213</v>
      </c>
      <c r="J1766" s="4" t="s">
        <v>51</v>
      </c>
      <c r="K1766" s="4" t="s">
        <v>5704</v>
      </c>
      <c r="L1766" s="48" t="str">
        <f aca="false">HYPERLINK("https://boxd.it/26j2","open")</f>
        <v>open</v>
      </c>
      <c r="M1766" s="4" t="str">
        <f aca="false">LOWER(A1766)&amp;"|"&amp;B1766</f>
        <v>pierrot le fou|1965</v>
      </c>
      <c r="N1766" s="4" t="n">
        <v>0</v>
      </c>
      <c r="O1766" s="4" t="n">
        <v>0</v>
      </c>
      <c r="P1766" s="4" t="n">
        <v>1</v>
      </c>
      <c r="Q1766" s="4" t="n">
        <v>0</v>
      </c>
      <c r="R1766" s="4" t="n">
        <v>1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</row>
    <row r="1767" customFormat="false" ht="15" hidden="false" customHeight="false" outlineLevel="0" collapsed="false">
      <c r="A1767" s="4" t="s">
        <v>3859</v>
      </c>
      <c r="B1767" s="4" t="n">
        <v>2021</v>
      </c>
      <c r="C1767" s="4" t="str">
        <f aca="false">FLOOR(B1767,10)&amp;"s"</f>
        <v>2020s</v>
      </c>
      <c r="D1767" s="4" t="s">
        <v>3860</v>
      </c>
      <c r="E1767" s="25" t="str">
        <f aca="false">IF(G1767=1,"✓","")</f>
        <v>✓</v>
      </c>
      <c r="F1767" s="4" t="n">
        <v>1</v>
      </c>
      <c r="G1767" s="4" t="n">
        <f aca="false">IF(COUNTIF('Letterboxd Watched'!$E$2:$E$3000,M1767)&gt;0,1,0)</f>
        <v>1</v>
      </c>
      <c r="H1767" s="4" t="n">
        <v>1</v>
      </c>
      <c r="I1767" s="4" t="s">
        <v>1327</v>
      </c>
      <c r="J1767" s="4" t="s">
        <v>55</v>
      </c>
      <c r="K1767" s="4" t="s">
        <v>4368</v>
      </c>
      <c r="L1767" s="48" t="str">
        <f aca="false">HYPERLINK("https://boxd.it/nzoW","open")</f>
        <v>open</v>
      </c>
      <c r="M1767" s="4" t="str">
        <f aca="false">LOWER(A1767)&amp;"|"&amp;B1767</f>
        <v>pig|2021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1</v>
      </c>
      <c r="U1767" s="4" t="n">
        <v>0</v>
      </c>
      <c r="V1767" s="4" t="n">
        <v>0</v>
      </c>
      <c r="W1767" s="4" t="n">
        <v>0</v>
      </c>
    </row>
    <row r="1768" customFormat="false" ht="15" hidden="false" customHeight="false" outlineLevel="0" collapsed="false">
      <c r="A1768" s="4" t="s">
        <v>3059</v>
      </c>
      <c r="B1768" s="4" t="n">
        <v>2014</v>
      </c>
      <c r="C1768" s="4" t="str">
        <f aca="false">FLOOR(B1768,10)&amp;"s"</f>
        <v>2010s</v>
      </c>
      <c r="D1768" s="4" t="s">
        <v>631</v>
      </c>
      <c r="E1768" s="25" t="str">
        <f aca="false">IF(G1768=1,"✓","")</f>
        <v/>
      </c>
      <c r="F1768" s="4" t="n">
        <v>1</v>
      </c>
      <c r="G1768" s="4" t="n">
        <f aca="false">IF(COUNTIF('Letterboxd Watched'!$E$2:$E$3000,M1768)&gt;0,1,0)</f>
        <v>0</v>
      </c>
      <c r="H1768" s="4" t="n">
        <v>2</v>
      </c>
      <c r="I1768" s="4" t="s">
        <v>213</v>
      </c>
      <c r="J1768" s="4" t="s">
        <v>53</v>
      </c>
      <c r="K1768" s="4" t="s">
        <v>4240</v>
      </c>
      <c r="L1768" s="48" t="str">
        <f aca="false">HYPERLINK("https://boxd.it/3Ifa","open")</f>
        <v>open</v>
      </c>
      <c r="M1768" s="4" t="str">
        <f aca="false">LOWER(A1768)&amp;"|"&amp;B1768</f>
        <v>a pigeon sat on a branch reflecting on existence|2014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1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</row>
    <row r="1769" customFormat="false" ht="15" hidden="false" customHeight="false" outlineLevel="0" collapsed="false">
      <c r="A1769" s="4" t="s">
        <v>1985</v>
      </c>
      <c r="B1769" s="4" t="n">
        <v>1961</v>
      </c>
      <c r="C1769" s="4" t="str">
        <f aca="false">FLOOR(B1769,10)&amp;"s"</f>
        <v>1960s</v>
      </c>
      <c r="D1769" s="4" t="s">
        <v>1986</v>
      </c>
      <c r="E1769" s="25" t="str">
        <f aca="false">IF(G1769=1,"✓","")</f>
        <v/>
      </c>
      <c r="F1769" s="4" t="n">
        <v>1</v>
      </c>
      <c r="G1769" s="4" t="n">
        <f aca="false">IF(COUNTIF('Letterboxd Watched'!$E$2:$E$3000,M1769)&gt;0,1,0)</f>
        <v>0</v>
      </c>
      <c r="H1769" s="4" t="n">
        <v>2</v>
      </c>
      <c r="I1769" s="4" t="s">
        <v>213</v>
      </c>
      <c r="J1769" s="4" t="s">
        <v>51</v>
      </c>
      <c r="K1769" s="4" t="s">
        <v>3932</v>
      </c>
      <c r="L1769" s="48" t="str">
        <f aca="false">HYPERLINK("https://boxd.it/1jQG","open")</f>
        <v>open</v>
      </c>
      <c r="M1769" s="4" t="str">
        <f aca="false">LOWER(A1769)&amp;"|"&amp;B1769</f>
        <v>pigs and battleships|1961</v>
      </c>
      <c r="N1769" s="4" t="n">
        <v>0</v>
      </c>
      <c r="O1769" s="4" t="n">
        <v>0</v>
      </c>
      <c r="P1769" s="4" t="n">
        <v>1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</row>
    <row r="1770" customFormat="false" ht="15" hidden="false" customHeight="false" outlineLevel="0" collapsed="false">
      <c r="A1770" s="4" t="s">
        <v>670</v>
      </c>
      <c r="B1770" s="4" t="n">
        <v>1972</v>
      </c>
      <c r="C1770" s="4" t="str">
        <f aca="false">FLOOR(B1770,10)&amp;"s"</f>
        <v>1970s</v>
      </c>
      <c r="D1770" s="4" t="s">
        <v>671</v>
      </c>
      <c r="E1770" s="25" t="str">
        <f aca="false">IF(G1770=1,"✓","")</f>
        <v/>
      </c>
      <c r="F1770" s="4" t="n">
        <v>3</v>
      </c>
      <c r="G1770" s="4" t="n">
        <f aca="false">IF(COUNTIF('Letterboxd Watched'!$E$2:$E$3000,M1770)&gt;0,1,0)</f>
        <v>0</v>
      </c>
      <c r="H1770" s="4" t="n">
        <v>6</v>
      </c>
      <c r="I1770" s="4" t="s">
        <v>213</v>
      </c>
      <c r="J1770" s="4" t="s">
        <v>54</v>
      </c>
      <c r="K1770" s="4" t="s">
        <v>5705</v>
      </c>
      <c r="L1770" s="48" t="str">
        <f aca="false">HYPERLINK("https://boxd.it/29NO","open")</f>
        <v>open</v>
      </c>
      <c r="M1770" s="4" t="str">
        <f aca="false">LOWER(A1770)&amp;"|"&amp;B1770</f>
        <v>pink flamingos|1972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1</v>
      </c>
      <c r="T1770" s="4" t="n">
        <v>0</v>
      </c>
      <c r="U1770" s="4" t="n">
        <v>1</v>
      </c>
      <c r="V1770" s="4" t="n">
        <v>0</v>
      </c>
      <c r="W1770" s="4" t="n">
        <v>0</v>
      </c>
    </row>
    <row r="1771" customFormat="false" ht="15" hidden="false" customHeight="false" outlineLevel="0" collapsed="false">
      <c r="A1771" s="4" t="s">
        <v>1439</v>
      </c>
      <c r="B1771" s="4" t="n">
        <v>1940</v>
      </c>
      <c r="C1771" s="4" t="str">
        <f aca="false">FLOOR(B1771,10)&amp;"s"</f>
        <v>1940s</v>
      </c>
      <c r="D1771" s="4" t="s">
        <v>1440</v>
      </c>
      <c r="E1771" s="25" t="str">
        <f aca="false">IF(G1771=1,"✓","")</f>
        <v/>
      </c>
      <c r="F1771" s="4" t="n">
        <v>1</v>
      </c>
      <c r="G1771" s="4" t="n">
        <f aca="false">IF(COUNTIF('Letterboxd Watched'!$E$2:$E$3000,M1771)&gt;0,1,0)</f>
        <v>0</v>
      </c>
      <c r="H1771" s="4" t="n">
        <v>3</v>
      </c>
      <c r="I1771" s="4" t="s">
        <v>144</v>
      </c>
      <c r="J1771" s="4" t="s">
        <v>52</v>
      </c>
      <c r="K1771" s="4" t="s">
        <v>4162</v>
      </c>
      <c r="L1771" s="48" t="str">
        <f aca="false">HYPERLINK("https://boxd.it/1V8C","open")</f>
        <v>open</v>
      </c>
      <c r="M1771" s="4" t="str">
        <f aca="false">LOWER(A1771)&amp;"|"&amp;B1771</f>
        <v>pinocchio|1940</v>
      </c>
      <c r="N1771" s="4" t="n">
        <v>0</v>
      </c>
      <c r="O1771" s="4" t="n">
        <v>0</v>
      </c>
      <c r="P1771" s="4" t="n">
        <v>0</v>
      </c>
      <c r="Q1771" s="4" t="n">
        <v>1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</row>
    <row r="1772" customFormat="false" ht="15" hidden="false" customHeight="false" outlineLevel="0" collapsed="false">
      <c r="A1772" s="4" t="s">
        <v>3349</v>
      </c>
      <c r="B1772" s="4" t="n">
        <v>1948</v>
      </c>
      <c r="C1772" s="4" t="str">
        <f aca="false">FLOOR(B1772,10)&amp;"s"</f>
        <v>1940s</v>
      </c>
      <c r="D1772" s="4" t="s">
        <v>570</v>
      </c>
      <c r="E1772" s="25" t="str">
        <f aca="false">IF(G1772=1,"✓","")</f>
        <v/>
      </c>
      <c r="F1772" s="4" t="n">
        <v>1</v>
      </c>
      <c r="G1772" s="4" t="n">
        <f aca="false">IF(COUNTIF('Letterboxd Watched'!$E$2:$E$3000,M1772)&gt;0,1,0)</f>
        <v>0</v>
      </c>
      <c r="H1772" s="4" t="n">
        <v>1</v>
      </c>
      <c r="I1772" s="4" t="s">
        <v>1327</v>
      </c>
      <c r="J1772" s="4" t="s">
        <v>52</v>
      </c>
      <c r="K1772" s="4" t="s">
        <v>4110</v>
      </c>
      <c r="L1772" s="48" t="str">
        <f aca="false">HYPERLINK("https://letterboxd.com/search/films/The+Pirate+1948/","open")</f>
        <v>open</v>
      </c>
      <c r="M1772" s="4" t="str">
        <f aca="false">LOWER(A1772)&amp;"|"&amp;B1772</f>
        <v>the pirate|1948</v>
      </c>
      <c r="N1772" s="4" t="n">
        <v>0</v>
      </c>
      <c r="O1772" s="4" t="n">
        <v>0</v>
      </c>
      <c r="P1772" s="4" t="n">
        <v>0</v>
      </c>
      <c r="Q1772" s="4" t="n">
        <v>1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 customFormat="false" ht="15" hidden="false" customHeight="false" outlineLevel="0" collapsed="false">
      <c r="A1773" s="4" t="s">
        <v>2332</v>
      </c>
      <c r="B1773" s="4" t="n">
        <v>1980</v>
      </c>
      <c r="C1773" s="4" t="str">
        <f aca="false">FLOOR(B1773,10)&amp;"s"</f>
        <v>1980s</v>
      </c>
      <c r="D1773" s="4" t="s">
        <v>2333</v>
      </c>
      <c r="E1773" s="25" t="str">
        <f aca="false">IF(G1773=1,"✓","")</f>
        <v/>
      </c>
      <c r="F1773" s="4" t="n">
        <v>1</v>
      </c>
      <c r="G1773" s="4" t="n">
        <f aca="false">IF(COUNTIF('Letterboxd Watched'!$E$2:$E$3000,M1773)&gt;0,1,0)</f>
        <v>0</v>
      </c>
      <c r="H1773" s="4" t="n">
        <v>2</v>
      </c>
      <c r="I1773" s="4" t="s">
        <v>213</v>
      </c>
      <c r="J1773" s="4" t="s">
        <v>51</v>
      </c>
      <c r="K1773" s="4" t="s">
        <v>4006</v>
      </c>
      <c r="L1773" s="48" t="str">
        <f aca="false">HYPERLINK("https://boxd.it/XCs","open")</f>
        <v>open</v>
      </c>
      <c r="M1773" s="4" t="str">
        <f aca="false">LOWER(A1773)&amp;"|"&amp;B1773</f>
        <v>pixote|1980</v>
      </c>
      <c r="N1773" s="4" t="n">
        <v>0</v>
      </c>
      <c r="O1773" s="4" t="n">
        <v>0</v>
      </c>
      <c r="P1773" s="4" t="n">
        <v>1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 customFormat="false" ht="15" hidden="false" customHeight="false" outlineLevel="0" collapsed="false">
      <c r="A1774" s="4" t="s">
        <v>3438</v>
      </c>
      <c r="B1774" s="4" t="n">
        <v>1966</v>
      </c>
      <c r="C1774" s="4" t="str">
        <f aca="false">FLOOR(B1774,10)&amp;"s"</f>
        <v>1960s</v>
      </c>
      <c r="D1774" s="4" t="s">
        <v>3439</v>
      </c>
      <c r="E1774" s="25" t="str">
        <f aca="false">IF(G1774=1,"✓","")</f>
        <v/>
      </c>
      <c r="F1774" s="4" t="n">
        <v>1</v>
      </c>
      <c r="G1774" s="4" t="n">
        <f aca="false">IF(COUNTIF('Letterboxd Watched'!$E$2:$E$3000,M1774)&gt;0,1,0)</f>
        <v>0</v>
      </c>
      <c r="H1774" s="4" t="n">
        <v>1</v>
      </c>
      <c r="I1774" s="4" t="s">
        <v>1327</v>
      </c>
      <c r="J1774" s="4" t="s">
        <v>52</v>
      </c>
      <c r="K1774" s="4" t="s">
        <v>4062</v>
      </c>
      <c r="L1774" s="48" t="str">
        <f aca="false">HYPERLINK("https://boxd.it/1okg","open")</f>
        <v>open</v>
      </c>
      <c r="M1774" s="4" t="str">
        <f aca="false">LOWER(A1774)&amp;"|"&amp;B1774</f>
        <v>the plague of the zombies|1966</v>
      </c>
      <c r="N1774" s="4" t="n">
        <v>0</v>
      </c>
      <c r="O1774" s="4" t="n">
        <v>0</v>
      </c>
      <c r="P1774" s="4" t="n">
        <v>0</v>
      </c>
      <c r="Q1774" s="4" t="n">
        <v>1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</row>
    <row r="1775" customFormat="false" ht="15" hidden="false" customHeight="false" outlineLevel="0" collapsed="false">
      <c r="A1775" s="4" t="s">
        <v>1949</v>
      </c>
      <c r="B1775" s="4" t="n">
        <v>1957</v>
      </c>
      <c r="C1775" s="4" t="str">
        <f aca="false">FLOOR(B1775,10)&amp;"s"</f>
        <v>1950s</v>
      </c>
      <c r="D1775" s="4" t="s">
        <v>1950</v>
      </c>
      <c r="E1775" s="25" t="str">
        <f aca="false">IF(G1775=1,"✓","")</f>
        <v/>
      </c>
      <c r="F1775" s="4" t="n">
        <v>1</v>
      </c>
      <c r="G1775" s="4" t="n">
        <f aca="false">IF(COUNTIF('Letterboxd Watched'!$E$2:$E$3000,M1775)&gt;0,1,0)</f>
        <v>0</v>
      </c>
      <c r="H1775" s="4" t="n">
        <v>2</v>
      </c>
      <c r="I1775" s="4" t="s">
        <v>213</v>
      </c>
      <c r="J1775" s="4" t="s">
        <v>54</v>
      </c>
      <c r="K1775" s="4" t="s">
        <v>4306</v>
      </c>
      <c r="L1775" s="48" t="str">
        <f aca="false">HYPERLINK("https://boxd.it/1W50","open")</f>
        <v>open</v>
      </c>
      <c r="M1775" s="4" t="str">
        <f aca="false">LOWER(A1775)&amp;"|"&amp;B1775</f>
        <v>plan 9 from outer space|1957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1</v>
      </c>
      <c r="T1775" s="4" t="n">
        <v>0</v>
      </c>
      <c r="U1775" s="4" t="n">
        <v>0</v>
      </c>
      <c r="V1775" s="4" t="n">
        <v>0</v>
      </c>
      <c r="W1775" s="4" t="n">
        <v>0</v>
      </c>
    </row>
    <row r="1776" customFormat="false" ht="15" hidden="false" customHeight="false" outlineLevel="0" collapsed="false">
      <c r="A1776" s="4" t="s">
        <v>1372</v>
      </c>
      <c r="B1776" s="4" t="n">
        <v>1987</v>
      </c>
      <c r="C1776" s="4" t="str">
        <f aca="false">FLOOR(B1776,10)&amp;"s"</f>
        <v>1980s</v>
      </c>
      <c r="D1776" s="4" t="s">
        <v>1373</v>
      </c>
      <c r="E1776" s="25" t="str">
        <f aca="false">IF(G1776=1,"✓","")</f>
        <v>✓</v>
      </c>
      <c r="F1776" s="4" t="n">
        <v>2</v>
      </c>
      <c r="G1776" s="4" t="n">
        <f aca="false">IF(COUNTIF('Letterboxd Watched'!$E$2:$E$3000,M1776)&gt;0,1,0)</f>
        <v>1</v>
      </c>
      <c r="H1776" s="4" t="n">
        <v>3</v>
      </c>
      <c r="I1776" s="4" t="s">
        <v>213</v>
      </c>
      <c r="J1776" s="4" t="s">
        <v>52</v>
      </c>
      <c r="K1776" s="4" t="s">
        <v>5706</v>
      </c>
      <c r="L1776" s="48" t="str">
        <f aca="false">HYPERLINK("https://boxd.it/26zE","open")</f>
        <v>open</v>
      </c>
      <c r="M1776" s="4" t="str">
        <f aca="false">LOWER(A1776)&amp;"|"&amp;B1776</f>
        <v>planes, trains and automobiles|1987</v>
      </c>
      <c r="N1776" s="4" t="n">
        <v>0</v>
      </c>
      <c r="O1776" s="4" t="n">
        <v>0</v>
      </c>
      <c r="P1776" s="4" t="n">
        <v>0</v>
      </c>
      <c r="Q1776" s="4" t="n">
        <v>1</v>
      </c>
      <c r="R1776" s="4" t="n">
        <v>0</v>
      </c>
      <c r="S1776" s="4" t="n">
        <v>0</v>
      </c>
      <c r="T1776" s="4" t="n">
        <v>1</v>
      </c>
      <c r="U1776" s="4" t="n">
        <v>0</v>
      </c>
      <c r="V1776" s="4" t="n">
        <v>0</v>
      </c>
      <c r="W1776" s="4" t="n">
        <v>0</v>
      </c>
    </row>
    <row r="1777" customFormat="false" ht="15" hidden="false" customHeight="false" outlineLevel="0" collapsed="false">
      <c r="A1777" s="4" t="s">
        <v>1476</v>
      </c>
      <c r="B1777" s="4" t="n">
        <v>1968</v>
      </c>
      <c r="C1777" s="4" t="str">
        <f aca="false">FLOOR(B1777,10)&amp;"s"</f>
        <v>1960s</v>
      </c>
      <c r="D1777" s="4" t="s">
        <v>1477</v>
      </c>
      <c r="E1777" s="25" t="str">
        <f aca="false">IF(G1777=1,"✓","")</f>
        <v/>
      </c>
      <c r="F1777" s="4" t="n">
        <v>1</v>
      </c>
      <c r="G1777" s="4" t="n">
        <f aca="false">IF(COUNTIF('Letterboxd Watched'!$E$2:$E$3000,M1777)&gt;0,1,0)</f>
        <v>0</v>
      </c>
      <c r="H1777" s="4" t="n">
        <v>3</v>
      </c>
      <c r="I1777" s="4" t="s">
        <v>144</v>
      </c>
      <c r="J1777" s="4" t="s">
        <v>52</v>
      </c>
      <c r="K1777" s="4" t="s">
        <v>4086</v>
      </c>
      <c r="L1777" s="48" t="str">
        <f aca="false">HYPERLINK("https://boxd.it/29p8","open")</f>
        <v>open</v>
      </c>
      <c r="M1777" s="4" t="str">
        <f aca="false">LOWER(A1777)&amp;"|"&amp;B1777</f>
        <v>planet of the apes|1968</v>
      </c>
      <c r="N1777" s="4" t="n">
        <v>0</v>
      </c>
      <c r="O1777" s="4" t="n">
        <v>0</v>
      </c>
      <c r="P1777" s="4" t="n">
        <v>0</v>
      </c>
      <c r="Q1777" s="4" t="n">
        <v>1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 customFormat="false" ht="15" hidden="false" customHeight="false" outlineLevel="0" collapsed="false">
      <c r="A1778" s="4" t="s">
        <v>1140</v>
      </c>
      <c r="B1778" s="4" t="n">
        <v>2000</v>
      </c>
      <c r="C1778" s="4" t="str">
        <f aca="false">FLOOR(B1778,10)&amp;"s"</f>
        <v>2000s</v>
      </c>
      <c r="D1778" s="4" t="s">
        <v>859</v>
      </c>
      <c r="E1778" s="25" t="str">
        <f aca="false">IF(G1778=1,"✓","")</f>
        <v/>
      </c>
      <c r="F1778" s="4" t="n">
        <v>2</v>
      </c>
      <c r="G1778" s="4" t="n">
        <f aca="false">IF(COUNTIF('Letterboxd Watched'!$E$2:$E$3000,M1778)&gt;0,1,0)</f>
        <v>0</v>
      </c>
      <c r="H1778" s="4" t="n">
        <v>4</v>
      </c>
      <c r="I1778" s="4" t="s">
        <v>213</v>
      </c>
      <c r="J1778" s="4" t="s">
        <v>51</v>
      </c>
      <c r="K1778" s="4" t="s">
        <v>5707</v>
      </c>
      <c r="L1778" s="48" t="str">
        <f aca="false">HYPERLINK("https://letterboxd.com/search/films/Platform+2000/","open")</f>
        <v>open</v>
      </c>
      <c r="M1778" s="4" t="str">
        <f aca="false">LOWER(A1778)&amp;"|"&amp;B1778</f>
        <v>platform|2000</v>
      </c>
      <c r="N1778" s="4" t="n">
        <v>0</v>
      </c>
      <c r="O1778" s="4" t="n">
        <v>0</v>
      </c>
      <c r="P1778" s="4" t="n">
        <v>1</v>
      </c>
      <c r="Q1778" s="4" t="n">
        <v>0</v>
      </c>
      <c r="R1778" s="4" t="n">
        <v>1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</row>
    <row r="1779" customFormat="false" ht="15" hidden="false" customHeight="false" outlineLevel="0" collapsed="false">
      <c r="A1779" s="4" t="s">
        <v>815</v>
      </c>
      <c r="B1779" s="4" t="n">
        <v>1986</v>
      </c>
      <c r="C1779" s="4" t="str">
        <f aca="false">FLOOR(B1779,10)&amp;"s"</f>
        <v>1980s</v>
      </c>
      <c r="D1779" s="4" t="s">
        <v>816</v>
      </c>
      <c r="E1779" s="25" t="str">
        <f aca="false">IF(G1779=1,"✓","")</f>
        <v>✓</v>
      </c>
      <c r="F1779" s="4" t="n">
        <v>2</v>
      </c>
      <c r="G1779" s="4" t="n">
        <f aca="false">IF(COUNTIF('Letterboxd Watched'!$E$2:$E$3000,M1779)&gt;0,1,0)</f>
        <v>1</v>
      </c>
      <c r="H1779" s="4" t="n">
        <v>5</v>
      </c>
      <c r="I1779" s="4" t="s">
        <v>144</v>
      </c>
      <c r="J1779" s="4" t="s">
        <v>52</v>
      </c>
      <c r="K1779" s="4" t="s">
        <v>5708</v>
      </c>
      <c r="L1779" s="48" t="str">
        <f aca="false">HYPERLINK("https://boxd.it/29BS","open")</f>
        <v>open</v>
      </c>
      <c r="M1779" s="4" t="str">
        <f aca="false">LOWER(A1779)&amp;"|"&amp;B1779</f>
        <v>platoon|1986</v>
      </c>
      <c r="N1779" s="4" t="n">
        <v>0</v>
      </c>
      <c r="O1779" s="4" t="n">
        <v>0</v>
      </c>
      <c r="P1779" s="4" t="n">
        <v>0</v>
      </c>
      <c r="Q1779" s="4" t="n">
        <v>1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1</v>
      </c>
      <c r="W1779" s="4" t="n">
        <v>0</v>
      </c>
    </row>
    <row r="1780" customFormat="false" ht="15" hidden="false" customHeight="false" outlineLevel="0" collapsed="false">
      <c r="A1780" s="4" t="s">
        <v>616</v>
      </c>
      <c r="B1780" s="4" t="n">
        <v>1992</v>
      </c>
      <c r="C1780" s="4" t="str">
        <f aca="false">FLOOR(B1780,10)&amp;"s"</f>
        <v>1990s</v>
      </c>
      <c r="D1780" s="4" t="s">
        <v>197</v>
      </c>
      <c r="E1780" s="25" t="str">
        <f aca="false">IF(G1780=1,"✓","")</f>
        <v>✓</v>
      </c>
      <c r="F1780" s="4" t="n">
        <v>3</v>
      </c>
      <c r="G1780" s="4" t="n">
        <f aca="false">IF(COUNTIF('Letterboxd Watched'!$E$2:$E$3000,M1780)&gt;0,1,0)</f>
        <v>1</v>
      </c>
      <c r="H1780" s="4" t="n">
        <v>6</v>
      </c>
      <c r="I1780" s="4" t="s">
        <v>213</v>
      </c>
      <c r="J1780" s="4" t="s">
        <v>49</v>
      </c>
      <c r="K1780" s="4" t="s">
        <v>5709</v>
      </c>
      <c r="L1780" s="48" t="str">
        <f aca="false">HYPERLINK("https://boxd.it/1WlM","open")</f>
        <v>open</v>
      </c>
      <c r="M1780" s="4" t="str">
        <f aca="false">LOWER(A1780)&amp;"|"&amp;B1780</f>
        <v>the player|1992</v>
      </c>
      <c r="N1780" s="4" t="n">
        <v>1</v>
      </c>
      <c r="O1780" s="4" t="n">
        <v>0</v>
      </c>
      <c r="P1780" s="4" t="n">
        <v>0</v>
      </c>
      <c r="Q1780" s="4" t="n">
        <v>0</v>
      </c>
      <c r="R1780" s="4" t="n">
        <v>1</v>
      </c>
      <c r="S1780" s="4" t="n">
        <v>0</v>
      </c>
      <c r="T1780" s="4" t="n">
        <v>1</v>
      </c>
      <c r="U1780" s="4" t="n">
        <v>0</v>
      </c>
      <c r="V1780" s="4" t="n">
        <v>0</v>
      </c>
      <c r="W1780" s="4" t="n">
        <v>0</v>
      </c>
    </row>
    <row r="1781" customFormat="false" ht="15" hidden="false" customHeight="false" outlineLevel="0" collapsed="false">
      <c r="A1781" s="4" t="s">
        <v>337</v>
      </c>
      <c r="B1781" s="4" t="n">
        <v>1967</v>
      </c>
      <c r="C1781" s="4" t="str">
        <f aca="false">FLOOR(B1781,10)&amp;"s"</f>
        <v>1960s</v>
      </c>
      <c r="D1781" s="4" t="s">
        <v>338</v>
      </c>
      <c r="E1781" s="25" t="str">
        <f aca="false">IF(G1781=1,"✓","")</f>
        <v/>
      </c>
      <c r="F1781" s="4" t="n">
        <v>4</v>
      </c>
      <c r="G1781" s="4" t="n">
        <f aca="false">IF(COUNTIF('Letterboxd Watched'!$E$2:$E$3000,M1781)&gt;0,1,0)</f>
        <v>0</v>
      </c>
      <c r="H1781" s="4" t="n">
        <v>10</v>
      </c>
      <c r="I1781" s="4" t="s">
        <v>144</v>
      </c>
      <c r="J1781" s="4" t="s">
        <v>49</v>
      </c>
      <c r="K1781" s="4" t="s">
        <v>5710</v>
      </c>
      <c r="L1781" s="48" t="str">
        <f aca="false">HYPERLINK("https://boxd.it/1WLK","open")</f>
        <v>open</v>
      </c>
      <c r="M1781" s="4" t="str">
        <f aca="false">LOWER(A1781)&amp;"|"&amp;B1781</f>
        <v>playtime|1967</v>
      </c>
      <c r="N1781" s="4" t="n">
        <v>1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1</v>
      </c>
      <c r="W1781" s="4" t="n">
        <v>1</v>
      </c>
    </row>
    <row r="1782" customFormat="false" ht="15" hidden="false" customHeight="false" outlineLevel="0" collapsed="false">
      <c r="A1782" s="4" t="s">
        <v>2073</v>
      </c>
      <c r="B1782" s="4" t="n">
        <v>1965</v>
      </c>
      <c r="C1782" s="4" t="str">
        <f aca="false">FLOOR(B1782,10)&amp;"s"</f>
        <v>1960s</v>
      </c>
      <c r="D1782" s="4" t="s">
        <v>2074</v>
      </c>
      <c r="E1782" s="25" t="str">
        <f aca="false">IF(G1782=1,"✓","")</f>
        <v/>
      </c>
      <c r="F1782" s="4" t="n">
        <v>1</v>
      </c>
      <c r="G1782" s="4" t="n">
        <f aca="false">IF(COUNTIF('Letterboxd Watched'!$E$2:$E$3000,M1782)&gt;0,1,0)</f>
        <v>0</v>
      </c>
      <c r="H1782" s="4" t="n">
        <v>2</v>
      </c>
      <c r="I1782" s="4" t="s">
        <v>213</v>
      </c>
      <c r="J1782" s="4" t="s">
        <v>57</v>
      </c>
      <c r="K1782" s="4" t="s">
        <v>4442</v>
      </c>
      <c r="L1782" s="48" t="str">
        <f aca="false">HYPERLINK("https://letterboxd.com/search/films/The+Pleasure+Girls+1965/","open")</f>
        <v>open</v>
      </c>
      <c r="M1782" s="4" t="str">
        <f aca="false">LOWER(A1782)&amp;"|"&amp;B1782</f>
        <v>the pleasure girls|1965</v>
      </c>
      <c r="N1782" s="4" t="n">
        <v>0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1</v>
      </c>
      <c r="W1782" s="4" t="n">
        <v>0</v>
      </c>
    </row>
    <row r="1783" customFormat="false" ht="15" hidden="false" customHeight="false" outlineLevel="0" collapsed="false">
      <c r="A1783" s="4" t="s">
        <v>2942</v>
      </c>
      <c r="B1783" s="4" t="n">
        <v>2010</v>
      </c>
      <c r="C1783" s="4" t="str">
        <f aca="false">FLOOR(B1783,10)&amp;"s"</f>
        <v>2010s</v>
      </c>
      <c r="D1783" s="4" t="s">
        <v>1243</v>
      </c>
      <c r="E1783" s="25" t="str">
        <f aca="false">IF(G1783=1,"✓","")</f>
        <v/>
      </c>
      <c r="F1783" s="4" t="n">
        <v>1</v>
      </c>
      <c r="G1783" s="4" t="n">
        <f aca="false">IF(COUNTIF('Letterboxd Watched'!$E$2:$E$3000,M1783)&gt;0,1,0)</f>
        <v>0</v>
      </c>
      <c r="H1783" s="4" t="n">
        <v>2</v>
      </c>
      <c r="I1783" s="4" t="s">
        <v>213</v>
      </c>
      <c r="J1783" s="4" t="s">
        <v>51</v>
      </c>
      <c r="K1783" s="4" t="s">
        <v>4022</v>
      </c>
      <c r="L1783" s="48" t="str">
        <f aca="false">HYPERLINK("https://boxd.it/JAs","open")</f>
        <v>open</v>
      </c>
      <c r="M1783" s="4" t="str">
        <f aca="false">LOWER(A1783)&amp;"|"&amp;B1783</f>
        <v>poetry|2010</v>
      </c>
      <c r="N1783" s="4" t="n">
        <v>0</v>
      </c>
      <c r="O1783" s="4" t="n">
        <v>0</v>
      </c>
      <c r="P1783" s="4" t="n">
        <v>1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</row>
    <row r="1784" customFormat="false" ht="15" hidden="false" customHeight="false" outlineLevel="0" collapsed="false">
      <c r="A1784" s="4" t="s">
        <v>774</v>
      </c>
      <c r="B1784" s="4" t="n">
        <v>1967</v>
      </c>
      <c r="C1784" s="4" t="str">
        <f aca="false">FLOOR(B1784,10)&amp;"s"</f>
        <v>1960s</v>
      </c>
      <c r="D1784" s="4" t="s">
        <v>775</v>
      </c>
      <c r="E1784" s="25" t="str">
        <f aca="false">IF(G1784=1,"✓","")</f>
        <v/>
      </c>
      <c r="F1784" s="4" t="n">
        <v>3</v>
      </c>
      <c r="G1784" s="4" t="n">
        <f aca="false">IF(COUNTIF('Letterboxd Watched'!$E$2:$E$3000,M1784)&gt;0,1,0)</f>
        <v>0</v>
      </c>
      <c r="H1784" s="4" t="n">
        <v>5</v>
      </c>
      <c r="I1784" s="4" t="s">
        <v>213</v>
      </c>
      <c r="J1784" s="4" t="s">
        <v>52</v>
      </c>
      <c r="K1784" s="4" t="s">
        <v>5711</v>
      </c>
      <c r="L1784" s="48" t="str">
        <f aca="false">HYPERLINK("https://boxd.it/1uAE","open")</f>
        <v>open</v>
      </c>
      <c r="M1784" s="4" t="str">
        <f aca="false">LOWER(A1784)&amp;"|"&amp;B1784</f>
        <v>point blank|1967</v>
      </c>
      <c r="N1784" s="4" t="n">
        <v>0</v>
      </c>
      <c r="O1784" s="4" t="n">
        <v>0</v>
      </c>
      <c r="P1784" s="4" t="n">
        <v>0</v>
      </c>
      <c r="Q1784" s="4" t="n">
        <v>1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1</v>
      </c>
    </row>
    <row r="1785" customFormat="false" ht="15" hidden="false" customHeight="false" outlineLevel="0" collapsed="false">
      <c r="A1785" s="4" t="s">
        <v>2527</v>
      </c>
      <c r="B1785" s="4" t="n">
        <v>1991</v>
      </c>
      <c r="C1785" s="4" t="str">
        <f aca="false">FLOOR(B1785,10)&amp;"s"</f>
        <v>1990s</v>
      </c>
      <c r="D1785" s="4" t="s">
        <v>865</v>
      </c>
      <c r="E1785" s="25" t="str">
        <f aca="false">IF(G1785=1,"✓","")</f>
        <v/>
      </c>
      <c r="F1785" s="4" t="n">
        <v>1</v>
      </c>
      <c r="G1785" s="4" t="n">
        <f aca="false">IF(COUNTIF('Letterboxd Watched'!$E$2:$E$3000,M1785)&gt;0,1,0)</f>
        <v>0</v>
      </c>
      <c r="H1785" s="4" t="n">
        <v>2</v>
      </c>
      <c r="I1785" s="4" t="s">
        <v>213</v>
      </c>
      <c r="J1785" s="4" t="s">
        <v>52</v>
      </c>
      <c r="K1785" s="4" t="s">
        <v>4158</v>
      </c>
      <c r="L1785" s="48" t="str">
        <f aca="false">HYPERLINK("https://boxd.it/2958","open")</f>
        <v>open</v>
      </c>
      <c r="M1785" s="4" t="str">
        <f aca="false">LOWER(A1785)&amp;"|"&amp;B1785</f>
        <v>point break|1991</v>
      </c>
      <c r="N1785" s="4" t="n">
        <v>0</v>
      </c>
      <c r="O1785" s="4" t="n">
        <v>0</v>
      </c>
      <c r="P1785" s="4" t="n">
        <v>0</v>
      </c>
      <c r="Q1785" s="4" t="n">
        <v>1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</row>
    <row r="1786" customFormat="false" ht="15" hidden="false" customHeight="false" outlineLevel="0" collapsed="false">
      <c r="A1786" s="4" t="s">
        <v>1320</v>
      </c>
      <c r="B1786" s="4" t="n">
        <v>1955</v>
      </c>
      <c r="C1786" s="4" t="str">
        <f aca="false">FLOOR(B1786,10)&amp;"s"</f>
        <v>1950s</v>
      </c>
      <c r="D1786" s="4" t="s">
        <v>158</v>
      </c>
      <c r="E1786" s="25" t="str">
        <f aca="false">IF(G1786=1,"✓","")</f>
        <v/>
      </c>
      <c r="F1786" s="4" t="n">
        <v>2</v>
      </c>
      <c r="G1786" s="4" t="n">
        <f aca="false">IF(COUNTIF('Letterboxd Watched'!$E$2:$E$3000,M1786)&gt;0,1,0)</f>
        <v>0</v>
      </c>
      <c r="H1786" s="4" t="n">
        <v>3</v>
      </c>
      <c r="I1786" s="4" t="s">
        <v>213</v>
      </c>
      <c r="J1786" s="4" t="s">
        <v>51</v>
      </c>
      <c r="K1786" s="4" t="s">
        <v>5253</v>
      </c>
      <c r="L1786" s="48" t="str">
        <f aca="false">HYPERLINK("https://letterboxd.com/search/films/La+Pointe+Courte+1955/","open")</f>
        <v>open</v>
      </c>
      <c r="M1786" s="4" t="str">
        <f aca="false">LOWER(A1786)&amp;"|"&amp;B1786</f>
        <v>la pointe courte|1955</v>
      </c>
      <c r="N1786" s="4" t="n">
        <v>0</v>
      </c>
      <c r="O1786" s="4" t="n">
        <v>0</v>
      </c>
      <c r="P1786" s="4" t="n">
        <v>1</v>
      </c>
      <c r="Q1786" s="4" t="n">
        <v>0</v>
      </c>
      <c r="R1786" s="4" t="n">
        <v>1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</row>
    <row r="1787" customFormat="false" ht="15" hidden="false" customHeight="false" outlineLevel="0" collapsed="false">
      <c r="A1787" s="4" t="s">
        <v>1378</v>
      </c>
      <c r="B1787" s="4" t="n">
        <v>1991</v>
      </c>
      <c r="C1787" s="4" t="str">
        <f aca="false">FLOOR(B1787,10)&amp;"s"</f>
        <v>1990s</v>
      </c>
      <c r="D1787" s="4" t="s">
        <v>718</v>
      </c>
      <c r="E1787" s="25" t="str">
        <f aca="false">IF(G1787=1,"✓","")</f>
        <v/>
      </c>
      <c r="F1787" s="4" t="n">
        <v>2</v>
      </c>
      <c r="G1787" s="4" t="n">
        <f aca="false">IF(COUNTIF('Letterboxd Watched'!$E$2:$E$3000,M1787)&gt;0,1,0)</f>
        <v>0</v>
      </c>
      <c r="H1787" s="4" t="n">
        <v>3</v>
      </c>
      <c r="I1787" s="4" t="s">
        <v>213</v>
      </c>
      <c r="J1787" s="4" t="s">
        <v>50</v>
      </c>
      <c r="K1787" s="4" t="s">
        <v>5712</v>
      </c>
      <c r="L1787" s="48" t="str">
        <f aca="false">HYPERLINK("https://boxd.it/Khm","open")</f>
        <v>open</v>
      </c>
      <c r="M1787" s="4" t="str">
        <f aca="false">LOWER(A1787)&amp;"|"&amp;B1787</f>
        <v>poison|1991</v>
      </c>
      <c r="N1787" s="4" t="n">
        <v>0</v>
      </c>
      <c r="O1787" s="4" t="n">
        <v>1</v>
      </c>
      <c r="P1787" s="4" t="n">
        <v>0</v>
      </c>
      <c r="Q1787" s="4" t="n">
        <v>0</v>
      </c>
      <c r="R1787" s="4" t="n">
        <v>0</v>
      </c>
      <c r="S1787" s="4" t="n">
        <v>1</v>
      </c>
      <c r="T1787" s="4" t="n">
        <v>0</v>
      </c>
      <c r="U1787" s="4" t="n">
        <v>0</v>
      </c>
      <c r="V1787" s="4" t="n">
        <v>0</v>
      </c>
      <c r="W1787" s="4" t="n">
        <v>0</v>
      </c>
    </row>
    <row r="1788" customFormat="false" ht="15" hidden="false" customHeight="false" outlineLevel="0" collapsed="false">
      <c r="A1788" s="4" t="s">
        <v>2921</v>
      </c>
      <c r="B1788" s="4" t="n">
        <v>2009</v>
      </c>
      <c r="C1788" s="4" t="str">
        <f aca="false">FLOOR(B1788,10)&amp;"s"</f>
        <v>2000s</v>
      </c>
      <c r="D1788" s="4" t="s">
        <v>2849</v>
      </c>
      <c r="E1788" s="25" t="str">
        <f aca="false">IF(G1788=1,"✓","")</f>
        <v/>
      </c>
      <c r="F1788" s="4" t="n">
        <v>1</v>
      </c>
      <c r="G1788" s="4" t="n">
        <f aca="false">IF(COUNTIF('Letterboxd Watched'!$E$2:$E$3000,M1788)&gt;0,1,0)</f>
        <v>0</v>
      </c>
      <c r="H1788" s="4" t="n">
        <v>2</v>
      </c>
      <c r="I1788" s="4" t="s">
        <v>213</v>
      </c>
      <c r="J1788" s="4" t="s">
        <v>51</v>
      </c>
      <c r="K1788" s="4" t="s">
        <v>4000</v>
      </c>
      <c r="L1788" s="48" t="str">
        <f aca="false">HYPERLINK("https://letterboxd.com/search/films/Police+Adjective+2009/","open")</f>
        <v>open</v>
      </c>
      <c r="M1788" s="4" t="str">
        <f aca="false">LOWER(A1788)&amp;"|"&amp;B1788</f>
        <v>police, adjective|2009</v>
      </c>
      <c r="N1788" s="4" t="n">
        <v>0</v>
      </c>
      <c r="O1788" s="4" t="n">
        <v>0</v>
      </c>
      <c r="P1788" s="4" t="n">
        <v>1</v>
      </c>
      <c r="Q1788" s="4" t="n">
        <v>0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</row>
    <row r="1789" customFormat="false" ht="15" hidden="false" customHeight="false" outlineLevel="0" collapsed="false">
      <c r="A1789" s="4" t="s">
        <v>1530</v>
      </c>
      <c r="B1789" s="4" t="n">
        <v>1985</v>
      </c>
      <c r="C1789" s="4" t="str">
        <f aca="false">FLOOR(B1789,10)&amp;"s"</f>
        <v>1980s</v>
      </c>
      <c r="D1789" s="4" t="s">
        <v>1531</v>
      </c>
      <c r="E1789" s="25" t="str">
        <f aca="false">IF(G1789=1,"✓","")</f>
        <v/>
      </c>
      <c r="F1789" s="4" t="n">
        <v>1</v>
      </c>
      <c r="G1789" s="4" t="n">
        <f aca="false">IF(COUNTIF('Letterboxd Watched'!$E$2:$E$3000,M1789)&gt;0,1,0)</f>
        <v>0</v>
      </c>
      <c r="H1789" s="4" t="n">
        <v>3</v>
      </c>
      <c r="I1789" s="4" t="s">
        <v>144</v>
      </c>
      <c r="J1789" s="4" t="s">
        <v>51</v>
      </c>
      <c r="K1789" s="4" t="s">
        <v>4012</v>
      </c>
      <c r="L1789" s="48" t="str">
        <f aca="false">HYPERLINK("https://boxd.it/1Zhe","open")</f>
        <v>open</v>
      </c>
      <c r="M1789" s="4" t="str">
        <f aca="false">LOWER(A1789)&amp;"|"&amp;B1789</f>
        <v>police story|1985</v>
      </c>
      <c r="N1789" s="4" t="n">
        <v>0</v>
      </c>
      <c r="O1789" s="4" t="n">
        <v>0</v>
      </c>
      <c r="P1789" s="4" t="n">
        <v>1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 customFormat="false" ht="15" hidden="false" customHeight="false" outlineLevel="0" collapsed="false">
      <c r="A1790" s="4" t="s">
        <v>2358</v>
      </c>
      <c r="B1790" s="4" t="n">
        <v>1982</v>
      </c>
      <c r="C1790" s="4" t="str">
        <f aca="false">FLOOR(B1790,10)&amp;"s"</f>
        <v>1980s</v>
      </c>
      <c r="D1790" s="4" t="s">
        <v>435</v>
      </c>
      <c r="E1790" s="25" t="str">
        <f aca="false">IF(G1790=1,"✓","")</f>
        <v/>
      </c>
      <c r="F1790" s="4" t="n">
        <v>1</v>
      </c>
      <c r="G1790" s="4" t="n">
        <f aca="false">IF(COUNTIF('Letterboxd Watched'!$E$2:$E$3000,M1790)&gt;0,1,0)</f>
        <v>0</v>
      </c>
      <c r="H1790" s="4" t="n">
        <v>2</v>
      </c>
      <c r="I1790" s="4" t="s">
        <v>213</v>
      </c>
      <c r="J1790" s="4" t="s">
        <v>52</v>
      </c>
      <c r="K1790" s="4" t="s">
        <v>4082</v>
      </c>
      <c r="L1790" s="48" t="str">
        <f aca="false">HYPERLINK("https://boxd.it/2a0o","open")</f>
        <v>open</v>
      </c>
      <c r="M1790" s="4" t="str">
        <f aca="false">LOWER(A1790)&amp;"|"&amp;B1790</f>
        <v>poltergeist|1982</v>
      </c>
      <c r="N1790" s="4" t="n">
        <v>0</v>
      </c>
      <c r="O1790" s="4" t="n">
        <v>0</v>
      </c>
      <c r="P1790" s="4" t="n">
        <v>0</v>
      </c>
      <c r="Q1790" s="4" t="n">
        <v>1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</row>
    <row r="1791" customFormat="false" ht="15" hidden="false" customHeight="false" outlineLevel="0" collapsed="false">
      <c r="A1791" s="4" t="s">
        <v>3783</v>
      </c>
      <c r="B1791" s="4" t="n">
        <v>2009</v>
      </c>
      <c r="C1791" s="4" t="str">
        <f aca="false">FLOOR(B1791,10)&amp;"s"</f>
        <v>2000s</v>
      </c>
      <c r="D1791" s="4" t="s">
        <v>327</v>
      </c>
      <c r="E1791" s="25" t="str">
        <f aca="false">IF(G1791=1,"✓","")</f>
        <v/>
      </c>
      <c r="F1791" s="4" t="n">
        <v>1</v>
      </c>
      <c r="G1791" s="4" t="n">
        <f aca="false">IF(COUNTIF('Letterboxd Watched'!$E$2:$E$3000,M1791)&gt;0,1,0)</f>
        <v>0</v>
      </c>
      <c r="H1791" s="4" t="n">
        <v>1</v>
      </c>
      <c r="I1791" s="4" t="s">
        <v>1327</v>
      </c>
      <c r="J1791" s="4" t="s">
        <v>53</v>
      </c>
      <c r="K1791" s="4" t="s">
        <v>4262</v>
      </c>
      <c r="L1791" s="48" t="str">
        <f aca="false">HYPERLINK("https://boxd.it/1AMG","open")</f>
        <v>open</v>
      </c>
      <c r="M1791" s="4" t="str">
        <f aca="false">LOWER(A1791)&amp;"|"&amp;B1791</f>
        <v>polytechnique|2009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1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 customFormat="false" ht="15" hidden="false" customHeight="false" outlineLevel="0" collapsed="false">
      <c r="A1792" s="4" t="s">
        <v>2592</v>
      </c>
      <c r="B1792" s="4" t="n">
        <v>1994</v>
      </c>
      <c r="C1792" s="4" t="str">
        <f aca="false">FLOOR(B1792,10)&amp;"s"</f>
        <v>1990s</v>
      </c>
      <c r="D1792" s="4" t="s">
        <v>611</v>
      </c>
      <c r="E1792" s="25" t="str">
        <f aca="false">IF(G1792=1,"✓","")</f>
        <v/>
      </c>
      <c r="F1792" s="4" t="n">
        <v>1</v>
      </c>
      <c r="G1792" s="4" t="n">
        <f aca="false">IF(COUNTIF('Letterboxd Watched'!$E$2:$E$3000,M1792)&gt;0,1,0)</f>
        <v>0</v>
      </c>
      <c r="H1792" s="4" t="n">
        <v>2</v>
      </c>
      <c r="I1792" s="4" t="s">
        <v>213</v>
      </c>
      <c r="J1792" s="4" t="s">
        <v>53</v>
      </c>
      <c r="K1792" s="4" t="s">
        <v>4248</v>
      </c>
      <c r="L1792" s="48" t="str">
        <f aca="false">HYPERLINK("https://boxd.it/1Mvi","open")</f>
        <v>open</v>
      </c>
      <c r="M1792" s="4" t="str">
        <f aca="false">LOWER(A1792)&amp;"|"&amp;B1792</f>
        <v>pom poko|1994</v>
      </c>
      <c r="N1792" s="4" t="n">
        <v>0</v>
      </c>
      <c r="O1792" s="4" t="n">
        <v>0</v>
      </c>
      <c r="P1792" s="4" t="n">
        <v>0</v>
      </c>
      <c r="Q1792" s="4" t="n">
        <v>0</v>
      </c>
      <c r="R1792" s="4" t="n">
        <v>1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</row>
    <row r="1793" customFormat="false" ht="15" hidden="false" customHeight="false" outlineLevel="0" collapsed="false">
      <c r="A1793" s="4" t="s">
        <v>3599</v>
      </c>
      <c r="B1793" s="4" t="n">
        <v>1981</v>
      </c>
      <c r="C1793" s="4" t="str">
        <f aca="false">FLOOR(B1793,10)&amp;"s"</f>
        <v>1980s</v>
      </c>
      <c r="D1793" s="4" t="s">
        <v>957</v>
      </c>
      <c r="E1793" s="25" t="str">
        <f aca="false">IF(G1793=1,"✓","")</f>
        <v/>
      </c>
      <c r="F1793" s="4" t="n">
        <v>1</v>
      </c>
      <c r="G1793" s="4" t="n">
        <f aca="false">IF(COUNTIF('Letterboxd Watched'!$E$2:$E$3000,M1793)&gt;0,1,0)</f>
        <v>0</v>
      </c>
      <c r="H1793" s="4" t="n">
        <v>1</v>
      </c>
      <c r="I1793" s="4" t="s">
        <v>1327</v>
      </c>
      <c r="J1793" s="4" t="s">
        <v>55</v>
      </c>
      <c r="K1793" s="4" t="s">
        <v>4362</v>
      </c>
      <c r="L1793" s="48" t="str">
        <f aca="false">HYPERLINK("https://boxd.it/hXI","open")</f>
        <v>open</v>
      </c>
      <c r="M1793" s="4" t="str">
        <f aca="false">LOWER(A1793)&amp;"|"&amp;B1793</f>
        <v>le pont du nord|1981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1</v>
      </c>
      <c r="U1793" s="4" t="n">
        <v>0</v>
      </c>
      <c r="V1793" s="4" t="n">
        <v>0</v>
      </c>
      <c r="W1793" s="4" t="n">
        <v>0</v>
      </c>
    </row>
    <row r="1794" customFormat="false" ht="15" hidden="false" customHeight="false" outlineLevel="0" collapsed="false">
      <c r="A1794" s="4" t="s">
        <v>3776</v>
      </c>
      <c r="B1794" s="4" t="n">
        <v>2008</v>
      </c>
      <c r="C1794" s="4" t="str">
        <f aca="false">FLOOR(B1794,10)&amp;"s"</f>
        <v>2000s</v>
      </c>
      <c r="D1794" s="4" t="s">
        <v>3777</v>
      </c>
      <c r="E1794" s="25" t="str">
        <f aca="false">IF(G1794=1,"✓","")</f>
        <v/>
      </c>
      <c r="F1794" s="4" t="n">
        <v>1</v>
      </c>
      <c r="G1794" s="4" t="n">
        <f aca="false">IF(COUNTIF('Letterboxd Watched'!$E$2:$E$3000,M1794)&gt;0,1,0)</f>
        <v>0</v>
      </c>
      <c r="H1794" s="4" t="n">
        <v>1</v>
      </c>
      <c r="I1794" s="4" t="s">
        <v>1327</v>
      </c>
      <c r="J1794" s="4" t="s">
        <v>52</v>
      </c>
      <c r="K1794" s="4" t="s">
        <v>4068</v>
      </c>
      <c r="L1794" s="48" t="str">
        <f aca="false">HYPERLINK("https://boxd.it/1yBw","open")</f>
        <v>open</v>
      </c>
      <c r="M1794" s="4" t="str">
        <f aca="false">LOWER(A1794)&amp;"|"&amp;B1794</f>
        <v>pontypool|2008</v>
      </c>
      <c r="N1794" s="4" t="n">
        <v>0</v>
      </c>
      <c r="O1794" s="4" t="n">
        <v>0</v>
      </c>
      <c r="P1794" s="4" t="n">
        <v>0</v>
      </c>
      <c r="Q1794" s="4" t="n">
        <v>1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</row>
    <row r="1795" customFormat="false" ht="15" hidden="false" customHeight="false" outlineLevel="0" collapsed="false">
      <c r="A1795" s="4" t="s">
        <v>2095</v>
      </c>
      <c r="B1795" s="4" t="n">
        <v>1967</v>
      </c>
      <c r="C1795" s="4" t="str">
        <f aca="false">FLOOR(B1795,10)&amp;"s"</f>
        <v>1960s</v>
      </c>
      <c r="D1795" s="4" t="s">
        <v>359</v>
      </c>
      <c r="E1795" s="25" t="str">
        <f aca="false">IF(G1795=1,"✓","")</f>
        <v/>
      </c>
      <c r="F1795" s="4" t="n">
        <v>1</v>
      </c>
      <c r="G1795" s="4" t="n">
        <f aca="false">IF(COUNTIF('Letterboxd Watched'!$E$2:$E$3000,M1795)&gt;0,1,0)</f>
        <v>0</v>
      </c>
      <c r="H1795" s="4" t="n">
        <v>2</v>
      </c>
      <c r="I1795" s="4" t="s">
        <v>213</v>
      </c>
      <c r="J1795" s="4" t="s">
        <v>51</v>
      </c>
      <c r="K1795" s="4" t="s">
        <v>3980</v>
      </c>
      <c r="L1795" s="48" t="str">
        <f aca="false">HYPERLINK("https://letterboxd.com/search/films/Poor+Cow+1967/","open")</f>
        <v>open</v>
      </c>
      <c r="M1795" s="4" t="str">
        <f aca="false">LOWER(A1795)&amp;"|"&amp;B1795</f>
        <v>poor cow|1967</v>
      </c>
      <c r="N1795" s="4" t="n">
        <v>0</v>
      </c>
      <c r="O1795" s="4" t="n">
        <v>0</v>
      </c>
      <c r="P1795" s="4" t="n">
        <v>1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</row>
    <row r="1796" customFormat="false" ht="15" hidden="false" customHeight="false" outlineLevel="0" collapsed="false">
      <c r="A1796" s="4" t="s">
        <v>3239</v>
      </c>
      <c r="B1796" s="4" t="n">
        <v>2023</v>
      </c>
      <c r="C1796" s="4" t="str">
        <f aca="false">FLOOR(B1796,10)&amp;"s"</f>
        <v>2020s</v>
      </c>
      <c r="D1796" s="4" t="s">
        <v>874</v>
      </c>
      <c r="E1796" s="25" t="str">
        <f aca="false">IF(G1796=1,"✓","")</f>
        <v/>
      </c>
      <c r="F1796" s="4" t="n">
        <v>1</v>
      </c>
      <c r="G1796" s="4" t="n">
        <f aca="false">IF(COUNTIF('Letterboxd Watched'!$E$2:$E$3000,M1796)&gt;0,1,0)</f>
        <v>0</v>
      </c>
      <c r="H1796" s="4" t="n">
        <v>2</v>
      </c>
      <c r="I1796" s="4" t="s">
        <v>213</v>
      </c>
      <c r="J1796" s="4" t="s">
        <v>53</v>
      </c>
      <c r="K1796" s="4" t="s">
        <v>4242</v>
      </c>
      <c r="L1796" s="48" t="str">
        <f aca="false">HYPERLINK("https://boxd.it/tNWU","open")</f>
        <v>open</v>
      </c>
      <c r="M1796" s="4" t="str">
        <f aca="false">LOWER(A1796)&amp;"|"&amp;B1796</f>
        <v>poor things|2023</v>
      </c>
      <c r="N1796" s="4" t="n">
        <v>0</v>
      </c>
      <c r="O1796" s="4" t="n">
        <v>0</v>
      </c>
      <c r="P1796" s="4" t="n">
        <v>0</v>
      </c>
      <c r="Q1796" s="4" t="n">
        <v>0</v>
      </c>
      <c r="R1796" s="4" t="n">
        <v>1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 customFormat="false" ht="15" hidden="false" customHeight="false" outlineLevel="0" collapsed="false">
      <c r="A1797" s="4" t="s">
        <v>3099</v>
      </c>
      <c r="B1797" s="4" t="n">
        <v>2016</v>
      </c>
      <c r="C1797" s="4" t="str">
        <f aca="false">FLOOR(B1797,10)&amp;"s"</f>
        <v>2010s</v>
      </c>
      <c r="D1797" s="4" t="s">
        <v>3100</v>
      </c>
      <c r="E1797" s="25" t="str">
        <f aca="false">IF(G1797=1,"✓","")</f>
        <v/>
      </c>
      <c r="F1797" s="4" t="n">
        <v>1</v>
      </c>
      <c r="G1797" s="4" t="n">
        <f aca="false">IF(COUNTIF('Letterboxd Watched'!$E$2:$E$3000,M1797)&gt;0,1,0)</f>
        <v>0</v>
      </c>
      <c r="H1797" s="4" t="n">
        <v>2</v>
      </c>
      <c r="I1797" s="4" t="s">
        <v>213</v>
      </c>
      <c r="J1797" s="4" t="s">
        <v>52</v>
      </c>
      <c r="K1797" s="4" t="s">
        <v>4104</v>
      </c>
      <c r="L1797" s="48" t="str">
        <f aca="false">HYPERLINK("https://boxd.it/blDa","open")</f>
        <v>open</v>
      </c>
      <c r="M1797" s="4" t="str">
        <f aca="false">LOWER(A1797)&amp;"|"&amp;B1797</f>
        <v>popstar: never stop never stopping|2016</v>
      </c>
      <c r="N1797" s="4" t="n">
        <v>0</v>
      </c>
      <c r="O1797" s="4" t="n">
        <v>0</v>
      </c>
      <c r="P1797" s="4" t="n">
        <v>0</v>
      </c>
      <c r="Q1797" s="4" t="n">
        <v>1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 customFormat="false" ht="15" hidden="false" customHeight="false" outlineLevel="0" collapsed="false">
      <c r="A1798" s="4" t="s">
        <v>2547</v>
      </c>
      <c r="B1798" s="4" t="n">
        <v>1992</v>
      </c>
      <c r="C1798" s="4" t="str">
        <f aca="false">FLOOR(B1798,10)&amp;"s"</f>
        <v>1990s</v>
      </c>
      <c r="D1798" s="4" t="s">
        <v>382</v>
      </c>
      <c r="E1798" s="25" t="str">
        <f aca="false">IF(G1798=1,"✓","")</f>
        <v/>
      </c>
      <c r="F1798" s="4" t="n">
        <v>1</v>
      </c>
      <c r="G1798" s="4" t="n">
        <f aca="false">IF(COUNTIF('Letterboxd Watched'!$E$2:$E$3000,M1798)&gt;0,1,0)</f>
        <v>0</v>
      </c>
      <c r="H1798" s="4" t="n">
        <v>2</v>
      </c>
      <c r="I1798" s="4" t="s">
        <v>213</v>
      </c>
      <c r="J1798" s="4" t="s">
        <v>53</v>
      </c>
      <c r="K1798" s="4" t="s">
        <v>4248</v>
      </c>
      <c r="L1798" s="48" t="str">
        <f aca="false">HYPERLINK("https://boxd.it/1Tp2","open")</f>
        <v>open</v>
      </c>
      <c r="M1798" s="4" t="str">
        <f aca="false">LOWER(A1798)&amp;"|"&amp;B1798</f>
        <v>porco rosso|1992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1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</row>
    <row r="1799" customFormat="false" ht="15" hidden="false" customHeight="false" outlineLevel="0" collapsed="false">
      <c r="A1799" s="4" t="s">
        <v>1774</v>
      </c>
      <c r="B1799" s="4" t="n">
        <v>1938</v>
      </c>
      <c r="C1799" s="4" t="str">
        <f aca="false">FLOOR(B1799,10)&amp;"s"</f>
        <v>1930s</v>
      </c>
      <c r="D1799" s="4" t="s">
        <v>1775</v>
      </c>
      <c r="E1799" s="25" t="str">
        <f aca="false">IF(G1799=1,"✓","")</f>
        <v/>
      </c>
      <c r="F1799" s="4" t="n">
        <v>1</v>
      </c>
      <c r="G1799" s="4" t="n">
        <f aca="false">IF(COUNTIF('Letterboxd Watched'!$E$2:$E$3000,M1799)&gt;0,1,0)</f>
        <v>0</v>
      </c>
      <c r="H1799" s="4" t="n">
        <v>2</v>
      </c>
      <c r="I1799" s="4" t="s">
        <v>213</v>
      </c>
      <c r="J1799" s="4" t="s">
        <v>51</v>
      </c>
      <c r="K1799" s="4" t="s">
        <v>3958</v>
      </c>
      <c r="L1799" s="48" t="str">
        <f aca="false">HYPERLINK("https://boxd.it/Nr0","open")</f>
        <v>open</v>
      </c>
      <c r="M1799" s="4" t="str">
        <f aca="false">LOWER(A1799)&amp;"|"&amp;B1799</f>
        <v>port of shadows|1938</v>
      </c>
      <c r="N1799" s="4" t="n">
        <v>0</v>
      </c>
      <c r="O1799" s="4" t="n">
        <v>0</v>
      </c>
      <c r="P1799" s="4" t="n">
        <v>1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</row>
    <row r="1800" customFormat="false" ht="15" hidden="false" customHeight="false" outlineLevel="0" collapsed="false">
      <c r="A1800" s="4" t="s">
        <v>240</v>
      </c>
      <c r="B1800" s="4" t="n">
        <v>2019</v>
      </c>
      <c r="C1800" s="4" t="str">
        <f aca="false">FLOOR(B1800,10)&amp;"s"</f>
        <v>2010s</v>
      </c>
      <c r="D1800" s="4" t="s">
        <v>241</v>
      </c>
      <c r="E1800" s="25" t="str">
        <f aca="false">IF(G1800=1,"✓","")</f>
        <v/>
      </c>
      <c r="F1800" s="4" t="n">
        <v>6</v>
      </c>
      <c r="G1800" s="4" t="n">
        <f aca="false">IF(COUNTIF('Letterboxd Watched'!$E$2:$E$3000,M1800)&gt;0,1,0)</f>
        <v>0</v>
      </c>
      <c r="H1800" s="4" t="n">
        <v>13</v>
      </c>
      <c r="I1800" s="4" t="s">
        <v>144</v>
      </c>
      <c r="J1800" s="4" t="s">
        <v>50</v>
      </c>
      <c r="K1800" s="4" t="s">
        <v>5713</v>
      </c>
      <c r="L1800" s="48" t="str">
        <f aca="false">HYPERLINK("https://boxd.it/jkPq","open")</f>
        <v>open</v>
      </c>
      <c r="M1800" s="4" t="str">
        <f aca="false">LOWER(A1800)&amp;"|"&amp;B1800</f>
        <v>portrait of a lady on fire|2019</v>
      </c>
      <c r="N1800" s="4" t="n">
        <v>0</v>
      </c>
      <c r="O1800" s="4" t="n">
        <v>1</v>
      </c>
      <c r="P1800" s="4" t="n">
        <v>1</v>
      </c>
      <c r="Q1800" s="4" t="n">
        <v>0</v>
      </c>
      <c r="R1800" s="4" t="n">
        <v>0</v>
      </c>
      <c r="S1800" s="4" t="n">
        <v>1</v>
      </c>
      <c r="T1800" s="4" t="n">
        <v>0</v>
      </c>
      <c r="U1800" s="4" t="n">
        <v>0</v>
      </c>
      <c r="V1800" s="4" t="n">
        <v>1</v>
      </c>
      <c r="W1800" s="4" t="n">
        <v>0</v>
      </c>
    </row>
    <row r="1801" customFormat="false" ht="15" hidden="false" customHeight="false" outlineLevel="0" collapsed="false">
      <c r="A1801" s="4" t="s">
        <v>1493</v>
      </c>
      <c r="B1801" s="4" t="n">
        <v>1972</v>
      </c>
      <c r="C1801" s="4" t="str">
        <f aca="false">FLOOR(B1801,10)&amp;"s"</f>
        <v>1970s</v>
      </c>
      <c r="D1801" s="4" t="s">
        <v>1494</v>
      </c>
      <c r="E1801" s="25" t="str">
        <f aca="false">IF(G1801=1,"✓","")</f>
        <v/>
      </c>
      <c r="F1801" s="4" t="n">
        <v>1</v>
      </c>
      <c r="G1801" s="4" t="n">
        <f aca="false">IF(COUNTIF('Letterboxd Watched'!$E$2:$E$3000,M1801)&gt;0,1,0)</f>
        <v>0</v>
      </c>
      <c r="H1801" s="4" t="n">
        <v>3</v>
      </c>
      <c r="I1801" s="4" t="s">
        <v>144</v>
      </c>
      <c r="J1801" s="4" t="s">
        <v>56</v>
      </c>
      <c r="K1801" s="4" t="s">
        <v>4388</v>
      </c>
      <c r="L1801" s="48" t="str">
        <f aca="false">HYPERLINK("https://boxd.it/2a9g","open")</f>
        <v>open</v>
      </c>
      <c r="M1801" s="4" t="str">
        <f aca="false">LOWER(A1801)&amp;"|"&amp;B1801</f>
        <v>the poseidon adventure|1972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1</v>
      </c>
      <c r="V1801" s="4" t="n">
        <v>0</v>
      </c>
      <c r="W1801" s="4" t="n">
        <v>0</v>
      </c>
    </row>
    <row r="1802" customFormat="false" ht="15" hidden="false" customHeight="false" outlineLevel="0" collapsed="false">
      <c r="A1802" s="4" t="s">
        <v>560</v>
      </c>
      <c r="B1802" s="4" t="n">
        <v>1981</v>
      </c>
      <c r="C1802" s="4" t="str">
        <f aca="false">FLOOR(B1802,10)&amp;"s"</f>
        <v>1980s</v>
      </c>
      <c r="D1802" s="4" t="s">
        <v>561</v>
      </c>
      <c r="E1802" s="25" t="str">
        <f aca="false">IF(G1802=1,"✓","")</f>
        <v/>
      </c>
      <c r="F1802" s="4" t="n">
        <v>4</v>
      </c>
      <c r="G1802" s="4" t="n">
        <f aca="false">IF(COUNTIF('Letterboxd Watched'!$E$2:$E$3000,M1802)&gt;0,1,0)</f>
        <v>0</v>
      </c>
      <c r="H1802" s="4" t="n">
        <v>6</v>
      </c>
      <c r="I1802" s="4" t="s">
        <v>213</v>
      </c>
      <c r="J1802" s="4" t="s">
        <v>52</v>
      </c>
      <c r="K1802" s="4" t="s">
        <v>5714</v>
      </c>
      <c r="L1802" s="48" t="str">
        <f aca="false">HYPERLINK("https://boxd.it/1BPm","open")</f>
        <v>open</v>
      </c>
      <c r="M1802" s="4" t="str">
        <f aca="false">LOWER(A1802)&amp;"|"&amp;B1802</f>
        <v>possession|1981</v>
      </c>
      <c r="N1802" s="4" t="n">
        <v>0</v>
      </c>
      <c r="O1802" s="4" t="n">
        <v>0</v>
      </c>
      <c r="P1802" s="4" t="n">
        <v>0</v>
      </c>
      <c r="Q1802" s="4" t="n">
        <v>1</v>
      </c>
      <c r="R1802" s="4" t="n">
        <v>0</v>
      </c>
      <c r="S1802" s="4" t="n">
        <v>1</v>
      </c>
      <c r="T1802" s="4" t="n">
        <v>0</v>
      </c>
      <c r="U1802" s="4" t="n">
        <v>1</v>
      </c>
      <c r="V1802" s="4" t="n">
        <v>0</v>
      </c>
      <c r="W1802" s="4" t="n">
        <v>1</v>
      </c>
    </row>
    <row r="1803" customFormat="false" ht="15" hidden="false" customHeight="false" outlineLevel="0" collapsed="false">
      <c r="A1803" s="4" t="s">
        <v>3854</v>
      </c>
      <c r="B1803" s="4" t="n">
        <v>2020</v>
      </c>
      <c r="C1803" s="4" t="str">
        <f aca="false">FLOOR(B1803,10)&amp;"s"</f>
        <v>2020s</v>
      </c>
      <c r="D1803" s="4" t="s">
        <v>3855</v>
      </c>
      <c r="E1803" s="25" t="str">
        <f aca="false">IF(G1803=1,"✓","")</f>
        <v/>
      </c>
      <c r="F1803" s="4" t="n">
        <v>1</v>
      </c>
      <c r="G1803" s="4" t="n">
        <f aca="false">IF(COUNTIF('Letterboxd Watched'!$E$2:$E$3000,M1803)&gt;0,1,0)</f>
        <v>0</v>
      </c>
      <c r="H1803" s="4" t="n">
        <v>1</v>
      </c>
      <c r="I1803" s="4" t="s">
        <v>1327</v>
      </c>
      <c r="J1803" s="4" t="s">
        <v>52</v>
      </c>
      <c r="K1803" s="4" t="s">
        <v>4080</v>
      </c>
      <c r="L1803" s="48" t="str">
        <f aca="false">HYPERLINK("https://boxd.it/fsJW","open")</f>
        <v>open</v>
      </c>
      <c r="M1803" s="4" t="str">
        <f aca="false">LOWER(A1803)&amp;"|"&amp;B1803</f>
        <v>possessor|2020</v>
      </c>
      <c r="N1803" s="4" t="n">
        <v>0</v>
      </c>
      <c r="O1803" s="4" t="n">
        <v>0</v>
      </c>
      <c r="P1803" s="4" t="n">
        <v>0</v>
      </c>
      <c r="Q1803" s="4" t="n">
        <v>1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</row>
    <row r="1804" customFormat="false" ht="15" hidden="false" customHeight="false" outlineLevel="0" collapsed="false">
      <c r="A1804" s="4" t="s">
        <v>1415</v>
      </c>
      <c r="B1804" s="4" t="n">
        <v>2017</v>
      </c>
      <c r="C1804" s="4" t="str">
        <f aca="false">FLOOR(B1804,10)&amp;"s"</f>
        <v>2010s</v>
      </c>
      <c r="D1804" s="4" t="s">
        <v>183</v>
      </c>
      <c r="E1804" s="25" t="str">
        <f aca="false">IF(G1804=1,"✓","")</f>
        <v>✓</v>
      </c>
      <c r="F1804" s="4" t="n">
        <v>2</v>
      </c>
      <c r="G1804" s="4" t="n">
        <f aca="false">IF(COUNTIF('Letterboxd Watched'!$E$2:$E$3000,M1804)&gt;0,1,0)</f>
        <v>1</v>
      </c>
      <c r="H1804" s="4" t="n">
        <v>3</v>
      </c>
      <c r="I1804" s="4" t="s">
        <v>213</v>
      </c>
      <c r="J1804" s="4" t="s">
        <v>53</v>
      </c>
      <c r="K1804" s="4" t="s">
        <v>5715</v>
      </c>
      <c r="L1804" s="48" t="str">
        <f aca="false">HYPERLINK("https://boxd.it/fTeG","open")</f>
        <v>open</v>
      </c>
      <c r="M1804" s="4" t="str">
        <f aca="false">LOWER(A1804)&amp;"|"&amp;B1804</f>
        <v>the post|2017</v>
      </c>
      <c r="N1804" s="4" t="n">
        <v>0</v>
      </c>
      <c r="O1804" s="4" t="n">
        <v>0</v>
      </c>
      <c r="P1804" s="4" t="n">
        <v>0</v>
      </c>
      <c r="Q1804" s="4" t="n">
        <v>0</v>
      </c>
      <c r="R1804" s="4" t="n">
        <v>1</v>
      </c>
      <c r="S1804" s="4" t="n">
        <v>0</v>
      </c>
      <c r="T1804" s="4" t="n">
        <v>1</v>
      </c>
      <c r="U1804" s="4" t="n">
        <v>0</v>
      </c>
      <c r="V1804" s="4" t="n">
        <v>0</v>
      </c>
      <c r="W1804" s="4" t="n">
        <v>0</v>
      </c>
    </row>
    <row r="1805" customFormat="false" ht="15" hidden="false" customHeight="false" outlineLevel="0" collapsed="false">
      <c r="A1805" s="4" t="s">
        <v>1988</v>
      </c>
      <c r="B1805" s="4" t="n">
        <v>1961</v>
      </c>
      <c r="C1805" s="4" t="str">
        <f aca="false">FLOOR(B1805,10)&amp;"s"</f>
        <v>1960s</v>
      </c>
      <c r="D1805" s="4" t="s">
        <v>1989</v>
      </c>
      <c r="E1805" s="25" t="str">
        <f aca="false">IF(G1805=1,"✓","")</f>
        <v/>
      </c>
      <c r="F1805" s="4" t="n">
        <v>1</v>
      </c>
      <c r="G1805" s="4" t="n">
        <f aca="false">IF(COUNTIF('Letterboxd Watched'!$E$2:$E$3000,M1805)&gt;0,1,0)</f>
        <v>0</v>
      </c>
      <c r="H1805" s="4" t="n">
        <v>2</v>
      </c>
      <c r="I1805" s="4" t="s">
        <v>213</v>
      </c>
      <c r="J1805" s="4" t="s">
        <v>51</v>
      </c>
      <c r="K1805" s="4" t="s">
        <v>3944</v>
      </c>
      <c r="L1805" s="48" t="str">
        <f aca="false">HYPERLINK("https://letterboxd.com/search/films/Il+Posto+1961/","open")</f>
        <v>open</v>
      </c>
      <c r="M1805" s="4" t="str">
        <f aca="false">LOWER(A1805)&amp;"|"&amp;B1805</f>
        <v>il posto|1961</v>
      </c>
      <c r="N1805" s="4" t="n">
        <v>0</v>
      </c>
      <c r="O1805" s="4" t="n">
        <v>0</v>
      </c>
      <c r="P1805" s="4" t="n">
        <v>1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</row>
    <row r="1806" customFormat="false" ht="15" hidden="false" customHeight="false" outlineLevel="0" collapsed="false">
      <c r="A1806" s="4" t="s">
        <v>3206</v>
      </c>
      <c r="B1806" s="4" t="n">
        <v>2021</v>
      </c>
      <c r="C1806" s="4" t="str">
        <f aca="false">FLOOR(B1806,10)&amp;"s"</f>
        <v>2020s</v>
      </c>
      <c r="D1806" s="4" t="s">
        <v>833</v>
      </c>
      <c r="E1806" s="25" t="str">
        <f aca="false">IF(G1806=1,"✓","")</f>
        <v>✓</v>
      </c>
      <c r="F1806" s="4" t="n">
        <v>1</v>
      </c>
      <c r="G1806" s="4" t="n">
        <f aca="false">IF(COUNTIF('Letterboxd Watched'!$E$2:$E$3000,M1806)&gt;0,1,0)</f>
        <v>1</v>
      </c>
      <c r="H1806" s="4" t="n">
        <v>2</v>
      </c>
      <c r="I1806" s="4" t="s">
        <v>213</v>
      </c>
      <c r="J1806" s="4" t="s">
        <v>52</v>
      </c>
      <c r="K1806" s="4" t="s">
        <v>4052</v>
      </c>
      <c r="L1806" s="48" t="str">
        <f aca="false">HYPERLINK("https://boxd.it/m99E","open")</f>
        <v>open</v>
      </c>
      <c r="M1806" s="4" t="str">
        <f aca="false">LOWER(A1806)&amp;"|"&amp;B1806</f>
        <v>the power of the dog|2021</v>
      </c>
      <c r="N1806" s="4" t="n">
        <v>0</v>
      </c>
      <c r="O1806" s="4" t="n">
        <v>0</v>
      </c>
      <c r="P1806" s="4" t="n">
        <v>0</v>
      </c>
      <c r="Q1806" s="4" t="n">
        <v>1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</row>
    <row r="1807" customFormat="false" ht="15" hidden="false" customHeight="false" outlineLevel="0" collapsed="false">
      <c r="A1807" s="4" t="s">
        <v>3657</v>
      </c>
      <c r="B1807" s="4" t="n">
        <v>1989</v>
      </c>
      <c r="C1807" s="4" t="str">
        <f aca="false">FLOOR(B1807,10)&amp;"s"</f>
        <v>1980s</v>
      </c>
      <c r="D1807" s="4" t="s">
        <v>3658</v>
      </c>
      <c r="E1807" s="25" t="str">
        <f aca="false">IF(G1807=1,"✓","")</f>
        <v/>
      </c>
      <c r="F1807" s="4" t="n">
        <v>1</v>
      </c>
      <c r="G1807" s="4" t="n">
        <f aca="false">IF(COUNTIF('Letterboxd Watched'!$E$2:$E$3000,M1807)&gt;0,1,0)</f>
        <v>0</v>
      </c>
      <c r="H1807" s="4" t="n">
        <v>1</v>
      </c>
      <c r="I1807" s="4" t="s">
        <v>1327</v>
      </c>
      <c r="J1807" s="4" t="s">
        <v>54</v>
      </c>
      <c r="K1807" s="4" t="s">
        <v>4294</v>
      </c>
      <c r="L1807" s="48" t="str">
        <f aca="false">HYPERLINK("https://boxd.it/6zK","open")</f>
        <v>open</v>
      </c>
      <c r="M1807" s="4" t="str">
        <f aca="false">LOWER(A1807)&amp;"|"&amp;B1807</f>
        <v>powwow highway|1989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1</v>
      </c>
      <c r="T1807" s="4" t="n">
        <v>0</v>
      </c>
      <c r="U1807" s="4" t="n">
        <v>0</v>
      </c>
      <c r="V1807" s="4" t="n">
        <v>0</v>
      </c>
      <c r="W1807" s="4" t="n">
        <v>0</v>
      </c>
    </row>
    <row r="1808" customFormat="false" ht="15" hidden="false" customHeight="false" outlineLevel="0" collapsed="false">
      <c r="A1808" s="4" t="s">
        <v>2456</v>
      </c>
      <c r="B1808" s="4" t="n">
        <v>1987</v>
      </c>
      <c r="C1808" s="4" t="str">
        <f aca="false">FLOOR(B1808,10)&amp;"s"</f>
        <v>1980s</v>
      </c>
      <c r="D1808" s="4" t="s">
        <v>369</v>
      </c>
      <c r="E1808" s="25" t="str">
        <f aca="false">IF(G1808=1,"✓","")</f>
        <v/>
      </c>
      <c r="F1808" s="4" t="n">
        <v>1</v>
      </c>
      <c r="G1808" s="4" t="n">
        <f aca="false">IF(COUNTIF('Letterboxd Watched'!$E$2:$E$3000,M1808)&gt;0,1,0)</f>
        <v>0</v>
      </c>
      <c r="H1808" s="4" t="n">
        <v>2</v>
      </c>
      <c r="I1808" s="4" t="s">
        <v>213</v>
      </c>
      <c r="J1808" s="4" t="s">
        <v>52</v>
      </c>
      <c r="K1808" s="4" t="s">
        <v>4158</v>
      </c>
      <c r="L1808" s="48" t="str">
        <f aca="false">HYPERLINK("https://boxd.it/2b84","open")</f>
        <v>open</v>
      </c>
      <c r="M1808" s="4" t="str">
        <f aca="false">LOWER(A1808)&amp;"|"&amp;B1808</f>
        <v>predator|1987</v>
      </c>
      <c r="N1808" s="4" t="n">
        <v>0</v>
      </c>
      <c r="O1808" s="4" t="n">
        <v>0</v>
      </c>
      <c r="P1808" s="4" t="n">
        <v>0</v>
      </c>
      <c r="Q1808" s="4" t="n">
        <v>1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</row>
    <row r="1809" customFormat="false" ht="15" hidden="false" customHeight="false" outlineLevel="0" collapsed="false">
      <c r="A1809" s="4" t="s">
        <v>3823</v>
      </c>
      <c r="B1809" s="4" t="n">
        <v>2014</v>
      </c>
      <c r="C1809" s="4" t="str">
        <f aca="false">FLOOR(B1809,10)&amp;"s"</f>
        <v>2010s</v>
      </c>
      <c r="D1809" s="4" t="s">
        <v>3824</v>
      </c>
      <c r="E1809" s="25" t="str">
        <f aca="false">IF(G1809=1,"✓","")</f>
        <v/>
      </c>
      <c r="F1809" s="4" t="n">
        <v>1</v>
      </c>
      <c r="G1809" s="4" t="n">
        <f aca="false">IF(COUNTIF('Letterboxd Watched'!$E$2:$E$3000,M1809)&gt;0,1,0)</f>
        <v>0</v>
      </c>
      <c r="H1809" s="4" t="n">
        <v>1</v>
      </c>
      <c r="I1809" s="4" t="s">
        <v>1327</v>
      </c>
      <c r="J1809" s="4" t="s">
        <v>55</v>
      </c>
      <c r="K1809" s="4" t="s">
        <v>4336</v>
      </c>
      <c r="L1809" s="48" t="str">
        <f aca="false">HYPERLINK("https://boxd.it/6bJM","open")</f>
        <v>open</v>
      </c>
      <c r="M1809" s="4" t="str">
        <f aca="false">LOWER(A1809)&amp;"|"&amp;B1809</f>
        <v>predestination|2014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1</v>
      </c>
      <c r="U1809" s="4" t="n">
        <v>0</v>
      </c>
      <c r="V1809" s="4" t="n">
        <v>0</v>
      </c>
      <c r="W1809" s="4" t="n">
        <v>0</v>
      </c>
    </row>
    <row r="1810" customFormat="false" ht="15" hidden="false" customHeight="false" outlineLevel="0" collapsed="false">
      <c r="A1810" s="4" t="s">
        <v>1176</v>
      </c>
      <c r="B1810" s="4" t="n">
        <v>2006</v>
      </c>
      <c r="C1810" s="4" t="str">
        <f aca="false">FLOOR(B1810,10)&amp;"s"</f>
        <v>2000s</v>
      </c>
      <c r="D1810" s="4" t="s">
        <v>342</v>
      </c>
      <c r="E1810" s="25" t="str">
        <f aca="false">IF(G1810=1,"✓","")</f>
        <v>✓</v>
      </c>
      <c r="F1810" s="4" t="n">
        <v>2</v>
      </c>
      <c r="G1810" s="4" t="n">
        <f aca="false">IF(COUNTIF('Letterboxd Watched'!$E$2:$E$3000,M1810)&gt;0,1,0)</f>
        <v>1</v>
      </c>
      <c r="H1810" s="4" t="n">
        <v>4</v>
      </c>
      <c r="I1810" s="4" t="s">
        <v>213</v>
      </c>
      <c r="J1810" s="4" t="s">
        <v>53</v>
      </c>
      <c r="K1810" s="4" t="s">
        <v>5508</v>
      </c>
      <c r="L1810" s="48" t="str">
        <f aca="false">HYPERLINK("https://boxd.it/293w","open")</f>
        <v>open</v>
      </c>
      <c r="M1810" s="4" t="str">
        <f aca="false">LOWER(A1810)&amp;"|"&amp;B1810</f>
        <v>the prestige|2006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1</v>
      </c>
      <c r="S1810" s="4" t="n">
        <v>1</v>
      </c>
      <c r="T1810" s="4" t="n">
        <v>0</v>
      </c>
      <c r="U1810" s="4" t="n">
        <v>0</v>
      </c>
      <c r="V1810" s="4" t="n">
        <v>0</v>
      </c>
      <c r="W1810" s="4" t="n">
        <v>0</v>
      </c>
    </row>
    <row r="1811" customFormat="false" ht="15" hidden="false" customHeight="false" outlineLevel="0" collapsed="false">
      <c r="A1811" s="4" t="s">
        <v>2649</v>
      </c>
      <c r="B1811" s="4" t="n">
        <v>1996</v>
      </c>
      <c r="C1811" s="4" t="str">
        <f aca="false">FLOOR(B1811,10)&amp;"s"</f>
        <v>1990s</v>
      </c>
      <c r="D1811" s="4" t="s">
        <v>2650</v>
      </c>
      <c r="E1811" s="25" t="str">
        <f aca="false">IF(G1811=1,"✓","")</f>
        <v/>
      </c>
      <c r="F1811" s="4" t="n">
        <v>1</v>
      </c>
      <c r="G1811" s="4" t="n">
        <f aca="false">IF(COUNTIF('Letterboxd Watched'!$E$2:$E$3000,M1811)&gt;0,1,0)</f>
        <v>0</v>
      </c>
      <c r="H1811" s="4" t="n">
        <v>2</v>
      </c>
      <c r="I1811" s="4" t="s">
        <v>213</v>
      </c>
      <c r="J1811" s="4" t="s">
        <v>55</v>
      </c>
      <c r="K1811" s="4" t="s">
        <v>4324</v>
      </c>
      <c r="L1811" s="48" t="str">
        <f aca="false">HYPERLINK("https://boxd.it/28ws","open")</f>
        <v>open</v>
      </c>
      <c r="M1811" s="4" t="str">
        <f aca="false">LOWER(A1811)&amp;"|"&amp;B1811</f>
        <v>primal fear|1996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1</v>
      </c>
      <c r="U1811" s="4" t="n">
        <v>0</v>
      </c>
      <c r="V1811" s="4" t="n">
        <v>0</v>
      </c>
      <c r="W1811" s="4" t="n">
        <v>0</v>
      </c>
    </row>
    <row r="1812" customFormat="false" ht="15" hidden="false" customHeight="false" outlineLevel="0" collapsed="false">
      <c r="A1812" s="4" t="s">
        <v>1979</v>
      </c>
      <c r="B1812" s="4" t="n">
        <v>1960</v>
      </c>
      <c r="C1812" s="4" t="str">
        <f aca="false">FLOOR(B1812,10)&amp;"s"</f>
        <v>1960s</v>
      </c>
      <c r="D1812" s="4" t="s">
        <v>1980</v>
      </c>
      <c r="E1812" s="25" t="str">
        <f aca="false">IF(G1812=1,"✓","")</f>
        <v/>
      </c>
      <c r="F1812" s="4" t="n">
        <v>1</v>
      </c>
      <c r="G1812" s="4" t="n">
        <f aca="false">IF(COUNTIF('Letterboxd Watched'!$E$2:$E$3000,M1812)&gt;0,1,0)</f>
        <v>0</v>
      </c>
      <c r="H1812" s="4" t="n">
        <v>2</v>
      </c>
      <c r="I1812" s="4" t="s">
        <v>213</v>
      </c>
      <c r="J1812" s="4" t="s">
        <v>52</v>
      </c>
      <c r="K1812" s="4" t="s">
        <v>4172</v>
      </c>
      <c r="L1812" s="48" t="str">
        <f aca="false">HYPERLINK("https://boxd.it/2b3S","open")</f>
        <v>open</v>
      </c>
      <c r="M1812" s="4" t="str">
        <f aca="false">LOWER(A1812)&amp;"|"&amp;B1812</f>
        <v>primary|1960</v>
      </c>
      <c r="N1812" s="4" t="n">
        <v>0</v>
      </c>
      <c r="O1812" s="4" t="n">
        <v>0</v>
      </c>
      <c r="P1812" s="4" t="n">
        <v>0</v>
      </c>
      <c r="Q1812" s="4" t="n">
        <v>1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</row>
    <row r="1813" customFormat="false" ht="15" hidden="false" customHeight="false" outlineLevel="0" collapsed="false">
      <c r="A1813" s="4" t="s">
        <v>2686</v>
      </c>
      <c r="B1813" s="4" t="n">
        <v>1998</v>
      </c>
      <c r="C1813" s="4" t="str">
        <f aca="false">FLOOR(B1813,10)&amp;"s"</f>
        <v>1990s</v>
      </c>
      <c r="D1813" s="4" t="s">
        <v>357</v>
      </c>
      <c r="E1813" s="25" t="str">
        <f aca="false">IF(G1813=1,"✓","")</f>
        <v/>
      </c>
      <c r="F1813" s="4" t="n">
        <v>1</v>
      </c>
      <c r="G1813" s="4" t="n">
        <f aca="false">IF(COUNTIF('Letterboxd Watched'!$E$2:$E$3000,M1813)&gt;0,1,0)</f>
        <v>0</v>
      </c>
      <c r="H1813" s="4" t="n">
        <v>2</v>
      </c>
      <c r="I1813" s="4" t="s">
        <v>213</v>
      </c>
      <c r="J1813" s="4" t="s">
        <v>55</v>
      </c>
      <c r="K1813" s="4" t="s">
        <v>4318</v>
      </c>
      <c r="L1813" s="48" t="str">
        <f aca="false">HYPERLINK("https://boxd.it/1YFY","open")</f>
        <v>open</v>
      </c>
      <c r="M1813" s="4" t="str">
        <f aca="false">LOWER(A1813)&amp;"|"&amp;B1813</f>
        <v>primary colors|1998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1</v>
      </c>
      <c r="U1813" s="4" t="n">
        <v>0</v>
      </c>
      <c r="V1813" s="4" t="n">
        <v>0</v>
      </c>
      <c r="W1813" s="4" t="n">
        <v>0</v>
      </c>
    </row>
    <row r="1814" customFormat="false" ht="15" hidden="false" customHeight="false" outlineLevel="0" collapsed="false">
      <c r="A1814" s="4" t="s">
        <v>2146</v>
      </c>
      <c r="B1814" s="4" t="n">
        <v>1969</v>
      </c>
      <c r="C1814" s="4" t="str">
        <f aca="false">FLOOR(B1814,10)&amp;"s"</f>
        <v>1960s</v>
      </c>
      <c r="D1814" s="4" t="s">
        <v>1494</v>
      </c>
      <c r="E1814" s="25" t="str">
        <f aca="false">IF(G1814=1,"✓","")</f>
        <v/>
      </c>
      <c r="F1814" s="4" t="n">
        <v>1</v>
      </c>
      <c r="G1814" s="4" t="n">
        <f aca="false">IF(COUNTIF('Letterboxd Watched'!$E$2:$E$3000,M1814)&gt;0,1,0)</f>
        <v>0</v>
      </c>
      <c r="H1814" s="4" t="n">
        <v>2</v>
      </c>
      <c r="I1814" s="4" t="s">
        <v>213</v>
      </c>
      <c r="J1814" s="4" t="s">
        <v>55</v>
      </c>
      <c r="K1814" s="4" t="s">
        <v>4346</v>
      </c>
      <c r="L1814" s="48" t="str">
        <f aca="false">HYPERLINK("https://boxd.it/23fw","open")</f>
        <v>open</v>
      </c>
      <c r="M1814" s="4" t="str">
        <f aca="false">LOWER(A1814)&amp;"|"&amp;B1814</f>
        <v>the prime of miss jean brodie|1969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1</v>
      </c>
      <c r="U1814" s="4" t="n">
        <v>0</v>
      </c>
      <c r="V1814" s="4" t="n">
        <v>0</v>
      </c>
      <c r="W1814" s="4" t="n">
        <v>0</v>
      </c>
    </row>
    <row r="1815" customFormat="false" ht="15" hidden="false" customHeight="false" outlineLevel="0" collapsed="false">
      <c r="A1815" s="4" t="s">
        <v>512</v>
      </c>
      <c r="B1815" s="4" t="n">
        <v>2004</v>
      </c>
      <c r="C1815" s="4" t="str">
        <f aca="false">FLOOR(B1815,10)&amp;"s"</f>
        <v>2000s</v>
      </c>
      <c r="D1815" s="4" t="s">
        <v>513</v>
      </c>
      <c r="E1815" s="25" t="str">
        <f aca="false">IF(G1815=1,"✓","")</f>
        <v/>
      </c>
      <c r="F1815" s="4" t="n">
        <v>3</v>
      </c>
      <c r="G1815" s="4" t="n">
        <f aca="false">IF(COUNTIF('Letterboxd Watched'!$E$2:$E$3000,M1815)&gt;0,1,0)</f>
        <v>0</v>
      </c>
      <c r="H1815" s="4" t="n">
        <v>7</v>
      </c>
      <c r="I1815" s="4" t="s">
        <v>144</v>
      </c>
      <c r="J1815" s="4" t="s">
        <v>52</v>
      </c>
      <c r="K1815" s="4" t="s">
        <v>5716</v>
      </c>
      <c r="L1815" s="48" t="str">
        <f aca="false">HYPERLINK("https://boxd.it/6YA","open")</f>
        <v>open</v>
      </c>
      <c r="M1815" s="4" t="str">
        <f aca="false">LOWER(A1815)&amp;"|"&amp;B1815</f>
        <v>primer|2004</v>
      </c>
      <c r="N1815" s="4" t="n">
        <v>0</v>
      </c>
      <c r="O1815" s="4" t="n">
        <v>0</v>
      </c>
      <c r="P1815" s="4" t="n">
        <v>0</v>
      </c>
      <c r="Q1815" s="4" t="n">
        <v>1</v>
      </c>
      <c r="R1815" s="4" t="n">
        <v>0</v>
      </c>
      <c r="S1815" s="4" t="n">
        <v>1</v>
      </c>
      <c r="T1815" s="4" t="n">
        <v>1</v>
      </c>
      <c r="U1815" s="4" t="n">
        <v>0</v>
      </c>
      <c r="V1815" s="4" t="n">
        <v>0</v>
      </c>
      <c r="W1815" s="4" t="n">
        <v>0</v>
      </c>
    </row>
    <row r="1816" customFormat="false" ht="15" hidden="false" customHeight="false" outlineLevel="0" collapsed="false">
      <c r="A1816" s="4" t="s">
        <v>1083</v>
      </c>
      <c r="B1816" s="4" t="n">
        <v>1987</v>
      </c>
      <c r="C1816" s="4" t="str">
        <f aca="false">FLOOR(B1816,10)&amp;"s"</f>
        <v>1980s</v>
      </c>
      <c r="D1816" s="4" t="s">
        <v>266</v>
      </c>
      <c r="E1816" s="25" t="str">
        <f aca="false">IF(G1816=1,"✓","")</f>
        <v>✓</v>
      </c>
      <c r="F1816" s="4" t="n">
        <v>2</v>
      </c>
      <c r="G1816" s="4" t="n">
        <f aca="false">IF(COUNTIF('Letterboxd Watched'!$E$2:$E$3000,M1816)&gt;0,1,0)</f>
        <v>1</v>
      </c>
      <c r="H1816" s="4" t="n">
        <v>4</v>
      </c>
      <c r="I1816" s="4" t="s">
        <v>213</v>
      </c>
      <c r="J1816" s="4" t="s">
        <v>52</v>
      </c>
      <c r="K1816" s="4" t="s">
        <v>5717</v>
      </c>
      <c r="L1816" s="48" t="str">
        <f aca="false">HYPERLINK("https://boxd.it/1ZKq","open")</f>
        <v>open</v>
      </c>
      <c r="M1816" s="4" t="str">
        <f aca="false">LOWER(A1816)&amp;"|"&amp;B1816</f>
        <v>prince of darkness|1987</v>
      </c>
      <c r="N1816" s="4" t="n">
        <v>0</v>
      </c>
      <c r="O1816" s="4" t="n">
        <v>0</v>
      </c>
      <c r="P1816" s="4" t="n">
        <v>0</v>
      </c>
      <c r="Q1816" s="4" t="n">
        <v>1</v>
      </c>
      <c r="R1816" s="4" t="n">
        <v>1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</row>
    <row r="1817" customFormat="false" ht="15" hidden="false" customHeight="false" outlineLevel="0" collapsed="false">
      <c r="A1817" s="4" t="s">
        <v>1056</v>
      </c>
      <c r="B1817" s="4" t="n">
        <v>1981</v>
      </c>
      <c r="C1817" s="4" t="str">
        <f aca="false">FLOOR(B1817,10)&amp;"s"</f>
        <v>1980s</v>
      </c>
      <c r="D1817" s="4" t="s">
        <v>189</v>
      </c>
      <c r="E1817" s="25" t="str">
        <f aca="false">IF(G1817=1,"✓","")</f>
        <v/>
      </c>
      <c r="F1817" s="4" t="n">
        <v>2</v>
      </c>
      <c r="G1817" s="4" t="n">
        <f aca="false">IF(COUNTIF('Letterboxd Watched'!$E$2:$E$3000,M1817)&gt;0,1,0)</f>
        <v>0</v>
      </c>
      <c r="H1817" s="4" t="n">
        <v>4</v>
      </c>
      <c r="I1817" s="4" t="s">
        <v>213</v>
      </c>
      <c r="J1817" s="4" t="s">
        <v>52</v>
      </c>
      <c r="K1817" s="4" t="s">
        <v>5718</v>
      </c>
      <c r="L1817" s="48" t="str">
        <f aca="false">HYPERLINK("https://boxd.it/1hQY","open")</f>
        <v>open</v>
      </c>
      <c r="M1817" s="4" t="str">
        <f aca="false">LOWER(A1817)&amp;"|"&amp;B1817</f>
        <v>prince of the city|1981</v>
      </c>
      <c r="N1817" s="4" t="n">
        <v>0</v>
      </c>
      <c r="O1817" s="4" t="n">
        <v>0</v>
      </c>
      <c r="P1817" s="4" t="n">
        <v>0</v>
      </c>
      <c r="Q1817" s="4" t="n">
        <v>1</v>
      </c>
      <c r="R1817" s="4" t="n">
        <v>1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</row>
    <row r="1818" customFormat="false" ht="15" hidden="false" customHeight="false" outlineLevel="0" collapsed="false">
      <c r="A1818" s="4" t="s">
        <v>1085</v>
      </c>
      <c r="B1818" s="4" t="n">
        <v>1987</v>
      </c>
      <c r="C1818" s="4" t="str">
        <f aca="false">FLOOR(B1818,10)&amp;"s"</f>
        <v>1980s</v>
      </c>
      <c r="D1818" s="4" t="s">
        <v>822</v>
      </c>
      <c r="E1818" s="25" t="str">
        <f aca="false">IF(G1818=1,"✓","")</f>
        <v/>
      </c>
      <c r="F1818" s="4" t="n">
        <v>2</v>
      </c>
      <c r="G1818" s="4" t="n">
        <f aca="false">IF(COUNTIF('Letterboxd Watched'!$E$2:$E$3000,M1818)&gt;0,1,0)</f>
        <v>0</v>
      </c>
      <c r="H1818" s="4" t="n">
        <v>4</v>
      </c>
      <c r="I1818" s="4" t="s">
        <v>213</v>
      </c>
      <c r="J1818" s="4" t="s">
        <v>52</v>
      </c>
      <c r="K1818" s="4" t="s">
        <v>5719</v>
      </c>
      <c r="L1818" s="48" t="str">
        <f aca="false">HYPERLINK("https://boxd.it/26EY","open")</f>
        <v>open</v>
      </c>
      <c r="M1818" s="4" t="str">
        <f aca="false">LOWER(A1818)&amp;"|"&amp;B1818</f>
        <v>the princess bride|1987</v>
      </c>
      <c r="N1818" s="4" t="n">
        <v>0</v>
      </c>
      <c r="O1818" s="4" t="n">
        <v>0</v>
      </c>
      <c r="P1818" s="4" t="n">
        <v>0</v>
      </c>
      <c r="Q1818" s="4" t="n">
        <v>1</v>
      </c>
      <c r="R1818" s="4" t="n">
        <v>0</v>
      </c>
      <c r="S1818" s="4" t="n">
        <v>0</v>
      </c>
      <c r="T1818" s="4" t="n">
        <v>0</v>
      </c>
      <c r="U1818" s="4" t="n">
        <v>1</v>
      </c>
      <c r="V1818" s="4" t="n">
        <v>0</v>
      </c>
      <c r="W1818" s="4" t="n">
        <v>0</v>
      </c>
    </row>
    <row r="1819" customFormat="false" ht="15" hidden="false" customHeight="false" outlineLevel="0" collapsed="false">
      <c r="A1819" s="4" t="s">
        <v>2677</v>
      </c>
      <c r="B1819" s="4" t="n">
        <v>1997</v>
      </c>
      <c r="C1819" s="4" t="str">
        <f aca="false">FLOOR(B1819,10)&amp;"s"</f>
        <v>1990s</v>
      </c>
      <c r="D1819" s="4" t="s">
        <v>382</v>
      </c>
      <c r="E1819" s="25" t="str">
        <f aca="false">IF(G1819=1,"✓","")</f>
        <v/>
      </c>
      <c r="F1819" s="4" t="n">
        <v>1</v>
      </c>
      <c r="G1819" s="4" t="n">
        <f aca="false">IF(COUNTIF('Letterboxd Watched'!$E$2:$E$3000,M1819)&gt;0,1,0)</f>
        <v>0</v>
      </c>
      <c r="H1819" s="4" t="n">
        <v>2</v>
      </c>
      <c r="I1819" s="4" t="s">
        <v>213</v>
      </c>
      <c r="J1819" s="4" t="s">
        <v>53</v>
      </c>
      <c r="K1819" s="4" t="s">
        <v>4248</v>
      </c>
      <c r="L1819" s="48" t="str">
        <f aca="false">HYPERLINK("https://boxd.it/2b4w","open")</f>
        <v>open</v>
      </c>
      <c r="M1819" s="4" t="str">
        <f aca="false">LOWER(A1819)&amp;"|"&amp;B1819</f>
        <v>princess mononoke|1997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1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</row>
    <row r="1820" customFormat="false" ht="15" hidden="false" customHeight="false" outlineLevel="0" collapsed="false">
      <c r="A1820" s="4" t="s">
        <v>1209</v>
      </c>
      <c r="B1820" s="4" t="n">
        <v>2013</v>
      </c>
      <c r="C1820" s="4" t="str">
        <f aca="false">FLOOR(B1820,10)&amp;"s"</f>
        <v>2010s</v>
      </c>
      <c r="D1820" s="4" t="s">
        <v>327</v>
      </c>
      <c r="E1820" s="25" t="str">
        <f aca="false">IF(G1820=1,"✓","")</f>
        <v>✓</v>
      </c>
      <c r="F1820" s="4" t="n">
        <v>2</v>
      </c>
      <c r="G1820" s="4" t="n">
        <f aca="false">IF(COUNTIF('Letterboxd Watched'!$E$2:$E$3000,M1820)&gt;0,1,0)</f>
        <v>1</v>
      </c>
      <c r="H1820" s="4" t="n">
        <v>4</v>
      </c>
      <c r="I1820" s="4" t="s">
        <v>213</v>
      </c>
      <c r="J1820" s="4" t="s">
        <v>52</v>
      </c>
      <c r="K1820" s="4" t="s">
        <v>5720</v>
      </c>
      <c r="L1820" s="48" t="str">
        <f aca="false">HYPERLINK("https://boxd.it/4E5i","open")</f>
        <v>open</v>
      </c>
      <c r="M1820" s="4" t="str">
        <f aca="false">LOWER(A1820)&amp;"|"&amp;B1820</f>
        <v>prisoners|2013</v>
      </c>
      <c r="N1820" s="4" t="n">
        <v>0</v>
      </c>
      <c r="O1820" s="4" t="n">
        <v>0</v>
      </c>
      <c r="P1820" s="4" t="n">
        <v>0</v>
      </c>
      <c r="Q1820" s="4" t="n">
        <v>1</v>
      </c>
      <c r="R1820" s="4" t="n">
        <v>1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</row>
    <row r="1821" customFormat="false" ht="15" hidden="false" customHeight="false" outlineLevel="0" collapsed="false">
      <c r="A1821" s="4" t="s">
        <v>3473</v>
      </c>
      <c r="B1821" s="4" t="n">
        <v>1970</v>
      </c>
      <c r="C1821" s="4" t="str">
        <f aca="false">FLOOR(B1821,10)&amp;"s"</f>
        <v>1970s</v>
      </c>
      <c r="D1821" s="4" t="s">
        <v>200</v>
      </c>
      <c r="E1821" s="25" t="str">
        <f aca="false">IF(G1821=1,"✓","")</f>
        <v/>
      </c>
      <c r="F1821" s="4" t="n">
        <v>1</v>
      </c>
      <c r="G1821" s="4" t="n">
        <f aca="false">IF(COUNTIF('Letterboxd Watched'!$E$2:$E$3000,M1821)&gt;0,1,0)</f>
        <v>0</v>
      </c>
      <c r="H1821" s="4" t="n">
        <v>1</v>
      </c>
      <c r="I1821" s="4" t="s">
        <v>1327</v>
      </c>
      <c r="J1821" s="4" t="s">
        <v>53</v>
      </c>
      <c r="K1821" s="4" t="s">
        <v>200</v>
      </c>
      <c r="L1821" s="48" t="str">
        <f aca="false">HYPERLINK("https://boxd.it/23eI","open")</f>
        <v>open</v>
      </c>
      <c r="M1821" s="4" t="str">
        <f aca="false">LOWER(A1821)&amp;"|"&amp;B1821</f>
        <v>the private life of sherlock holmes|1970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1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</row>
    <row r="1822" customFormat="false" ht="15" hidden="false" customHeight="false" outlineLevel="0" collapsed="false">
      <c r="A1822" s="4" t="s">
        <v>2379</v>
      </c>
      <c r="B1822" s="4" t="n">
        <v>1983</v>
      </c>
      <c r="C1822" s="4" t="str">
        <f aca="false">FLOOR(B1822,10)&amp;"s"</f>
        <v>1980s</v>
      </c>
      <c r="D1822" s="4" t="s">
        <v>1531</v>
      </c>
      <c r="E1822" s="25" t="str">
        <f aca="false">IF(G1822=1,"✓","")</f>
        <v/>
      </c>
      <c r="F1822" s="4" t="n">
        <v>1</v>
      </c>
      <c r="G1822" s="4" t="n">
        <f aca="false">IF(COUNTIF('Letterboxd Watched'!$E$2:$E$3000,M1822)&gt;0,1,0)</f>
        <v>0</v>
      </c>
      <c r="H1822" s="4" t="n">
        <v>2</v>
      </c>
      <c r="I1822" s="4" t="s">
        <v>213</v>
      </c>
      <c r="J1822" s="4" t="s">
        <v>51</v>
      </c>
      <c r="K1822" s="4" t="s">
        <v>4012</v>
      </c>
      <c r="L1822" s="48" t="str">
        <f aca="false">HYPERLINK("https://boxd.it/1BLY","open")</f>
        <v>open</v>
      </c>
      <c r="M1822" s="4" t="str">
        <f aca="false">LOWER(A1822)&amp;"|"&amp;B1822</f>
        <v>project a|1983</v>
      </c>
      <c r="N1822" s="4" t="n">
        <v>0</v>
      </c>
      <c r="O1822" s="4" t="n">
        <v>0</v>
      </c>
      <c r="P1822" s="4" t="n">
        <v>1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</row>
    <row r="1823" customFormat="false" ht="15" hidden="false" customHeight="false" outlineLevel="0" collapsed="false">
      <c r="A1823" s="4" t="s">
        <v>2347</v>
      </c>
      <c r="B1823" s="4" t="n">
        <v>1980</v>
      </c>
      <c r="C1823" s="4" t="str">
        <f aca="false">FLOOR(B1823,10)&amp;"s"</f>
        <v>1980s</v>
      </c>
      <c r="D1823" s="4" t="s">
        <v>2348</v>
      </c>
      <c r="E1823" s="25" t="str">
        <f aca="false">IF(G1823=1,"✓","")</f>
        <v/>
      </c>
      <c r="F1823" s="4" t="n">
        <v>1</v>
      </c>
      <c r="G1823" s="4" t="n">
        <f aca="false">IF(COUNTIF('Letterboxd Watched'!$E$2:$E$3000,M1823)&gt;0,1,0)</f>
        <v>0</v>
      </c>
      <c r="H1823" s="4" t="n">
        <v>2</v>
      </c>
      <c r="I1823" s="4" t="s">
        <v>213</v>
      </c>
      <c r="J1823" s="4" t="s">
        <v>56</v>
      </c>
      <c r="K1823" s="4" t="s">
        <v>4408</v>
      </c>
      <c r="L1823" s="48" t="str">
        <f aca="false">HYPERLINK("https://boxd.it/1aeS","open")</f>
        <v>open</v>
      </c>
      <c r="M1823" s="4" t="str">
        <f aca="false">LOWER(A1823)&amp;"|"&amp;B1823</f>
        <v>prom night|1980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1</v>
      </c>
      <c r="V1823" s="4" t="n">
        <v>0</v>
      </c>
      <c r="W1823" s="4" t="n">
        <v>0</v>
      </c>
    </row>
    <row r="1824" customFormat="false" ht="15" hidden="false" customHeight="false" outlineLevel="0" collapsed="false">
      <c r="A1824" s="4" t="s">
        <v>1188</v>
      </c>
      <c r="B1824" s="4" t="n">
        <v>2009</v>
      </c>
      <c r="C1824" s="4" t="str">
        <f aca="false">FLOOR(B1824,10)&amp;"s"</f>
        <v>2000s</v>
      </c>
      <c r="D1824" s="4" t="s">
        <v>1189</v>
      </c>
      <c r="E1824" s="25" t="str">
        <f aca="false">IF(G1824=1,"✓","")</f>
        <v/>
      </c>
      <c r="F1824" s="4" t="n">
        <v>2</v>
      </c>
      <c r="G1824" s="4" t="n">
        <f aca="false">IF(COUNTIF('Letterboxd Watched'!$E$2:$E$3000,M1824)&gt;0,1,0)</f>
        <v>0</v>
      </c>
      <c r="H1824" s="4" t="n">
        <v>4</v>
      </c>
      <c r="I1824" s="4" t="s">
        <v>213</v>
      </c>
      <c r="J1824" s="4" t="s">
        <v>51</v>
      </c>
      <c r="K1824" s="4" t="s">
        <v>5721</v>
      </c>
      <c r="L1824" s="48" t="str">
        <f aca="false">HYPERLINK("https://boxd.it/1BGE","open")</f>
        <v>open</v>
      </c>
      <c r="M1824" s="4" t="str">
        <f aca="false">LOWER(A1824)&amp;"|"&amp;B1824</f>
        <v>a prophet|2009</v>
      </c>
      <c r="N1824" s="4" t="n">
        <v>0</v>
      </c>
      <c r="O1824" s="4" t="n">
        <v>0</v>
      </c>
      <c r="P1824" s="4" t="n">
        <v>1</v>
      </c>
      <c r="Q1824" s="4" t="n">
        <v>0</v>
      </c>
      <c r="R1824" s="4" t="n">
        <v>0</v>
      </c>
      <c r="S1824" s="4" t="n">
        <v>0</v>
      </c>
      <c r="T1824" s="4" t="n">
        <v>1</v>
      </c>
      <c r="U1824" s="4" t="n">
        <v>0</v>
      </c>
      <c r="V1824" s="4" t="n">
        <v>0</v>
      </c>
      <c r="W1824" s="4" t="n">
        <v>0</v>
      </c>
    </row>
    <row r="1825" customFormat="false" ht="15" hidden="false" customHeight="false" outlineLevel="0" collapsed="false">
      <c r="A1825" s="4" t="s">
        <v>3308</v>
      </c>
      <c r="B1825" s="4" t="n">
        <v>1930</v>
      </c>
      <c r="C1825" s="4" t="str">
        <f aca="false">FLOOR(B1825,10)&amp;"s"</f>
        <v>1930s</v>
      </c>
      <c r="D1825" s="4" t="s">
        <v>732</v>
      </c>
      <c r="E1825" s="25" t="str">
        <f aca="false">IF(G1825=1,"✓","")</f>
        <v/>
      </c>
      <c r="F1825" s="4" t="n">
        <v>1</v>
      </c>
      <c r="G1825" s="4" t="n">
        <f aca="false">IF(COUNTIF('Letterboxd Watched'!$E$2:$E$3000,M1825)&gt;0,1,0)</f>
        <v>0</v>
      </c>
      <c r="H1825" s="4" t="n">
        <v>1</v>
      </c>
      <c r="I1825" s="4" t="s">
        <v>1327</v>
      </c>
      <c r="J1825" s="4" t="s">
        <v>52</v>
      </c>
      <c r="K1825" s="4" t="s">
        <v>4170</v>
      </c>
      <c r="L1825" s="48" t="str">
        <f aca="false">HYPERLINK("https://letterboxd.com/search/films/À+propos+de+Nice+1930/","open")</f>
        <v>open</v>
      </c>
      <c r="M1825" s="4" t="str">
        <f aca="false">LOWER(A1825)&amp;"|"&amp;B1825</f>
        <v>à propos de nice|1930</v>
      </c>
      <c r="N1825" s="4" t="n">
        <v>0</v>
      </c>
      <c r="O1825" s="4" t="n">
        <v>0</v>
      </c>
      <c r="P1825" s="4" t="n">
        <v>0</v>
      </c>
      <c r="Q1825" s="4" t="n">
        <v>1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</row>
    <row r="1826" customFormat="false" ht="15" hidden="false" customHeight="false" outlineLevel="0" collapsed="false">
      <c r="A1826" s="4" t="s">
        <v>3590</v>
      </c>
      <c r="B1826" s="4" t="n">
        <v>1981</v>
      </c>
      <c r="C1826" s="4" t="str">
        <f aca="false">FLOOR(B1826,10)&amp;"s"</f>
        <v>1980s</v>
      </c>
      <c r="D1826" s="4" t="s">
        <v>3591</v>
      </c>
      <c r="E1826" s="25" t="str">
        <f aca="false">IF(G1826=1,"✓","")</f>
        <v/>
      </c>
      <c r="F1826" s="4" t="n">
        <v>1</v>
      </c>
      <c r="G1826" s="4" t="n">
        <f aca="false">IF(COUNTIF('Letterboxd Watched'!$E$2:$E$3000,M1826)&gt;0,1,0)</f>
        <v>0</v>
      </c>
      <c r="H1826" s="4" t="n">
        <v>1</v>
      </c>
      <c r="I1826" s="4" t="s">
        <v>1327</v>
      </c>
      <c r="J1826" s="4" t="s">
        <v>52</v>
      </c>
      <c r="K1826" s="4" t="s">
        <v>4070</v>
      </c>
      <c r="L1826" s="48" t="str">
        <f aca="false">HYPERLINK("https://boxd.it/Sr0","open")</f>
        <v>open</v>
      </c>
      <c r="M1826" s="4" t="str">
        <f aca="false">LOWER(A1826)&amp;"|"&amp;B1826</f>
        <v>the prowler|1981</v>
      </c>
      <c r="N1826" s="4" t="n">
        <v>0</v>
      </c>
      <c r="O1826" s="4" t="n">
        <v>0</v>
      </c>
      <c r="P1826" s="4" t="n">
        <v>0</v>
      </c>
      <c r="Q1826" s="4" t="n">
        <v>1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</row>
    <row r="1827" customFormat="false" ht="15" hidden="false" customHeight="false" outlineLevel="0" collapsed="false">
      <c r="A1827" s="4" t="s">
        <v>177</v>
      </c>
      <c r="B1827" s="4" t="n">
        <v>1960</v>
      </c>
      <c r="C1827" s="4" t="str">
        <f aca="false">FLOOR(B1827,10)&amp;"s"</f>
        <v>1960s</v>
      </c>
      <c r="D1827" s="4" t="s">
        <v>162</v>
      </c>
      <c r="E1827" s="25" t="str">
        <f aca="false">IF(G1827=1,"✓","")</f>
        <v>✓</v>
      </c>
      <c r="F1827" s="4" t="n">
        <v>8</v>
      </c>
      <c r="G1827" s="4" t="n">
        <f aca="false">IF(COUNTIF('Letterboxd Watched'!$E$2:$E$3000,M1827)&gt;0,1,0)</f>
        <v>1</v>
      </c>
      <c r="H1827" s="4" t="n">
        <v>18</v>
      </c>
      <c r="I1827" s="4" t="s">
        <v>144</v>
      </c>
      <c r="J1827" s="4" t="s">
        <v>49</v>
      </c>
      <c r="K1827" s="4" t="s">
        <v>5722</v>
      </c>
      <c r="L1827" s="48" t="str">
        <f aca="false">HYPERLINK("https://boxd.it/2ab2","open")</f>
        <v>open</v>
      </c>
      <c r="M1827" s="4" t="str">
        <f aca="false">LOWER(A1827)&amp;"|"&amp;B1827</f>
        <v>psycho|1960</v>
      </c>
      <c r="N1827" s="4" t="n">
        <v>1</v>
      </c>
      <c r="O1827" s="4" t="n">
        <v>0</v>
      </c>
      <c r="P1827" s="4" t="n">
        <v>0</v>
      </c>
      <c r="Q1827" s="4" t="n">
        <v>1</v>
      </c>
      <c r="R1827" s="4" t="n">
        <v>1</v>
      </c>
      <c r="S1827" s="4" t="n">
        <v>1</v>
      </c>
      <c r="T1827" s="4" t="n">
        <v>0</v>
      </c>
      <c r="U1827" s="4" t="n">
        <v>0</v>
      </c>
      <c r="V1827" s="4" t="n">
        <v>1</v>
      </c>
      <c r="W1827" s="4" t="n">
        <v>0</v>
      </c>
    </row>
    <row r="1828" customFormat="false" ht="15" hidden="false" customHeight="false" outlineLevel="0" collapsed="false">
      <c r="A1828" s="4" t="s">
        <v>3737</v>
      </c>
      <c r="B1828" s="4" t="n">
        <v>2003</v>
      </c>
      <c r="C1828" s="4" t="str">
        <f aca="false">FLOOR(B1828,10)&amp;"s"</f>
        <v>2000s</v>
      </c>
      <c r="D1828" s="4" t="s">
        <v>3738</v>
      </c>
      <c r="E1828" s="25" t="str">
        <f aca="false">IF(G1828=1,"✓","")</f>
        <v/>
      </c>
      <c r="F1828" s="4" t="n">
        <v>1</v>
      </c>
      <c r="G1828" s="4" t="n">
        <f aca="false">IF(COUNTIF('Letterboxd Watched'!$E$2:$E$3000,M1828)&gt;0,1,0)</f>
        <v>0</v>
      </c>
      <c r="H1828" s="4" t="n">
        <v>1</v>
      </c>
      <c r="I1828" s="4" t="s">
        <v>1327</v>
      </c>
      <c r="J1828" s="4" t="s">
        <v>51</v>
      </c>
      <c r="K1828" s="4" t="s">
        <v>4012</v>
      </c>
      <c r="L1828" s="48" t="str">
        <f aca="false">HYPERLINK("https://letterboxd.com/search/films/PTU+2003/","open")</f>
        <v>open</v>
      </c>
      <c r="M1828" s="4" t="str">
        <f aca="false">LOWER(A1828)&amp;"|"&amp;B1828</f>
        <v>ptu|2003</v>
      </c>
      <c r="N1828" s="4" t="n">
        <v>0</v>
      </c>
      <c r="O1828" s="4" t="n">
        <v>0</v>
      </c>
      <c r="P1828" s="4" t="n">
        <v>1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</row>
    <row r="1829" customFormat="false" ht="15" hidden="false" customHeight="false" outlineLevel="0" collapsed="false">
      <c r="A1829" s="4" t="s">
        <v>563</v>
      </c>
      <c r="B1829" s="4" t="n">
        <v>1931</v>
      </c>
      <c r="C1829" s="4" t="str">
        <f aca="false">FLOOR(B1829,10)&amp;"s"</f>
        <v>1930s</v>
      </c>
      <c r="D1829" s="4" t="s">
        <v>564</v>
      </c>
      <c r="E1829" s="25" t="str">
        <f aca="false">IF(G1829=1,"✓","")</f>
        <v/>
      </c>
      <c r="F1829" s="4" t="n">
        <v>3</v>
      </c>
      <c r="G1829" s="4" t="n">
        <f aca="false">IF(COUNTIF('Letterboxd Watched'!$E$2:$E$3000,M1829)&gt;0,1,0)</f>
        <v>0</v>
      </c>
      <c r="H1829" s="4" t="n">
        <v>6</v>
      </c>
      <c r="I1829" s="4" t="s">
        <v>213</v>
      </c>
      <c r="J1829" s="4" t="s">
        <v>50</v>
      </c>
      <c r="K1829" s="4" t="s">
        <v>5723</v>
      </c>
      <c r="L1829" s="48" t="str">
        <f aca="false">HYPERLINK("https://boxd.it/1IdY","open")</f>
        <v>open</v>
      </c>
      <c r="M1829" s="4" t="str">
        <f aca="false">LOWER(A1829)&amp;"|"&amp;B1829</f>
        <v>the public enemy|1931</v>
      </c>
      <c r="N1829" s="4" t="n">
        <v>0</v>
      </c>
      <c r="O1829" s="4" t="n">
        <v>1</v>
      </c>
      <c r="P1829" s="4" t="n">
        <v>0</v>
      </c>
      <c r="Q1829" s="4" t="n">
        <v>1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1</v>
      </c>
      <c r="W1829" s="4" t="n">
        <v>0</v>
      </c>
    </row>
    <row r="1830" customFormat="false" ht="15" hidden="false" customHeight="false" outlineLevel="0" collapsed="false">
      <c r="A1830" s="4" t="s">
        <v>2843</v>
      </c>
      <c r="B1830" s="4" t="n">
        <v>2005</v>
      </c>
      <c r="C1830" s="4" t="str">
        <f aca="false">FLOOR(B1830,10)&amp;"s"</f>
        <v>2000s</v>
      </c>
      <c r="D1830" s="4" t="s">
        <v>2844</v>
      </c>
      <c r="E1830" s="25" t="str">
        <f aca="false">IF(G1830=1,"✓","")</f>
        <v/>
      </c>
      <c r="F1830" s="4" t="n">
        <v>1</v>
      </c>
      <c r="G1830" s="4" t="n">
        <f aca="false">IF(COUNTIF('Letterboxd Watched'!$E$2:$E$3000,M1830)&gt;0,1,0)</f>
        <v>0</v>
      </c>
      <c r="H1830" s="4" t="n">
        <v>2</v>
      </c>
      <c r="I1830" s="4" t="s">
        <v>213</v>
      </c>
      <c r="J1830" s="4" t="s">
        <v>54</v>
      </c>
      <c r="K1830" s="4" t="s">
        <v>4312</v>
      </c>
      <c r="L1830" s="48" t="str">
        <f aca="false">HYPERLINK("https://boxd.it/1yp6","open")</f>
        <v>open</v>
      </c>
      <c r="M1830" s="4" t="str">
        <f aca="false">LOWER(A1830)&amp;"|"&amp;B1830</f>
        <v>the puffy chair|2005</v>
      </c>
      <c r="N1830" s="4" t="n">
        <v>0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1</v>
      </c>
      <c r="T1830" s="4" t="n">
        <v>0</v>
      </c>
      <c r="U1830" s="4" t="n">
        <v>0</v>
      </c>
      <c r="V1830" s="4" t="n">
        <v>0</v>
      </c>
      <c r="W1830" s="4" t="n">
        <v>0</v>
      </c>
    </row>
    <row r="1831" customFormat="false" ht="15" hidden="false" customHeight="false" outlineLevel="0" collapsed="false">
      <c r="A1831" s="4" t="s">
        <v>207</v>
      </c>
      <c r="B1831" s="4" t="n">
        <v>1994</v>
      </c>
      <c r="C1831" s="4" t="str">
        <f aca="false">FLOOR(B1831,10)&amp;"s"</f>
        <v>1990s</v>
      </c>
      <c r="D1831" s="4" t="s">
        <v>208</v>
      </c>
      <c r="E1831" s="25" t="str">
        <f aca="false">IF(G1831=1,"✓","")</f>
        <v>✓</v>
      </c>
      <c r="F1831" s="4" t="n">
        <v>6</v>
      </c>
      <c r="G1831" s="4" t="n">
        <f aca="false">IF(COUNTIF('Letterboxd Watched'!$E$2:$E$3000,M1831)&gt;0,1,0)</f>
        <v>1</v>
      </c>
      <c r="H1831" s="4" t="n">
        <v>15</v>
      </c>
      <c r="I1831" s="4" t="s">
        <v>144</v>
      </c>
      <c r="J1831" s="4" t="s">
        <v>49</v>
      </c>
      <c r="K1831" s="4" t="s">
        <v>5724</v>
      </c>
      <c r="L1831" s="48" t="str">
        <f aca="false">HYPERLINK("https://boxd.it/29Pq","open")</f>
        <v>open</v>
      </c>
      <c r="M1831" s="4" t="str">
        <f aca="false">LOWER(A1831)&amp;"|"&amp;B1831</f>
        <v>pulp fiction|1994</v>
      </c>
      <c r="N1831" s="4" t="n">
        <v>1</v>
      </c>
      <c r="O1831" s="4" t="n">
        <v>0</v>
      </c>
      <c r="P1831" s="4" t="n">
        <v>0</v>
      </c>
      <c r="Q1831" s="4" t="n">
        <v>0</v>
      </c>
      <c r="R1831" s="4" t="n">
        <v>1</v>
      </c>
      <c r="S1831" s="4" t="n">
        <v>1</v>
      </c>
      <c r="T1831" s="4" t="n">
        <v>0</v>
      </c>
      <c r="U1831" s="4" t="n">
        <v>0</v>
      </c>
      <c r="V1831" s="4" t="n">
        <v>1</v>
      </c>
      <c r="W1831" s="4" t="n">
        <v>0</v>
      </c>
    </row>
    <row r="1832" customFormat="false" ht="15" hidden="false" customHeight="false" outlineLevel="0" collapsed="false">
      <c r="A1832" s="4" t="s">
        <v>714</v>
      </c>
      <c r="B1832" s="4" t="n">
        <v>2001</v>
      </c>
      <c r="C1832" s="4" t="str">
        <f aca="false">FLOOR(B1832,10)&amp;"s"</f>
        <v>2000s</v>
      </c>
      <c r="D1832" s="4" t="s">
        <v>505</v>
      </c>
      <c r="E1832" s="25" t="str">
        <f aca="false">IF(G1832=1,"✓","")</f>
        <v/>
      </c>
      <c r="F1832" s="4" t="n">
        <v>3</v>
      </c>
      <c r="G1832" s="4" t="n">
        <f aca="false">IF(COUNTIF('Letterboxd Watched'!$E$2:$E$3000,M1832)&gt;0,1,0)</f>
        <v>0</v>
      </c>
      <c r="H1832" s="4" t="n">
        <v>5</v>
      </c>
      <c r="I1832" s="4" t="s">
        <v>213</v>
      </c>
      <c r="J1832" s="4" t="s">
        <v>52</v>
      </c>
      <c r="K1832" s="4" t="s">
        <v>5725</v>
      </c>
      <c r="L1832" s="48" t="str">
        <f aca="false">HYPERLINK("https://boxd.it/1s3y","open")</f>
        <v>open</v>
      </c>
      <c r="M1832" s="4" t="str">
        <f aca="false">LOWER(A1832)&amp;"|"&amp;B1832</f>
        <v>pulse|2001</v>
      </c>
      <c r="N1832" s="4" t="n">
        <v>0</v>
      </c>
      <c r="O1832" s="4" t="n">
        <v>0</v>
      </c>
      <c r="P1832" s="4" t="n">
        <v>0</v>
      </c>
      <c r="Q1832" s="4" t="n">
        <v>1</v>
      </c>
      <c r="R1832" s="4" t="n">
        <v>0</v>
      </c>
      <c r="S1832" s="4" t="n">
        <v>0</v>
      </c>
      <c r="T1832" s="4" t="n">
        <v>1</v>
      </c>
      <c r="U1832" s="4" t="n">
        <v>0</v>
      </c>
      <c r="V1832" s="4" t="n">
        <v>1</v>
      </c>
      <c r="W1832" s="4" t="n">
        <v>0</v>
      </c>
    </row>
    <row r="1833" customFormat="false" ht="15" hidden="false" customHeight="false" outlineLevel="0" collapsed="false">
      <c r="A1833" s="4" t="s">
        <v>852</v>
      </c>
      <c r="B1833" s="4" t="n">
        <v>2002</v>
      </c>
      <c r="C1833" s="4" t="str">
        <f aca="false">FLOOR(B1833,10)&amp;"s"</f>
        <v>2000s</v>
      </c>
      <c r="D1833" s="4" t="s">
        <v>278</v>
      </c>
      <c r="E1833" s="25" t="str">
        <f aca="false">IF(G1833=1,"✓","")</f>
        <v>✓</v>
      </c>
      <c r="F1833" s="4" t="n">
        <v>2</v>
      </c>
      <c r="G1833" s="4" t="n">
        <f aca="false">IF(COUNTIF('Letterboxd Watched'!$E$2:$E$3000,M1833)&gt;0,1,0)</f>
        <v>1</v>
      </c>
      <c r="H1833" s="4" t="n">
        <v>5</v>
      </c>
      <c r="I1833" s="4" t="s">
        <v>144</v>
      </c>
      <c r="J1833" s="4" t="s">
        <v>52</v>
      </c>
      <c r="K1833" s="4" t="s">
        <v>5726</v>
      </c>
      <c r="L1833" s="48" t="str">
        <f aca="false">HYPERLINK("https://boxd.it/20E4","open")</f>
        <v>open</v>
      </c>
      <c r="M1833" s="4" t="str">
        <f aca="false">LOWER(A1833)&amp;"|"&amp;B1833</f>
        <v>punch-drunk love|2002</v>
      </c>
      <c r="N1833" s="4" t="n">
        <v>0</v>
      </c>
      <c r="O1833" s="4" t="n">
        <v>0</v>
      </c>
      <c r="P1833" s="4" t="n">
        <v>0</v>
      </c>
      <c r="Q1833" s="4" t="n">
        <v>1</v>
      </c>
      <c r="R1833" s="4" t="n">
        <v>1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 customFormat="false" ht="15" hidden="false" customHeight="false" outlineLevel="0" collapsed="false">
      <c r="A1834" s="4" t="s">
        <v>3490</v>
      </c>
      <c r="B1834" s="4" t="n">
        <v>1971</v>
      </c>
      <c r="C1834" s="4" t="str">
        <f aca="false">FLOOR(B1834,10)&amp;"s"</f>
        <v>1970s</v>
      </c>
      <c r="D1834" s="4" t="s">
        <v>1335</v>
      </c>
      <c r="E1834" s="25" t="str">
        <f aca="false">IF(G1834=1,"✓","")</f>
        <v/>
      </c>
      <c r="F1834" s="4" t="n">
        <v>1</v>
      </c>
      <c r="G1834" s="4" t="n">
        <f aca="false">IF(COUNTIF('Letterboxd Watched'!$E$2:$E$3000,M1834)&gt;0,1,0)</f>
        <v>0</v>
      </c>
      <c r="H1834" s="4" t="n">
        <v>1</v>
      </c>
      <c r="I1834" s="4" t="s">
        <v>1327</v>
      </c>
      <c r="J1834" s="4" t="s">
        <v>52</v>
      </c>
      <c r="K1834" s="4" t="s">
        <v>4092</v>
      </c>
      <c r="L1834" s="48" t="str">
        <f aca="false">HYPERLINK("https://boxd.it/1tJK","open")</f>
        <v>open</v>
      </c>
      <c r="M1834" s="4" t="str">
        <f aca="false">LOWER(A1834)&amp;"|"&amp;B1834</f>
        <v>punishment park|1971</v>
      </c>
      <c r="N1834" s="4" t="n">
        <v>0</v>
      </c>
      <c r="O1834" s="4" t="n">
        <v>0</v>
      </c>
      <c r="P1834" s="4" t="n">
        <v>0</v>
      </c>
      <c r="Q1834" s="4" t="n">
        <v>1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</row>
    <row r="1835" customFormat="false" ht="15" hidden="false" customHeight="false" outlineLevel="0" collapsed="false">
      <c r="A1835" s="4" t="s">
        <v>2563</v>
      </c>
      <c r="B1835" s="4" t="n">
        <v>1993</v>
      </c>
      <c r="C1835" s="4" t="str">
        <f aca="false">FLOOR(B1835,10)&amp;"s"</f>
        <v>1990s</v>
      </c>
      <c r="D1835" s="4" t="s">
        <v>492</v>
      </c>
      <c r="E1835" s="25" t="str">
        <f aca="false">IF(G1835=1,"✓","")</f>
        <v/>
      </c>
      <c r="F1835" s="4" t="n">
        <v>1</v>
      </c>
      <c r="G1835" s="4" t="n">
        <f aca="false">IF(COUNTIF('Letterboxd Watched'!$E$2:$E$3000,M1835)&gt;0,1,0)</f>
        <v>0</v>
      </c>
      <c r="H1835" s="4" t="n">
        <v>2</v>
      </c>
      <c r="I1835" s="4" t="s">
        <v>213</v>
      </c>
      <c r="J1835" s="4" t="s">
        <v>51</v>
      </c>
      <c r="K1835" s="4" t="s">
        <v>4018</v>
      </c>
      <c r="L1835" s="48" t="str">
        <f aca="false">HYPERLINK("https://boxd.it/3lA0","open")</f>
        <v>open</v>
      </c>
      <c r="M1835" s="4" t="str">
        <f aca="false">LOWER(A1835)&amp;"|"&amp;B1835</f>
        <v>the puppetmaster|1993</v>
      </c>
      <c r="N1835" s="4" t="n">
        <v>0</v>
      </c>
      <c r="O1835" s="4" t="n">
        <v>0</v>
      </c>
      <c r="P1835" s="4" t="n">
        <v>1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</row>
    <row r="1836" customFormat="false" ht="15" hidden="false" customHeight="false" outlineLevel="0" collapsed="false">
      <c r="A1836" s="4" t="s">
        <v>3463</v>
      </c>
      <c r="B1836" s="4" t="n">
        <v>1969</v>
      </c>
      <c r="C1836" s="4" t="str">
        <f aca="false">FLOOR(B1836,10)&amp;"s"</f>
        <v>1960s</v>
      </c>
      <c r="D1836" s="4" t="s">
        <v>2200</v>
      </c>
      <c r="E1836" s="25" t="str">
        <f aca="false">IF(G1836=1,"✓","")</f>
        <v/>
      </c>
      <c r="F1836" s="4" t="n">
        <v>1</v>
      </c>
      <c r="G1836" s="4" t="n">
        <f aca="false">IF(COUNTIF('Letterboxd Watched'!$E$2:$E$3000,M1836)&gt;0,1,0)</f>
        <v>0</v>
      </c>
      <c r="H1836" s="4" t="n">
        <v>1</v>
      </c>
      <c r="I1836" s="4" t="s">
        <v>1327</v>
      </c>
      <c r="J1836" s="4" t="s">
        <v>52</v>
      </c>
      <c r="K1836" s="4" t="s">
        <v>4100</v>
      </c>
      <c r="L1836" s="48" t="str">
        <f aca="false">HYPERLINK("https://boxd.it/1gV4","open")</f>
        <v>open</v>
      </c>
      <c r="M1836" s="4" t="str">
        <f aca="false">LOWER(A1836)&amp;"|"&amp;B1836</f>
        <v>putney swope|1969</v>
      </c>
      <c r="N1836" s="4" t="n">
        <v>0</v>
      </c>
      <c r="O1836" s="4" t="n">
        <v>0</v>
      </c>
      <c r="P1836" s="4" t="n">
        <v>0</v>
      </c>
      <c r="Q1836" s="4" t="n">
        <v>1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</row>
    <row r="1837" customFormat="false" ht="15" hidden="false" customHeight="false" outlineLevel="0" collapsed="false">
      <c r="A1837" s="4" t="s">
        <v>1448</v>
      </c>
      <c r="B1837" s="4" t="n">
        <v>1957</v>
      </c>
      <c r="C1837" s="4" t="str">
        <f aca="false">FLOOR(B1837,10)&amp;"s"</f>
        <v>1950s</v>
      </c>
      <c r="D1837" s="4" t="s">
        <v>1449</v>
      </c>
      <c r="E1837" s="25" t="str">
        <f aca="false">IF(G1837=1,"✓","")</f>
        <v/>
      </c>
      <c r="F1837" s="4" t="n">
        <v>1</v>
      </c>
      <c r="G1837" s="4" t="n">
        <f aca="false">IF(COUNTIF('Letterboxd Watched'!$E$2:$E$3000,M1837)&gt;0,1,0)</f>
        <v>0</v>
      </c>
      <c r="H1837" s="4" t="n">
        <v>3</v>
      </c>
      <c r="I1837" s="4" t="s">
        <v>144</v>
      </c>
      <c r="J1837" s="4" t="s">
        <v>51</v>
      </c>
      <c r="K1837" s="4" t="s">
        <v>4028</v>
      </c>
      <c r="L1837" s="48" t="str">
        <f aca="false">HYPERLINK("https://boxd.it/10iq","open")</f>
        <v>open</v>
      </c>
      <c r="M1837" s="4" t="str">
        <f aca="false">LOWER(A1837)&amp;"|"&amp;B1837</f>
        <v>pyaasa|1957</v>
      </c>
      <c r="N1837" s="4" t="n">
        <v>0</v>
      </c>
      <c r="O1837" s="4" t="n">
        <v>0</v>
      </c>
      <c r="P1837" s="4" t="n">
        <v>1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 customFormat="false" ht="15" hidden="false" customHeight="false" outlineLevel="0" collapsed="false">
      <c r="A1838" s="4" t="s">
        <v>3662</v>
      </c>
      <c r="B1838" s="4" t="n">
        <v>1990</v>
      </c>
      <c r="C1838" s="4" t="str">
        <f aca="false">FLOOR(B1838,10)&amp;"s"</f>
        <v>1990s</v>
      </c>
      <c r="D1838" s="4" t="s">
        <v>189</v>
      </c>
      <c r="E1838" s="25" t="str">
        <f aca="false">IF(G1838=1,"✓","")</f>
        <v/>
      </c>
      <c r="F1838" s="4" t="n">
        <v>1</v>
      </c>
      <c r="G1838" s="4" t="n">
        <f aca="false">IF(COUNTIF('Letterboxd Watched'!$E$2:$E$3000,M1838)&gt;0,1,0)</f>
        <v>0</v>
      </c>
      <c r="H1838" s="4" t="n">
        <v>1</v>
      </c>
      <c r="I1838" s="4" t="s">
        <v>1327</v>
      </c>
      <c r="J1838" s="4" t="s">
        <v>53</v>
      </c>
      <c r="K1838" s="4" t="s">
        <v>189</v>
      </c>
      <c r="L1838" s="48" t="str">
        <f aca="false">HYPERLINK("https://boxd.it/1iK8","open")</f>
        <v>open</v>
      </c>
      <c r="M1838" s="4" t="str">
        <f aca="false">LOWER(A1838)&amp;"|"&amp;B1838</f>
        <v>q &amp; a|1990</v>
      </c>
      <c r="N1838" s="4" t="n">
        <v>0</v>
      </c>
      <c r="O1838" s="4" t="n">
        <v>0</v>
      </c>
      <c r="P1838" s="4" t="n">
        <v>0</v>
      </c>
      <c r="Q1838" s="4" t="n">
        <v>0</v>
      </c>
      <c r="R1838" s="4" t="n">
        <v>1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</row>
    <row r="1839" customFormat="false" ht="15" hidden="false" customHeight="false" outlineLevel="0" collapsed="false">
      <c r="A1839" s="4" t="s">
        <v>1518</v>
      </c>
      <c r="B1839" s="4" t="n">
        <v>1979</v>
      </c>
      <c r="C1839" s="4" t="str">
        <f aca="false">FLOOR(B1839,10)&amp;"s"</f>
        <v>1970s</v>
      </c>
      <c r="D1839" s="4" t="s">
        <v>1519</v>
      </c>
      <c r="E1839" s="25" t="str">
        <f aca="false">IF(G1839=1,"✓","")</f>
        <v/>
      </c>
      <c r="F1839" s="4" t="n">
        <v>1</v>
      </c>
      <c r="G1839" s="4" t="n">
        <f aca="false">IF(COUNTIF('Letterboxd Watched'!$E$2:$E$3000,M1839)&gt;0,1,0)</f>
        <v>0</v>
      </c>
      <c r="H1839" s="4" t="n">
        <v>3</v>
      </c>
      <c r="I1839" s="4" t="s">
        <v>144</v>
      </c>
      <c r="J1839" s="4" t="s">
        <v>56</v>
      </c>
      <c r="K1839" s="4" t="s">
        <v>4396</v>
      </c>
      <c r="L1839" s="48" t="str">
        <f aca="false">HYPERLINK("https://boxd.it/1Wqs","open")</f>
        <v>open</v>
      </c>
      <c r="M1839" s="4" t="str">
        <f aca="false">LOWER(A1839)&amp;"|"&amp;B1839</f>
        <v>quadrophenia|1979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1</v>
      </c>
      <c r="V1839" s="4" t="n">
        <v>0</v>
      </c>
      <c r="W1839" s="4" t="n">
        <v>0</v>
      </c>
    </row>
    <row r="1840" customFormat="false" ht="15" hidden="false" customHeight="false" outlineLevel="0" collapsed="false">
      <c r="A1840" s="4" t="s">
        <v>2102</v>
      </c>
      <c r="B1840" s="4" t="n">
        <v>1967</v>
      </c>
      <c r="C1840" s="4" t="str">
        <f aca="false">FLOOR(B1840,10)&amp;"s"</f>
        <v>1960s</v>
      </c>
      <c r="D1840" s="4" t="s">
        <v>2103</v>
      </c>
      <c r="E1840" s="25" t="str">
        <f aca="false">IF(G1840=1,"✓","")</f>
        <v/>
      </c>
      <c r="F1840" s="4" t="n">
        <v>1</v>
      </c>
      <c r="G1840" s="4" t="n">
        <f aca="false">IF(COUNTIF('Letterboxd Watched'!$E$2:$E$3000,M1840)&gt;0,1,0)</f>
        <v>0</v>
      </c>
      <c r="H1840" s="4" t="n">
        <v>2</v>
      </c>
      <c r="I1840" s="4" t="s">
        <v>213</v>
      </c>
      <c r="J1840" s="4" t="s">
        <v>52</v>
      </c>
      <c r="K1840" s="4" t="s">
        <v>4062</v>
      </c>
      <c r="L1840" s="48" t="str">
        <f aca="false">HYPERLINK("https://letterboxd.com/search/films/Quatermass+and+the+Pit+1967/","open")</f>
        <v>open</v>
      </c>
      <c r="M1840" s="4" t="str">
        <f aca="false">LOWER(A1840)&amp;"|"&amp;B1840</f>
        <v>quatermass and the pit|1967</v>
      </c>
      <c r="N1840" s="4" t="n">
        <v>0</v>
      </c>
      <c r="O1840" s="4" t="n">
        <v>0</v>
      </c>
      <c r="P1840" s="4" t="n">
        <v>0</v>
      </c>
      <c r="Q1840" s="4" t="n">
        <v>1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</row>
    <row r="1841" customFormat="false" ht="15" hidden="false" customHeight="false" outlineLevel="0" collapsed="false">
      <c r="A1841" s="4" t="s">
        <v>1921</v>
      </c>
      <c r="B1841" s="4" t="n">
        <v>1955</v>
      </c>
      <c r="C1841" s="4" t="str">
        <f aca="false">FLOOR(B1841,10)&amp;"s"</f>
        <v>1950s</v>
      </c>
      <c r="D1841" s="4" t="s">
        <v>1922</v>
      </c>
      <c r="E1841" s="25" t="str">
        <f aca="false">IF(G1841=1,"✓","")</f>
        <v/>
      </c>
      <c r="F1841" s="4" t="n">
        <v>1</v>
      </c>
      <c r="G1841" s="4" t="n">
        <f aca="false">IF(COUNTIF('Letterboxd Watched'!$E$2:$E$3000,M1841)&gt;0,1,0)</f>
        <v>0</v>
      </c>
      <c r="H1841" s="4" t="n">
        <v>2</v>
      </c>
      <c r="I1841" s="4" t="s">
        <v>213</v>
      </c>
      <c r="J1841" s="4" t="s">
        <v>52</v>
      </c>
      <c r="K1841" s="4" t="s">
        <v>4062</v>
      </c>
      <c r="L1841" s="48" t="str">
        <f aca="false">HYPERLINK("https://boxd.it/1xpa","open")</f>
        <v>open</v>
      </c>
      <c r="M1841" s="4" t="str">
        <f aca="false">LOWER(A1841)&amp;"|"&amp;B1841</f>
        <v>the quatermass xperiment|1955</v>
      </c>
      <c r="N1841" s="4" t="n">
        <v>0</v>
      </c>
      <c r="O1841" s="4" t="n">
        <v>0</v>
      </c>
      <c r="P1841" s="4" t="n">
        <v>0</v>
      </c>
      <c r="Q1841" s="4" t="n">
        <v>1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 customFormat="false" ht="15" hidden="false" customHeight="false" outlineLevel="0" collapsed="false">
      <c r="A1842" s="4" t="s">
        <v>3790</v>
      </c>
      <c r="B1842" s="4" t="n">
        <v>2010</v>
      </c>
      <c r="C1842" s="4" t="str">
        <f aca="false">FLOOR(B1842,10)&amp;"s"</f>
        <v>2010s</v>
      </c>
      <c r="D1842" s="4" t="s">
        <v>3791</v>
      </c>
      <c r="E1842" s="25" t="str">
        <f aca="false">IF(G1842=1,"✓","")</f>
        <v/>
      </c>
      <c r="F1842" s="4" t="n">
        <v>1</v>
      </c>
      <c r="G1842" s="4" t="n">
        <f aca="false">IF(COUNTIF('Letterboxd Watched'!$E$2:$E$3000,M1842)&gt;0,1,0)</f>
        <v>0</v>
      </c>
      <c r="H1842" s="4" t="n">
        <v>1</v>
      </c>
      <c r="I1842" s="4" t="s">
        <v>1327</v>
      </c>
      <c r="J1842" s="4" t="s">
        <v>51</v>
      </c>
      <c r="K1842" s="4" t="s">
        <v>3956</v>
      </c>
      <c r="L1842" s="48" t="str">
        <f aca="false">HYPERLINK("https://letterboxd.com/search/films/Le+Quattro+Volte+2010/","open")</f>
        <v>open</v>
      </c>
      <c r="M1842" s="4" t="str">
        <f aca="false">LOWER(A1842)&amp;"|"&amp;B1842</f>
        <v>le quattro volte|2010</v>
      </c>
      <c r="N1842" s="4" t="n">
        <v>0</v>
      </c>
      <c r="O1842" s="4" t="n">
        <v>0</v>
      </c>
      <c r="P1842" s="4" t="n">
        <v>1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</row>
    <row r="1843" customFormat="false" ht="15" hidden="false" customHeight="false" outlineLevel="0" collapsed="false">
      <c r="A1843" s="4" t="s">
        <v>3609</v>
      </c>
      <c r="B1843" s="4" t="n">
        <v>1982</v>
      </c>
      <c r="C1843" s="4" t="str">
        <f aca="false">FLOOR(B1843,10)&amp;"s"</f>
        <v>1980s</v>
      </c>
      <c r="D1843" s="4" t="s">
        <v>312</v>
      </c>
      <c r="E1843" s="25" t="str">
        <f aca="false">IF(G1843=1,"✓","")</f>
        <v/>
      </c>
      <c r="F1843" s="4" t="n">
        <v>1</v>
      </c>
      <c r="G1843" s="4" t="n">
        <f aca="false">IF(COUNTIF('Letterboxd Watched'!$E$2:$E$3000,M1843)&gt;0,1,0)</f>
        <v>0</v>
      </c>
      <c r="H1843" s="4" t="n">
        <v>1</v>
      </c>
      <c r="I1843" s="4" t="s">
        <v>1327</v>
      </c>
      <c r="J1843" s="4" t="s">
        <v>53</v>
      </c>
      <c r="K1843" s="4" t="s">
        <v>312</v>
      </c>
      <c r="L1843" s="48" t="str">
        <f aca="false">HYPERLINK("https://boxd.it/XEy","open")</f>
        <v>open</v>
      </c>
      <c r="M1843" s="4" t="str">
        <f aca="false">LOWER(A1843)&amp;"|"&amp;B1843</f>
        <v>querelle|1982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1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</row>
    <row r="1844" customFormat="false" ht="15" hidden="false" customHeight="false" outlineLevel="0" collapsed="false">
      <c r="A1844" s="4" t="s">
        <v>3632</v>
      </c>
      <c r="B1844" s="4" t="n">
        <v>1985</v>
      </c>
      <c r="C1844" s="4" t="str">
        <f aca="false">FLOOR(B1844,10)&amp;"s"</f>
        <v>1980s</v>
      </c>
      <c r="D1844" s="4" t="s">
        <v>3633</v>
      </c>
      <c r="E1844" s="25" t="str">
        <f aca="false">IF(G1844=1,"✓","")</f>
        <v/>
      </c>
      <c r="F1844" s="4" t="n">
        <v>1</v>
      </c>
      <c r="G1844" s="4" t="n">
        <f aca="false">IF(COUNTIF('Letterboxd Watched'!$E$2:$E$3000,M1844)&gt;0,1,0)</f>
        <v>0</v>
      </c>
      <c r="H1844" s="4" t="n">
        <v>1</v>
      </c>
      <c r="I1844" s="4" t="s">
        <v>1327</v>
      </c>
      <c r="J1844" s="4" t="s">
        <v>58</v>
      </c>
      <c r="K1844" s="4" t="s">
        <v>4476</v>
      </c>
      <c r="L1844" s="48" t="str">
        <f aca="false">HYPERLINK("https://boxd.it/1WTE","open")</f>
        <v>open</v>
      </c>
      <c r="M1844" s="4" t="str">
        <f aca="false">LOWER(A1844)&amp;"|"&amp;B1844</f>
        <v>the quiet earth|1985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1</v>
      </c>
    </row>
    <row r="1845" customFormat="false" ht="15" hidden="false" customHeight="false" outlineLevel="0" collapsed="false">
      <c r="A1845" s="4" t="s">
        <v>1888</v>
      </c>
      <c r="B1845" s="4" t="n">
        <v>1952</v>
      </c>
      <c r="C1845" s="4" t="str">
        <f aca="false">FLOOR(B1845,10)&amp;"s"</f>
        <v>1950s</v>
      </c>
      <c r="D1845" s="4" t="s">
        <v>205</v>
      </c>
      <c r="E1845" s="25" t="str">
        <f aca="false">IF(G1845=1,"✓","")</f>
        <v/>
      </c>
      <c r="F1845" s="4" t="n">
        <v>1</v>
      </c>
      <c r="G1845" s="4" t="n">
        <f aca="false">IF(COUNTIF('Letterboxd Watched'!$E$2:$E$3000,M1845)&gt;0,1,0)</f>
        <v>0</v>
      </c>
      <c r="H1845" s="4" t="n">
        <v>2</v>
      </c>
      <c r="I1845" s="4" t="s">
        <v>213</v>
      </c>
      <c r="J1845" s="4" t="s">
        <v>53</v>
      </c>
      <c r="K1845" s="4" t="s">
        <v>205</v>
      </c>
      <c r="L1845" s="48" t="str">
        <f aca="false">HYPERLINK("https://boxd.it/25Iq","open")</f>
        <v>open</v>
      </c>
      <c r="M1845" s="4" t="str">
        <f aca="false">LOWER(A1845)&amp;"|"&amp;B1845</f>
        <v>the quiet man|1952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1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</row>
    <row r="1846" customFormat="false" ht="15" hidden="false" customHeight="false" outlineLevel="0" collapsed="false">
      <c r="A1846" s="4" t="s">
        <v>3440</v>
      </c>
      <c r="B1846" s="4" t="n">
        <v>1966</v>
      </c>
      <c r="C1846" s="4" t="str">
        <f aca="false">FLOOR(B1846,10)&amp;"s"</f>
        <v>1960s</v>
      </c>
      <c r="D1846" s="4" t="s">
        <v>3441</v>
      </c>
      <c r="E1846" s="25" t="str">
        <f aca="false">IF(G1846=1,"✓","")</f>
        <v/>
      </c>
      <c r="F1846" s="4" t="n">
        <v>1</v>
      </c>
      <c r="G1846" s="4" t="n">
        <f aca="false">IF(COUNTIF('Letterboxd Watched'!$E$2:$E$3000,M1846)&gt;0,1,0)</f>
        <v>0</v>
      </c>
      <c r="H1846" s="4" t="n">
        <v>1</v>
      </c>
      <c r="I1846" s="4" t="s">
        <v>1327</v>
      </c>
      <c r="J1846" s="4" t="s">
        <v>52</v>
      </c>
      <c r="K1846" s="4" t="s">
        <v>4132</v>
      </c>
      <c r="L1846" s="48" t="str">
        <f aca="false">HYPERLINK("https://letterboxd.com/search/films/The+Quiller+Memorandum+1966/","open")</f>
        <v>open</v>
      </c>
      <c r="M1846" s="4" t="str">
        <f aca="false">LOWER(A1846)&amp;"|"&amp;B1846</f>
        <v>the quiller memorandum|1966</v>
      </c>
      <c r="N1846" s="4" t="n">
        <v>0</v>
      </c>
      <c r="O1846" s="4" t="n">
        <v>0</v>
      </c>
      <c r="P1846" s="4" t="n">
        <v>0</v>
      </c>
      <c r="Q1846" s="4" t="n">
        <v>1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</row>
    <row r="1847" customFormat="false" ht="15" hidden="false" customHeight="false" outlineLevel="0" collapsed="false">
      <c r="A1847" s="4" t="s">
        <v>2594</v>
      </c>
      <c r="B1847" s="4" t="n">
        <v>1994</v>
      </c>
      <c r="C1847" s="4" t="str">
        <f aca="false">FLOOR(B1847,10)&amp;"s"</f>
        <v>1990s</v>
      </c>
      <c r="D1847" s="4" t="s">
        <v>1523</v>
      </c>
      <c r="E1847" s="25" t="str">
        <f aca="false">IF(G1847=1,"✓","")</f>
        <v>✓</v>
      </c>
      <c r="F1847" s="4" t="n">
        <v>1</v>
      </c>
      <c r="G1847" s="4" t="n">
        <f aca="false">IF(COUNTIF('Letterboxd Watched'!$E$2:$E$3000,M1847)&gt;0,1,0)</f>
        <v>1</v>
      </c>
      <c r="H1847" s="4" t="n">
        <v>2</v>
      </c>
      <c r="I1847" s="4" t="s">
        <v>213</v>
      </c>
      <c r="J1847" s="4" t="s">
        <v>55</v>
      </c>
      <c r="K1847" s="4" t="s">
        <v>4322</v>
      </c>
      <c r="L1847" s="48" t="str">
        <f aca="false">HYPERLINK("https://boxd.it/1TPa","open")</f>
        <v>open</v>
      </c>
      <c r="M1847" s="4" t="str">
        <f aca="false">LOWER(A1847)&amp;"|"&amp;B1847</f>
        <v>quiz show|1994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1</v>
      </c>
      <c r="U1847" s="4" t="n">
        <v>0</v>
      </c>
      <c r="V1847" s="4" t="n">
        <v>0</v>
      </c>
      <c r="W1847" s="4" t="n">
        <v>0</v>
      </c>
    </row>
    <row r="1848" customFormat="false" ht="15" hidden="false" customHeight="false" outlineLevel="0" collapsed="false">
      <c r="A1848" s="4" t="s">
        <v>2786</v>
      </c>
      <c r="B1848" s="4" t="n">
        <v>2002</v>
      </c>
      <c r="C1848" s="4" t="str">
        <f aca="false">FLOOR(B1848,10)&amp;"s"</f>
        <v>2000s</v>
      </c>
      <c r="D1848" s="4" t="s">
        <v>2787</v>
      </c>
      <c r="E1848" s="25" t="str">
        <f aca="false">IF(G1848=1,"✓","")</f>
        <v/>
      </c>
      <c r="F1848" s="4" t="n">
        <v>1</v>
      </c>
      <c r="G1848" s="4" t="n">
        <f aca="false">IF(COUNTIF('Letterboxd Watched'!$E$2:$E$3000,M1848)&gt;0,1,0)</f>
        <v>0</v>
      </c>
      <c r="H1848" s="4" t="n">
        <v>2</v>
      </c>
      <c r="I1848" s="4" t="s">
        <v>213</v>
      </c>
      <c r="J1848" s="4" t="s">
        <v>54</v>
      </c>
      <c r="K1848" s="4" t="s">
        <v>4294</v>
      </c>
      <c r="L1848" s="48" t="str">
        <f aca="false">HYPERLINK("https://boxd.it/1YnU","open")</f>
        <v>open</v>
      </c>
      <c r="M1848" s="4" t="str">
        <f aca="false">LOWER(A1848)&amp;"|"&amp;B1848</f>
        <v>rabbit-proof fence|2002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1</v>
      </c>
      <c r="T1848" s="4" t="n">
        <v>0</v>
      </c>
      <c r="U1848" s="4" t="n">
        <v>0</v>
      </c>
      <c r="V1848" s="4" t="n">
        <v>0</v>
      </c>
      <c r="W1848" s="4" t="n">
        <v>0</v>
      </c>
    </row>
    <row r="1849" customFormat="false" ht="15" hidden="false" customHeight="false" outlineLevel="0" collapsed="false">
      <c r="A1849" s="4" t="s">
        <v>1036</v>
      </c>
      <c r="B1849" s="4" t="n">
        <v>1977</v>
      </c>
      <c r="C1849" s="4" t="str">
        <f aca="false">FLOOR(B1849,10)&amp;"s"</f>
        <v>1970s</v>
      </c>
      <c r="D1849" s="4" t="s">
        <v>316</v>
      </c>
      <c r="E1849" s="25" t="str">
        <f aca="false">IF(G1849=1,"✓","")</f>
        <v/>
      </c>
      <c r="F1849" s="4" t="n">
        <v>2</v>
      </c>
      <c r="G1849" s="4" t="n">
        <f aca="false">IF(COUNTIF('Letterboxd Watched'!$E$2:$E$3000,M1849)&gt;0,1,0)</f>
        <v>0</v>
      </c>
      <c r="H1849" s="4" t="n">
        <v>4</v>
      </c>
      <c r="I1849" s="4" t="s">
        <v>213</v>
      </c>
      <c r="J1849" s="4" t="s">
        <v>52</v>
      </c>
      <c r="K1849" s="4" t="s">
        <v>5727</v>
      </c>
      <c r="L1849" s="48" t="str">
        <f aca="false">HYPERLINK("https://boxd.it/1nuk","open")</f>
        <v>open</v>
      </c>
      <c r="M1849" s="4" t="str">
        <f aca="false">LOWER(A1849)&amp;"|"&amp;B1849</f>
        <v>rabid|1977</v>
      </c>
      <c r="N1849" s="4" t="n">
        <v>0</v>
      </c>
      <c r="O1849" s="4" t="n">
        <v>0</v>
      </c>
      <c r="P1849" s="4" t="n">
        <v>0</v>
      </c>
      <c r="Q1849" s="4" t="n">
        <v>1</v>
      </c>
      <c r="R1849" s="4" t="n">
        <v>0</v>
      </c>
      <c r="S1849" s="4" t="n">
        <v>0</v>
      </c>
      <c r="T1849" s="4" t="n">
        <v>0</v>
      </c>
      <c r="U1849" s="4" t="n">
        <v>1</v>
      </c>
      <c r="V1849" s="4" t="n">
        <v>0</v>
      </c>
      <c r="W1849" s="4" t="n">
        <v>0</v>
      </c>
    </row>
    <row r="1850" customFormat="false" ht="15" hidden="false" customHeight="false" outlineLevel="0" collapsed="false">
      <c r="A1850" s="4" t="s">
        <v>2237</v>
      </c>
      <c r="B1850" s="4" t="n">
        <v>1974</v>
      </c>
      <c r="C1850" s="4" t="str">
        <f aca="false">FLOOR(B1850,10)&amp;"s"</f>
        <v>1970s</v>
      </c>
      <c r="D1850" s="4" t="s">
        <v>761</v>
      </c>
      <c r="E1850" s="25" t="str">
        <f aca="false">IF(G1850=1,"✓","")</f>
        <v/>
      </c>
      <c r="F1850" s="4" t="n">
        <v>1</v>
      </c>
      <c r="G1850" s="4" t="n">
        <f aca="false">IF(COUNTIF('Letterboxd Watched'!$E$2:$E$3000,M1850)&gt;0,1,0)</f>
        <v>0</v>
      </c>
      <c r="H1850" s="4" t="n">
        <v>2</v>
      </c>
      <c r="I1850" s="4" t="s">
        <v>213</v>
      </c>
      <c r="J1850" s="4" t="s">
        <v>51</v>
      </c>
      <c r="K1850" s="4" t="s">
        <v>3954</v>
      </c>
      <c r="L1850" s="48" t="str">
        <f aca="false">HYPERLINK("https://letterboxd.com/search/films/Rabid+Dogs+1974/","open")</f>
        <v>open</v>
      </c>
      <c r="M1850" s="4" t="str">
        <f aca="false">LOWER(A1850)&amp;"|"&amp;B1850</f>
        <v>rabid dogs|1974</v>
      </c>
      <c r="N1850" s="4" t="n">
        <v>0</v>
      </c>
      <c r="O1850" s="4" t="n">
        <v>0</v>
      </c>
      <c r="P1850" s="4" t="n">
        <v>1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</row>
    <row r="1851" customFormat="false" ht="15" hidden="false" customHeight="false" outlineLevel="0" collapsed="false">
      <c r="A1851" s="4" t="s">
        <v>244</v>
      </c>
      <c r="B1851" s="4" t="n">
        <v>1980</v>
      </c>
      <c r="C1851" s="4" t="str">
        <f aca="false">FLOOR(B1851,10)&amp;"s"</f>
        <v>1980s</v>
      </c>
      <c r="D1851" s="4" t="s">
        <v>164</v>
      </c>
      <c r="E1851" s="25" t="str">
        <f aca="false">IF(G1851=1,"✓","")</f>
        <v>✓</v>
      </c>
      <c r="F1851" s="4" t="n">
        <v>5</v>
      </c>
      <c r="G1851" s="4" t="n">
        <f aca="false">IF(COUNTIF('Letterboxd Watched'!$E$2:$E$3000,M1851)&gt;0,1,0)</f>
        <v>1</v>
      </c>
      <c r="H1851" s="4" t="n">
        <v>12</v>
      </c>
      <c r="I1851" s="4" t="s">
        <v>144</v>
      </c>
      <c r="J1851" s="4" t="s">
        <v>49</v>
      </c>
      <c r="K1851" s="4" t="s">
        <v>5728</v>
      </c>
      <c r="L1851" s="48" t="str">
        <f aca="false">HYPERLINK("https://boxd.it/28yI","open")</f>
        <v>open</v>
      </c>
      <c r="M1851" s="4" t="str">
        <f aca="false">LOWER(A1851)&amp;"|"&amp;B1851</f>
        <v>raging bull|1980</v>
      </c>
      <c r="N1851" s="4" t="n">
        <v>1</v>
      </c>
      <c r="O1851" s="4" t="n">
        <v>1</v>
      </c>
      <c r="P1851" s="4" t="n">
        <v>0</v>
      </c>
      <c r="Q1851" s="4" t="n">
        <v>0</v>
      </c>
      <c r="R1851" s="4" t="n">
        <v>1</v>
      </c>
      <c r="S1851" s="4" t="n">
        <v>0</v>
      </c>
      <c r="T1851" s="4" t="n">
        <v>1</v>
      </c>
      <c r="U1851" s="4" t="n">
        <v>0</v>
      </c>
      <c r="V1851" s="4" t="n">
        <v>1</v>
      </c>
      <c r="W1851" s="4" t="n">
        <v>0</v>
      </c>
    </row>
    <row r="1852" customFormat="false" ht="15" hidden="false" customHeight="false" outlineLevel="0" collapsed="false">
      <c r="A1852" s="4" t="s">
        <v>1612</v>
      </c>
      <c r="B1852" s="4" t="n">
        <v>2011</v>
      </c>
      <c r="C1852" s="4" t="str">
        <f aca="false">FLOOR(B1852,10)&amp;"s"</f>
        <v>2010s</v>
      </c>
      <c r="D1852" s="4" t="s">
        <v>1613</v>
      </c>
      <c r="E1852" s="25" t="str">
        <f aca="false">IF(G1852=1,"✓","")</f>
        <v>✓</v>
      </c>
      <c r="F1852" s="4" t="n">
        <v>1</v>
      </c>
      <c r="G1852" s="4" t="n">
        <f aca="false">IF(COUNTIF('Letterboxd Watched'!$E$2:$E$3000,M1852)&gt;0,1,0)</f>
        <v>1</v>
      </c>
      <c r="H1852" s="4" t="n">
        <v>3</v>
      </c>
      <c r="I1852" s="4" t="s">
        <v>144</v>
      </c>
      <c r="J1852" s="4" t="s">
        <v>52</v>
      </c>
      <c r="K1852" s="4" t="s">
        <v>4160</v>
      </c>
      <c r="L1852" s="48" t="str">
        <f aca="false">HYPERLINK("https://boxd.it/3hBy","open")</f>
        <v>open</v>
      </c>
      <c r="M1852" s="4" t="str">
        <f aca="false">LOWER(A1852)&amp;"|"&amp;B1852</f>
        <v>the raid|2011</v>
      </c>
      <c r="N1852" s="4" t="n">
        <v>0</v>
      </c>
      <c r="O1852" s="4" t="n">
        <v>0</v>
      </c>
      <c r="P1852" s="4" t="n">
        <v>0</v>
      </c>
      <c r="Q1852" s="4" t="n">
        <v>1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</row>
    <row r="1853" customFormat="false" ht="15" hidden="false" customHeight="false" outlineLevel="0" collapsed="false">
      <c r="A1853" s="4" t="s">
        <v>3056</v>
      </c>
      <c r="B1853" s="4" t="n">
        <v>2014</v>
      </c>
      <c r="C1853" s="4" t="str">
        <f aca="false">FLOOR(B1853,10)&amp;"s"</f>
        <v>2010s</v>
      </c>
      <c r="D1853" s="4" t="s">
        <v>1613</v>
      </c>
      <c r="E1853" s="25" t="str">
        <f aca="false">IF(G1853=1,"✓","")</f>
        <v/>
      </c>
      <c r="F1853" s="4" t="n">
        <v>1</v>
      </c>
      <c r="G1853" s="4" t="n">
        <f aca="false">IF(COUNTIF('Letterboxd Watched'!$E$2:$E$3000,M1853)&gt;0,1,0)</f>
        <v>0</v>
      </c>
      <c r="H1853" s="4" t="n">
        <v>2</v>
      </c>
      <c r="I1853" s="4" t="s">
        <v>213</v>
      </c>
      <c r="J1853" s="4" t="s">
        <v>52</v>
      </c>
      <c r="K1853" s="4" t="s">
        <v>4160</v>
      </c>
      <c r="L1853" s="48" t="str">
        <f aca="false">HYPERLINK("https://boxd.it/5uz0","open")</f>
        <v>open</v>
      </c>
      <c r="M1853" s="4" t="str">
        <f aca="false">LOWER(A1853)&amp;"|"&amp;B1853</f>
        <v>the raid 2|2014</v>
      </c>
      <c r="N1853" s="4" t="n">
        <v>0</v>
      </c>
      <c r="O1853" s="4" t="n">
        <v>0</v>
      </c>
      <c r="P1853" s="4" t="n">
        <v>0</v>
      </c>
      <c r="Q1853" s="4" t="n">
        <v>1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</row>
    <row r="1854" customFormat="false" ht="15" hidden="false" customHeight="false" outlineLevel="0" collapsed="false">
      <c r="A1854" s="4" t="s">
        <v>363</v>
      </c>
      <c r="B1854" s="4" t="n">
        <v>1981</v>
      </c>
      <c r="C1854" s="4" t="str">
        <f aca="false">FLOOR(B1854,10)&amp;"s"</f>
        <v>1980s</v>
      </c>
      <c r="D1854" s="4" t="s">
        <v>183</v>
      </c>
      <c r="E1854" s="25" t="str">
        <f aca="false">IF(G1854=1,"✓","")</f>
        <v>✓</v>
      </c>
      <c r="F1854" s="4" t="n">
        <v>4</v>
      </c>
      <c r="G1854" s="4" t="n">
        <f aca="false">IF(COUNTIF('Letterboxd Watched'!$E$2:$E$3000,M1854)&gt;0,1,0)</f>
        <v>1</v>
      </c>
      <c r="H1854" s="4" t="n">
        <v>9</v>
      </c>
      <c r="I1854" s="4" t="s">
        <v>144</v>
      </c>
      <c r="J1854" s="4" t="s">
        <v>50</v>
      </c>
      <c r="K1854" s="4" t="s">
        <v>5729</v>
      </c>
      <c r="L1854" s="48" t="str">
        <f aca="false">HYPERLINK("https://boxd.it/2bbs","open")</f>
        <v>open</v>
      </c>
      <c r="M1854" s="4" t="str">
        <f aca="false">LOWER(A1854)&amp;"|"&amp;B1854</f>
        <v>raiders of the lost ark|1981</v>
      </c>
      <c r="N1854" s="4" t="n">
        <v>0</v>
      </c>
      <c r="O1854" s="4" t="n">
        <v>1</v>
      </c>
      <c r="P1854" s="4" t="n">
        <v>0</v>
      </c>
      <c r="Q1854" s="4" t="n">
        <v>1</v>
      </c>
      <c r="R1854" s="4" t="n">
        <v>1</v>
      </c>
      <c r="S1854" s="4" t="n">
        <v>0</v>
      </c>
      <c r="T1854" s="4" t="n">
        <v>0</v>
      </c>
      <c r="U1854" s="4" t="n">
        <v>0</v>
      </c>
      <c r="V1854" s="4" t="n">
        <v>1</v>
      </c>
      <c r="W1854" s="4" t="n">
        <v>0</v>
      </c>
    </row>
    <row r="1855" customFormat="false" ht="15" hidden="false" customHeight="false" outlineLevel="0" collapsed="false">
      <c r="A1855" s="4" t="s">
        <v>3304</v>
      </c>
      <c r="B1855" s="4" t="n">
        <v>1929</v>
      </c>
      <c r="C1855" s="4" t="str">
        <f aca="false">FLOOR(B1855,10)&amp;"s"</f>
        <v>1920s</v>
      </c>
      <c r="D1855" s="4" t="s">
        <v>3305</v>
      </c>
      <c r="E1855" s="25" t="str">
        <f aca="false">IF(G1855=1,"✓","")</f>
        <v/>
      </c>
      <c r="F1855" s="4" t="n">
        <v>1</v>
      </c>
      <c r="G1855" s="4" t="n">
        <f aca="false">IF(COUNTIF('Letterboxd Watched'!$E$2:$E$3000,M1855)&gt;0,1,0)</f>
        <v>0</v>
      </c>
      <c r="H1855" s="4" t="n">
        <v>1</v>
      </c>
      <c r="I1855" s="4" t="s">
        <v>1327</v>
      </c>
      <c r="J1855" s="4" t="s">
        <v>52</v>
      </c>
      <c r="K1855" s="4" t="s">
        <v>4170</v>
      </c>
      <c r="L1855" s="48" t="str">
        <f aca="false">HYPERLINK("https://letterboxd.com/search/films/Rain+1929/","open")</f>
        <v>open</v>
      </c>
      <c r="M1855" s="4" t="str">
        <f aca="false">LOWER(A1855)&amp;"|"&amp;B1855</f>
        <v>rain|1929</v>
      </c>
      <c r="N1855" s="4" t="n">
        <v>0</v>
      </c>
      <c r="O1855" s="4" t="n">
        <v>0</v>
      </c>
      <c r="P1855" s="4" t="n">
        <v>0</v>
      </c>
      <c r="Q1855" s="4" t="n">
        <v>1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</row>
    <row r="1856" customFormat="false" ht="15" hidden="false" customHeight="false" outlineLevel="0" collapsed="false">
      <c r="A1856" s="4" t="s">
        <v>2144</v>
      </c>
      <c r="B1856" s="4" t="n">
        <v>1969</v>
      </c>
      <c r="C1856" s="4" t="str">
        <f aca="false">FLOOR(B1856,10)&amp;"s"</f>
        <v>1960s</v>
      </c>
      <c r="D1856" s="4" t="s">
        <v>172</v>
      </c>
      <c r="E1856" s="25" t="str">
        <f aca="false">IF(G1856=1,"✓","")</f>
        <v/>
      </c>
      <c r="F1856" s="4" t="n">
        <v>1</v>
      </c>
      <c r="G1856" s="4" t="n">
        <f aca="false">IF(COUNTIF('Letterboxd Watched'!$E$2:$E$3000,M1856)&gt;0,1,0)</f>
        <v>0</v>
      </c>
      <c r="H1856" s="4" t="n">
        <v>2</v>
      </c>
      <c r="I1856" s="4" t="s">
        <v>213</v>
      </c>
      <c r="J1856" s="4" t="s">
        <v>53</v>
      </c>
      <c r="K1856" s="4" t="s">
        <v>172</v>
      </c>
      <c r="L1856" s="48" t="str">
        <f aca="false">HYPERLINK("https://boxd.it/iya","open")</f>
        <v>open</v>
      </c>
      <c r="M1856" s="4" t="str">
        <f aca="false">LOWER(A1856)&amp;"|"&amp;B1856</f>
        <v>the rain people|1969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1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</row>
    <row r="1857" customFormat="false" ht="15" hidden="false" customHeight="false" outlineLevel="0" collapsed="false">
      <c r="A1857" s="4" t="s">
        <v>1540</v>
      </c>
      <c r="B1857" s="4" t="n">
        <v>1991</v>
      </c>
      <c r="C1857" s="4" t="str">
        <f aca="false">FLOOR(B1857,10)&amp;"s"</f>
        <v>1990s</v>
      </c>
      <c r="D1857" s="4" t="s">
        <v>1541</v>
      </c>
      <c r="E1857" s="25" t="str">
        <f aca="false">IF(G1857=1,"✓","")</f>
        <v/>
      </c>
      <c r="F1857" s="4" t="n">
        <v>1</v>
      </c>
      <c r="G1857" s="4" t="n">
        <f aca="false">IF(COUNTIF('Letterboxd Watched'!$E$2:$E$3000,M1857)&gt;0,1,0)</f>
        <v>0</v>
      </c>
      <c r="H1857" s="4" t="n">
        <v>3</v>
      </c>
      <c r="I1857" s="4" t="s">
        <v>144</v>
      </c>
      <c r="J1857" s="4" t="s">
        <v>51</v>
      </c>
      <c r="K1857" s="4" t="s">
        <v>4020</v>
      </c>
      <c r="L1857" s="48" t="str">
        <f aca="false">HYPERLINK("https://boxd.it/1WlC","open")</f>
        <v>open</v>
      </c>
      <c r="M1857" s="4" t="str">
        <f aca="false">LOWER(A1857)&amp;"|"&amp;B1857</f>
        <v>raise the red lantern|1991</v>
      </c>
      <c r="N1857" s="4" t="n">
        <v>0</v>
      </c>
      <c r="O1857" s="4" t="n">
        <v>0</v>
      </c>
      <c r="P1857" s="4" t="n">
        <v>1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</row>
    <row r="1858" customFormat="false" ht="15" hidden="false" customHeight="false" outlineLevel="0" collapsed="false">
      <c r="A1858" s="4" t="s">
        <v>2458</v>
      </c>
      <c r="B1858" s="4" t="n">
        <v>1987</v>
      </c>
      <c r="C1858" s="4" t="str">
        <f aca="false">FLOOR(B1858,10)&amp;"s"</f>
        <v>1980s</v>
      </c>
      <c r="D1858" s="4" t="s">
        <v>397</v>
      </c>
      <c r="E1858" s="25" t="str">
        <f aca="false">IF(G1858=1,"✓","")</f>
        <v>✓</v>
      </c>
      <c r="F1858" s="4" t="n">
        <v>1</v>
      </c>
      <c r="G1858" s="4" t="n">
        <f aca="false">IF(COUNTIF('Letterboxd Watched'!$E$2:$E$3000,M1858)&gt;0,1,0)</f>
        <v>1</v>
      </c>
      <c r="H1858" s="4" t="n">
        <v>2</v>
      </c>
      <c r="I1858" s="4" t="s">
        <v>213</v>
      </c>
      <c r="J1858" s="4" t="s">
        <v>53</v>
      </c>
      <c r="K1858" s="4" t="s">
        <v>4208</v>
      </c>
      <c r="L1858" s="48" t="str">
        <f aca="false">HYPERLINK("https://boxd.it/2avQ","open")</f>
        <v>open</v>
      </c>
      <c r="M1858" s="4" t="str">
        <f aca="false">LOWER(A1858)&amp;"|"&amp;B1858</f>
        <v>raising arizona|1987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1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</row>
    <row r="1859" customFormat="false" ht="15" hidden="false" customHeight="false" outlineLevel="0" collapsed="false">
      <c r="A1859" s="4" t="s">
        <v>3674</v>
      </c>
      <c r="B1859" s="4" t="n">
        <v>1992</v>
      </c>
      <c r="C1859" s="4" t="str">
        <f aca="false">FLOOR(B1859,10)&amp;"s"</f>
        <v>1990s</v>
      </c>
      <c r="D1859" s="4" t="s">
        <v>488</v>
      </c>
      <c r="E1859" s="25" t="str">
        <f aca="false">IF(G1859=1,"✓","")</f>
        <v/>
      </c>
      <c r="F1859" s="4" t="n">
        <v>1</v>
      </c>
      <c r="G1859" s="4" t="n">
        <f aca="false">IF(COUNTIF('Letterboxd Watched'!$E$2:$E$3000,M1859)&gt;0,1,0)</f>
        <v>0</v>
      </c>
      <c r="H1859" s="4" t="n">
        <v>1</v>
      </c>
      <c r="I1859" s="4" t="s">
        <v>1327</v>
      </c>
      <c r="J1859" s="4" t="s">
        <v>53</v>
      </c>
      <c r="K1859" s="4" t="s">
        <v>488</v>
      </c>
      <c r="L1859" s="48" t="str">
        <f aca="false">HYPERLINK("https://boxd.it/1P5C","open")</f>
        <v>open</v>
      </c>
      <c r="M1859" s="4" t="str">
        <f aca="false">LOWER(A1859)&amp;"|"&amp;B1859</f>
        <v>raising cain|1992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1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</row>
    <row r="1860" customFormat="false" ht="15" hidden="false" customHeight="false" outlineLevel="0" collapsed="false">
      <c r="A1860" s="4" t="s">
        <v>1071</v>
      </c>
      <c r="B1860" s="4" t="n">
        <v>1985</v>
      </c>
      <c r="C1860" s="4" t="str">
        <f aca="false">FLOOR(B1860,10)&amp;"s"</f>
        <v>1980s</v>
      </c>
      <c r="D1860" s="4" t="s">
        <v>156</v>
      </c>
      <c r="E1860" s="25" t="str">
        <f aca="false">IF(G1860=1,"✓","")</f>
        <v/>
      </c>
      <c r="F1860" s="4" t="n">
        <v>2</v>
      </c>
      <c r="G1860" s="4" t="n">
        <f aca="false">IF(COUNTIF('Letterboxd Watched'!$E$2:$E$3000,M1860)&gt;0,1,0)</f>
        <v>0</v>
      </c>
      <c r="H1860" s="4" t="n">
        <v>4</v>
      </c>
      <c r="I1860" s="4" t="s">
        <v>213</v>
      </c>
      <c r="J1860" s="4" t="s">
        <v>51</v>
      </c>
      <c r="K1860" s="4" t="s">
        <v>5730</v>
      </c>
      <c r="L1860" s="48" t="str">
        <f aca="false">HYPERLINK("https://boxd.it/1Tlu","open")</f>
        <v>open</v>
      </c>
      <c r="M1860" s="4" t="str">
        <f aca="false">LOWER(A1860)&amp;"|"&amp;B1860</f>
        <v>ran|1985</v>
      </c>
      <c r="N1860" s="4" t="n">
        <v>0</v>
      </c>
      <c r="O1860" s="4" t="n">
        <v>0</v>
      </c>
      <c r="P1860" s="4" t="n">
        <v>1</v>
      </c>
      <c r="Q1860" s="4" t="n">
        <v>0</v>
      </c>
      <c r="R1860" s="4" t="n">
        <v>1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</row>
    <row r="1861" customFormat="false" ht="15" hidden="false" customHeight="false" outlineLevel="0" collapsed="false">
      <c r="A1861" s="4" t="s">
        <v>220</v>
      </c>
      <c r="B1861" s="4" t="n">
        <v>1950</v>
      </c>
      <c r="C1861" s="4" t="str">
        <f aca="false">FLOOR(B1861,10)&amp;"s"</f>
        <v>1950s</v>
      </c>
      <c r="D1861" s="4" t="s">
        <v>156</v>
      </c>
      <c r="E1861" s="25" t="str">
        <f aca="false">IF(G1861=1,"✓","")</f>
        <v>✓</v>
      </c>
      <c r="F1861" s="4" t="n">
        <v>6</v>
      </c>
      <c r="G1861" s="4" t="n">
        <f aca="false">IF(COUNTIF('Letterboxd Watched'!$E$2:$E$3000,M1861)&gt;0,1,0)</f>
        <v>1</v>
      </c>
      <c r="H1861" s="4" t="n">
        <v>14</v>
      </c>
      <c r="I1861" s="4" t="s">
        <v>144</v>
      </c>
      <c r="J1861" s="4" t="s">
        <v>49</v>
      </c>
      <c r="K1861" s="4" t="s">
        <v>5731</v>
      </c>
      <c r="L1861" s="48" t="str">
        <f aca="false">HYPERLINK("https://boxd.it/2a9K","open")</f>
        <v>open</v>
      </c>
      <c r="M1861" s="4" t="str">
        <f aca="false">LOWER(A1861)&amp;"|"&amp;B1861</f>
        <v>rashomon|1950</v>
      </c>
      <c r="N1861" s="4" t="n">
        <v>1</v>
      </c>
      <c r="O1861" s="4" t="n">
        <v>1</v>
      </c>
      <c r="P1861" s="4" t="n">
        <v>0</v>
      </c>
      <c r="Q1861" s="4" t="n">
        <v>0</v>
      </c>
      <c r="R1861" s="4" t="n">
        <v>1</v>
      </c>
      <c r="S1861" s="4" t="n">
        <v>0</v>
      </c>
      <c r="T1861" s="4" t="n">
        <v>0</v>
      </c>
      <c r="U1861" s="4" t="n">
        <v>0</v>
      </c>
      <c r="V1861" s="4" t="n">
        <v>1</v>
      </c>
      <c r="W1861" s="4" t="n">
        <v>0</v>
      </c>
    </row>
    <row r="1862" customFormat="false" ht="15" hidden="false" customHeight="false" outlineLevel="0" collapsed="false">
      <c r="A1862" s="4" t="s">
        <v>1178</v>
      </c>
      <c r="B1862" s="4" t="n">
        <v>2007</v>
      </c>
      <c r="C1862" s="4" t="str">
        <f aca="false">FLOOR(B1862,10)&amp;"s"</f>
        <v>2000s</v>
      </c>
      <c r="D1862" s="4" t="s">
        <v>1179</v>
      </c>
      <c r="E1862" s="25" t="str">
        <f aca="false">IF(G1862=1,"✓","")</f>
        <v>✓</v>
      </c>
      <c r="F1862" s="4" t="n">
        <v>2</v>
      </c>
      <c r="G1862" s="4" t="n">
        <f aca="false">IF(COUNTIF('Letterboxd Watched'!$E$2:$E$3000,M1862)&gt;0,1,0)</f>
        <v>1</v>
      </c>
      <c r="H1862" s="4" t="n">
        <v>4</v>
      </c>
      <c r="I1862" s="4" t="s">
        <v>213</v>
      </c>
      <c r="J1862" s="4" t="s">
        <v>52</v>
      </c>
      <c r="K1862" s="4" t="s">
        <v>5732</v>
      </c>
      <c r="L1862" s="48" t="str">
        <f aca="false">HYPERLINK("https://boxd.it/27ww","open")</f>
        <v>open</v>
      </c>
      <c r="M1862" s="4" t="str">
        <f aca="false">LOWER(A1862)&amp;"|"&amp;B1862</f>
        <v>ratatouille|2007</v>
      </c>
      <c r="N1862" s="4" t="n">
        <v>0</v>
      </c>
      <c r="O1862" s="4" t="n">
        <v>0</v>
      </c>
      <c r="P1862" s="4" t="n">
        <v>0</v>
      </c>
      <c r="Q1862" s="4" t="n">
        <v>1</v>
      </c>
      <c r="R1862" s="4" t="n">
        <v>0</v>
      </c>
      <c r="S1862" s="4" t="n">
        <v>0</v>
      </c>
      <c r="T1862" s="4" t="n">
        <v>1</v>
      </c>
      <c r="U1862" s="4" t="n">
        <v>0</v>
      </c>
      <c r="V1862" s="4" t="n">
        <v>0</v>
      </c>
      <c r="W1862" s="4" t="n">
        <v>0</v>
      </c>
    </row>
    <row r="1863" customFormat="false" ht="15" hidden="false" customHeight="false" outlineLevel="0" collapsed="false">
      <c r="A1863" s="4" t="s">
        <v>712</v>
      </c>
      <c r="B1863" s="4" t="n">
        <v>1999</v>
      </c>
      <c r="C1863" s="4" t="str">
        <f aca="false">FLOOR(B1863,10)&amp;"s"</f>
        <v>1990s</v>
      </c>
      <c r="D1863" s="4" t="s">
        <v>713</v>
      </c>
      <c r="E1863" s="25" t="str">
        <f aca="false">IF(G1863=1,"✓","")</f>
        <v/>
      </c>
      <c r="F1863" s="4" t="n">
        <v>3</v>
      </c>
      <c r="G1863" s="4" t="n">
        <f aca="false">IF(COUNTIF('Letterboxd Watched'!$E$2:$E$3000,M1863)&gt;0,1,0)</f>
        <v>0</v>
      </c>
      <c r="H1863" s="4" t="n">
        <v>5</v>
      </c>
      <c r="I1863" s="4" t="s">
        <v>213</v>
      </c>
      <c r="J1863" s="4" t="s">
        <v>51</v>
      </c>
      <c r="K1863" s="4" t="s">
        <v>5733</v>
      </c>
      <c r="L1863" s="48" t="str">
        <f aca="false">HYPERLINK("https://boxd.it/1mSg","open")</f>
        <v>open</v>
      </c>
      <c r="M1863" s="4" t="str">
        <f aca="false">LOWER(A1863)&amp;"|"&amp;B1863</f>
        <v>ratcatcher|1999</v>
      </c>
      <c r="N1863" s="4" t="n">
        <v>0</v>
      </c>
      <c r="O1863" s="4" t="n">
        <v>0</v>
      </c>
      <c r="P1863" s="4" t="n">
        <v>1</v>
      </c>
      <c r="Q1863" s="4" t="n">
        <v>0</v>
      </c>
      <c r="R1863" s="4" t="n">
        <v>0</v>
      </c>
      <c r="S1863" s="4" t="n">
        <v>0</v>
      </c>
      <c r="T1863" s="4" t="n">
        <v>1</v>
      </c>
      <c r="U1863" s="4" t="n">
        <v>1</v>
      </c>
      <c r="V1863" s="4" t="n">
        <v>0</v>
      </c>
      <c r="W1863" s="4" t="n">
        <v>0</v>
      </c>
    </row>
    <row r="1864" customFormat="false" ht="15" hidden="false" customHeight="false" outlineLevel="0" collapsed="false">
      <c r="A1864" s="4" t="s">
        <v>875</v>
      </c>
      <c r="B1864" s="4" t="n">
        <v>2016</v>
      </c>
      <c r="C1864" s="4" t="str">
        <f aca="false">FLOOR(B1864,10)&amp;"s"</f>
        <v>2010s</v>
      </c>
      <c r="D1864" s="4" t="s">
        <v>876</v>
      </c>
      <c r="E1864" s="25" t="str">
        <f aca="false">IF(G1864=1,"✓","")</f>
        <v/>
      </c>
      <c r="F1864" s="4" t="n">
        <v>2</v>
      </c>
      <c r="G1864" s="4" t="n">
        <f aca="false">IF(COUNTIF('Letterboxd Watched'!$E$2:$E$3000,M1864)&gt;0,1,0)</f>
        <v>0</v>
      </c>
      <c r="H1864" s="4" t="n">
        <v>5</v>
      </c>
      <c r="I1864" s="4" t="s">
        <v>144</v>
      </c>
      <c r="J1864" s="4" t="s">
        <v>51</v>
      </c>
      <c r="K1864" s="4" t="s">
        <v>5734</v>
      </c>
      <c r="L1864" s="48" t="str">
        <f aca="false">HYPERLINK("https://boxd.it/dLd2","open")</f>
        <v>open</v>
      </c>
      <c r="M1864" s="4" t="str">
        <f aca="false">LOWER(A1864)&amp;"|"&amp;B1864</f>
        <v>raw|2016</v>
      </c>
      <c r="N1864" s="4" t="n">
        <v>0</v>
      </c>
      <c r="O1864" s="4" t="n">
        <v>0</v>
      </c>
      <c r="P1864" s="4" t="n">
        <v>1</v>
      </c>
      <c r="Q1864" s="4" t="n">
        <v>0</v>
      </c>
      <c r="R1864" s="4" t="n">
        <v>0</v>
      </c>
      <c r="S1864" s="4" t="n">
        <v>1</v>
      </c>
      <c r="T1864" s="4" t="n">
        <v>0</v>
      </c>
      <c r="U1864" s="4" t="n">
        <v>0</v>
      </c>
      <c r="V1864" s="4" t="n">
        <v>0</v>
      </c>
      <c r="W1864" s="4" t="n">
        <v>0</v>
      </c>
    </row>
    <row r="1865" customFormat="false" ht="15" hidden="false" customHeight="false" outlineLevel="0" collapsed="false">
      <c r="A1865" s="4" t="s">
        <v>3348</v>
      </c>
      <c r="B1865" s="4" t="n">
        <v>1948</v>
      </c>
      <c r="C1865" s="4" t="str">
        <f aca="false">FLOOR(B1865,10)&amp;"s"</f>
        <v>1940s</v>
      </c>
      <c r="D1865" s="4" t="s">
        <v>1843</v>
      </c>
      <c r="E1865" s="25" t="str">
        <f aca="false">IF(G1865=1,"✓","")</f>
        <v/>
      </c>
      <c r="F1865" s="4" t="n">
        <v>1</v>
      </c>
      <c r="G1865" s="4" t="n">
        <f aca="false">IF(COUNTIF('Letterboxd Watched'!$E$2:$E$3000,M1865)&gt;0,1,0)</f>
        <v>0</v>
      </c>
      <c r="H1865" s="4" t="n">
        <v>1</v>
      </c>
      <c r="I1865" s="4" t="s">
        <v>1327</v>
      </c>
      <c r="J1865" s="4" t="s">
        <v>52</v>
      </c>
      <c r="K1865" s="4" t="s">
        <v>4042</v>
      </c>
      <c r="L1865" s="48" t="str">
        <f aca="false">HYPERLINK("https://boxd.it/1uqY","open")</f>
        <v>open</v>
      </c>
      <c r="M1865" s="4" t="str">
        <f aca="false">LOWER(A1865)&amp;"|"&amp;B1865</f>
        <v>raw deal|1948</v>
      </c>
      <c r="N1865" s="4" t="n">
        <v>0</v>
      </c>
      <c r="O1865" s="4" t="n">
        <v>0</v>
      </c>
      <c r="P1865" s="4" t="n">
        <v>0</v>
      </c>
      <c r="Q1865" s="4" t="n">
        <v>1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</row>
    <row r="1866" customFormat="false" ht="15" hidden="false" customHeight="false" outlineLevel="0" collapsed="false">
      <c r="A1866" s="4" t="s">
        <v>1073</v>
      </c>
      <c r="B1866" s="4" t="n">
        <v>1985</v>
      </c>
      <c r="C1866" s="4" t="str">
        <f aca="false">FLOOR(B1866,10)&amp;"s"</f>
        <v>1980s</v>
      </c>
      <c r="D1866" s="4" t="s">
        <v>1074</v>
      </c>
      <c r="E1866" s="25" t="str">
        <f aca="false">IF(G1866=1,"✓","")</f>
        <v/>
      </c>
      <c r="F1866" s="4" t="n">
        <v>2</v>
      </c>
      <c r="G1866" s="4" t="n">
        <f aca="false">IF(COUNTIF('Letterboxd Watched'!$E$2:$E$3000,M1866)&gt;0,1,0)</f>
        <v>0</v>
      </c>
      <c r="H1866" s="4" t="n">
        <v>4</v>
      </c>
      <c r="I1866" s="4" t="s">
        <v>213</v>
      </c>
      <c r="J1866" s="4" t="s">
        <v>52</v>
      </c>
      <c r="K1866" s="4" t="s">
        <v>5735</v>
      </c>
      <c r="L1866" s="48" t="str">
        <f aca="false">HYPERLINK("https://boxd.it/28hM","open")</f>
        <v>open</v>
      </c>
      <c r="M1866" s="4" t="str">
        <f aca="false">LOWER(A1866)&amp;"|"&amp;B1866</f>
        <v>re-animator|1985</v>
      </c>
      <c r="N1866" s="4" t="n">
        <v>0</v>
      </c>
      <c r="O1866" s="4" t="n">
        <v>0</v>
      </c>
      <c r="P1866" s="4" t="n">
        <v>0</v>
      </c>
      <c r="Q1866" s="4" t="n">
        <v>1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1</v>
      </c>
      <c r="W1866" s="4" t="n">
        <v>0</v>
      </c>
    </row>
    <row r="1867" customFormat="false" ht="15" hidden="false" customHeight="false" outlineLevel="0" collapsed="false">
      <c r="A1867" s="4" t="s">
        <v>190</v>
      </c>
      <c r="B1867" s="4" t="n">
        <v>1954</v>
      </c>
      <c r="C1867" s="4" t="str">
        <f aca="false">FLOOR(B1867,10)&amp;"s"</f>
        <v>1950s</v>
      </c>
      <c r="D1867" s="4" t="s">
        <v>162</v>
      </c>
      <c r="E1867" s="25" t="str">
        <f aca="false">IF(G1867=1,"✓","")</f>
        <v>✓</v>
      </c>
      <c r="F1867" s="4" t="n">
        <v>6</v>
      </c>
      <c r="G1867" s="4" t="n">
        <f aca="false">IF(COUNTIF('Letterboxd Watched'!$E$2:$E$3000,M1867)&gt;0,1,0)</f>
        <v>1</v>
      </c>
      <c r="H1867" s="4" t="n">
        <v>16</v>
      </c>
      <c r="I1867" s="4" t="s">
        <v>144</v>
      </c>
      <c r="J1867" s="4" t="s">
        <v>50</v>
      </c>
      <c r="K1867" s="4" t="s">
        <v>5736</v>
      </c>
      <c r="L1867" s="48" t="str">
        <f aca="false">HYPERLINK("https://boxd.it/2a6Q","open")</f>
        <v>open</v>
      </c>
      <c r="M1867" s="4" t="str">
        <f aca="false">LOWER(A1867)&amp;"|"&amp;B1867</f>
        <v>rear window|1954</v>
      </c>
      <c r="N1867" s="4" t="n">
        <v>0</v>
      </c>
      <c r="O1867" s="4" t="n">
        <v>1</v>
      </c>
      <c r="P1867" s="4" t="n">
        <v>0</v>
      </c>
      <c r="Q1867" s="4" t="n">
        <v>1</v>
      </c>
      <c r="R1867" s="4" t="n">
        <v>1</v>
      </c>
      <c r="S1867" s="4" t="n">
        <v>1</v>
      </c>
      <c r="T1867" s="4" t="n">
        <v>0</v>
      </c>
      <c r="U1867" s="4" t="n">
        <v>0</v>
      </c>
      <c r="V1867" s="4" t="n">
        <v>1</v>
      </c>
      <c r="W1867" s="4" t="n">
        <v>0</v>
      </c>
    </row>
    <row r="1868" customFormat="false" ht="15" hidden="false" customHeight="false" outlineLevel="0" collapsed="false">
      <c r="A1868" s="4" t="s">
        <v>739</v>
      </c>
      <c r="B1868" s="4" t="n">
        <v>1940</v>
      </c>
      <c r="C1868" s="4" t="str">
        <f aca="false">FLOOR(B1868,10)&amp;"s"</f>
        <v>1940s</v>
      </c>
      <c r="D1868" s="4" t="s">
        <v>162</v>
      </c>
      <c r="E1868" s="25" t="str">
        <f aca="false">IF(G1868=1,"✓","")</f>
        <v/>
      </c>
      <c r="F1868" s="4" t="n">
        <v>2</v>
      </c>
      <c r="G1868" s="4" t="n">
        <f aca="false">IF(COUNTIF('Letterboxd Watched'!$E$2:$E$3000,M1868)&gt;0,1,0)</f>
        <v>0</v>
      </c>
      <c r="H1868" s="4" t="n">
        <v>5</v>
      </c>
      <c r="I1868" s="4" t="s">
        <v>144</v>
      </c>
      <c r="J1868" s="4" t="s">
        <v>53</v>
      </c>
      <c r="K1868" s="4" t="s">
        <v>5737</v>
      </c>
      <c r="L1868" s="48" t="str">
        <f aca="false">HYPERLINK("https://boxd.it/2aQa","open")</f>
        <v>open</v>
      </c>
      <c r="M1868" s="4" t="str">
        <f aca="false">LOWER(A1868)&amp;"|"&amp;B1868</f>
        <v>rebecca|1940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1</v>
      </c>
      <c r="S1868" s="4" t="n">
        <v>1</v>
      </c>
      <c r="T1868" s="4" t="n">
        <v>0</v>
      </c>
      <c r="U1868" s="4" t="n">
        <v>0</v>
      </c>
      <c r="V1868" s="4" t="n">
        <v>0</v>
      </c>
      <c r="W1868" s="4" t="n">
        <v>0</v>
      </c>
    </row>
    <row r="1869" customFormat="false" ht="15" hidden="false" customHeight="false" outlineLevel="0" collapsed="false">
      <c r="A1869" s="4" t="s">
        <v>269</v>
      </c>
      <c r="B1869" s="4" t="n">
        <v>1955</v>
      </c>
      <c r="C1869" s="4" t="str">
        <f aca="false">FLOOR(B1869,10)&amp;"s"</f>
        <v>1950s</v>
      </c>
      <c r="D1869" s="4" t="s">
        <v>270</v>
      </c>
      <c r="E1869" s="25" t="str">
        <f aca="false">IF(G1869=1,"✓","")</f>
        <v/>
      </c>
      <c r="F1869" s="4" t="n">
        <v>5</v>
      </c>
      <c r="G1869" s="4" t="n">
        <f aca="false">IF(COUNTIF('Letterboxd Watched'!$E$2:$E$3000,M1869)&gt;0,1,0)</f>
        <v>0</v>
      </c>
      <c r="H1869" s="4" t="n">
        <v>11</v>
      </c>
      <c r="I1869" s="4" t="s">
        <v>144</v>
      </c>
      <c r="J1869" s="4" t="s">
        <v>50</v>
      </c>
      <c r="K1869" s="4" t="s">
        <v>5738</v>
      </c>
      <c r="L1869" s="48" t="str">
        <f aca="false">HYPERLINK("https://boxd.it/2aQu","open")</f>
        <v>open</v>
      </c>
      <c r="M1869" s="4" t="str">
        <f aca="false">LOWER(A1869)&amp;"|"&amp;B1869</f>
        <v>rebel without a cause|1955</v>
      </c>
      <c r="N1869" s="4" t="n">
        <v>0</v>
      </c>
      <c r="O1869" s="4" t="n">
        <v>1</v>
      </c>
      <c r="P1869" s="4" t="n">
        <v>0</v>
      </c>
      <c r="Q1869" s="4" t="n">
        <v>0</v>
      </c>
      <c r="R1869" s="4" t="n">
        <v>1</v>
      </c>
      <c r="S1869" s="4" t="n">
        <v>1</v>
      </c>
      <c r="T1869" s="4" t="n">
        <v>1</v>
      </c>
      <c r="U1869" s="4" t="n">
        <v>0</v>
      </c>
      <c r="V1869" s="4" t="n">
        <v>1</v>
      </c>
      <c r="W1869" s="4" t="n">
        <v>0</v>
      </c>
    </row>
    <row r="1870" customFormat="false" ht="15" hidden="false" customHeight="false" outlineLevel="0" collapsed="false">
      <c r="A1870" s="4" t="s">
        <v>2548</v>
      </c>
      <c r="B1870" s="4" t="n">
        <v>1992</v>
      </c>
      <c r="C1870" s="4" t="str">
        <f aca="false">FLOOR(B1870,10)&amp;"s"</f>
        <v>1990s</v>
      </c>
      <c r="D1870" s="4" t="s">
        <v>1165</v>
      </c>
      <c r="E1870" s="25" t="str">
        <f aca="false">IF(G1870=1,"✓","")</f>
        <v/>
      </c>
      <c r="F1870" s="4" t="n">
        <v>1</v>
      </c>
      <c r="G1870" s="4" t="n">
        <f aca="false">IF(COUNTIF('Letterboxd Watched'!$E$2:$E$3000,M1870)&gt;0,1,0)</f>
        <v>0</v>
      </c>
      <c r="H1870" s="4" t="n">
        <v>2</v>
      </c>
      <c r="I1870" s="4" t="s">
        <v>213</v>
      </c>
      <c r="J1870" s="4" t="s">
        <v>53</v>
      </c>
      <c r="K1870" s="4" t="s">
        <v>4255</v>
      </c>
      <c r="L1870" s="48" t="str">
        <f aca="false">HYPERLINK("https://boxd.it/mp2","open")</f>
        <v>open</v>
      </c>
      <c r="M1870" s="4" t="str">
        <f aca="false">LOWER(A1870)&amp;"|"&amp;B1870</f>
        <v>rebels of the neon god|1992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1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</row>
    <row r="1871" customFormat="false" ht="15" hidden="false" customHeight="false" outlineLevel="0" collapsed="false">
      <c r="A1871" s="4" t="s">
        <v>1600</v>
      </c>
      <c r="B1871" s="4" t="n">
        <v>2007</v>
      </c>
      <c r="C1871" s="4" t="str">
        <f aca="false">FLOOR(B1871,10)&amp;"s"</f>
        <v>2000s</v>
      </c>
      <c r="D1871" s="4" t="s">
        <v>1601</v>
      </c>
      <c r="E1871" s="25" t="str">
        <f aca="false">IF(G1871=1,"✓","")</f>
        <v/>
      </c>
      <c r="F1871" s="4" t="n">
        <v>1</v>
      </c>
      <c r="G1871" s="4" t="n">
        <f aca="false">IF(COUNTIF('Letterboxd Watched'!$E$2:$E$3000,M1871)&gt;0,1,0)</f>
        <v>0</v>
      </c>
      <c r="H1871" s="4" t="n">
        <v>3</v>
      </c>
      <c r="I1871" s="4" t="s">
        <v>144</v>
      </c>
      <c r="J1871" s="4" t="s">
        <v>52</v>
      </c>
      <c r="K1871" s="4" t="s">
        <v>4076</v>
      </c>
      <c r="L1871" s="48" t="str">
        <f aca="false">HYPERLINK("https://boxd.it/20ma","open")</f>
        <v>open</v>
      </c>
      <c r="M1871" s="4" t="str">
        <f aca="false">LOWER(A1871)&amp;"|"&amp;B1871</f>
        <v>[rec]|2007</v>
      </c>
      <c r="N1871" s="4" t="n">
        <v>0</v>
      </c>
      <c r="O1871" s="4" t="n">
        <v>0</v>
      </c>
      <c r="P1871" s="4" t="n">
        <v>0</v>
      </c>
      <c r="Q1871" s="4" t="n">
        <v>1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 customFormat="false" ht="15" hidden="false" customHeight="false" outlineLevel="0" collapsed="false">
      <c r="A1872" s="4" t="s">
        <v>2099</v>
      </c>
      <c r="B1872" s="4" t="n">
        <v>1967</v>
      </c>
      <c r="C1872" s="4" t="str">
        <f aca="false">FLOOR(B1872,10)&amp;"s"</f>
        <v>1960s</v>
      </c>
      <c r="D1872" s="4" t="s">
        <v>771</v>
      </c>
      <c r="E1872" s="25" t="str">
        <f aca="false">IF(G1872=1,"✓","")</f>
        <v/>
      </c>
      <c r="F1872" s="4" t="n">
        <v>1</v>
      </c>
      <c r="G1872" s="4" t="n">
        <f aca="false">IF(COUNTIF('Letterboxd Watched'!$E$2:$E$3000,M1872)&gt;0,1,0)</f>
        <v>0</v>
      </c>
      <c r="H1872" s="4" t="n">
        <v>2</v>
      </c>
      <c r="I1872" s="4" t="s">
        <v>213</v>
      </c>
      <c r="J1872" s="4" t="s">
        <v>51</v>
      </c>
      <c r="K1872" s="4" t="s">
        <v>3998</v>
      </c>
      <c r="L1872" s="48" t="str">
        <f aca="false">HYPERLINK("https://boxd.it/xTM","open")</f>
        <v>open</v>
      </c>
      <c r="M1872" s="4" t="str">
        <f aca="false">LOWER(A1872)&amp;"|"&amp;B1872</f>
        <v>the red and the white|1967</v>
      </c>
      <c r="N1872" s="4" t="n">
        <v>0</v>
      </c>
      <c r="O1872" s="4" t="n">
        <v>0</v>
      </c>
      <c r="P1872" s="4" t="n">
        <v>1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</row>
    <row r="1873" customFormat="false" ht="15" hidden="false" customHeight="false" outlineLevel="0" collapsed="false">
      <c r="A1873" s="4" t="s">
        <v>2071</v>
      </c>
      <c r="B1873" s="4" t="n">
        <v>1965</v>
      </c>
      <c r="C1873" s="4" t="str">
        <f aca="false">FLOOR(B1873,10)&amp;"s"</f>
        <v>1960s</v>
      </c>
      <c r="D1873" s="4" t="s">
        <v>156</v>
      </c>
      <c r="E1873" s="25" t="str">
        <f aca="false">IF(G1873=1,"✓","")</f>
        <v/>
      </c>
      <c r="F1873" s="4" t="n">
        <v>1</v>
      </c>
      <c r="G1873" s="4" t="n">
        <f aca="false">IF(COUNTIF('Letterboxd Watched'!$E$2:$E$3000,M1873)&gt;0,1,0)</f>
        <v>0</v>
      </c>
      <c r="H1873" s="4" t="n">
        <v>2</v>
      </c>
      <c r="I1873" s="4" t="s">
        <v>213</v>
      </c>
      <c r="J1873" s="4" t="s">
        <v>53</v>
      </c>
      <c r="K1873" s="4" t="s">
        <v>156</v>
      </c>
      <c r="L1873" s="48" t="str">
        <f aca="false">HYPERLINK("https://boxd.it/251m","open")</f>
        <v>open</v>
      </c>
      <c r="M1873" s="4" t="str">
        <f aca="false">LOWER(A1873)&amp;"|"&amp;B1873</f>
        <v>red beard|1965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1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</row>
    <row r="1874" customFormat="false" ht="15" hidden="false" customHeight="false" outlineLevel="0" collapsed="false">
      <c r="A1874" s="4" t="s">
        <v>975</v>
      </c>
      <c r="B1874" s="4" t="n">
        <v>1964</v>
      </c>
      <c r="C1874" s="4" t="str">
        <f aca="false">FLOOR(B1874,10)&amp;"s"</f>
        <v>1960s</v>
      </c>
      <c r="D1874" s="4" t="s">
        <v>217</v>
      </c>
      <c r="E1874" s="25" t="str">
        <f aca="false">IF(G1874=1,"✓","")</f>
        <v/>
      </c>
      <c r="F1874" s="4" t="n">
        <v>2</v>
      </c>
      <c r="G1874" s="4" t="n">
        <f aca="false">IF(COUNTIF('Letterboxd Watched'!$E$2:$E$3000,M1874)&gt;0,1,0)</f>
        <v>0</v>
      </c>
      <c r="H1874" s="4" t="n">
        <v>4</v>
      </c>
      <c r="I1874" s="4" t="s">
        <v>213</v>
      </c>
      <c r="J1874" s="4" t="s">
        <v>51</v>
      </c>
      <c r="K1874" s="4" t="s">
        <v>5375</v>
      </c>
      <c r="L1874" s="48" t="str">
        <f aca="false">HYPERLINK("https://boxd.it/1ttW","open")</f>
        <v>open</v>
      </c>
      <c r="M1874" s="4" t="str">
        <f aca="false">LOWER(A1874)&amp;"|"&amp;B1874</f>
        <v>red desert|1964</v>
      </c>
      <c r="N1874" s="4" t="n">
        <v>0</v>
      </c>
      <c r="O1874" s="4" t="n">
        <v>0</v>
      </c>
      <c r="P1874" s="4" t="n">
        <v>1</v>
      </c>
      <c r="Q1874" s="4" t="n">
        <v>0</v>
      </c>
      <c r="R1874" s="4" t="n">
        <v>1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 customFormat="false" ht="15" hidden="false" customHeight="false" outlineLevel="0" collapsed="false">
      <c r="A1875" s="4" t="s">
        <v>1724</v>
      </c>
      <c r="B1875" s="4" t="n">
        <v>1932</v>
      </c>
      <c r="C1875" s="4" t="str">
        <f aca="false">FLOOR(B1875,10)&amp;"s"</f>
        <v>1930s</v>
      </c>
      <c r="D1875" s="4" t="s">
        <v>1725</v>
      </c>
      <c r="E1875" s="25" t="str">
        <f aca="false">IF(G1875=1,"✓","")</f>
        <v/>
      </c>
      <c r="F1875" s="4" t="n">
        <v>1</v>
      </c>
      <c r="G1875" s="4" t="n">
        <f aca="false">IF(COUNTIF('Letterboxd Watched'!$E$2:$E$3000,M1875)&gt;0,1,0)</f>
        <v>0</v>
      </c>
      <c r="H1875" s="4" t="n">
        <v>2</v>
      </c>
      <c r="I1875" s="4" t="s">
        <v>213</v>
      </c>
      <c r="J1875" s="4" t="s">
        <v>50</v>
      </c>
      <c r="K1875" s="4" t="s">
        <v>3908</v>
      </c>
      <c r="L1875" s="48" t="str">
        <f aca="false">HYPERLINK("https://letterboxd.com/search/films/RedHeaded+Woman+1932/","open")</f>
        <v>open</v>
      </c>
      <c r="M1875" s="4" t="str">
        <f aca="false">LOWER(A1875)&amp;"|"&amp;B1875</f>
        <v>red-headed woman|1932</v>
      </c>
      <c r="N1875" s="4" t="n">
        <v>0</v>
      </c>
      <c r="O1875" s="4" t="n">
        <v>1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 customFormat="false" ht="15" hidden="false" customHeight="false" outlineLevel="0" collapsed="false">
      <c r="A1876" s="4" t="s">
        <v>929</v>
      </c>
      <c r="B1876" s="4" t="n">
        <v>1948</v>
      </c>
      <c r="C1876" s="4" t="str">
        <f aca="false">FLOOR(B1876,10)&amp;"s"</f>
        <v>1940s</v>
      </c>
      <c r="D1876" s="4" t="s">
        <v>168</v>
      </c>
      <c r="E1876" s="25" t="str">
        <f aca="false">IF(G1876=1,"✓","")</f>
        <v/>
      </c>
      <c r="F1876" s="4" t="n">
        <v>2</v>
      </c>
      <c r="G1876" s="4" t="n">
        <f aca="false">IF(COUNTIF('Letterboxd Watched'!$E$2:$E$3000,M1876)&gt;0,1,0)</f>
        <v>0</v>
      </c>
      <c r="H1876" s="4" t="n">
        <v>4</v>
      </c>
      <c r="I1876" s="4" t="s">
        <v>213</v>
      </c>
      <c r="J1876" s="4" t="s">
        <v>52</v>
      </c>
      <c r="K1876" s="4" t="s">
        <v>5739</v>
      </c>
      <c r="L1876" s="48" t="str">
        <f aca="false">HYPERLINK("https://boxd.it/25Lu","open")</f>
        <v>open</v>
      </c>
      <c r="M1876" s="4" t="str">
        <f aca="false">LOWER(A1876)&amp;"|"&amp;B1876</f>
        <v>red river|1948</v>
      </c>
      <c r="N1876" s="4" t="n">
        <v>0</v>
      </c>
      <c r="O1876" s="4" t="n">
        <v>0</v>
      </c>
      <c r="P1876" s="4" t="n">
        <v>0</v>
      </c>
      <c r="Q1876" s="4" t="n">
        <v>1</v>
      </c>
      <c r="R1876" s="4" t="n">
        <v>1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</row>
    <row r="1877" customFormat="false" ht="15" hidden="false" customHeight="false" outlineLevel="0" collapsed="false">
      <c r="A1877" s="4" t="s">
        <v>3675</v>
      </c>
      <c r="B1877" s="4" t="n">
        <v>1993</v>
      </c>
      <c r="C1877" s="4" t="str">
        <f aca="false">FLOOR(B1877,10)&amp;"s"</f>
        <v>1990s</v>
      </c>
      <c r="D1877" s="4" t="s">
        <v>1562</v>
      </c>
      <c r="E1877" s="25" t="str">
        <f aca="false">IF(G1877=1,"✓","")</f>
        <v/>
      </c>
      <c r="F1877" s="4" t="n">
        <v>1</v>
      </c>
      <c r="G1877" s="4" t="n">
        <f aca="false">IF(COUNTIF('Letterboxd Watched'!$E$2:$E$3000,M1877)&gt;0,1,0)</f>
        <v>0</v>
      </c>
      <c r="H1877" s="4" t="n">
        <v>1</v>
      </c>
      <c r="I1877" s="4" t="s">
        <v>1327</v>
      </c>
      <c r="J1877" s="4" t="s">
        <v>52</v>
      </c>
      <c r="K1877" s="4" t="s">
        <v>4044</v>
      </c>
      <c r="L1877" s="48" t="str">
        <f aca="false">HYPERLINK("https://letterboxd.com/search/films/Red+Rock+West+1993/","open")</f>
        <v>open</v>
      </c>
      <c r="M1877" s="4" t="str">
        <f aca="false">LOWER(A1877)&amp;"|"&amp;B1877</f>
        <v>red rock west|1993</v>
      </c>
      <c r="N1877" s="4" t="n">
        <v>0</v>
      </c>
      <c r="O1877" s="4" t="n">
        <v>0</v>
      </c>
      <c r="P1877" s="4" t="n">
        <v>0</v>
      </c>
      <c r="Q1877" s="4" t="n">
        <v>1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 customFormat="false" ht="15" hidden="false" customHeight="false" outlineLevel="0" collapsed="false">
      <c r="A1878" s="4" t="s">
        <v>452</v>
      </c>
      <c r="B1878" s="4" t="n">
        <v>1948</v>
      </c>
      <c r="C1878" s="4" t="str">
        <f aca="false">FLOOR(B1878,10)&amp;"s"</f>
        <v>1940s</v>
      </c>
      <c r="D1878" s="4" t="s">
        <v>453</v>
      </c>
      <c r="E1878" s="25" t="str">
        <f aca="false">IF(G1878=1,"✓","")</f>
        <v/>
      </c>
      <c r="F1878" s="4" t="n">
        <v>3</v>
      </c>
      <c r="G1878" s="4" t="n">
        <f aca="false">IF(COUNTIF('Letterboxd Watched'!$E$2:$E$3000,M1878)&gt;0,1,0)</f>
        <v>0</v>
      </c>
      <c r="H1878" s="4" t="n">
        <v>7</v>
      </c>
      <c r="I1878" s="4" t="s">
        <v>144</v>
      </c>
      <c r="J1878" s="4" t="s">
        <v>49</v>
      </c>
      <c r="K1878" s="4" t="s">
        <v>5740</v>
      </c>
      <c r="L1878" s="48" t="str">
        <f aca="false">HYPERLINK("https://boxd.it/1EXI","open")</f>
        <v>open</v>
      </c>
      <c r="M1878" s="4" t="str">
        <f aca="false">LOWER(A1878)&amp;"|"&amp;B1878</f>
        <v>the red shoes|1948</v>
      </c>
      <c r="N1878" s="4" t="n">
        <v>1</v>
      </c>
      <c r="O1878" s="4" t="n">
        <v>0</v>
      </c>
      <c r="P1878" s="4" t="n">
        <v>1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1</v>
      </c>
      <c r="W1878" s="4" t="n">
        <v>0</v>
      </c>
    </row>
    <row r="1879" customFormat="false" ht="15" hidden="false" customHeight="false" outlineLevel="0" collapsed="false">
      <c r="A1879" s="4" t="s">
        <v>2466</v>
      </c>
      <c r="B1879" s="4" t="n">
        <v>1988</v>
      </c>
      <c r="C1879" s="4" t="str">
        <f aca="false">FLOOR(B1879,10)&amp;"s"</f>
        <v>1980s</v>
      </c>
      <c r="D1879" s="4" t="s">
        <v>1541</v>
      </c>
      <c r="E1879" s="25" t="str">
        <f aca="false">IF(G1879=1,"✓","")</f>
        <v/>
      </c>
      <c r="F1879" s="4" t="n">
        <v>1</v>
      </c>
      <c r="G1879" s="4" t="n">
        <f aca="false">IF(COUNTIF('Letterboxd Watched'!$E$2:$E$3000,M1879)&gt;0,1,0)</f>
        <v>0</v>
      </c>
      <c r="H1879" s="4" t="n">
        <v>2</v>
      </c>
      <c r="I1879" s="4" t="s">
        <v>213</v>
      </c>
      <c r="J1879" s="4" t="s">
        <v>51</v>
      </c>
      <c r="K1879" s="4" t="s">
        <v>4020</v>
      </c>
      <c r="L1879" s="48" t="str">
        <f aca="false">HYPERLINK("https://boxd.it/XYo","open")</f>
        <v>open</v>
      </c>
      <c r="M1879" s="4" t="str">
        <f aca="false">LOWER(A1879)&amp;"|"&amp;B1879</f>
        <v>red sorghum|1988</v>
      </c>
      <c r="N1879" s="4" t="n">
        <v>0</v>
      </c>
      <c r="O1879" s="4" t="n">
        <v>0</v>
      </c>
      <c r="P1879" s="4" t="n">
        <v>1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 customFormat="false" ht="15" hidden="false" customHeight="false" outlineLevel="0" collapsed="false">
      <c r="A1880" s="4" t="s">
        <v>1769</v>
      </c>
      <c r="B1880" s="4" t="n">
        <v>1936</v>
      </c>
      <c r="C1880" s="4" t="str">
        <f aca="false">FLOOR(B1880,10)&amp;"s"</f>
        <v>1930s</v>
      </c>
      <c r="D1880" s="4" t="s">
        <v>1770</v>
      </c>
      <c r="E1880" s="25" t="str">
        <f aca="false">IF(G1880=1,"✓","")</f>
        <v/>
      </c>
      <c r="F1880" s="4" t="n">
        <v>1</v>
      </c>
      <c r="G1880" s="4" t="n">
        <f aca="false">IF(COUNTIF('Letterboxd Watched'!$E$2:$E$3000,M1880)&gt;0,1,0)</f>
        <v>0</v>
      </c>
      <c r="H1880" s="4" t="n">
        <v>2</v>
      </c>
      <c r="I1880" s="4" t="s">
        <v>213</v>
      </c>
      <c r="J1880" s="4" t="s">
        <v>57</v>
      </c>
      <c r="K1880" s="4" t="s">
        <v>4448</v>
      </c>
      <c r="L1880" s="48" t="str">
        <f aca="false">HYPERLINK("https://letterboxd.com/search/films/Redes+1936/","open")</f>
        <v>open</v>
      </c>
      <c r="M1880" s="4" t="str">
        <f aca="false">LOWER(A1880)&amp;"|"&amp;B1880</f>
        <v>redes|1936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1</v>
      </c>
      <c r="W1880" s="4" t="n">
        <v>0</v>
      </c>
    </row>
    <row r="1881" customFormat="false" ht="15" hidden="false" customHeight="false" outlineLevel="0" collapsed="false">
      <c r="A1881" s="4" t="s">
        <v>3600</v>
      </c>
      <c r="B1881" s="4" t="n">
        <v>1981</v>
      </c>
      <c r="C1881" s="4" t="str">
        <f aca="false">FLOOR(B1881,10)&amp;"s"</f>
        <v>1980s</v>
      </c>
      <c r="D1881" s="4" t="s">
        <v>3601</v>
      </c>
      <c r="E1881" s="25" t="str">
        <f aca="false">IF(G1881=1,"✓","")</f>
        <v/>
      </c>
      <c r="F1881" s="4" t="n">
        <v>1</v>
      </c>
      <c r="G1881" s="4" t="n">
        <f aca="false">IF(COUNTIF('Letterboxd Watched'!$E$2:$E$3000,M1881)&gt;0,1,0)</f>
        <v>0</v>
      </c>
      <c r="H1881" s="4" t="n">
        <v>1</v>
      </c>
      <c r="I1881" s="4" t="s">
        <v>1327</v>
      </c>
      <c r="J1881" s="4" t="s">
        <v>55</v>
      </c>
      <c r="K1881" s="4" t="s">
        <v>4374</v>
      </c>
      <c r="L1881" s="48" t="str">
        <f aca="false">HYPERLINK("https://boxd.it/1Hhq","open")</f>
        <v>open</v>
      </c>
      <c r="M1881" s="4" t="str">
        <f aca="false">LOWER(A1881)&amp;"|"&amp;B1881</f>
        <v>reds|1981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1</v>
      </c>
      <c r="U1881" s="4" t="n">
        <v>0</v>
      </c>
      <c r="V1881" s="4" t="n">
        <v>0</v>
      </c>
      <c r="W1881" s="4" t="n">
        <v>0</v>
      </c>
    </row>
    <row r="1882" customFormat="false" ht="15" hidden="false" customHeight="false" outlineLevel="0" collapsed="false">
      <c r="A1882" s="4" t="s">
        <v>1765</v>
      </c>
      <c r="B1882" s="4" t="n">
        <v>1936</v>
      </c>
      <c r="C1882" s="4" t="str">
        <f aca="false">FLOOR(B1882,10)&amp;"s"</f>
        <v>1930s</v>
      </c>
      <c r="D1882" s="4" t="s">
        <v>1766</v>
      </c>
      <c r="E1882" s="25" t="str">
        <f aca="false">IF(G1882=1,"✓","")</f>
        <v/>
      </c>
      <c r="F1882" s="4" t="n">
        <v>1</v>
      </c>
      <c r="G1882" s="4" t="n">
        <f aca="false">IF(COUNTIF('Letterboxd Watched'!$E$2:$E$3000,M1882)&gt;0,1,0)</f>
        <v>0</v>
      </c>
      <c r="H1882" s="4" t="n">
        <v>2</v>
      </c>
      <c r="I1882" s="4" t="s">
        <v>213</v>
      </c>
      <c r="J1882" s="4" t="s">
        <v>54</v>
      </c>
      <c r="K1882" s="4" t="s">
        <v>4306</v>
      </c>
      <c r="L1882" s="48" t="str">
        <f aca="false">HYPERLINK("https://letterboxd.com/search/films/Reefer+Madness+1936/","open")</f>
        <v>open</v>
      </c>
      <c r="M1882" s="4" t="str">
        <f aca="false">LOWER(A1882)&amp;"|"&amp;B1882</f>
        <v>reefer madness|1936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1</v>
      </c>
      <c r="T1882" s="4" t="n">
        <v>0</v>
      </c>
      <c r="U1882" s="4" t="n">
        <v>0</v>
      </c>
      <c r="V1882" s="4" t="n">
        <v>0</v>
      </c>
      <c r="W1882" s="4" t="n">
        <v>0</v>
      </c>
    </row>
    <row r="1883" customFormat="false" ht="15" hidden="false" customHeight="false" outlineLevel="0" collapsed="false">
      <c r="A1883" s="4" t="s">
        <v>3852</v>
      </c>
      <c r="B1883" s="4" t="n">
        <v>2020</v>
      </c>
      <c r="C1883" s="4" t="str">
        <f aca="false">FLOOR(B1883,10)&amp;"s"</f>
        <v>2020s</v>
      </c>
      <c r="D1883" s="4" t="s">
        <v>3853</v>
      </c>
      <c r="E1883" s="25" t="str">
        <f aca="false">IF(G1883=1,"✓","")</f>
        <v/>
      </c>
      <c r="F1883" s="4" t="n">
        <v>1</v>
      </c>
      <c r="G1883" s="4" t="n">
        <f aca="false">IF(COUNTIF('Letterboxd Watched'!$E$2:$E$3000,M1883)&gt;0,1,0)</f>
        <v>0</v>
      </c>
      <c r="H1883" s="4" t="n">
        <v>1</v>
      </c>
      <c r="I1883" s="4" t="s">
        <v>1327</v>
      </c>
      <c r="J1883" s="4" t="s">
        <v>52</v>
      </c>
      <c r="K1883" s="4" t="s">
        <v>4078</v>
      </c>
      <c r="L1883" s="48" t="str">
        <f aca="false">HYPERLINK("https://letterboxd.com/search/films/Relic+2020/","open")</f>
        <v>open</v>
      </c>
      <c r="M1883" s="4" t="str">
        <f aca="false">LOWER(A1883)&amp;"|"&amp;B1883</f>
        <v>relic|2020</v>
      </c>
      <c r="N1883" s="4" t="n">
        <v>0</v>
      </c>
      <c r="O1883" s="4" t="n">
        <v>0</v>
      </c>
      <c r="P1883" s="4" t="n">
        <v>0</v>
      </c>
      <c r="Q1883" s="4" t="n">
        <v>1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 customFormat="false" ht="15" hidden="false" customHeight="false" outlineLevel="0" collapsed="false">
      <c r="A1884" s="4" t="s">
        <v>3335</v>
      </c>
      <c r="B1884" s="4" t="n">
        <v>1940</v>
      </c>
      <c r="C1884" s="4" t="str">
        <f aca="false">FLOOR(B1884,10)&amp;"s"</f>
        <v>1940s</v>
      </c>
      <c r="D1884" s="4" t="s">
        <v>3325</v>
      </c>
      <c r="E1884" s="25" t="str">
        <f aca="false">IF(G1884=1,"✓","")</f>
        <v/>
      </c>
      <c r="F1884" s="4" t="n">
        <v>1</v>
      </c>
      <c r="G1884" s="4" t="n">
        <f aca="false">IF(COUNTIF('Letterboxd Watched'!$E$2:$E$3000,M1884)&gt;0,1,0)</f>
        <v>0</v>
      </c>
      <c r="H1884" s="4" t="n">
        <v>1</v>
      </c>
      <c r="I1884" s="4" t="s">
        <v>1327</v>
      </c>
      <c r="J1884" s="4" t="s">
        <v>56</v>
      </c>
      <c r="K1884" s="4" t="s">
        <v>4420</v>
      </c>
      <c r="L1884" s="48" t="str">
        <f aca="false">HYPERLINK("https://boxd.it/1n50","open")</f>
        <v>open</v>
      </c>
      <c r="M1884" s="4" t="str">
        <f aca="false">LOWER(A1884)&amp;"|"&amp;B1884</f>
        <v>remember the night|1940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1</v>
      </c>
      <c r="V1884" s="4" t="n">
        <v>0</v>
      </c>
      <c r="W1884" s="4" t="n">
        <v>0</v>
      </c>
    </row>
    <row r="1885" customFormat="false" ht="15" hidden="false" customHeight="false" outlineLevel="0" collapsed="false">
      <c r="A1885" s="4" t="s">
        <v>2313</v>
      </c>
      <c r="B1885" s="4" t="n">
        <v>1978</v>
      </c>
      <c r="C1885" s="4" t="str">
        <f aca="false">FLOOR(B1885,10)&amp;"s"</f>
        <v>1970s</v>
      </c>
      <c r="D1885" s="4" t="s">
        <v>185</v>
      </c>
      <c r="E1885" s="25" t="str">
        <f aca="false">IF(G1885=1,"✓","")</f>
        <v/>
      </c>
      <c r="F1885" s="4" t="n">
        <v>1</v>
      </c>
      <c r="G1885" s="4" t="n">
        <f aca="false">IF(COUNTIF('Letterboxd Watched'!$E$2:$E$3000,M1885)&gt;0,1,0)</f>
        <v>0</v>
      </c>
      <c r="H1885" s="4" t="n">
        <v>2</v>
      </c>
      <c r="I1885" s="4" t="s">
        <v>213</v>
      </c>
      <c r="J1885" s="4" t="s">
        <v>53</v>
      </c>
      <c r="K1885" s="4" t="s">
        <v>185</v>
      </c>
      <c r="L1885" s="48" t="str">
        <f aca="false">HYPERLINK("https://letterboxd.com/search/films/Les+Rendezvous+dAnna+1978/","open")</f>
        <v>open</v>
      </c>
      <c r="M1885" s="4" t="str">
        <f aca="false">LOWER(A1885)&amp;"|"&amp;B1885</f>
        <v>les rendez-vous d'anna|1978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1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</row>
    <row r="1886" customFormat="false" ht="15" hidden="false" customHeight="false" outlineLevel="0" collapsed="false">
      <c r="A1886" s="4" t="s">
        <v>1886</v>
      </c>
      <c r="B1886" s="4" t="n">
        <v>1951</v>
      </c>
      <c r="C1886" s="4" t="str">
        <f aca="false">FLOOR(B1886,10)&amp;"s"</f>
        <v>1950s</v>
      </c>
      <c r="D1886" s="4" t="s">
        <v>759</v>
      </c>
      <c r="E1886" s="25" t="str">
        <f aca="false">IF(G1886=1,"✓","")</f>
        <v/>
      </c>
      <c r="F1886" s="4" t="n">
        <v>1</v>
      </c>
      <c r="G1886" s="4" t="n">
        <f aca="false">IF(COUNTIF('Letterboxd Watched'!$E$2:$E$3000,M1886)&gt;0,1,0)</f>
        <v>0</v>
      </c>
      <c r="H1886" s="4" t="n">
        <v>2</v>
      </c>
      <c r="I1886" s="4" t="s">
        <v>213</v>
      </c>
      <c r="J1886" s="4" t="s">
        <v>53</v>
      </c>
      <c r="K1886" s="4" t="s">
        <v>4246</v>
      </c>
      <c r="L1886" s="48" t="str">
        <f aca="false">HYPERLINK("https://letterboxd.com/search/films/Repast+1951/","open")</f>
        <v>open</v>
      </c>
      <c r="M1886" s="4" t="str">
        <f aca="false">LOWER(A1886)&amp;"|"&amp;B1886</f>
        <v>repast|1951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1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</row>
    <row r="1887" customFormat="false" ht="15" hidden="false" customHeight="false" outlineLevel="0" collapsed="false">
      <c r="A1887" s="4" t="s">
        <v>2398</v>
      </c>
      <c r="B1887" s="4" t="n">
        <v>1984</v>
      </c>
      <c r="C1887" s="4" t="str">
        <f aca="false">FLOOR(B1887,10)&amp;"s"</f>
        <v>1980s</v>
      </c>
      <c r="D1887" s="4" t="s">
        <v>2399</v>
      </c>
      <c r="E1887" s="25" t="str">
        <f aca="false">IF(G1887=1,"✓","")</f>
        <v/>
      </c>
      <c r="F1887" s="4" t="n">
        <v>1</v>
      </c>
      <c r="G1887" s="4" t="n">
        <f aca="false">IF(COUNTIF('Letterboxd Watched'!$E$2:$E$3000,M1887)&gt;0,1,0)</f>
        <v>0</v>
      </c>
      <c r="H1887" s="4" t="n">
        <v>2</v>
      </c>
      <c r="I1887" s="4" t="s">
        <v>213</v>
      </c>
      <c r="J1887" s="4" t="s">
        <v>51</v>
      </c>
      <c r="K1887" s="4" t="s">
        <v>3990</v>
      </c>
      <c r="L1887" s="48" t="str">
        <f aca="false">HYPERLINK("https://letterboxd.com/search/films/Repentance+1984/","open")</f>
        <v>open</v>
      </c>
      <c r="M1887" s="4" t="str">
        <f aca="false">LOWER(A1887)&amp;"|"&amp;B1887</f>
        <v>repentance|1984</v>
      </c>
      <c r="N1887" s="4" t="n">
        <v>0</v>
      </c>
      <c r="O1887" s="4" t="n">
        <v>0</v>
      </c>
      <c r="P1887" s="4" t="n">
        <v>1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</row>
    <row r="1888" customFormat="false" ht="15" hidden="false" customHeight="false" outlineLevel="0" collapsed="false">
      <c r="A1888" s="4" t="s">
        <v>1067</v>
      </c>
      <c r="B1888" s="4" t="n">
        <v>1984</v>
      </c>
      <c r="C1888" s="4" t="str">
        <f aca="false">FLOOR(B1888,10)&amp;"s"</f>
        <v>1980s</v>
      </c>
      <c r="D1888" s="4" t="s">
        <v>1068</v>
      </c>
      <c r="E1888" s="25" t="str">
        <f aca="false">IF(G1888=1,"✓","")</f>
        <v/>
      </c>
      <c r="F1888" s="4" t="n">
        <v>2</v>
      </c>
      <c r="G1888" s="4" t="n">
        <f aca="false">IF(COUNTIF('Letterboxd Watched'!$E$2:$E$3000,M1888)&gt;0,1,0)</f>
        <v>0</v>
      </c>
      <c r="H1888" s="4" t="n">
        <v>4</v>
      </c>
      <c r="I1888" s="4" t="s">
        <v>213</v>
      </c>
      <c r="J1888" s="4" t="s">
        <v>55</v>
      </c>
      <c r="K1888" s="4" t="s">
        <v>5741</v>
      </c>
      <c r="L1888" s="48" t="str">
        <f aca="false">HYPERLINK("https://boxd.it/1Plg","open")</f>
        <v>open</v>
      </c>
      <c r="M1888" s="4" t="str">
        <f aca="false">LOWER(A1888)&amp;"|"&amp;B1888</f>
        <v>repo man|1984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1</v>
      </c>
      <c r="U1888" s="4" t="n">
        <v>1</v>
      </c>
      <c r="V1888" s="4" t="n">
        <v>0</v>
      </c>
      <c r="W1888" s="4" t="n">
        <v>0</v>
      </c>
    </row>
    <row r="1889" customFormat="false" ht="15" hidden="false" customHeight="false" outlineLevel="0" collapsed="false">
      <c r="A1889" s="4" t="s">
        <v>1333</v>
      </c>
      <c r="B1889" s="4" t="n">
        <v>1966</v>
      </c>
      <c r="C1889" s="4" t="str">
        <f aca="false">FLOOR(B1889,10)&amp;"s"</f>
        <v>1960s</v>
      </c>
      <c r="D1889" s="4" t="s">
        <v>980</v>
      </c>
      <c r="E1889" s="25" t="str">
        <f aca="false">IF(G1889=1,"✓","")</f>
        <v/>
      </c>
      <c r="F1889" s="4" t="n">
        <v>2</v>
      </c>
      <c r="G1889" s="4" t="n">
        <f aca="false">IF(COUNTIF('Letterboxd Watched'!$E$2:$E$3000,M1889)&gt;0,1,0)</f>
        <v>0</v>
      </c>
      <c r="H1889" s="4" t="n">
        <v>3</v>
      </c>
      <c r="I1889" s="4" t="s">
        <v>213</v>
      </c>
      <c r="J1889" s="4" t="s">
        <v>51</v>
      </c>
      <c r="K1889" s="4" t="s">
        <v>5327</v>
      </c>
      <c r="L1889" s="48" t="str">
        <f aca="false">HYPERLINK("https://letterboxd.com/search/films/A+Report+on+the+Party+and+Guests+1966/","open")</f>
        <v>open</v>
      </c>
      <c r="M1889" s="4" t="str">
        <f aca="false">LOWER(A1889)&amp;"|"&amp;B1889</f>
        <v>a report on the party and guests|1966</v>
      </c>
      <c r="N1889" s="4" t="n">
        <v>0</v>
      </c>
      <c r="O1889" s="4" t="n">
        <v>0</v>
      </c>
      <c r="P1889" s="4" t="n">
        <v>1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1</v>
      </c>
      <c r="W1889" s="4" t="n">
        <v>0</v>
      </c>
    </row>
    <row r="1890" customFormat="false" ht="15" hidden="false" customHeight="false" outlineLevel="0" collapsed="false">
      <c r="A1890" s="4" t="s">
        <v>986</v>
      </c>
      <c r="B1890" s="4" t="n">
        <v>1965</v>
      </c>
      <c r="C1890" s="4" t="str">
        <f aca="false">FLOOR(B1890,10)&amp;"s"</f>
        <v>1960s</v>
      </c>
      <c r="D1890" s="4" t="s">
        <v>195</v>
      </c>
      <c r="E1890" s="25" t="str">
        <f aca="false">IF(G1890=1,"✓","")</f>
        <v/>
      </c>
      <c r="F1890" s="4" t="n">
        <v>2</v>
      </c>
      <c r="G1890" s="4" t="n">
        <f aca="false">IF(COUNTIF('Letterboxd Watched'!$E$2:$E$3000,M1890)&gt;0,1,0)</f>
        <v>0</v>
      </c>
      <c r="H1890" s="4" t="n">
        <v>4</v>
      </c>
      <c r="I1890" s="4" t="s">
        <v>213</v>
      </c>
      <c r="J1890" s="4" t="s">
        <v>51</v>
      </c>
      <c r="K1890" s="4" t="s">
        <v>5742</v>
      </c>
      <c r="L1890" s="48" t="str">
        <f aca="false">HYPERLINK("https://boxd.it/1TKu","open")</f>
        <v>open</v>
      </c>
      <c r="M1890" s="4" t="str">
        <f aca="false">LOWER(A1890)&amp;"|"&amp;B1890</f>
        <v>repulsion|1965</v>
      </c>
      <c r="N1890" s="4" t="n">
        <v>0</v>
      </c>
      <c r="O1890" s="4" t="n">
        <v>0</v>
      </c>
      <c r="P1890" s="4" t="n">
        <v>1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1</v>
      </c>
    </row>
    <row r="1891" customFormat="false" ht="15" hidden="false" customHeight="false" outlineLevel="0" collapsed="false">
      <c r="A1891" s="4" t="s">
        <v>2279</v>
      </c>
      <c r="B1891" s="4" t="n">
        <v>1975</v>
      </c>
      <c r="C1891" s="4" t="str">
        <f aca="false">FLOOR(B1891,10)&amp;"s"</f>
        <v>1970s</v>
      </c>
      <c r="D1891" s="4" t="s">
        <v>2280</v>
      </c>
      <c r="E1891" s="25" t="str">
        <f aca="false">IF(G1891=1,"✓","")</f>
        <v/>
      </c>
      <c r="F1891" s="4" t="n">
        <v>1</v>
      </c>
      <c r="G1891" s="4" t="n">
        <f aca="false">IF(COUNTIF('Letterboxd Watched'!$E$2:$E$3000,M1891)&gt;0,1,0)</f>
        <v>0</v>
      </c>
      <c r="H1891" s="4" t="n">
        <v>2</v>
      </c>
      <c r="I1891" s="4" t="s">
        <v>213</v>
      </c>
      <c r="J1891" s="4" t="s">
        <v>57</v>
      </c>
      <c r="K1891" s="4" t="s">
        <v>4442</v>
      </c>
      <c r="L1891" s="48" t="str">
        <f aca="false">HYPERLINK("https://letterboxd.com/search/films/Requiem+for+a+Village+1975/","open")</f>
        <v>open</v>
      </c>
      <c r="M1891" s="4" t="str">
        <f aca="false">LOWER(A1891)&amp;"|"&amp;B1891</f>
        <v>requiem for a village|1975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1</v>
      </c>
      <c r="W1891" s="4" t="n">
        <v>0</v>
      </c>
    </row>
    <row r="1892" customFormat="false" ht="15" hidden="false" customHeight="false" outlineLevel="0" collapsed="false">
      <c r="A1892" s="4" t="s">
        <v>3272</v>
      </c>
      <c r="B1892" s="4" t="n">
        <v>1905</v>
      </c>
      <c r="C1892" s="4" t="str">
        <f aca="false">FLOOR(B1892,10)&amp;"s"</f>
        <v>1900s</v>
      </c>
      <c r="D1892" s="4" t="s">
        <v>3273</v>
      </c>
      <c r="E1892" s="25" t="str">
        <f aca="false">IF(G1892=1,"✓","")</f>
        <v/>
      </c>
      <c r="F1892" s="4" t="n">
        <v>1</v>
      </c>
      <c r="G1892" s="4" t="n">
        <f aca="false">IF(COUNTIF('Letterboxd Watched'!$E$2:$E$3000,M1892)&gt;0,1,0)</f>
        <v>0</v>
      </c>
      <c r="H1892" s="4" t="n">
        <v>1</v>
      </c>
      <c r="I1892" s="4" t="s">
        <v>1327</v>
      </c>
      <c r="J1892" s="4" t="s">
        <v>50</v>
      </c>
      <c r="K1892" s="4" t="s">
        <v>3892</v>
      </c>
      <c r="L1892" s="48" t="str">
        <f aca="false">HYPERLINK("https://letterboxd.com/search/films/Rescued+by+Rover+1905/","open")</f>
        <v>open</v>
      </c>
      <c r="M1892" s="4" t="str">
        <f aca="false">LOWER(A1892)&amp;"|"&amp;B1892</f>
        <v>rescued by rover|1905</v>
      </c>
      <c r="N1892" s="4" t="n">
        <v>0</v>
      </c>
      <c r="O1892" s="4" t="n">
        <v>1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</row>
    <row r="1893" customFormat="false" ht="15" hidden="false" customHeight="false" outlineLevel="0" collapsed="false">
      <c r="A1893" s="4" t="s">
        <v>258</v>
      </c>
      <c r="B1893" s="4" t="n">
        <v>1992</v>
      </c>
      <c r="C1893" s="4" t="str">
        <f aca="false">FLOOR(B1893,10)&amp;"s"</f>
        <v>1990s</v>
      </c>
      <c r="D1893" s="4" t="s">
        <v>208</v>
      </c>
      <c r="E1893" s="25" t="str">
        <f aca="false">IF(G1893=1,"✓","")</f>
        <v>✓</v>
      </c>
      <c r="F1893" s="4" t="n">
        <v>5</v>
      </c>
      <c r="G1893" s="4" t="n">
        <f aca="false">IF(COUNTIF('Letterboxd Watched'!$E$2:$E$3000,M1893)&gt;0,1,0)</f>
        <v>1</v>
      </c>
      <c r="H1893" s="4" t="n">
        <v>12</v>
      </c>
      <c r="I1893" s="4" t="s">
        <v>144</v>
      </c>
      <c r="J1893" s="4" t="s">
        <v>50</v>
      </c>
      <c r="K1893" s="4" t="s">
        <v>5743</v>
      </c>
      <c r="L1893" s="48" t="str">
        <f aca="false">HYPERLINK("https://boxd.it/2agc","open")</f>
        <v>open</v>
      </c>
      <c r="M1893" s="4" t="str">
        <f aca="false">LOWER(A1893)&amp;"|"&amp;B1893</f>
        <v>reservoir dogs|1992</v>
      </c>
      <c r="N1893" s="4" t="n">
        <v>0</v>
      </c>
      <c r="O1893" s="4" t="n">
        <v>1</v>
      </c>
      <c r="P1893" s="4" t="n">
        <v>0</v>
      </c>
      <c r="Q1893" s="4" t="n">
        <v>1</v>
      </c>
      <c r="R1893" s="4" t="n">
        <v>1</v>
      </c>
      <c r="S1893" s="4" t="n">
        <v>0</v>
      </c>
      <c r="T1893" s="4" t="n">
        <v>0</v>
      </c>
      <c r="U1893" s="4" t="n">
        <v>1</v>
      </c>
      <c r="V1893" s="4" t="n">
        <v>0</v>
      </c>
      <c r="W1893" s="4" t="n">
        <v>0</v>
      </c>
    </row>
    <row r="1894" customFormat="false" ht="15" hidden="false" customHeight="false" outlineLevel="0" collapsed="false">
      <c r="A1894" s="4" t="s">
        <v>3009</v>
      </c>
      <c r="B1894" s="4" t="n">
        <v>2012</v>
      </c>
      <c r="C1894" s="4" t="str">
        <f aca="false">FLOOR(B1894,10)&amp;"s"</f>
        <v>2010s</v>
      </c>
      <c r="D1894" s="4" t="s">
        <v>1119</v>
      </c>
      <c r="E1894" s="25" t="str">
        <f aca="false">IF(G1894=1,"✓","")</f>
        <v/>
      </c>
      <c r="F1894" s="4" t="n">
        <v>1</v>
      </c>
      <c r="G1894" s="4" t="n">
        <f aca="false">IF(COUNTIF('Letterboxd Watched'!$E$2:$E$3000,M1894)&gt;0,1,0)</f>
        <v>0</v>
      </c>
      <c r="H1894" s="4" t="n">
        <v>2</v>
      </c>
      <c r="I1894" s="4" t="s">
        <v>213</v>
      </c>
      <c r="J1894" s="4" t="s">
        <v>54</v>
      </c>
      <c r="K1894" s="4" t="s">
        <v>4310</v>
      </c>
      <c r="L1894" s="48" t="str">
        <f aca="false">HYPERLINK("https://letterboxd.com/search/films/Resident+Evil+Retribution+2012/","open")</f>
        <v>open</v>
      </c>
      <c r="M1894" s="4" t="str">
        <f aca="false">LOWER(A1894)&amp;"|"&amp;B1894</f>
        <v>resident evil: retribution|2012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1</v>
      </c>
      <c r="T1894" s="4" t="n">
        <v>0</v>
      </c>
      <c r="U1894" s="4" t="n">
        <v>0</v>
      </c>
      <c r="V1894" s="4" t="n">
        <v>0</v>
      </c>
      <c r="W1894" s="4" t="n">
        <v>0</v>
      </c>
    </row>
    <row r="1895" customFormat="false" ht="15" hidden="false" customHeight="false" outlineLevel="0" collapsed="false">
      <c r="A1895" s="4" t="s">
        <v>2946</v>
      </c>
      <c r="B1895" s="4" t="n">
        <v>2010</v>
      </c>
      <c r="C1895" s="4" t="str">
        <f aca="false">FLOOR(B1895,10)&amp;"s"</f>
        <v>2010s</v>
      </c>
      <c r="D1895" s="4" t="s">
        <v>2947</v>
      </c>
      <c r="E1895" s="25" t="str">
        <f aca="false">IF(G1895=1,"✓","")</f>
        <v/>
      </c>
      <c r="F1895" s="4" t="n">
        <v>1</v>
      </c>
      <c r="G1895" s="4" t="n">
        <f aca="false">IF(COUNTIF('Letterboxd Watched'!$E$2:$E$3000,M1895)&gt;0,1,0)</f>
        <v>0</v>
      </c>
      <c r="H1895" s="4" t="n">
        <v>2</v>
      </c>
      <c r="I1895" s="4" t="s">
        <v>213</v>
      </c>
      <c r="J1895" s="4" t="s">
        <v>52</v>
      </c>
      <c r="K1895" s="4" t="s">
        <v>4144</v>
      </c>
      <c r="L1895" s="48" t="str">
        <f aca="false">HYPERLINK("https://letterboxd.com/search/films/Restrepo+2010/","open")</f>
        <v>open</v>
      </c>
      <c r="M1895" s="4" t="str">
        <f aca="false">LOWER(A1895)&amp;"|"&amp;B1895</f>
        <v>restrepo|2010</v>
      </c>
      <c r="N1895" s="4" t="n">
        <v>0</v>
      </c>
      <c r="O1895" s="4" t="n">
        <v>0</v>
      </c>
      <c r="P1895" s="4" t="n">
        <v>0</v>
      </c>
      <c r="Q1895" s="4" t="n">
        <v>1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</row>
    <row r="1896" customFormat="false" ht="15" hidden="false" customHeight="false" outlineLevel="0" collapsed="false">
      <c r="A1896" s="4" t="s">
        <v>2414</v>
      </c>
      <c r="B1896" s="4" t="n">
        <v>1985</v>
      </c>
      <c r="C1896" s="4" t="str">
        <f aca="false">FLOOR(B1896,10)&amp;"s"</f>
        <v>1980s</v>
      </c>
      <c r="D1896" s="4" t="s">
        <v>2415</v>
      </c>
      <c r="E1896" s="25" t="str">
        <f aca="false">IF(G1896=1,"✓","")</f>
        <v/>
      </c>
      <c r="F1896" s="4" t="n">
        <v>1</v>
      </c>
      <c r="G1896" s="4" t="n">
        <f aca="false">IF(COUNTIF('Letterboxd Watched'!$E$2:$E$3000,M1896)&gt;0,1,0)</f>
        <v>0</v>
      </c>
      <c r="H1896" s="4" t="n">
        <v>2</v>
      </c>
      <c r="I1896" s="4" t="s">
        <v>213</v>
      </c>
      <c r="J1896" s="4" t="s">
        <v>52</v>
      </c>
      <c r="K1896" s="4" t="s">
        <v>4068</v>
      </c>
      <c r="L1896" s="48" t="str">
        <f aca="false">HYPERLINK("https://boxd.it/1V3W","open")</f>
        <v>open</v>
      </c>
      <c r="M1896" s="4" t="str">
        <f aca="false">LOWER(A1896)&amp;"|"&amp;B1896</f>
        <v>the return of the living dead|1985</v>
      </c>
      <c r="N1896" s="4" t="n">
        <v>0</v>
      </c>
      <c r="O1896" s="4" t="n">
        <v>0</v>
      </c>
      <c r="P1896" s="4" t="n">
        <v>0</v>
      </c>
      <c r="Q1896" s="4" t="n">
        <v>1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</row>
    <row r="1897" customFormat="false" ht="15" hidden="false" customHeight="false" outlineLevel="0" collapsed="false">
      <c r="A1897" s="4" t="s">
        <v>3074</v>
      </c>
      <c r="B1897" s="4" t="n">
        <v>2015</v>
      </c>
      <c r="C1897" s="4" t="str">
        <f aca="false">FLOOR(B1897,10)&amp;"s"</f>
        <v>2010s</v>
      </c>
      <c r="D1897" s="4" t="s">
        <v>1137</v>
      </c>
      <c r="E1897" s="25" t="str">
        <f aca="false">IF(G1897=1,"✓","")</f>
        <v>✓</v>
      </c>
      <c r="F1897" s="4" t="n">
        <v>1</v>
      </c>
      <c r="G1897" s="4" t="n">
        <f aca="false">IF(COUNTIF('Letterboxd Watched'!$E$2:$E$3000,M1897)&gt;0,1,0)</f>
        <v>1</v>
      </c>
      <c r="H1897" s="4" t="n">
        <v>2</v>
      </c>
      <c r="I1897" s="4" t="s">
        <v>213</v>
      </c>
      <c r="J1897" s="4" t="s">
        <v>52</v>
      </c>
      <c r="K1897" s="4" t="s">
        <v>4134</v>
      </c>
      <c r="L1897" s="48" t="str">
        <f aca="false">HYPERLINK("https://boxd.it/8H5e","open")</f>
        <v>open</v>
      </c>
      <c r="M1897" s="4" t="str">
        <f aca="false">LOWER(A1897)&amp;"|"&amp;B1897</f>
        <v>the revenant|2015</v>
      </c>
      <c r="N1897" s="4" t="n">
        <v>0</v>
      </c>
      <c r="O1897" s="4" t="n">
        <v>0</v>
      </c>
      <c r="P1897" s="4" t="n">
        <v>0</v>
      </c>
      <c r="Q1897" s="4" t="n">
        <v>1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</row>
    <row r="1898" customFormat="false" ht="15" hidden="false" customHeight="false" outlineLevel="0" collapsed="false">
      <c r="A1898" s="4" t="s">
        <v>2914</v>
      </c>
      <c r="B1898" s="4" t="n">
        <v>2008</v>
      </c>
      <c r="C1898" s="4" t="str">
        <f aca="false">FLOOR(B1898,10)&amp;"s"</f>
        <v>2000s</v>
      </c>
      <c r="D1898" s="4" t="s">
        <v>1251</v>
      </c>
      <c r="E1898" s="25" t="str">
        <f aca="false">IF(G1898=1,"✓","")</f>
        <v/>
      </c>
      <c r="F1898" s="4" t="n">
        <v>1</v>
      </c>
      <c r="G1898" s="4" t="n">
        <f aca="false">IF(COUNTIF('Letterboxd Watched'!$E$2:$E$3000,M1898)&gt;0,1,0)</f>
        <v>0</v>
      </c>
      <c r="H1898" s="4" t="n">
        <v>2</v>
      </c>
      <c r="I1898" s="4" t="s">
        <v>213</v>
      </c>
      <c r="J1898" s="4" t="s">
        <v>55</v>
      </c>
      <c r="K1898" s="4" t="s">
        <v>4348</v>
      </c>
      <c r="L1898" s="48" t="str">
        <f aca="false">HYPERLINK("https://boxd.it/24Le","open")</f>
        <v>open</v>
      </c>
      <c r="M1898" s="4" t="str">
        <f aca="false">LOWER(A1898)&amp;"|"&amp;B1898</f>
        <v>revolutionary road|2008</v>
      </c>
      <c r="N1898" s="4" t="n">
        <v>0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1</v>
      </c>
      <c r="U1898" s="4" t="n">
        <v>0</v>
      </c>
      <c r="V1898" s="4" t="n">
        <v>0</v>
      </c>
      <c r="W1898" s="4" t="n">
        <v>0</v>
      </c>
    </row>
    <row r="1899" customFormat="false" ht="15" hidden="false" customHeight="false" outlineLevel="0" collapsed="false">
      <c r="A1899" s="4" t="s">
        <v>3510</v>
      </c>
      <c r="B1899" s="4" t="n">
        <v>1973</v>
      </c>
      <c r="C1899" s="4" t="str">
        <f aca="false">FLOOR(B1899,10)&amp;"s"</f>
        <v>1970s</v>
      </c>
      <c r="D1899" s="4" t="s">
        <v>2092</v>
      </c>
      <c r="E1899" s="25" t="str">
        <f aca="false">IF(G1899=1,"✓","")</f>
        <v/>
      </c>
      <c r="F1899" s="4" t="n">
        <v>1</v>
      </c>
      <c r="G1899" s="4" t="n">
        <f aca="false">IF(COUNTIF('Letterboxd Watched'!$E$2:$E$3000,M1899)&gt;0,1,0)</f>
        <v>0</v>
      </c>
      <c r="H1899" s="4" t="n">
        <v>1</v>
      </c>
      <c r="I1899" s="4" t="s">
        <v>1327</v>
      </c>
      <c r="J1899" s="4" t="s">
        <v>51</v>
      </c>
      <c r="K1899" s="4" t="s">
        <v>3954</v>
      </c>
      <c r="L1899" s="48" t="str">
        <f aca="false">HYPERLINK("https://letterboxd.com/search/films/Revolver+1973/","open")</f>
        <v>open</v>
      </c>
      <c r="M1899" s="4" t="str">
        <f aca="false">LOWER(A1899)&amp;"|"&amp;B1899</f>
        <v>revolver|1973</v>
      </c>
      <c r="N1899" s="4" t="n">
        <v>0</v>
      </c>
      <c r="O1899" s="4" t="n">
        <v>0</v>
      </c>
      <c r="P1899" s="4" t="n">
        <v>1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</row>
    <row r="1900" customFormat="false" ht="15" hidden="false" customHeight="false" outlineLevel="0" collapsed="false">
      <c r="A1900" s="4" t="s">
        <v>2301</v>
      </c>
      <c r="B1900" s="4" t="n">
        <v>1977</v>
      </c>
      <c r="C1900" s="4" t="str">
        <f aca="false">FLOOR(B1900,10)&amp;"s"</f>
        <v>1970s</v>
      </c>
      <c r="D1900" s="4" t="s">
        <v>2302</v>
      </c>
      <c r="E1900" s="25" t="str">
        <f aca="false">IF(G1900=1,"✓","")</f>
        <v/>
      </c>
      <c r="F1900" s="4" t="n">
        <v>1</v>
      </c>
      <c r="G1900" s="4" t="n">
        <f aca="false">IF(COUNTIF('Letterboxd Watched'!$E$2:$E$3000,M1900)&gt;0,1,0)</f>
        <v>0</v>
      </c>
      <c r="H1900" s="4" t="n">
        <v>2</v>
      </c>
      <c r="I1900" s="4" t="s">
        <v>213</v>
      </c>
      <c r="J1900" s="4" t="s">
        <v>54</v>
      </c>
      <c r="K1900" s="4" t="s">
        <v>4278</v>
      </c>
      <c r="L1900" s="48" t="str">
        <f aca="false">HYPERLINK("https://letterboxd.com/search/films/Riddles+of+the+Sphinx+1977/","open")</f>
        <v>open</v>
      </c>
      <c r="M1900" s="4" t="str">
        <f aca="false">LOWER(A1900)&amp;"|"&amp;B1900</f>
        <v>riddles of the sphinx|1977</v>
      </c>
      <c r="N1900" s="4" t="n">
        <v>0</v>
      </c>
      <c r="O1900" s="4" t="n">
        <v>0</v>
      </c>
      <c r="P1900" s="4" t="n">
        <v>0</v>
      </c>
      <c r="Q1900" s="4" t="n">
        <v>0</v>
      </c>
      <c r="R1900" s="4" t="n">
        <v>0</v>
      </c>
      <c r="S1900" s="4" t="n">
        <v>1</v>
      </c>
      <c r="T1900" s="4" t="n">
        <v>0</v>
      </c>
      <c r="U1900" s="4" t="n">
        <v>0</v>
      </c>
      <c r="V1900" s="4" t="n">
        <v>0</v>
      </c>
      <c r="W1900" s="4" t="n">
        <v>0</v>
      </c>
    </row>
    <row r="1901" customFormat="false" ht="15" hidden="false" customHeight="false" outlineLevel="0" collapsed="false">
      <c r="A1901" s="4" t="s">
        <v>2079</v>
      </c>
      <c r="B1901" s="4" t="n">
        <v>1966</v>
      </c>
      <c r="C1901" s="4" t="str">
        <f aca="false">FLOOR(B1901,10)&amp;"s"</f>
        <v>1960s</v>
      </c>
      <c r="D1901" s="4" t="s">
        <v>1344</v>
      </c>
      <c r="E1901" s="25" t="str">
        <f aca="false">IF(G1901=1,"✓","")</f>
        <v/>
      </c>
      <c r="F1901" s="4" t="n">
        <v>1</v>
      </c>
      <c r="G1901" s="4" t="n">
        <f aca="false">IF(COUNTIF('Letterboxd Watched'!$E$2:$E$3000,M1901)&gt;0,1,0)</f>
        <v>0</v>
      </c>
      <c r="H1901" s="4" t="n">
        <v>2</v>
      </c>
      <c r="I1901" s="4" t="s">
        <v>213</v>
      </c>
      <c r="J1901" s="4" t="s">
        <v>52</v>
      </c>
      <c r="K1901" s="4" t="s">
        <v>4054</v>
      </c>
      <c r="L1901" s="48" t="str">
        <f aca="false">HYPERLINK("https://boxd.it/fJu","open")</f>
        <v>open</v>
      </c>
      <c r="M1901" s="4" t="str">
        <f aca="false">LOWER(A1901)&amp;"|"&amp;B1901</f>
        <v>ride in the whirlwind|1966</v>
      </c>
      <c r="N1901" s="4" t="n">
        <v>0</v>
      </c>
      <c r="O1901" s="4" t="n">
        <v>0</v>
      </c>
      <c r="P1901" s="4" t="n">
        <v>0</v>
      </c>
      <c r="Q1901" s="4" t="n">
        <v>1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</row>
    <row r="1902" customFormat="false" ht="15" hidden="false" customHeight="false" outlineLevel="0" collapsed="false">
      <c r="A1902" s="4" t="s">
        <v>1455</v>
      </c>
      <c r="B1902" s="4" t="n">
        <v>1959</v>
      </c>
      <c r="C1902" s="4" t="str">
        <f aca="false">FLOOR(B1902,10)&amp;"s"</f>
        <v>1950s</v>
      </c>
      <c r="D1902" s="4" t="s">
        <v>1451</v>
      </c>
      <c r="E1902" s="25" t="str">
        <f aca="false">IF(G1902=1,"✓","")</f>
        <v/>
      </c>
      <c r="F1902" s="4" t="n">
        <v>1</v>
      </c>
      <c r="G1902" s="4" t="n">
        <f aca="false">IF(COUNTIF('Letterboxd Watched'!$E$2:$E$3000,M1902)&gt;0,1,0)</f>
        <v>0</v>
      </c>
      <c r="H1902" s="4" t="n">
        <v>3</v>
      </c>
      <c r="I1902" s="4" t="s">
        <v>144</v>
      </c>
      <c r="J1902" s="4" t="s">
        <v>52</v>
      </c>
      <c r="K1902" s="4" t="s">
        <v>4050</v>
      </c>
      <c r="L1902" s="48" t="str">
        <f aca="false">HYPERLINK("https://letterboxd.com/search/films/Ride+Lonesome+1959/","open")</f>
        <v>open</v>
      </c>
      <c r="M1902" s="4" t="str">
        <f aca="false">LOWER(A1902)&amp;"|"&amp;B1902</f>
        <v>ride lonesome|1959</v>
      </c>
      <c r="N1902" s="4" t="n">
        <v>0</v>
      </c>
      <c r="O1902" s="4" t="n">
        <v>0</v>
      </c>
      <c r="P1902" s="4" t="n">
        <v>0</v>
      </c>
      <c r="Q1902" s="4" t="n">
        <v>1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</row>
    <row r="1903" customFormat="false" ht="15" hidden="false" customHeight="false" outlineLevel="0" collapsed="false">
      <c r="A1903" s="4" t="s">
        <v>3414</v>
      </c>
      <c r="B1903" s="4" t="n">
        <v>1962</v>
      </c>
      <c r="C1903" s="4" t="str">
        <f aca="false">FLOOR(B1903,10)&amp;"s"</f>
        <v>1960s</v>
      </c>
      <c r="D1903" s="4" t="s">
        <v>783</v>
      </c>
      <c r="E1903" s="25" t="str">
        <f aca="false">IF(G1903=1,"✓","")</f>
        <v/>
      </c>
      <c r="F1903" s="4" t="n">
        <v>1</v>
      </c>
      <c r="G1903" s="4" t="n">
        <f aca="false">IF(COUNTIF('Letterboxd Watched'!$E$2:$E$3000,M1903)&gt;0,1,0)</f>
        <v>0</v>
      </c>
      <c r="H1903" s="4" t="n">
        <v>1</v>
      </c>
      <c r="I1903" s="4" t="s">
        <v>1327</v>
      </c>
      <c r="J1903" s="4" t="s">
        <v>52</v>
      </c>
      <c r="K1903" s="4" t="s">
        <v>4048</v>
      </c>
      <c r="L1903" s="48" t="str">
        <f aca="false">HYPERLINK("https://boxd.it/1b5C","open")</f>
        <v>open</v>
      </c>
      <c r="M1903" s="4" t="str">
        <f aca="false">LOWER(A1903)&amp;"|"&amp;B1903</f>
        <v>ride the high country|1962</v>
      </c>
      <c r="N1903" s="4" t="n">
        <v>0</v>
      </c>
      <c r="O1903" s="4" t="n">
        <v>0</v>
      </c>
      <c r="P1903" s="4" t="n">
        <v>0</v>
      </c>
      <c r="Q1903" s="4" t="n">
        <v>1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</row>
    <row r="1904" customFormat="false" ht="15" hidden="false" customHeight="false" outlineLevel="0" collapsed="false">
      <c r="A1904" s="4" t="s">
        <v>3117</v>
      </c>
      <c r="B1904" s="4" t="n">
        <v>2017</v>
      </c>
      <c r="C1904" s="4" t="str">
        <f aca="false">FLOOR(B1904,10)&amp;"s"</f>
        <v>2010s</v>
      </c>
      <c r="D1904" s="4" t="s">
        <v>1258</v>
      </c>
      <c r="E1904" s="25" t="str">
        <f aca="false">IF(G1904=1,"✓","")</f>
        <v/>
      </c>
      <c r="F1904" s="4" t="n">
        <v>1</v>
      </c>
      <c r="G1904" s="4" t="n">
        <f aca="false">IF(COUNTIF('Letterboxd Watched'!$E$2:$E$3000,M1904)&gt;0,1,0)</f>
        <v>0</v>
      </c>
      <c r="H1904" s="4" t="n">
        <v>2</v>
      </c>
      <c r="I1904" s="4" t="s">
        <v>213</v>
      </c>
      <c r="J1904" s="4" t="s">
        <v>52</v>
      </c>
      <c r="K1904" s="4" t="s">
        <v>4056</v>
      </c>
      <c r="L1904" s="48" t="str">
        <f aca="false">HYPERLINK("https://boxd.it/gazw","open")</f>
        <v>open</v>
      </c>
      <c r="M1904" s="4" t="str">
        <f aca="false">LOWER(A1904)&amp;"|"&amp;B1904</f>
        <v>the rider|2017</v>
      </c>
      <c r="N1904" s="4" t="n">
        <v>0</v>
      </c>
      <c r="O1904" s="4" t="n">
        <v>0</v>
      </c>
      <c r="P1904" s="4" t="n">
        <v>0</v>
      </c>
      <c r="Q1904" s="4" t="n">
        <v>1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</row>
    <row r="1905" customFormat="false" ht="15" hidden="false" customHeight="false" outlineLevel="0" collapsed="false">
      <c r="A1905" s="4" t="s">
        <v>2521</v>
      </c>
      <c r="B1905" s="4" t="n">
        <v>1991</v>
      </c>
      <c r="C1905" s="4" t="str">
        <f aca="false">FLOOR(B1905,10)&amp;"s"</f>
        <v>1990s</v>
      </c>
      <c r="D1905" s="4" t="s">
        <v>359</v>
      </c>
      <c r="E1905" s="25" t="str">
        <f aca="false">IF(G1905=1,"✓","")</f>
        <v/>
      </c>
      <c r="F1905" s="4" t="n">
        <v>1</v>
      </c>
      <c r="G1905" s="4" t="n">
        <f aca="false">IF(COUNTIF('Letterboxd Watched'!$E$2:$E$3000,M1905)&gt;0,1,0)</f>
        <v>0</v>
      </c>
      <c r="H1905" s="4" t="n">
        <v>2</v>
      </c>
      <c r="I1905" s="4" t="s">
        <v>213</v>
      </c>
      <c r="J1905" s="4" t="s">
        <v>51</v>
      </c>
      <c r="K1905" s="4" t="s">
        <v>3982</v>
      </c>
      <c r="L1905" s="48" t="str">
        <f aca="false">HYPERLINK("https://letterboxd.com/search/films/RiffRaff+1991/","open")</f>
        <v>open</v>
      </c>
      <c r="M1905" s="4" t="str">
        <f aca="false">LOWER(A1905)&amp;"|"&amp;B1905</f>
        <v>riff-raff|1991</v>
      </c>
      <c r="N1905" s="4" t="n">
        <v>0</v>
      </c>
      <c r="O1905" s="4" t="n">
        <v>0</v>
      </c>
      <c r="P1905" s="4" t="n">
        <v>1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 customFormat="false" ht="15" hidden="false" customHeight="false" outlineLevel="0" collapsed="false">
      <c r="A1906" s="4" t="s">
        <v>657</v>
      </c>
      <c r="B1906" s="4" t="n">
        <v>1955</v>
      </c>
      <c r="C1906" s="4" t="str">
        <f aca="false">FLOOR(B1906,10)&amp;"s"</f>
        <v>1950s</v>
      </c>
      <c r="D1906" s="4" t="s">
        <v>658</v>
      </c>
      <c r="E1906" s="25" t="str">
        <f aca="false">IF(G1906=1,"✓","")</f>
        <v/>
      </c>
      <c r="F1906" s="4" t="n">
        <v>2</v>
      </c>
      <c r="G1906" s="4" t="n">
        <f aca="false">IF(COUNTIF('Letterboxd Watched'!$E$2:$E$3000,M1906)&gt;0,1,0)</f>
        <v>0</v>
      </c>
      <c r="H1906" s="4" t="n">
        <v>6</v>
      </c>
      <c r="I1906" s="4" t="s">
        <v>144</v>
      </c>
      <c r="J1906" s="4" t="s">
        <v>51</v>
      </c>
      <c r="K1906" s="4" t="s">
        <v>5744</v>
      </c>
      <c r="L1906" s="48" t="str">
        <f aca="false">HYPERLINK("https://boxd.it/29f8","open")</f>
        <v>open</v>
      </c>
      <c r="M1906" s="4" t="str">
        <f aca="false">LOWER(A1906)&amp;"|"&amp;B1906</f>
        <v>rififi|1955</v>
      </c>
      <c r="N1906" s="4" t="n">
        <v>0</v>
      </c>
      <c r="O1906" s="4" t="n">
        <v>0</v>
      </c>
      <c r="P1906" s="4" t="n">
        <v>1</v>
      </c>
      <c r="Q1906" s="4" t="n">
        <v>1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 customFormat="false" ht="15" hidden="false" customHeight="false" outlineLevel="0" collapsed="false">
      <c r="A1907" s="4" t="s">
        <v>1627</v>
      </c>
      <c r="B1907" s="4" t="n">
        <v>2015</v>
      </c>
      <c r="C1907" s="4" t="str">
        <f aca="false">FLOOR(B1907,10)&amp;"s"</f>
        <v>2010s</v>
      </c>
      <c r="D1907" s="4" t="s">
        <v>1628</v>
      </c>
      <c r="E1907" s="25" t="str">
        <f aca="false">IF(G1907=1,"✓","")</f>
        <v/>
      </c>
      <c r="F1907" s="4" t="n">
        <v>1</v>
      </c>
      <c r="G1907" s="4" t="n">
        <f aca="false">IF(COUNTIF('Letterboxd Watched'!$E$2:$E$3000,M1907)&gt;0,1,0)</f>
        <v>0</v>
      </c>
      <c r="H1907" s="4" t="n">
        <v>3</v>
      </c>
      <c r="I1907" s="4" t="s">
        <v>144</v>
      </c>
      <c r="J1907" s="4" t="s">
        <v>53</v>
      </c>
      <c r="K1907" s="4" t="s">
        <v>1628</v>
      </c>
      <c r="L1907" s="48" t="str">
        <f aca="false">HYPERLINK("https://letterboxd.com/search/films/Right+Now+Wrong+Then+2015/","open")</f>
        <v>open</v>
      </c>
      <c r="M1907" s="4" t="str">
        <f aca="false">LOWER(A1907)&amp;"|"&amp;B1907</f>
        <v>right now, wrong then|2015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1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 customFormat="false" ht="15" hidden="false" customHeight="false" outlineLevel="0" collapsed="false">
      <c r="A1908" s="4" t="s">
        <v>844</v>
      </c>
      <c r="B1908" s="4" t="n">
        <v>1998</v>
      </c>
      <c r="C1908" s="4" t="str">
        <f aca="false">FLOOR(B1908,10)&amp;"s"</f>
        <v>1990s</v>
      </c>
      <c r="D1908" s="4" t="s">
        <v>845</v>
      </c>
      <c r="E1908" s="25" t="str">
        <f aca="false">IF(G1908=1,"✓","")</f>
        <v/>
      </c>
      <c r="F1908" s="4" t="n">
        <v>2</v>
      </c>
      <c r="G1908" s="4" t="n">
        <f aca="false">IF(COUNTIF('Letterboxd Watched'!$E$2:$E$3000,M1908)&gt;0,1,0)</f>
        <v>0</v>
      </c>
      <c r="H1908" s="4" t="n">
        <v>5</v>
      </c>
      <c r="I1908" s="4" t="s">
        <v>144</v>
      </c>
      <c r="J1908" s="4" t="s">
        <v>52</v>
      </c>
      <c r="K1908" s="4" t="s">
        <v>5745</v>
      </c>
      <c r="L1908" s="48" t="str">
        <f aca="false">HYPERLINK("https://boxd.it/26tw","open")</f>
        <v>open</v>
      </c>
      <c r="M1908" s="4" t="str">
        <f aca="false">LOWER(A1908)&amp;"|"&amp;B1908</f>
        <v>ring|1998</v>
      </c>
      <c r="N1908" s="4" t="n">
        <v>0</v>
      </c>
      <c r="O1908" s="4" t="n">
        <v>0</v>
      </c>
      <c r="P1908" s="4" t="n">
        <v>0</v>
      </c>
      <c r="Q1908" s="4" t="n">
        <v>1</v>
      </c>
      <c r="R1908" s="4" t="n">
        <v>0</v>
      </c>
      <c r="S1908" s="4" t="n">
        <v>0</v>
      </c>
      <c r="T1908" s="4" t="n">
        <v>0</v>
      </c>
      <c r="U1908" s="4" t="n">
        <v>1</v>
      </c>
      <c r="V1908" s="4" t="n">
        <v>0</v>
      </c>
      <c r="W1908" s="4" t="n">
        <v>0</v>
      </c>
    </row>
    <row r="1909" customFormat="false" ht="15" hidden="false" customHeight="false" outlineLevel="0" collapsed="false">
      <c r="A1909" s="4" t="s">
        <v>2797</v>
      </c>
      <c r="B1909" s="4" t="n">
        <v>2002</v>
      </c>
      <c r="C1909" s="4" t="str">
        <f aca="false">FLOOR(B1909,10)&amp;"s"</f>
        <v>2000s</v>
      </c>
      <c r="D1909" s="4" t="s">
        <v>2798</v>
      </c>
      <c r="E1909" s="25" t="str">
        <f aca="false">IF(G1909=1,"✓","")</f>
        <v/>
      </c>
      <c r="F1909" s="4" t="n">
        <v>1</v>
      </c>
      <c r="G1909" s="4" t="n">
        <f aca="false">IF(COUNTIF('Letterboxd Watched'!$E$2:$E$3000,M1909)&gt;0,1,0)</f>
        <v>0</v>
      </c>
      <c r="H1909" s="4" t="n">
        <v>2</v>
      </c>
      <c r="I1909" s="4" t="s">
        <v>213</v>
      </c>
      <c r="J1909" s="4" t="s">
        <v>56</v>
      </c>
      <c r="K1909" s="4" t="s">
        <v>4412</v>
      </c>
      <c r="L1909" s="48" t="str">
        <f aca="false">HYPERLINK("https://boxd.it/2a70","open")</f>
        <v>open</v>
      </c>
      <c r="M1909" s="4" t="str">
        <f aca="false">LOWER(A1909)&amp;"|"&amp;B1909</f>
        <v>the ring|2002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1</v>
      </c>
      <c r="V1909" s="4" t="n">
        <v>0</v>
      </c>
      <c r="W1909" s="4" t="n">
        <v>0</v>
      </c>
    </row>
    <row r="1910" customFormat="false" ht="15" hidden="false" customHeight="false" outlineLevel="0" collapsed="false">
      <c r="A1910" s="4" t="s">
        <v>414</v>
      </c>
      <c r="B1910" s="4" t="n">
        <v>1959</v>
      </c>
      <c r="C1910" s="4" t="str">
        <f aca="false">FLOOR(B1910,10)&amp;"s"</f>
        <v>1950s</v>
      </c>
      <c r="D1910" s="4" t="s">
        <v>168</v>
      </c>
      <c r="E1910" s="25" t="str">
        <f aca="false">IF(G1910=1,"✓","")</f>
        <v/>
      </c>
      <c r="F1910" s="4" t="n">
        <v>3</v>
      </c>
      <c r="G1910" s="4" t="n">
        <f aca="false">IF(COUNTIF('Letterboxd Watched'!$E$2:$E$3000,M1910)&gt;0,1,0)</f>
        <v>0</v>
      </c>
      <c r="H1910" s="4" t="n">
        <v>8</v>
      </c>
      <c r="I1910" s="4" t="s">
        <v>144</v>
      </c>
      <c r="J1910" s="4" t="s">
        <v>52</v>
      </c>
      <c r="K1910" s="4" t="s">
        <v>5746</v>
      </c>
      <c r="L1910" s="48" t="str">
        <f aca="false">HYPERLINK("https://boxd.it/2aE4","open")</f>
        <v>open</v>
      </c>
      <c r="M1910" s="4" t="str">
        <f aca="false">LOWER(A1910)&amp;"|"&amp;B1910</f>
        <v>rio bravo|1959</v>
      </c>
      <c r="N1910" s="4" t="n">
        <v>0</v>
      </c>
      <c r="O1910" s="4" t="n">
        <v>0</v>
      </c>
      <c r="P1910" s="4" t="n">
        <v>0</v>
      </c>
      <c r="Q1910" s="4" t="n">
        <v>1</v>
      </c>
      <c r="R1910" s="4" t="n">
        <v>1</v>
      </c>
      <c r="S1910" s="4" t="n">
        <v>0</v>
      </c>
      <c r="T1910" s="4" t="n">
        <v>0</v>
      </c>
      <c r="U1910" s="4" t="n">
        <v>1</v>
      </c>
      <c r="V1910" s="4" t="n">
        <v>0</v>
      </c>
      <c r="W1910" s="4" t="n">
        <v>0</v>
      </c>
    </row>
    <row r="1911" customFormat="false" ht="15" hidden="false" customHeight="false" outlineLevel="0" collapsed="false">
      <c r="A1911" s="4" t="s">
        <v>1885</v>
      </c>
      <c r="B1911" s="4" t="n">
        <v>1951</v>
      </c>
      <c r="C1911" s="4" t="str">
        <f aca="false">FLOOR(B1911,10)&amp;"s"</f>
        <v>1950s</v>
      </c>
      <c r="D1911" s="4" t="s">
        <v>234</v>
      </c>
      <c r="E1911" s="25" t="str">
        <f aca="false">IF(G1911=1,"✓","")</f>
        <v/>
      </c>
      <c r="F1911" s="4" t="n">
        <v>1</v>
      </c>
      <c r="G1911" s="4" t="n">
        <f aca="false">IF(COUNTIF('Letterboxd Watched'!$E$2:$E$3000,M1911)&gt;0,1,0)</f>
        <v>0</v>
      </c>
      <c r="H1911" s="4" t="n">
        <v>2</v>
      </c>
      <c r="I1911" s="4" t="s">
        <v>213</v>
      </c>
      <c r="J1911" s="4" t="s">
        <v>53</v>
      </c>
      <c r="K1911" s="4" t="s">
        <v>234</v>
      </c>
      <c r="L1911" s="48" t="str">
        <f aca="false">HYPERLINK("https://boxd.it/Q3K","open")</f>
        <v>open</v>
      </c>
      <c r="M1911" s="4" t="str">
        <f aca="false">LOWER(A1911)&amp;"|"&amp;B1911</f>
        <v>the river|1951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1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</row>
    <row r="1912" customFormat="false" ht="15" hidden="false" customHeight="false" outlineLevel="0" collapsed="false">
      <c r="A1912" s="4" t="s">
        <v>1885</v>
      </c>
      <c r="B1912" s="4" t="n">
        <v>1997</v>
      </c>
      <c r="C1912" s="4" t="str">
        <f aca="false">FLOOR(B1912,10)&amp;"s"</f>
        <v>1990s</v>
      </c>
      <c r="D1912" s="4" t="s">
        <v>1165</v>
      </c>
      <c r="E1912" s="25" t="str">
        <f aca="false">IF(G1912=1,"✓","")</f>
        <v/>
      </c>
      <c r="F1912" s="4" t="n">
        <v>1</v>
      </c>
      <c r="G1912" s="4" t="n">
        <f aca="false">IF(COUNTIF('Letterboxd Watched'!$E$2:$E$3000,M1912)&gt;0,1,0)</f>
        <v>0</v>
      </c>
      <c r="H1912" s="4" t="n">
        <v>2</v>
      </c>
      <c r="I1912" s="4" t="s">
        <v>213</v>
      </c>
      <c r="J1912" s="4" t="s">
        <v>53</v>
      </c>
      <c r="K1912" s="4" t="s">
        <v>4255</v>
      </c>
      <c r="L1912" s="48" t="str">
        <f aca="false">HYPERLINK("https://boxd.it/uEk","open")</f>
        <v>open</v>
      </c>
      <c r="M1912" s="4" t="str">
        <f aca="false">LOWER(A1912)&amp;"|"&amp;B1912</f>
        <v>the river|1997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1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</row>
    <row r="1913" customFormat="false" ht="15" hidden="false" customHeight="false" outlineLevel="0" collapsed="false">
      <c r="A1913" s="4" t="s">
        <v>2234</v>
      </c>
      <c r="B1913" s="4" t="n">
        <v>1973</v>
      </c>
      <c r="C1913" s="4" t="str">
        <f aca="false">FLOOR(B1913,10)&amp;"s"</f>
        <v>1970s</v>
      </c>
      <c r="D1913" s="4" t="s">
        <v>1975</v>
      </c>
      <c r="E1913" s="25" t="str">
        <f aca="false">IF(G1913=1,"✓","")</f>
        <v/>
      </c>
      <c r="F1913" s="4" t="n">
        <v>1</v>
      </c>
      <c r="G1913" s="4" t="n">
        <f aca="false">IF(COUNTIF('Letterboxd Watched'!$E$2:$E$3000,M1913)&gt;0,1,0)</f>
        <v>0</v>
      </c>
      <c r="H1913" s="4" t="n">
        <v>2</v>
      </c>
      <c r="I1913" s="4" t="s">
        <v>213</v>
      </c>
      <c r="J1913" s="4" t="s">
        <v>57</v>
      </c>
      <c r="K1913" s="4" t="s">
        <v>4448</v>
      </c>
      <c r="L1913" s="48" t="str">
        <f aca="false">HYPERLINK("https://letterboxd.com/search/films/A+River+Called+Titas+1973/","open")</f>
        <v>open</v>
      </c>
      <c r="M1913" s="4" t="str">
        <f aca="false">LOWER(A1913)&amp;"|"&amp;B1913</f>
        <v>a river called titas|1973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1</v>
      </c>
      <c r="W1913" s="4" t="n">
        <v>0</v>
      </c>
    </row>
    <row r="1914" customFormat="false" ht="15" hidden="false" customHeight="false" outlineLevel="0" collapsed="false">
      <c r="A1914" s="4" t="s">
        <v>3682</v>
      </c>
      <c r="B1914" s="4" t="n">
        <v>1994</v>
      </c>
      <c r="C1914" s="4" t="str">
        <f aca="false">FLOOR(B1914,10)&amp;"s"</f>
        <v>1990s</v>
      </c>
      <c r="D1914" s="4" t="s">
        <v>867</v>
      </c>
      <c r="E1914" s="25" t="str">
        <f aca="false">IF(G1914=1,"✓","")</f>
        <v/>
      </c>
      <c r="F1914" s="4" t="n">
        <v>1</v>
      </c>
      <c r="G1914" s="4" t="n">
        <f aca="false">IF(COUNTIF('Letterboxd Watched'!$E$2:$E$3000,M1914)&gt;0,1,0)</f>
        <v>0</v>
      </c>
      <c r="H1914" s="4" t="n">
        <v>1</v>
      </c>
      <c r="I1914" s="4" t="s">
        <v>1327</v>
      </c>
      <c r="J1914" s="4" t="s">
        <v>53</v>
      </c>
      <c r="K1914" s="4" t="s">
        <v>4219</v>
      </c>
      <c r="L1914" s="48" t="str">
        <f aca="false">HYPERLINK("https://letterboxd.com/search/films/River+of+Grass+1994/","open")</f>
        <v>open</v>
      </c>
      <c r="M1914" s="4" t="str">
        <f aca="false">LOWER(A1914)&amp;"|"&amp;B1914</f>
        <v>river of grass|1994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1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</row>
    <row r="1915" customFormat="false" ht="15" hidden="false" customHeight="false" outlineLevel="0" collapsed="false">
      <c r="A1915" s="4" t="s">
        <v>2937</v>
      </c>
      <c r="B1915" s="4" t="n">
        <v>2009</v>
      </c>
      <c r="C1915" s="4" t="str">
        <f aca="false">FLOOR(B1915,10)&amp;"s"</f>
        <v>2000s</v>
      </c>
      <c r="D1915" s="4" t="s">
        <v>2938</v>
      </c>
      <c r="E1915" s="25" t="str">
        <f aca="false">IF(G1915=1,"✓","")</f>
        <v>✓</v>
      </c>
      <c r="F1915" s="4" t="n">
        <v>1</v>
      </c>
      <c r="G1915" s="4" t="n">
        <f aca="false">IF(COUNTIF('Letterboxd Watched'!$E$2:$E$3000,M1915)&gt;0,1,0)</f>
        <v>1</v>
      </c>
      <c r="H1915" s="4" t="n">
        <v>2</v>
      </c>
      <c r="I1915" s="4" t="s">
        <v>213</v>
      </c>
      <c r="J1915" s="4" t="s">
        <v>55</v>
      </c>
      <c r="K1915" s="4" t="s">
        <v>4352</v>
      </c>
      <c r="L1915" s="48" t="str">
        <f aca="false">HYPERLINK("https://boxd.it/1CWI","open")</f>
        <v>open</v>
      </c>
      <c r="M1915" s="4" t="str">
        <f aca="false">LOWER(A1915)&amp;"|"&amp;B1915</f>
        <v>the road|2009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1</v>
      </c>
      <c r="U1915" s="4" t="n">
        <v>0</v>
      </c>
      <c r="V1915" s="4" t="n">
        <v>0</v>
      </c>
      <c r="W1915" s="4" t="n">
        <v>0</v>
      </c>
    </row>
    <row r="1916" customFormat="false" ht="15" hidden="false" customHeight="false" outlineLevel="0" collapsed="false">
      <c r="A1916" s="4" t="s">
        <v>3334</v>
      </c>
      <c r="B1916" s="4" t="n">
        <v>1939</v>
      </c>
      <c r="C1916" s="4" t="str">
        <f aca="false">FLOOR(B1916,10)&amp;"s"</f>
        <v>1930s</v>
      </c>
      <c r="D1916" s="4" t="s">
        <v>1869</v>
      </c>
      <c r="E1916" s="25" t="str">
        <f aca="false">IF(G1916=1,"✓","")</f>
        <v/>
      </c>
      <c r="F1916" s="4" t="n">
        <v>1</v>
      </c>
      <c r="G1916" s="4" t="n">
        <f aca="false">IF(COUNTIF('Letterboxd Watched'!$E$2:$E$3000,M1916)&gt;0,1,0)</f>
        <v>0</v>
      </c>
      <c r="H1916" s="4" t="n">
        <v>1</v>
      </c>
      <c r="I1916" s="4" t="s">
        <v>1327</v>
      </c>
      <c r="J1916" s="4" t="s">
        <v>52</v>
      </c>
      <c r="K1916" s="4" t="s">
        <v>4116</v>
      </c>
      <c r="L1916" s="48" t="str">
        <f aca="false">HYPERLINK("https://boxd.it/17J4","open")</f>
        <v>open</v>
      </c>
      <c r="M1916" s="4" t="str">
        <f aca="false">LOWER(A1916)&amp;"|"&amp;B1916</f>
        <v>the roaring twenties|1939</v>
      </c>
      <c r="N1916" s="4" t="n">
        <v>0</v>
      </c>
      <c r="O1916" s="4" t="n">
        <v>0</v>
      </c>
      <c r="P1916" s="4" t="n">
        <v>0</v>
      </c>
      <c r="Q1916" s="4" t="n">
        <v>1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</row>
    <row r="1917" customFormat="false" ht="15" hidden="false" customHeight="false" outlineLevel="0" collapsed="false">
      <c r="A1917" s="4" t="s">
        <v>3471</v>
      </c>
      <c r="B1917" s="4" t="n">
        <v>1970</v>
      </c>
      <c r="C1917" s="4" t="str">
        <f aca="false">FLOOR(B1917,10)&amp;"s"</f>
        <v>1970s</v>
      </c>
      <c r="D1917" s="4" t="s">
        <v>3472</v>
      </c>
      <c r="E1917" s="25" t="str">
        <f aca="false">IF(G1917=1,"✓","")</f>
        <v/>
      </c>
      <c r="F1917" s="4" t="n">
        <v>1</v>
      </c>
      <c r="G1917" s="4" t="n">
        <f aca="false">IF(COUNTIF('Letterboxd Watched'!$E$2:$E$3000,M1917)&gt;0,1,0)</f>
        <v>0</v>
      </c>
      <c r="H1917" s="4" t="n">
        <v>1</v>
      </c>
      <c r="I1917" s="4" t="s">
        <v>1327</v>
      </c>
      <c r="J1917" s="4" t="s">
        <v>52</v>
      </c>
      <c r="K1917" s="4" t="s">
        <v>4064</v>
      </c>
      <c r="L1917" s="48" t="str">
        <f aca="false">HYPERLINK("https://letterboxd.com/search/films/Robin+Redbreast+1970/","open")</f>
        <v>open</v>
      </c>
      <c r="M1917" s="4" t="str">
        <f aca="false">LOWER(A1917)&amp;"|"&amp;B1917</f>
        <v>robin redbreast|1970</v>
      </c>
      <c r="N1917" s="4" t="n">
        <v>0</v>
      </c>
      <c r="O1917" s="4" t="n">
        <v>0</v>
      </c>
      <c r="P1917" s="4" t="n">
        <v>0</v>
      </c>
      <c r="Q1917" s="4" t="n">
        <v>1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</row>
    <row r="1918" customFormat="false" ht="15" hidden="false" customHeight="false" outlineLevel="0" collapsed="false">
      <c r="A1918" s="4" t="s">
        <v>1915</v>
      </c>
      <c r="B1918" s="4" t="n">
        <v>1954</v>
      </c>
      <c r="C1918" s="4" t="str">
        <f aca="false">FLOOR(B1918,10)&amp;"s"</f>
        <v>1950s</v>
      </c>
      <c r="D1918" s="4" t="s">
        <v>402</v>
      </c>
      <c r="E1918" s="25" t="str">
        <f aca="false">IF(G1918=1,"✓","")</f>
        <v/>
      </c>
      <c r="F1918" s="4" t="n">
        <v>1</v>
      </c>
      <c r="G1918" s="4" t="n">
        <f aca="false">IF(COUNTIF('Letterboxd Watched'!$E$2:$E$3000,M1918)&gt;0,1,0)</f>
        <v>0</v>
      </c>
      <c r="H1918" s="4" t="n">
        <v>2</v>
      </c>
      <c r="I1918" s="4" t="s">
        <v>213</v>
      </c>
      <c r="J1918" s="4" t="s">
        <v>55</v>
      </c>
      <c r="K1918" s="4" t="s">
        <v>4334</v>
      </c>
      <c r="L1918" s="48" t="str">
        <f aca="false">HYPERLINK("https://letterboxd.com/search/films/Robinson+Crusoe+1954/","open")</f>
        <v>open</v>
      </c>
      <c r="M1918" s="4" t="str">
        <f aca="false">LOWER(A1918)&amp;"|"&amp;B1918</f>
        <v>robinson crusoe|1954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1</v>
      </c>
      <c r="U1918" s="4" t="n">
        <v>0</v>
      </c>
      <c r="V1918" s="4" t="n">
        <v>0</v>
      </c>
      <c r="W1918" s="4" t="n">
        <v>0</v>
      </c>
    </row>
    <row r="1919" customFormat="false" ht="15" hidden="false" customHeight="false" outlineLevel="0" collapsed="false">
      <c r="A1919" s="4" t="s">
        <v>698</v>
      </c>
      <c r="B1919" s="4" t="n">
        <v>1987</v>
      </c>
      <c r="C1919" s="4" t="str">
        <f aca="false">FLOOR(B1919,10)&amp;"s"</f>
        <v>1980s</v>
      </c>
      <c r="D1919" s="4" t="s">
        <v>699</v>
      </c>
      <c r="E1919" s="25" t="str">
        <f aca="false">IF(G1919=1,"✓","")</f>
        <v>✓</v>
      </c>
      <c r="F1919" s="4" t="n">
        <v>3</v>
      </c>
      <c r="G1919" s="4" t="n">
        <f aca="false">IF(COUNTIF('Letterboxd Watched'!$E$2:$E$3000,M1919)&gt;0,1,0)</f>
        <v>1</v>
      </c>
      <c r="H1919" s="4" t="n">
        <v>6</v>
      </c>
      <c r="I1919" s="4" t="s">
        <v>213</v>
      </c>
      <c r="J1919" s="4" t="s">
        <v>52</v>
      </c>
      <c r="K1919" s="4" t="s">
        <v>5747</v>
      </c>
      <c r="L1919" s="48" t="str">
        <f aca="false">HYPERLINK("https://boxd.it/22Wu","open")</f>
        <v>open</v>
      </c>
      <c r="M1919" s="4" t="str">
        <f aca="false">LOWER(A1919)&amp;"|"&amp;B1919</f>
        <v>robocop|1987</v>
      </c>
      <c r="N1919" s="4" t="n">
        <v>0</v>
      </c>
      <c r="O1919" s="4" t="n">
        <v>0</v>
      </c>
      <c r="P1919" s="4" t="n">
        <v>0</v>
      </c>
      <c r="Q1919" s="4" t="n">
        <v>1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</row>
    <row r="1920" customFormat="false" ht="15" hidden="false" customHeight="false" outlineLevel="0" collapsed="false">
      <c r="A1920" s="4" t="s">
        <v>3371</v>
      </c>
      <c r="B1920" s="4" t="n">
        <v>1953</v>
      </c>
      <c r="C1920" s="4" t="str">
        <f aca="false">FLOOR(B1920,10)&amp;"s"</f>
        <v>1950s</v>
      </c>
      <c r="D1920" s="4" t="s">
        <v>3372</v>
      </c>
      <c r="E1920" s="25" t="str">
        <f aca="false">IF(G1920=1,"✓","")</f>
        <v/>
      </c>
      <c r="F1920" s="4" t="n">
        <v>1</v>
      </c>
      <c r="G1920" s="4" t="n">
        <f aca="false">IF(COUNTIF('Letterboxd Watched'!$E$2:$E$3000,M1920)&gt;0,1,0)</f>
        <v>0</v>
      </c>
      <c r="H1920" s="4" t="n">
        <v>1</v>
      </c>
      <c r="I1920" s="4" t="s">
        <v>1327</v>
      </c>
      <c r="J1920" s="4" t="s">
        <v>54</v>
      </c>
      <c r="K1920" s="4" t="s">
        <v>4306</v>
      </c>
      <c r="L1920" s="48" t="str">
        <f aca="false">HYPERLINK("https://letterboxd.com/search/films/Robot+Monster+1953/","open")</f>
        <v>open</v>
      </c>
      <c r="M1920" s="4" t="str">
        <f aca="false">LOWER(A1920)&amp;"|"&amp;B1920</f>
        <v>robot monster|1953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1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 customFormat="false" ht="15" hidden="false" customHeight="false" outlineLevel="0" collapsed="false">
      <c r="A1921" s="4" t="s">
        <v>1972</v>
      </c>
      <c r="B1921" s="4" t="n">
        <v>1960</v>
      </c>
      <c r="C1921" s="4" t="str">
        <f aca="false">FLOOR(B1921,10)&amp;"s"</f>
        <v>1960s</v>
      </c>
      <c r="D1921" s="4" t="s">
        <v>461</v>
      </c>
      <c r="E1921" s="25" t="str">
        <f aca="false">IF(G1921=1,"✓","")</f>
        <v/>
      </c>
      <c r="F1921" s="4" t="n">
        <v>1</v>
      </c>
      <c r="G1921" s="4" t="n">
        <f aca="false">IF(COUNTIF('Letterboxd Watched'!$E$2:$E$3000,M1921)&gt;0,1,0)</f>
        <v>0</v>
      </c>
      <c r="H1921" s="4" t="n">
        <v>2</v>
      </c>
      <c r="I1921" s="4" t="s">
        <v>213</v>
      </c>
      <c r="J1921" s="4" t="s">
        <v>51</v>
      </c>
      <c r="K1921" s="4" t="s">
        <v>3944</v>
      </c>
      <c r="L1921" s="48" t="str">
        <f aca="false">HYPERLINK("https://boxd.it/20bG","open")</f>
        <v>open</v>
      </c>
      <c r="M1921" s="4" t="str">
        <f aca="false">LOWER(A1921)&amp;"|"&amp;B1921</f>
        <v>rocco and his brothers|1960</v>
      </c>
      <c r="N1921" s="4" t="n">
        <v>0</v>
      </c>
      <c r="O1921" s="4" t="n">
        <v>0</v>
      </c>
      <c r="P1921" s="4" t="n">
        <v>1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</row>
    <row r="1922" customFormat="false" ht="15" hidden="false" customHeight="false" outlineLevel="0" collapsed="false">
      <c r="A1922" s="4" t="s">
        <v>1032</v>
      </c>
      <c r="B1922" s="4" t="n">
        <v>1976</v>
      </c>
      <c r="C1922" s="4" t="str">
        <f aca="false">FLOOR(B1922,10)&amp;"s"</f>
        <v>1970s</v>
      </c>
      <c r="D1922" s="4" t="s">
        <v>1033</v>
      </c>
      <c r="E1922" s="25" t="str">
        <f aca="false">IF(G1922=1,"✓","")</f>
        <v>✓</v>
      </c>
      <c r="F1922" s="4" t="n">
        <v>2</v>
      </c>
      <c r="G1922" s="4" t="n">
        <f aca="false">IF(COUNTIF('Letterboxd Watched'!$E$2:$E$3000,M1922)&gt;0,1,0)</f>
        <v>1</v>
      </c>
      <c r="H1922" s="4" t="n">
        <v>4</v>
      </c>
      <c r="I1922" s="4" t="s">
        <v>213</v>
      </c>
      <c r="J1922" s="4" t="s">
        <v>55</v>
      </c>
      <c r="K1922" s="4" t="s">
        <v>5748</v>
      </c>
      <c r="L1922" s="48" t="str">
        <f aca="false">HYPERLINK("https://boxd.it/28Uk","open")</f>
        <v>open</v>
      </c>
      <c r="M1922" s="4" t="str">
        <f aca="false">LOWER(A1922)&amp;"|"&amp;B1922</f>
        <v>rocky|1976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1</v>
      </c>
      <c r="U1922" s="4" t="n">
        <v>0</v>
      </c>
      <c r="V1922" s="4" t="n">
        <v>1</v>
      </c>
      <c r="W1922" s="4" t="n">
        <v>0</v>
      </c>
    </row>
    <row r="1923" customFormat="false" ht="15" hidden="false" customHeight="false" outlineLevel="0" collapsed="false">
      <c r="A1923" s="4" t="s">
        <v>483</v>
      </c>
      <c r="B1923" s="4" t="n">
        <v>1975</v>
      </c>
      <c r="C1923" s="4" t="str">
        <f aca="false">FLOOR(B1923,10)&amp;"s"</f>
        <v>1970s</v>
      </c>
      <c r="D1923" s="4" t="s">
        <v>484</v>
      </c>
      <c r="E1923" s="25" t="str">
        <f aca="false">IF(G1923=1,"✓","")</f>
        <v/>
      </c>
      <c r="F1923" s="4" t="n">
        <v>3</v>
      </c>
      <c r="G1923" s="4" t="n">
        <f aca="false">IF(COUNTIF('Letterboxd Watched'!$E$2:$E$3000,M1923)&gt;0,1,0)</f>
        <v>0</v>
      </c>
      <c r="H1923" s="4" t="n">
        <v>7</v>
      </c>
      <c r="I1923" s="4" t="s">
        <v>144</v>
      </c>
      <c r="J1923" s="4" t="s">
        <v>52</v>
      </c>
      <c r="K1923" s="4" t="s">
        <v>5749</v>
      </c>
      <c r="L1923" s="48" t="str">
        <f aca="false">HYPERLINK("https://boxd.it/1a3q","open")</f>
        <v>open</v>
      </c>
      <c r="M1923" s="4" t="str">
        <f aca="false">LOWER(A1923)&amp;"|"&amp;B1923</f>
        <v>the rocky horror picture show|1975</v>
      </c>
      <c r="N1923" s="4" t="n">
        <v>0</v>
      </c>
      <c r="O1923" s="4" t="n">
        <v>0</v>
      </c>
      <c r="P1923" s="4" t="n">
        <v>0</v>
      </c>
      <c r="Q1923" s="4" t="n">
        <v>1</v>
      </c>
      <c r="R1923" s="4" t="n">
        <v>0</v>
      </c>
      <c r="S1923" s="4" t="n">
        <v>1</v>
      </c>
      <c r="T1923" s="4" t="n">
        <v>0</v>
      </c>
      <c r="U1923" s="4" t="n">
        <v>1</v>
      </c>
      <c r="V1923" s="4" t="n">
        <v>0</v>
      </c>
      <c r="W1923" s="4" t="n">
        <v>0</v>
      </c>
    </row>
    <row r="1924" customFormat="false" ht="15" hidden="false" customHeight="false" outlineLevel="0" collapsed="false">
      <c r="A1924" s="4" t="s">
        <v>1936</v>
      </c>
      <c r="B1924" s="4" t="n">
        <v>1956</v>
      </c>
      <c r="C1924" s="4" t="str">
        <f aca="false">FLOOR(B1924,10)&amp;"s"</f>
        <v>1950s</v>
      </c>
      <c r="D1924" s="4" t="s">
        <v>407</v>
      </c>
      <c r="E1924" s="25" t="str">
        <f aca="false">IF(G1924=1,"✓","")</f>
        <v/>
      </c>
      <c r="F1924" s="4" t="n">
        <v>1</v>
      </c>
      <c r="G1924" s="4" t="n">
        <f aca="false">IF(COUNTIF('Letterboxd Watched'!$E$2:$E$3000,M1924)&gt;0,1,0)</f>
        <v>0</v>
      </c>
      <c r="H1924" s="4" t="n">
        <v>2</v>
      </c>
      <c r="I1924" s="4" t="s">
        <v>213</v>
      </c>
      <c r="J1924" s="4" t="s">
        <v>56</v>
      </c>
      <c r="K1924" s="4" t="s">
        <v>4390</v>
      </c>
      <c r="L1924" s="48" t="str">
        <f aca="false">HYPERLINK("https://boxd.it/1EBi","open")</f>
        <v>open</v>
      </c>
      <c r="M1924" s="4" t="str">
        <f aca="false">LOWER(A1924)&amp;"|"&amp;B1924</f>
        <v>rodan|1956</v>
      </c>
      <c r="N1924" s="4" t="n">
        <v>0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1</v>
      </c>
      <c r="V1924" s="4" t="n">
        <v>0</v>
      </c>
      <c r="W1924" s="4" t="n">
        <v>0</v>
      </c>
    </row>
    <row r="1925" customFormat="false" ht="15" hidden="false" customHeight="false" outlineLevel="0" collapsed="false">
      <c r="A1925" s="4" t="s">
        <v>1096</v>
      </c>
      <c r="B1925" s="4" t="n">
        <v>1989</v>
      </c>
      <c r="C1925" s="4" t="str">
        <f aca="false">FLOOR(B1925,10)&amp;"s"</f>
        <v>1980s</v>
      </c>
      <c r="D1925" s="4" t="s">
        <v>1097</v>
      </c>
      <c r="E1925" s="25" t="str">
        <f aca="false">IF(G1925=1,"✓","")</f>
        <v/>
      </c>
      <c r="F1925" s="4" t="n">
        <v>2</v>
      </c>
      <c r="G1925" s="4" t="n">
        <f aca="false">IF(COUNTIF('Letterboxd Watched'!$E$2:$E$3000,M1925)&gt;0,1,0)</f>
        <v>0</v>
      </c>
      <c r="H1925" s="4" t="n">
        <v>4</v>
      </c>
      <c r="I1925" s="4" t="s">
        <v>213</v>
      </c>
      <c r="J1925" s="4" t="s">
        <v>52</v>
      </c>
      <c r="K1925" s="4" t="s">
        <v>5750</v>
      </c>
      <c r="L1925" s="48" t="str">
        <f aca="false">HYPERLINK("https://boxd.it/289I","open")</f>
        <v>open</v>
      </c>
      <c r="M1925" s="4" t="str">
        <f aca="false">LOWER(A1925)&amp;"|"&amp;B1925</f>
        <v>roger &amp; me|1989</v>
      </c>
      <c r="N1925" s="4" t="n">
        <v>0</v>
      </c>
      <c r="O1925" s="4" t="n">
        <v>0</v>
      </c>
      <c r="P1925" s="4" t="n">
        <v>0</v>
      </c>
      <c r="Q1925" s="4" t="n">
        <v>1</v>
      </c>
      <c r="R1925" s="4" t="n">
        <v>0</v>
      </c>
      <c r="S1925" s="4" t="n">
        <v>0</v>
      </c>
      <c r="T1925" s="4" t="n">
        <v>1</v>
      </c>
      <c r="U1925" s="4" t="n">
        <v>0</v>
      </c>
      <c r="V1925" s="4" t="n">
        <v>0</v>
      </c>
      <c r="W1925" s="4" t="n">
        <v>0</v>
      </c>
    </row>
    <row r="1926" customFormat="false" ht="15" hidden="false" customHeight="false" outlineLevel="0" collapsed="false">
      <c r="A1926" s="4" t="s">
        <v>1359</v>
      </c>
      <c r="B1926" s="4" t="n">
        <v>1977</v>
      </c>
      <c r="C1926" s="4" t="str">
        <f aca="false">FLOOR(B1926,10)&amp;"s"</f>
        <v>1970s</v>
      </c>
      <c r="D1926" s="4" t="s">
        <v>1360</v>
      </c>
      <c r="E1926" s="25" t="str">
        <f aca="false">IF(G1926=1,"✓","")</f>
        <v/>
      </c>
      <c r="F1926" s="4" t="n">
        <v>2</v>
      </c>
      <c r="G1926" s="4" t="n">
        <f aca="false">IF(COUNTIF('Letterboxd Watched'!$E$2:$E$3000,M1926)&gt;0,1,0)</f>
        <v>0</v>
      </c>
      <c r="H1926" s="4" t="n">
        <v>3</v>
      </c>
      <c r="I1926" s="4" t="s">
        <v>213</v>
      </c>
      <c r="J1926" s="4" t="s">
        <v>52</v>
      </c>
      <c r="K1926" s="4" t="s">
        <v>5751</v>
      </c>
      <c r="L1926" s="48" t="str">
        <f aca="false">HYPERLINK("https://boxd.it/1BgG","open")</f>
        <v>open</v>
      </c>
      <c r="M1926" s="4" t="str">
        <f aca="false">LOWER(A1926)&amp;"|"&amp;B1926</f>
        <v>rolling thunder|1977</v>
      </c>
      <c r="N1926" s="4" t="n">
        <v>0</v>
      </c>
      <c r="O1926" s="4" t="n">
        <v>0</v>
      </c>
      <c r="P1926" s="4" t="n">
        <v>0</v>
      </c>
      <c r="Q1926" s="4" t="n">
        <v>1</v>
      </c>
      <c r="R1926" s="4" t="n">
        <v>0</v>
      </c>
      <c r="S1926" s="4" t="n">
        <v>0</v>
      </c>
      <c r="T1926" s="4" t="n">
        <v>0</v>
      </c>
      <c r="U1926" s="4" t="n">
        <v>1</v>
      </c>
      <c r="V1926" s="4" t="n">
        <v>0</v>
      </c>
      <c r="W1926" s="4" t="n">
        <v>0</v>
      </c>
    </row>
    <row r="1927" customFormat="false" ht="15" hidden="false" customHeight="false" outlineLevel="0" collapsed="false">
      <c r="A1927" s="4" t="s">
        <v>650</v>
      </c>
      <c r="B1927" s="4" t="n">
        <v>2018</v>
      </c>
      <c r="C1927" s="4" t="str">
        <f aca="false">FLOOR(B1927,10)&amp;"s"</f>
        <v>2010s</v>
      </c>
      <c r="D1927" s="4" t="s">
        <v>384</v>
      </c>
      <c r="E1927" s="25" t="str">
        <f aca="false">IF(G1927=1,"✓","")</f>
        <v/>
      </c>
      <c r="F1927" s="4" t="n">
        <v>3</v>
      </c>
      <c r="G1927" s="4" t="n">
        <f aca="false">IF(COUNTIF('Letterboxd Watched'!$E$2:$E$3000,M1927)&gt;0,1,0)</f>
        <v>0</v>
      </c>
      <c r="H1927" s="4" t="n">
        <v>6</v>
      </c>
      <c r="I1927" s="4" t="s">
        <v>213</v>
      </c>
      <c r="J1927" s="4" t="s">
        <v>49</v>
      </c>
      <c r="K1927" s="4" t="s">
        <v>5752</v>
      </c>
      <c r="L1927" s="48" t="str">
        <f aca="false">HYPERLINK("https://boxd.it/f69M","open")</f>
        <v>open</v>
      </c>
      <c r="M1927" s="4" t="str">
        <f aca="false">LOWER(A1927)&amp;"|"&amp;B1927</f>
        <v>roma|2018</v>
      </c>
      <c r="N1927" s="4" t="n">
        <v>1</v>
      </c>
      <c r="O1927" s="4" t="n">
        <v>1</v>
      </c>
      <c r="P1927" s="4" t="n">
        <v>1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 customFormat="false" ht="15" hidden="false" customHeight="false" outlineLevel="0" collapsed="false">
      <c r="A1928" s="4" t="s">
        <v>942</v>
      </c>
      <c r="B1928" s="4" t="n">
        <v>1953</v>
      </c>
      <c r="C1928" s="4" t="str">
        <f aca="false">FLOOR(B1928,10)&amp;"s"</f>
        <v>1950s</v>
      </c>
      <c r="D1928" s="4" t="s">
        <v>305</v>
      </c>
      <c r="E1928" s="25" t="str">
        <f aca="false">IF(G1928=1,"✓","")</f>
        <v/>
      </c>
      <c r="F1928" s="4" t="n">
        <v>2</v>
      </c>
      <c r="G1928" s="4" t="n">
        <f aca="false">IF(COUNTIF('Letterboxd Watched'!$E$2:$E$3000,M1928)&gt;0,1,0)</f>
        <v>0</v>
      </c>
      <c r="H1928" s="4" t="n">
        <v>4</v>
      </c>
      <c r="I1928" s="4" t="s">
        <v>213</v>
      </c>
      <c r="J1928" s="4" t="s">
        <v>52</v>
      </c>
      <c r="K1928" s="4" t="s">
        <v>5753</v>
      </c>
      <c r="L1928" s="48" t="str">
        <f aca="false">HYPERLINK("https://boxd.it/29zW","open")</f>
        <v>open</v>
      </c>
      <c r="M1928" s="4" t="str">
        <f aca="false">LOWER(A1928)&amp;"|"&amp;B1928</f>
        <v>roman holiday|1953</v>
      </c>
      <c r="N1928" s="4" t="n">
        <v>0</v>
      </c>
      <c r="O1928" s="4" t="n">
        <v>0</v>
      </c>
      <c r="P1928" s="4" t="n">
        <v>0</v>
      </c>
      <c r="Q1928" s="4" t="n">
        <v>1</v>
      </c>
      <c r="R1928" s="4" t="n">
        <v>0</v>
      </c>
      <c r="S1928" s="4" t="n">
        <v>0</v>
      </c>
      <c r="T1928" s="4" t="n">
        <v>0</v>
      </c>
      <c r="U1928" s="4" t="n">
        <v>1</v>
      </c>
      <c r="V1928" s="4" t="n">
        <v>0</v>
      </c>
      <c r="W1928" s="4" t="n">
        <v>0</v>
      </c>
    </row>
    <row r="1929" customFormat="false" ht="15" hidden="false" customHeight="false" outlineLevel="0" collapsed="false">
      <c r="A1929" s="4" t="s">
        <v>349</v>
      </c>
      <c r="B1929" s="4" t="n">
        <v>1945</v>
      </c>
      <c r="C1929" s="4" t="str">
        <f aca="false">FLOOR(B1929,10)&amp;"s"</f>
        <v>1940s</v>
      </c>
      <c r="D1929" s="4" t="s">
        <v>268</v>
      </c>
      <c r="E1929" s="25" t="str">
        <f aca="false">IF(G1929=1,"✓","")</f>
        <v/>
      </c>
      <c r="F1929" s="4" t="n">
        <v>4</v>
      </c>
      <c r="G1929" s="4" t="n">
        <f aca="false">IF(COUNTIF('Letterboxd Watched'!$E$2:$E$3000,M1929)&gt;0,1,0)</f>
        <v>0</v>
      </c>
      <c r="H1929" s="4" t="n">
        <v>9</v>
      </c>
      <c r="I1929" s="4" t="s">
        <v>144</v>
      </c>
      <c r="J1929" s="4" t="s">
        <v>50</v>
      </c>
      <c r="K1929" s="4" t="s">
        <v>5754</v>
      </c>
      <c r="L1929" s="48" t="str">
        <f aca="false">HYPERLINK("https://boxd.it/2aD6","open")</f>
        <v>open</v>
      </c>
      <c r="M1929" s="4" t="str">
        <f aca="false">LOWER(A1929)&amp;"|"&amp;B1929</f>
        <v>rome, open city|1945</v>
      </c>
      <c r="N1929" s="4" t="n">
        <v>0</v>
      </c>
      <c r="O1929" s="4" t="n">
        <v>1</v>
      </c>
      <c r="P1929" s="4" t="n">
        <v>1</v>
      </c>
      <c r="Q1929" s="4" t="n">
        <v>1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1</v>
      </c>
      <c r="W1929" s="4" t="n">
        <v>0</v>
      </c>
    </row>
    <row r="1930" customFormat="false" ht="15" hidden="false" customHeight="false" outlineLevel="0" collapsed="false">
      <c r="A1930" s="4" t="s">
        <v>2692</v>
      </c>
      <c r="B1930" s="4" t="n">
        <v>1998</v>
      </c>
      <c r="C1930" s="4" t="str">
        <f aca="false">FLOOR(B1930,10)&amp;"s"</f>
        <v>1990s</v>
      </c>
      <c r="D1930" s="4" t="s">
        <v>965</v>
      </c>
      <c r="E1930" s="25" t="str">
        <f aca="false">IF(G1930=1,"✓","")</f>
        <v/>
      </c>
      <c r="F1930" s="4" t="n">
        <v>1</v>
      </c>
      <c r="G1930" s="4" t="n">
        <f aca="false">IF(COUNTIF('Letterboxd Watched'!$E$2:$E$3000,M1930)&gt;0,1,0)</f>
        <v>0</v>
      </c>
      <c r="H1930" s="4" t="n">
        <v>2</v>
      </c>
      <c r="I1930" s="4" t="s">
        <v>213</v>
      </c>
      <c r="J1930" s="4" t="s">
        <v>56</v>
      </c>
      <c r="K1930" s="4" t="s">
        <v>4400</v>
      </c>
      <c r="L1930" s="48" t="str">
        <f aca="false">HYPERLINK("https://boxd.it/20wa","open")</f>
        <v>open</v>
      </c>
      <c r="M1930" s="4" t="str">
        <f aca="false">LOWER(A1930)&amp;"|"&amp;B1930</f>
        <v>ronin|1998</v>
      </c>
      <c r="N1930" s="4" t="n">
        <v>0</v>
      </c>
      <c r="O1930" s="4" t="n">
        <v>0</v>
      </c>
      <c r="P1930" s="4" t="n">
        <v>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1</v>
      </c>
      <c r="V1930" s="4" t="n">
        <v>0</v>
      </c>
      <c r="W1930" s="4" t="n">
        <v>0</v>
      </c>
    </row>
    <row r="1931" customFormat="false" ht="15" hidden="false" customHeight="false" outlineLevel="0" collapsed="false">
      <c r="A1931" s="4" t="s">
        <v>1589</v>
      </c>
      <c r="B1931" s="4" t="n">
        <v>2003</v>
      </c>
      <c r="C1931" s="4" t="str">
        <f aca="false">FLOOR(B1931,10)&amp;"s"</f>
        <v>2000s</v>
      </c>
      <c r="D1931" s="4" t="s">
        <v>1590</v>
      </c>
      <c r="E1931" s="25" t="str">
        <f aca="false">IF(G1931=1,"✓","")</f>
        <v/>
      </c>
      <c r="F1931" s="4" t="n">
        <v>1</v>
      </c>
      <c r="G1931" s="4" t="n">
        <f aca="false">IF(COUNTIF('Letterboxd Watched'!$E$2:$E$3000,M1931)&gt;0,1,0)</f>
        <v>0</v>
      </c>
      <c r="H1931" s="4" t="n">
        <v>3</v>
      </c>
      <c r="I1931" s="4" t="s">
        <v>144</v>
      </c>
      <c r="J1931" s="4" t="s">
        <v>54</v>
      </c>
      <c r="K1931" s="4" t="s">
        <v>4306</v>
      </c>
      <c r="L1931" s="48" t="str">
        <f aca="false">HYPERLINK("https://letterboxd.com/search/films/The+Room+2003/","open")</f>
        <v>open</v>
      </c>
      <c r="M1931" s="4" t="str">
        <f aca="false">LOWER(A1931)&amp;"|"&amp;B1931</f>
        <v>the room|2003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1</v>
      </c>
      <c r="T1931" s="4" t="n">
        <v>0</v>
      </c>
      <c r="U1931" s="4" t="n">
        <v>0</v>
      </c>
      <c r="V1931" s="4" t="n">
        <v>0</v>
      </c>
      <c r="W1931" s="4" t="n">
        <v>0</v>
      </c>
    </row>
    <row r="1932" customFormat="false" ht="15" hidden="false" customHeight="false" outlineLevel="0" collapsed="false">
      <c r="A1932" s="4" t="s">
        <v>3086</v>
      </c>
      <c r="B1932" s="4" t="n">
        <v>2015</v>
      </c>
      <c r="C1932" s="4" t="str">
        <f aca="false">FLOOR(B1932,10)&amp;"s"</f>
        <v>2010s</v>
      </c>
      <c r="D1932" s="4" t="s">
        <v>3087</v>
      </c>
      <c r="E1932" s="25" t="str">
        <f aca="false">IF(G1932=1,"✓","")</f>
        <v>✓</v>
      </c>
      <c r="F1932" s="4" t="n">
        <v>1</v>
      </c>
      <c r="G1932" s="4" t="n">
        <f aca="false">IF(COUNTIF('Letterboxd Watched'!$E$2:$E$3000,M1932)&gt;0,1,0)</f>
        <v>1</v>
      </c>
      <c r="H1932" s="4" t="n">
        <v>2</v>
      </c>
      <c r="I1932" s="4" t="s">
        <v>213</v>
      </c>
      <c r="J1932" s="4" t="s">
        <v>57</v>
      </c>
      <c r="K1932" s="4" t="s">
        <v>4450</v>
      </c>
      <c r="L1932" s="48" t="str">
        <f aca="false">HYPERLINK("https://boxd.it/7T0y","open")</f>
        <v>open</v>
      </c>
      <c r="M1932" s="4" t="str">
        <f aca="false">LOWER(A1932)&amp;"|"&amp;B1932</f>
        <v>room|2015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1</v>
      </c>
      <c r="W1932" s="4" t="n">
        <v>0</v>
      </c>
    </row>
    <row r="1933" customFormat="false" ht="15" hidden="false" customHeight="false" outlineLevel="0" collapsed="false">
      <c r="A1933" s="4" t="s">
        <v>1954</v>
      </c>
      <c r="B1933" s="4" t="n">
        <v>1958</v>
      </c>
      <c r="C1933" s="4" t="str">
        <f aca="false">FLOOR(B1933,10)&amp;"s"</f>
        <v>1950s</v>
      </c>
      <c r="D1933" s="4" t="s">
        <v>765</v>
      </c>
      <c r="E1933" s="25" t="str">
        <f aca="false">IF(G1933=1,"✓","")</f>
        <v/>
      </c>
      <c r="F1933" s="4" t="n">
        <v>1</v>
      </c>
      <c r="G1933" s="4" t="n">
        <f aca="false">IF(COUNTIF('Letterboxd Watched'!$E$2:$E$3000,M1933)&gt;0,1,0)</f>
        <v>0</v>
      </c>
      <c r="H1933" s="4" t="n">
        <v>2</v>
      </c>
      <c r="I1933" s="4" t="s">
        <v>213</v>
      </c>
      <c r="J1933" s="4" t="s">
        <v>51</v>
      </c>
      <c r="K1933" s="4" t="s">
        <v>3980</v>
      </c>
      <c r="L1933" s="48" t="str">
        <f aca="false">HYPERLINK("https://boxd.it/Vhs","open")</f>
        <v>open</v>
      </c>
      <c r="M1933" s="4" t="str">
        <f aca="false">LOWER(A1933)&amp;"|"&amp;B1933</f>
        <v>room at the top|1958</v>
      </c>
      <c r="N1933" s="4" t="n">
        <v>0</v>
      </c>
      <c r="O1933" s="4" t="n">
        <v>0</v>
      </c>
      <c r="P1933" s="4" t="n">
        <v>1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</row>
    <row r="1934" customFormat="false" ht="15" hidden="false" customHeight="false" outlineLevel="0" collapsed="false">
      <c r="A1934" s="4" t="s">
        <v>251</v>
      </c>
      <c r="B1934" s="4" t="n">
        <v>1948</v>
      </c>
      <c r="C1934" s="4" t="str">
        <f aca="false">FLOOR(B1934,10)&amp;"s"</f>
        <v>1940s</v>
      </c>
      <c r="D1934" s="4" t="s">
        <v>162</v>
      </c>
      <c r="E1934" s="25" t="str">
        <f aca="false">IF(G1934=1,"✓","")</f>
        <v/>
      </c>
      <c r="F1934" s="4" t="n">
        <v>5</v>
      </c>
      <c r="G1934" s="4" t="n">
        <f aca="false">IF(COUNTIF('Letterboxd Watched'!$E$2:$E$3000,M1934)&gt;0,1,0)</f>
        <v>0</v>
      </c>
      <c r="H1934" s="4" t="n">
        <v>12</v>
      </c>
      <c r="I1934" s="4" t="s">
        <v>144</v>
      </c>
      <c r="J1934" s="4" t="s">
        <v>49</v>
      </c>
      <c r="K1934" s="4" t="s">
        <v>5755</v>
      </c>
      <c r="L1934" s="48" t="str">
        <f aca="false">HYPERLINK("https://boxd.it/28yo","open")</f>
        <v>open</v>
      </c>
      <c r="M1934" s="4" t="str">
        <f aca="false">LOWER(A1934)&amp;"|"&amp;B1934</f>
        <v>rope|1948</v>
      </c>
      <c r="N1934" s="4" t="n">
        <v>1</v>
      </c>
      <c r="O1934" s="4" t="n">
        <v>0</v>
      </c>
      <c r="P1934" s="4" t="n">
        <v>0</v>
      </c>
      <c r="Q1934" s="4" t="n">
        <v>0</v>
      </c>
      <c r="R1934" s="4" t="n">
        <v>1</v>
      </c>
      <c r="S1934" s="4" t="n">
        <v>1</v>
      </c>
      <c r="T1934" s="4" t="n">
        <v>0</v>
      </c>
      <c r="U1934" s="4" t="n">
        <v>1</v>
      </c>
      <c r="V1934" s="4" t="n">
        <v>0</v>
      </c>
      <c r="W1934" s="4" t="n">
        <v>0</v>
      </c>
    </row>
    <row r="1935" customFormat="false" ht="15" hidden="false" customHeight="false" outlineLevel="0" collapsed="false">
      <c r="A1935" s="4" t="s">
        <v>1475</v>
      </c>
      <c r="B1935" s="4" t="n">
        <v>1968</v>
      </c>
      <c r="C1935" s="4" t="str">
        <f aca="false">FLOOR(B1935,10)&amp;"s"</f>
        <v>1960s</v>
      </c>
      <c r="D1935" s="4" t="s">
        <v>195</v>
      </c>
      <c r="E1935" s="25" t="str">
        <f aca="false">IF(G1935=1,"✓","")</f>
        <v/>
      </c>
      <c r="F1935" s="4" t="n">
        <v>1</v>
      </c>
      <c r="G1935" s="4" t="n">
        <f aca="false">IF(COUNTIF('Letterboxd Watched'!$E$2:$E$3000,M1935)&gt;0,1,0)</f>
        <v>0</v>
      </c>
      <c r="H1935" s="4" t="n">
        <v>3</v>
      </c>
      <c r="I1935" s="4" t="s">
        <v>144</v>
      </c>
      <c r="J1935" s="4" t="s">
        <v>52</v>
      </c>
      <c r="K1935" s="4" t="s">
        <v>4066</v>
      </c>
      <c r="L1935" s="48" t="str">
        <f aca="false">HYPERLINK("https://boxd.it/29zM","open")</f>
        <v>open</v>
      </c>
      <c r="M1935" s="4" t="str">
        <f aca="false">LOWER(A1935)&amp;"|"&amp;B1935</f>
        <v>rosemary's baby|1968</v>
      </c>
      <c r="N1935" s="4" t="n">
        <v>0</v>
      </c>
      <c r="O1935" s="4" t="n">
        <v>0</v>
      </c>
      <c r="P1935" s="4" t="n">
        <v>0</v>
      </c>
      <c r="Q1935" s="4" t="n">
        <v>1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</row>
    <row r="1936" customFormat="false" ht="15" hidden="false" customHeight="false" outlineLevel="0" collapsed="false">
      <c r="A1936" s="4" t="s">
        <v>627</v>
      </c>
      <c r="B1936" s="4" t="n">
        <v>1999</v>
      </c>
      <c r="C1936" s="4" t="str">
        <f aca="false">FLOOR(B1936,10)&amp;"s"</f>
        <v>1990s</v>
      </c>
      <c r="D1936" s="4" t="s">
        <v>628</v>
      </c>
      <c r="E1936" s="25" t="str">
        <f aca="false">IF(G1936=1,"✓","")</f>
        <v/>
      </c>
      <c r="F1936" s="4" t="n">
        <v>3</v>
      </c>
      <c r="G1936" s="4" t="n">
        <f aca="false">IF(COUNTIF('Letterboxd Watched'!$E$2:$E$3000,M1936)&gt;0,1,0)</f>
        <v>0</v>
      </c>
      <c r="H1936" s="4" t="n">
        <v>6</v>
      </c>
      <c r="I1936" s="4" t="s">
        <v>213</v>
      </c>
      <c r="J1936" s="4" t="s">
        <v>51</v>
      </c>
      <c r="K1936" s="4" t="s">
        <v>5756</v>
      </c>
      <c r="L1936" s="48" t="str">
        <f aca="false">HYPERLINK("https://letterboxd.com/search/films/Rosetta+1999/","open")</f>
        <v>open</v>
      </c>
      <c r="M1936" s="4" t="str">
        <f aca="false">LOWER(A1936)&amp;"|"&amp;B1936</f>
        <v>rosetta|1999</v>
      </c>
      <c r="N1936" s="4" t="n">
        <v>0</v>
      </c>
      <c r="O1936" s="4" t="n">
        <v>0</v>
      </c>
      <c r="P1936" s="4" t="n">
        <v>1</v>
      </c>
      <c r="Q1936" s="4" t="n">
        <v>0</v>
      </c>
      <c r="R1936" s="4" t="n">
        <v>0</v>
      </c>
      <c r="S1936" s="4" t="n">
        <v>0</v>
      </c>
      <c r="T1936" s="4" t="n">
        <v>1</v>
      </c>
      <c r="U1936" s="4" t="n">
        <v>0</v>
      </c>
      <c r="V1936" s="4" t="n">
        <v>0</v>
      </c>
      <c r="W1936" s="4" t="n">
        <v>1</v>
      </c>
    </row>
    <row r="1937" customFormat="false" ht="15" hidden="false" customHeight="false" outlineLevel="0" collapsed="false">
      <c r="A1937" s="4" t="s">
        <v>1681</v>
      </c>
      <c r="B1937" s="4" t="n">
        <v>1923</v>
      </c>
      <c r="C1937" s="4" t="str">
        <f aca="false">FLOOR(B1937,10)&amp;"s"</f>
        <v>1920s</v>
      </c>
      <c r="D1937" s="4" t="s">
        <v>1682</v>
      </c>
      <c r="E1937" s="25" t="str">
        <f aca="false">IF(G1937=1,"✓","")</f>
        <v/>
      </c>
      <c r="F1937" s="4" t="n">
        <v>1</v>
      </c>
      <c r="G1937" s="4" t="n">
        <f aca="false">IF(COUNTIF('Letterboxd Watched'!$E$2:$E$3000,M1937)&gt;0,1,0)</f>
        <v>0</v>
      </c>
      <c r="H1937" s="4" t="n">
        <v>2</v>
      </c>
      <c r="I1937" s="4" t="s">
        <v>213</v>
      </c>
      <c r="J1937" s="4" t="s">
        <v>50</v>
      </c>
      <c r="K1937" s="4" t="s">
        <v>3902</v>
      </c>
      <c r="L1937" s="48" t="str">
        <f aca="false">HYPERLINK("https://boxd.it/EeG","open")</f>
        <v>open</v>
      </c>
      <c r="M1937" s="4" t="str">
        <f aca="false">LOWER(A1937)&amp;"|"&amp;B1937</f>
        <v>la roue|1923</v>
      </c>
      <c r="N1937" s="4" t="n">
        <v>0</v>
      </c>
      <c r="O1937" s="4" t="n">
        <v>1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 customFormat="false" ht="15" hidden="false" customHeight="false" outlineLevel="0" collapsed="false">
      <c r="A1938" s="4" t="s">
        <v>2446</v>
      </c>
      <c r="B1938" s="4" t="n">
        <v>1987</v>
      </c>
      <c r="C1938" s="4" t="str">
        <f aca="false">FLOOR(B1938,10)&amp;"s"</f>
        <v>1980s</v>
      </c>
      <c r="D1938" s="4" t="s">
        <v>2447</v>
      </c>
      <c r="E1938" s="25" t="str">
        <f aca="false">IF(G1938=1,"✓","")</f>
        <v/>
      </c>
      <c r="F1938" s="4" t="n">
        <v>1</v>
      </c>
      <c r="G1938" s="4" t="n">
        <f aca="false">IF(COUNTIF('Letterboxd Watched'!$E$2:$E$3000,M1938)&gt;0,1,0)</f>
        <v>0</v>
      </c>
      <c r="H1938" s="4" t="n">
        <v>2</v>
      </c>
      <c r="I1938" s="4" t="s">
        <v>213</v>
      </c>
      <c r="J1938" s="4" t="s">
        <v>51</v>
      </c>
      <c r="K1938" s="4" t="s">
        <v>4016</v>
      </c>
      <c r="L1938" s="48" t="str">
        <f aca="false">HYPERLINK("https://letterboxd.com/search/films/Rouge+1987/","open")</f>
        <v>open</v>
      </c>
      <c r="M1938" s="4" t="str">
        <f aca="false">LOWER(A1938)&amp;"|"&amp;B1938</f>
        <v>rouge|1987</v>
      </c>
      <c r="N1938" s="4" t="n">
        <v>0</v>
      </c>
      <c r="O1938" s="4" t="n">
        <v>0</v>
      </c>
      <c r="P1938" s="4" t="n">
        <v>1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 customFormat="false" ht="15" hidden="false" customHeight="false" outlineLevel="0" collapsed="false">
      <c r="A1939" s="4" t="s">
        <v>2442</v>
      </c>
      <c r="B1939" s="4" t="n">
        <v>1986</v>
      </c>
      <c r="C1939" s="4" t="str">
        <f aca="false">FLOOR(B1939,10)&amp;"s"</f>
        <v>1980s</v>
      </c>
      <c r="D1939" s="4" t="s">
        <v>2443</v>
      </c>
      <c r="E1939" s="25" t="str">
        <f aca="false">IF(G1939=1,"✓","")</f>
        <v/>
      </c>
      <c r="F1939" s="4" t="n">
        <v>1</v>
      </c>
      <c r="G1939" s="4" t="n">
        <f aca="false">IF(COUNTIF('Letterboxd Watched'!$E$2:$E$3000,M1939)&gt;0,1,0)</f>
        <v>0</v>
      </c>
      <c r="H1939" s="4" t="n">
        <v>2</v>
      </c>
      <c r="I1939" s="4" t="s">
        <v>213</v>
      </c>
      <c r="J1939" s="4" t="s">
        <v>55</v>
      </c>
      <c r="K1939" s="4" t="s">
        <v>4366</v>
      </c>
      <c r="L1939" s="48" t="str">
        <f aca="false">HYPERLINK("https://boxd.it/1NC0","open")</f>
        <v>open</v>
      </c>
      <c r="M1939" s="4" t="str">
        <f aca="false">LOWER(A1939)&amp;"|"&amp;B1939</f>
        <v>'round midnight|1986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1</v>
      </c>
      <c r="U1939" s="4" t="n">
        <v>0</v>
      </c>
      <c r="V1939" s="4" t="n">
        <v>0</v>
      </c>
      <c r="W1939" s="4" t="n">
        <v>0</v>
      </c>
    </row>
    <row r="1940" customFormat="false" ht="15" hidden="false" customHeight="false" outlineLevel="0" collapsed="false">
      <c r="A1940" s="4" t="s">
        <v>770</v>
      </c>
      <c r="B1940" s="4" t="n">
        <v>1966</v>
      </c>
      <c r="C1940" s="4" t="str">
        <f aca="false">FLOOR(B1940,10)&amp;"s"</f>
        <v>1960s</v>
      </c>
      <c r="D1940" s="4" t="s">
        <v>771</v>
      </c>
      <c r="E1940" s="25" t="str">
        <f aca="false">IF(G1940=1,"✓","")</f>
        <v/>
      </c>
      <c r="F1940" s="4" t="n">
        <v>2</v>
      </c>
      <c r="G1940" s="4" t="n">
        <f aca="false">IF(COUNTIF('Letterboxd Watched'!$E$2:$E$3000,M1940)&gt;0,1,0)</f>
        <v>0</v>
      </c>
      <c r="H1940" s="4" t="n">
        <v>5</v>
      </c>
      <c r="I1940" s="4" t="s">
        <v>144</v>
      </c>
      <c r="J1940" s="4" t="s">
        <v>51</v>
      </c>
      <c r="K1940" s="4" t="s">
        <v>5757</v>
      </c>
      <c r="L1940" s="48" t="str">
        <f aca="false">HYPERLINK("https://boxd.it/3idC","open")</f>
        <v>open</v>
      </c>
      <c r="M1940" s="4" t="str">
        <f aca="false">LOWER(A1940)&amp;"|"&amp;B1940</f>
        <v>the round-up|1966</v>
      </c>
      <c r="N1940" s="4" t="n">
        <v>0</v>
      </c>
      <c r="O1940" s="4" t="n">
        <v>0</v>
      </c>
      <c r="P1940" s="4" t="n">
        <v>1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1</v>
      </c>
      <c r="W1940" s="4" t="n">
        <v>0</v>
      </c>
    </row>
    <row r="1941" customFormat="false" ht="15" hidden="false" customHeight="false" outlineLevel="0" collapsed="false">
      <c r="A1941" s="4" t="s">
        <v>1802</v>
      </c>
      <c r="B1941" s="4" t="n">
        <v>1942</v>
      </c>
      <c r="C1941" s="4" t="str">
        <f aca="false">FLOOR(B1941,10)&amp;"s"</f>
        <v>1940s</v>
      </c>
      <c r="D1941" s="4" t="s">
        <v>564</v>
      </c>
      <c r="E1941" s="25" t="str">
        <f aca="false">IF(G1941=1,"✓","")</f>
        <v/>
      </c>
      <c r="F1941" s="4" t="n">
        <v>1</v>
      </c>
      <c r="G1941" s="4" t="n">
        <f aca="false">IF(COUNTIF('Letterboxd Watched'!$E$2:$E$3000,M1941)&gt;0,1,0)</f>
        <v>0</v>
      </c>
      <c r="H1941" s="4" t="n">
        <v>2</v>
      </c>
      <c r="I1941" s="4" t="s">
        <v>213</v>
      </c>
      <c r="J1941" s="4" t="s">
        <v>57</v>
      </c>
      <c r="K1941" s="4" t="s">
        <v>4434</v>
      </c>
      <c r="L1941" s="48" t="str">
        <f aca="false">HYPERLINK("https://boxd.it/m7C","open")</f>
        <v>open</v>
      </c>
      <c r="M1941" s="4" t="str">
        <f aca="false">LOWER(A1941)&amp;"|"&amp;B1941</f>
        <v>roxie hart|1942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1</v>
      </c>
      <c r="W1941" s="4" t="n">
        <v>0</v>
      </c>
    </row>
    <row r="1942" customFormat="false" ht="15" hidden="false" customHeight="false" outlineLevel="0" collapsed="false">
      <c r="A1942" s="4" t="s">
        <v>2754</v>
      </c>
      <c r="B1942" s="4" t="n">
        <v>2001</v>
      </c>
      <c r="C1942" s="4" t="str">
        <f aca="false">FLOOR(B1942,10)&amp;"s"</f>
        <v>2000s</v>
      </c>
      <c r="D1942" s="4" t="s">
        <v>274</v>
      </c>
      <c r="E1942" s="25" t="str">
        <f aca="false">IF(G1942=1,"✓","")</f>
        <v>✓</v>
      </c>
      <c r="F1942" s="4" t="n">
        <v>1</v>
      </c>
      <c r="G1942" s="4" t="n">
        <f aca="false">IF(COUNTIF('Letterboxd Watched'!$E$2:$E$3000,M1942)&gt;0,1,0)</f>
        <v>1</v>
      </c>
      <c r="H1942" s="4" t="n">
        <v>2</v>
      </c>
      <c r="I1942" s="4" t="s">
        <v>213</v>
      </c>
      <c r="J1942" s="4" t="s">
        <v>53</v>
      </c>
      <c r="K1942" s="4" t="s">
        <v>274</v>
      </c>
      <c r="L1942" s="48" t="str">
        <f aca="false">HYPERLINK("https://boxd.it/1YHU","open")</f>
        <v>open</v>
      </c>
      <c r="M1942" s="4" t="str">
        <f aca="false">LOWER(A1942)&amp;"|"&amp;B1942</f>
        <v>the royal tenenbaums|2001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1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</row>
    <row r="1943" customFormat="false" ht="15" hidden="false" customHeight="false" outlineLevel="0" collapsed="false">
      <c r="A1943" s="4" t="s">
        <v>1264</v>
      </c>
      <c r="B1943" s="4" t="n">
        <v>2022</v>
      </c>
      <c r="C1943" s="4" t="str">
        <f aca="false">FLOOR(B1943,10)&amp;"s"</f>
        <v>2020s</v>
      </c>
      <c r="D1943" s="4" t="s">
        <v>1265</v>
      </c>
      <c r="E1943" s="25" t="str">
        <f aca="false">IF(G1943=1,"✓","")</f>
        <v/>
      </c>
      <c r="F1943" s="4" t="n">
        <v>2</v>
      </c>
      <c r="G1943" s="4" t="n">
        <f aca="false">IF(COUNTIF('Letterboxd Watched'!$E$2:$E$3000,M1943)&gt;0,1,0)</f>
        <v>0</v>
      </c>
      <c r="H1943" s="4" t="n">
        <v>4</v>
      </c>
      <c r="I1943" s="4" t="s">
        <v>213</v>
      </c>
      <c r="J1943" s="4" t="s">
        <v>51</v>
      </c>
      <c r="K1943" s="4" t="s">
        <v>5758</v>
      </c>
      <c r="L1943" s="48" t="str">
        <f aca="false">HYPERLINK("https://letterboxd.com/search/films/RRR+2022/","open")</f>
        <v>open</v>
      </c>
      <c r="M1943" s="4" t="str">
        <f aca="false">LOWER(A1943)&amp;"|"&amp;B1943</f>
        <v>rrr|2022</v>
      </c>
      <c r="N1943" s="4" t="n">
        <v>0</v>
      </c>
      <c r="O1943" s="4" t="n">
        <v>0</v>
      </c>
      <c r="P1943" s="4" t="n">
        <v>1</v>
      </c>
      <c r="Q1943" s="4" t="n">
        <v>1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 customFormat="false" ht="15" hidden="false" customHeight="false" outlineLevel="0" collapsed="false">
      <c r="A1944" s="4" t="s">
        <v>233</v>
      </c>
      <c r="B1944" s="4" t="n">
        <v>1939</v>
      </c>
      <c r="C1944" s="4" t="str">
        <f aca="false">FLOOR(B1944,10)&amp;"s"</f>
        <v>1930s</v>
      </c>
      <c r="D1944" s="4" t="s">
        <v>234</v>
      </c>
      <c r="E1944" s="25" t="str">
        <f aca="false">IF(G1944=1,"✓","")</f>
        <v/>
      </c>
      <c r="F1944" s="4" t="n">
        <v>5</v>
      </c>
      <c r="G1944" s="4" t="n">
        <f aca="false">IF(COUNTIF('Letterboxd Watched'!$E$2:$E$3000,M1944)&gt;0,1,0)</f>
        <v>0</v>
      </c>
      <c r="H1944" s="4" t="n">
        <v>13</v>
      </c>
      <c r="I1944" s="4" t="s">
        <v>144</v>
      </c>
      <c r="J1944" s="4" t="s">
        <v>51</v>
      </c>
      <c r="K1944" s="4" t="s">
        <v>5759</v>
      </c>
      <c r="L1944" s="48" t="str">
        <f aca="false">HYPERLINK("https://boxd.it/29Es","open")</f>
        <v>open</v>
      </c>
      <c r="M1944" s="4" t="str">
        <f aca="false">LOWER(A1944)&amp;"|"&amp;B1944</f>
        <v>the rules of the game|1939</v>
      </c>
      <c r="N1944" s="4" t="n">
        <v>0</v>
      </c>
      <c r="O1944" s="4" t="n">
        <v>0</v>
      </c>
      <c r="P1944" s="4" t="n">
        <v>1</v>
      </c>
      <c r="Q1944" s="4" t="n">
        <v>0</v>
      </c>
      <c r="R1944" s="4" t="n">
        <v>1</v>
      </c>
      <c r="S1944" s="4" t="n">
        <v>1</v>
      </c>
      <c r="T1944" s="4" t="n">
        <v>0</v>
      </c>
      <c r="U1944" s="4" t="n">
        <v>0</v>
      </c>
      <c r="V1944" s="4" t="n">
        <v>1</v>
      </c>
      <c r="W1944" s="4" t="n">
        <v>0</v>
      </c>
    </row>
    <row r="1945" customFormat="false" ht="15" hidden="false" customHeight="false" outlineLevel="0" collapsed="false">
      <c r="A1945" s="4" t="s">
        <v>2384</v>
      </c>
      <c r="B1945" s="4" t="n">
        <v>1983</v>
      </c>
      <c r="C1945" s="4" t="str">
        <f aca="false">FLOOR(B1945,10)&amp;"s"</f>
        <v>1980s</v>
      </c>
      <c r="D1945" s="4" t="s">
        <v>172</v>
      </c>
      <c r="E1945" s="25" t="str">
        <f aca="false">IF(G1945=1,"✓","")</f>
        <v>✓</v>
      </c>
      <c r="F1945" s="4" t="n">
        <v>1</v>
      </c>
      <c r="G1945" s="4" t="n">
        <f aca="false">IF(COUNTIF('Letterboxd Watched'!$E$2:$E$3000,M1945)&gt;0,1,0)</f>
        <v>1</v>
      </c>
      <c r="H1945" s="4" t="n">
        <v>2</v>
      </c>
      <c r="I1945" s="4" t="s">
        <v>213</v>
      </c>
      <c r="J1945" s="4" t="s">
        <v>53</v>
      </c>
      <c r="K1945" s="4" t="s">
        <v>172</v>
      </c>
      <c r="L1945" s="48" t="str">
        <f aca="false">HYPERLINK("https://boxd.it/2aOI","open")</f>
        <v>open</v>
      </c>
      <c r="M1945" s="4" t="str">
        <f aca="false">LOWER(A1945)&amp;"|"&amp;B1945</f>
        <v>rumble fish|1983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1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</row>
    <row r="1946" customFormat="false" ht="15" hidden="false" customHeight="false" outlineLevel="0" collapsed="false">
      <c r="A1946" s="4" t="s">
        <v>1656</v>
      </c>
      <c r="B1946" s="4" t="n">
        <v>1998</v>
      </c>
      <c r="C1946" s="4" t="str">
        <f aca="false">FLOOR(B1946,10)&amp;"s"</f>
        <v>1990s</v>
      </c>
      <c r="D1946" s="4" t="s">
        <v>1657</v>
      </c>
      <c r="E1946" s="25" t="str">
        <f aca="false">IF(G1946=1,"✓","")</f>
        <v/>
      </c>
      <c r="F1946" s="4" t="n">
        <v>2</v>
      </c>
      <c r="G1946" s="4" t="n">
        <f aca="false">IF(COUNTIF('Letterboxd Watched'!$E$2:$E$3000,M1946)&gt;0,1,0)</f>
        <v>0</v>
      </c>
      <c r="H1946" s="4" t="n">
        <v>2</v>
      </c>
      <c r="I1946" s="4" t="s">
        <v>1327</v>
      </c>
      <c r="J1946" s="4" t="s">
        <v>51</v>
      </c>
      <c r="K1946" s="4" t="s">
        <v>5760</v>
      </c>
      <c r="L1946" s="48" t="str">
        <f aca="false">HYPERLINK("https://boxd.it/2b8o","open")</f>
        <v>open</v>
      </c>
      <c r="M1946" s="4" t="str">
        <f aca="false">LOWER(A1946)&amp;"|"&amp;B1946</f>
        <v>run lola run|1998</v>
      </c>
      <c r="N1946" s="4" t="n">
        <v>0</v>
      </c>
      <c r="O1946" s="4" t="n">
        <v>0</v>
      </c>
      <c r="P1946" s="4" t="n">
        <v>1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1</v>
      </c>
    </row>
    <row r="1947" customFormat="false" ht="15" hidden="false" customHeight="false" outlineLevel="0" collapsed="false">
      <c r="A1947" s="4" t="s">
        <v>1957</v>
      </c>
      <c r="B1947" s="4" t="n">
        <v>1958</v>
      </c>
      <c r="C1947" s="4" t="str">
        <f aca="false">FLOOR(B1947,10)&amp;"s"</f>
        <v>1950s</v>
      </c>
      <c r="D1947" s="4" t="s">
        <v>789</v>
      </c>
      <c r="E1947" s="25" t="str">
        <f aca="false">IF(G1947=1,"✓","")</f>
        <v/>
      </c>
      <c r="F1947" s="4" t="n">
        <v>1</v>
      </c>
      <c r="G1947" s="4" t="n">
        <f aca="false">IF(COUNTIF('Letterboxd Watched'!$E$2:$E$3000,M1947)&gt;0,1,0)</f>
        <v>0</v>
      </c>
      <c r="H1947" s="4" t="n">
        <v>2</v>
      </c>
      <c r="I1947" s="4" t="s">
        <v>213</v>
      </c>
      <c r="J1947" s="4" t="s">
        <v>56</v>
      </c>
      <c r="K1947" s="4" t="s">
        <v>4384</v>
      </c>
      <c r="L1947" s="48" t="str">
        <f aca="false">HYPERLINK("https://letterboxd.com/search/films/Run+Silent+Run+Deep+1958/","open")</f>
        <v>open</v>
      </c>
      <c r="M1947" s="4" t="str">
        <f aca="false">LOWER(A1947)&amp;"|"&amp;B1947</f>
        <v>run silent, run deep|1958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1</v>
      </c>
      <c r="V1947" s="4" t="n">
        <v>0</v>
      </c>
      <c r="W1947" s="4" t="n">
        <v>0</v>
      </c>
    </row>
    <row r="1948" customFormat="false" ht="15" hidden="false" customHeight="false" outlineLevel="0" collapsed="false">
      <c r="A1948" s="4" t="s">
        <v>2473</v>
      </c>
      <c r="B1948" s="4" t="n">
        <v>1988</v>
      </c>
      <c r="C1948" s="4" t="str">
        <f aca="false">FLOOR(B1948,10)&amp;"s"</f>
        <v>1980s</v>
      </c>
      <c r="D1948" s="4" t="s">
        <v>189</v>
      </c>
      <c r="E1948" s="25" t="str">
        <f aca="false">IF(G1948=1,"✓","")</f>
        <v/>
      </c>
      <c r="F1948" s="4" t="n">
        <v>1</v>
      </c>
      <c r="G1948" s="4" t="n">
        <f aca="false">IF(COUNTIF('Letterboxd Watched'!$E$2:$E$3000,M1948)&gt;0,1,0)</f>
        <v>0</v>
      </c>
      <c r="H1948" s="4" t="n">
        <v>2</v>
      </c>
      <c r="I1948" s="4" t="s">
        <v>213</v>
      </c>
      <c r="J1948" s="4" t="s">
        <v>53</v>
      </c>
      <c r="K1948" s="4" t="s">
        <v>189</v>
      </c>
      <c r="L1948" s="48" t="str">
        <f aca="false">HYPERLINK("https://boxd.it/1How","open")</f>
        <v>open</v>
      </c>
      <c r="M1948" s="4" t="str">
        <f aca="false">LOWER(A1948)&amp;"|"&amp;B1948</f>
        <v>running on empty|1988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1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</row>
    <row r="1949" customFormat="false" ht="15" hidden="false" customHeight="false" outlineLevel="0" collapsed="false">
      <c r="A1949" s="4" t="s">
        <v>273</v>
      </c>
      <c r="B1949" s="4" t="n">
        <v>1998</v>
      </c>
      <c r="C1949" s="4" t="str">
        <f aca="false">FLOOR(B1949,10)&amp;"s"</f>
        <v>1990s</v>
      </c>
      <c r="D1949" s="4" t="s">
        <v>274</v>
      </c>
      <c r="E1949" s="25" t="str">
        <f aca="false">IF(G1949=1,"✓","")</f>
        <v>✓</v>
      </c>
      <c r="F1949" s="4" t="n">
        <v>5</v>
      </c>
      <c r="G1949" s="4" t="n">
        <f aca="false">IF(COUNTIF('Letterboxd Watched'!$E$2:$E$3000,M1949)&gt;0,1,0)</f>
        <v>1</v>
      </c>
      <c r="H1949" s="4" t="n">
        <v>11</v>
      </c>
      <c r="I1949" s="4" t="s">
        <v>144</v>
      </c>
      <c r="J1949" s="4" t="s">
        <v>50</v>
      </c>
      <c r="K1949" s="4" t="s">
        <v>5761</v>
      </c>
      <c r="L1949" s="48" t="str">
        <f aca="false">HYPERLINK("https://boxd.it/1TAO","open")</f>
        <v>open</v>
      </c>
      <c r="M1949" s="4" t="str">
        <f aca="false">LOWER(A1949)&amp;"|"&amp;B1949</f>
        <v>rushmore|1998</v>
      </c>
      <c r="N1949" s="4" t="n">
        <v>0</v>
      </c>
      <c r="O1949" s="4" t="n">
        <v>1</v>
      </c>
      <c r="P1949" s="4" t="n">
        <v>0</v>
      </c>
      <c r="Q1949" s="4" t="n">
        <v>0</v>
      </c>
      <c r="R1949" s="4" t="n">
        <v>1</v>
      </c>
      <c r="S1949" s="4" t="n">
        <v>0</v>
      </c>
      <c r="T1949" s="4" t="n">
        <v>0</v>
      </c>
      <c r="U1949" s="4" t="n">
        <v>1</v>
      </c>
      <c r="V1949" s="4" t="n">
        <v>1</v>
      </c>
      <c r="W1949" s="4" t="n">
        <v>1</v>
      </c>
    </row>
    <row r="1950" customFormat="false" ht="15" hidden="false" customHeight="false" outlineLevel="0" collapsed="false">
      <c r="A1950" s="4" t="s">
        <v>1396</v>
      </c>
      <c r="B1950" s="4" t="n">
        <v>2002</v>
      </c>
      <c r="C1950" s="4" t="str">
        <f aca="false">FLOOR(B1950,10)&amp;"s"</f>
        <v>2000s</v>
      </c>
      <c r="D1950" s="4" t="s">
        <v>1397</v>
      </c>
      <c r="E1950" s="25" t="str">
        <f aca="false">IF(G1950=1,"✓","")</f>
        <v/>
      </c>
      <c r="F1950" s="4" t="n">
        <v>2</v>
      </c>
      <c r="G1950" s="4" t="n">
        <f aca="false">IF(COUNTIF('Letterboxd Watched'!$E$2:$E$3000,M1950)&gt;0,1,0)</f>
        <v>0</v>
      </c>
      <c r="H1950" s="4" t="n">
        <v>3</v>
      </c>
      <c r="I1950" s="4" t="s">
        <v>213</v>
      </c>
      <c r="J1950" s="4" t="s">
        <v>49</v>
      </c>
      <c r="K1950" s="4" t="s">
        <v>5762</v>
      </c>
      <c r="L1950" s="48" t="str">
        <f aca="false">HYPERLINK("https://boxd.it/1JQM","open")</f>
        <v>open</v>
      </c>
      <c r="M1950" s="4" t="str">
        <f aca="false">LOWER(A1950)&amp;"|"&amp;B1950</f>
        <v>russian ark|2002</v>
      </c>
      <c r="N1950" s="4" t="n">
        <v>1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1</v>
      </c>
      <c r="V1950" s="4" t="n">
        <v>0</v>
      </c>
      <c r="W1950" s="4" t="n">
        <v>0</v>
      </c>
    </row>
    <row r="1951" customFormat="false" ht="15" hidden="false" customHeight="false" outlineLevel="0" collapsed="false">
      <c r="A1951" s="4" t="s">
        <v>3480</v>
      </c>
      <c r="B1951" s="4" t="n">
        <v>1970</v>
      </c>
      <c r="C1951" s="4" t="str">
        <f aca="false">FLOOR(B1951,10)&amp;"s"</f>
        <v>1970s</v>
      </c>
      <c r="D1951" s="4" t="s">
        <v>255</v>
      </c>
      <c r="E1951" s="25" t="str">
        <f aca="false">IF(G1951=1,"✓","")</f>
        <v/>
      </c>
      <c r="F1951" s="4" t="n">
        <v>1</v>
      </c>
      <c r="G1951" s="4" t="n">
        <f aca="false">IF(COUNTIF('Letterboxd Watched'!$E$2:$E$3000,M1951)&gt;0,1,0)</f>
        <v>0</v>
      </c>
      <c r="H1951" s="4" t="n">
        <v>1</v>
      </c>
      <c r="I1951" s="4" t="s">
        <v>1327</v>
      </c>
      <c r="J1951" s="4" t="s">
        <v>53</v>
      </c>
      <c r="K1951" s="4" t="s">
        <v>255</v>
      </c>
      <c r="L1951" s="48" t="str">
        <f aca="false">HYPERLINK("https://boxd.it/14O6","open")</f>
        <v>open</v>
      </c>
      <c r="M1951" s="4" t="str">
        <f aca="false">LOWER(A1951)&amp;"|"&amp;B1951</f>
        <v>ryan's daughter|1970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1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 customFormat="false" ht="15" hidden="false" customHeight="false" outlineLevel="0" collapsed="false">
      <c r="A1952" s="4" t="s">
        <v>3322</v>
      </c>
      <c r="B1952" s="4" t="n">
        <v>1936</v>
      </c>
      <c r="C1952" s="4" t="str">
        <f aca="false">FLOOR(B1952,10)&amp;"s"</f>
        <v>1930s</v>
      </c>
      <c r="D1952" s="4" t="s">
        <v>162</v>
      </c>
      <c r="E1952" s="25" t="str">
        <f aca="false">IF(G1952=1,"✓","")</f>
        <v/>
      </c>
      <c r="F1952" s="4" t="n">
        <v>1</v>
      </c>
      <c r="G1952" s="4" t="n">
        <f aca="false">IF(COUNTIF('Letterboxd Watched'!$E$2:$E$3000,M1952)&gt;0,1,0)</f>
        <v>0</v>
      </c>
      <c r="H1952" s="4" t="n">
        <v>1</v>
      </c>
      <c r="I1952" s="4" t="s">
        <v>1327</v>
      </c>
      <c r="J1952" s="4" t="s">
        <v>58</v>
      </c>
      <c r="K1952" s="4" t="s">
        <v>4466</v>
      </c>
      <c r="L1952" s="48" t="str">
        <f aca="false">HYPERLINK("https://boxd.it/1RqC","open")</f>
        <v>open</v>
      </c>
      <c r="M1952" s="4" t="str">
        <f aca="false">LOWER(A1952)&amp;"|"&amp;B1952</f>
        <v>sabotage|1936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1</v>
      </c>
    </row>
    <row r="1953" customFormat="false" ht="15" hidden="false" customHeight="false" outlineLevel="0" collapsed="false">
      <c r="A1953" s="4" t="s">
        <v>1908</v>
      </c>
      <c r="B1953" s="4" t="n">
        <v>1954</v>
      </c>
      <c r="C1953" s="4" t="str">
        <f aca="false">FLOOR(B1953,10)&amp;"s"</f>
        <v>1950s</v>
      </c>
      <c r="D1953" s="4" t="s">
        <v>200</v>
      </c>
      <c r="E1953" s="25" t="str">
        <f aca="false">IF(G1953=1,"✓","")</f>
        <v/>
      </c>
      <c r="F1953" s="4" t="n">
        <v>1</v>
      </c>
      <c r="G1953" s="4" t="n">
        <f aca="false">IF(COUNTIF('Letterboxd Watched'!$E$2:$E$3000,M1953)&gt;0,1,0)</f>
        <v>0</v>
      </c>
      <c r="H1953" s="4" t="n">
        <v>2</v>
      </c>
      <c r="I1953" s="4" t="s">
        <v>213</v>
      </c>
      <c r="J1953" s="4" t="s">
        <v>52</v>
      </c>
      <c r="K1953" s="4" t="s">
        <v>4152</v>
      </c>
      <c r="L1953" s="48" t="str">
        <f aca="false">HYPERLINK("https://boxd.it/21tc","open")</f>
        <v>open</v>
      </c>
      <c r="M1953" s="4" t="str">
        <f aca="false">LOWER(A1953)&amp;"|"&amp;B1953</f>
        <v>sabrina|1954</v>
      </c>
      <c r="N1953" s="4" t="n">
        <v>0</v>
      </c>
      <c r="O1953" s="4" t="n">
        <v>0</v>
      </c>
      <c r="P1953" s="4" t="n">
        <v>0</v>
      </c>
      <c r="Q1953" s="4" t="n">
        <v>1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</row>
    <row r="1954" customFormat="false" ht="15" hidden="false" customHeight="false" outlineLevel="0" collapsed="false">
      <c r="A1954" s="4" t="s">
        <v>1080</v>
      </c>
      <c r="B1954" s="4" t="n">
        <v>1986</v>
      </c>
      <c r="C1954" s="4" t="str">
        <f aca="false">FLOOR(B1954,10)&amp;"s"</f>
        <v>1980s</v>
      </c>
      <c r="D1954" s="4" t="s">
        <v>210</v>
      </c>
      <c r="E1954" s="25" t="str">
        <f aca="false">IF(G1954=1,"✓","")</f>
        <v/>
      </c>
      <c r="F1954" s="4" t="n">
        <v>2</v>
      </c>
      <c r="G1954" s="4" t="n">
        <f aca="false">IF(COUNTIF('Letterboxd Watched'!$E$2:$E$3000,M1954)&gt;0,1,0)</f>
        <v>0</v>
      </c>
      <c r="H1954" s="4" t="n">
        <v>4</v>
      </c>
      <c r="I1954" s="4" t="s">
        <v>213</v>
      </c>
      <c r="J1954" s="4" t="s">
        <v>53</v>
      </c>
      <c r="K1954" s="4" t="s">
        <v>5763</v>
      </c>
      <c r="L1954" s="48" t="str">
        <f aca="false">HYPERLINK("https://boxd.it/1xg8","open")</f>
        <v>open</v>
      </c>
      <c r="M1954" s="4" t="str">
        <f aca="false">LOWER(A1954)&amp;"|"&amp;B1954</f>
        <v>the sacrifice|1986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1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1</v>
      </c>
    </row>
    <row r="1955" customFormat="false" ht="15" hidden="false" customHeight="false" outlineLevel="0" collapsed="false">
      <c r="A1955" s="4" t="s">
        <v>2603</v>
      </c>
      <c r="B1955" s="4" t="n">
        <v>1995</v>
      </c>
      <c r="C1955" s="4" t="str">
        <f aca="false">FLOOR(B1955,10)&amp;"s"</f>
        <v>1990s</v>
      </c>
      <c r="D1955" s="4" t="s">
        <v>718</v>
      </c>
      <c r="E1955" s="25" t="str">
        <f aca="false">IF(G1955=1,"✓","")</f>
        <v/>
      </c>
      <c r="F1955" s="4" t="n">
        <v>1</v>
      </c>
      <c r="G1955" s="4" t="n">
        <f aca="false">IF(COUNTIF('Letterboxd Watched'!$E$2:$E$3000,M1955)&gt;0,1,0)</f>
        <v>0</v>
      </c>
      <c r="H1955" s="4" t="n">
        <v>2</v>
      </c>
      <c r="I1955" s="4" t="s">
        <v>213</v>
      </c>
      <c r="J1955" s="4" t="s">
        <v>50</v>
      </c>
      <c r="K1955" s="4" t="s">
        <v>3924</v>
      </c>
      <c r="L1955" s="48" t="str">
        <f aca="false">HYPERLINK("https://boxd.it/1gKU","open")</f>
        <v>open</v>
      </c>
      <c r="M1955" s="4" t="str">
        <f aca="false">LOWER(A1955)&amp;"|"&amp;B1955</f>
        <v>safe|1995</v>
      </c>
      <c r="N1955" s="4" t="n">
        <v>0</v>
      </c>
      <c r="O1955" s="4" t="n">
        <v>1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 customFormat="false" ht="15" hidden="false" customHeight="false" outlineLevel="0" collapsed="false">
      <c r="A1956" s="4" t="s">
        <v>3309</v>
      </c>
      <c r="B1956" s="4" t="n">
        <v>1931</v>
      </c>
      <c r="C1956" s="4" t="str">
        <f aca="false">FLOOR(B1956,10)&amp;"s"</f>
        <v>1930s</v>
      </c>
      <c r="D1956" s="4" t="s">
        <v>564</v>
      </c>
      <c r="E1956" s="25" t="str">
        <f aca="false">IF(G1956=1,"✓","")</f>
        <v/>
      </c>
      <c r="F1956" s="4" t="n">
        <v>1</v>
      </c>
      <c r="G1956" s="4" t="n">
        <f aca="false">IF(COUNTIF('Letterboxd Watched'!$E$2:$E$3000,M1956)&gt;0,1,0)</f>
        <v>0</v>
      </c>
      <c r="H1956" s="4" t="n">
        <v>1</v>
      </c>
      <c r="I1956" s="4" t="s">
        <v>1327</v>
      </c>
      <c r="J1956" s="4" t="s">
        <v>50</v>
      </c>
      <c r="K1956" s="4" t="s">
        <v>3908</v>
      </c>
      <c r="L1956" s="48" t="str">
        <f aca="false">HYPERLINK("https://letterboxd.com/search/films/Safe+in+Hell+1931/","open")</f>
        <v>open</v>
      </c>
      <c r="M1956" s="4" t="str">
        <f aca="false">LOWER(A1956)&amp;"|"&amp;B1956</f>
        <v>safe in hell|1931</v>
      </c>
      <c r="N1956" s="4" t="n">
        <v>0</v>
      </c>
      <c r="O1956" s="4" t="n">
        <v>1</v>
      </c>
      <c r="P1956" s="4" t="n">
        <v>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</row>
    <row r="1957" customFormat="false" ht="15" hidden="false" customHeight="false" outlineLevel="0" collapsed="false">
      <c r="A1957" s="4" t="s">
        <v>1679</v>
      </c>
      <c r="B1957" s="4" t="n">
        <v>1923</v>
      </c>
      <c r="C1957" s="4" t="str">
        <f aca="false">FLOOR(B1957,10)&amp;"s"</f>
        <v>1920s</v>
      </c>
      <c r="D1957" s="4" t="s">
        <v>1680</v>
      </c>
      <c r="E1957" s="25" t="str">
        <f aca="false">IF(G1957=1,"✓","")</f>
        <v/>
      </c>
      <c r="F1957" s="4" t="n">
        <v>1</v>
      </c>
      <c r="G1957" s="4" t="n">
        <f aca="false">IF(COUNTIF('Letterboxd Watched'!$E$2:$E$3000,M1957)&gt;0,1,0)</f>
        <v>0</v>
      </c>
      <c r="H1957" s="4" t="n">
        <v>2</v>
      </c>
      <c r="I1957" s="4" t="s">
        <v>213</v>
      </c>
      <c r="J1957" s="4" t="s">
        <v>50</v>
      </c>
      <c r="K1957" s="4" t="s">
        <v>3896</v>
      </c>
      <c r="L1957" s="48" t="str">
        <f aca="false">HYPERLINK("https://boxd.it/1AkW","open")</f>
        <v>open</v>
      </c>
      <c r="M1957" s="4" t="str">
        <f aca="false">LOWER(A1957)&amp;"|"&amp;B1957</f>
        <v>safety last!|1923</v>
      </c>
      <c r="N1957" s="4" t="n">
        <v>0</v>
      </c>
      <c r="O1957" s="4" t="n">
        <v>1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</row>
    <row r="1958" customFormat="false" ht="15" hidden="false" customHeight="false" outlineLevel="0" collapsed="false">
      <c r="A1958" s="4" t="s">
        <v>3172</v>
      </c>
      <c r="B1958" s="4" t="n">
        <v>2019</v>
      </c>
      <c r="C1958" s="4" t="str">
        <f aca="false">FLOOR(B1958,10)&amp;"s"</f>
        <v>2010s</v>
      </c>
      <c r="D1958" s="4" t="s">
        <v>3173</v>
      </c>
      <c r="E1958" s="25" t="str">
        <f aca="false">IF(G1958=1,"✓","")</f>
        <v/>
      </c>
      <c r="F1958" s="4" t="n">
        <v>1</v>
      </c>
      <c r="G1958" s="4" t="n">
        <f aca="false">IF(COUNTIF('Letterboxd Watched'!$E$2:$E$3000,M1958)&gt;0,1,0)</f>
        <v>0</v>
      </c>
      <c r="H1958" s="4" t="n">
        <v>2</v>
      </c>
      <c r="I1958" s="4" t="s">
        <v>213</v>
      </c>
      <c r="J1958" s="4" t="s">
        <v>52</v>
      </c>
      <c r="K1958" s="4" t="s">
        <v>4066</v>
      </c>
      <c r="L1958" s="48" t="str">
        <f aca="false">HYPERLINK("https://boxd.it/l8QA","open")</f>
        <v>open</v>
      </c>
      <c r="M1958" s="4" t="str">
        <f aca="false">LOWER(A1958)&amp;"|"&amp;B1958</f>
        <v>saint maud|2019</v>
      </c>
      <c r="N1958" s="4" t="n">
        <v>0</v>
      </c>
      <c r="O1958" s="4" t="n">
        <v>0</v>
      </c>
      <c r="P1958" s="4" t="n">
        <v>0</v>
      </c>
      <c r="Q1958" s="4" t="n">
        <v>1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</row>
    <row r="1959" customFormat="false" ht="15" hidden="false" customHeight="false" outlineLevel="0" collapsed="false">
      <c r="A1959" s="4" t="s">
        <v>3861</v>
      </c>
      <c r="B1959" s="4" t="n">
        <v>2022</v>
      </c>
      <c r="C1959" s="4" t="str">
        <f aca="false">FLOOR(B1959,10)&amp;"s"</f>
        <v>2020s</v>
      </c>
      <c r="D1959" s="4" t="s">
        <v>3862</v>
      </c>
      <c r="E1959" s="25" t="str">
        <f aca="false">IF(G1959=1,"✓","")</f>
        <v/>
      </c>
      <c r="F1959" s="4" t="n">
        <v>1</v>
      </c>
      <c r="G1959" s="4" t="n">
        <f aca="false">IF(COUNTIF('Letterboxd Watched'!$E$2:$E$3000,M1959)&gt;0,1,0)</f>
        <v>0</v>
      </c>
      <c r="H1959" s="4" t="n">
        <v>1</v>
      </c>
      <c r="I1959" s="4" t="s">
        <v>1327</v>
      </c>
      <c r="J1959" s="4" t="s">
        <v>55</v>
      </c>
      <c r="K1959" s="4" t="s">
        <v>4324</v>
      </c>
      <c r="L1959" s="48" t="str">
        <f aca="false">HYPERLINK("https://letterboxd.com/search/films/Saint+Omer+2022/","open")</f>
        <v>open</v>
      </c>
      <c r="M1959" s="4" t="str">
        <f aca="false">LOWER(A1959)&amp;"|"&amp;B1959</f>
        <v>saint omer|2022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1</v>
      </c>
      <c r="U1959" s="4" t="n">
        <v>0</v>
      </c>
      <c r="V1959" s="4" t="n">
        <v>0</v>
      </c>
      <c r="W1959" s="4" t="n">
        <v>0</v>
      </c>
    </row>
    <row r="1960" customFormat="false" ht="15" hidden="false" customHeight="false" outlineLevel="0" collapsed="false">
      <c r="A1960" s="4" t="s">
        <v>1478</v>
      </c>
      <c r="B1960" s="4" t="n">
        <v>1969</v>
      </c>
      <c r="C1960" s="4" t="str">
        <f aca="false">FLOOR(B1960,10)&amp;"s"</f>
        <v>1960s</v>
      </c>
      <c r="D1960" s="4" t="s">
        <v>1479</v>
      </c>
      <c r="E1960" s="25" t="str">
        <f aca="false">IF(G1960=1,"✓","")</f>
        <v/>
      </c>
      <c r="F1960" s="4" t="n">
        <v>1</v>
      </c>
      <c r="G1960" s="4" t="n">
        <f aca="false">IF(COUNTIF('Letterboxd Watched'!$E$2:$E$3000,M1960)&gt;0,1,0)</f>
        <v>0</v>
      </c>
      <c r="H1960" s="4" t="n">
        <v>3</v>
      </c>
      <c r="I1960" s="4" t="s">
        <v>144</v>
      </c>
      <c r="J1960" s="4" t="s">
        <v>52</v>
      </c>
      <c r="K1960" s="4" t="s">
        <v>4172</v>
      </c>
      <c r="L1960" s="48" t="str">
        <f aca="false">HYPERLINK("https://boxd.it/1rWC","open")</f>
        <v>open</v>
      </c>
      <c r="M1960" s="4" t="str">
        <f aca="false">LOWER(A1960)&amp;"|"&amp;B1960</f>
        <v>salesman|1969</v>
      </c>
      <c r="N1960" s="4" t="n">
        <v>0</v>
      </c>
      <c r="O1960" s="4" t="n">
        <v>0</v>
      </c>
      <c r="P1960" s="4" t="n">
        <v>0</v>
      </c>
      <c r="Q1960" s="4" t="n">
        <v>1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 customFormat="false" ht="15" hidden="false" customHeight="false" outlineLevel="0" collapsed="false">
      <c r="A1961" s="4" t="s">
        <v>3095</v>
      </c>
      <c r="B1961" s="4" t="n">
        <v>2016</v>
      </c>
      <c r="C1961" s="4" t="str">
        <f aca="false">FLOOR(B1961,10)&amp;"s"</f>
        <v>2010s</v>
      </c>
      <c r="D1961" s="4" t="s">
        <v>519</v>
      </c>
      <c r="E1961" s="25" t="str">
        <f aca="false">IF(G1961=1,"✓","")</f>
        <v/>
      </c>
      <c r="F1961" s="4" t="n">
        <v>1</v>
      </c>
      <c r="G1961" s="4" t="n">
        <f aca="false">IF(COUNTIF('Letterboxd Watched'!$E$2:$E$3000,M1961)&gt;0,1,0)</f>
        <v>0</v>
      </c>
      <c r="H1961" s="4" t="n">
        <v>2</v>
      </c>
      <c r="I1961" s="4" t="s">
        <v>213</v>
      </c>
      <c r="J1961" s="4" t="s">
        <v>51</v>
      </c>
      <c r="K1961" s="4" t="s">
        <v>4034</v>
      </c>
      <c r="L1961" s="48" t="str">
        <f aca="false">HYPERLINK("https://letterboxd.com/search/films/The+Salesman+2016/","open")</f>
        <v>open</v>
      </c>
      <c r="M1961" s="4" t="str">
        <f aca="false">LOWER(A1961)&amp;"|"&amp;B1961</f>
        <v>the salesman|2016</v>
      </c>
      <c r="N1961" s="4" t="n">
        <v>0</v>
      </c>
      <c r="O1961" s="4" t="n">
        <v>0</v>
      </c>
      <c r="P1961" s="4" t="n">
        <v>1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</row>
    <row r="1962" customFormat="false" ht="15" hidden="false" customHeight="false" outlineLevel="0" collapsed="false">
      <c r="A1962" s="4" t="s">
        <v>3277</v>
      </c>
      <c r="B1962" s="4" t="n">
        <v>1923</v>
      </c>
      <c r="C1962" s="4" t="str">
        <f aca="false">FLOOR(B1962,10)&amp;"s"</f>
        <v>1920s</v>
      </c>
      <c r="D1962" s="4" t="s">
        <v>3278</v>
      </c>
      <c r="E1962" s="25" t="str">
        <f aca="false">IF(G1962=1,"✓","")</f>
        <v/>
      </c>
      <c r="F1962" s="4" t="n">
        <v>1</v>
      </c>
      <c r="G1962" s="4" t="n">
        <f aca="false">IF(COUNTIF('Letterboxd Watched'!$E$2:$E$3000,M1962)&gt;0,1,0)</f>
        <v>0</v>
      </c>
      <c r="H1962" s="4" t="n">
        <v>1</v>
      </c>
      <c r="I1962" s="4" t="s">
        <v>1327</v>
      </c>
      <c r="J1962" s="4" t="s">
        <v>50</v>
      </c>
      <c r="K1962" s="4" t="s">
        <v>3894</v>
      </c>
      <c r="L1962" s="48" t="str">
        <f aca="false">HYPERLINK("https://letterboxd.com/search/films/Salomé+1923/","open")</f>
        <v>open</v>
      </c>
      <c r="M1962" s="4" t="str">
        <f aca="false">LOWER(A1962)&amp;"|"&amp;B1962</f>
        <v>salomé|1923</v>
      </c>
      <c r="N1962" s="4" t="n">
        <v>0</v>
      </c>
      <c r="O1962" s="4" t="n">
        <v>1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 customFormat="false" ht="15" hidden="false" customHeight="false" outlineLevel="0" collapsed="false">
      <c r="A1963" s="4" t="s">
        <v>1913</v>
      </c>
      <c r="B1963" s="4" t="n">
        <v>1954</v>
      </c>
      <c r="C1963" s="4" t="str">
        <f aca="false">FLOOR(B1963,10)&amp;"s"</f>
        <v>1950s</v>
      </c>
      <c r="D1963" s="4" t="s">
        <v>1914</v>
      </c>
      <c r="E1963" s="25" t="str">
        <f aca="false">IF(G1963=1,"✓","")</f>
        <v/>
      </c>
      <c r="F1963" s="4" t="n">
        <v>1</v>
      </c>
      <c r="G1963" s="4" t="n">
        <f aca="false">IF(COUNTIF('Letterboxd Watched'!$E$2:$E$3000,M1963)&gt;0,1,0)</f>
        <v>0</v>
      </c>
      <c r="H1963" s="4" t="n">
        <v>2</v>
      </c>
      <c r="I1963" s="4" t="s">
        <v>213</v>
      </c>
      <c r="J1963" s="4" t="s">
        <v>55</v>
      </c>
      <c r="K1963" s="4" t="s">
        <v>4316</v>
      </c>
      <c r="L1963" s="48" t="str">
        <f aca="false">HYPERLINK("https://letterboxd.com/search/films/Salt+of+the+Earth+1954/","open")</f>
        <v>open</v>
      </c>
      <c r="M1963" s="4" t="str">
        <f aca="false">LOWER(A1963)&amp;"|"&amp;B1963</f>
        <v>salt of the earth|1954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1</v>
      </c>
      <c r="U1963" s="4" t="n">
        <v>0</v>
      </c>
      <c r="V1963" s="4" t="n">
        <v>0</v>
      </c>
      <c r="W1963" s="4" t="n">
        <v>0</v>
      </c>
    </row>
    <row r="1964" customFormat="false" ht="15" hidden="false" customHeight="false" outlineLevel="0" collapsed="false">
      <c r="A1964" s="4" t="s">
        <v>3498</v>
      </c>
      <c r="B1964" s="4" t="n">
        <v>1972</v>
      </c>
      <c r="C1964" s="4" t="str">
        <f aca="false">FLOOR(B1964,10)&amp;"s"</f>
        <v>1970s</v>
      </c>
      <c r="D1964" s="4" t="s">
        <v>3499</v>
      </c>
      <c r="E1964" s="25" t="str">
        <f aca="false">IF(G1964=1,"✓","")</f>
        <v/>
      </c>
      <c r="F1964" s="4" t="n">
        <v>1</v>
      </c>
      <c r="G1964" s="4" t="n">
        <f aca="false">IF(COUNTIF('Letterboxd Watched'!$E$2:$E$3000,M1964)&gt;0,1,0)</f>
        <v>0</v>
      </c>
      <c r="H1964" s="4" t="n">
        <v>1</v>
      </c>
      <c r="I1964" s="4" t="s">
        <v>1327</v>
      </c>
      <c r="J1964" s="4" t="s">
        <v>51</v>
      </c>
      <c r="K1964" s="4" t="s">
        <v>4036</v>
      </c>
      <c r="L1964" s="48" t="str">
        <f aca="false">HYPERLINK("https://boxd.it/35LQ","open")</f>
        <v>open</v>
      </c>
      <c r="M1964" s="4" t="str">
        <f aca="false">LOWER(A1964)&amp;"|"&amp;B1964</f>
        <v>sambizanga|1972</v>
      </c>
      <c r="N1964" s="4" t="n">
        <v>0</v>
      </c>
      <c r="O1964" s="4" t="n">
        <v>0</v>
      </c>
      <c r="P1964" s="4" t="n">
        <v>1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</row>
    <row r="1965" customFormat="false" ht="15" hidden="false" customHeight="false" outlineLevel="0" collapsed="false">
      <c r="A1965" s="4" t="s">
        <v>289</v>
      </c>
      <c r="B1965" s="4" t="n">
        <v>1967</v>
      </c>
      <c r="C1965" s="4" t="str">
        <f aca="false">FLOOR(B1965,10)&amp;"s"</f>
        <v>1960s</v>
      </c>
      <c r="D1965" s="4" t="s">
        <v>290</v>
      </c>
      <c r="E1965" s="25" t="str">
        <f aca="false">IF(G1965=1,"✓","")</f>
        <v/>
      </c>
      <c r="F1965" s="4" t="n">
        <v>4</v>
      </c>
      <c r="G1965" s="4" t="n">
        <f aca="false">IF(COUNTIF('Letterboxd Watched'!$E$2:$E$3000,M1965)&gt;0,1,0)</f>
        <v>0</v>
      </c>
      <c r="H1965" s="4" t="n">
        <v>11</v>
      </c>
      <c r="I1965" s="4" t="s">
        <v>144</v>
      </c>
      <c r="J1965" s="4" t="s">
        <v>51</v>
      </c>
      <c r="K1965" s="4" t="s">
        <v>5764</v>
      </c>
      <c r="L1965" s="48" t="str">
        <f aca="false">HYPERLINK("https://boxd.it/22ZI","open")</f>
        <v>open</v>
      </c>
      <c r="M1965" s="4" t="str">
        <f aca="false">LOWER(A1965)&amp;"|"&amp;B1965</f>
        <v>le samouraï|1967</v>
      </c>
      <c r="N1965" s="4" t="n">
        <v>0</v>
      </c>
      <c r="O1965" s="4" t="n">
        <v>0</v>
      </c>
      <c r="P1965" s="4" t="n">
        <v>1</v>
      </c>
      <c r="Q1965" s="4" t="n">
        <v>0</v>
      </c>
      <c r="R1965" s="4" t="n">
        <v>1</v>
      </c>
      <c r="S1965" s="4" t="n">
        <v>0</v>
      </c>
      <c r="T1965" s="4" t="n">
        <v>0</v>
      </c>
      <c r="U1965" s="4" t="n">
        <v>1</v>
      </c>
      <c r="V1965" s="4" t="n">
        <v>0</v>
      </c>
      <c r="W1965" s="4" t="n">
        <v>1</v>
      </c>
    </row>
    <row r="1966" customFormat="false" ht="15" hidden="false" customHeight="false" outlineLevel="0" collapsed="false">
      <c r="A1966" s="4" t="s">
        <v>2933</v>
      </c>
      <c r="B1966" s="4" t="n">
        <v>2009</v>
      </c>
      <c r="C1966" s="4" t="str">
        <f aca="false">FLOOR(B1966,10)&amp;"s"</f>
        <v>2000s</v>
      </c>
      <c r="D1966" s="4" t="s">
        <v>2934</v>
      </c>
      <c r="E1966" s="25" t="str">
        <f aca="false">IF(G1966=1,"✓","")</f>
        <v/>
      </c>
      <c r="F1966" s="4" t="n">
        <v>1</v>
      </c>
      <c r="G1966" s="4" t="n">
        <f aca="false">IF(COUNTIF('Letterboxd Watched'!$E$2:$E$3000,M1966)&gt;0,1,0)</f>
        <v>0</v>
      </c>
      <c r="H1966" s="4" t="n">
        <v>2</v>
      </c>
      <c r="I1966" s="4" t="s">
        <v>213</v>
      </c>
      <c r="J1966" s="4" t="s">
        <v>54</v>
      </c>
      <c r="K1966" s="4" t="s">
        <v>4294</v>
      </c>
      <c r="L1966" s="48" t="str">
        <f aca="false">HYPERLINK("https://letterboxd.com/search/films/Samson+and+Delilah+2009/","open")</f>
        <v>open</v>
      </c>
      <c r="M1966" s="4" t="str">
        <f aca="false">LOWER(A1966)&amp;"|"&amp;B1966</f>
        <v>samson and delilah|2009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1</v>
      </c>
      <c r="T1966" s="4" t="n">
        <v>0</v>
      </c>
      <c r="U1966" s="4" t="n">
        <v>0</v>
      </c>
      <c r="V1966" s="4" t="n">
        <v>0</v>
      </c>
      <c r="W1966" s="4" t="n">
        <v>0</v>
      </c>
    </row>
    <row r="1967" customFormat="false" ht="15" hidden="false" customHeight="false" outlineLevel="0" collapsed="false">
      <c r="A1967" s="4" t="s">
        <v>3378</v>
      </c>
      <c r="B1967" s="4" t="n">
        <v>1954</v>
      </c>
      <c r="C1967" s="4" t="str">
        <f aca="false">FLOOR(B1967,10)&amp;"s"</f>
        <v>1950s</v>
      </c>
      <c r="D1967" s="4" t="s">
        <v>3379</v>
      </c>
      <c r="E1967" s="25" t="str">
        <f aca="false">IF(G1967=1,"✓","")</f>
        <v/>
      </c>
      <c r="F1967" s="4" t="n">
        <v>1</v>
      </c>
      <c r="G1967" s="4" t="n">
        <f aca="false">IF(COUNTIF('Letterboxd Watched'!$E$2:$E$3000,M1967)&gt;0,1,0)</f>
        <v>0</v>
      </c>
      <c r="H1967" s="4" t="n">
        <v>1</v>
      </c>
      <c r="I1967" s="4" t="s">
        <v>1327</v>
      </c>
      <c r="J1967" s="4" t="s">
        <v>51</v>
      </c>
      <c r="K1967" s="4" t="s">
        <v>3934</v>
      </c>
      <c r="L1967" s="48" t="str">
        <f aca="false">HYPERLINK("https://boxd.it/1jfg","open")</f>
        <v>open</v>
      </c>
      <c r="M1967" s="4" t="str">
        <f aca="false">LOWER(A1967)&amp;"|"&amp;B1967</f>
        <v>samurai i: musashi miyamoto|1954</v>
      </c>
      <c r="N1967" s="4" t="n">
        <v>0</v>
      </c>
      <c r="O1967" s="4" t="n">
        <v>0</v>
      </c>
      <c r="P1967" s="4" t="n">
        <v>1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 customFormat="false" ht="15" hidden="false" customHeight="false" outlineLevel="0" collapsed="false">
      <c r="A1968" s="4" t="s">
        <v>2090</v>
      </c>
      <c r="B1968" s="4" t="n">
        <v>1967</v>
      </c>
      <c r="C1968" s="4" t="str">
        <f aca="false">FLOOR(B1968,10)&amp;"s"</f>
        <v>1960s</v>
      </c>
      <c r="D1968" s="4" t="s">
        <v>541</v>
      </c>
      <c r="E1968" s="25" t="str">
        <f aca="false">IF(G1968=1,"✓","")</f>
        <v/>
      </c>
      <c r="F1968" s="4" t="n">
        <v>1</v>
      </c>
      <c r="G1968" s="4" t="n">
        <f aca="false">IF(COUNTIF('Letterboxd Watched'!$E$2:$E$3000,M1968)&gt;0,1,0)</f>
        <v>0</v>
      </c>
      <c r="H1968" s="4" t="n">
        <v>2</v>
      </c>
      <c r="I1968" s="4" t="s">
        <v>213</v>
      </c>
      <c r="J1968" s="4" t="s">
        <v>51</v>
      </c>
      <c r="K1968" s="4" t="s">
        <v>3934</v>
      </c>
      <c r="L1968" s="48" t="str">
        <f aca="false">HYPERLINK("https://boxd.it/2loc","open")</f>
        <v>open</v>
      </c>
      <c r="M1968" s="4" t="str">
        <f aca="false">LOWER(A1968)&amp;"|"&amp;B1968</f>
        <v>samurai rebellion|1967</v>
      </c>
      <c r="N1968" s="4" t="n">
        <v>0</v>
      </c>
      <c r="O1968" s="4" t="n">
        <v>0</v>
      </c>
      <c r="P1968" s="4" t="n">
        <v>1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 customFormat="false" ht="15" hidden="false" customHeight="false" outlineLevel="0" collapsed="false">
      <c r="A1969" s="4" t="s">
        <v>2009</v>
      </c>
      <c r="B1969" s="4" t="n">
        <v>1962</v>
      </c>
      <c r="C1969" s="4" t="str">
        <f aca="false">FLOOR(B1969,10)&amp;"s"</f>
        <v>1960s</v>
      </c>
      <c r="D1969" s="4" t="s">
        <v>156</v>
      </c>
      <c r="E1969" s="25" t="str">
        <f aca="false">IF(G1969=1,"✓","")</f>
        <v/>
      </c>
      <c r="F1969" s="4" t="n">
        <v>1</v>
      </c>
      <c r="G1969" s="4" t="n">
        <f aca="false">IF(COUNTIF('Letterboxd Watched'!$E$2:$E$3000,M1969)&gt;0,1,0)</f>
        <v>0</v>
      </c>
      <c r="H1969" s="4" t="n">
        <v>2</v>
      </c>
      <c r="I1969" s="4" t="s">
        <v>213</v>
      </c>
      <c r="J1969" s="4" t="s">
        <v>51</v>
      </c>
      <c r="K1969" s="4" t="s">
        <v>3934</v>
      </c>
      <c r="L1969" s="48" t="str">
        <f aca="false">HYPERLINK("https://boxd.it/1TaQ","open")</f>
        <v>open</v>
      </c>
      <c r="M1969" s="4" t="str">
        <f aca="false">LOWER(A1969)&amp;"|"&amp;B1969</f>
        <v>sanjuro|1962</v>
      </c>
      <c r="N1969" s="4" t="n">
        <v>0</v>
      </c>
      <c r="O1969" s="4" t="n">
        <v>0</v>
      </c>
      <c r="P1969" s="4" t="n">
        <v>1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 customFormat="false" ht="15" hidden="false" customHeight="false" outlineLevel="0" collapsed="false">
      <c r="A1970" s="4" t="s">
        <v>551</v>
      </c>
      <c r="B1970" s="4" t="n">
        <v>1983</v>
      </c>
      <c r="C1970" s="4" t="str">
        <f aca="false">FLOOR(B1970,10)&amp;"s"</f>
        <v>1980s</v>
      </c>
      <c r="D1970" s="4" t="s">
        <v>416</v>
      </c>
      <c r="E1970" s="25" t="str">
        <f aca="false">IF(G1970=1,"✓","")</f>
        <v/>
      </c>
      <c r="F1970" s="4" t="n">
        <v>3</v>
      </c>
      <c r="G1970" s="4" t="n">
        <f aca="false">IF(COUNTIF('Letterboxd Watched'!$E$2:$E$3000,M1970)&gt;0,1,0)</f>
        <v>0</v>
      </c>
      <c r="H1970" s="4" t="n">
        <v>7</v>
      </c>
      <c r="I1970" s="4" t="s">
        <v>144</v>
      </c>
      <c r="J1970" s="4" t="s">
        <v>51</v>
      </c>
      <c r="K1970" s="4" t="s">
        <v>5765</v>
      </c>
      <c r="L1970" s="48" t="str">
        <f aca="false">HYPERLINK("https://boxd.it/28B8","open")</f>
        <v>open</v>
      </c>
      <c r="M1970" s="4" t="str">
        <f aca="false">LOWER(A1970)&amp;"|"&amp;B1970</f>
        <v>sans soleil|1983</v>
      </c>
      <c r="N1970" s="4" t="n">
        <v>0</v>
      </c>
      <c r="O1970" s="4" t="n">
        <v>0</v>
      </c>
      <c r="P1970" s="4" t="n">
        <v>1</v>
      </c>
      <c r="Q1970" s="4" t="n">
        <v>1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 customFormat="false" ht="15" hidden="false" customHeight="false" outlineLevel="0" collapsed="false">
      <c r="A1971" s="4" t="s">
        <v>575</v>
      </c>
      <c r="B1971" s="4" t="n">
        <v>1954</v>
      </c>
      <c r="C1971" s="4" t="str">
        <f aca="false">FLOOR(B1971,10)&amp;"s"</f>
        <v>1950s</v>
      </c>
      <c r="D1971" s="4" t="s">
        <v>286</v>
      </c>
      <c r="E1971" s="25" t="str">
        <f aca="false">IF(G1971=1,"✓","")</f>
        <v/>
      </c>
      <c r="F1971" s="4" t="n">
        <v>3</v>
      </c>
      <c r="G1971" s="4" t="n">
        <f aca="false">IF(COUNTIF('Letterboxd Watched'!$E$2:$E$3000,M1971)&gt;0,1,0)</f>
        <v>0</v>
      </c>
      <c r="H1971" s="4" t="n">
        <v>6</v>
      </c>
      <c r="I1971" s="4" t="s">
        <v>213</v>
      </c>
      <c r="J1971" s="4" t="s">
        <v>51</v>
      </c>
      <c r="K1971" s="4" t="s">
        <v>5569</v>
      </c>
      <c r="L1971" s="48" t="str">
        <f aca="false">HYPERLINK("https://boxd.it/1Dkq","open")</f>
        <v>open</v>
      </c>
      <c r="M1971" s="4" t="str">
        <f aca="false">LOWER(A1971)&amp;"|"&amp;B1971</f>
        <v>sansho the bailiff|1954</v>
      </c>
      <c r="N1971" s="4" t="n">
        <v>0</v>
      </c>
      <c r="O1971" s="4" t="n">
        <v>0</v>
      </c>
      <c r="P1971" s="4" t="n">
        <v>1</v>
      </c>
      <c r="Q1971" s="4" t="n">
        <v>0</v>
      </c>
      <c r="R1971" s="4" t="n">
        <v>1</v>
      </c>
      <c r="S1971" s="4" t="n">
        <v>0</v>
      </c>
      <c r="T1971" s="4" t="n">
        <v>0</v>
      </c>
      <c r="U1971" s="4" t="n">
        <v>0</v>
      </c>
      <c r="V1971" s="4" t="n">
        <v>1</v>
      </c>
      <c r="W1971" s="4" t="n">
        <v>0</v>
      </c>
    </row>
    <row r="1972" customFormat="false" ht="15" hidden="false" customHeight="false" outlineLevel="0" collapsed="false">
      <c r="A1972" s="4" t="s">
        <v>2062</v>
      </c>
      <c r="B1972" s="4" t="n">
        <v>1965</v>
      </c>
      <c r="C1972" s="4" t="str">
        <f aca="false">FLOOR(B1972,10)&amp;"s"</f>
        <v>1960s</v>
      </c>
      <c r="D1972" s="4" t="s">
        <v>1350</v>
      </c>
      <c r="E1972" s="25" t="str">
        <f aca="false">IF(G1972=1,"✓","")</f>
        <v/>
      </c>
      <c r="F1972" s="4" t="n">
        <v>1</v>
      </c>
      <c r="G1972" s="4" t="n">
        <f aca="false">IF(COUNTIF('Letterboxd Watched'!$E$2:$E$3000,M1972)&gt;0,1,0)</f>
        <v>0</v>
      </c>
      <c r="H1972" s="4" t="n">
        <v>2</v>
      </c>
      <c r="I1972" s="4" t="s">
        <v>213</v>
      </c>
      <c r="J1972" s="4" t="s">
        <v>51</v>
      </c>
      <c r="K1972" s="4" t="s">
        <v>3994</v>
      </c>
      <c r="L1972" s="48" t="str">
        <f aca="false">HYPERLINK("https://letterboxd.com/search/films/The+Saragossa+Manuscript+1965/","open")</f>
        <v>open</v>
      </c>
      <c r="M1972" s="4" t="str">
        <f aca="false">LOWER(A1972)&amp;"|"&amp;B1972</f>
        <v>the saragossa manuscript|1965</v>
      </c>
      <c r="N1972" s="4" t="n">
        <v>0</v>
      </c>
      <c r="O1972" s="4" t="n">
        <v>0</v>
      </c>
      <c r="P1972" s="4" t="n">
        <v>1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 customFormat="false" ht="15" hidden="false" customHeight="false" outlineLevel="0" collapsed="false">
      <c r="A1973" s="4" t="s">
        <v>617</v>
      </c>
      <c r="B1973" s="4" t="n">
        <v>1994</v>
      </c>
      <c r="C1973" s="4" t="str">
        <f aca="false">FLOOR(B1973,10)&amp;"s"</f>
        <v>1990s</v>
      </c>
      <c r="D1973" s="4" t="s">
        <v>618</v>
      </c>
      <c r="E1973" s="25" t="str">
        <f aca="false">IF(G1973=1,"✓","")</f>
        <v/>
      </c>
      <c r="F1973" s="4" t="n">
        <v>3</v>
      </c>
      <c r="G1973" s="4" t="n">
        <f aca="false">IF(COUNTIF('Letterboxd Watched'!$E$2:$E$3000,M1973)&gt;0,1,0)</f>
        <v>0</v>
      </c>
      <c r="H1973" s="4" t="n">
        <v>6</v>
      </c>
      <c r="I1973" s="4" t="s">
        <v>213</v>
      </c>
      <c r="J1973" s="4" t="s">
        <v>51</v>
      </c>
      <c r="K1973" s="4" t="s">
        <v>5766</v>
      </c>
      <c r="L1973" s="48" t="str">
        <f aca="false">HYPERLINK("https://boxd.it/1j9M","open")</f>
        <v>open</v>
      </c>
      <c r="M1973" s="4" t="str">
        <f aca="false">LOWER(A1973)&amp;"|"&amp;B1973</f>
        <v>satantango|1994</v>
      </c>
      <c r="N1973" s="4" t="n">
        <v>0</v>
      </c>
      <c r="O1973" s="4" t="n">
        <v>0</v>
      </c>
      <c r="P1973" s="4" t="n">
        <v>1</v>
      </c>
      <c r="Q1973" s="4" t="n">
        <v>0</v>
      </c>
      <c r="R1973" s="4" t="n">
        <v>0</v>
      </c>
      <c r="S1973" s="4" t="n">
        <v>1</v>
      </c>
      <c r="T1973" s="4" t="n">
        <v>0</v>
      </c>
      <c r="U1973" s="4" t="n">
        <v>0</v>
      </c>
      <c r="V1973" s="4" t="n">
        <v>1</v>
      </c>
      <c r="W1973" s="4" t="n">
        <v>0</v>
      </c>
    </row>
    <row r="1974" customFormat="false" ht="15" hidden="false" customHeight="false" outlineLevel="0" collapsed="false">
      <c r="A1974" s="4" t="s">
        <v>3263</v>
      </c>
      <c r="B1974" s="4" t="n">
        <v>2024</v>
      </c>
      <c r="C1974" s="4" t="str">
        <f aca="false">FLOOR(B1974,10)&amp;"s"</f>
        <v>2020s</v>
      </c>
      <c r="D1974" s="4" t="s">
        <v>3264</v>
      </c>
      <c r="E1974" s="25" t="str">
        <f aca="false">IF(G1974=1,"✓","")</f>
        <v>✓</v>
      </c>
      <c r="F1974" s="4" t="n">
        <v>1</v>
      </c>
      <c r="G1974" s="4" t="n">
        <f aca="false">IF(COUNTIF('Letterboxd Watched'!$E$2:$E$3000,M1974)&gt;0,1,0)</f>
        <v>1</v>
      </c>
      <c r="H1974" s="4" t="n">
        <v>2</v>
      </c>
      <c r="I1974" s="4" t="s">
        <v>213</v>
      </c>
      <c r="J1974" s="4" t="s">
        <v>55</v>
      </c>
      <c r="K1974" s="4" t="s">
        <v>4322</v>
      </c>
      <c r="L1974" s="48" t="str">
        <f aca="false">HYPERLINK("https://boxd.it/Gpfo","open")</f>
        <v>open</v>
      </c>
      <c r="M1974" s="4" t="str">
        <f aca="false">LOWER(A1974)&amp;"|"&amp;B1974</f>
        <v>saturday night|2024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0</v>
      </c>
      <c r="T1974" s="4" t="n">
        <v>1</v>
      </c>
      <c r="U1974" s="4" t="n">
        <v>0</v>
      </c>
      <c r="V1974" s="4" t="n">
        <v>0</v>
      </c>
      <c r="W1974" s="4" t="n">
        <v>0</v>
      </c>
    </row>
    <row r="1975" customFormat="false" ht="15" hidden="false" customHeight="false" outlineLevel="0" collapsed="false">
      <c r="A1975" s="4" t="s">
        <v>762</v>
      </c>
      <c r="B1975" s="4" t="n">
        <v>1960</v>
      </c>
      <c r="C1975" s="4" t="str">
        <f aca="false">FLOOR(B1975,10)&amp;"s"</f>
        <v>1960s</v>
      </c>
      <c r="D1975" s="4" t="s">
        <v>763</v>
      </c>
      <c r="E1975" s="25" t="str">
        <f aca="false">IF(G1975=1,"✓","")</f>
        <v/>
      </c>
      <c r="F1975" s="4" t="n">
        <v>2</v>
      </c>
      <c r="G1975" s="4" t="n">
        <f aca="false">IF(COUNTIF('Letterboxd Watched'!$E$2:$E$3000,M1975)&gt;0,1,0)</f>
        <v>0</v>
      </c>
      <c r="H1975" s="4" t="n">
        <v>5</v>
      </c>
      <c r="I1975" s="4" t="s">
        <v>144</v>
      </c>
      <c r="J1975" s="4" t="s">
        <v>51</v>
      </c>
      <c r="K1975" s="4" t="s">
        <v>5502</v>
      </c>
      <c r="L1975" s="48" t="str">
        <f aca="false">HYPERLINK("https://boxd.it/18Ks","open")</f>
        <v>open</v>
      </c>
      <c r="M1975" s="4" t="str">
        <f aca="false">LOWER(A1975)&amp;"|"&amp;B1975</f>
        <v>saturday night and sunday morning|1960</v>
      </c>
      <c r="N1975" s="4" t="n">
        <v>0</v>
      </c>
      <c r="O1975" s="4" t="n">
        <v>0</v>
      </c>
      <c r="P1975" s="4" t="n">
        <v>1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1</v>
      </c>
      <c r="W1975" s="4" t="n">
        <v>0</v>
      </c>
    </row>
    <row r="1976" customFormat="false" ht="15" hidden="false" customHeight="false" outlineLevel="0" collapsed="false">
      <c r="A1976" s="4" t="s">
        <v>2129</v>
      </c>
      <c r="B1976" s="4" t="n">
        <v>1968</v>
      </c>
      <c r="C1976" s="4" t="str">
        <f aca="false">FLOOR(B1976,10)&amp;"s"</f>
        <v>1960s</v>
      </c>
      <c r="D1976" s="4" t="s">
        <v>185</v>
      </c>
      <c r="E1976" s="25" t="str">
        <f aca="false">IF(G1976=1,"✓","")</f>
        <v/>
      </c>
      <c r="F1976" s="4" t="n">
        <v>1</v>
      </c>
      <c r="G1976" s="4" t="n">
        <f aca="false">IF(COUNTIF('Letterboxd Watched'!$E$2:$E$3000,M1976)&gt;0,1,0)</f>
        <v>0</v>
      </c>
      <c r="H1976" s="4" t="n">
        <v>2</v>
      </c>
      <c r="I1976" s="4" t="s">
        <v>213</v>
      </c>
      <c r="J1976" s="4" t="s">
        <v>53</v>
      </c>
      <c r="K1976" s="4" t="s">
        <v>185</v>
      </c>
      <c r="L1976" s="48" t="str">
        <f aca="false">HYPERLINK("https://letterboxd.com/search/films/Saute+ma+ville+1968/","open")</f>
        <v>open</v>
      </c>
      <c r="M1976" s="4" t="str">
        <f aca="false">LOWER(A1976)&amp;"|"&amp;B1976</f>
        <v>saute ma ville|1968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1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 customFormat="false" ht="15" hidden="false" customHeight="false" outlineLevel="0" collapsed="false">
      <c r="A1977" s="4" t="s">
        <v>846</v>
      </c>
      <c r="B1977" s="4" t="n">
        <v>1998</v>
      </c>
      <c r="C1977" s="4" t="str">
        <f aca="false">FLOOR(B1977,10)&amp;"s"</f>
        <v>1990s</v>
      </c>
      <c r="D1977" s="4" t="s">
        <v>183</v>
      </c>
      <c r="E1977" s="25" t="str">
        <f aca="false">IF(G1977=1,"✓","")</f>
        <v>✓</v>
      </c>
      <c r="F1977" s="4" t="n">
        <v>2</v>
      </c>
      <c r="G1977" s="4" t="n">
        <f aca="false">IF(COUNTIF('Letterboxd Watched'!$E$2:$E$3000,M1977)&gt;0,1,0)</f>
        <v>1</v>
      </c>
      <c r="H1977" s="4" t="n">
        <v>5</v>
      </c>
      <c r="I1977" s="4" t="s">
        <v>144</v>
      </c>
      <c r="J1977" s="4" t="s">
        <v>52</v>
      </c>
      <c r="K1977" s="4" t="s">
        <v>5767</v>
      </c>
      <c r="L1977" s="48" t="str">
        <f aca="false">HYPERLINK("https://boxd.it/29ro","open")</f>
        <v>open</v>
      </c>
      <c r="M1977" s="4" t="str">
        <f aca="false">LOWER(A1977)&amp;"|"&amp;B1977</f>
        <v>saving private ryan|1998</v>
      </c>
      <c r="N1977" s="4" t="n">
        <v>0</v>
      </c>
      <c r="O1977" s="4" t="n">
        <v>0</v>
      </c>
      <c r="P1977" s="4" t="n">
        <v>0</v>
      </c>
      <c r="Q1977" s="4" t="n">
        <v>1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1</v>
      </c>
      <c r="W1977" s="4" t="n">
        <v>0</v>
      </c>
    </row>
    <row r="1978" customFormat="false" ht="15" hidden="false" customHeight="false" outlineLevel="0" collapsed="false">
      <c r="A1978" s="4" t="s">
        <v>3370</v>
      </c>
      <c r="B1978" s="4" t="n">
        <v>1953</v>
      </c>
      <c r="C1978" s="4" t="str">
        <f aca="false">FLOOR(B1978,10)&amp;"s"</f>
        <v>1950s</v>
      </c>
      <c r="D1978" s="4" t="s">
        <v>170</v>
      </c>
      <c r="E1978" s="25" t="str">
        <f aca="false">IF(G1978=1,"✓","")</f>
        <v/>
      </c>
      <c r="F1978" s="4" t="n">
        <v>1</v>
      </c>
      <c r="G1978" s="4" t="n">
        <f aca="false">IF(COUNTIF('Letterboxd Watched'!$E$2:$E$3000,M1978)&gt;0,1,0)</f>
        <v>0</v>
      </c>
      <c r="H1978" s="4" t="n">
        <v>1</v>
      </c>
      <c r="I1978" s="4" t="s">
        <v>1327</v>
      </c>
      <c r="J1978" s="4" t="s">
        <v>53</v>
      </c>
      <c r="K1978" s="4" t="s">
        <v>170</v>
      </c>
      <c r="L1978" s="48" t="str">
        <f aca="false">HYPERLINK("https://boxd.it/K1S","open")</f>
        <v>open</v>
      </c>
      <c r="M1978" s="4" t="str">
        <f aca="false">LOWER(A1978)&amp;"|"&amp;B1978</f>
        <v>sawdust and tinsel|1953</v>
      </c>
      <c r="N1978" s="4" t="n">
        <v>0</v>
      </c>
      <c r="O1978" s="4" t="n">
        <v>0</v>
      </c>
      <c r="P1978" s="4" t="n">
        <v>0</v>
      </c>
      <c r="Q1978" s="4" t="n">
        <v>0</v>
      </c>
      <c r="R1978" s="4" t="n">
        <v>1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 customFormat="false" ht="15" hidden="false" customHeight="false" outlineLevel="0" collapsed="false">
      <c r="A1979" s="4" t="s">
        <v>1375</v>
      </c>
      <c r="B1979" s="4" t="n">
        <v>1989</v>
      </c>
      <c r="C1979" s="4" t="str">
        <f aca="false">FLOOR(B1979,10)&amp;"s"</f>
        <v>1980s</v>
      </c>
      <c r="D1979" s="4" t="s">
        <v>1376</v>
      </c>
      <c r="E1979" s="25" t="str">
        <f aca="false">IF(G1979=1,"✓","")</f>
        <v/>
      </c>
      <c r="F1979" s="4" t="n">
        <v>2</v>
      </c>
      <c r="G1979" s="4" t="n">
        <f aca="false">IF(COUNTIF('Letterboxd Watched'!$E$2:$E$3000,M1979)&gt;0,1,0)</f>
        <v>0</v>
      </c>
      <c r="H1979" s="4" t="n">
        <v>3</v>
      </c>
      <c r="I1979" s="4" t="s">
        <v>213</v>
      </c>
      <c r="J1979" s="4" t="s">
        <v>52</v>
      </c>
      <c r="K1979" s="4" t="s">
        <v>5768</v>
      </c>
      <c r="L1979" s="48" t="str">
        <f aca="false">HYPERLINK("https://boxd.it/27B2","open")</f>
        <v>open</v>
      </c>
      <c r="M1979" s="4" t="str">
        <f aca="false">LOWER(A1979)&amp;"|"&amp;B1979</f>
        <v>say anything...|1989</v>
      </c>
      <c r="N1979" s="4" t="n">
        <v>0</v>
      </c>
      <c r="O1979" s="4" t="n">
        <v>0</v>
      </c>
      <c r="P1979" s="4" t="n">
        <v>0</v>
      </c>
      <c r="Q1979" s="4" t="n">
        <v>1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1</v>
      </c>
      <c r="W1979" s="4" t="n">
        <v>0</v>
      </c>
    </row>
    <row r="1980" customFormat="false" ht="15" hidden="false" customHeight="false" outlineLevel="0" collapsed="false">
      <c r="A1980" s="4" t="s">
        <v>1174</v>
      </c>
      <c r="B1980" s="4" t="n">
        <v>2006</v>
      </c>
      <c r="C1980" s="4" t="str">
        <f aca="false">FLOOR(B1980,10)&amp;"s"</f>
        <v>2000s</v>
      </c>
      <c r="D1980" s="4" t="s">
        <v>320</v>
      </c>
      <c r="E1980" s="25" t="str">
        <f aca="false">IF(G1980=1,"✓","")</f>
        <v/>
      </c>
      <c r="F1980" s="4" t="n">
        <v>2</v>
      </c>
      <c r="G1980" s="4" t="n">
        <f aca="false">IF(COUNTIF('Letterboxd Watched'!$E$2:$E$3000,M1980)&gt;0,1,0)</f>
        <v>0</v>
      </c>
      <c r="H1980" s="4" t="n">
        <v>4</v>
      </c>
      <c r="I1980" s="4" t="s">
        <v>213</v>
      </c>
      <c r="J1980" s="4" t="s">
        <v>52</v>
      </c>
      <c r="K1980" s="4" t="s">
        <v>5769</v>
      </c>
      <c r="L1980" s="48" t="str">
        <f aca="false">HYPERLINK("https://boxd.it/25jK","open")</f>
        <v>open</v>
      </c>
      <c r="M1980" s="4" t="str">
        <f aca="false">LOWER(A1980)&amp;"|"&amp;B1980</f>
        <v>a scanner darkly|2006</v>
      </c>
      <c r="N1980" s="4" t="n">
        <v>0</v>
      </c>
      <c r="O1980" s="4" t="n">
        <v>0</v>
      </c>
      <c r="P1980" s="4" t="n">
        <v>0</v>
      </c>
      <c r="Q1980" s="4" t="n">
        <v>1</v>
      </c>
      <c r="R1980" s="4" t="n">
        <v>1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</row>
    <row r="1981" customFormat="false" ht="15" hidden="false" customHeight="false" outlineLevel="0" collapsed="false">
      <c r="A1981" s="4" t="s">
        <v>811</v>
      </c>
      <c r="B1981" s="4" t="n">
        <v>1981</v>
      </c>
      <c r="C1981" s="4" t="str">
        <f aca="false">FLOOR(B1981,10)&amp;"s"</f>
        <v>1980s</v>
      </c>
      <c r="D1981" s="4" t="s">
        <v>316</v>
      </c>
      <c r="E1981" s="25" t="str">
        <f aca="false">IF(G1981=1,"✓","")</f>
        <v>✓</v>
      </c>
      <c r="F1981" s="4" t="n">
        <v>2</v>
      </c>
      <c r="G1981" s="4" t="n">
        <f aca="false">IF(COUNTIF('Letterboxd Watched'!$E$2:$E$3000,M1981)&gt;0,1,0)</f>
        <v>1</v>
      </c>
      <c r="H1981" s="4" t="n">
        <v>5</v>
      </c>
      <c r="I1981" s="4" t="s">
        <v>144</v>
      </c>
      <c r="J1981" s="4" t="s">
        <v>53</v>
      </c>
      <c r="K1981" s="4" t="s">
        <v>5770</v>
      </c>
      <c r="L1981" s="48" t="str">
        <f aca="false">HYPERLINK("https://boxd.it/1YqE","open")</f>
        <v>open</v>
      </c>
      <c r="M1981" s="4" t="str">
        <f aca="false">LOWER(A1981)&amp;"|"&amp;B1981</f>
        <v>scanners|1981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1</v>
      </c>
      <c r="S1981" s="4" t="n">
        <v>0</v>
      </c>
      <c r="T1981" s="4" t="n">
        <v>0</v>
      </c>
      <c r="U1981" s="4" t="n">
        <v>1</v>
      </c>
      <c r="V1981" s="4" t="n">
        <v>0</v>
      </c>
      <c r="W1981" s="4" t="n">
        <v>0</v>
      </c>
    </row>
    <row r="1982" customFormat="false" ht="15" hidden="false" customHeight="false" outlineLevel="0" collapsed="false">
      <c r="A1982" s="4" t="s">
        <v>1702</v>
      </c>
      <c r="B1982" s="4" t="n">
        <v>1929</v>
      </c>
      <c r="C1982" s="4" t="str">
        <f aca="false">FLOOR(B1982,10)&amp;"s"</f>
        <v>1920s</v>
      </c>
      <c r="D1982" s="4" t="s">
        <v>1703</v>
      </c>
      <c r="E1982" s="25" t="str">
        <f aca="false">IF(G1982=1,"✓","")</f>
        <v/>
      </c>
      <c r="F1982" s="4" t="n">
        <v>1</v>
      </c>
      <c r="G1982" s="4" t="n">
        <f aca="false">IF(COUNTIF('Letterboxd Watched'!$E$2:$E$3000,M1982)&gt;0,1,0)</f>
        <v>0</v>
      </c>
      <c r="H1982" s="4" t="n">
        <v>2</v>
      </c>
      <c r="I1982" s="4" t="s">
        <v>213</v>
      </c>
      <c r="J1982" s="4" t="s">
        <v>54</v>
      </c>
      <c r="K1982" s="4" t="s">
        <v>4284</v>
      </c>
      <c r="L1982" s="48" t="str">
        <f aca="false">HYPERLINK("https://letterboxd.com/search/films/The+Scar+of+Shame+1929/","open")</f>
        <v>open</v>
      </c>
      <c r="M1982" s="4" t="str">
        <f aca="false">LOWER(A1982)&amp;"|"&amp;B1982</f>
        <v>the scar of shame|1929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1</v>
      </c>
      <c r="T1982" s="4" t="n">
        <v>0</v>
      </c>
      <c r="U1982" s="4" t="n">
        <v>0</v>
      </c>
      <c r="V1982" s="4" t="n">
        <v>0</v>
      </c>
      <c r="W1982" s="4" t="n">
        <v>0</v>
      </c>
    </row>
    <row r="1983" customFormat="false" ht="15" hidden="false" customHeight="false" outlineLevel="0" collapsed="false">
      <c r="A1983" s="4" t="s">
        <v>3359</v>
      </c>
      <c r="B1983" s="4" t="n">
        <v>1952</v>
      </c>
      <c r="C1983" s="4" t="str">
        <f aca="false">FLOOR(B1983,10)&amp;"s"</f>
        <v>1950s</v>
      </c>
      <c r="D1983" s="4" t="s">
        <v>3360</v>
      </c>
      <c r="E1983" s="25" t="str">
        <f aca="false">IF(G1983=1,"✓","")</f>
        <v/>
      </c>
      <c r="F1983" s="4" t="n">
        <v>1</v>
      </c>
      <c r="G1983" s="4" t="n">
        <f aca="false">IF(COUNTIF('Letterboxd Watched'!$E$2:$E$3000,M1983)&gt;0,1,0)</f>
        <v>0</v>
      </c>
      <c r="H1983" s="4" t="n">
        <v>1</v>
      </c>
      <c r="I1983" s="4" t="s">
        <v>1327</v>
      </c>
      <c r="J1983" s="4" t="s">
        <v>52</v>
      </c>
      <c r="K1983" s="4" t="s">
        <v>4156</v>
      </c>
      <c r="L1983" s="48" t="str">
        <f aca="false">HYPERLINK("https://letterboxd.com/search/films/Scaramouche+1952/","open")</f>
        <v>open</v>
      </c>
      <c r="M1983" s="4" t="str">
        <f aca="false">LOWER(A1983)&amp;"|"&amp;B1983</f>
        <v>scaramouche|1952</v>
      </c>
      <c r="N1983" s="4" t="n">
        <v>0</v>
      </c>
      <c r="O1983" s="4" t="n">
        <v>0</v>
      </c>
      <c r="P1983" s="4" t="n">
        <v>0</v>
      </c>
      <c r="Q1983" s="4" t="n">
        <v>1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 customFormat="false" ht="15" hidden="false" customHeight="false" outlineLevel="0" collapsed="false">
      <c r="A1984" s="4" t="s">
        <v>565</v>
      </c>
      <c r="B1984" s="4" t="n">
        <v>1932</v>
      </c>
      <c r="C1984" s="4" t="str">
        <f aca="false">FLOOR(B1984,10)&amp;"s"</f>
        <v>1930s</v>
      </c>
      <c r="D1984" s="4" t="s">
        <v>168</v>
      </c>
      <c r="E1984" s="25" t="str">
        <f aca="false">IF(G1984=1,"✓","")</f>
        <v/>
      </c>
      <c r="F1984" s="4" t="n">
        <v>3</v>
      </c>
      <c r="G1984" s="4" t="n">
        <f aca="false">IF(COUNTIF('Letterboxd Watched'!$E$2:$E$3000,M1984)&gt;0,1,0)</f>
        <v>0</v>
      </c>
      <c r="H1984" s="4" t="n">
        <v>6</v>
      </c>
      <c r="I1984" s="4" t="s">
        <v>213</v>
      </c>
      <c r="J1984" s="4" t="s">
        <v>50</v>
      </c>
      <c r="K1984" s="4" t="s">
        <v>5771</v>
      </c>
      <c r="L1984" s="48" t="str">
        <f aca="false">HYPERLINK("https://boxd.it/29oa","open")</f>
        <v>open</v>
      </c>
      <c r="M1984" s="4" t="str">
        <f aca="false">LOWER(A1984)&amp;"|"&amp;B1984</f>
        <v>scarface|1932</v>
      </c>
      <c r="N1984" s="4" t="n">
        <v>0</v>
      </c>
      <c r="O1984" s="4" t="n">
        <v>1</v>
      </c>
      <c r="P1984" s="4" t="n">
        <v>0</v>
      </c>
      <c r="Q1984" s="4" t="n">
        <v>1</v>
      </c>
      <c r="R1984" s="4" t="n">
        <v>1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</row>
    <row r="1985" customFormat="false" ht="15" hidden="false" customHeight="false" outlineLevel="0" collapsed="false">
      <c r="A1985" s="4" t="s">
        <v>565</v>
      </c>
      <c r="B1985" s="4" t="n">
        <v>1983</v>
      </c>
      <c r="C1985" s="4" t="str">
        <f aca="false">FLOOR(B1985,10)&amp;"s"</f>
        <v>1980s</v>
      </c>
      <c r="D1985" s="4" t="s">
        <v>488</v>
      </c>
      <c r="E1985" s="25" t="str">
        <f aca="false">IF(G1985=1,"✓","")</f>
        <v/>
      </c>
      <c r="F1985" s="4" t="n">
        <v>2</v>
      </c>
      <c r="G1985" s="4" t="n">
        <f aca="false">IF(COUNTIF('Letterboxd Watched'!$E$2:$E$3000,M1985)&gt;0,1,0)</f>
        <v>0</v>
      </c>
      <c r="H1985" s="4" t="n">
        <v>4</v>
      </c>
      <c r="I1985" s="4" t="s">
        <v>213</v>
      </c>
      <c r="J1985" s="4" t="s">
        <v>52</v>
      </c>
      <c r="K1985" s="4" t="s">
        <v>5772</v>
      </c>
      <c r="L1985" s="48" t="str">
        <f aca="false">HYPERLINK("https://boxd.it/2b7g","open")</f>
        <v>open</v>
      </c>
      <c r="M1985" s="4" t="str">
        <f aca="false">LOWER(A1985)&amp;"|"&amp;B1985</f>
        <v>scarface|1983</v>
      </c>
      <c r="N1985" s="4" t="n">
        <v>0</v>
      </c>
      <c r="O1985" s="4" t="n">
        <v>0</v>
      </c>
      <c r="P1985" s="4" t="n">
        <v>0</v>
      </c>
      <c r="Q1985" s="4" t="n">
        <v>1</v>
      </c>
      <c r="R1985" s="4" t="n">
        <v>1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</row>
    <row r="1986" customFormat="false" ht="15" hidden="false" customHeight="false" outlineLevel="0" collapsed="false">
      <c r="A1986" s="4" t="s">
        <v>3320</v>
      </c>
      <c r="B1986" s="4" t="n">
        <v>1934</v>
      </c>
      <c r="C1986" s="4" t="str">
        <f aca="false">FLOOR(B1986,10)&amp;"s"</f>
        <v>1930s</v>
      </c>
      <c r="D1986" s="4" t="s">
        <v>1710</v>
      </c>
      <c r="E1986" s="25" t="str">
        <f aca="false">IF(G1986=1,"✓","")</f>
        <v/>
      </c>
      <c r="F1986" s="4" t="n">
        <v>1</v>
      </c>
      <c r="G1986" s="4" t="n">
        <f aca="false">IF(COUNTIF('Letterboxd Watched'!$E$2:$E$3000,M1986)&gt;0,1,0)</f>
        <v>0</v>
      </c>
      <c r="H1986" s="4" t="n">
        <v>1</v>
      </c>
      <c r="I1986" s="4" t="s">
        <v>1327</v>
      </c>
      <c r="J1986" s="4" t="s">
        <v>54</v>
      </c>
      <c r="K1986" s="4" t="s">
        <v>4278</v>
      </c>
      <c r="L1986" s="48" t="str">
        <f aca="false">HYPERLINK("https://boxd.it/1iTO","open")</f>
        <v>open</v>
      </c>
      <c r="M1986" s="4" t="str">
        <f aca="false">LOWER(A1986)&amp;"|"&amp;B1986</f>
        <v>the scarlet empress|1934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1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 customFormat="false" ht="15" hidden="false" customHeight="false" outlineLevel="0" collapsed="false">
      <c r="A1987" s="4" t="s">
        <v>3342</v>
      </c>
      <c r="B1987" s="4" t="n">
        <v>1945</v>
      </c>
      <c r="C1987" s="4" t="str">
        <f aca="false">FLOOR(B1987,10)&amp;"s"</f>
        <v>1940s</v>
      </c>
      <c r="D1987" s="4" t="s">
        <v>248</v>
      </c>
      <c r="E1987" s="25" t="str">
        <f aca="false">IF(G1987=1,"✓","")</f>
        <v/>
      </c>
      <c r="F1987" s="4" t="n">
        <v>1</v>
      </c>
      <c r="G1987" s="4" t="n">
        <f aca="false">IF(COUNTIF('Letterboxd Watched'!$E$2:$E$3000,M1987)&gt;0,1,0)</f>
        <v>0</v>
      </c>
      <c r="H1987" s="4" t="n">
        <v>1</v>
      </c>
      <c r="I1987" s="4" t="s">
        <v>1327</v>
      </c>
      <c r="J1987" s="4" t="s">
        <v>52</v>
      </c>
      <c r="K1987" s="4" t="s">
        <v>4042</v>
      </c>
      <c r="L1987" s="48" t="str">
        <f aca="false">HYPERLINK("https://boxd.it/1JgE","open")</f>
        <v>open</v>
      </c>
      <c r="M1987" s="4" t="str">
        <f aca="false">LOWER(A1987)&amp;"|"&amp;B1987</f>
        <v>scarlet street|1945</v>
      </c>
      <c r="N1987" s="4" t="n">
        <v>0</v>
      </c>
      <c r="O1987" s="4" t="n">
        <v>0</v>
      </c>
      <c r="P1987" s="4" t="n">
        <v>0</v>
      </c>
      <c r="Q1987" s="4" t="n">
        <v>1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 customFormat="false" ht="15" hidden="false" customHeight="false" outlineLevel="0" collapsed="false">
      <c r="A1988" s="4" t="s">
        <v>3451</v>
      </c>
      <c r="B1988" s="4" t="n">
        <v>1967</v>
      </c>
      <c r="C1988" s="4" t="str">
        <f aca="false">FLOOR(B1988,10)&amp;"s"</f>
        <v>1960s</v>
      </c>
      <c r="D1988" s="4" t="s">
        <v>759</v>
      </c>
      <c r="E1988" s="25" t="str">
        <f aca="false">IF(G1988=1,"✓","")</f>
        <v/>
      </c>
      <c r="F1988" s="4" t="n">
        <v>1</v>
      </c>
      <c r="G1988" s="4" t="n">
        <f aca="false">IF(COUNTIF('Letterboxd Watched'!$E$2:$E$3000,M1988)&gt;0,1,0)</f>
        <v>0</v>
      </c>
      <c r="H1988" s="4" t="n">
        <v>1</v>
      </c>
      <c r="I1988" s="4" t="s">
        <v>1327</v>
      </c>
      <c r="J1988" s="4" t="s">
        <v>53</v>
      </c>
      <c r="K1988" s="4" t="s">
        <v>4246</v>
      </c>
      <c r="L1988" s="48" t="str">
        <f aca="false">HYPERLINK("https://letterboxd.com/search/films/Scattered+Clouds+1967/","open")</f>
        <v>open</v>
      </c>
      <c r="M1988" s="4" t="str">
        <f aca="false">LOWER(A1988)&amp;"|"&amp;B1988</f>
        <v>scattered clouds|1967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1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</row>
    <row r="1989" customFormat="false" ht="15" hidden="false" customHeight="false" outlineLevel="0" collapsed="false">
      <c r="A1989" s="4" t="s">
        <v>799</v>
      </c>
      <c r="B1989" s="4" t="n">
        <v>1974</v>
      </c>
      <c r="C1989" s="4" t="str">
        <f aca="false">FLOOR(B1989,10)&amp;"s"</f>
        <v>1970s</v>
      </c>
      <c r="D1989" s="4" t="s">
        <v>170</v>
      </c>
      <c r="E1989" s="25" t="str">
        <f aca="false">IF(G1989=1,"✓","")</f>
        <v/>
      </c>
      <c r="F1989" s="4" t="n">
        <v>2</v>
      </c>
      <c r="G1989" s="4" t="n">
        <f aca="false">IF(COUNTIF('Letterboxd Watched'!$E$2:$E$3000,M1989)&gt;0,1,0)</f>
        <v>0</v>
      </c>
      <c r="H1989" s="4" t="n">
        <v>5</v>
      </c>
      <c r="I1989" s="4" t="s">
        <v>144</v>
      </c>
      <c r="J1989" s="4" t="s">
        <v>53</v>
      </c>
      <c r="K1989" s="4" t="s">
        <v>5773</v>
      </c>
      <c r="L1989" s="48" t="str">
        <f aca="false">HYPERLINK("https://boxd.it/4kJC","open")</f>
        <v>open</v>
      </c>
      <c r="M1989" s="4" t="str">
        <f aca="false">LOWER(A1989)&amp;"|"&amp;B1989</f>
        <v>scenes from a marriage|1974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1</v>
      </c>
      <c r="S1989" s="4" t="n">
        <v>0</v>
      </c>
      <c r="T1989" s="4" t="n">
        <v>1</v>
      </c>
      <c r="U1989" s="4" t="n">
        <v>0</v>
      </c>
      <c r="V1989" s="4" t="n">
        <v>0</v>
      </c>
      <c r="W1989" s="4" t="n">
        <v>0</v>
      </c>
    </row>
    <row r="1990" customFormat="false" ht="15" hidden="false" customHeight="false" outlineLevel="0" collapsed="false">
      <c r="A1990" s="4" t="s">
        <v>498</v>
      </c>
      <c r="B1990" s="4" t="n">
        <v>1993</v>
      </c>
      <c r="C1990" s="4" t="str">
        <f aca="false">FLOOR(B1990,10)&amp;"s"</f>
        <v>1990s</v>
      </c>
      <c r="D1990" s="4" t="s">
        <v>183</v>
      </c>
      <c r="E1990" s="25" t="str">
        <f aca="false">IF(G1990=1,"✓","")</f>
        <v/>
      </c>
      <c r="F1990" s="4" t="n">
        <v>3</v>
      </c>
      <c r="G1990" s="4" t="n">
        <f aca="false">IF(COUNTIF('Letterboxd Watched'!$E$2:$E$3000,M1990)&gt;0,1,0)</f>
        <v>0</v>
      </c>
      <c r="H1990" s="4" t="n">
        <v>7</v>
      </c>
      <c r="I1990" s="4" t="s">
        <v>144</v>
      </c>
      <c r="J1990" s="4" t="s">
        <v>52</v>
      </c>
      <c r="K1990" s="4" t="s">
        <v>5774</v>
      </c>
      <c r="L1990" s="48" t="str">
        <f aca="false">HYPERLINK("https://boxd.it/2aq2","open")</f>
        <v>open</v>
      </c>
      <c r="M1990" s="4" t="str">
        <f aca="false">LOWER(A1990)&amp;"|"&amp;B1990</f>
        <v>schindler's list|1993</v>
      </c>
      <c r="N1990" s="4" t="n">
        <v>0</v>
      </c>
      <c r="O1990" s="4" t="n">
        <v>0</v>
      </c>
      <c r="P1990" s="4" t="n">
        <v>0</v>
      </c>
      <c r="Q1990" s="4" t="n">
        <v>1</v>
      </c>
      <c r="R1990" s="4" t="n">
        <v>1</v>
      </c>
      <c r="S1990" s="4" t="n">
        <v>0</v>
      </c>
      <c r="T1990" s="4" t="n">
        <v>0</v>
      </c>
      <c r="U1990" s="4" t="n">
        <v>0</v>
      </c>
      <c r="V1990" s="4" t="n">
        <v>1</v>
      </c>
      <c r="W1990" s="4" t="n">
        <v>0</v>
      </c>
    </row>
    <row r="1991" customFormat="false" ht="15" hidden="false" customHeight="false" outlineLevel="0" collapsed="false">
      <c r="A1991" s="4" t="s">
        <v>3694</v>
      </c>
      <c r="B1991" s="4" t="n">
        <v>1996</v>
      </c>
      <c r="C1991" s="4" t="str">
        <f aca="false">FLOOR(B1991,10)&amp;"s"</f>
        <v>1990s</v>
      </c>
      <c r="D1991" s="4" t="s">
        <v>490</v>
      </c>
      <c r="E1991" s="25" t="str">
        <f aca="false">IF(G1991=1,"✓","")</f>
        <v>✓</v>
      </c>
      <c r="F1991" s="4" t="n">
        <v>1</v>
      </c>
      <c r="G1991" s="4" t="n">
        <f aca="false">IF(COUNTIF('Letterboxd Watched'!$E$2:$E$3000,M1991)&gt;0,1,0)</f>
        <v>1</v>
      </c>
      <c r="H1991" s="4" t="n">
        <v>1</v>
      </c>
      <c r="I1991" s="4" t="s">
        <v>1327</v>
      </c>
      <c r="J1991" s="4" t="s">
        <v>53</v>
      </c>
      <c r="K1991" s="4" t="s">
        <v>490</v>
      </c>
      <c r="L1991" s="48" t="str">
        <f aca="false">HYPERLINK("https://boxd.it/1Keu","open")</f>
        <v>open</v>
      </c>
      <c r="M1991" s="4" t="str">
        <f aca="false">LOWER(A1991)&amp;"|"&amp;B1991</f>
        <v>schizopolis|1996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1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 customFormat="false" ht="15" hidden="false" customHeight="false" outlineLevel="0" collapsed="false">
      <c r="A1992" s="4" t="s">
        <v>1166</v>
      </c>
      <c r="B1992" s="4" t="n">
        <v>2003</v>
      </c>
      <c r="C1992" s="4" t="str">
        <f aca="false">FLOOR(B1992,10)&amp;"s"</f>
        <v>2000s</v>
      </c>
      <c r="D1992" s="4" t="s">
        <v>320</v>
      </c>
      <c r="E1992" s="25" t="str">
        <f aca="false">IF(G1992=1,"✓","")</f>
        <v>✓</v>
      </c>
      <c r="F1992" s="4" t="n">
        <v>2</v>
      </c>
      <c r="G1992" s="4" t="n">
        <f aca="false">IF(COUNTIF('Letterboxd Watched'!$E$2:$E$3000,M1992)&gt;0,1,0)</f>
        <v>1</v>
      </c>
      <c r="H1992" s="4" t="n">
        <v>4</v>
      </c>
      <c r="I1992" s="4" t="s">
        <v>213</v>
      </c>
      <c r="J1992" s="4" t="s">
        <v>53</v>
      </c>
      <c r="K1992" s="4" t="s">
        <v>5775</v>
      </c>
      <c r="L1992" s="48" t="str">
        <f aca="false">HYPERLINK("https://boxd.it/28xK","open")</f>
        <v>open</v>
      </c>
      <c r="M1992" s="4" t="str">
        <f aca="false">LOWER(A1992)&amp;"|"&amp;B1992</f>
        <v>school of rock|2003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1</v>
      </c>
      <c r="S1992" s="4" t="n">
        <v>0</v>
      </c>
      <c r="T1992" s="4" t="n">
        <v>0</v>
      </c>
      <c r="U1992" s="4" t="n">
        <v>1</v>
      </c>
      <c r="V1992" s="4" t="n">
        <v>0</v>
      </c>
      <c r="W1992" s="4" t="n">
        <v>0</v>
      </c>
    </row>
    <row r="1993" customFormat="false" ht="15" hidden="false" customHeight="false" outlineLevel="0" collapsed="false">
      <c r="A1993" s="4" t="s">
        <v>2031</v>
      </c>
      <c r="B1993" s="4" t="n">
        <v>1963</v>
      </c>
      <c r="C1993" s="4" t="str">
        <f aca="false">FLOOR(B1993,10)&amp;"s"</f>
        <v>1960s</v>
      </c>
      <c r="D1993" s="4" t="s">
        <v>2032</v>
      </c>
      <c r="E1993" s="25" t="str">
        <f aca="false">IF(G1993=1,"✓","")</f>
        <v/>
      </c>
      <c r="F1993" s="4" t="n">
        <v>1</v>
      </c>
      <c r="G1993" s="4" t="n">
        <f aca="false">IF(COUNTIF('Letterboxd Watched'!$E$2:$E$3000,M1993)&gt;0,1,0)</f>
        <v>0</v>
      </c>
      <c r="H1993" s="4" t="n">
        <v>2</v>
      </c>
      <c r="I1993" s="4" t="s">
        <v>213</v>
      </c>
      <c r="J1993" s="4" t="s">
        <v>52</v>
      </c>
      <c r="K1993" s="4" t="s">
        <v>4182</v>
      </c>
      <c r="L1993" s="48" t="str">
        <f aca="false">HYPERLINK("https://letterboxd.com/search/films/Scorpio+Rising+1963/","open")</f>
        <v>open</v>
      </c>
      <c r="M1993" s="4" t="str">
        <f aca="false">LOWER(A1993)&amp;"|"&amp;B1993</f>
        <v>scorpio rising|1963</v>
      </c>
      <c r="N1993" s="4" t="n">
        <v>0</v>
      </c>
      <c r="O1993" s="4" t="n">
        <v>0</v>
      </c>
      <c r="P1993" s="4" t="n">
        <v>0</v>
      </c>
      <c r="Q1993" s="4" t="n">
        <v>1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 customFormat="false" ht="15" hidden="false" customHeight="false" outlineLevel="0" collapsed="false">
      <c r="A1994" s="4" t="s">
        <v>2965</v>
      </c>
      <c r="B1994" s="4" t="n">
        <v>2010</v>
      </c>
      <c r="C1994" s="4" t="str">
        <f aca="false">FLOOR(B1994,10)&amp;"s"</f>
        <v>2010s</v>
      </c>
      <c r="D1994" s="4" t="s">
        <v>2816</v>
      </c>
      <c r="E1994" s="25" t="str">
        <f aca="false">IF(G1994=1,"✓","")</f>
        <v>✓</v>
      </c>
      <c r="F1994" s="4" t="n">
        <v>1</v>
      </c>
      <c r="G1994" s="4" t="n">
        <f aca="false">IF(COUNTIF('Letterboxd Watched'!$E$2:$E$3000,M1994)&gt;0,1,0)</f>
        <v>1</v>
      </c>
      <c r="H1994" s="4" t="n">
        <v>2</v>
      </c>
      <c r="I1994" s="4" t="s">
        <v>213</v>
      </c>
      <c r="J1994" s="4" t="s">
        <v>58</v>
      </c>
      <c r="K1994" s="4" t="s">
        <v>4484</v>
      </c>
      <c r="L1994" s="48" t="str">
        <f aca="false">HYPERLINK("https://boxd.it/1Aq6","open")</f>
        <v>open</v>
      </c>
      <c r="M1994" s="4" t="str">
        <f aca="false">LOWER(A1994)&amp;"|"&amp;B1994</f>
        <v>scott pilgrim vs. the world|2010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1</v>
      </c>
    </row>
    <row r="1995" customFormat="false" ht="15" hidden="false" customHeight="false" outlineLevel="0" collapsed="false">
      <c r="A1995" s="4" t="s">
        <v>2634</v>
      </c>
      <c r="B1995" s="4" t="n">
        <v>1996</v>
      </c>
      <c r="C1995" s="4" t="str">
        <f aca="false">FLOOR(B1995,10)&amp;"s"</f>
        <v>1990s</v>
      </c>
      <c r="D1995" s="4" t="s">
        <v>1496</v>
      </c>
      <c r="E1995" s="25" t="str">
        <f aca="false">IF(G1995=1,"✓","")</f>
        <v/>
      </c>
      <c r="F1995" s="4" t="n">
        <v>1</v>
      </c>
      <c r="G1995" s="4" t="n">
        <f aca="false">IF(COUNTIF('Letterboxd Watched'!$E$2:$E$3000,M1995)&gt;0,1,0)</f>
        <v>0</v>
      </c>
      <c r="H1995" s="4" t="n">
        <v>2</v>
      </c>
      <c r="I1995" s="4" t="s">
        <v>213</v>
      </c>
      <c r="J1995" s="4" t="s">
        <v>52</v>
      </c>
      <c r="K1995" s="4" t="s">
        <v>4070</v>
      </c>
      <c r="L1995" s="48" t="str">
        <f aca="false">HYPERLINK("https://boxd.it/24EC","open")</f>
        <v>open</v>
      </c>
      <c r="M1995" s="4" t="str">
        <f aca="false">LOWER(A1995)&amp;"|"&amp;B1995</f>
        <v>scream|1996</v>
      </c>
      <c r="N1995" s="4" t="n">
        <v>0</v>
      </c>
      <c r="O1995" s="4" t="n">
        <v>0</v>
      </c>
      <c r="P1995" s="4" t="n">
        <v>0</v>
      </c>
      <c r="Q1995" s="4" t="n">
        <v>1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 customFormat="false" ht="15" hidden="false" customHeight="false" outlineLevel="0" collapsed="false">
      <c r="A1996" s="4" t="s">
        <v>3576</v>
      </c>
      <c r="B1996" s="4" t="n">
        <v>1979</v>
      </c>
      <c r="C1996" s="4" t="str">
        <f aca="false">FLOOR(B1996,10)&amp;"s"</f>
        <v>1970s</v>
      </c>
      <c r="D1996" s="4" t="s">
        <v>2356</v>
      </c>
      <c r="E1996" s="25" t="str">
        <f aca="false">IF(G1996=1,"✓","")</f>
        <v/>
      </c>
      <c r="F1996" s="4" t="n">
        <v>1</v>
      </c>
      <c r="G1996" s="4" t="n">
        <f aca="false">IF(COUNTIF('Letterboxd Watched'!$E$2:$E$3000,M1996)&gt;0,1,0)</f>
        <v>0</v>
      </c>
      <c r="H1996" s="4" t="n">
        <v>1</v>
      </c>
      <c r="I1996" s="4" t="s">
        <v>1327</v>
      </c>
      <c r="J1996" s="4" t="s">
        <v>51</v>
      </c>
      <c r="K1996" s="4" t="s">
        <v>3982</v>
      </c>
      <c r="L1996" s="48" t="str">
        <f aca="false">HYPERLINK("https://boxd.it/1vK6","open")</f>
        <v>open</v>
      </c>
      <c r="M1996" s="4" t="str">
        <f aca="false">LOWER(A1996)&amp;"|"&amp;B1996</f>
        <v>scum|1979</v>
      </c>
      <c r="N1996" s="4" t="n">
        <v>0</v>
      </c>
      <c r="O1996" s="4" t="n">
        <v>0</v>
      </c>
      <c r="P1996" s="4" t="n">
        <v>1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</row>
    <row r="1997" customFormat="false" ht="15" hidden="false" customHeight="false" outlineLevel="0" collapsed="false">
      <c r="A1997" s="4" t="s">
        <v>839</v>
      </c>
      <c r="B1997" s="4" t="n">
        <v>1995</v>
      </c>
      <c r="C1997" s="4" t="str">
        <f aca="false">FLOOR(B1997,10)&amp;"s"</f>
        <v>1990s</v>
      </c>
      <c r="D1997" s="4" t="s">
        <v>325</v>
      </c>
      <c r="E1997" s="25" t="str">
        <f aca="false">IF(G1997=1,"✓","")</f>
        <v>✓</v>
      </c>
      <c r="F1997" s="4" t="n">
        <v>2</v>
      </c>
      <c r="G1997" s="4" t="n">
        <f aca="false">IF(COUNTIF('Letterboxd Watched'!$E$2:$E$3000,M1997)&gt;0,1,0)</f>
        <v>1</v>
      </c>
      <c r="H1997" s="4" t="n">
        <v>5</v>
      </c>
      <c r="I1997" s="4" t="s">
        <v>144</v>
      </c>
      <c r="J1997" s="4" t="s">
        <v>52</v>
      </c>
      <c r="K1997" s="4" t="s">
        <v>5776</v>
      </c>
      <c r="L1997" s="48" t="str">
        <f aca="false">HYPERLINK("https://boxd.it/29zs","open")</f>
        <v>open</v>
      </c>
      <c r="M1997" s="4" t="str">
        <f aca="false">LOWER(A1997)&amp;"|"&amp;B1997</f>
        <v>se7en|1995</v>
      </c>
      <c r="N1997" s="4" t="n">
        <v>0</v>
      </c>
      <c r="O1997" s="4" t="n">
        <v>0</v>
      </c>
      <c r="P1997" s="4" t="n">
        <v>0</v>
      </c>
      <c r="Q1997" s="4" t="n">
        <v>1</v>
      </c>
      <c r="R1997" s="4" t="n">
        <v>1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 customFormat="false" ht="15" hidden="false" customHeight="false" outlineLevel="0" collapsed="false">
      <c r="A1998" s="4" t="s">
        <v>2493</v>
      </c>
      <c r="B1998" s="4" t="n">
        <v>1989</v>
      </c>
      <c r="C1998" s="4" t="str">
        <f aca="false">FLOOR(B1998,10)&amp;"s"</f>
        <v>1980s</v>
      </c>
      <c r="D1998" s="4" t="s">
        <v>2494</v>
      </c>
      <c r="E1998" s="25" t="str">
        <f aca="false">IF(G1998=1,"✓","")</f>
        <v/>
      </c>
      <c r="F1998" s="4" t="n">
        <v>1</v>
      </c>
      <c r="G1998" s="4" t="n">
        <f aca="false">IF(COUNTIF('Letterboxd Watched'!$E$2:$E$3000,M1998)&gt;0,1,0)</f>
        <v>0</v>
      </c>
      <c r="H1998" s="4" t="n">
        <v>2</v>
      </c>
      <c r="I1998" s="4" t="s">
        <v>213</v>
      </c>
      <c r="J1998" s="4" t="s">
        <v>52</v>
      </c>
      <c r="K1998" s="4" t="s">
        <v>4128</v>
      </c>
      <c r="L1998" s="48" t="str">
        <f aca="false">HYPERLINK("https://boxd.it/1Sq4","open")</f>
        <v>open</v>
      </c>
      <c r="M1998" s="4" t="str">
        <f aca="false">LOWER(A1998)&amp;"|"&amp;B1998</f>
        <v>sea of love|1989</v>
      </c>
      <c r="N1998" s="4" t="n">
        <v>0</v>
      </c>
      <c r="O1998" s="4" t="n">
        <v>0</v>
      </c>
      <c r="P1998" s="4" t="n">
        <v>0</v>
      </c>
      <c r="Q1998" s="4" t="n">
        <v>1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 customFormat="false" ht="15" hidden="false" customHeight="false" outlineLevel="0" collapsed="false">
      <c r="A1999" s="4" t="s">
        <v>221</v>
      </c>
      <c r="B1999" s="4" t="n">
        <v>1956</v>
      </c>
      <c r="C1999" s="4" t="str">
        <f aca="false">FLOOR(B1999,10)&amp;"s"</f>
        <v>1950s</v>
      </c>
      <c r="D1999" s="4" t="s">
        <v>205</v>
      </c>
      <c r="E1999" s="25" t="str">
        <f aca="false">IF(G1999=1,"✓","")</f>
        <v>✓</v>
      </c>
      <c r="F1999" s="4" t="n">
        <v>6</v>
      </c>
      <c r="G1999" s="4" t="n">
        <f aca="false">IF(COUNTIF('Letterboxd Watched'!$E$2:$E$3000,M1999)&gt;0,1,0)</f>
        <v>1</v>
      </c>
      <c r="H1999" s="4" t="n">
        <v>14</v>
      </c>
      <c r="I1999" s="4" t="s">
        <v>144</v>
      </c>
      <c r="J1999" s="4" t="s">
        <v>50</v>
      </c>
      <c r="K1999" s="4" t="s">
        <v>5777</v>
      </c>
      <c r="L1999" s="48" t="str">
        <f aca="false">HYPERLINK("https://boxd.it/25HC","open")</f>
        <v>open</v>
      </c>
      <c r="M1999" s="4" t="str">
        <f aca="false">LOWER(A1999)&amp;"|"&amp;B1999</f>
        <v>the searchers|1956</v>
      </c>
      <c r="N1999" s="4" t="n">
        <v>0</v>
      </c>
      <c r="O1999" s="4" t="n">
        <v>1</v>
      </c>
      <c r="P1999" s="4" t="n">
        <v>0</v>
      </c>
      <c r="Q1999" s="4" t="n">
        <v>1</v>
      </c>
      <c r="R1999" s="4" t="n">
        <v>1</v>
      </c>
      <c r="S1999" s="4" t="n">
        <v>0</v>
      </c>
      <c r="T1999" s="4" t="n">
        <v>0</v>
      </c>
      <c r="U1999" s="4" t="n">
        <v>0</v>
      </c>
      <c r="V1999" s="4" t="n">
        <v>1</v>
      </c>
      <c r="W1999" s="4" t="n">
        <v>0</v>
      </c>
    </row>
    <row r="2000" customFormat="false" ht="15" hidden="false" customHeight="false" outlineLevel="0" collapsed="false">
      <c r="A2000" s="4" t="s">
        <v>3002</v>
      </c>
      <c r="B2000" s="4" t="n">
        <v>2012</v>
      </c>
      <c r="C2000" s="4" t="str">
        <f aca="false">FLOOR(B2000,10)&amp;"s"</f>
        <v>2010s</v>
      </c>
      <c r="D2000" s="4" t="s">
        <v>3003</v>
      </c>
      <c r="E2000" s="25" t="str">
        <f aca="false">IF(G2000=1,"✓","")</f>
        <v/>
      </c>
      <c r="F2000" s="4" t="n">
        <v>1</v>
      </c>
      <c r="G2000" s="4" t="n">
        <f aca="false">IF(COUNTIF('Letterboxd Watched'!$E$2:$E$3000,M2000)&gt;0,1,0)</f>
        <v>0</v>
      </c>
      <c r="H2000" s="4" t="n">
        <v>2</v>
      </c>
      <c r="I2000" s="4" t="s">
        <v>213</v>
      </c>
      <c r="J2000" s="4" t="s">
        <v>52</v>
      </c>
      <c r="K2000" s="4" t="s">
        <v>4176</v>
      </c>
      <c r="L2000" s="48" t="str">
        <f aca="false">HYPERLINK("https://letterboxd.com/search/films/Searching+for+Sugar+Man+2012/","open")</f>
        <v>open</v>
      </c>
      <c r="M2000" s="4" t="str">
        <f aca="false">LOWER(A2000)&amp;"|"&amp;B2000</f>
        <v>searching for sugar man|2012</v>
      </c>
      <c r="N2000" s="4" t="n">
        <v>0</v>
      </c>
      <c r="O2000" s="4" t="n">
        <v>0</v>
      </c>
      <c r="P2000" s="4" t="n">
        <v>0</v>
      </c>
      <c r="Q2000" s="4" t="n">
        <v>1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 customFormat="false" ht="15" hidden="false" customHeight="false" outlineLevel="0" collapsed="false">
      <c r="A2001" s="4" t="s">
        <v>1698</v>
      </c>
      <c r="B2001" s="4" t="n">
        <v>1928</v>
      </c>
      <c r="C2001" s="4" t="str">
        <f aca="false">FLOOR(B2001,10)&amp;"s"</f>
        <v>1920s</v>
      </c>
      <c r="D2001" s="4" t="s">
        <v>1699</v>
      </c>
      <c r="E2001" s="25" t="str">
        <f aca="false">IF(G2001=1,"✓","")</f>
        <v/>
      </c>
      <c r="F2001" s="4" t="n">
        <v>1</v>
      </c>
      <c r="G2001" s="4" t="n">
        <f aca="false">IF(COUNTIF('Letterboxd Watched'!$E$2:$E$3000,M2001)&gt;0,1,0)</f>
        <v>0</v>
      </c>
      <c r="H2001" s="4" t="n">
        <v>2</v>
      </c>
      <c r="I2001" s="4" t="s">
        <v>213</v>
      </c>
      <c r="J2001" s="4" t="s">
        <v>52</v>
      </c>
      <c r="K2001" s="4" t="s">
        <v>4180</v>
      </c>
      <c r="L2001" s="48" t="str">
        <f aca="false">HYPERLINK("https://letterboxd.com/search/films/The+Seashell+and+the+Clergyman+1928/","open")</f>
        <v>open</v>
      </c>
      <c r="M2001" s="4" t="str">
        <f aca="false">LOWER(A2001)&amp;"|"&amp;B2001</f>
        <v>the seashell and the clergyman|1928</v>
      </c>
      <c r="N2001" s="4" t="n">
        <v>0</v>
      </c>
      <c r="O2001" s="4" t="n">
        <v>0</v>
      </c>
      <c r="P2001" s="4" t="n">
        <v>0</v>
      </c>
      <c r="Q2001" s="4" t="n">
        <v>1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</row>
    <row r="2002" customFormat="false" ht="15" hidden="false" customHeight="false" outlineLevel="0" collapsed="false">
      <c r="A2002" s="4" t="s">
        <v>2081</v>
      </c>
      <c r="B2002" s="4" t="n">
        <v>1966</v>
      </c>
      <c r="C2002" s="4" t="str">
        <f aca="false">FLOOR(B2002,10)&amp;"s"</f>
        <v>1960s</v>
      </c>
      <c r="D2002" s="4" t="s">
        <v>965</v>
      </c>
      <c r="E2002" s="25" t="str">
        <f aca="false">IF(G2002=1,"✓","")</f>
        <v>✓</v>
      </c>
      <c r="F2002" s="4" t="n">
        <v>1</v>
      </c>
      <c r="G2002" s="4" t="n">
        <f aca="false">IF(COUNTIF('Letterboxd Watched'!$E$2:$E$3000,M2002)&gt;0,1,0)</f>
        <v>1</v>
      </c>
      <c r="H2002" s="4" t="n">
        <v>2</v>
      </c>
      <c r="I2002" s="4" t="s">
        <v>213</v>
      </c>
      <c r="J2002" s="4" t="s">
        <v>52</v>
      </c>
      <c r="K2002" s="4" t="s">
        <v>4086</v>
      </c>
      <c r="L2002" s="48" t="str">
        <f aca="false">HYPERLINK("https://boxd.it/1Dbe","open")</f>
        <v>open</v>
      </c>
      <c r="M2002" s="4" t="str">
        <f aca="false">LOWER(A2002)&amp;"|"&amp;B2002</f>
        <v>seconds|1966</v>
      </c>
      <c r="N2002" s="4" t="n">
        <v>0</v>
      </c>
      <c r="O2002" s="4" t="n">
        <v>0</v>
      </c>
      <c r="P2002" s="4" t="n">
        <v>0</v>
      </c>
      <c r="Q2002" s="4" t="n">
        <v>1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 customFormat="false" ht="15" hidden="false" customHeight="false" outlineLevel="0" collapsed="false">
      <c r="A2003" s="4" t="s">
        <v>2324</v>
      </c>
      <c r="B2003" s="4" t="n">
        <v>1979</v>
      </c>
      <c r="C2003" s="4" t="str">
        <f aca="false">FLOOR(B2003,10)&amp;"s"</f>
        <v>1970s</v>
      </c>
      <c r="D2003" s="4" t="s">
        <v>2325</v>
      </c>
      <c r="E2003" s="25" t="str">
        <f aca="false">IF(G2003=1,"✓","")</f>
        <v/>
      </c>
      <c r="F2003" s="4" t="n">
        <v>1</v>
      </c>
      <c r="G2003" s="4" t="n">
        <f aca="false">IF(COUNTIF('Letterboxd Watched'!$E$2:$E$3000,M2003)&gt;0,1,0)</f>
        <v>0</v>
      </c>
      <c r="H2003" s="4" t="n">
        <v>2</v>
      </c>
      <c r="I2003" s="4" t="s">
        <v>213</v>
      </c>
      <c r="J2003" s="4" t="s">
        <v>51</v>
      </c>
      <c r="K2003" s="4" t="s">
        <v>4016</v>
      </c>
      <c r="L2003" s="48" t="str">
        <f aca="false">HYPERLINK("https://letterboxd.com/search/films/The+Secret+1979/","open")</f>
        <v>open</v>
      </c>
      <c r="M2003" s="4" t="str">
        <f aca="false">LOWER(A2003)&amp;"|"&amp;B2003</f>
        <v>the secret|1979</v>
      </c>
      <c r="N2003" s="4" t="n">
        <v>0</v>
      </c>
      <c r="O2003" s="4" t="n">
        <v>0</v>
      </c>
      <c r="P2003" s="4" t="n">
        <v>1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 customFormat="false" ht="15" hidden="false" customHeight="false" outlineLevel="0" collapsed="false">
      <c r="A2004" s="4" t="s">
        <v>3623</v>
      </c>
      <c r="B2004" s="4" t="n">
        <v>1984</v>
      </c>
      <c r="C2004" s="4" t="str">
        <f aca="false">FLOOR(B2004,10)&amp;"s"</f>
        <v>1980s</v>
      </c>
      <c r="D2004" s="4" t="s">
        <v>197</v>
      </c>
      <c r="E2004" s="25" t="str">
        <f aca="false">IF(G2004=1,"✓","")</f>
        <v>✓</v>
      </c>
      <c r="F2004" s="4" t="n">
        <v>1</v>
      </c>
      <c r="G2004" s="4" t="n">
        <f aca="false">IF(COUNTIF('Letterboxd Watched'!$E$2:$E$3000,M2004)&gt;0,1,0)</f>
        <v>1</v>
      </c>
      <c r="H2004" s="4" t="n">
        <v>1</v>
      </c>
      <c r="I2004" s="4" t="s">
        <v>1327</v>
      </c>
      <c r="J2004" s="4" t="s">
        <v>53</v>
      </c>
      <c r="K2004" s="4" t="s">
        <v>197</v>
      </c>
      <c r="L2004" s="48" t="str">
        <f aca="false">HYPERLINK("https://boxd.it/EAs","open")</f>
        <v>open</v>
      </c>
      <c r="M2004" s="4" t="str">
        <f aca="false">LOWER(A2004)&amp;"|"&amp;B2004</f>
        <v>secret honor|1984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1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 customFormat="false" ht="15" hidden="false" customHeight="false" outlineLevel="0" collapsed="false">
      <c r="A2005" s="4" t="s">
        <v>1607</v>
      </c>
      <c r="B2005" s="4" t="n">
        <v>2009</v>
      </c>
      <c r="C2005" s="4" t="str">
        <f aca="false">FLOOR(B2005,10)&amp;"s"</f>
        <v>2000s</v>
      </c>
      <c r="D2005" s="4" t="s">
        <v>1608</v>
      </c>
      <c r="E2005" s="25" t="str">
        <f aca="false">IF(G2005=1,"✓","")</f>
        <v/>
      </c>
      <c r="F2005" s="4" t="n">
        <v>1</v>
      </c>
      <c r="G2005" s="4" t="n">
        <f aca="false">IF(COUNTIF('Letterboxd Watched'!$E$2:$E$3000,M2005)&gt;0,1,0)</f>
        <v>0</v>
      </c>
      <c r="H2005" s="4" t="n">
        <v>3</v>
      </c>
      <c r="I2005" s="4" t="s">
        <v>144</v>
      </c>
      <c r="J2005" s="4" t="s">
        <v>51</v>
      </c>
      <c r="K2005" s="4" t="s">
        <v>4010</v>
      </c>
      <c r="L2005" s="48" t="str">
        <f aca="false">HYPERLINK("https://boxd.it/1vWw","open")</f>
        <v>open</v>
      </c>
      <c r="M2005" s="4" t="str">
        <f aca="false">LOWER(A2005)&amp;"|"&amp;B2005</f>
        <v>the secret in their eyes|2009</v>
      </c>
      <c r="N2005" s="4" t="n">
        <v>0</v>
      </c>
      <c r="O2005" s="4" t="n">
        <v>0</v>
      </c>
      <c r="P2005" s="4" t="n">
        <v>1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 customFormat="false" ht="15" hidden="false" customHeight="false" outlineLevel="0" collapsed="false">
      <c r="A2006" s="4" t="s">
        <v>1567</v>
      </c>
      <c r="B2006" s="4" t="n">
        <v>1996</v>
      </c>
      <c r="C2006" s="4" t="str">
        <f aca="false">FLOOR(B2006,10)&amp;"s"</f>
        <v>1990s</v>
      </c>
      <c r="D2006" s="4" t="s">
        <v>1549</v>
      </c>
      <c r="E2006" s="25" t="str">
        <f aca="false">IF(G2006=1,"✓","")</f>
        <v/>
      </c>
      <c r="F2006" s="4" t="n">
        <v>1</v>
      </c>
      <c r="G2006" s="4" t="n">
        <f aca="false">IF(COUNTIF('Letterboxd Watched'!$E$2:$E$3000,M2006)&gt;0,1,0)</f>
        <v>0</v>
      </c>
      <c r="H2006" s="4" t="n">
        <v>3</v>
      </c>
      <c r="I2006" s="4" t="s">
        <v>144</v>
      </c>
      <c r="J2006" s="4" t="s">
        <v>51</v>
      </c>
      <c r="K2006" s="4" t="s">
        <v>3982</v>
      </c>
      <c r="L2006" s="48" t="str">
        <f aca="false">HYPERLINK("https://boxd.it/1UuC","open")</f>
        <v>open</v>
      </c>
      <c r="M2006" s="4" t="str">
        <f aca="false">LOWER(A2006)&amp;"|"&amp;B2006</f>
        <v>secrets &amp; lies|1996</v>
      </c>
      <c r="N2006" s="4" t="n">
        <v>0</v>
      </c>
      <c r="O2006" s="4" t="n">
        <v>0</v>
      </c>
      <c r="P2006" s="4" t="n">
        <v>1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</row>
    <row r="2007" customFormat="false" ht="15" hidden="false" customHeight="false" outlineLevel="0" collapsed="false">
      <c r="A2007" s="4" t="s">
        <v>2042</v>
      </c>
      <c r="B2007" s="4" t="n">
        <v>1964</v>
      </c>
      <c r="C2007" s="4" t="str">
        <f aca="false">FLOOR(B2007,10)&amp;"s"</f>
        <v>1960s</v>
      </c>
      <c r="D2007" s="4" t="s">
        <v>1459</v>
      </c>
      <c r="E2007" s="25" t="str">
        <f aca="false">IF(G2007=1,"✓","")</f>
        <v/>
      </c>
      <c r="F2007" s="4" t="n">
        <v>1</v>
      </c>
      <c r="G2007" s="4" t="n">
        <f aca="false">IF(COUNTIF('Letterboxd Watched'!$E$2:$E$3000,M2007)&gt;0,1,0)</f>
        <v>0</v>
      </c>
      <c r="H2007" s="4" t="n">
        <v>2</v>
      </c>
      <c r="I2007" s="4" t="s">
        <v>213</v>
      </c>
      <c r="J2007" s="4" t="s">
        <v>51</v>
      </c>
      <c r="K2007" s="4" t="s">
        <v>3946</v>
      </c>
      <c r="L2007" s="48" t="str">
        <f aca="false">HYPERLINK("https://letterboxd.com/search/films/Seduced+and+Abandoned+1964/","open")</f>
        <v>open</v>
      </c>
      <c r="M2007" s="4" t="str">
        <f aca="false">LOWER(A2007)&amp;"|"&amp;B2007</f>
        <v>seduced and abandoned|1964</v>
      </c>
      <c r="N2007" s="4" t="n">
        <v>0</v>
      </c>
      <c r="O2007" s="4" t="n">
        <v>0</v>
      </c>
      <c r="P2007" s="4" t="n">
        <v>1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</row>
    <row r="2008" customFormat="false" ht="15" hidden="false" customHeight="false" outlineLevel="0" collapsed="false">
      <c r="A2008" s="4" t="s">
        <v>3865</v>
      </c>
      <c r="B2008" s="4" t="n">
        <v>2024</v>
      </c>
      <c r="C2008" s="4" t="str">
        <f aca="false">FLOOR(B2008,10)&amp;"s"</f>
        <v>2020s</v>
      </c>
      <c r="D2008" s="4" t="s">
        <v>3866</v>
      </c>
      <c r="E2008" s="25" t="str">
        <f aca="false">IF(G2008=1,"✓","")</f>
        <v/>
      </c>
      <c r="F2008" s="4" t="n">
        <v>1</v>
      </c>
      <c r="G2008" s="4" t="n">
        <f aca="false">IF(COUNTIF('Letterboxd Watched'!$E$2:$E$3000,M2008)&gt;0,1,0)</f>
        <v>0</v>
      </c>
      <c r="H2008" s="4" t="n">
        <v>1</v>
      </c>
      <c r="I2008" s="4" t="s">
        <v>1327</v>
      </c>
      <c r="J2008" s="4" t="s">
        <v>51</v>
      </c>
      <c r="K2008" s="4" t="s">
        <v>4034</v>
      </c>
      <c r="L2008" s="48" t="str">
        <f aca="false">HYPERLINK("https://letterboxd.com/search/films/The+Seed+of+the+Sacred+Fig+2024/","open")</f>
        <v>open</v>
      </c>
      <c r="M2008" s="4" t="str">
        <f aca="false">LOWER(A2008)&amp;"|"&amp;B2008</f>
        <v>the seed of the sacred fig|2024</v>
      </c>
      <c r="N2008" s="4" t="n">
        <v>0</v>
      </c>
      <c r="O2008" s="4" t="n">
        <v>0</v>
      </c>
      <c r="P2008" s="4" t="n">
        <v>1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</row>
    <row r="2009" customFormat="false" ht="15" hidden="false" customHeight="false" outlineLevel="0" collapsed="false">
      <c r="A2009" s="4" t="s">
        <v>1218</v>
      </c>
      <c r="B2009" s="4" t="n">
        <v>2014</v>
      </c>
      <c r="C2009" s="4" t="str">
        <f aca="false">FLOOR(B2009,10)&amp;"s"</f>
        <v>2010s</v>
      </c>
      <c r="D2009" s="4" t="s">
        <v>1219</v>
      </c>
      <c r="E2009" s="25" t="str">
        <f aca="false">IF(G2009=1,"✓","")</f>
        <v/>
      </c>
      <c r="F2009" s="4" t="n">
        <v>2</v>
      </c>
      <c r="G2009" s="4" t="n">
        <f aca="false">IF(COUNTIF('Letterboxd Watched'!$E$2:$E$3000,M2009)&gt;0,1,0)</f>
        <v>0</v>
      </c>
      <c r="H2009" s="4" t="n">
        <v>4</v>
      </c>
      <c r="I2009" s="4" t="s">
        <v>213</v>
      </c>
      <c r="J2009" s="4" t="s">
        <v>54</v>
      </c>
      <c r="K2009" s="4" t="s">
        <v>5778</v>
      </c>
      <c r="L2009" s="48" t="str">
        <f aca="false">HYPERLINK("https://boxd.it/8jak","open")</f>
        <v>open</v>
      </c>
      <c r="M2009" s="4" t="str">
        <f aca="false">LOWER(A2009)&amp;"|"&amp;B2009</f>
        <v>selma|2014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1</v>
      </c>
      <c r="T2009" s="4" t="n">
        <v>1</v>
      </c>
      <c r="U2009" s="4" t="n">
        <v>0</v>
      </c>
      <c r="V2009" s="4" t="n">
        <v>0</v>
      </c>
      <c r="W2009" s="4" t="n">
        <v>0</v>
      </c>
    </row>
    <row r="2010" customFormat="false" ht="15" hidden="false" customHeight="false" outlineLevel="0" collapsed="false">
      <c r="A2010" s="4" t="s">
        <v>3793</v>
      </c>
      <c r="B2010" s="4" t="n">
        <v>2010</v>
      </c>
      <c r="C2010" s="4" t="str">
        <f aca="false">FLOOR(B2010,10)&amp;"s"</f>
        <v>2010s</v>
      </c>
      <c r="D2010" s="4" t="s">
        <v>3079</v>
      </c>
      <c r="E2010" s="25" t="str">
        <f aca="false">IF(G2010=1,"✓","")</f>
        <v/>
      </c>
      <c r="F2010" s="4" t="n">
        <v>1</v>
      </c>
      <c r="G2010" s="4" t="n">
        <f aca="false">IF(COUNTIF('Letterboxd Watched'!$E$2:$E$3000,M2010)&gt;0,1,0)</f>
        <v>0</v>
      </c>
      <c r="H2010" s="4" t="n">
        <v>1</v>
      </c>
      <c r="I2010" s="4" t="s">
        <v>1327</v>
      </c>
      <c r="J2010" s="4" t="s">
        <v>55</v>
      </c>
      <c r="K2010" s="4" t="s">
        <v>4364</v>
      </c>
      <c r="L2010" s="48" t="str">
        <f aca="false">HYPERLINK("https://boxd.it/kfE","open")</f>
        <v>open</v>
      </c>
      <c r="M2010" s="4" t="str">
        <f aca="false">LOWER(A2010)&amp;"|"&amp;B2010</f>
        <v>senna|2010</v>
      </c>
      <c r="N2010" s="4" t="n">
        <v>0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0</v>
      </c>
      <c r="T2010" s="4" t="n">
        <v>1</v>
      </c>
      <c r="U2010" s="4" t="n">
        <v>0</v>
      </c>
      <c r="V2010" s="4" t="n">
        <v>0</v>
      </c>
      <c r="W2010" s="4" t="n">
        <v>0</v>
      </c>
    </row>
    <row r="2011" customFormat="false" ht="15" hidden="false" customHeight="false" outlineLevel="0" collapsed="false">
      <c r="A2011" s="4" t="s">
        <v>3562</v>
      </c>
      <c r="B2011" s="4" t="n">
        <v>1977</v>
      </c>
      <c r="C2011" s="4" t="str">
        <f aca="false">FLOOR(B2011,10)&amp;"s"</f>
        <v>1970s</v>
      </c>
      <c r="D2011" s="4" t="s">
        <v>3563</v>
      </c>
      <c r="E2011" s="25" t="str">
        <f aca="false">IF(G2011=1,"✓","")</f>
        <v/>
      </c>
      <c r="F2011" s="4" t="n">
        <v>1</v>
      </c>
      <c r="G2011" s="4" t="n">
        <f aca="false">IF(COUNTIF('Letterboxd Watched'!$E$2:$E$3000,M2011)&gt;0,1,0)</f>
        <v>0</v>
      </c>
      <c r="H2011" s="4" t="n">
        <v>1</v>
      </c>
      <c r="I2011" s="4" t="s">
        <v>1327</v>
      </c>
      <c r="J2011" s="4" t="s">
        <v>52</v>
      </c>
      <c r="K2011" s="4" t="s">
        <v>4066</v>
      </c>
      <c r="L2011" s="48" t="str">
        <f aca="false">HYPERLINK("https://boxd.it/1HoG","open")</f>
        <v>open</v>
      </c>
      <c r="M2011" s="4" t="str">
        <f aca="false">LOWER(A2011)&amp;"|"&amp;B2011</f>
        <v>the sentinel|1977</v>
      </c>
      <c r="N2011" s="4" t="n">
        <v>0</v>
      </c>
      <c r="O2011" s="4" t="n">
        <v>0</v>
      </c>
      <c r="P2011" s="4" t="n">
        <v>0</v>
      </c>
      <c r="Q2011" s="4" t="n">
        <v>1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</row>
    <row r="2012" customFormat="false" ht="15" hidden="false" customHeight="false" outlineLevel="0" collapsed="false">
      <c r="A2012" s="4" t="s">
        <v>518</v>
      </c>
      <c r="B2012" s="4" t="n">
        <v>2011</v>
      </c>
      <c r="C2012" s="4" t="str">
        <f aca="false">FLOOR(B2012,10)&amp;"s"</f>
        <v>2010s</v>
      </c>
      <c r="D2012" s="4" t="s">
        <v>519</v>
      </c>
      <c r="E2012" s="25" t="str">
        <f aca="false">IF(G2012=1,"✓","")</f>
        <v/>
      </c>
      <c r="F2012" s="4" t="n">
        <v>3</v>
      </c>
      <c r="G2012" s="4" t="n">
        <f aca="false">IF(COUNTIF('Letterboxd Watched'!$E$2:$E$3000,M2012)&gt;0,1,0)</f>
        <v>0</v>
      </c>
      <c r="H2012" s="4" t="n">
        <v>7</v>
      </c>
      <c r="I2012" s="4" t="s">
        <v>144</v>
      </c>
      <c r="J2012" s="4" t="s">
        <v>50</v>
      </c>
      <c r="K2012" s="4" t="s">
        <v>5779</v>
      </c>
      <c r="L2012" s="48" t="str">
        <f aca="false">HYPERLINK("https://boxd.it/gvo","open")</f>
        <v>open</v>
      </c>
      <c r="M2012" s="4" t="str">
        <f aca="false">LOWER(A2012)&amp;"|"&amp;B2012</f>
        <v>a separation|2011</v>
      </c>
      <c r="N2012" s="4" t="n">
        <v>0</v>
      </c>
      <c r="O2012" s="4" t="n">
        <v>1</v>
      </c>
      <c r="P2012" s="4" t="n">
        <v>1</v>
      </c>
      <c r="Q2012" s="4" t="n">
        <v>0</v>
      </c>
      <c r="R2012" s="4" t="n">
        <v>0</v>
      </c>
      <c r="S2012" s="4" t="n">
        <v>0</v>
      </c>
      <c r="T2012" s="4" t="n">
        <v>1</v>
      </c>
      <c r="U2012" s="4" t="n">
        <v>0</v>
      </c>
      <c r="V2012" s="4" t="n">
        <v>0</v>
      </c>
      <c r="W2012" s="4" t="n">
        <v>0</v>
      </c>
    </row>
    <row r="2013" customFormat="false" ht="15" hidden="false" customHeight="false" outlineLevel="0" collapsed="false">
      <c r="A2013" s="4" t="s">
        <v>1195</v>
      </c>
      <c r="B2013" s="4" t="n">
        <v>2009</v>
      </c>
      <c r="C2013" s="4" t="str">
        <f aca="false">FLOOR(B2013,10)&amp;"s"</f>
        <v>2000s</v>
      </c>
      <c r="D2013" s="4" t="s">
        <v>323</v>
      </c>
      <c r="E2013" s="25" t="str">
        <f aca="false">IF(G2013=1,"✓","")</f>
        <v/>
      </c>
      <c r="F2013" s="4" t="n">
        <v>2</v>
      </c>
      <c r="G2013" s="4" t="n">
        <f aca="false">IF(COUNTIF('Letterboxd Watched'!$E$2:$E$3000,M2013)&gt;0,1,0)</f>
        <v>0</v>
      </c>
      <c r="H2013" s="4" t="n">
        <v>4</v>
      </c>
      <c r="I2013" s="4" t="s">
        <v>213</v>
      </c>
      <c r="J2013" s="4" t="s">
        <v>53</v>
      </c>
      <c r="K2013" s="4" t="s">
        <v>5780</v>
      </c>
      <c r="L2013" s="48" t="str">
        <f aca="false">HYPERLINK("https://boxd.it/1RFW","open")</f>
        <v>open</v>
      </c>
      <c r="M2013" s="4" t="str">
        <f aca="false">LOWER(A2013)&amp;"|"&amp;B2013</f>
        <v>a serious man|2009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1</v>
      </c>
      <c r="S2013" s="4" t="n">
        <v>0</v>
      </c>
      <c r="T2013" s="4" t="n">
        <v>1</v>
      </c>
      <c r="U2013" s="4" t="n">
        <v>0</v>
      </c>
      <c r="V2013" s="4" t="n">
        <v>0</v>
      </c>
      <c r="W2013" s="4" t="n">
        <v>0</v>
      </c>
    </row>
    <row r="2014" customFormat="false" ht="15" hidden="false" customHeight="false" outlineLevel="0" collapsed="false">
      <c r="A2014" s="4" t="s">
        <v>795</v>
      </c>
      <c r="B2014" s="4" t="n">
        <v>1973</v>
      </c>
      <c r="C2014" s="4" t="str">
        <f aca="false">FLOOR(B2014,10)&amp;"s"</f>
        <v>1970s</v>
      </c>
      <c r="D2014" s="4" t="s">
        <v>189</v>
      </c>
      <c r="E2014" s="25" t="str">
        <f aca="false">IF(G2014=1,"✓","")</f>
        <v/>
      </c>
      <c r="F2014" s="4" t="n">
        <v>2</v>
      </c>
      <c r="G2014" s="4" t="n">
        <f aca="false">IF(COUNTIF('Letterboxd Watched'!$E$2:$E$3000,M2014)&gt;0,1,0)</f>
        <v>0</v>
      </c>
      <c r="H2014" s="4" t="n">
        <v>5</v>
      </c>
      <c r="I2014" s="4" t="s">
        <v>144</v>
      </c>
      <c r="J2014" s="4" t="s">
        <v>52</v>
      </c>
      <c r="K2014" s="4" t="s">
        <v>5718</v>
      </c>
      <c r="L2014" s="48" t="str">
        <f aca="false">HYPERLINK("https://boxd.it/1ZjE","open")</f>
        <v>open</v>
      </c>
      <c r="M2014" s="4" t="str">
        <f aca="false">LOWER(A2014)&amp;"|"&amp;B2014</f>
        <v>serpico|1973</v>
      </c>
      <c r="N2014" s="4" t="n">
        <v>0</v>
      </c>
      <c r="O2014" s="4" t="n">
        <v>0</v>
      </c>
      <c r="P2014" s="4" t="n">
        <v>0</v>
      </c>
      <c r="Q2014" s="4" t="n">
        <v>1</v>
      </c>
      <c r="R2014" s="4" t="n">
        <v>1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</row>
    <row r="2015" customFormat="false" ht="15" hidden="false" customHeight="false" outlineLevel="0" collapsed="false">
      <c r="A2015" s="4" t="s">
        <v>2022</v>
      </c>
      <c r="B2015" s="4" t="n">
        <v>1963</v>
      </c>
      <c r="C2015" s="4" t="str">
        <f aca="false">FLOOR(B2015,10)&amp;"s"</f>
        <v>1960s</v>
      </c>
      <c r="D2015" s="4" t="s">
        <v>2023</v>
      </c>
      <c r="E2015" s="25" t="str">
        <f aca="false">IF(G2015=1,"✓","")</f>
        <v/>
      </c>
      <c r="F2015" s="4" t="n">
        <v>1</v>
      </c>
      <c r="G2015" s="4" t="n">
        <f aca="false">IF(COUNTIF('Letterboxd Watched'!$E$2:$E$3000,M2015)&gt;0,1,0)</f>
        <v>0</v>
      </c>
      <c r="H2015" s="4" t="n">
        <v>2</v>
      </c>
      <c r="I2015" s="4" t="s">
        <v>213</v>
      </c>
      <c r="J2015" s="4" t="s">
        <v>51</v>
      </c>
      <c r="K2015" s="4" t="s">
        <v>3984</v>
      </c>
      <c r="L2015" s="48" t="str">
        <f aca="false">HYPERLINK("https://boxd.it/VAa","open")</f>
        <v>open</v>
      </c>
      <c r="M2015" s="4" t="str">
        <f aca="false">LOWER(A2015)&amp;"|"&amp;B2015</f>
        <v>the servant|1963</v>
      </c>
      <c r="N2015" s="4" t="n">
        <v>0</v>
      </c>
      <c r="O2015" s="4" t="n">
        <v>0</v>
      </c>
      <c r="P2015" s="4" t="n">
        <v>1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</row>
    <row r="2016" customFormat="false" ht="15" hidden="false" customHeight="false" outlineLevel="0" collapsed="false">
      <c r="A2016" s="4" t="s">
        <v>2659</v>
      </c>
      <c r="B2016" s="4" t="n">
        <v>1996</v>
      </c>
      <c r="C2016" s="4" t="str">
        <f aca="false">FLOOR(B2016,10)&amp;"s"</f>
        <v>1990s</v>
      </c>
      <c r="D2016" s="4" t="s">
        <v>1287</v>
      </c>
      <c r="E2016" s="25" t="str">
        <f aca="false">IF(G2016=1,"✓","")</f>
        <v/>
      </c>
      <c r="F2016" s="4" t="n">
        <v>1</v>
      </c>
      <c r="G2016" s="4" t="n">
        <f aca="false">IF(COUNTIF('Letterboxd Watched'!$E$2:$E$3000,M2016)&gt;0,1,0)</f>
        <v>0</v>
      </c>
      <c r="H2016" s="4" t="n">
        <v>2</v>
      </c>
      <c r="I2016" s="4" t="s">
        <v>213</v>
      </c>
      <c r="J2016" s="4" t="s">
        <v>56</v>
      </c>
      <c r="K2016" s="4" t="s">
        <v>4394</v>
      </c>
      <c r="L2016" s="48" t="str">
        <f aca="false">HYPERLINK("https://boxd.it/1YMg","open")</f>
        <v>open</v>
      </c>
      <c r="M2016" s="4" t="str">
        <f aca="false">LOWER(A2016)&amp;"|"&amp;B2016</f>
        <v>set it off|1996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0</v>
      </c>
      <c r="S2016" s="4" t="n">
        <v>0</v>
      </c>
      <c r="T2016" s="4" t="n">
        <v>0</v>
      </c>
      <c r="U2016" s="4" t="n">
        <v>1</v>
      </c>
      <c r="V2016" s="4" t="n">
        <v>0</v>
      </c>
      <c r="W2016" s="4" t="n">
        <v>0</v>
      </c>
    </row>
    <row r="2017" customFormat="false" ht="15" hidden="false" customHeight="false" outlineLevel="0" collapsed="false">
      <c r="A2017" s="4" t="s">
        <v>1874</v>
      </c>
      <c r="B2017" s="4" t="n">
        <v>1949</v>
      </c>
      <c r="C2017" s="4" t="str">
        <f aca="false">FLOOR(B2017,10)&amp;"s"</f>
        <v>1940s</v>
      </c>
      <c r="D2017" s="4" t="s">
        <v>789</v>
      </c>
      <c r="E2017" s="25" t="str">
        <f aca="false">IF(G2017=1,"✓","")</f>
        <v/>
      </c>
      <c r="F2017" s="4" t="n">
        <v>1</v>
      </c>
      <c r="G2017" s="4" t="n">
        <f aca="false">IF(COUNTIF('Letterboxd Watched'!$E$2:$E$3000,M2017)&gt;0,1,0)</f>
        <v>0</v>
      </c>
      <c r="H2017" s="4" t="n">
        <v>2</v>
      </c>
      <c r="I2017" s="4" t="s">
        <v>213</v>
      </c>
      <c r="J2017" s="4" t="s">
        <v>56</v>
      </c>
      <c r="K2017" s="4" t="s">
        <v>4376</v>
      </c>
      <c r="L2017" s="48" t="str">
        <f aca="false">HYPERLINK("https://boxd.it/1IYA","open")</f>
        <v>open</v>
      </c>
      <c r="M2017" s="4" t="str">
        <f aca="false">LOWER(A2017)&amp;"|"&amp;B2017</f>
        <v>the set-up|1949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1</v>
      </c>
      <c r="V2017" s="4" t="n">
        <v>0</v>
      </c>
      <c r="W2017" s="4" t="n">
        <v>0</v>
      </c>
    </row>
    <row r="2018" customFormat="false" ht="15" hidden="false" customHeight="false" outlineLevel="0" collapsed="false">
      <c r="A2018" s="4" t="s">
        <v>3545</v>
      </c>
      <c r="B2018" s="4" t="n">
        <v>1975</v>
      </c>
      <c r="C2018" s="4" t="str">
        <f aca="false">FLOOR(B2018,10)&amp;"s"</f>
        <v>1970s</v>
      </c>
      <c r="D2018" s="4" t="s">
        <v>3546</v>
      </c>
      <c r="E2018" s="25" t="str">
        <f aca="false">IF(G2018=1,"✓","")</f>
        <v/>
      </c>
      <c r="F2018" s="4" t="n">
        <v>1</v>
      </c>
      <c r="G2018" s="4" t="n">
        <f aca="false">IF(COUNTIF('Letterboxd Watched'!$E$2:$E$3000,M2018)&gt;0,1,0)</f>
        <v>0</v>
      </c>
      <c r="H2018" s="4" t="n">
        <v>1</v>
      </c>
      <c r="I2018" s="4" t="s">
        <v>1327</v>
      </c>
      <c r="J2018" s="4" t="s">
        <v>54</v>
      </c>
      <c r="K2018" s="4" t="s">
        <v>4280</v>
      </c>
      <c r="L2018" s="48" t="str">
        <f aca="false">HYPERLINK("https://boxd.it/185a","open")</f>
        <v>open</v>
      </c>
      <c r="M2018" s="4" t="str">
        <f aca="false">LOWER(A2018)&amp;"|"&amp;B2018</f>
        <v>seven beauties|1975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1</v>
      </c>
      <c r="T2018" s="4" t="n">
        <v>0</v>
      </c>
      <c r="U2018" s="4" t="n">
        <v>0</v>
      </c>
      <c r="V2018" s="4" t="n">
        <v>0</v>
      </c>
      <c r="W2018" s="4" t="n">
        <v>0</v>
      </c>
    </row>
    <row r="2019" customFormat="false" ht="15" hidden="false" customHeight="false" outlineLevel="0" collapsed="false">
      <c r="A2019" s="4" t="s">
        <v>3290</v>
      </c>
      <c r="B2019" s="4" t="n">
        <v>1925</v>
      </c>
      <c r="C2019" s="4" t="str">
        <f aca="false">FLOOR(B2019,10)&amp;"s"</f>
        <v>1920s</v>
      </c>
      <c r="D2019" s="4" t="s">
        <v>333</v>
      </c>
      <c r="E2019" s="25" t="str">
        <f aca="false">IF(G2019=1,"✓","")</f>
        <v/>
      </c>
      <c r="F2019" s="4" t="n">
        <v>1</v>
      </c>
      <c r="G2019" s="4" t="n">
        <f aca="false">IF(COUNTIF('Letterboxd Watched'!$E$2:$E$3000,M2019)&gt;0,1,0)</f>
        <v>0</v>
      </c>
      <c r="H2019" s="4" t="n">
        <v>1</v>
      </c>
      <c r="I2019" s="4" t="s">
        <v>1327</v>
      </c>
      <c r="J2019" s="4" t="s">
        <v>50</v>
      </c>
      <c r="K2019" s="4" t="s">
        <v>3896</v>
      </c>
      <c r="L2019" s="48" t="str">
        <f aca="false">HYPERLINK("https://boxd.it/1gRG","open")</f>
        <v>open</v>
      </c>
      <c r="M2019" s="4" t="str">
        <f aca="false">LOWER(A2019)&amp;"|"&amp;B2019</f>
        <v>seven chances|1925</v>
      </c>
      <c r="N2019" s="4" t="n">
        <v>0</v>
      </c>
      <c r="O2019" s="4" t="n">
        <v>1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</row>
    <row r="2020" customFormat="false" ht="15" hidden="false" customHeight="false" outlineLevel="0" collapsed="false">
      <c r="A2020" s="4" t="s">
        <v>3426</v>
      </c>
      <c r="B2020" s="4" t="n">
        <v>1964</v>
      </c>
      <c r="C2020" s="4" t="str">
        <f aca="false">FLOOR(B2020,10)&amp;"s"</f>
        <v>1960s</v>
      </c>
      <c r="D2020" s="4" t="s">
        <v>965</v>
      </c>
      <c r="E2020" s="25" t="str">
        <f aca="false">IF(G2020=1,"✓","")</f>
        <v/>
      </c>
      <c r="F2020" s="4" t="n">
        <v>1</v>
      </c>
      <c r="G2020" s="4" t="n">
        <f aca="false">IF(COUNTIF('Letterboxd Watched'!$E$2:$E$3000,M2020)&gt;0,1,0)</f>
        <v>0</v>
      </c>
      <c r="H2020" s="4" t="n">
        <v>1</v>
      </c>
      <c r="I2020" s="4" t="s">
        <v>1327</v>
      </c>
      <c r="J2020" s="4" t="s">
        <v>55</v>
      </c>
      <c r="K2020" s="4" t="s">
        <v>4318</v>
      </c>
      <c r="L2020" s="48" t="str">
        <f aca="false">HYPERLINK("https://boxd.it/1z7C","open")</f>
        <v>open</v>
      </c>
      <c r="M2020" s="4" t="str">
        <f aca="false">LOWER(A2020)&amp;"|"&amp;B2020</f>
        <v>seven days in may|1964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0</v>
      </c>
      <c r="T2020" s="4" t="n">
        <v>1</v>
      </c>
      <c r="U2020" s="4" t="n">
        <v>0</v>
      </c>
      <c r="V2020" s="4" t="n">
        <v>0</v>
      </c>
      <c r="W2020" s="4" t="n">
        <v>0</v>
      </c>
    </row>
    <row r="2021" customFormat="false" ht="15" hidden="false" customHeight="false" outlineLevel="0" collapsed="false">
      <c r="A2021" s="4" t="s">
        <v>1931</v>
      </c>
      <c r="B2021" s="4" t="n">
        <v>1956</v>
      </c>
      <c r="C2021" s="4" t="str">
        <f aca="false">FLOOR(B2021,10)&amp;"s"</f>
        <v>1950s</v>
      </c>
      <c r="D2021" s="4" t="s">
        <v>1451</v>
      </c>
      <c r="E2021" s="25" t="str">
        <f aca="false">IF(G2021=1,"✓","")</f>
        <v/>
      </c>
      <c r="F2021" s="4" t="n">
        <v>1</v>
      </c>
      <c r="G2021" s="4" t="n">
        <f aca="false">IF(COUNTIF('Letterboxd Watched'!$E$2:$E$3000,M2021)&gt;0,1,0)</f>
        <v>0</v>
      </c>
      <c r="H2021" s="4" t="n">
        <v>2</v>
      </c>
      <c r="I2021" s="4" t="s">
        <v>213</v>
      </c>
      <c r="J2021" s="4" t="s">
        <v>52</v>
      </c>
      <c r="K2021" s="4" t="s">
        <v>4050</v>
      </c>
      <c r="L2021" s="48" t="str">
        <f aca="false">HYPERLINK("https://letterboxd.com/search/films/Seven+Men+from+Now+1956/","open")</f>
        <v>open</v>
      </c>
      <c r="M2021" s="4" t="str">
        <f aca="false">LOWER(A2021)&amp;"|"&amp;B2021</f>
        <v>seven men from now|1956</v>
      </c>
      <c r="N2021" s="4" t="n">
        <v>0</v>
      </c>
      <c r="O2021" s="4" t="n">
        <v>0</v>
      </c>
      <c r="P2021" s="4" t="n">
        <v>0</v>
      </c>
      <c r="Q2021" s="4" t="n">
        <v>1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</row>
    <row r="2022" customFormat="false" ht="15" hidden="false" customHeight="false" outlineLevel="0" collapsed="false">
      <c r="A2022" s="4" t="s">
        <v>155</v>
      </c>
      <c r="B2022" s="4" t="n">
        <v>1954</v>
      </c>
      <c r="C2022" s="4" t="str">
        <f aca="false">FLOOR(B2022,10)&amp;"s"</f>
        <v>1950s</v>
      </c>
      <c r="D2022" s="4" t="s">
        <v>156</v>
      </c>
      <c r="E2022" s="25" t="str">
        <f aca="false">IF(G2022=1,"✓","")</f>
        <v/>
      </c>
      <c r="F2022" s="4" t="n">
        <v>8</v>
      </c>
      <c r="G2022" s="4" t="n">
        <f aca="false">IF(COUNTIF('Letterboxd Watched'!$E$2:$E$3000,M2022)&gt;0,1,0)</f>
        <v>0</v>
      </c>
      <c r="H2022" s="4" t="n">
        <v>20</v>
      </c>
      <c r="I2022" s="4" t="s">
        <v>144</v>
      </c>
      <c r="J2022" s="4" t="s">
        <v>50</v>
      </c>
      <c r="K2022" s="4" t="s">
        <v>5781</v>
      </c>
      <c r="L2022" s="48" t="str">
        <f aca="false">HYPERLINK("https://boxd.it/2axi","open")</f>
        <v>open</v>
      </c>
      <c r="M2022" s="4" t="str">
        <f aca="false">LOWER(A2022)&amp;"|"&amp;B2022</f>
        <v>seven samurai|1954</v>
      </c>
      <c r="N2022" s="4" t="n">
        <v>0</v>
      </c>
      <c r="O2022" s="4" t="n">
        <v>1</v>
      </c>
      <c r="P2022" s="4" t="n">
        <v>1</v>
      </c>
      <c r="Q2022" s="4" t="n">
        <v>0</v>
      </c>
      <c r="R2022" s="4" t="n">
        <v>1</v>
      </c>
      <c r="S2022" s="4" t="n">
        <v>0</v>
      </c>
      <c r="T2022" s="4" t="n">
        <v>0</v>
      </c>
      <c r="U2022" s="4" t="n">
        <v>1</v>
      </c>
      <c r="V2022" s="4" t="n">
        <v>1</v>
      </c>
      <c r="W2022" s="4" t="n">
        <v>0</v>
      </c>
    </row>
    <row r="2023" customFormat="false" ht="15" hidden="false" customHeight="false" outlineLevel="0" collapsed="false">
      <c r="A2023" s="4" t="s">
        <v>1466</v>
      </c>
      <c r="B2023" s="4" t="n">
        <v>1964</v>
      </c>
      <c r="C2023" s="4" t="str">
        <f aca="false">FLOOR(B2023,10)&amp;"s"</f>
        <v>1960s</v>
      </c>
      <c r="D2023" s="4" t="s">
        <v>1467</v>
      </c>
      <c r="E2023" s="25" t="str">
        <f aca="false">IF(G2023=1,"✓","")</f>
        <v/>
      </c>
      <c r="F2023" s="4" t="n">
        <v>1</v>
      </c>
      <c r="G2023" s="4" t="n">
        <f aca="false">IF(COUNTIF('Letterboxd Watched'!$E$2:$E$3000,M2023)&gt;0,1,0)</f>
        <v>0</v>
      </c>
      <c r="H2023" s="4" t="n">
        <v>3</v>
      </c>
      <c r="I2023" s="4" t="s">
        <v>144</v>
      </c>
      <c r="J2023" s="4" t="s">
        <v>56</v>
      </c>
      <c r="K2023" s="4" t="s">
        <v>4382</v>
      </c>
      <c r="L2023" s="48" t="str">
        <f aca="false">HYPERLINK("https://boxd.it/AnE","open")</f>
        <v>open</v>
      </c>
      <c r="M2023" s="4" t="str">
        <f aca="false">LOWER(A2023)&amp;"|"&amp;B2023</f>
        <v>seven up!|1964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1</v>
      </c>
      <c r="V2023" s="4" t="n">
        <v>0</v>
      </c>
      <c r="W2023" s="4" t="n">
        <v>0</v>
      </c>
    </row>
    <row r="2024" customFormat="false" ht="15" hidden="false" customHeight="false" outlineLevel="0" collapsed="false">
      <c r="A2024" s="4" t="s">
        <v>2224</v>
      </c>
      <c r="B2024" s="4" t="n">
        <v>1973</v>
      </c>
      <c r="C2024" s="4" t="str">
        <f aca="false">FLOOR(B2024,10)&amp;"s"</f>
        <v>1970s</v>
      </c>
      <c r="D2024" s="4" t="s">
        <v>2225</v>
      </c>
      <c r="E2024" s="25" t="str">
        <f aca="false">IF(G2024=1,"✓","")</f>
        <v/>
      </c>
      <c r="F2024" s="4" t="n">
        <v>1</v>
      </c>
      <c r="G2024" s="4" t="n">
        <f aca="false">IF(COUNTIF('Letterboxd Watched'!$E$2:$E$3000,M2024)&gt;0,1,0)</f>
        <v>0</v>
      </c>
      <c r="H2024" s="4" t="n">
        <v>2</v>
      </c>
      <c r="I2024" s="4" t="s">
        <v>213</v>
      </c>
      <c r="J2024" s="4" t="s">
        <v>52</v>
      </c>
      <c r="K2024" s="4" t="s">
        <v>4120</v>
      </c>
      <c r="L2024" s="48" t="str">
        <f aca="false">HYPERLINK("https://letterboxd.com/search/films/The+SevenUps+1973/","open")</f>
        <v>open</v>
      </c>
      <c r="M2024" s="4" t="str">
        <f aca="false">LOWER(A2024)&amp;"|"&amp;B2024</f>
        <v>the seven-ups|1973</v>
      </c>
      <c r="N2024" s="4" t="n">
        <v>0</v>
      </c>
      <c r="O2024" s="4" t="n">
        <v>0</v>
      </c>
      <c r="P2024" s="4" t="n">
        <v>0</v>
      </c>
      <c r="Q2024" s="4" t="n">
        <v>1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</row>
    <row r="2025" customFormat="false" ht="15" hidden="false" customHeight="false" outlineLevel="0" collapsed="false">
      <c r="A2025" s="4" t="s">
        <v>1092</v>
      </c>
      <c r="B2025" s="4" t="n">
        <v>1989</v>
      </c>
      <c r="C2025" s="4" t="str">
        <f aca="false">FLOOR(B2025,10)&amp;"s"</f>
        <v>1980s</v>
      </c>
      <c r="D2025" s="4" t="s">
        <v>516</v>
      </c>
      <c r="E2025" s="25" t="str">
        <f aca="false">IF(G2025=1,"✓","")</f>
        <v/>
      </c>
      <c r="F2025" s="4" t="n">
        <v>2</v>
      </c>
      <c r="G2025" s="4" t="n">
        <f aca="false">IF(COUNTIF('Letterboxd Watched'!$E$2:$E$3000,M2025)&gt;0,1,0)</f>
        <v>0</v>
      </c>
      <c r="H2025" s="4" t="n">
        <v>4</v>
      </c>
      <c r="I2025" s="4" t="s">
        <v>213</v>
      </c>
      <c r="J2025" s="4" t="s">
        <v>51</v>
      </c>
      <c r="K2025" s="4" t="s">
        <v>5423</v>
      </c>
      <c r="L2025" s="48" t="str">
        <f aca="false">HYPERLINK("https://boxd.it/1gB4","open")</f>
        <v>open</v>
      </c>
      <c r="M2025" s="4" t="str">
        <f aca="false">LOWER(A2025)&amp;"|"&amp;B2025</f>
        <v>the seventh continent|1989</v>
      </c>
      <c r="N2025" s="4" t="n">
        <v>0</v>
      </c>
      <c r="O2025" s="4" t="n">
        <v>0</v>
      </c>
      <c r="P2025" s="4" t="n">
        <v>1</v>
      </c>
      <c r="Q2025" s="4" t="n">
        <v>0</v>
      </c>
      <c r="R2025" s="4" t="n">
        <v>1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</row>
    <row r="2026" customFormat="false" ht="15" hidden="false" customHeight="false" outlineLevel="0" collapsed="false">
      <c r="A2026" s="4" t="s">
        <v>198</v>
      </c>
      <c r="B2026" s="4" t="n">
        <v>1957</v>
      </c>
      <c r="C2026" s="4" t="str">
        <f aca="false">FLOOR(B2026,10)&amp;"s"</f>
        <v>1950s</v>
      </c>
      <c r="D2026" s="4" t="s">
        <v>170</v>
      </c>
      <c r="E2026" s="25" t="str">
        <f aca="false">IF(G2026=1,"✓","")</f>
        <v>✓</v>
      </c>
      <c r="F2026" s="4" t="n">
        <v>6</v>
      </c>
      <c r="G2026" s="4" t="n">
        <f aca="false">IF(COUNTIF('Letterboxd Watched'!$E$2:$E$3000,M2026)&gt;0,1,0)</f>
        <v>1</v>
      </c>
      <c r="H2026" s="4" t="n">
        <v>15</v>
      </c>
      <c r="I2026" s="4" t="s">
        <v>144</v>
      </c>
      <c r="J2026" s="4" t="s">
        <v>50</v>
      </c>
      <c r="K2026" s="4" t="s">
        <v>5782</v>
      </c>
      <c r="L2026" s="48" t="str">
        <f aca="false">HYPERLINK("https://boxd.it/2ahO","open")</f>
        <v>open</v>
      </c>
      <c r="M2026" s="4" t="str">
        <f aca="false">LOWER(A2026)&amp;"|"&amp;B2026</f>
        <v>the seventh seal|1957</v>
      </c>
      <c r="N2026" s="4" t="n">
        <v>0</v>
      </c>
      <c r="O2026" s="4" t="n">
        <v>1</v>
      </c>
      <c r="P2026" s="4" t="n">
        <v>1</v>
      </c>
      <c r="Q2026" s="4" t="n">
        <v>0</v>
      </c>
      <c r="R2026" s="4" t="n">
        <v>1</v>
      </c>
      <c r="S2026" s="4" t="n">
        <v>0</v>
      </c>
      <c r="T2026" s="4" t="n">
        <v>1</v>
      </c>
      <c r="U2026" s="4" t="n">
        <v>0</v>
      </c>
      <c r="V2026" s="4" t="n">
        <v>1</v>
      </c>
      <c r="W2026" s="4" t="n">
        <v>0</v>
      </c>
    </row>
    <row r="2027" customFormat="false" ht="15" hidden="false" customHeight="false" outlineLevel="0" collapsed="false">
      <c r="A2027" s="4" t="s">
        <v>1806</v>
      </c>
      <c r="B2027" s="4" t="n">
        <v>1943</v>
      </c>
      <c r="C2027" s="4" t="str">
        <f aca="false">FLOOR(B2027,10)&amp;"s"</f>
        <v>1940s</v>
      </c>
      <c r="D2027" s="4" t="s">
        <v>1807</v>
      </c>
      <c r="E2027" s="25" t="str">
        <f aca="false">IF(G2027=1,"✓","")</f>
        <v/>
      </c>
      <c r="F2027" s="4" t="n">
        <v>1</v>
      </c>
      <c r="G2027" s="4" t="n">
        <f aca="false">IF(COUNTIF('Letterboxd Watched'!$E$2:$E$3000,M2027)&gt;0,1,0)</f>
        <v>0</v>
      </c>
      <c r="H2027" s="4" t="n">
        <v>2</v>
      </c>
      <c r="I2027" s="4" t="s">
        <v>213</v>
      </c>
      <c r="J2027" s="4" t="s">
        <v>52</v>
      </c>
      <c r="K2027" s="4" t="s">
        <v>4060</v>
      </c>
      <c r="L2027" s="48" t="str">
        <f aca="false">HYPERLINK("https://boxd.it/1CEY","open")</f>
        <v>open</v>
      </c>
      <c r="M2027" s="4" t="str">
        <f aca="false">LOWER(A2027)&amp;"|"&amp;B2027</f>
        <v>the seventh victim|1943</v>
      </c>
      <c r="N2027" s="4" t="n">
        <v>0</v>
      </c>
      <c r="O2027" s="4" t="n">
        <v>0</v>
      </c>
      <c r="P2027" s="4" t="n">
        <v>0</v>
      </c>
      <c r="Q2027" s="4" t="n">
        <v>1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</row>
    <row r="2028" customFormat="false" ht="15" hidden="false" customHeight="false" outlineLevel="0" collapsed="false">
      <c r="A2028" s="4" t="s">
        <v>489</v>
      </c>
      <c r="B2028" s="4" t="n">
        <v>1989</v>
      </c>
      <c r="C2028" s="4" t="str">
        <f aca="false">FLOOR(B2028,10)&amp;"s"</f>
        <v>1980s</v>
      </c>
      <c r="D2028" s="4" t="s">
        <v>490</v>
      </c>
      <c r="E2028" s="25" t="str">
        <f aca="false">IF(G2028=1,"✓","")</f>
        <v/>
      </c>
      <c r="F2028" s="4" t="n">
        <v>3</v>
      </c>
      <c r="G2028" s="4" t="n">
        <f aca="false">IF(COUNTIF('Letterboxd Watched'!$E$2:$E$3000,M2028)&gt;0,1,0)</f>
        <v>0</v>
      </c>
      <c r="H2028" s="4" t="n">
        <v>7</v>
      </c>
      <c r="I2028" s="4" t="s">
        <v>144</v>
      </c>
      <c r="J2028" s="4" t="s">
        <v>50</v>
      </c>
      <c r="K2028" s="4" t="s">
        <v>5783</v>
      </c>
      <c r="L2028" s="48" t="str">
        <f aca="false">HYPERLINK("https://boxd.it/28Oc","open")</f>
        <v>open</v>
      </c>
      <c r="M2028" s="4" t="str">
        <f aca="false">LOWER(A2028)&amp;"|"&amp;B2028</f>
        <v>sex, lies, and videotape|1989</v>
      </c>
      <c r="N2028" s="4" t="n">
        <v>0</v>
      </c>
      <c r="O2028" s="4" t="n">
        <v>1</v>
      </c>
      <c r="P2028" s="4" t="n">
        <v>0</v>
      </c>
      <c r="Q2028" s="4" t="n">
        <v>0</v>
      </c>
      <c r="R2028" s="4" t="n">
        <v>1</v>
      </c>
      <c r="S2028" s="4" t="n">
        <v>0</v>
      </c>
      <c r="T2028" s="4" t="n">
        <v>0</v>
      </c>
      <c r="U2028" s="4" t="n">
        <v>1</v>
      </c>
      <c r="V2028" s="4" t="n">
        <v>0</v>
      </c>
      <c r="W2028" s="4" t="n">
        <v>0</v>
      </c>
    </row>
    <row r="2029" customFormat="false" ht="15" hidden="false" customHeight="false" outlineLevel="0" collapsed="false">
      <c r="A2029" s="4" t="s">
        <v>1808</v>
      </c>
      <c r="B2029" s="4" t="n">
        <v>1943</v>
      </c>
      <c r="C2029" s="4" t="str">
        <f aca="false">FLOOR(B2029,10)&amp;"s"</f>
        <v>1940s</v>
      </c>
      <c r="D2029" s="4" t="s">
        <v>162</v>
      </c>
      <c r="E2029" s="25" t="str">
        <f aca="false">IF(G2029=1,"✓","")</f>
        <v/>
      </c>
      <c r="F2029" s="4" t="n">
        <v>1</v>
      </c>
      <c r="G2029" s="4" t="n">
        <f aca="false">IF(COUNTIF('Letterboxd Watched'!$E$2:$E$3000,M2029)&gt;0,1,0)</f>
        <v>0</v>
      </c>
      <c r="H2029" s="4" t="n">
        <v>2</v>
      </c>
      <c r="I2029" s="4" t="s">
        <v>213</v>
      </c>
      <c r="J2029" s="4" t="s">
        <v>53</v>
      </c>
      <c r="K2029" s="4" t="s">
        <v>162</v>
      </c>
      <c r="L2029" s="48" t="str">
        <f aca="false">HYPERLINK("https://boxd.it/1BtA","open")</f>
        <v>open</v>
      </c>
      <c r="M2029" s="4" t="str">
        <f aca="false">LOWER(A2029)&amp;"|"&amp;B2029</f>
        <v>shadow of a doubt|1943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1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</row>
    <row r="2030" customFormat="false" ht="15" hidden="false" customHeight="false" outlineLevel="0" collapsed="false">
      <c r="A2030" s="4" t="s">
        <v>895</v>
      </c>
      <c r="B2030" s="4" t="n">
        <v>1958</v>
      </c>
      <c r="C2030" s="4" t="str">
        <f aca="false">FLOOR(B2030,10)&amp;"s"</f>
        <v>1950s</v>
      </c>
      <c r="D2030" s="4" t="s">
        <v>801</v>
      </c>
      <c r="E2030" s="25" t="str">
        <f aca="false">IF(G2030=1,"✓","")</f>
        <v/>
      </c>
      <c r="F2030" s="4" t="n">
        <v>3</v>
      </c>
      <c r="G2030" s="4" t="n">
        <f aca="false">IF(COUNTIF('Letterboxd Watched'!$E$2:$E$3000,M2030)&gt;0,1,0)</f>
        <v>0</v>
      </c>
      <c r="H2030" s="4" t="n">
        <v>4</v>
      </c>
      <c r="I2030" s="4" t="s">
        <v>213</v>
      </c>
      <c r="J2030" s="4" t="s">
        <v>53</v>
      </c>
      <c r="K2030" s="4" t="s">
        <v>5784</v>
      </c>
      <c r="L2030" s="48" t="str">
        <f aca="false">HYPERLINK("https://boxd.it/1M9c","open")</f>
        <v>open</v>
      </c>
      <c r="M2030" s="4" t="str">
        <f aca="false">LOWER(A2030)&amp;"|"&amp;B2030</f>
        <v>shadows|1958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1</v>
      </c>
      <c r="S2030" s="4" t="n">
        <v>0</v>
      </c>
      <c r="T2030" s="4" t="n">
        <v>1</v>
      </c>
      <c r="U2030" s="4" t="n">
        <v>1</v>
      </c>
      <c r="V2030" s="4" t="n">
        <v>0</v>
      </c>
      <c r="W2030" s="4" t="n">
        <v>0</v>
      </c>
    </row>
    <row r="2031" customFormat="false" ht="15" hidden="false" customHeight="false" outlineLevel="0" collapsed="false">
      <c r="A2031" s="4" t="s">
        <v>2438</v>
      </c>
      <c r="B2031" s="4" t="n">
        <v>1986</v>
      </c>
      <c r="C2031" s="4" t="str">
        <f aca="false">FLOOR(B2031,10)&amp;"s"</f>
        <v>1980s</v>
      </c>
      <c r="D2031" s="4" t="s">
        <v>1155</v>
      </c>
      <c r="E2031" s="25" t="str">
        <f aca="false">IF(G2031=1,"✓","")</f>
        <v/>
      </c>
      <c r="F2031" s="4" t="n">
        <v>1</v>
      </c>
      <c r="G2031" s="4" t="n">
        <f aca="false">IF(COUNTIF('Letterboxd Watched'!$E$2:$E$3000,M2031)&gt;0,1,0)</f>
        <v>0</v>
      </c>
      <c r="H2031" s="4" t="n">
        <v>2</v>
      </c>
      <c r="I2031" s="4" t="s">
        <v>213</v>
      </c>
      <c r="J2031" s="4" t="s">
        <v>53</v>
      </c>
      <c r="K2031" s="4" t="s">
        <v>4240</v>
      </c>
      <c r="L2031" s="48" t="str">
        <f aca="false">HYPERLINK("https://boxd.it/73A","open")</f>
        <v>open</v>
      </c>
      <c r="M2031" s="4" t="str">
        <f aca="false">LOWER(A2031)&amp;"|"&amp;B2031</f>
        <v>shadows in paradise|1986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1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</row>
    <row r="2032" customFormat="false" ht="15" hidden="false" customHeight="false" outlineLevel="0" collapsed="false">
      <c r="A2032" s="4" t="s">
        <v>3431</v>
      </c>
      <c r="B2032" s="4" t="n">
        <v>1965</v>
      </c>
      <c r="C2032" s="4" t="str">
        <f aca="false">FLOOR(B2032,10)&amp;"s"</f>
        <v>1960s</v>
      </c>
      <c r="D2032" s="4" t="s">
        <v>1649</v>
      </c>
      <c r="E2032" s="25" t="str">
        <f aca="false">IF(G2032=1,"✓","")</f>
        <v/>
      </c>
      <c r="F2032" s="4" t="n">
        <v>1</v>
      </c>
      <c r="G2032" s="4" t="n">
        <f aca="false">IF(COUNTIF('Letterboxd Watched'!$E$2:$E$3000,M2032)&gt;0,1,0)</f>
        <v>0</v>
      </c>
      <c r="H2032" s="4" t="n">
        <v>1</v>
      </c>
      <c r="I2032" s="4" t="s">
        <v>1327</v>
      </c>
      <c r="J2032" s="4" t="s">
        <v>51</v>
      </c>
      <c r="K2032" s="4" t="s">
        <v>3990</v>
      </c>
      <c r="L2032" s="48" t="str">
        <f aca="false">HYPERLINK("https://boxd.it/1tbS","open")</f>
        <v>open</v>
      </c>
      <c r="M2032" s="4" t="str">
        <f aca="false">LOWER(A2032)&amp;"|"&amp;B2032</f>
        <v>shadows of forgotten ancestors|1965</v>
      </c>
      <c r="N2032" s="4" t="n">
        <v>0</v>
      </c>
      <c r="O2032" s="4" t="n">
        <v>0</v>
      </c>
      <c r="P2032" s="4" t="n">
        <v>1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</row>
    <row r="2033" customFormat="false" ht="15" hidden="false" customHeight="false" outlineLevel="0" collapsed="false">
      <c r="A2033" s="4" t="s">
        <v>1488</v>
      </c>
      <c r="B2033" s="4" t="n">
        <v>1971</v>
      </c>
      <c r="C2033" s="4" t="str">
        <f aca="false">FLOOR(B2033,10)&amp;"s"</f>
        <v>1970s</v>
      </c>
      <c r="D2033" s="4" t="s">
        <v>1489</v>
      </c>
      <c r="E2033" s="25" t="str">
        <f aca="false">IF(G2033=1,"✓","")</f>
        <v/>
      </c>
      <c r="F2033" s="4" t="n">
        <v>1</v>
      </c>
      <c r="G2033" s="4" t="n">
        <f aca="false">IF(COUNTIF('Letterboxd Watched'!$E$2:$E$3000,M2033)&gt;0,1,0)</f>
        <v>0</v>
      </c>
      <c r="H2033" s="4" t="n">
        <v>3</v>
      </c>
      <c r="I2033" s="4" t="s">
        <v>144</v>
      </c>
      <c r="J2033" s="4" t="s">
        <v>54</v>
      </c>
      <c r="K2033" s="4" t="s">
        <v>4288</v>
      </c>
      <c r="L2033" s="48" t="str">
        <f aca="false">HYPERLINK("https://boxd.it/2ais","open")</f>
        <v>open</v>
      </c>
      <c r="M2033" s="4" t="str">
        <f aca="false">LOWER(A2033)&amp;"|"&amp;B2033</f>
        <v>shaft|1971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1</v>
      </c>
      <c r="T2033" s="4" t="n">
        <v>0</v>
      </c>
      <c r="U2033" s="4" t="n">
        <v>0</v>
      </c>
      <c r="V2033" s="4" t="n">
        <v>0</v>
      </c>
      <c r="W2033" s="4" t="n">
        <v>0</v>
      </c>
    </row>
    <row r="2034" customFormat="false" ht="15" hidden="false" customHeight="false" outlineLevel="0" collapsed="false">
      <c r="A2034" s="4" t="s">
        <v>3457</v>
      </c>
      <c r="B2034" s="4" t="n">
        <v>1968</v>
      </c>
      <c r="C2034" s="4" t="str">
        <f aca="false">FLOOR(B2034,10)&amp;"s"</f>
        <v>1960s</v>
      </c>
      <c r="D2034" s="4" t="s">
        <v>170</v>
      </c>
      <c r="E2034" s="25" t="str">
        <f aca="false">IF(G2034=1,"✓","")</f>
        <v/>
      </c>
      <c r="F2034" s="4" t="n">
        <v>1</v>
      </c>
      <c r="G2034" s="4" t="n">
        <f aca="false">IF(COUNTIF('Letterboxd Watched'!$E$2:$E$3000,M2034)&gt;0,1,0)</f>
        <v>0</v>
      </c>
      <c r="H2034" s="4" t="n">
        <v>1</v>
      </c>
      <c r="I2034" s="4" t="s">
        <v>1327</v>
      </c>
      <c r="J2034" s="4" t="s">
        <v>53</v>
      </c>
      <c r="K2034" s="4" t="s">
        <v>170</v>
      </c>
      <c r="L2034" s="48" t="str">
        <f aca="false">HYPERLINK("https://boxd.it/1tZo","open")</f>
        <v>open</v>
      </c>
      <c r="M2034" s="4" t="str">
        <f aca="false">LOWER(A2034)&amp;"|"&amp;B2034</f>
        <v>shame|1968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1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</row>
    <row r="2035" customFormat="false" ht="15" hidden="false" customHeight="false" outlineLevel="0" collapsed="false">
      <c r="A2035" s="4" t="s">
        <v>2267</v>
      </c>
      <c r="B2035" s="4" t="n">
        <v>1975</v>
      </c>
      <c r="C2035" s="4" t="str">
        <f aca="false">FLOOR(B2035,10)&amp;"s"</f>
        <v>1970s</v>
      </c>
      <c r="D2035" s="4" t="s">
        <v>310</v>
      </c>
      <c r="E2035" s="25" t="str">
        <f aca="false">IF(G2035=1,"✓","")</f>
        <v/>
      </c>
      <c r="F2035" s="4" t="n">
        <v>1</v>
      </c>
      <c r="G2035" s="4" t="n">
        <f aca="false">IF(COUNTIF('Letterboxd Watched'!$E$2:$E$3000,M2035)&gt;0,1,0)</f>
        <v>0</v>
      </c>
      <c r="H2035" s="4" t="n">
        <v>2</v>
      </c>
      <c r="I2035" s="4" t="s">
        <v>213</v>
      </c>
      <c r="J2035" s="4" t="s">
        <v>53</v>
      </c>
      <c r="K2035" s="4" t="s">
        <v>4200</v>
      </c>
      <c r="L2035" s="48" t="str">
        <f aca="false">HYPERLINK("https://boxd.it/1jNW","open")</f>
        <v>open</v>
      </c>
      <c r="M2035" s="4" t="str">
        <f aca="false">LOWER(A2035)&amp;"|"&amp;B2035</f>
        <v>shampoo|1975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1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 customFormat="false" ht="15" hidden="false" customHeight="false" outlineLevel="0" collapsed="false">
      <c r="A2036" s="4" t="s">
        <v>941</v>
      </c>
      <c r="B2036" s="4" t="n">
        <v>1953</v>
      </c>
      <c r="C2036" s="4" t="str">
        <f aca="false">FLOOR(B2036,10)&amp;"s"</f>
        <v>1950s</v>
      </c>
      <c r="D2036" s="4" t="s">
        <v>912</v>
      </c>
      <c r="E2036" s="25" t="str">
        <f aca="false">IF(G2036=1,"✓","")</f>
        <v/>
      </c>
      <c r="F2036" s="4" t="n">
        <v>2</v>
      </c>
      <c r="G2036" s="4" t="n">
        <f aca="false">IF(COUNTIF('Letterboxd Watched'!$E$2:$E$3000,M2036)&gt;0,1,0)</f>
        <v>0</v>
      </c>
      <c r="H2036" s="4" t="n">
        <v>4</v>
      </c>
      <c r="I2036" s="4" t="s">
        <v>213</v>
      </c>
      <c r="J2036" s="4" t="s">
        <v>52</v>
      </c>
      <c r="K2036" s="4" t="s">
        <v>5785</v>
      </c>
      <c r="L2036" s="48" t="str">
        <f aca="false">HYPERLINK("https://boxd.it/25Ig","open")</f>
        <v>open</v>
      </c>
      <c r="M2036" s="4" t="str">
        <f aca="false">LOWER(A2036)&amp;"|"&amp;B2036</f>
        <v>shane|1953</v>
      </c>
      <c r="N2036" s="4" t="n">
        <v>0</v>
      </c>
      <c r="O2036" s="4" t="n">
        <v>0</v>
      </c>
      <c r="P2036" s="4" t="n">
        <v>0</v>
      </c>
      <c r="Q2036" s="4" t="n">
        <v>1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1</v>
      </c>
      <c r="W2036" s="4" t="n">
        <v>0</v>
      </c>
    </row>
    <row r="2037" customFormat="false" ht="15" hidden="false" customHeight="false" outlineLevel="0" collapsed="false">
      <c r="A2037" s="4" t="s">
        <v>1797</v>
      </c>
      <c r="B2037" s="4" t="n">
        <v>1941</v>
      </c>
      <c r="C2037" s="4" t="str">
        <f aca="false">FLOOR(B2037,10)&amp;"s"</f>
        <v>1940s</v>
      </c>
      <c r="D2037" s="4" t="s">
        <v>1710</v>
      </c>
      <c r="E2037" s="25" t="str">
        <f aca="false">IF(G2037=1,"✓","")</f>
        <v/>
      </c>
      <c r="F2037" s="4" t="n">
        <v>1</v>
      </c>
      <c r="G2037" s="4" t="n">
        <f aca="false">IF(COUNTIF('Letterboxd Watched'!$E$2:$E$3000,M2037)&gt;0,1,0)</f>
        <v>0</v>
      </c>
      <c r="H2037" s="4" t="n">
        <v>2</v>
      </c>
      <c r="I2037" s="4" t="s">
        <v>213</v>
      </c>
      <c r="J2037" s="4" t="s">
        <v>54</v>
      </c>
      <c r="K2037" s="4" t="s">
        <v>4278</v>
      </c>
      <c r="L2037" s="48" t="str">
        <f aca="false">HYPERLINK("https://letterboxd.com/search/films/The+Shanghai+Gesture+1941/","open")</f>
        <v>open</v>
      </c>
      <c r="M2037" s="4" t="str">
        <f aca="false">LOWER(A2037)&amp;"|"&amp;B2037</f>
        <v>the shanghai gesture|1941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1</v>
      </c>
      <c r="T2037" s="4" t="n">
        <v>0</v>
      </c>
      <c r="U2037" s="4" t="n">
        <v>0</v>
      </c>
      <c r="V2037" s="4" t="n">
        <v>0</v>
      </c>
      <c r="W2037" s="4" t="n">
        <v>0</v>
      </c>
    </row>
    <row r="2038" customFormat="false" ht="15" hidden="false" customHeight="false" outlineLevel="0" collapsed="false">
      <c r="A2038" s="4" t="s">
        <v>3740</v>
      </c>
      <c r="B2038" s="4" t="n">
        <v>2003</v>
      </c>
      <c r="C2038" s="4" t="str">
        <f aca="false">FLOOR(B2038,10)&amp;"s"</f>
        <v>2000s</v>
      </c>
      <c r="D2038" s="4" t="s">
        <v>3741</v>
      </c>
      <c r="E2038" s="25" t="str">
        <f aca="false">IF(G2038=1,"✓","")</f>
        <v/>
      </c>
      <c r="F2038" s="4" t="n">
        <v>1</v>
      </c>
      <c r="G2038" s="4" t="n">
        <f aca="false">IF(COUNTIF('Letterboxd Watched'!$E$2:$E$3000,M2038)&gt;0,1,0)</f>
        <v>0</v>
      </c>
      <c r="H2038" s="4" t="n">
        <v>1</v>
      </c>
      <c r="I2038" s="4" t="s">
        <v>1327</v>
      </c>
      <c r="J2038" s="4" t="s">
        <v>55</v>
      </c>
      <c r="K2038" s="4" t="s">
        <v>4320</v>
      </c>
      <c r="L2038" s="48" t="str">
        <f aca="false">HYPERLINK("https://boxd.it/1PXa","open")</f>
        <v>open</v>
      </c>
      <c r="M2038" s="4" t="str">
        <f aca="false">LOWER(A2038)&amp;"|"&amp;B2038</f>
        <v>shattered glass|2003</v>
      </c>
      <c r="N2038" s="4" t="n">
        <v>0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0</v>
      </c>
      <c r="T2038" s="4" t="n">
        <v>1</v>
      </c>
      <c r="U2038" s="4" t="n">
        <v>0</v>
      </c>
      <c r="V2038" s="4" t="n">
        <v>0</v>
      </c>
      <c r="W2038" s="4" t="n">
        <v>0</v>
      </c>
    </row>
    <row r="2039" customFormat="false" ht="15" hidden="false" customHeight="false" outlineLevel="0" collapsed="false">
      <c r="A2039" s="4" t="s">
        <v>2815</v>
      </c>
      <c r="B2039" s="4" t="n">
        <v>2004</v>
      </c>
      <c r="C2039" s="4" t="str">
        <f aca="false">FLOOR(B2039,10)&amp;"s"</f>
        <v>2000s</v>
      </c>
      <c r="D2039" s="4" t="s">
        <v>2816</v>
      </c>
      <c r="E2039" s="25" t="str">
        <f aca="false">IF(G2039=1,"✓","")</f>
        <v>✓</v>
      </c>
      <c r="F2039" s="4" t="n">
        <v>1</v>
      </c>
      <c r="G2039" s="4" t="n">
        <f aca="false">IF(COUNTIF('Letterboxd Watched'!$E$2:$E$3000,M2039)&gt;0,1,0)</f>
        <v>1</v>
      </c>
      <c r="H2039" s="4" t="n">
        <v>2</v>
      </c>
      <c r="I2039" s="4" t="s">
        <v>213</v>
      </c>
      <c r="J2039" s="4" t="s">
        <v>52</v>
      </c>
      <c r="K2039" s="4" t="s">
        <v>4068</v>
      </c>
      <c r="L2039" s="48" t="str">
        <f aca="false">HYPERLINK("https://boxd.it/29J8","open")</f>
        <v>open</v>
      </c>
      <c r="M2039" s="4" t="str">
        <f aca="false">LOWER(A2039)&amp;"|"&amp;B2039</f>
        <v>shaun of the dead|2004</v>
      </c>
      <c r="N2039" s="4" t="n">
        <v>0</v>
      </c>
      <c r="O2039" s="4" t="n">
        <v>0</v>
      </c>
      <c r="P2039" s="4" t="n">
        <v>0</v>
      </c>
      <c r="Q2039" s="4" t="n">
        <v>1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</row>
    <row r="2040" customFormat="false" ht="15" hidden="false" customHeight="false" outlineLevel="0" collapsed="false">
      <c r="A2040" s="4" t="s">
        <v>2598</v>
      </c>
      <c r="B2040" s="4" t="n">
        <v>1994</v>
      </c>
      <c r="C2040" s="4" t="str">
        <f aca="false">FLOOR(B2040,10)&amp;"s"</f>
        <v>1990s</v>
      </c>
      <c r="D2040" s="4" t="s">
        <v>2599</v>
      </c>
      <c r="E2040" s="25" t="str">
        <f aca="false">IF(G2040=1,"✓","")</f>
        <v>✓</v>
      </c>
      <c r="F2040" s="4" t="n">
        <v>1</v>
      </c>
      <c r="G2040" s="4" t="n">
        <f aca="false">IF(COUNTIF('Letterboxd Watched'!$E$2:$E$3000,M2040)&gt;0,1,0)</f>
        <v>1</v>
      </c>
      <c r="H2040" s="4" t="n">
        <v>2</v>
      </c>
      <c r="I2040" s="4" t="s">
        <v>213</v>
      </c>
      <c r="J2040" s="4" t="s">
        <v>57</v>
      </c>
      <c r="K2040" s="4" t="s">
        <v>4428</v>
      </c>
      <c r="L2040" s="48" t="str">
        <f aca="false">HYPERLINK("https://boxd.it/2aHi","open")</f>
        <v>open</v>
      </c>
      <c r="M2040" s="4" t="str">
        <f aca="false">LOWER(A2040)&amp;"|"&amp;B2040</f>
        <v>the shawshank redemption|1994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1</v>
      </c>
      <c r="W2040" s="4" t="n">
        <v>0</v>
      </c>
    </row>
    <row r="2041" customFormat="false" ht="15" hidden="false" customHeight="false" outlineLevel="0" collapsed="false">
      <c r="A2041" s="4" t="s">
        <v>1075</v>
      </c>
      <c r="B2041" s="4" t="n">
        <v>1986</v>
      </c>
      <c r="C2041" s="4" t="str">
        <f aca="false">FLOOR(B2041,10)&amp;"s"</f>
        <v>1980s</v>
      </c>
      <c r="D2041" s="4" t="s">
        <v>148</v>
      </c>
      <c r="E2041" s="25" t="str">
        <f aca="false">IF(G2041=1,"✓","")</f>
        <v/>
      </c>
      <c r="F2041" s="4" t="n">
        <v>2</v>
      </c>
      <c r="G2041" s="4" t="n">
        <f aca="false">IF(COUNTIF('Letterboxd Watched'!$E$2:$E$3000,M2041)&gt;0,1,0)</f>
        <v>0</v>
      </c>
      <c r="H2041" s="4" t="n">
        <v>4</v>
      </c>
      <c r="I2041" s="4" t="s">
        <v>213</v>
      </c>
      <c r="J2041" s="4" t="s">
        <v>50</v>
      </c>
      <c r="K2041" s="4" t="s">
        <v>5786</v>
      </c>
      <c r="L2041" s="48" t="str">
        <f aca="false">HYPERLINK("https://boxd.it/1quC","open")</f>
        <v>open</v>
      </c>
      <c r="M2041" s="4" t="str">
        <f aca="false">LOWER(A2041)&amp;"|"&amp;B2041</f>
        <v>she's gotta have it|1986</v>
      </c>
      <c r="N2041" s="4" t="n">
        <v>0</v>
      </c>
      <c r="O2041" s="4" t="n">
        <v>1</v>
      </c>
      <c r="P2041" s="4" t="n">
        <v>0</v>
      </c>
      <c r="Q2041" s="4" t="n">
        <v>0</v>
      </c>
      <c r="R2041" s="4" t="n">
        <v>1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</row>
    <row r="2042" customFormat="false" ht="15" hidden="false" customHeight="false" outlineLevel="0" collapsed="false">
      <c r="A2042" s="4" t="s">
        <v>3228</v>
      </c>
      <c r="B2042" s="4" t="n">
        <v>2022</v>
      </c>
      <c r="C2042" s="4" t="str">
        <f aca="false">FLOOR(B2042,10)&amp;"s"</f>
        <v>2020s</v>
      </c>
      <c r="D2042" s="4" t="s">
        <v>3229</v>
      </c>
      <c r="E2042" s="25" t="str">
        <f aca="false">IF(G2042=1,"✓","")</f>
        <v/>
      </c>
      <c r="F2042" s="4" t="n">
        <v>1</v>
      </c>
      <c r="G2042" s="4" t="n">
        <f aca="false">IF(COUNTIF('Letterboxd Watched'!$E$2:$E$3000,M2042)&gt;0,1,0)</f>
        <v>0</v>
      </c>
      <c r="H2042" s="4" t="n">
        <v>2</v>
      </c>
      <c r="I2042" s="4" t="s">
        <v>213</v>
      </c>
      <c r="J2042" s="4" t="s">
        <v>55</v>
      </c>
      <c r="K2042" s="4" t="s">
        <v>4320</v>
      </c>
      <c r="L2042" s="48" t="str">
        <f aca="false">HYPERLINK("https://boxd.it/vBaI","open")</f>
        <v>open</v>
      </c>
      <c r="M2042" s="4" t="str">
        <f aca="false">LOWER(A2042)&amp;"|"&amp;B2042</f>
        <v>she said|2022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0</v>
      </c>
      <c r="T2042" s="4" t="n">
        <v>1</v>
      </c>
      <c r="U2042" s="4" t="n">
        <v>0</v>
      </c>
      <c r="V2042" s="4" t="n">
        <v>0</v>
      </c>
      <c r="W2042" s="4" t="n">
        <v>0</v>
      </c>
    </row>
    <row r="2043" customFormat="false" ht="15" hidden="false" customHeight="false" outlineLevel="0" collapsed="false">
      <c r="A2043" s="4" t="s">
        <v>1867</v>
      </c>
      <c r="B2043" s="4" t="n">
        <v>1949</v>
      </c>
      <c r="C2043" s="4" t="str">
        <f aca="false">FLOOR(B2043,10)&amp;"s"</f>
        <v>1940s</v>
      </c>
      <c r="D2043" s="4" t="s">
        <v>205</v>
      </c>
      <c r="E2043" s="25" t="str">
        <f aca="false">IF(G2043=1,"✓","")</f>
        <v/>
      </c>
      <c r="F2043" s="4" t="n">
        <v>1</v>
      </c>
      <c r="G2043" s="4" t="n">
        <f aca="false">IF(COUNTIF('Letterboxd Watched'!$E$2:$E$3000,M2043)&gt;0,1,0)</f>
        <v>0</v>
      </c>
      <c r="H2043" s="4" t="n">
        <v>2</v>
      </c>
      <c r="I2043" s="4" t="s">
        <v>213</v>
      </c>
      <c r="J2043" s="4" t="s">
        <v>52</v>
      </c>
      <c r="K2043" s="4" t="s">
        <v>4048</v>
      </c>
      <c r="L2043" s="48" t="str">
        <f aca="false">HYPERLINK("https://boxd.it/1Pa8","open")</f>
        <v>open</v>
      </c>
      <c r="M2043" s="4" t="str">
        <f aca="false">LOWER(A2043)&amp;"|"&amp;B2043</f>
        <v>she wore a yellow ribbon|1949</v>
      </c>
      <c r="N2043" s="4" t="n">
        <v>0</v>
      </c>
      <c r="O2043" s="4" t="n">
        <v>0</v>
      </c>
      <c r="P2043" s="4" t="n">
        <v>0</v>
      </c>
      <c r="Q2043" s="4" t="n">
        <v>1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</row>
    <row r="2044" customFormat="false" ht="15" hidden="false" customHeight="false" outlineLevel="0" collapsed="false">
      <c r="A2044" s="4" t="s">
        <v>332</v>
      </c>
      <c r="B2044" s="4" t="n">
        <v>1924</v>
      </c>
      <c r="C2044" s="4" t="str">
        <f aca="false">FLOOR(B2044,10)&amp;"s"</f>
        <v>1920s</v>
      </c>
      <c r="D2044" s="4" t="s">
        <v>333</v>
      </c>
      <c r="E2044" s="25" t="str">
        <f aca="false">IF(G2044=1,"✓","")</f>
        <v/>
      </c>
      <c r="F2044" s="4" t="n">
        <v>4</v>
      </c>
      <c r="G2044" s="4" t="n">
        <f aca="false">IF(COUNTIF('Letterboxd Watched'!$E$2:$E$3000,M2044)&gt;0,1,0)</f>
        <v>0</v>
      </c>
      <c r="H2044" s="4" t="n">
        <v>10</v>
      </c>
      <c r="I2044" s="4" t="s">
        <v>144</v>
      </c>
      <c r="J2044" s="4" t="s">
        <v>50</v>
      </c>
      <c r="K2044" s="4" t="s">
        <v>5787</v>
      </c>
      <c r="L2044" s="48" t="str">
        <f aca="false">HYPERLINK("https://boxd.it/298m","open")</f>
        <v>open</v>
      </c>
      <c r="M2044" s="4" t="str">
        <f aca="false">LOWER(A2044)&amp;"|"&amp;B2044</f>
        <v>sherlock jr.|1924</v>
      </c>
      <c r="N2044" s="4" t="n">
        <v>0</v>
      </c>
      <c r="O2044" s="4" t="n">
        <v>1</v>
      </c>
      <c r="P2044" s="4" t="n">
        <v>0</v>
      </c>
      <c r="Q2044" s="4" t="n">
        <v>0</v>
      </c>
      <c r="R2044" s="4" t="n">
        <v>0</v>
      </c>
      <c r="S2044" s="4" t="n">
        <v>0</v>
      </c>
      <c r="T2044" s="4" t="n">
        <v>1</v>
      </c>
      <c r="U2044" s="4" t="n">
        <v>0</v>
      </c>
      <c r="V2044" s="4" t="n">
        <v>1</v>
      </c>
      <c r="W2044" s="4" t="n">
        <v>0</v>
      </c>
    </row>
    <row r="2045" customFormat="false" ht="15" hidden="false" customHeight="false" outlineLevel="0" collapsed="false">
      <c r="A2045" s="4" t="s">
        <v>2418</v>
      </c>
      <c r="B2045" s="4" t="n">
        <v>1985</v>
      </c>
      <c r="C2045" s="4" t="str">
        <f aca="false">FLOOR(B2045,10)&amp;"s"</f>
        <v>1980s</v>
      </c>
      <c r="D2045" s="4" t="s">
        <v>2419</v>
      </c>
      <c r="E2045" s="25" t="str">
        <f aca="false">IF(G2045=1,"✓","")</f>
        <v/>
      </c>
      <c r="F2045" s="4" t="n">
        <v>1</v>
      </c>
      <c r="G2045" s="4" t="n">
        <f aca="false">IF(COUNTIF('Letterboxd Watched'!$E$2:$E$3000,M2045)&gt;0,1,0)</f>
        <v>0</v>
      </c>
      <c r="H2045" s="4" t="n">
        <v>2</v>
      </c>
      <c r="I2045" s="4" t="s">
        <v>213</v>
      </c>
      <c r="J2045" s="4" t="s">
        <v>52</v>
      </c>
      <c r="K2045" s="4" t="s">
        <v>4174</v>
      </c>
      <c r="L2045" s="48" t="str">
        <f aca="false">HYPERLINK("https://boxd.it/Zh2","open")</f>
        <v>open</v>
      </c>
      <c r="M2045" s="4" t="str">
        <f aca="false">LOWER(A2045)&amp;"|"&amp;B2045</f>
        <v>sherman's march|1985</v>
      </c>
      <c r="N2045" s="4" t="n">
        <v>0</v>
      </c>
      <c r="O2045" s="4" t="n">
        <v>0</v>
      </c>
      <c r="P2045" s="4" t="n">
        <v>0</v>
      </c>
      <c r="Q2045" s="4" t="n">
        <v>1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</row>
    <row r="2046" customFormat="false" ht="15" hidden="false" customHeight="false" outlineLevel="0" collapsed="false">
      <c r="A2046" s="4" t="s">
        <v>1634</v>
      </c>
      <c r="B2046" s="4" t="n">
        <v>2016</v>
      </c>
      <c r="C2046" s="4" t="str">
        <f aca="false">FLOOR(B2046,10)&amp;"s"</f>
        <v>2010s</v>
      </c>
      <c r="D2046" s="4" t="s">
        <v>1635</v>
      </c>
      <c r="E2046" s="25" t="str">
        <f aca="false">IF(G2046=1,"✓","")</f>
        <v/>
      </c>
      <c r="F2046" s="4" t="n">
        <v>1</v>
      </c>
      <c r="G2046" s="4" t="n">
        <f aca="false">IF(COUNTIF('Letterboxd Watched'!$E$2:$E$3000,M2046)&gt;0,1,0)</f>
        <v>0</v>
      </c>
      <c r="H2046" s="4" t="n">
        <v>3</v>
      </c>
      <c r="I2046" s="4" t="s">
        <v>144</v>
      </c>
      <c r="J2046" s="4" t="s">
        <v>56</v>
      </c>
      <c r="K2046" s="4" t="s">
        <v>4390</v>
      </c>
      <c r="L2046" s="48" t="str">
        <f aca="false">HYPERLINK("https://boxd.it/a9lm","open")</f>
        <v>open</v>
      </c>
      <c r="M2046" s="4" t="str">
        <f aca="false">LOWER(A2046)&amp;"|"&amp;B2046</f>
        <v>shin godzilla|2016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1</v>
      </c>
      <c r="V2046" s="4" t="n">
        <v>0</v>
      </c>
      <c r="W2046" s="4" t="n">
        <v>0</v>
      </c>
    </row>
    <row r="2047" customFormat="false" ht="15" hidden="false" customHeight="false" outlineLevel="0" collapsed="false">
      <c r="A2047" s="4" t="s">
        <v>313</v>
      </c>
      <c r="B2047" s="4" t="n">
        <v>1980</v>
      </c>
      <c r="C2047" s="4" t="str">
        <f aca="false">FLOOR(B2047,10)&amp;"s"</f>
        <v>1980s</v>
      </c>
      <c r="D2047" s="4" t="s">
        <v>187</v>
      </c>
      <c r="E2047" s="25" t="str">
        <f aca="false">IF(G2047=1,"✓","")</f>
        <v>✓</v>
      </c>
      <c r="F2047" s="4" t="n">
        <v>4</v>
      </c>
      <c r="G2047" s="4" t="n">
        <f aca="false">IF(COUNTIF('Letterboxd Watched'!$E$2:$E$3000,M2047)&gt;0,1,0)</f>
        <v>1</v>
      </c>
      <c r="H2047" s="4" t="n">
        <v>10</v>
      </c>
      <c r="I2047" s="4" t="s">
        <v>144</v>
      </c>
      <c r="J2047" s="4" t="s">
        <v>50</v>
      </c>
      <c r="K2047" s="4" t="s">
        <v>5788</v>
      </c>
      <c r="L2047" s="48" t="str">
        <f aca="false">HYPERLINK("https://boxd.it/29Nu","open")</f>
        <v>open</v>
      </c>
      <c r="M2047" s="4" t="str">
        <f aca="false">LOWER(A2047)&amp;"|"&amp;B2047</f>
        <v>the shining|1980</v>
      </c>
      <c r="N2047" s="4" t="n">
        <v>0</v>
      </c>
      <c r="O2047" s="4" t="n">
        <v>1</v>
      </c>
      <c r="P2047" s="4" t="n">
        <v>0</v>
      </c>
      <c r="Q2047" s="4" t="n">
        <v>1</v>
      </c>
      <c r="R2047" s="4" t="n">
        <v>1</v>
      </c>
      <c r="S2047" s="4" t="n">
        <v>0</v>
      </c>
      <c r="T2047" s="4" t="n">
        <v>0</v>
      </c>
      <c r="U2047" s="4" t="n">
        <v>1</v>
      </c>
      <c r="V2047" s="4" t="n">
        <v>0</v>
      </c>
      <c r="W2047" s="4" t="n">
        <v>0</v>
      </c>
    </row>
    <row r="2048" customFormat="false" ht="15" hidden="false" customHeight="false" outlineLevel="0" collapsed="false">
      <c r="A2048" s="4" t="s">
        <v>602</v>
      </c>
      <c r="B2048" s="4" t="n">
        <v>1975</v>
      </c>
      <c r="C2048" s="4" t="str">
        <f aca="false">FLOOR(B2048,10)&amp;"s"</f>
        <v>1970s</v>
      </c>
      <c r="D2048" s="4" t="s">
        <v>316</v>
      </c>
      <c r="E2048" s="25" t="str">
        <f aca="false">IF(G2048=1,"✓","")</f>
        <v/>
      </c>
      <c r="F2048" s="4" t="n">
        <v>3</v>
      </c>
      <c r="G2048" s="4" t="n">
        <f aca="false">IF(COUNTIF('Letterboxd Watched'!$E$2:$E$3000,M2048)&gt;0,1,0)</f>
        <v>0</v>
      </c>
      <c r="H2048" s="4" t="n">
        <v>6</v>
      </c>
      <c r="I2048" s="4" t="s">
        <v>213</v>
      </c>
      <c r="J2048" s="4" t="s">
        <v>52</v>
      </c>
      <c r="K2048" s="4" t="s">
        <v>5789</v>
      </c>
      <c r="L2048" s="48" t="str">
        <f aca="false">HYPERLINK("https://boxd.it/1rPG","open")</f>
        <v>open</v>
      </c>
      <c r="M2048" s="4" t="str">
        <f aca="false">LOWER(A2048)&amp;"|"&amp;B2048</f>
        <v>shivers|1975</v>
      </c>
      <c r="N2048" s="4" t="n">
        <v>0</v>
      </c>
      <c r="O2048" s="4" t="n">
        <v>0</v>
      </c>
      <c r="P2048" s="4" t="n">
        <v>0</v>
      </c>
      <c r="Q2048" s="4" t="n">
        <v>1</v>
      </c>
      <c r="R2048" s="4" t="n">
        <v>1</v>
      </c>
      <c r="S2048" s="4" t="n">
        <v>0</v>
      </c>
      <c r="T2048" s="4" t="n">
        <v>0</v>
      </c>
      <c r="U2048" s="4" t="n">
        <v>1</v>
      </c>
      <c r="V2048" s="4" t="n">
        <v>0</v>
      </c>
      <c r="W2048" s="4" t="n">
        <v>0</v>
      </c>
    </row>
    <row r="2049" customFormat="false" ht="15" hidden="false" customHeight="false" outlineLevel="0" collapsed="false">
      <c r="A2049" s="4" t="s">
        <v>1369</v>
      </c>
      <c r="B2049" s="4" t="n">
        <v>1985</v>
      </c>
      <c r="C2049" s="4" t="str">
        <f aca="false">FLOOR(B2049,10)&amp;"s"</f>
        <v>1980s</v>
      </c>
      <c r="D2049" s="4" t="s">
        <v>1370</v>
      </c>
      <c r="E2049" s="25" t="str">
        <f aca="false">IF(G2049=1,"✓","")</f>
        <v/>
      </c>
      <c r="F2049" s="4" t="n">
        <v>2</v>
      </c>
      <c r="G2049" s="4" t="n">
        <f aca="false">IF(COUNTIF('Letterboxd Watched'!$E$2:$E$3000,M2049)&gt;0,1,0)</f>
        <v>0</v>
      </c>
      <c r="H2049" s="4" t="n">
        <v>3</v>
      </c>
      <c r="I2049" s="4" t="s">
        <v>213</v>
      </c>
      <c r="J2049" s="4" t="s">
        <v>52</v>
      </c>
      <c r="K2049" s="4" t="s">
        <v>5790</v>
      </c>
      <c r="L2049" s="48" t="str">
        <f aca="false">HYPERLINK("https://boxd.it/XSK","open")</f>
        <v>open</v>
      </c>
      <c r="M2049" s="4" t="str">
        <f aca="false">LOWER(A2049)&amp;"|"&amp;B2049</f>
        <v>shoah|1985</v>
      </c>
      <c r="N2049" s="4" t="n">
        <v>0</v>
      </c>
      <c r="O2049" s="4" t="n">
        <v>0</v>
      </c>
      <c r="P2049" s="4" t="n">
        <v>0</v>
      </c>
      <c r="Q2049" s="4" t="n">
        <v>1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1</v>
      </c>
      <c r="W2049" s="4" t="n">
        <v>0</v>
      </c>
    </row>
    <row r="2050" customFormat="false" ht="15" hidden="false" customHeight="false" outlineLevel="0" collapsed="false">
      <c r="A2050" s="4" t="s">
        <v>2036</v>
      </c>
      <c r="B2050" s="4" t="n">
        <v>1963</v>
      </c>
      <c r="C2050" s="4" t="str">
        <f aca="false">FLOOR(B2050,10)&amp;"s"</f>
        <v>1960s</v>
      </c>
      <c r="D2050" s="4" t="s">
        <v>940</v>
      </c>
      <c r="E2050" s="25" t="str">
        <f aca="false">IF(G2050=1,"✓","")</f>
        <v/>
      </c>
      <c r="F2050" s="4" t="n">
        <v>1</v>
      </c>
      <c r="G2050" s="4" t="n">
        <f aca="false">IF(COUNTIF('Letterboxd Watched'!$E$2:$E$3000,M2050)&gt;0,1,0)</f>
        <v>0</v>
      </c>
      <c r="H2050" s="4" t="n">
        <v>2</v>
      </c>
      <c r="I2050" s="4" t="s">
        <v>213</v>
      </c>
      <c r="J2050" s="4" t="s">
        <v>53</v>
      </c>
      <c r="K2050" s="4" t="s">
        <v>4194</v>
      </c>
      <c r="L2050" s="48" t="str">
        <f aca="false">HYPERLINK("https://boxd.it/1vGI","open")</f>
        <v>open</v>
      </c>
      <c r="M2050" s="4" t="str">
        <f aca="false">LOWER(A2050)&amp;"|"&amp;B2050</f>
        <v>shock corridor|1963</v>
      </c>
      <c r="N2050" s="4" t="n">
        <v>0</v>
      </c>
      <c r="O2050" s="4" t="n">
        <v>0</v>
      </c>
      <c r="P2050" s="4" t="n">
        <v>0</v>
      </c>
      <c r="Q2050" s="4" t="n">
        <v>0</v>
      </c>
      <c r="R2050" s="4" t="n">
        <v>1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</row>
    <row r="2051" customFormat="false" ht="15" hidden="false" customHeight="false" outlineLevel="0" collapsed="false">
      <c r="A2051" s="4" t="s">
        <v>1832</v>
      </c>
      <c r="B2051" s="4" t="n">
        <v>1946</v>
      </c>
      <c r="C2051" s="4" t="str">
        <f aca="false">FLOOR(B2051,10)&amp;"s"</f>
        <v>1940s</v>
      </c>
      <c r="D2051" s="4" t="s">
        <v>160</v>
      </c>
      <c r="E2051" s="25" t="str">
        <f aca="false">IF(G2051=1,"✓","")</f>
        <v/>
      </c>
      <c r="F2051" s="4" t="n">
        <v>1</v>
      </c>
      <c r="G2051" s="4" t="n">
        <f aca="false">IF(COUNTIF('Letterboxd Watched'!$E$2:$E$3000,M2051)&gt;0,1,0)</f>
        <v>0</v>
      </c>
      <c r="H2051" s="4" t="n">
        <v>2</v>
      </c>
      <c r="I2051" s="4" t="s">
        <v>213</v>
      </c>
      <c r="J2051" s="4" t="s">
        <v>51</v>
      </c>
      <c r="K2051" s="4" t="s">
        <v>3942</v>
      </c>
      <c r="L2051" s="48" t="str">
        <f aca="false">HYPERLINK("https://boxd.it/UoM","open")</f>
        <v>open</v>
      </c>
      <c r="M2051" s="4" t="str">
        <f aca="false">LOWER(A2051)&amp;"|"&amp;B2051</f>
        <v>shoeshine|1946</v>
      </c>
      <c r="N2051" s="4" t="n">
        <v>0</v>
      </c>
      <c r="O2051" s="4" t="n">
        <v>0</v>
      </c>
      <c r="P2051" s="4" t="n">
        <v>1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</row>
    <row r="2052" customFormat="false" ht="15" hidden="false" customHeight="false" outlineLevel="0" collapsed="false">
      <c r="A2052" s="4" t="s">
        <v>1504</v>
      </c>
      <c r="B2052" s="4" t="n">
        <v>1975</v>
      </c>
      <c r="C2052" s="4" t="str">
        <f aca="false">FLOOR(B2052,10)&amp;"s"</f>
        <v>1970s</v>
      </c>
      <c r="D2052" s="4" t="s">
        <v>1505</v>
      </c>
      <c r="E2052" s="25" t="str">
        <f aca="false">IF(G2052=1,"✓","")</f>
        <v/>
      </c>
      <c r="F2052" s="4" t="n">
        <v>1</v>
      </c>
      <c r="G2052" s="4" t="n">
        <f aca="false">IF(COUNTIF('Letterboxd Watched'!$E$2:$E$3000,M2052)&gt;0,1,0)</f>
        <v>0</v>
      </c>
      <c r="H2052" s="4" t="n">
        <v>3</v>
      </c>
      <c r="I2052" s="4" t="s">
        <v>144</v>
      </c>
      <c r="J2052" s="4" t="s">
        <v>51</v>
      </c>
      <c r="K2052" s="4" t="s">
        <v>4028</v>
      </c>
      <c r="L2052" s="48" t="str">
        <f aca="false">HYPERLINK("https://boxd.it/1Saq","open")</f>
        <v>open</v>
      </c>
      <c r="M2052" s="4" t="str">
        <f aca="false">LOWER(A2052)&amp;"|"&amp;B2052</f>
        <v>sholay|1975</v>
      </c>
      <c r="N2052" s="4" t="n">
        <v>0</v>
      </c>
      <c r="O2052" s="4" t="n">
        <v>0</v>
      </c>
      <c r="P2052" s="4" t="n">
        <v>1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</row>
    <row r="2053" customFormat="false" ht="15" hidden="false" customHeight="false" outlineLevel="0" collapsed="false">
      <c r="A2053" s="4" t="s">
        <v>2371</v>
      </c>
      <c r="B2053" s="4" t="n">
        <v>1982</v>
      </c>
      <c r="C2053" s="4" t="str">
        <f aca="false">FLOOR(B2053,10)&amp;"s"</f>
        <v>1980s</v>
      </c>
      <c r="D2053" s="4" t="s">
        <v>2316</v>
      </c>
      <c r="E2053" s="25" t="str">
        <f aca="false">IF(G2053=1,"✓","")</f>
        <v/>
      </c>
      <c r="F2053" s="4" t="n">
        <v>1</v>
      </c>
      <c r="G2053" s="4" t="n">
        <f aca="false">IF(COUNTIF('Letterboxd Watched'!$E$2:$E$3000,M2053)&gt;0,1,0)</f>
        <v>0</v>
      </c>
      <c r="H2053" s="4" t="n">
        <v>2</v>
      </c>
      <c r="I2053" s="4" t="s">
        <v>213</v>
      </c>
      <c r="J2053" s="4" t="s">
        <v>55</v>
      </c>
      <c r="K2053" s="4" t="s">
        <v>4348</v>
      </c>
      <c r="L2053" s="48" t="str">
        <f aca="false">HYPERLINK("https://boxd.it/yaS","open")</f>
        <v>open</v>
      </c>
      <c r="M2053" s="4" t="str">
        <f aca="false">LOWER(A2053)&amp;"|"&amp;B2053</f>
        <v>shoot the moon|1982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1</v>
      </c>
      <c r="U2053" s="4" t="n">
        <v>0</v>
      </c>
      <c r="V2053" s="4" t="n">
        <v>0</v>
      </c>
      <c r="W2053" s="4" t="n">
        <v>0</v>
      </c>
    </row>
    <row r="2054" customFormat="false" ht="15" hidden="false" customHeight="false" outlineLevel="0" collapsed="false">
      <c r="A2054" s="4" t="s">
        <v>1973</v>
      </c>
      <c r="B2054" s="4" t="n">
        <v>1960</v>
      </c>
      <c r="C2054" s="4" t="str">
        <f aca="false">FLOOR(B2054,10)&amp;"s"</f>
        <v>1960s</v>
      </c>
      <c r="D2054" s="4" t="s">
        <v>150</v>
      </c>
      <c r="E2054" s="25" t="str">
        <f aca="false">IF(G2054=1,"✓","")</f>
        <v/>
      </c>
      <c r="F2054" s="4" t="n">
        <v>1</v>
      </c>
      <c r="G2054" s="4" t="n">
        <f aca="false">IF(COUNTIF('Letterboxd Watched'!$E$2:$E$3000,M2054)&gt;0,1,0)</f>
        <v>0</v>
      </c>
      <c r="H2054" s="4" t="n">
        <v>2</v>
      </c>
      <c r="I2054" s="4" t="s">
        <v>213</v>
      </c>
      <c r="J2054" s="4" t="s">
        <v>51</v>
      </c>
      <c r="K2054" s="4" t="s">
        <v>3960</v>
      </c>
      <c r="L2054" s="48" t="str">
        <f aca="false">HYPERLINK("https://boxd.it/285w","open")</f>
        <v>open</v>
      </c>
      <c r="M2054" s="4" t="str">
        <f aca="false">LOWER(A2054)&amp;"|"&amp;B2054</f>
        <v>shoot the piano player|1960</v>
      </c>
      <c r="N2054" s="4" t="n">
        <v>0</v>
      </c>
      <c r="O2054" s="4" t="n">
        <v>0</v>
      </c>
      <c r="P2054" s="4" t="n">
        <v>1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</row>
    <row r="2055" customFormat="false" ht="15" hidden="false" customHeight="false" outlineLevel="0" collapsed="false">
      <c r="A2055" s="4" t="s">
        <v>1472</v>
      </c>
      <c r="B2055" s="4" t="n">
        <v>1966</v>
      </c>
      <c r="C2055" s="4" t="str">
        <f aca="false">FLOOR(B2055,10)&amp;"s"</f>
        <v>1960s</v>
      </c>
      <c r="D2055" s="4" t="s">
        <v>1344</v>
      </c>
      <c r="E2055" s="25" t="str">
        <f aca="false">IF(G2055=1,"✓","")</f>
        <v/>
      </c>
      <c r="F2055" s="4" t="n">
        <v>2</v>
      </c>
      <c r="G2055" s="4" t="n">
        <f aca="false">IF(COUNTIF('Letterboxd Watched'!$E$2:$E$3000,M2055)&gt;0,1,0)</f>
        <v>0</v>
      </c>
      <c r="H2055" s="4" t="n">
        <v>3</v>
      </c>
      <c r="I2055" s="4" t="s">
        <v>213</v>
      </c>
      <c r="J2055" s="4" t="s">
        <v>52</v>
      </c>
      <c r="K2055" s="4" t="s">
        <v>5791</v>
      </c>
      <c r="L2055" s="48" t="str">
        <f aca="false">HYPERLINK("https://boxd.it/Wf8","open")</f>
        <v>open</v>
      </c>
      <c r="M2055" s="4" t="str">
        <f aca="false">LOWER(A2055)&amp;"|"&amp;B2055</f>
        <v>the shooting|1966</v>
      </c>
      <c r="N2055" s="4" t="n">
        <v>0</v>
      </c>
      <c r="O2055" s="4" t="n">
        <v>0</v>
      </c>
      <c r="P2055" s="4" t="n">
        <v>0</v>
      </c>
      <c r="Q2055" s="4" t="n">
        <v>1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 customFormat="false" ht="15" hidden="false" customHeight="false" outlineLevel="0" collapsed="false">
      <c r="A2056" s="4" t="s">
        <v>347</v>
      </c>
      <c r="B2056" s="4" t="n">
        <v>1940</v>
      </c>
      <c r="C2056" s="4" t="str">
        <f aca="false">FLOOR(B2056,10)&amp;"s"</f>
        <v>1940s</v>
      </c>
      <c r="D2056" s="4" t="s">
        <v>348</v>
      </c>
      <c r="E2056" s="25" t="str">
        <f aca="false">IF(G2056=1,"✓","")</f>
        <v/>
      </c>
      <c r="F2056" s="4" t="n">
        <v>4</v>
      </c>
      <c r="G2056" s="4" t="n">
        <f aca="false">IF(COUNTIF('Letterboxd Watched'!$E$2:$E$3000,M2056)&gt;0,1,0)</f>
        <v>0</v>
      </c>
      <c r="H2056" s="4" t="n">
        <v>9</v>
      </c>
      <c r="I2056" s="4" t="s">
        <v>144</v>
      </c>
      <c r="J2056" s="4" t="s">
        <v>50</v>
      </c>
      <c r="K2056" s="4" t="s">
        <v>5792</v>
      </c>
      <c r="L2056" s="48" t="str">
        <f aca="false">HYPERLINK("https://boxd.it/1DFy","open")</f>
        <v>open</v>
      </c>
      <c r="M2056" s="4" t="str">
        <f aca="false">LOWER(A2056)&amp;"|"&amp;B2056</f>
        <v>the shop around the corner|1940</v>
      </c>
      <c r="N2056" s="4" t="n">
        <v>0</v>
      </c>
      <c r="O2056" s="4" t="n">
        <v>1</v>
      </c>
      <c r="P2056" s="4" t="n">
        <v>0</v>
      </c>
      <c r="Q2056" s="4" t="n">
        <v>1</v>
      </c>
      <c r="R2056" s="4" t="n">
        <v>1</v>
      </c>
      <c r="S2056" s="4" t="n">
        <v>0</v>
      </c>
      <c r="T2056" s="4" t="n">
        <v>0</v>
      </c>
      <c r="U2056" s="4" t="n">
        <v>1</v>
      </c>
      <c r="V2056" s="4" t="n">
        <v>0</v>
      </c>
      <c r="W2056" s="4" t="n">
        <v>0</v>
      </c>
    </row>
    <row r="2057" customFormat="false" ht="15" hidden="false" customHeight="false" outlineLevel="0" collapsed="false">
      <c r="A2057" s="4" t="s">
        <v>2060</v>
      </c>
      <c r="B2057" s="4" t="n">
        <v>1965</v>
      </c>
      <c r="C2057" s="4" t="str">
        <f aca="false">FLOOR(B2057,10)&amp;"s"</f>
        <v>1960s</v>
      </c>
      <c r="D2057" s="4" t="s">
        <v>2061</v>
      </c>
      <c r="E2057" s="25" t="str">
        <f aca="false">IF(G2057=1,"✓","")</f>
        <v/>
      </c>
      <c r="F2057" s="4" t="n">
        <v>1</v>
      </c>
      <c r="G2057" s="4" t="n">
        <f aca="false">IF(COUNTIF('Letterboxd Watched'!$E$2:$E$3000,M2057)&gt;0,1,0)</f>
        <v>0</v>
      </c>
      <c r="H2057" s="4" t="n">
        <v>2</v>
      </c>
      <c r="I2057" s="4" t="s">
        <v>213</v>
      </c>
      <c r="J2057" s="4" t="s">
        <v>51</v>
      </c>
      <c r="K2057" s="4" t="s">
        <v>3992</v>
      </c>
      <c r="L2057" s="48" t="str">
        <f aca="false">HYPERLINK("https://boxd.it/1uSI","open")</f>
        <v>open</v>
      </c>
      <c r="M2057" s="4" t="str">
        <f aca="false">LOWER(A2057)&amp;"|"&amp;B2057</f>
        <v>the shop on main street|1965</v>
      </c>
      <c r="N2057" s="4" t="n">
        <v>0</v>
      </c>
      <c r="O2057" s="4" t="n">
        <v>0</v>
      </c>
      <c r="P2057" s="4" t="n">
        <v>1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 customFormat="false" ht="15" hidden="false" customHeight="false" outlineLevel="0" collapsed="false">
      <c r="A2058" s="4" t="s">
        <v>1639</v>
      </c>
      <c r="B2058" s="4" t="n">
        <v>2018</v>
      </c>
      <c r="C2058" s="4" t="str">
        <f aca="false">FLOOR(B2058,10)&amp;"s"</f>
        <v>2010s</v>
      </c>
      <c r="D2058" s="4" t="s">
        <v>1205</v>
      </c>
      <c r="E2058" s="25" t="str">
        <f aca="false">IF(G2058=1,"✓","")</f>
        <v/>
      </c>
      <c r="F2058" s="4" t="n">
        <v>1</v>
      </c>
      <c r="G2058" s="4" t="n">
        <f aca="false">IF(COUNTIF('Letterboxd Watched'!$E$2:$E$3000,M2058)&gt;0,1,0)</f>
        <v>0</v>
      </c>
      <c r="H2058" s="4" t="n">
        <v>3</v>
      </c>
      <c r="I2058" s="4" t="s">
        <v>144</v>
      </c>
      <c r="J2058" s="4" t="s">
        <v>51</v>
      </c>
      <c r="K2058" s="4" t="s">
        <v>3940</v>
      </c>
      <c r="L2058" s="48" t="str">
        <f aca="false">HYPERLINK("https://boxd.it/ifY6","open")</f>
        <v>open</v>
      </c>
      <c r="M2058" s="4" t="str">
        <f aca="false">LOWER(A2058)&amp;"|"&amp;B2058</f>
        <v>shoplifters|2018</v>
      </c>
      <c r="N2058" s="4" t="n">
        <v>0</v>
      </c>
      <c r="O2058" s="4" t="n">
        <v>0</v>
      </c>
      <c r="P2058" s="4" t="n">
        <v>1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</row>
    <row r="2059" customFormat="false" ht="15" hidden="false" customHeight="false" outlineLevel="0" collapsed="false">
      <c r="A2059" s="4" t="s">
        <v>294</v>
      </c>
      <c r="B2059" s="4" t="n">
        <v>1993</v>
      </c>
      <c r="C2059" s="4" t="str">
        <f aca="false">FLOOR(B2059,10)&amp;"s"</f>
        <v>1990s</v>
      </c>
      <c r="D2059" s="4" t="s">
        <v>197</v>
      </c>
      <c r="E2059" s="25" t="str">
        <f aca="false">IF(G2059=1,"✓","")</f>
        <v>✓</v>
      </c>
      <c r="F2059" s="4" t="n">
        <v>5</v>
      </c>
      <c r="G2059" s="4" t="n">
        <f aca="false">IF(COUNTIF('Letterboxd Watched'!$E$2:$E$3000,M2059)&gt;0,1,0)</f>
        <v>1</v>
      </c>
      <c r="H2059" s="4" t="n">
        <v>11</v>
      </c>
      <c r="I2059" s="4" t="s">
        <v>144</v>
      </c>
      <c r="J2059" s="4" t="s">
        <v>53</v>
      </c>
      <c r="K2059" s="4" t="s">
        <v>5793</v>
      </c>
      <c r="L2059" s="48" t="str">
        <f aca="false">HYPERLINK("https://boxd.it/29Nk","open")</f>
        <v>open</v>
      </c>
      <c r="M2059" s="4" t="str">
        <f aca="false">LOWER(A2059)&amp;"|"&amp;B2059</f>
        <v>short cuts|1993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1</v>
      </c>
      <c r="S2059" s="4" t="n">
        <v>1</v>
      </c>
      <c r="T2059" s="4" t="n">
        <v>1</v>
      </c>
      <c r="U2059" s="4" t="n">
        <v>0</v>
      </c>
      <c r="V2059" s="4" t="n">
        <v>0</v>
      </c>
      <c r="W2059" s="4" t="n">
        <v>1</v>
      </c>
    </row>
    <row r="2060" customFormat="false" ht="15" hidden="false" customHeight="false" outlineLevel="0" collapsed="false">
      <c r="A2060" s="4" t="s">
        <v>2474</v>
      </c>
      <c r="B2060" s="4" t="n">
        <v>1988</v>
      </c>
      <c r="C2060" s="4" t="str">
        <f aca="false">FLOOR(B2060,10)&amp;"s"</f>
        <v>1980s</v>
      </c>
      <c r="D2060" s="4" t="s">
        <v>1042</v>
      </c>
      <c r="E2060" s="25" t="str">
        <f aca="false">IF(G2060=1,"✓","")</f>
        <v/>
      </c>
      <c r="F2060" s="4" t="n">
        <v>1</v>
      </c>
      <c r="G2060" s="4" t="n">
        <f aca="false">IF(COUNTIF('Letterboxd Watched'!$E$2:$E$3000,M2060)&gt;0,1,0)</f>
        <v>0</v>
      </c>
      <c r="H2060" s="4" t="n">
        <v>2</v>
      </c>
      <c r="I2060" s="4" t="s">
        <v>213</v>
      </c>
      <c r="J2060" s="4" t="s">
        <v>53</v>
      </c>
      <c r="K2060" s="4" t="s">
        <v>1042</v>
      </c>
      <c r="L2060" s="48" t="str">
        <f aca="false">HYPERLINK("https://boxd.it/1VtK","open")</f>
        <v>open</v>
      </c>
      <c r="M2060" s="4" t="str">
        <f aca="false">LOWER(A2060)&amp;"|"&amp;B2060</f>
        <v>a short film about killing|1988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1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</row>
    <row r="2061" customFormat="false" ht="15" hidden="false" customHeight="false" outlineLevel="0" collapsed="false">
      <c r="A2061" s="4" t="s">
        <v>2475</v>
      </c>
      <c r="B2061" s="4" t="n">
        <v>1988</v>
      </c>
      <c r="C2061" s="4" t="str">
        <f aca="false">FLOOR(B2061,10)&amp;"s"</f>
        <v>1980s</v>
      </c>
      <c r="D2061" s="4" t="s">
        <v>1042</v>
      </c>
      <c r="E2061" s="25" t="str">
        <f aca="false">IF(G2061=1,"✓","")</f>
        <v/>
      </c>
      <c r="F2061" s="4" t="n">
        <v>1</v>
      </c>
      <c r="G2061" s="4" t="n">
        <f aca="false">IF(COUNTIF('Letterboxd Watched'!$E$2:$E$3000,M2061)&gt;0,1,0)</f>
        <v>0</v>
      </c>
      <c r="H2061" s="4" t="n">
        <v>2</v>
      </c>
      <c r="I2061" s="4" t="s">
        <v>213</v>
      </c>
      <c r="J2061" s="4" t="s">
        <v>53</v>
      </c>
      <c r="K2061" s="4" t="s">
        <v>1042</v>
      </c>
      <c r="L2061" s="48" t="str">
        <f aca="false">HYPERLINK("https://letterboxd.com/search/films/A+Short+Film+About+Love+1988/","open")</f>
        <v>open</v>
      </c>
      <c r="M2061" s="4" t="str">
        <f aca="false">LOWER(A2061)&amp;"|"&amp;B2061</f>
        <v>a short film about love|1988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1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 customFormat="false" ht="15" hidden="false" customHeight="false" outlineLevel="0" collapsed="false">
      <c r="A2062" s="4" t="s">
        <v>3483</v>
      </c>
      <c r="B2062" s="4" t="n">
        <v>1971</v>
      </c>
      <c r="C2062" s="4" t="str">
        <f aca="false">FLOOR(B2062,10)&amp;"s"</f>
        <v>1970s</v>
      </c>
      <c r="D2062" s="4" t="s">
        <v>3484</v>
      </c>
      <c r="E2062" s="25" t="str">
        <f aca="false">IF(G2062=1,"✓","")</f>
        <v/>
      </c>
      <c r="F2062" s="4" t="n">
        <v>1</v>
      </c>
      <c r="G2062" s="4" t="n">
        <f aca="false">IF(COUNTIF('Letterboxd Watched'!$E$2:$E$3000,M2062)&gt;0,1,0)</f>
        <v>0</v>
      </c>
      <c r="H2062" s="4" t="n">
        <v>1</v>
      </c>
      <c r="I2062" s="4" t="s">
        <v>1327</v>
      </c>
      <c r="J2062" s="4" t="s">
        <v>51</v>
      </c>
      <c r="K2062" s="4" t="s">
        <v>3950</v>
      </c>
      <c r="L2062" s="48" t="str">
        <f aca="false">HYPERLINK("https://letterboxd.com/search/films/Short+Night+of+Glass+Dolls+1971/","open")</f>
        <v>open</v>
      </c>
      <c r="M2062" s="4" t="str">
        <f aca="false">LOWER(A2062)&amp;"|"&amp;B2062</f>
        <v>short night of glass dolls|1971</v>
      </c>
      <c r="N2062" s="4" t="n">
        <v>0</v>
      </c>
      <c r="O2062" s="4" t="n">
        <v>0</v>
      </c>
      <c r="P2062" s="4" t="n">
        <v>1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</row>
    <row r="2063" customFormat="false" ht="15" hidden="false" customHeight="false" outlineLevel="0" collapsed="false">
      <c r="A2063" s="4" t="s">
        <v>3227</v>
      </c>
      <c r="B2063" s="4" t="n">
        <v>2022</v>
      </c>
      <c r="C2063" s="4" t="str">
        <f aca="false">FLOOR(B2063,10)&amp;"s"</f>
        <v>2020s</v>
      </c>
      <c r="D2063" s="4" t="s">
        <v>867</v>
      </c>
      <c r="E2063" s="25" t="str">
        <f aca="false">IF(G2063=1,"✓","")</f>
        <v/>
      </c>
      <c r="F2063" s="4" t="n">
        <v>1</v>
      </c>
      <c r="G2063" s="4" t="n">
        <f aca="false">IF(COUNTIF('Letterboxd Watched'!$E$2:$E$3000,M2063)&gt;0,1,0)</f>
        <v>0</v>
      </c>
      <c r="H2063" s="4" t="n">
        <v>2</v>
      </c>
      <c r="I2063" s="4" t="s">
        <v>213</v>
      </c>
      <c r="J2063" s="4" t="s">
        <v>53</v>
      </c>
      <c r="K2063" s="4" t="s">
        <v>4219</v>
      </c>
      <c r="L2063" s="48" t="str">
        <f aca="false">HYPERLINK("https://boxd.it/tJ1q","open")</f>
        <v>open</v>
      </c>
      <c r="M2063" s="4" t="str">
        <f aca="false">LOWER(A2063)&amp;"|"&amp;B2063</f>
        <v>showing up|2022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1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</row>
    <row r="2064" customFormat="false" ht="15" hidden="false" customHeight="false" outlineLevel="0" collapsed="false">
      <c r="A2064" s="4" t="s">
        <v>2817</v>
      </c>
      <c r="B2064" s="4" t="n">
        <v>2004</v>
      </c>
      <c r="C2064" s="4" t="str">
        <f aca="false">FLOOR(B2064,10)&amp;"s"</f>
        <v>2000s</v>
      </c>
      <c r="D2064" s="4" t="s">
        <v>2818</v>
      </c>
      <c r="E2064" s="25" t="str">
        <f aca="false">IF(G2064=1,"✓","")</f>
        <v/>
      </c>
      <c r="F2064" s="4" t="n">
        <v>1</v>
      </c>
      <c r="G2064" s="4" t="n">
        <f aca="false">IF(COUNTIF('Letterboxd Watched'!$E$2:$E$3000,M2064)&gt;0,1,0)</f>
        <v>0</v>
      </c>
      <c r="H2064" s="4" t="n">
        <v>2</v>
      </c>
      <c r="I2064" s="4" t="s">
        <v>213</v>
      </c>
      <c r="J2064" s="4" t="s">
        <v>52</v>
      </c>
      <c r="K2064" s="4" t="s">
        <v>4074</v>
      </c>
      <c r="L2064" s="48" t="str">
        <f aca="false">HYPERLINK("https://letterboxd.com/search/films/Shutter+2004/","open")</f>
        <v>open</v>
      </c>
      <c r="M2064" s="4" t="str">
        <f aca="false">LOWER(A2064)&amp;"|"&amp;B2064</f>
        <v>shutter|2004</v>
      </c>
      <c r="N2064" s="4" t="n">
        <v>0</v>
      </c>
      <c r="O2064" s="4" t="n">
        <v>0</v>
      </c>
      <c r="P2064" s="4" t="n">
        <v>0</v>
      </c>
      <c r="Q2064" s="4" t="n">
        <v>1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</row>
    <row r="2065" customFormat="false" ht="15" hidden="false" customHeight="false" outlineLevel="0" collapsed="false">
      <c r="A2065" s="4" t="s">
        <v>1225</v>
      </c>
      <c r="B2065" s="4" t="n">
        <v>2015</v>
      </c>
      <c r="C2065" s="4" t="str">
        <f aca="false">FLOOR(B2065,10)&amp;"s"</f>
        <v>2010s</v>
      </c>
      <c r="D2065" s="4" t="s">
        <v>327</v>
      </c>
      <c r="E2065" s="25" t="str">
        <f aca="false">IF(G2065=1,"✓","")</f>
        <v/>
      </c>
      <c r="F2065" s="4" t="n">
        <v>2</v>
      </c>
      <c r="G2065" s="4" t="n">
        <f aca="false">IF(COUNTIF('Letterboxd Watched'!$E$2:$E$3000,M2065)&gt;0,1,0)</f>
        <v>0</v>
      </c>
      <c r="H2065" s="4" t="n">
        <v>4</v>
      </c>
      <c r="I2065" s="4" t="s">
        <v>213</v>
      </c>
      <c r="J2065" s="4" t="s">
        <v>53</v>
      </c>
      <c r="K2065" s="4" t="s">
        <v>5794</v>
      </c>
      <c r="L2065" s="48" t="str">
        <f aca="false">HYPERLINK("https://boxd.it/8i7u","open")</f>
        <v>open</v>
      </c>
      <c r="M2065" s="4" t="str">
        <f aca="false">LOWER(A2065)&amp;"|"&amp;B2065</f>
        <v>sicario|2015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1</v>
      </c>
      <c r="S2065" s="4" t="n">
        <v>0</v>
      </c>
      <c r="T2065" s="4" t="n">
        <v>0</v>
      </c>
      <c r="U2065" s="4" t="n">
        <v>1</v>
      </c>
      <c r="V2065" s="4" t="n">
        <v>0</v>
      </c>
      <c r="W2065" s="4" t="n">
        <v>0</v>
      </c>
    </row>
    <row r="2066" customFormat="false" ht="15" hidden="false" customHeight="false" outlineLevel="0" collapsed="false">
      <c r="A2066" s="4" t="s">
        <v>3034</v>
      </c>
      <c r="B2066" s="4" t="n">
        <v>2013</v>
      </c>
      <c r="C2066" s="4" t="str">
        <f aca="false">FLOOR(B2066,10)&amp;"s"</f>
        <v>2010s</v>
      </c>
      <c r="D2066" s="4" t="s">
        <v>490</v>
      </c>
      <c r="E2066" s="25" t="str">
        <f aca="false">IF(G2066=1,"✓","")</f>
        <v/>
      </c>
      <c r="F2066" s="4" t="n">
        <v>1</v>
      </c>
      <c r="G2066" s="4" t="n">
        <f aca="false">IF(COUNTIF('Letterboxd Watched'!$E$2:$E$3000,M2066)&gt;0,1,0)</f>
        <v>0</v>
      </c>
      <c r="H2066" s="4" t="n">
        <v>2</v>
      </c>
      <c r="I2066" s="4" t="s">
        <v>213</v>
      </c>
      <c r="J2066" s="4" t="s">
        <v>53</v>
      </c>
      <c r="K2066" s="4" t="s">
        <v>490</v>
      </c>
      <c r="L2066" s="48" t="str">
        <f aca="false">HYPERLINK("https://boxd.it/3GA6","open")</f>
        <v>open</v>
      </c>
      <c r="M2066" s="4" t="str">
        <f aca="false">LOWER(A2066)&amp;"|"&amp;B2066</f>
        <v>side effects|2013</v>
      </c>
      <c r="N2066" s="4" t="n">
        <v>0</v>
      </c>
      <c r="O2066" s="4" t="n">
        <v>0</v>
      </c>
      <c r="P2066" s="4" t="n">
        <v>0</v>
      </c>
      <c r="Q2066" s="4" t="n">
        <v>0</v>
      </c>
      <c r="R2066" s="4" t="n">
        <v>1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</row>
    <row r="2067" customFormat="false" ht="15" hidden="false" customHeight="false" outlineLevel="0" collapsed="false">
      <c r="A2067" s="4" t="s">
        <v>2831</v>
      </c>
      <c r="B2067" s="4" t="n">
        <v>2004</v>
      </c>
      <c r="C2067" s="4" t="str">
        <f aca="false">FLOOR(B2067,10)&amp;"s"</f>
        <v>2000s</v>
      </c>
      <c r="D2067" s="4" t="s">
        <v>429</v>
      </c>
      <c r="E2067" s="25" t="str">
        <f aca="false">IF(G2067=1,"✓","")</f>
        <v>✓</v>
      </c>
      <c r="F2067" s="4" t="n">
        <v>1</v>
      </c>
      <c r="G2067" s="4" t="n">
        <f aca="false">IF(COUNTIF('Letterboxd Watched'!$E$2:$E$3000,M2067)&gt;0,1,0)</f>
        <v>1</v>
      </c>
      <c r="H2067" s="4" t="n">
        <v>2</v>
      </c>
      <c r="I2067" s="4" t="s">
        <v>213</v>
      </c>
      <c r="J2067" s="4" t="s">
        <v>58</v>
      </c>
      <c r="K2067" s="4" t="s">
        <v>4470</v>
      </c>
      <c r="L2067" s="48" t="str">
        <f aca="false">HYPERLINK("https://boxd.it/1Y5c","open")</f>
        <v>open</v>
      </c>
      <c r="M2067" s="4" t="str">
        <f aca="false">LOWER(A2067)&amp;"|"&amp;B2067</f>
        <v>sideways|2004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1</v>
      </c>
    </row>
    <row r="2068" customFormat="false" ht="15" hidden="false" customHeight="false" outlineLevel="0" collapsed="false">
      <c r="A2068" s="4" t="s">
        <v>2037</v>
      </c>
      <c r="B2068" s="4" t="n">
        <v>1963</v>
      </c>
      <c r="C2068" s="4" t="str">
        <f aca="false">FLOOR(B2068,10)&amp;"s"</f>
        <v>1960s</v>
      </c>
      <c r="D2068" s="4" t="s">
        <v>170</v>
      </c>
      <c r="E2068" s="25" t="str">
        <f aca="false">IF(G2068=1,"✓","")</f>
        <v/>
      </c>
      <c r="F2068" s="4" t="n">
        <v>1</v>
      </c>
      <c r="G2068" s="4" t="n">
        <f aca="false">IF(COUNTIF('Letterboxd Watched'!$E$2:$E$3000,M2068)&gt;0,1,0)</f>
        <v>0</v>
      </c>
      <c r="H2068" s="4" t="n">
        <v>2</v>
      </c>
      <c r="I2068" s="4" t="s">
        <v>213</v>
      </c>
      <c r="J2068" s="4" t="s">
        <v>53</v>
      </c>
      <c r="K2068" s="4" t="s">
        <v>170</v>
      </c>
      <c r="L2068" s="48" t="str">
        <f aca="false">HYPERLINK("https://boxd.it/1TH6","open")</f>
        <v>open</v>
      </c>
      <c r="M2068" s="4" t="str">
        <f aca="false">LOWER(A2068)&amp;"|"&amp;B2068</f>
        <v>the silence|1963</v>
      </c>
      <c r="N2068" s="4" t="n">
        <v>0</v>
      </c>
      <c r="O2068" s="4" t="n">
        <v>0</v>
      </c>
      <c r="P2068" s="4" t="n">
        <v>0</v>
      </c>
      <c r="Q2068" s="4" t="n">
        <v>0</v>
      </c>
      <c r="R2068" s="4" t="n">
        <v>1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</row>
    <row r="2069" customFormat="false" ht="15" hidden="false" customHeight="false" outlineLevel="0" collapsed="false">
      <c r="A2069" s="4" t="s">
        <v>1229</v>
      </c>
      <c r="B2069" s="4" t="n">
        <v>2016</v>
      </c>
      <c r="C2069" s="4" t="str">
        <f aca="false">FLOOR(B2069,10)&amp;"s"</f>
        <v>2010s</v>
      </c>
      <c r="D2069" s="4" t="s">
        <v>164</v>
      </c>
      <c r="E2069" s="25" t="str">
        <f aca="false">IF(G2069=1,"✓","")</f>
        <v>✓</v>
      </c>
      <c r="F2069" s="4" t="n">
        <v>2</v>
      </c>
      <c r="G2069" s="4" t="n">
        <f aca="false">IF(COUNTIF('Letterboxd Watched'!$E$2:$E$3000,M2069)&gt;0,1,0)</f>
        <v>1</v>
      </c>
      <c r="H2069" s="4" t="n">
        <v>4</v>
      </c>
      <c r="I2069" s="4" t="s">
        <v>213</v>
      </c>
      <c r="J2069" s="4" t="s">
        <v>53</v>
      </c>
      <c r="K2069" s="4" t="s">
        <v>5560</v>
      </c>
      <c r="L2069" s="48" t="str">
        <f aca="false">HYPERLINK("https://boxd.it/2cAo","open")</f>
        <v>open</v>
      </c>
      <c r="M2069" s="4" t="str">
        <f aca="false">LOWER(A2069)&amp;"|"&amp;B2069</f>
        <v>silence|2016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1</v>
      </c>
      <c r="S2069" s="4" t="n">
        <v>0</v>
      </c>
      <c r="T2069" s="4" t="n">
        <v>1</v>
      </c>
      <c r="U2069" s="4" t="n">
        <v>0</v>
      </c>
      <c r="V2069" s="4" t="n">
        <v>0</v>
      </c>
      <c r="W2069" s="4" t="n">
        <v>0</v>
      </c>
    </row>
    <row r="2070" customFormat="false" ht="15" hidden="false" customHeight="false" outlineLevel="0" collapsed="false">
      <c r="A2070" s="4" t="s">
        <v>495</v>
      </c>
      <c r="B2070" s="4" t="n">
        <v>1991</v>
      </c>
      <c r="C2070" s="4" t="str">
        <f aca="false">FLOOR(B2070,10)&amp;"s"</f>
        <v>1990s</v>
      </c>
      <c r="D2070" s="4" t="s">
        <v>496</v>
      </c>
      <c r="E2070" s="25" t="str">
        <f aca="false">IF(G2070=1,"✓","")</f>
        <v>✓</v>
      </c>
      <c r="F2070" s="4" t="n">
        <v>3</v>
      </c>
      <c r="G2070" s="4" t="n">
        <f aca="false">IF(COUNTIF('Letterboxd Watched'!$E$2:$E$3000,M2070)&gt;0,1,0)</f>
        <v>1</v>
      </c>
      <c r="H2070" s="4" t="n">
        <v>7</v>
      </c>
      <c r="I2070" s="4" t="s">
        <v>144</v>
      </c>
      <c r="J2070" s="4" t="s">
        <v>49</v>
      </c>
      <c r="K2070" s="4" t="s">
        <v>5795</v>
      </c>
      <c r="L2070" s="48" t="str">
        <f aca="false">HYPERLINK("https://boxd.it/2aHW","open")</f>
        <v>open</v>
      </c>
      <c r="M2070" s="4" t="str">
        <f aca="false">LOWER(A2070)&amp;"|"&amp;B2070</f>
        <v>the silence of the lambs|1991</v>
      </c>
      <c r="N2070" s="4" t="n">
        <v>1</v>
      </c>
      <c r="O2070" s="4" t="n">
        <v>0</v>
      </c>
      <c r="P2070" s="4" t="n">
        <v>0</v>
      </c>
      <c r="Q2070" s="4" t="n">
        <v>1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1</v>
      </c>
      <c r="W2070" s="4" t="n">
        <v>0</v>
      </c>
    </row>
    <row r="2071" customFormat="false" ht="15" hidden="false" customHeight="false" outlineLevel="0" collapsed="false">
      <c r="A2071" s="4" t="s">
        <v>1658</v>
      </c>
      <c r="B2071" s="4" t="n">
        <v>2007</v>
      </c>
      <c r="C2071" s="4" t="str">
        <f aca="false">FLOOR(B2071,10)&amp;"s"</f>
        <v>2000s</v>
      </c>
      <c r="D2071" s="4" t="s">
        <v>1659</v>
      </c>
      <c r="E2071" s="25" t="str">
        <f aca="false">IF(G2071=1,"✓","")</f>
        <v/>
      </c>
      <c r="F2071" s="4" t="n">
        <v>2</v>
      </c>
      <c r="G2071" s="4" t="n">
        <f aca="false">IF(COUNTIF('Letterboxd Watched'!$E$2:$E$3000,M2071)&gt;0,1,0)</f>
        <v>0</v>
      </c>
      <c r="H2071" s="4" t="n">
        <v>2</v>
      </c>
      <c r="I2071" s="4" t="s">
        <v>1327</v>
      </c>
      <c r="J2071" s="4" t="s">
        <v>51</v>
      </c>
      <c r="K2071" s="4" t="s">
        <v>5796</v>
      </c>
      <c r="L2071" s="48" t="str">
        <f aca="false">HYPERLINK("https://letterboxd.com/search/films/Silent+Light+2007/","open")</f>
        <v>open</v>
      </c>
      <c r="M2071" s="4" t="str">
        <f aca="false">LOWER(A2071)&amp;"|"&amp;B2071</f>
        <v>silent light|2007</v>
      </c>
      <c r="N2071" s="4" t="n">
        <v>0</v>
      </c>
      <c r="O2071" s="4" t="n">
        <v>0</v>
      </c>
      <c r="P2071" s="4" t="n">
        <v>1</v>
      </c>
      <c r="Q2071" s="4" t="n">
        <v>0</v>
      </c>
      <c r="R2071" s="4" t="n">
        <v>0</v>
      </c>
      <c r="S2071" s="4" t="n">
        <v>1</v>
      </c>
      <c r="T2071" s="4" t="n">
        <v>0</v>
      </c>
      <c r="U2071" s="4" t="n">
        <v>0</v>
      </c>
      <c r="V2071" s="4" t="n">
        <v>0</v>
      </c>
      <c r="W2071" s="4" t="n">
        <v>0</v>
      </c>
    </row>
    <row r="2072" customFormat="false" ht="15" hidden="false" customHeight="false" outlineLevel="0" collapsed="false">
      <c r="A2072" s="4" t="s">
        <v>2201</v>
      </c>
      <c r="B2072" s="4" t="n">
        <v>1972</v>
      </c>
      <c r="C2072" s="4" t="str">
        <f aca="false">FLOOR(B2072,10)&amp;"s"</f>
        <v>1970s</v>
      </c>
      <c r="D2072" s="4" t="s">
        <v>2202</v>
      </c>
      <c r="E2072" s="25" t="str">
        <f aca="false">IF(G2072=1,"✓","")</f>
        <v/>
      </c>
      <c r="F2072" s="4" t="n">
        <v>1</v>
      </c>
      <c r="G2072" s="4" t="n">
        <f aca="false">IF(COUNTIF('Letterboxd Watched'!$E$2:$E$3000,M2072)&gt;0,1,0)</f>
        <v>0</v>
      </c>
      <c r="H2072" s="4" t="n">
        <v>2</v>
      </c>
      <c r="I2072" s="4" t="s">
        <v>213</v>
      </c>
      <c r="J2072" s="4" t="s">
        <v>52</v>
      </c>
      <c r="K2072" s="4" t="s">
        <v>4086</v>
      </c>
      <c r="L2072" s="48" t="str">
        <f aca="false">HYPERLINK("https://boxd.it/29yO","open")</f>
        <v>open</v>
      </c>
      <c r="M2072" s="4" t="str">
        <f aca="false">LOWER(A2072)&amp;"|"&amp;B2072</f>
        <v>silent running|1972</v>
      </c>
      <c r="N2072" s="4" t="n">
        <v>0</v>
      </c>
      <c r="O2072" s="4" t="n">
        <v>0</v>
      </c>
      <c r="P2072" s="4" t="n">
        <v>0</v>
      </c>
      <c r="Q2072" s="4" t="n">
        <v>1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</row>
    <row r="2073" customFormat="false" ht="15" hidden="false" customHeight="false" outlineLevel="0" collapsed="false">
      <c r="A2073" s="4" t="s">
        <v>3090</v>
      </c>
      <c r="B2073" s="4" t="n">
        <v>2016</v>
      </c>
      <c r="C2073" s="4" t="str">
        <f aca="false">FLOOR(B2073,10)&amp;"s"</f>
        <v>2010s</v>
      </c>
      <c r="D2073" s="4" t="s">
        <v>3091</v>
      </c>
      <c r="E2073" s="25" t="str">
        <f aca="false">IF(G2073=1,"✓","")</f>
        <v/>
      </c>
      <c r="F2073" s="4" t="n">
        <v>1</v>
      </c>
      <c r="G2073" s="4" t="n">
        <f aca="false">IF(COUNTIF('Letterboxd Watched'!$E$2:$E$3000,M2073)&gt;0,1,0)</f>
        <v>0</v>
      </c>
      <c r="H2073" s="4" t="n">
        <v>2</v>
      </c>
      <c r="I2073" s="4" t="s">
        <v>213</v>
      </c>
      <c r="J2073" s="4" t="s">
        <v>51</v>
      </c>
      <c r="K2073" s="4" t="s">
        <v>3938</v>
      </c>
      <c r="L2073" s="48" t="str">
        <f aca="false">HYPERLINK("https://letterboxd.com/search/films/A+Silent+Voice+2016/","open")</f>
        <v>open</v>
      </c>
      <c r="M2073" s="4" t="str">
        <f aca="false">LOWER(A2073)&amp;"|"&amp;B2073</f>
        <v>a silent voice|2016</v>
      </c>
      <c r="N2073" s="4" t="n">
        <v>0</v>
      </c>
      <c r="O2073" s="4" t="n">
        <v>0</v>
      </c>
      <c r="P2073" s="4" t="n">
        <v>1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</row>
    <row r="2074" customFormat="false" ht="15" hidden="false" customHeight="false" outlineLevel="0" collapsed="false">
      <c r="A2074" s="4" t="s">
        <v>2389</v>
      </c>
      <c r="B2074" s="4" t="n">
        <v>1983</v>
      </c>
      <c r="C2074" s="4" t="str">
        <f aca="false">FLOOR(B2074,10)&amp;"s"</f>
        <v>1980s</v>
      </c>
      <c r="D2074" s="4" t="s">
        <v>357</v>
      </c>
      <c r="E2074" s="25" t="str">
        <f aca="false">IF(G2074=1,"✓","")</f>
        <v/>
      </c>
      <c r="F2074" s="4" t="n">
        <v>1</v>
      </c>
      <c r="G2074" s="4" t="n">
        <f aca="false">IF(COUNTIF('Letterboxd Watched'!$E$2:$E$3000,M2074)&gt;0,1,0)</f>
        <v>0</v>
      </c>
      <c r="H2074" s="4" t="n">
        <v>2</v>
      </c>
      <c r="I2074" s="4" t="s">
        <v>213</v>
      </c>
      <c r="J2074" s="4" t="s">
        <v>53</v>
      </c>
      <c r="K2074" s="4" t="s">
        <v>4267</v>
      </c>
      <c r="L2074" s="48" t="str">
        <f aca="false">HYPERLINK("https://boxd.it/1RQK","open")</f>
        <v>open</v>
      </c>
      <c r="M2074" s="4" t="str">
        <f aca="false">LOWER(A2074)&amp;"|"&amp;B2074</f>
        <v>silkwood|1983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1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</row>
    <row r="2075" customFormat="false" ht="15" hidden="false" customHeight="false" outlineLevel="0" collapsed="false">
      <c r="A2075" s="4" t="s">
        <v>3012</v>
      </c>
      <c r="B2075" s="4" t="n">
        <v>2012</v>
      </c>
      <c r="C2075" s="4" t="str">
        <f aca="false">FLOOR(B2075,10)&amp;"s"</f>
        <v>2010s</v>
      </c>
      <c r="D2075" s="4" t="s">
        <v>2704</v>
      </c>
      <c r="E2075" s="25" t="str">
        <f aca="false">IF(G2075=1,"✓","")</f>
        <v>✓</v>
      </c>
      <c r="F2075" s="4" t="n">
        <v>1</v>
      </c>
      <c r="G2075" s="4" t="n">
        <f aca="false">IF(COUNTIF('Letterboxd Watched'!$E$2:$E$3000,M2075)&gt;0,1,0)</f>
        <v>1</v>
      </c>
      <c r="H2075" s="4" t="n">
        <v>2</v>
      </c>
      <c r="I2075" s="4" t="s">
        <v>213</v>
      </c>
      <c r="J2075" s="4" t="s">
        <v>55</v>
      </c>
      <c r="K2075" s="4" t="s">
        <v>4332</v>
      </c>
      <c r="L2075" s="48" t="str">
        <f aca="false">HYPERLINK("https://boxd.it/2TTo","open")</f>
        <v>open</v>
      </c>
      <c r="M2075" s="4" t="str">
        <f aca="false">LOWER(A2075)&amp;"|"&amp;B2075</f>
        <v>silver linings playbook|2012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1</v>
      </c>
      <c r="U2075" s="4" t="n">
        <v>0</v>
      </c>
      <c r="V2075" s="4" t="n">
        <v>0</v>
      </c>
      <c r="W2075" s="4" t="n">
        <v>0</v>
      </c>
    </row>
    <row r="2076" customFormat="false" ht="15" hidden="false" customHeight="false" outlineLevel="0" collapsed="false">
      <c r="A2076" s="4" t="s">
        <v>3432</v>
      </c>
      <c r="B2076" s="4" t="n">
        <v>1965</v>
      </c>
      <c r="C2076" s="4" t="str">
        <f aca="false">FLOOR(B2076,10)&amp;"s"</f>
        <v>1960s</v>
      </c>
      <c r="D2076" s="4" t="s">
        <v>402</v>
      </c>
      <c r="E2076" s="25" t="str">
        <f aca="false">IF(G2076=1,"✓","")</f>
        <v/>
      </c>
      <c r="F2076" s="4" t="n">
        <v>1</v>
      </c>
      <c r="G2076" s="4" t="n">
        <f aca="false">IF(COUNTIF('Letterboxd Watched'!$E$2:$E$3000,M2076)&gt;0,1,0)</f>
        <v>0</v>
      </c>
      <c r="H2076" s="4" t="n">
        <v>1</v>
      </c>
      <c r="I2076" s="4" t="s">
        <v>1327</v>
      </c>
      <c r="J2076" s="4" t="s">
        <v>53</v>
      </c>
      <c r="K2076" s="4" t="s">
        <v>402</v>
      </c>
      <c r="L2076" s="48" t="str">
        <f aca="false">HYPERLINK("https://letterboxd.com/search/films/Simon+of+the+Desert+1965/","open")</f>
        <v>open</v>
      </c>
      <c r="M2076" s="4" t="str">
        <f aca="false">LOWER(A2076)&amp;"|"&amp;B2076</f>
        <v>simon of the desert|1965</v>
      </c>
      <c r="N2076" s="4" t="n">
        <v>0</v>
      </c>
      <c r="O2076" s="4" t="n">
        <v>0</v>
      </c>
      <c r="P2076" s="4" t="n">
        <v>0</v>
      </c>
      <c r="Q2076" s="4" t="n">
        <v>0</v>
      </c>
      <c r="R2076" s="4" t="n">
        <v>1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</row>
    <row r="2077" customFormat="false" ht="15" hidden="false" customHeight="false" outlineLevel="0" collapsed="false">
      <c r="A2077" s="4" t="s">
        <v>2966</v>
      </c>
      <c r="B2077" s="4" t="n">
        <v>2011</v>
      </c>
      <c r="C2077" s="4" t="str">
        <f aca="false">FLOOR(B2077,10)&amp;"s"</f>
        <v>2010s</v>
      </c>
      <c r="D2077" s="4" t="s">
        <v>2325</v>
      </c>
      <c r="E2077" s="25" t="str">
        <f aca="false">IF(G2077=1,"✓","")</f>
        <v/>
      </c>
      <c r="F2077" s="4" t="n">
        <v>1</v>
      </c>
      <c r="G2077" s="4" t="n">
        <f aca="false">IF(COUNTIF('Letterboxd Watched'!$E$2:$E$3000,M2077)&gt;0,1,0)</f>
        <v>0</v>
      </c>
      <c r="H2077" s="4" t="n">
        <v>2</v>
      </c>
      <c r="I2077" s="4" t="s">
        <v>213</v>
      </c>
      <c r="J2077" s="4" t="s">
        <v>51</v>
      </c>
      <c r="K2077" s="4" t="s">
        <v>4016</v>
      </c>
      <c r="L2077" s="48" t="str">
        <f aca="false">HYPERLINK("https://letterboxd.com/search/films/A+Simple+Life+2011/","open")</f>
        <v>open</v>
      </c>
      <c r="M2077" s="4" t="str">
        <f aca="false">LOWER(A2077)&amp;"|"&amp;B2077</f>
        <v>a simple life|2011</v>
      </c>
      <c r="N2077" s="4" t="n">
        <v>0</v>
      </c>
      <c r="O2077" s="4" t="n">
        <v>0</v>
      </c>
      <c r="P2077" s="4" t="n">
        <v>1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</row>
    <row r="2078" customFormat="false" ht="15" hidden="false" customHeight="false" outlineLevel="0" collapsed="false">
      <c r="A2078" s="4" t="s">
        <v>2693</v>
      </c>
      <c r="B2078" s="4" t="n">
        <v>1998</v>
      </c>
      <c r="C2078" s="4" t="str">
        <f aca="false">FLOOR(B2078,10)&amp;"s"</f>
        <v>1990s</v>
      </c>
      <c r="D2078" s="4" t="s">
        <v>1527</v>
      </c>
      <c r="E2078" s="25" t="str">
        <f aca="false">IF(G2078=1,"✓","")</f>
        <v/>
      </c>
      <c r="F2078" s="4" t="n">
        <v>1</v>
      </c>
      <c r="G2078" s="4" t="n">
        <f aca="false">IF(COUNTIF('Letterboxd Watched'!$E$2:$E$3000,M2078)&gt;0,1,0)</f>
        <v>0</v>
      </c>
      <c r="H2078" s="4" t="n">
        <v>2</v>
      </c>
      <c r="I2078" s="4" t="s">
        <v>213</v>
      </c>
      <c r="J2078" s="4" t="s">
        <v>56</v>
      </c>
      <c r="K2078" s="4" t="s">
        <v>4422</v>
      </c>
      <c r="L2078" s="48" t="str">
        <f aca="false">HYPERLINK("https://boxd.it/1WMo","open")</f>
        <v>open</v>
      </c>
      <c r="M2078" s="4" t="str">
        <f aca="false">LOWER(A2078)&amp;"|"&amp;B2078</f>
        <v>a simple plan|1998</v>
      </c>
      <c r="N2078" s="4" t="n">
        <v>0</v>
      </c>
      <c r="O2078" s="4" t="n">
        <v>0</v>
      </c>
      <c r="P2078" s="4" t="n">
        <v>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1</v>
      </c>
      <c r="V2078" s="4" t="n">
        <v>0</v>
      </c>
      <c r="W2078" s="4" t="n">
        <v>0</v>
      </c>
    </row>
    <row r="2079" customFormat="false" ht="15" hidden="false" customHeight="false" outlineLevel="0" collapsed="false">
      <c r="A2079" s="4" t="s">
        <v>3245</v>
      </c>
      <c r="B2079" s="4" t="n">
        <v>2023</v>
      </c>
      <c r="C2079" s="4" t="str">
        <f aca="false">FLOOR(B2079,10)&amp;"s"</f>
        <v>2020s</v>
      </c>
      <c r="D2079" s="4" t="s">
        <v>3246</v>
      </c>
      <c r="E2079" s="25" t="str">
        <f aca="false">IF(G2079=1,"✓","")</f>
        <v/>
      </c>
      <c r="F2079" s="4" t="n">
        <v>1</v>
      </c>
      <c r="G2079" s="4" t="n">
        <f aca="false">IF(COUNTIF('Letterboxd Watched'!$E$2:$E$3000,M2079)&gt;0,1,0)</f>
        <v>0</v>
      </c>
      <c r="H2079" s="4" t="n">
        <v>2</v>
      </c>
      <c r="I2079" s="4" t="s">
        <v>213</v>
      </c>
      <c r="J2079" s="4" t="s">
        <v>55</v>
      </c>
      <c r="K2079" s="4" t="s">
        <v>4326</v>
      </c>
      <c r="L2079" s="48" t="str">
        <f aca="false">HYPERLINK("https://boxd.it/HIBA","open")</f>
        <v>open</v>
      </c>
      <c r="M2079" s="4" t="str">
        <f aca="false">LOWER(A2079)&amp;"|"&amp;B2079</f>
        <v>sing sing|2023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1</v>
      </c>
      <c r="U2079" s="4" t="n">
        <v>0</v>
      </c>
      <c r="V2079" s="4" t="n">
        <v>0</v>
      </c>
      <c r="W2079" s="4" t="n">
        <v>0</v>
      </c>
    </row>
    <row r="2080" customFormat="false" ht="15" hidden="false" customHeight="false" outlineLevel="0" collapsed="false">
      <c r="A2080" s="4" t="s">
        <v>3834</v>
      </c>
      <c r="B2080" s="4" t="n">
        <v>2016</v>
      </c>
      <c r="C2080" s="4" t="str">
        <f aca="false">FLOOR(B2080,10)&amp;"s"</f>
        <v>2010s</v>
      </c>
      <c r="D2080" s="4" t="s">
        <v>1406</v>
      </c>
      <c r="E2080" s="25" t="str">
        <f aca="false">IF(G2080=1,"✓","")</f>
        <v/>
      </c>
      <c r="F2080" s="4" t="n">
        <v>1</v>
      </c>
      <c r="G2080" s="4" t="n">
        <f aca="false">IF(COUNTIF('Letterboxd Watched'!$E$2:$E$3000,M2080)&gt;0,1,0)</f>
        <v>0</v>
      </c>
      <c r="H2080" s="4" t="n">
        <v>1</v>
      </c>
      <c r="I2080" s="4" t="s">
        <v>1327</v>
      </c>
      <c r="J2080" s="4" t="s">
        <v>55</v>
      </c>
      <c r="K2080" s="4" t="s">
        <v>4366</v>
      </c>
      <c r="L2080" s="48" t="str">
        <f aca="false">HYPERLINK("https://boxd.it/cOo6","open")</f>
        <v>open</v>
      </c>
      <c r="M2080" s="4" t="str">
        <f aca="false">LOWER(A2080)&amp;"|"&amp;B2080</f>
        <v>sing street|2016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0</v>
      </c>
      <c r="T2080" s="4" t="n">
        <v>1</v>
      </c>
      <c r="U2080" s="4" t="n">
        <v>0</v>
      </c>
      <c r="V2080" s="4" t="n">
        <v>0</v>
      </c>
      <c r="W2080" s="4" t="n">
        <v>0</v>
      </c>
    </row>
    <row r="2081" customFormat="false" ht="15" hidden="false" customHeight="false" outlineLevel="0" collapsed="false">
      <c r="A2081" s="4" t="s">
        <v>224</v>
      </c>
      <c r="B2081" s="4" t="n">
        <v>1952</v>
      </c>
      <c r="C2081" s="4" t="str">
        <f aca="false">FLOOR(B2081,10)&amp;"s"</f>
        <v>1950s</v>
      </c>
      <c r="D2081" s="4" t="s">
        <v>225</v>
      </c>
      <c r="E2081" s="25" t="str">
        <f aca="false">IF(G2081=1,"✓","")</f>
        <v/>
      </c>
      <c r="F2081" s="4" t="n">
        <v>6</v>
      </c>
      <c r="G2081" s="4" t="n">
        <f aca="false">IF(COUNTIF('Letterboxd Watched'!$E$2:$E$3000,M2081)&gt;0,1,0)</f>
        <v>0</v>
      </c>
      <c r="H2081" s="4" t="n">
        <v>13</v>
      </c>
      <c r="I2081" s="4" t="s">
        <v>144</v>
      </c>
      <c r="J2081" s="4" t="s">
        <v>50</v>
      </c>
      <c r="K2081" s="4" t="s">
        <v>5797</v>
      </c>
      <c r="L2081" s="48" t="str">
        <f aca="false">HYPERLINK("https://boxd.it/29oY","open")</f>
        <v>open</v>
      </c>
      <c r="M2081" s="4" t="str">
        <f aca="false">LOWER(A2081)&amp;"|"&amp;B2081</f>
        <v>singin' in the rain|1952</v>
      </c>
      <c r="N2081" s="4" t="n">
        <v>0</v>
      </c>
      <c r="O2081" s="4" t="n">
        <v>1</v>
      </c>
      <c r="P2081" s="4" t="n">
        <v>0</v>
      </c>
      <c r="Q2081" s="4" t="n">
        <v>1</v>
      </c>
      <c r="R2081" s="4" t="n">
        <v>0</v>
      </c>
      <c r="S2081" s="4" t="n">
        <v>0</v>
      </c>
      <c r="T2081" s="4" t="n">
        <v>1</v>
      </c>
      <c r="U2081" s="4" t="n">
        <v>1</v>
      </c>
      <c r="V2081" s="4" t="n">
        <v>1</v>
      </c>
      <c r="W2081" s="4" t="n">
        <v>0</v>
      </c>
    </row>
    <row r="2082" customFormat="false" ht="15" hidden="false" customHeight="false" outlineLevel="0" collapsed="false">
      <c r="A2082" s="4" t="s">
        <v>3269</v>
      </c>
      <c r="B2082" s="4" t="n">
        <v>2025</v>
      </c>
      <c r="C2082" s="4" t="str">
        <f aca="false">FLOOR(B2082,10)&amp;"s"</f>
        <v>2020s</v>
      </c>
      <c r="D2082" s="4" t="s">
        <v>3039</v>
      </c>
      <c r="E2082" s="25" t="str">
        <f aca="false">IF(G2082=1,"✓","")</f>
        <v/>
      </c>
      <c r="F2082" s="4" t="n">
        <v>1</v>
      </c>
      <c r="G2082" s="4" t="n">
        <f aca="false">IF(COUNTIF('Letterboxd Watched'!$E$2:$E$3000,M2082)&gt;0,1,0)</f>
        <v>0</v>
      </c>
      <c r="H2082" s="4" t="n">
        <v>2</v>
      </c>
      <c r="I2082" s="4" t="s">
        <v>213</v>
      </c>
      <c r="J2082" s="4" t="s">
        <v>54</v>
      </c>
      <c r="K2082" s="4" t="s">
        <v>4290</v>
      </c>
      <c r="L2082" s="48" t="str">
        <f aca="false">HYPERLINK("https://boxd.it/KQMM","open")</f>
        <v>open</v>
      </c>
      <c r="M2082" s="4" t="str">
        <f aca="false">LOWER(A2082)&amp;"|"&amp;B2082</f>
        <v>sinners|2025</v>
      </c>
      <c r="N2082" s="4" t="n">
        <v>0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1</v>
      </c>
      <c r="T2082" s="4" t="n">
        <v>0</v>
      </c>
      <c r="U2082" s="4" t="n">
        <v>0</v>
      </c>
      <c r="V2082" s="4" t="n">
        <v>0</v>
      </c>
      <c r="W2082" s="4" t="n">
        <v>0</v>
      </c>
    </row>
    <row r="2083" customFormat="false" ht="15" hidden="false" customHeight="false" outlineLevel="0" collapsed="false">
      <c r="A2083" s="4" t="s">
        <v>1348</v>
      </c>
      <c r="B2083" s="4" t="n">
        <v>1972</v>
      </c>
      <c r="C2083" s="4" t="str">
        <f aca="false">FLOOR(B2083,10)&amp;"s"</f>
        <v>1970s</v>
      </c>
      <c r="D2083" s="4" t="s">
        <v>488</v>
      </c>
      <c r="E2083" s="25" t="str">
        <f aca="false">IF(G2083=1,"✓","")</f>
        <v/>
      </c>
      <c r="F2083" s="4" t="n">
        <v>2</v>
      </c>
      <c r="G2083" s="4" t="n">
        <f aca="false">IF(COUNTIF('Letterboxd Watched'!$E$2:$E$3000,M2083)&gt;0,1,0)</f>
        <v>0</v>
      </c>
      <c r="H2083" s="4" t="n">
        <v>3</v>
      </c>
      <c r="I2083" s="4" t="s">
        <v>213</v>
      </c>
      <c r="J2083" s="4" t="s">
        <v>52</v>
      </c>
      <c r="K2083" s="4" t="s">
        <v>5664</v>
      </c>
      <c r="L2083" s="48" t="str">
        <f aca="false">HYPERLINK("https://boxd.it/1AMc","open")</f>
        <v>open</v>
      </c>
      <c r="M2083" s="4" t="str">
        <f aca="false">LOWER(A2083)&amp;"|"&amp;B2083</f>
        <v>sisters|1972</v>
      </c>
      <c r="N2083" s="4" t="n">
        <v>0</v>
      </c>
      <c r="O2083" s="4" t="n">
        <v>0</v>
      </c>
      <c r="P2083" s="4" t="n">
        <v>0</v>
      </c>
      <c r="Q2083" s="4" t="n">
        <v>1</v>
      </c>
      <c r="R2083" s="4" t="n">
        <v>1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</row>
    <row r="2084" customFormat="false" ht="15" hidden="false" customHeight="false" outlineLevel="0" collapsed="false">
      <c r="A2084" s="4" t="s">
        <v>1308</v>
      </c>
      <c r="B2084" s="4" t="n">
        <v>1936</v>
      </c>
      <c r="C2084" s="4" t="str">
        <f aca="false">FLOOR(B2084,10)&amp;"s"</f>
        <v>1930s</v>
      </c>
      <c r="D2084" s="4" t="s">
        <v>286</v>
      </c>
      <c r="E2084" s="25" t="str">
        <f aca="false">IF(G2084=1,"✓","")</f>
        <v/>
      </c>
      <c r="F2084" s="4" t="n">
        <v>2</v>
      </c>
      <c r="G2084" s="4" t="n">
        <f aca="false">IF(COUNTIF('Letterboxd Watched'!$E$2:$E$3000,M2084)&gt;0,1,0)</f>
        <v>0</v>
      </c>
      <c r="H2084" s="4" t="n">
        <v>3</v>
      </c>
      <c r="I2084" s="4" t="s">
        <v>213</v>
      </c>
      <c r="J2084" s="4" t="s">
        <v>51</v>
      </c>
      <c r="K2084" s="4" t="s">
        <v>5411</v>
      </c>
      <c r="L2084" s="48" t="str">
        <f aca="false">HYPERLINK("https://boxd.it/2AC4","open")</f>
        <v>open</v>
      </c>
      <c r="M2084" s="4" t="str">
        <f aca="false">LOWER(A2084)&amp;"|"&amp;B2084</f>
        <v>sisters of the gion|1936</v>
      </c>
      <c r="N2084" s="4" t="n">
        <v>0</v>
      </c>
      <c r="O2084" s="4" t="n">
        <v>0</v>
      </c>
      <c r="P2084" s="4" t="n">
        <v>1</v>
      </c>
      <c r="Q2084" s="4" t="n">
        <v>0</v>
      </c>
      <c r="R2084" s="4" t="n">
        <v>1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</row>
    <row r="2085" customFormat="false" ht="15" hidden="false" customHeight="false" outlineLevel="0" collapsed="false">
      <c r="A2085" s="4" t="s">
        <v>1131</v>
      </c>
      <c r="B2085" s="4" t="n">
        <v>1999</v>
      </c>
      <c r="C2085" s="4" t="str">
        <f aca="false">FLOOR(B2085,10)&amp;"s"</f>
        <v>1990s</v>
      </c>
      <c r="D2085" s="4" t="s">
        <v>1132</v>
      </c>
      <c r="E2085" s="25" t="str">
        <f aca="false">IF(G2085=1,"✓","")</f>
        <v/>
      </c>
      <c r="F2085" s="4" t="n">
        <v>2</v>
      </c>
      <c r="G2085" s="4" t="n">
        <f aca="false">IF(COUNTIF('Letterboxd Watched'!$E$2:$E$3000,M2085)&gt;0,1,0)</f>
        <v>0</v>
      </c>
      <c r="H2085" s="4" t="n">
        <v>4</v>
      </c>
      <c r="I2085" s="4" t="s">
        <v>213</v>
      </c>
      <c r="J2085" s="4" t="s">
        <v>54</v>
      </c>
      <c r="K2085" s="4" t="s">
        <v>5798</v>
      </c>
      <c r="L2085" s="48" t="str">
        <f aca="false">HYPERLINK("https://boxd.it/29Js","open")</f>
        <v>open</v>
      </c>
      <c r="M2085" s="4" t="str">
        <f aca="false">LOWER(A2085)&amp;"|"&amp;B2085</f>
        <v>the sixth sense|1999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1</v>
      </c>
      <c r="T2085" s="4" t="n">
        <v>0</v>
      </c>
      <c r="U2085" s="4" t="n">
        <v>0</v>
      </c>
      <c r="V2085" s="4" t="n">
        <v>1</v>
      </c>
      <c r="W2085" s="4" t="n">
        <v>0</v>
      </c>
    </row>
    <row r="2086" customFormat="false" ht="15" hidden="false" customHeight="false" outlineLevel="0" collapsed="false">
      <c r="A2086" s="4" t="s">
        <v>2976</v>
      </c>
      <c r="B2086" s="4" t="n">
        <v>2011</v>
      </c>
      <c r="C2086" s="4" t="str">
        <f aca="false">FLOOR(B2086,10)&amp;"s"</f>
        <v>2010s</v>
      </c>
      <c r="D2086" s="4" t="s">
        <v>1087</v>
      </c>
      <c r="E2086" s="25" t="str">
        <f aca="false">IF(G2086=1,"✓","")</f>
        <v/>
      </c>
      <c r="F2086" s="4" t="n">
        <v>1</v>
      </c>
      <c r="G2086" s="4" t="n">
        <f aca="false">IF(COUNTIF('Letterboxd Watched'!$E$2:$E$3000,M2086)&gt;0,1,0)</f>
        <v>0</v>
      </c>
      <c r="H2086" s="4" t="n">
        <v>2</v>
      </c>
      <c r="I2086" s="4" t="s">
        <v>213</v>
      </c>
      <c r="J2086" s="4" t="s">
        <v>53</v>
      </c>
      <c r="K2086" s="4" t="s">
        <v>1087</v>
      </c>
      <c r="L2086" s="48" t="str">
        <f aca="false">HYPERLINK("https://boxd.it/99A","open")</f>
        <v>open</v>
      </c>
      <c r="M2086" s="4" t="str">
        <f aca="false">LOWER(A2086)&amp;"|"&amp;B2086</f>
        <v>the skin i live in|2011</v>
      </c>
      <c r="N2086" s="4" t="n">
        <v>0</v>
      </c>
      <c r="O2086" s="4" t="n">
        <v>0</v>
      </c>
      <c r="P2086" s="4" t="n">
        <v>0</v>
      </c>
      <c r="Q2086" s="4" t="n">
        <v>0</v>
      </c>
      <c r="R2086" s="4" t="n">
        <v>1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</row>
    <row r="2087" customFormat="false" ht="15" hidden="false" customHeight="false" outlineLevel="0" collapsed="false">
      <c r="A2087" s="4" t="s">
        <v>370</v>
      </c>
      <c r="B2087" s="4" t="n">
        <v>1990</v>
      </c>
      <c r="C2087" s="4" t="str">
        <f aca="false">FLOOR(B2087,10)&amp;"s"</f>
        <v>1990s</v>
      </c>
      <c r="D2087" s="4" t="s">
        <v>320</v>
      </c>
      <c r="E2087" s="25" t="str">
        <f aca="false">IF(G2087=1,"✓","")</f>
        <v/>
      </c>
      <c r="F2087" s="4" t="n">
        <v>4</v>
      </c>
      <c r="G2087" s="4" t="n">
        <f aca="false">IF(COUNTIF('Letterboxd Watched'!$E$2:$E$3000,M2087)&gt;0,1,0)</f>
        <v>0</v>
      </c>
      <c r="H2087" s="4" t="n">
        <v>9</v>
      </c>
      <c r="I2087" s="4" t="s">
        <v>144</v>
      </c>
      <c r="J2087" s="4" t="s">
        <v>50</v>
      </c>
      <c r="K2087" s="4" t="s">
        <v>5799</v>
      </c>
      <c r="L2087" s="48" t="str">
        <f aca="false">HYPERLINK("https://boxd.it/1OUu","open")</f>
        <v>open</v>
      </c>
      <c r="M2087" s="4" t="str">
        <f aca="false">LOWER(A2087)&amp;"|"&amp;B2087</f>
        <v>slacker|1990</v>
      </c>
      <c r="N2087" s="4" t="n">
        <v>0</v>
      </c>
      <c r="O2087" s="4" t="n">
        <v>1</v>
      </c>
      <c r="P2087" s="4" t="n">
        <v>0</v>
      </c>
      <c r="Q2087" s="4" t="n">
        <v>0</v>
      </c>
      <c r="R2087" s="4" t="n">
        <v>1</v>
      </c>
      <c r="S2087" s="4" t="n">
        <v>0</v>
      </c>
      <c r="T2087" s="4" t="n">
        <v>0</v>
      </c>
      <c r="U2087" s="4" t="n">
        <v>1</v>
      </c>
      <c r="V2087" s="4" t="n">
        <v>0</v>
      </c>
      <c r="W2087" s="4" t="n">
        <v>1</v>
      </c>
    </row>
    <row r="2088" customFormat="false" ht="15" hidden="false" customHeight="false" outlineLevel="0" collapsed="false">
      <c r="A2088" s="4" t="s">
        <v>2303</v>
      </c>
      <c r="B2088" s="4" t="n">
        <v>1977</v>
      </c>
      <c r="C2088" s="4" t="str">
        <f aca="false">FLOOR(B2088,10)&amp;"s"</f>
        <v>1970s</v>
      </c>
      <c r="D2088" s="4" t="s">
        <v>797</v>
      </c>
      <c r="E2088" s="25" t="str">
        <f aca="false">IF(G2088=1,"✓","")</f>
        <v/>
      </c>
      <c r="F2088" s="4" t="n">
        <v>1</v>
      </c>
      <c r="G2088" s="4" t="n">
        <f aca="false">IF(COUNTIF('Letterboxd Watched'!$E$2:$E$3000,M2088)&gt;0,1,0)</f>
        <v>0</v>
      </c>
      <c r="H2088" s="4" t="n">
        <v>2</v>
      </c>
      <c r="I2088" s="4" t="s">
        <v>213</v>
      </c>
      <c r="J2088" s="4" t="s">
        <v>55</v>
      </c>
      <c r="K2088" s="4" t="s">
        <v>4364</v>
      </c>
      <c r="L2088" s="48" t="str">
        <f aca="false">HYPERLINK("https://boxd.it/1TtS","open")</f>
        <v>open</v>
      </c>
      <c r="M2088" s="4" t="str">
        <f aca="false">LOWER(A2088)&amp;"|"&amp;B2088</f>
        <v>slap shot|1977</v>
      </c>
      <c r="N2088" s="4" t="n">
        <v>0</v>
      </c>
      <c r="O2088" s="4" t="n">
        <v>0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1</v>
      </c>
      <c r="U2088" s="4" t="n">
        <v>0</v>
      </c>
      <c r="V2088" s="4" t="n">
        <v>0</v>
      </c>
      <c r="W2088" s="4" t="n">
        <v>0</v>
      </c>
    </row>
    <row r="2089" customFormat="false" ht="15" hidden="false" customHeight="false" outlineLevel="0" collapsed="false">
      <c r="A2089" s="4" t="s">
        <v>2212</v>
      </c>
      <c r="B2089" s="4" t="n">
        <v>1972</v>
      </c>
      <c r="C2089" s="4" t="str">
        <f aca="false">FLOOR(B2089,10)&amp;"s"</f>
        <v>1970s</v>
      </c>
      <c r="D2089" s="4" t="s">
        <v>797</v>
      </c>
      <c r="E2089" s="25" t="str">
        <f aca="false">IF(G2089=1,"✓","")</f>
        <v/>
      </c>
      <c r="F2089" s="4" t="n">
        <v>1</v>
      </c>
      <c r="G2089" s="4" t="n">
        <f aca="false">IF(COUNTIF('Letterboxd Watched'!$E$2:$E$3000,M2089)&gt;0,1,0)</f>
        <v>0</v>
      </c>
      <c r="H2089" s="4" t="n">
        <v>2</v>
      </c>
      <c r="I2089" s="4" t="s">
        <v>213</v>
      </c>
      <c r="J2089" s="4" t="s">
        <v>55</v>
      </c>
      <c r="K2089" s="4" t="s">
        <v>4336</v>
      </c>
      <c r="L2089" s="48" t="str">
        <f aca="false">HYPERLINK("https://boxd.it/1xrU","open")</f>
        <v>open</v>
      </c>
      <c r="M2089" s="4" t="str">
        <f aca="false">LOWER(A2089)&amp;"|"&amp;B2089</f>
        <v>slaughterhouse-five|1972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1</v>
      </c>
      <c r="U2089" s="4" t="n">
        <v>0</v>
      </c>
      <c r="V2089" s="4" t="n">
        <v>0</v>
      </c>
      <c r="W2089" s="4" t="n">
        <v>0</v>
      </c>
    </row>
    <row r="2090" customFormat="false" ht="15" hidden="false" customHeight="false" outlineLevel="0" collapsed="false">
      <c r="A2090" s="4" t="s">
        <v>2380</v>
      </c>
      <c r="B2090" s="4" t="n">
        <v>1983</v>
      </c>
      <c r="C2090" s="4" t="str">
        <f aca="false">FLOOR(B2090,10)&amp;"s"</f>
        <v>1980s</v>
      </c>
      <c r="D2090" s="4" t="s">
        <v>2381</v>
      </c>
      <c r="E2090" s="25" t="str">
        <f aca="false">IF(G2090=1,"✓","")</f>
        <v/>
      </c>
      <c r="F2090" s="4" t="n">
        <v>1</v>
      </c>
      <c r="G2090" s="4" t="n">
        <f aca="false">IF(COUNTIF('Letterboxd Watched'!$E$2:$E$3000,M2090)&gt;0,1,0)</f>
        <v>0</v>
      </c>
      <c r="H2090" s="4" t="n">
        <v>2</v>
      </c>
      <c r="I2090" s="4" t="s">
        <v>213</v>
      </c>
      <c r="J2090" s="4" t="s">
        <v>52</v>
      </c>
      <c r="K2090" s="4" t="s">
        <v>4070</v>
      </c>
      <c r="L2090" s="48" t="str">
        <f aca="false">HYPERLINK("https://boxd.it/1PSY","open")</f>
        <v>open</v>
      </c>
      <c r="M2090" s="4" t="str">
        <f aca="false">LOWER(A2090)&amp;"|"&amp;B2090</f>
        <v>sleepaway camp|1983</v>
      </c>
      <c r="N2090" s="4" t="n">
        <v>0</v>
      </c>
      <c r="O2090" s="4" t="n">
        <v>0</v>
      </c>
      <c r="P2090" s="4" t="n">
        <v>0</v>
      </c>
      <c r="Q2090" s="4" t="n">
        <v>1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</row>
    <row r="2091" customFormat="false" ht="15" hidden="false" customHeight="false" outlineLevel="0" collapsed="false">
      <c r="A2091" s="4" t="s">
        <v>1963</v>
      </c>
      <c r="B2091" s="4" t="n">
        <v>1959</v>
      </c>
      <c r="C2091" s="4" t="str">
        <f aca="false">FLOOR(B2091,10)&amp;"s"</f>
        <v>1950s</v>
      </c>
      <c r="D2091" s="4" t="s">
        <v>1964</v>
      </c>
      <c r="E2091" s="25" t="str">
        <f aca="false">IF(G2091=1,"✓","")</f>
        <v/>
      </c>
      <c r="F2091" s="4" t="n">
        <v>1</v>
      </c>
      <c r="G2091" s="4" t="n">
        <f aca="false">IF(COUNTIF('Letterboxd Watched'!$E$2:$E$3000,M2091)&gt;0,1,0)</f>
        <v>0</v>
      </c>
      <c r="H2091" s="4" t="n">
        <v>2</v>
      </c>
      <c r="I2091" s="4" t="s">
        <v>213</v>
      </c>
      <c r="J2091" s="4" t="s">
        <v>52</v>
      </c>
      <c r="K2091" s="4" t="s">
        <v>4162</v>
      </c>
      <c r="L2091" s="48" t="str">
        <f aca="false">HYPERLINK("https://boxd.it/1V9A","open")</f>
        <v>open</v>
      </c>
      <c r="M2091" s="4" t="str">
        <f aca="false">LOWER(A2091)&amp;"|"&amp;B2091</f>
        <v>sleeping beauty|1959</v>
      </c>
      <c r="N2091" s="4" t="n">
        <v>0</v>
      </c>
      <c r="O2091" s="4" t="n">
        <v>0</v>
      </c>
      <c r="P2091" s="4" t="n">
        <v>0</v>
      </c>
      <c r="Q2091" s="4" t="n">
        <v>1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</row>
    <row r="2092" customFormat="false" ht="15" hidden="false" customHeight="false" outlineLevel="0" collapsed="false">
      <c r="A2092" s="4" t="s">
        <v>2566</v>
      </c>
      <c r="B2092" s="4" t="n">
        <v>1993</v>
      </c>
      <c r="C2092" s="4" t="str">
        <f aca="false">FLOOR(B2092,10)&amp;"s"</f>
        <v>1990s</v>
      </c>
      <c r="D2092" s="4" t="s">
        <v>2567</v>
      </c>
      <c r="E2092" s="25" t="str">
        <f aca="false">IF(G2092=1,"✓","")</f>
        <v>✓</v>
      </c>
      <c r="F2092" s="4" t="n">
        <v>1</v>
      </c>
      <c r="G2092" s="4" t="n">
        <f aca="false">IF(COUNTIF('Letterboxd Watched'!$E$2:$E$3000,M2092)&gt;0,1,0)</f>
        <v>1</v>
      </c>
      <c r="H2092" s="4" t="n">
        <v>2</v>
      </c>
      <c r="I2092" s="4" t="s">
        <v>213</v>
      </c>
      <c r="J2092" s="4" t="s">
        <v>52</v>
      </c>
      <c r="K2092" s="4" t="s">
        <v>4152</v>
      </c>
      <c r="L2092" s="48" t="str">
        <f aca="false">HYPERLINK("https://boxd.it/29re","open")</f>
        <v>open</v>
      </c>
      <c r="M2092" s="4" t="str">
        <f aca="false">LOWER(A2092)&amp;"|"&amp;B2092</f>
        <v>sleepless in seattle|1993</v>
      </c>
      <c r="N2092" s="4" t="n">
        <v>0</v>
      </c>
      <c r="O2092" s="4" t="n">
        <v>0</v>
      </c>
      <c r="P2092" s="4" t="n">
        <v>0</v>
      </c>
      <c r="Q2092" s="4" t="n">
        <v>1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</row>
    <row r="2093" customFormat="false" ht="15" hidden="false" customHeight="false" outlineLevel="0" collapsed="false">
      <c r="A2093" s="4" t="s">
        <v>2714</v>
      </c>
      <c r="B2093" s="4" t="n">
        <v>1999</v>
      </c>
      <c r="C2093" s="4" t="str">
        <f aca="false">FLOOR(B2093,10)&amp;"s"</f>
        <v>1990s</v>
      </c>
      <c r="D2093" s="4" t="s">
        <v>1111</v>
      </c>
      <c r="E2093" s="25" t="str">
        <f aca="false">IF(G2093=1,"✓","")</f>
        <v/>
      </c>
      <c r="F2093" s="4" t="n">
        <v>1</v>
      </c>
      <c r="G2093" s="4" t="n">
        <f aca="false">IF(COUNTIF('Letterboxd Watched'!$E$2:$E$3000,M2093)&gt;0,1,0)</f>
        <v>0</v>
      </c>
      <c r="H2093" s="4" t="n">
        <v>2</v>
      </c>
      <c r="I2093" s="4" t="s">
        <v>213</v>
      </c>
      <c r="J2093" s="4" t="s">
        <v>56</v>
      </c>
      <c r="K2093" s="4" t="s">
        <v>4418</v>
      </c>
      <c r="L2093" s="48" t="str">
        <f aca="false">HYPERLINK("https://boxd.it/26u0","open")</f>
        <v>open</v>
      </c>
      <c r="M2093" s="4" t="str">
        <f aca="false">LOWER(A2093)&amp;"|"&amp;B2093</f>
        <v>sleepy hollow|1999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1</v>
      </c>
      <c r="V2093" s="4" t="n">
        <v>0</v>
      </c>
      <c r="W2093" s="4" t="n">
        <v>0</v>
      </c>
    </row>
    <row r="2094" customFormat="false" ht="15" hidden="false" customHeight="false" outlineLevel="0" collapsed="false">
      <c r="A2094" s="4" t="s">
        <v>2214</v>
      </c>
      <c r="B2094" s="4" t="n">
        <v>1972</v>
      </c>
      <c r="C2094" s="4" t="str">
        <f aca="false">FLOOR(B2094,10)&amp;"s"</f>
        <v>1970s</v>
      </c>
      <c r="D2094" s="4" t="s">
        <v>933</v>
      </c>
      <c r="E2094" s="25" t="str">
        <f aca="false">IF(G2094=1,"✓","")</f>
        <v/>
      </c>
      <c r="F2094" s="4" t="n">
        <v>1</v>
      </c>
      <c r="G2094" s="4" t="n">
        <f aca="false">IF(COUNTIF('Letterboxd Watched'!$E$2:$E$3000,M2094)&gt;0,1,0)</f>
        <v>0</v>
      </c>
      <c r="H2094" s="4" t="n">
        <v>2</v>
      </c>
      <c r="I2094" s="4" t="s">
        <v>213</v>
      </c>
      <c r="J2094" s="4" t="s">
        <v>56</v>
      </c>
      <c r="K2094" s="4" t="s">
        <v>4378</v>
      </c>
      <c r="L2094" s="48" t="str">
        <f aca="false">HYPERLINK("https://boxd.it/298c","open")</f>
        <v>open</v>
      </c>
      <c r="M2094" s="4" t="str">
        <f aca="false">LOWER(A2094)&amp;"|"&amp;B2094</f>
        <v>sleuth|1972</v>
      </c>
      <c r="N2094" s="4" t="n">
        <v>0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1</v>
      </c>
      <c r="V2094" s="4" t="n">
        <v>0</v>
      </c>
      <c r="W2094" s="4" t="n">
        <v>0</v>
      </c>
    </row>
    <row r="2095" customFormat="false" ht="15" hidden="false" customHeight="false" outlineLevel="0" collapsed="false">
      <c r="A2095" s="4" t="s">
        <v>2657</v>
      </c>
      <c r="B2095" s="4" t="n">
        <v>1996</v>
      </c>
      <c r="C2095" s="4" t="str">
        <f aca="false">FLOOR(B2095,10)&amp;"s"</f>
        <v>1990s</v>
      </c>
      <c r="D2095" s="4" t="s">
        <v>2658</v>
      </c>
      <c r="E2095" s="25" t="str">
        <f aca="false">IF(G2095=1,"✓","")</f>
        <v/>
      </c>
      <c r="F2095" s="4" t="n">
        <v>1</v>
      </c>
      <c r="G2095" s="4" t="n">
        <f aca="false">IF(COUNTIF('Letterboxd Watched'!$E$2:$E$3000,M2095)&gt;0,1,0)</f>
        <v>0</v>
      </c>
      <c r="H2095" s="4" t="n">
        <v>2</v>
      </c>
      <c r="I2095" s="4" t="s">
        <v>213</v>
      </c>
      <c r="J2095" s="4" t="s">
        <v>56</v>
      </c>
      <c r="K2095" s="4" t="s">
        <v>4392</v>
      </c>
      <c r="L2095" s="48" t="str">
        <f aca="false">HYPERLINK("https://boxd.it/1RRo","open")</f>
        <v>open</v>
      </c>
      <c r="M2095" s="4" t="str">
        <f aca="false">LOWER(A2095)&amp;"|"&amp;B2095</f>
        <v>sling blade|1996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1</v>
      </c>
      <c r="V2095" s="4" t="n">
        <v>0</v>
      </c>
      <c r="W2095" s="4" t="n">
        <v>0</v>
      </c>
    </row>
    <row r="2096" customFormat="false" ht="15" hidden="false" customHeight="false" outlineLevel="0" collapsed="false">
      <c r="A2096" s="4" t="s">
        <v>3354</v>
      </c>
      <c r="B2096" s="4" t="n">
        <v>1949</v>
      </c>
      <c r="C2096" s="4" t="str">
        <f aca="false">FLOOR(B2096,10)&amp;"s"</f>
        <v>1940s</v>
      </c>
      <c r="D2096" s="4" t="s">
        <v>453</v>
      </c>
      <c r="E2096" s="25" t="str">
        <f aca="false">IF(G2096=1,"✓","")</f>
        <v/>
      </c>
      <c r="F2096" s="4" t="n">
        <v>1</v>
      </c>
      <c r="G2096" s="4" t="n">
        <f aca="false">IF(COUNTIF('Letterboxd Watched'!$E$2:$E$3000,M2096)&gt;0,1,0)</f>
        <v>0</v>
      </c>
      <c r="H2096" s="4" t="n">
        <v>1</v>
      </c>
      <c r="I2096" s="4" t="s">
        <v>1327</v>
      </c>
      <c r="J2096" s="4" t="s">
        <v>51</v>
      </c>
      <c r="K2096" s="4" t="s">
        <v>3976</v>
      </c>
      <c r="L2096" s="48" t="str">
        <f aca="false">HYPERLINK("https://boxd.it/NXU","open")</f>
        <v>open</v>
      </c>
      <c r="M2096" s="4" t="str">
        <f aca="false">LOWER(A2096)&amp;"|"&amp;B2096</f>
        <v>the small back room|1949</v>
      </c>
      <c r="N2096" s="4" t="n">
        <v>0</v>
      </c>
      <c r="O2096" s="4" t="n">
        <v>0</v>
      </c>
      <c r="P2096" s="4" t="n">
        <v>1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</row>
    <row r="2097" customFormat="false" ht="15" hidden="false" customHeight="false" outlineLevel="0" collapsed="false">
      <c r="A2097" s="4" t="s">
        <v>1926</v>
      </c>
      <c r="B2097" s="4" t="n">
        <v>1955</v>
      </c>
      <c r="C2097" s="4" t="str">
        <f aca="false">FLOOR(B2097,10)&amp;"s"</f>
        <v>1950s</v>
      </c>
      <c r="D2097" s="4" t="s">
        <v>170</v>
      </c>
      <c r="E2097" s="25" t="str">
        <f aca="false">IF(G2097=1,"✓","")</f>
        <v/>
      </c>
      <c r="F2097" s="4" t="n">
        <v>1</v>
      </c>
      <c r="G2097" s="4" t="n">
        <f aca="false">IF(COUNTIF('Letterboxd Watched'!$E$2:$E$3000,M2097)&gt;0,1,0)</f>
        <v>0</v>
      </c>
      <c r="H2097" s="4" t="n">
        <v>2</v>
      </c>
      <c r="I2097" s="4" t="s">
        <v>213</v>
      </c>
      <c r="J2097" s="4" t="s">
        <v>53</v>
      </c>
      <c r="K2097" s="4" t="s">
        <v>170</v>
      </c>
      <c r="L2097" s="48" t="str">
        <f aca="false">HYPERLINK("https://boxd.it/1TcM","open")</f>
        <v>open</v>
      </c>
      <c r="M2097" s="4" t="str">
        <f aca="false">LOWER(A2097)&amp;"|"&amp;B2097</f>
        <v>smiles of a summer night|1955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1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</row>
    <row r="2098" customFormat="false" ht="15" hidden="false" customHeight="false" outlineLevel="0" collapsed="false">
      <c r="A2098" s="4" t="s">
        <v>3281</v>
      </c>
      <c r="B2098" s="4" t="n">
        <v>1923</v>
      </c>
      <c r="C2098" s="4" t="str">
        <f aca="false">FLOOR(B2098,10)&amp;"s"</f>
        <v>1920s</v>
      </c>
      <c r="D2098" s="4" t="s">
        <v>1699</v>
      </c>
      <c r="E2098" s="25" t="str">
        <f aca="false">IF(G2098=1,"✓","")</f>
        <v/>
      </c>
      <c r="F2098" s="4" t="n">
        <v>1</v>
      </c>
      <c r="G2098" s="4" t="n">
        <f aca="false">IF(COUNTIF('Letterboxd Watched'!$E$2:$E$3000,M2098)&gt;0,1,0)</f>
        <v>0</v>
      </c>
      <c r="H2098" s="4" t="n">
        <v>1</v>
      </c>
      <c r="I2098" s="4" t="s">
        <v>1327</v>
      </c>
      <c r="J2098" s="4" t="s">
        <v>50</v>
      </c>
      <c r="K2098" s="4" t="s">
        <v>3902</v>
      </c>
      <c r="L2098" s="48" t="str">
        <f aca="false">HYPERLINK("https://letterboxd.com/search/films/The+Smiling+Madame+Beudet+1923/","open")</f>
        <v>open</v>
      </c>
      <c r="M2098" s="4" t="str">
        <f aca="false">LOWER(A2098)&amp;"|"&amp;B2098</f>
        <v>the smiling madame beudet|1923</v>
      </c>
      <c r="N2098" s="4" t="n">
        <v>0</v>
      </c>
      <c r="O2098" s="4" t="n">
        <v>1</v>
      </c>
      <c r="P2098" s="4" t="n">
        <v>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</row>
    <row r="2099" customFormat="false" ht="15" hidden="false" customHeight="false" outlineLevel="0" collapsed="false">
      <c r="A2099" s="4" t="s">
        <v>1571</v>
      </c>
      <c r="B2099" s="4" t="n">
        <v>1998</v>
      </c>
      <c r="C2099" s="4" t="str">
        <f aca="false">FLOOR(B2099,10)&amp;"s"</f>
        <v>1990s</v>
      </c>
      <c r="D2099" s="4" t="s">
        <v>1572</v>
      </c>
      <c r="E2099" s="25" t="str">
        <f aca="false">IF(G2099=1,"✓","")</f>
        <v/>
      </c>
      <c r="F2099" s="4" t="n">
        <v>1</v>
      </c>
      <c r="G2099" s="4" t="n">
        <f aca="false">IF(COUNTIF('Letterboxd Watched'!$E$2:$E$3000,M2099)&gt;0,1,0)</f>
        <v>0</v>
      </c>
      <c r="H2099" s="4" t="n">
        <v>3</v>
      </c>
      <c r="I2099" s="4" t="s">
        <v>144</v>
      </c>
      <c r="J2099" s="4" t="s">
        <v>54</v>
      </c>
      <c r="K2099" s="4" t="s">
        <v>4294</v>
      </c>
      <c r="L2099" s="48" t="str">
        <f aca="false">HYPERLINK("https://boxd.it/1CO0","open")</f>
        <v>open</v>
      </c>
      <c r="M2099" s="4" t="str">
        <f aca="false">LOWER(A2099)&amp;"|"&amp;B2099</f>
        <v>smoke signals|1998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1</v>
      </c>
      <c r="T2099" s="4" t="n">
        <v>0</v>
      </c>
      <c r="U2099" s="4" t="n">
        <v>0</v>
      </c>
      <c r="V2099" s="4" t="n">
        <v>0</v>
      </c>
      <c r="W2099" s="4" t="n">
        <v>0</v>
      </c>
    </row>
    <row r="2100" customFormat="false" ht="15" hidden="false" customHeight="false" outlineLevel="0" collapsed="false">
      <c r="A2100" s="4" t="s">
        <v>1860</v>
      </c>
      <c r="B2100" s="4" t="n">
        <v>1948</v>
      </c>
      <c r="C2100" s="4" t="str">
        <f aca="false">FLOOR(B2100,10)&amp;"s"</f>
        <v>1940s</v>
      </c>
      <c r="D2100" s="4" t="s">
        <v>1861</v>
      </c>
      <c r="E2100" s="25" t="str">
        <f aca="false">IF(G2100=1,"✓","")</f>
        <v/>
      </c>
      <c r="F2100" s="4" t="n">
        <v>1</v>
      </c>
      <c r="G2100" s="4" t="n">
        <f aca="false">IF(COUNTIF('Letterboxd Watched'!$E$2:$E$3000,M2100)&gt;0,1,0)</f>
        <v>0</v>
      </c>
      <c r="H2100" s="4" t="n">
        <v>2</v>
      </c>
      <c r="I2100" s="4" t="s">
        <v>213</v>
      </c>
      <c r="J2100" s="4" t="s">
        <v>55</v>
      </c>
      <c r="K2100" s="4" t="s">
        <v>4332</v>
      </c>
      <c r="L2100" s="48" t="str">
        <f aca="false">HYPERLINK("https://boxd.it/aHe","open")</f>
        <v>open</v>
      </c>
      <c r="M2100" s="4" t="str">
        <f aca="false">LOWER(A2100)&amp;"|"&amp;B2100</f>
        <v>the snake pit|1948</v>
      </c>
      <c r="N2100" s="4" t="n">
        <v>0</v>
      </c>
      <c r="O2100" s="4" t="n">
        <v>0</v>
      </c>
      <c r="P2100" s="4" t="n">
        <v>0</v>
      </c>
      <c r="Q2100" s="4" t="n">
        <v>0</v>
      </c>
      <c r="R2100" s="4" t="n">
        <v>0</v>
      </c>
      <c r="S2100" s="4" t="n">
        <v>0</v>
      </c>
      <c r="T2100" s="4" t="n">
        <v>1</v>
      </c>
      <c r="U2100" s="4" t="n">
        <v>0</v>
      </c>
      <c r="V2100" s="4" t="n">
        <v>0</v>
      </c>
      <c r="W2100" s="4" t="n">
        <v>0</v>
      </c>
    </row>
    <row r="2101" customFormat="false" ht="15" hidden="false" customHeight="false" outlineLevel="0" collapsed="false">
      <c r="A2101" s="4" t="s">
        <v>735</v>
      </c>
      <c r="B2101" s="4" t="n">
        <v>1937</v>
      </c>
      <c r="C2101" s="4" t="str">
        <f aca="false">FLOOR(B2101,10)&amp;"s"</f>
        <v>1930s</v>
      </c>
      <c r="D2101" s="4" t="s">
        <v>736</v>
      </c>
      <c r="E2101" s="25" t="str">
        <f aca="false">IF(G2101=1,"✓","")</f>
        <v/>
      </c>
      <c r="F2101" s="4" t="n">
        <v>2</v>
      </c>
      <c r="G2101" s="4" t="n">
        <f aca="false">IF(COUNTIF('Letterboxd Watched'!$E$2:$E$3000,M2101)&gt;0,1,0)</f>
        <v>0</v>
      </c>
      <c r="H2101" s="4" t="n">
        <v>5</v>
      </c>
      <c r="I2101" s="4" t="s">
        <v>144</v>
      </c>
      <c r="J2101" s="4" t="s">
        <v>52</v>
      </c>
      <c r="K2101" s="4" t="s">
        <v>5800</v>
      </c>
      <c r="L2101" s="48" t="str">
        <f aca="false">HYPERLINK("https://boxd.it/2arO","open")</f>
        <v>open</v>
      </c>
      <c r="M2101" s="4" t="str">
        <f aca="false">LOWER(A2101)&amp;"|"&amp;B2101</f>
        <v>snow white and the seven dwarfs|1937</v>
      </c>
      <c r="N2101" s="4" t="n">
        <v>0</v>
      </c>
      <c r="O2101" s="4" t="n">
        <v>0</v>
      </c>
      <c r="P2101" s="4" t="n">
        <v>0</v>
      </c>
      <c r="Q2101" s="4" t="n">
        <v>1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1</v>
      </c>
      <c r="W2101" s="4" t="n">
        <v>0</v>
      </c>
    </row>
    <row r="2102" customFormat="false" ht="15" hidden="false" customHeight="false" outlineLevel="0" collapsed="false">
      <c r="A2102" s="4" t="s">
        <v>1208</v>
      </c>
      <c r="B2102" s="4" t="n">
        <v>2013</v>
      </c>
      <c r="C2102" s="4" t="str">
        <f aca="false">FLOOR(B2102,10)&amp;"s"</f>
        <v>2010s</v>
      </c>
      <c r="D2102" s="4" t="s">
        <v>276</v>
      </c>
      <c r="E2102" s="25" t="str">
        <f aca="false">IF(G2102=1,"✓","")</f>
        <v>✓</v>
      </c>
      <c r="F2102" s="4" t="n">
        <v>2</v>
      </c>
      <c r="G2102" s="4" t="n">
        <f aca="false">IF(COUNTIF('Letterboxd Watched'!$E$2:$E$3000,M2102)&gt;0,1,0)</f>
        <v>1</v>
      </c>
      <c r="H2102" s="4" t="n">
        <v>4</v>
      </c>
      <c r="I2102" s="4" t="s">
        <v>213</v>
      </c>
      <c r="J2102" s="4" t="s">
        <v>52</v>
      </c>
      <c r="K2102" s="4" t="s">
        <v>5801</v>
      </c>
      <c r="L2102" s="48" t="str">
        <f aca="false">HYPERLINK("https://boxd.it/3Icg","open")</f>
        <v>open</v>
      </c>
      <c r="M2102" s="4" t="str">
        <f aca="false">LOWER(A2102)&amp;"|"&amp;B2102</f>
        <v>snowpiercer|2013</v>
      </c>
      <c r="N2102" s="4" t="n">
        <v>0</v>
      </c>
      <c r="O2102" s="4" t="n">
        <v>0</v>
      </c>
      <c r="P2102" s="4" t="n">
        <v>0</v>
      </c>
      <c r="Q2102" s="4" t="n">
        <v>1</v>
      </c>
      <c r="R2102" s="4" t="n">
        <v>1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</row>
    <row r="2103" customFormat="false" ht="15" hidden="false" customHeight="false" outlineLevel="0" collapsed="false">
      <c r="A2103" s="4" t="s">
        <v>640</v>
      </c>
      <c r="B2103" s="4" t="n">
        <v>2010</v>
      </c>
      <c r="C2103" s="4" t="str">
        <f aca="false">FLOOR(B2103,10)&amp;"s"</f>
        <v>2010s</v>
      </c>
      <c r="D2103" s="4" t="s">
        <v>325</v>
      </c>
      <c r="E2103" s="25" t="str">
        <f aca="false">IF(G2103=1,"✓","")</f>
        <v>✓</v>
      </c>
      <c r="F2103" s="4" t="n">
        <v>3</v>
      </c>
      <c r="G2103" s="4" t="n">
        <f aca="false">IF(COUNTIF('Letterboxd Watched'!$E$2:$E$3000,M2103)&gt;0,1,0)</f>
        <v>1</v>
      </c>
      <c r="H2103" s="4" t="n">
        <v>6</v>
      </c>
      <c r="I2103" s="4" t="s">
        <v>213</v>
      </c>
      <c r="J2103" s="4" t="s">
        <v>53</v>
      </c>
      <c r="K2103" s="4" t="s">
        <v>5802</v>
      </c>
      <c r="L2103" s="48" t="str">
        <f aca="false">HYPERLINK("https://boxd.it/17ue","open")</f>
        <v>open</v>
      </c>
      <c r="M2103" s="4" t="str">
        <f aca="false">LOWER(A2103)&amp;"|"&amp;B2103</f>
        <v>the social network|2010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1</v>
      </c>
      <c r="S2103" s="4" t="n">
        <v>0</v>
      </c>
      <c r="T2103" s="4" t="n">
        <v>1</v>
      </c>
      <c r="U2103" s="4" t="n">
        <v>0</v>
      </c>
      <c r="V2103" s="4" t="n">
        <v>1</v>
      </c>
      <c r="W2103" s="4" t="n">
        <v>0</v>
      </c>
    </row>
    <row r="2104" customFormat="false" ht="15" hidden="false" customHeight="false" outlineLevel="0" collapsed="false">
      <c r="A2104" s="4" t="s">
        <v>1093</v>
      </c>
      <c r="B2104" s="4" t="n">
        <v>1989</v>
      </c>
      <c r="C2104" s="4" t="str">
        <f aca="false">FLOOR(B2104,10)&amp;"s"</f>
        <v>1980s</v>
      </c>
      <c r="D2104" s="4" t="s">
        <v>1094</v>
      </c>
      <c r="E2104" s="25" t="str">
        <f aca="false">IF(G2104=1,"✓","")</f>
        <v/>
      </c>
      <c r="F2104" s="4" t="n">
        <v>2</v>
      </c>
      <c r="G2104" s="4" t="n">
        <f aca="false">IF(COUNTIF('Letterboxd Watched'!$E$2:$E$3000,M2104)&gt;0,1,0)</f>
        <v>0</v>
      </c>
      <c r="H2104" s="4" t="n">
        <v>4</v>
      </c>
      <c r="I2104" s="4" t="s">
        <v>213</v>
      </c>
      <c r="J2104" s="4" t="s">
        <v>52</v>
      </c>
      <c r="K2104" s="4" t="s">
        <v>5735</v>
      </c>
      <c r="L2104" s="48" t="str">
        <f aca="false">HYPERLINK("https://boxd.it/1ARc","open")</f>
        <v>open</v>
      </c>
      <c r="M2104" s="4" t="str">
        <f aca="false">LOWER(A2104)&amp;"|"&amp;B2104</f>
        <v>society|1989</v>
      </c>
      <c r="N2104" s="4" t="n">
        <v>0</v>
      </c>
      <c r="O2104" s="4" t="n">
        <v>0</v>
      </c>
      <c r="P2104" s="4" t="n">
        <v>0</v>
      </c>
      <c r="Q2104" s="4" t="n">
        <v>1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1</v>
      </c>
      <c r="W2104" s="4" t="n">
        <v>0</v>
      </c>
    </row>
    <row r="2105" customFormat="false" ht="15" hidden="false" customHeight="false" outlineLevel="0" collapsed="false">
      <c r="A2105" s="4" t="s">
        <v>542</v>
      </c>
      <c r="B2105" s="4" t="n">
        <v>1972</v>
      </c>
      <c r="C2105" s="4" t="str">
        <f aca="false">FLOOR(B2105,10)&amp;"s"</f>
        <v>1970s</v>
      </c>
      <c r="D2105" s="4" t="s">
        <v>210</v>
      </c>
      <c r="E2105" s="25" t="str">
        <f aca="false">IF(G2105=1,"✓","")</f>
        <v/>
      </c>
      <c r="F2105" s="4" t="n">
        <v>3</v>
      </c>
      <c r="G2105" s="4" t="n">
        <f aca="false">IF(COUNTIF('Letterboxd Watched'!$E$2:$E$3000,M2105)&gt;0,1,0)</f>
        <v>0</v>
      </c>
      <c r="H2105" s="4" t="n">
        <v>7</v>
      </c>
      <c r="I2105" s="4" t="s">
        <v>144</v>
      </c>
      <c r="J2105" s="4" t="s">
        <v>52</v>
      </c>
      <c r="K2105" s="4" t="s">
        <v>5803</v>
      </c>
      <c r="L2105" s="48" t="str">
        <f aca="false">HYPERLINK("https://boxd.it/2a2Y","open")</f>
        <v>open</v>
      </c>
      <c r="M2105" s="4" t="str">
        <f aca="false">LOWER(A2105)&amp;"|"&amp;B2105</f>
        <v>solaris|1972</v>
      </c>
      <c r="N2105" s="4" t="n">
        <v>0</v>
      </c>
      <c r="O2105" s="4" t="n">
        <v>0</v>
      </c>
      <c r="P2105" s="4" t="n">
        <v>0</v>
      </c>
      <c r="Q2105" s="4" t="n">
        <v>1</v>
      </c>
      <c r="R2105" s="4" t="n">
        <v>1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</row>
    <row r="2106" customFormat="false" ht="15" hidden="false" customHeight="false" outlineLevel="0" collapsed="false">
      <c r="A2106" s="4" t="s">
        <v>704</v>
      </c>
      <c r="B2106" s="4" t="n">
        <v>1970</v>
      </c>
      <c r="C2106" s="4" t="str">
        <f aca="false">FLOOR(B2106,10)&amp;"s"</f>
        <v>1970s</v>
      </c>
      <c r="D2106" s="4" t="s">
        <v>705</v>
      </c>
      <c r="E2106" s="25" t="str">
        <f aca="false">IF(G2106=1,"✓","")</f>
        <v/>
      </c>
      <c r="F2106" s="4" t="n">
        <v>3</v>
      </c>
      <c r="G2106" s="4" t="n">
        <f aca="false">IF(COUNTIF('Letterboxd Watched'!$E$2:$E$3000,M2106)&gt;0,1,0)</f>
        <v>0</v>
      </c>
      <c r="H2106" s="4" t="n">
        <v>5</v>
      </c>
      <c r="I2106" s="4" t="s">
        <v>213</v>
      </c>
      <c r="J2106" s="4" t="s">
        <v>51</v>
      </c>
      <c r="K2106" s="4" t="s">
        <v>5804</v>
      </c>
      <c r="L2106" s="48" t="str">
        <f aca="false">HYPERLINK("https://letterboxd.com/search/films/Soleil+Ô+1970/","open")</f>
        <v>open</v>
      </c>
      <c r="M2106" s="4" t="str">
        <f aca="false">LOWER(A2106)&amp;"|"&amp;B2106</f>
        <v>soleil ô|1970</v>
      </c>
      <c r="N2106" s="4" t="n">
        <v>0</v>
      </c>
      <c r="O2106" s="4" t="n">
        <v>0</v>
      </c>
      <c r="P2106" s="4" t="n">
        <v>1</v>
      </c>
      <c r="Q2106" s="4" t="n">
        <v>0</v>
      </c>
      <c r="R2106" s="4" t="n">
        <v>0</v>
      </c>
      <c r="S2106" s="4" t="n">
        <v>1</v>
      </c>
      <c r="T2106" s="4" t="n">
        <v>0</v>
      </c>
      <c r="U2106" s="4" t="n">
        <v>0</v>
      </c>
      <c r="V2106" s="4" t="n">
        <v>1</v>
      </c>
      <c r="W2106" s="4" t="n">
        <v>0</v>
      </c>
    </row>
    <row r="2107" customFormat="false" ht="15" hidden="false" customHeight="false" outlineLevel="0" collapsed="false">
      <c r="A2107" s="4" t="s">
        <v>1956</v>
      </c>
      <c r="B2107" s="4" t="n">
        <v>1958</v>
      </c>
      <c r="C2107" s="4" t="str">
        <f aca="false">FLOOR(B2107,10)&amp;"s"</f>
        <v>1950s</v>
      </c>
      <c r="D2107" s="4" t="s">
        <v>570</v>
      </c>
      <c r="E2107" s="25" t="str">
        <f aca="false">IF(G2107=1,"✓","")</f>
        <v/>
      </c>
      <c r="F2107" s="4" t="n">
        <v>1</v>
      </c>
      <c r="G2107" s="4" t="n">
        <f aca="false">IF(COUNTIF('Letterboxd Watched'!$E$2:$E$3000,M2107)&gt;0,1,0)</f>
        <v>0</v>
      </c>
      <c r="H2107" s="4" t="n">
        <v>2</v>
      </c>
      <c r="I2107" s="4" t="s">
        <v>213</v>
      </c>
      <c r="J2107" s="4" t="s">
        <v>52</v>
      </c>
      <c r="K2107" s="4" t="s">
        <v>4146</v>
      </c>
      <c r="L2107" s="48" t="str">
        <f aca="false">HYPERLINK("https://boxd.it/15lO","open")</f>
        <v>open</v>
      </c>
      <c r="M2107" s="4" t="str">
        <f aca="false">LOWER(A2107)&amp;"|"&amp;B2107</f>
        <v>some came running|1958</v>
      </c>
      <c r="N2107" s="4" t="n">
        <v>0</v>
      </c>
      <c r="O2107" s="4" t="n">
        <v>0</v>
      </c>
      <c r="P2107" s="4" t="n">
        <v>0</v>
      </c>
      <c r="Q2107" s="4" t="n">
        <v>1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</row>
    <row r="2108" customFormat="false" ht="15" hidden="false" customHeight="false" outlineLevel="0" collapsed="false">
      <c r="A2108" s="4" t="s">
        <v>413</v>
      </c>
      <c r="B2108" s="4" t="n">
        <v>1959</v>
      </c>
      <c r="C2108" s="4" t="str">
        <f aca="false">FLOOR(B2108,10)&amp;"s"</f>
        <v>1950s</v>
      </c>
      <c r="D2108" s="4" t="s">
        <v>200</v>
      </c>
      <c r="E2108" s="25" t="str">
        <f aca="false">IF(G2108=1,"✓","")</f>
        <v/>
      </c>
      <c r="F2108" s="4" t="n">
        <v>4</v>
      </c>
      <c r="G2108" s="4" t="n">
        <f aca="false">IF(COUNTIF('Letterboxd Watched'!$E$2:$E$3000,M2108)&gt;0,1,0)</f>
        <v>0</v>
      </c>
      <c r="H2108" s="4" t="n">
        <v>8</v>
      </c>
      <c r="I2108" s="4" t="s">
        <v>213</v>
      </c>
      <c r="J2108" s="4" t="s">
        <v>50</v>
      </c>
      <c r="K2108" s="4" t="s">
        <v>5805</v>
      </c>
      <c r="L2108" s="48" t="str">
        <f aca="false">HYPERLINK("https://boxd.it/2aNA","open")</f>
        <v>open</v>
      </c>
      <c r="M2108" s="4" t="str">
        <f aca="false">LOWER(A2108)&amp;"|"&amp;B2108</f>
        <v>some like it hot|1959</v>
      </c>
      <c r="N2108" s="4" t="n">
        <v>0</v>
      </c>
      <c r="O2108" s="4" t="n">
        <v>1</v>
      </c>
      <c r="P2108" s="4" t="n">
        <v>0</v>
      </c>
      <c r="Q2108" s="4" t="n">
        <v>0</v>
      </c>
      <c r="R2108" s="4" t="n">
        <v>1</v>
      </c>
      <c r="S2108" s="4" t="n">
        <v>0</v>
      </c>
      <c r="T2108" s="4" t="n">
        <v>0</v>
      </c>
      <c r="U2108" s="4" t="n">
        <v>0</v>
      </c>
      <c r="V2108" s="4" t="n">
        <v>1</v>
      </c>
      <c r="W2108" s="4" t="n">
        <v>0</v>
      </c>
    </row>
    <row r="2109" customFormat="false" ht="15" hidden="false" customHeight="false" outlineLevel="0" collapsed="false">
      <c r="A2109" s="4" t="s">
        <v>2441</v>
      </c>
      <c r="B2109" s="4" t="n">
        <v>1986</v>
      </c>
      <c r="C2109" s="4" t="str">
        <f aca="false">FLOOR(B2109,10)&amp;"s"</f>
        <v>1980s</v>
      </c>
      <c r="D2109" s="4" t="s">
        <v>496</v>
      </c>
      <c r="E2109" s="25" t="str">
        <f aca="false">IF(G2109=1,"✓","")</f>
        <v/>
      </c>
      <c r="F2109" s="4" t="n">
        <v>1</v>
      </c>
      <c r="G2109" s="4" t="n">
        <f aca="false">IF(COUNTIF('Letterboxd Watched'!$E$2:$E$3000,M2109)&gt;0,1,0)</f>
        <v>0</v>
      </c>
      <c r="H2109" s="4" t="n">
        <v>2</v>
      </c>
      <c r="I2109" s="4" t="s">
        <v>213</v>
      </c>
      <c r="J2109" s="4" t="s">
        <v>54</v>
      </c>
      <c r="K2109" s="4" t="s">
        <v>4302</v>
      </c>
      <c r="L2109" s="48" t="str">
        <f aca="false">HYPERLINK("https://boxd.it/1UbU","open")</f>
        <v>open</v>
      </c>
      <c r="M2109" s="4" t="str">
        <f aca="false">LOWER(A2109)&amp;"|"&amp;B2109</f>
        <v>something wild|1986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1</v>
      </c>
      <c r="T2109" s="4" t="n">
        <v>0</v>
      </c>
      <c r="U2109" s="4" t="n">
        <v>0</v>
      </c>
      <c r="V2109" s="4" t="n">
        <v>0</v>
      </c>
      <c r="W2109" s="4" t="n">
        <v>0</v>
      </c>
    </row>
    <row r="2110" customFormat="false" ht="15" hidden="false" customHeight="false" outlineLevel="0" collapsed="false">
      <c r="A2110" s="4" t="s">
        <v>3331</v>
      </c>
      <c r="B2110" s="4" t="n">
        <v>1939</v>
      </c>
      <c r="C2110" s="4" t="str">
        <f aca="false">FLOOR(B2110,10)&amp;"s"</f>
        <v>1930s</v>
      </c>
      <c r="D2110" s="4" t="s">
        <v>3332</v>
      </c>
      <c r="E2110" s="25" t="str">
        <f aca="false">IF(G2110=1,"✓","")</f>
        <v/>
      </c>
      <c r="F2110" s="4" t="n">
        <v>1</v>
      </c>
      <c r="G2110" s="4" t="n">
        <f aca="false">IF(COUNTIF('Letterboxd Watched'!$E$2:$E$3000,M2110)&gt;0,1,0)</f>
        <v>0</v>
      </c>
      <c r="H2110" s="4" t="n">
        <v>1</v>
      </c>
      <c r="I2110" s="4" t="s">
        <v>1327</v>
      </c>
      <c r="J2110" s="4" t="s">
        <v>52</v>
      </c>
      <c r="K2110" s="4" t="s">
        <v>4058</v>
      </c>
      <c r="L2110" s="48" t="str">
        <f aca="false">HYPERLINK("https://letterboxd.com/search/films/Son+of+Frankenstein+1939/","open")</f>
        <v>open</v>
      </c>
      <c r="M2110" s="4" t="str">
        <f aca="false">LOWER(A2110)&amp;"|"&amp;B2110</f>
        <v>son of frankenstein|1939</v>
      </c>
      <c r="N2110" s="4" t="n">
        <v>0</v>
      </c>
      <c r="O2110" s="4" t="n">
        <v>0</v>
      </c>
      <c r="P2110" s="4" t="n">
        <v>0</v>
      </c>
      <c r="Q2110" s="4" t="n">
        <v>1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</row>
    <row r="2111" customFormat="false" ht="15" hidden="false" customHeight="false" outlineLevel="0" collapsed="false">
      <c r="A2111" s="4" t="s">
        <v>3066</v>
      </c>
      <c r="B2111" s="4" t="n">
        <v>2015</v>
      </c>
      <c r="C2111" s="4" t="str">
        <f aca="false">FLOOR(B2111,10)&amp;"s"</f>
        <v>2010s</v>
      </c>
      <c r="D2111" s="4" t="s">
        <v>3067</v>
      </c>
      <c r="E2111" s="25" t="str">
        <f aca="false">IF(G2111=1,"✓","")</f>
        <v/>
      </c>
      <c r="F2111" s="4" t="n">
        <v>1</v>
      </c>
      <c r="G2111" s="4" t="n">
        <f aca="false">IF(COUNTIF('Letterboxd Watched'!$E$2:$E$3000,M2111)&gt;0,1,0)</f>
        <v>0</v>
      </c>
      <c r="H2111" s="4" t="n">
        <v>2</v>
      </c>
      <c r="I2111" s="4" t="s">
        <v>213</v>
      </c>
      <c r="J2111" s="4" t="s">
        <v>51</v>
      </c>
      <c r="K2111" s="4" t="s">
        <v>3998</v>
      </c>
      <c r="L2111" s="48" t="str">
        <f aca="false">HYPERLINK("https://letterboxd.com/search/films/Son+of+Saul+2015/","open")</f>
        <v>open</v>
      </c>
      <c r="M2111" s="4" t="str">
        <f aca="false">LOWER(A2111)&amp;"|"&amp;B2111</f>
        <v>son of saul|2015</v>
      </c>
      <c r="N2111" s="4" t="n">
        <v>0</v>
      </c>
      <c r="O2111" s="4" t="n">
        <v>0</v>
      </c>
      <c r="P2111" s="4" t="n">
        <v>1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</row>
    <row r="2112" customFormat="false" ht="15" hidden="false" customHeight="false" outlineLevel="0" collapsed="false">
      <c r="A2112" s="4" t="s">
        <v>2735</v>
      </c>
      <c r="B2112" s="4" t="n">
        <v>2001</v>
      </c>
      <c r="C2112" s="4" t="str">
        <f aca="false">FLOOR(B2112,10)&amp;"s"</f>
        <v>2000s</v>
      </c>
      <c r="D2112" s="4" t="s">
        <v>2736</v>
      </c>
      <c r="E2112" s="25" t="str">
        <f aca="false">IF(G2112=1,"✓","")</f>
        <v/>
      </c>
      <c r="F2112" s="4" t="n">
        <v>1</v>
      </c>
      <c r="G2112" s="4" t="n">
        <f aca="false">IF(COUNTIF('Letterboxd Watched'!$E$2:$E$3000,M2112)&gt;0,1,0)</f>
        <v>0</v>
      </c>
      <c r="H2112" s="4" t="n">
        <v>2</v>
      </c>
      <c r="I2112" s="4" t="s">
        <v>213</v>
      </c>
      <c r="J2112" s="4" t="s">
        <v>51</v>
      </c>
      <c r="K2112" s="4" t="s">
        <v>3956</v>
      </c>
      <c r="L2112" s="48" t="str">
        <f aca="false">HYPERLINK("https://letterboxd.com/search/films/The+Sons+Room+2001/","open")</f>
        <v>open</v>
      </c>
      <c r="M2112" s="4" t="str">
        <f aca="false">LOWER(A2112)&amp;"|"&amp;B2112</f>
        <v>the son's room|2001</v>
      </c>
      <c r="N2112" s="4" t="n">
        <v>0</v>
      </c>
      <c r="O2112" s="4" t="n">
        <v>0</v>
      </c>
      <c r="P2112" s="4" t="n">
        <v>1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</row>
    <row r="2113" customFormat="false" ht="15" hidden="false" customHeight="false" outlineLevel="0" collapsed="false">
      <c r="A2113" s="4" t="s">
        <v>830</v>
      </c>
      <c r="B2113" s="4" t="n">
        <v>1993</v>
      </c>
      <c r="C2113" s="4" t="str">
        <f aca="false">FLOOR(B2113,10)&amp;"s"</f>
        <v>1990s</v>
      </c>
      <c r="D2113" s="4" t="s">
        <v>831</v>
      </c>
      <c r="E2113" s="25" t="str">
        <f aca="false">IF(G2113=1,"✓","")</f>
        <v/>
      </c>
      <c r="F2113" s="4" t="n">
        <v>2</v>
      </c>
      <c r="G2113" s="4" t="n">
        <f aca="false">IF(COUNTIF('Letterboxd Watched'!$E$2:$E$3000,M2113)&gt;0,1,0)</f>
        <v>0</v>
      </c>
      <c r="H2113" s="4" t="n">
        <v>5</v>
      </c>
      <c r="I2113" s="4" t="s">
        <v>144</v>
      </c>
      <c r="J2113" s="4" t="s">
        <v>51</v>
      </c>
      <c r="K2113" s="4" t="s">
        <v>5458</v>
      </c>
      <c r="L2113" s="48" t="str">
        <f aca="false">HYPERLINK("https://boxd.it/20TI","open")</f>
        <v>open</v>
      </c>
      <c r="M2113" s="4" t="str">
        <f aca="false">LOWER(A2113)&amp;"|"&amp;B2113</f>
        <v>sonatine|1993</v>
      </c>
      <c r="N2113" s="4" t="n">
        <v>0</v>
      </c>
      <c r="O2113" s="4" t="n">
        <v>0</v>
      </c>
      <c r="P2113" s="4" t="n">
        <v>1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1</v>
      </c>
    </row>
    <row r="2114" customFormat="false" ht="15" hidden="false" customHeight="false" outlineLevel="0" collapsed="false">
      <c r="A2114" s="4" t="s">
        <v>630</v>
      </c>
      <c r="B2114" s="4" t="n">
        <v>2000</v>
      </c>
      <c r="C2114" s="4" t="str">
        <f aca="false">FLOOR(B2114,10)&amp;"s"</f>
        <v>2000s</v>
      </c>
      <c r="D2114" s="4" t="s">
        <v>631</v>
      </c>
      <c r="E2114" s="25" t="str">
        <f aca="false">IF(G2114=1,"✓","")</f>
        <v/>
      </c>
      <c r="F2114" s="4" t="n">
        <v>3</v>
      </c>
      <c r="G2114" s="4" t="n">
        <f aca="false">IF(COUNTIF('Letterboxd Watched'!$E$2:$E$3000,M2114)&gt;0,1,0)</f>
        <v>0</v>
      </c>
      <c r="H2114" s="4" t="n">
        <v>6</v>
      </c>
      <c r="I2114" s="4" t="s">
        <v>144</v>
      </c>
      <c r="J2114" s="4" t="s">
        <v>51</v>
      </c>
      <c r="K2114" s="4" t="s">
        <v>5806</v>
      </c>
      <c r="L2114" s="48" t="str">
        <f aca="false">HYPERLINK("https://boxd.it/1eoM","open")</f>
        <v>open</v>
      </c>
      <c r="M2114" s="4" t="str">
        <f aca="false">LOWER(A2114)&amp;"|"&amp;B2114</f>
        <v>songs from the second floor|2000</v>
      </c>
      <c r="N2114" s="4" t="n">
        <v>0</v>
      </c>
      <c r="O2114" s="4" t="n">
        <v>0</v>
      </c>
      <c r="P2114" s="4" t="n">
        <v>1</v>
      </c>
      <c r="Q2114" s="4" t="n">
        <v>1</v>
      </c>
      <c r="R2114" s="4" t="n">
        <v>1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</row>
    <row r="2115" customFormat="false" ht="15" hidden="false" customHeight="false" outlineLevel="0" collapsed="false">
      <c r="A2115" s="4" t="s">
        <v>3830</v>
      </c>
      <c r="B2115" s="4" t="n">
        <v>2015</v>
      </c>
      <c r="C2115" s="4" t="str">
        <f aca="false">FLOOR(B2115,10)&amp;"s"</f>
        <v>2010s</v>
      </c>
      <c r="D2115" s="4" t="s">
        <v>1258</v>
      </c>
      <c r="E2115" s="25" t="str">
        <f aca="false">IF(G2115=1,"✓","")</f>
        <v/>
      </c>
      <c r="F2115" s="4" t="n">
        <v>1</v>
      </c>
      <c r="G2115" s="4" t="n">
        <f aca="false">IF(COUNTIF('Letterboxd Watched'!$E$2:$E$3000,M2115)&gt;0,1,0)</f>
        <v>0</v>
      </c>
      <c r="H2115" s="4" t="n">
        <v>1</v>
      </c>
      <c r="I2115" s="4" t="s">
        <v>1327</v>
      </c>
      <c r="J2115" s="4" t="s">
        <v>54</v>
      </c>
      <c r="K2115" s="4" t="s">
        <v>4294</v>
      </c>
      <c r="L2115" s="48" t="str">
        <f aca="false">HYPERLINK("https://boxd.it/9Thy","open")</f>
        <v>open</v>
      </c>
      <c r="M2115" s="4" t="str">
        <f aca="false">LOWER(A2115)&amp;"|"&amp;B2115</f>
        <v>songs my brothers taught me|2015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1</v>
      </c>
      <c r="T2115" s="4" t="n">
        <v>0</v>
      </c>
      <c r="U2115" s="4" t="n">
        <v>0</v>
      </c>
      <c r="V2115" s="4" t="n">
        <v>0</v>
      </c>
      <c r="W2115" s="4" t="n">
        <v>0</v>
      </c>
    </row>
    <row r="2116" customFormat="false" ht="15" hidden="false" customHeight="false" outlineLevel="0" collapsed="false">
      <c r="A2116" s="4" t="s">
        <v>1306</v>
      </c>
      <c r="B2116" s="4" t="n">
        <v>1933</v>
      </c>
      <c r="C2116" s="4" t="str">
        <f aca="false">FLOOR(B2116,10)&amp;"s"</f>
        <v>1930s</v>
      </c>
      <c r="D2116" s="4" t="s">
        <v>1307</v>
      </c>
      <c r="E2116" s="25" t="str">
        <f aca="false">IF(G2116=1,"✓","")</f>
        <v/>
      </c>
      <c r="F2116" s="4" t="n">
        <v>2</v>
      </c>
      <c r="G2116" s="4" t="n">
        <f aca="false">IF(COUNTIF('Letterboxd Watched'!$E$2:$E$3000,M2116)&gt;0,1,0)</f>
        <v>0</v>
      </c>
      <c r="H2116" s="4" t="n">
        <v>3</v>
      </c>
      <c r="I2116" s="4" t="s">
        <v>213</v>
      </c>
      <c r="J2116" s="4" t="s">
        <v>52</v>
      </c>
      <c r="K2116" s="4" t="s">
        <v>5807</v>
      </c>
      <c r="L2116" s="48" t="str">
        <f aca="false">HYPERLINK("https://letterboxd.com/search/films/Sons+of+the+Desert+1933/","open")</f>
        <v>open</v>
      </c>
      <c r="M2116" s="4" t="str">
        <f aca="false">LOWER(A2116)&amp;"|"&amp;B2116</f>
        <v>sons of the desert|1933</v>
      </c>
      <c r="N2116" s="4" t="n">
        <v>0</v>
      </c>
      <c r="O2116" s="4" t="n">
        <v>0</v>
      </c>
      <c r="P2116" s="4" t="n">
        <v>0</v>
      </c>
      <c r="Q2116" s="4" t="n">
        <v>1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1</v>
      </c>
      <c r="W2116" s="4" t="n">
        <v>0</v>
      </c>
    </row>
    <row r="2117" customFormat="false" ht="15" hidden="false" customHeight="false" outlineLevel="0" collapsed="false">
      <c r="A2117" s="4" t="s">
        <v>2377</v>
      </c>
      <c r="B2117" s="4" t="n">
        <v>1982</v>
      </c>
      <c r="C2117" s="4" t="str">
        <f aca="false">FLOOR(B2117,10)&amp;"s"</f>
        <v>1980s</v>
      </c>
      <c r="D2117" s="4" t="s">
        <v>243</v>
      </c>
      <c r="E2117" s="25" t="str">
        <f aca="false">IF(G2117=1,"✓","")</f>
        <v/>
      </c>
      <c r="F2117" s="4" t="n">
        <v>1</v>
      </c>
      <c r="G2117" s="4" t="n">
        <f aca="false">IF(COUNTIF('Letterboxd Watched'!$E$2:$E$3000,M2117)&gt;0,1,0)</f>
        <v>0</v>
      </c>
      <c r="H2117" s="4" t="n">
        <v>2</v>
      </c>
      <c r="I2117" s="4" t="s">
        <v>213</v>
      </c>
      <c r="J2117" s="4" t="s">
        <v>57</v>
      </c>
      <c r="K2117" s="4" t="s">
        <v>4428</v>
      </c>
      <c r="L2117" s="48" t="str">
        <f aca="false">HYPERLINK("https://boxd.it/1Lzy","open")</f>
        <v>open</v>
      </c>
      <c r="M2117" s="4" t="str">
        <f aca="false">LOWER(A2117)&amp;"|"&amp;B2117</f>
        <v>sophie's choice|1982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1</v>
      </c>
      <c r="W2117" s="4" t="n">
        <v>0</v>
      </c>
    </row>
    <row r="2118" customFormat="false" ht="15" hidden="false" customHeight="false" outlineLevel="0" collapsed="false">
      <c r="A2118" s="4" t="s">
        <v>1358</v>
      </c>
      <c r="B2118" s="4" t="n">
        <v>1977</v>
      </c>
      <c r="C2118" s="4" t="str">
        <f aca="false">FLOOR(B2118,10)&amp;"s"</f>
        <v>1970s</v>
      </c>
      <c r="D2118" s="4" t="s">
        <v>479</v>
      </c>
      <c r="E2118" s="25" t="str">
        <f aca="false">IF(G2118=1,"✓","")</f>
        <v/>
      </c>
      <c r="F2118" s="4" t="n">
        <v>2</v>
      </c>
      <c r="G2118" s="4" t="n">
        <f aca="false">IF(COUNTIF('Letterboxd Watched'!$E$2:$E$3000,M2118)&gt;0,1,0)</f>
        <v>0</v>
      </c>
      <c r="H2118" s="4" t="n">
        <v>3</v>
      </c>
      <c r="I2118" s="4" t="s">
        <v>213</v>
      </c>
      <c r="J2118" s="4" t="s">
        <v>52</v>
      </c>
      <c r="K2118" s="4" t="s">
        <v>5808</v>
      </c>
      <c r="L2118" s="48" t="str">
        <f aca="false">HYPERLINK("https://boxd.it/14J6","open")</f>
        <v>open</v>
      </c>
      <c r="M2118" s="4" t="str">
        <f aca="false">LOWER(A2118)&amp;"|"&amp;B2118</f>
        <v>sorcerer|1977</v>
      </c>
      <c r="N2118" s="4" t="n">
        <v>0</v>
      </c>
      <c r="O2118" s="4" t="n">
        <v>0</v>
      </c>
      <c r="P2118" s="4" t="n">
        <v>0</v>
      </c>
      <c r="Q2118" s="4" t="n">
        <v>1</v>
      </c>
      <c r="R2118" s="4" t="n">
        <v>0</v>
      </c>
      <c r="S2118" s="4" t="n">
        <v>0</v>
      </c>
      <c r="T2118" s="4" t="n">
        <v>0</v>
      </c>
      <c r="U2118" s="4" t="n">
        <v>1</v>
      </c>
      <c r="V2118" s="4" t="n">
        <v>0</v>
      </c>
      <c r="W2118" s="4" t="n">
        <v>0</v>
      </c>
    </row>
    <row r="2119" customFormat="false" ht="15" hidden="false" customHeight="false" outlineLevel="0" collapsed="false">
      <c r="A2119" s="4" t="s">
        <v>959</v>
      </c>
      <c r="B2119" s="4" t="n">
        <v>1962</v>
      </c>
      <c r="C2119" s="4" t="str">
        <f aca="false">FLOOR(B2119,10)&amp;"s"</f>
        <v>1960s</v>
      </c>
      <c r="D2119" s="4" t="s">
        <v>960</v>
      </c>
      <c r="E2119" s="25" t="str">
        <f aca="false">IF(G2119=1,"✓","")</f>
        <v/>
      </c>
      <c r="F2119" s="4" t="n">
        <v>2</v>
      </c>
      <c r="G2119" s="4" t="n">
        <f aca="false">IF(COUNTIF('Letterboxd Watched'!$E$2:$E$3000,M2119)&gt;0,1,0)</f>
        <v>0</v>
      </c>
      <c r="H2119" s="4" t="n">
        <v>4</v>
      </c>
      <c r="I2119" s="4" t="s">
        <v>213</v>
      </c>
      <c r="J2119" s="4" t="s">
        <v>51</v>
      </c>
      <c r="K2119" s="4" t="s">
        <v>5809</v>
      </c>
      <c r="L2119" s="48" t="str">
        <f aca="false">HYPERLINK("https://boxd.it/1y7Q","open")</f>
        <v>open</v>
      </c>
      <c r="M2119" s="4" t="str">
        <f aca="false">LOWER(A2119)&amp;"|"&amp;B2119</f>
        <v>il sorpasso|1962</v>
      </c>
      <c r="N2119" s="4" t="n">
        <v>0</v>
      </c>
      <c r="O2119" s="4" t="n">
        <v>0</v>
      </c>
      <c r="P2119" s="4" t="n">
        <v>1</v>
      </c>
      <c r="Q2119" s="4" t="n">
        <v>0</v>
      </c>
      <c r="R2119" s="4" t="n">
        <v>0</v>
      </c>
      <c r="S2119" s="4" t="n">
        <v>0</v>
      </c>
      <c r="T2119" s="4" t="n">
        <v>1</v>
      </c>
      <c r="U2119" s="4" t="n">
        <v>0</v>
      </c>
      <c r="V2119" s="4" t="n">
        <v>0</v>
      </c>
      <c r="W2119" s="4" t="n">
        <v>0</v>
      </c>
    </row>
    <row r="2120" customFormat="false" ht="15" hidden="false" customHeight="false" outlineLevel="0" collapsed="false">
      <c r="A2120" s="4" t="s">
        <v>1246</v>
      </c>
      <c r="B2120" s="4" t="n">
        <v>2018</v>
      </c>
      <c r="C2120" s="4" t="str">
        <f aca="false">FLOOR(B2120,10)&amp;"s"</f>
        <v>2010s</v>
      </c>
      <c r="D2120" s="4" t="s">
        <v>1247</v>
      </c>
      <c r="E2120" s="25" t="str">
        <f aca="false">IF(G2120=1,"✓","")</f>
        <v>✓</v>
      </c>
      <c r="F2120" s="4" t="n">
        <v>2</v>
      </c>
      <c r="G2120" s="4" t="n">
        <f aca="false">IF(COUNTIF('Letterboxd Watched'!$E$2:$E$3000,M2120)&gt;0,1,0)</f>
        <v>1</v>
      </c>
      <c r="H2120" s="4" t="n">
        <v>4</v>
      </c>
      <c r="I2120" s="4" t="s">
        <v>213</v>
      </c>
      <c r="J2120" s="4" t="s">
        <v>54</v>
      </c>
      <c r="K2120" s="4" t="s">
        <v>5810</v>
      </c>
      <c r="L2120" s="48" t="str">
        <f aca="false">HYPERLINK("https://boxd.it/f21E","open")</f>
        <v>open</v>
      </c>
      <c r="M2120" s="4" t="str">
        <f aca="false">LOWER(A2120)&amp;"|"&amp;B2120</f>
        <v>sorry to bother you|2018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1</v>
      </c>
      <c r="T2120" s="4" t="n">
        <v>0</v>
      </c>
      <c r="U2120" s="4" t="n">
        <v>0</v>
      </c>
      <c r="V2120" s="4" t="n">
        <v>0</v>
      </c>
      <c r="W2120" s="4" t="n">
        <v>1</v>
      </c>
    </row>
    <row r="2121" customFormat="false" ht="15" hidden="false" customHeight="false" outlineLevel="0" collapsed="false">
      <c r="A2121" s="4" t="s">
        <v>1252</v>
      </c>
      <c r="B2121" s="4" t="n">
        <v>2019</v>
      </c>
      <c r="C2121" s="4" t="str">
        <f aca="false">FLOOR(B2121,10)&amp;"s"</f>
        <v>2010s</v>
      </c>
      <c r="D2121" s="4" t="s">
        <v>359</v>
      </c>
      <c r="E2121" s="25" t="str">
        <f aca="false">IF(G2121=1,"✓","")</f>
        <v/>
      </c>
      <c r="F2121" s="4" t="n">
        <v>2</v>
      </c>
      <c r="G2121" s="4" t="n">
        <f aca="false">IF(COUNTIF('Letterboxd Watched'!$E$2:$E$3000,M2121)&gt;0,1,0)</f>
        <v>0</v>
      </c>
      <c r="H2121" s="4" t="n">
        <v>4</v>
      </c>
      <c r="I2121" s="4" t="s">
        <v>213</v>
      </c>
      <c r="J2121" s="4" t="s">
        <v>51</v>
      </c>
      <c r="K2121" s="4" t="s">
        <v>5811</v>
      </c>
      <c r="L2121" s="48" t="str">
        <f aca="false">HYPERLINK("https://boxd.it/iXBg","open")</f>
        <v>open</v>
      </c>
      <c r="M2121" s="4" t="str">
        <f aca="false">LOWER(A2121)&amp;"|"&amp;B2121</f>
        <v>sorry we missed you|2019</v>
      </c>
      <c r="N2121" s="4" t="n">
        <v>0</v>
      </c>
      <c r="O2121" s="4" t="n">
        <v>0</v>
      </c>
      <c r="P2121" s="4" t="n">
        <v>1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1</v>
      </c>
    </row>
    <row r="2122" customFormat="false" ht="15" hidden="false" customHeight="false" outlineLevel="0" collapsed="false">
      <c r="A2122" s="4" t="s">
        <v>1248</v>
      </c>
      <c r="B2122" s="4" t="n">
        <v>2019</v>
      </c>
      <c r="C2122" s="4" t="str">
        <f aca="false">FLOOR(B2122,10)&amp;"s"</f>
        <v>2010s</v>
      </c>
      <c r="D2122" s="4" t="s">
        <v>1249</v>
      </c>
      <c r="E2122" s="25" t="str">
        <f aca="false">IF(G2122=1,"✓","")</f>
        <v>✓</v>
      </c>
      <c r="F2122" s="4" t="n">
        <v>2</v>
      </c>
      <c r="G2122" s="4" t="n">
        <f aca="false">IF(COUNTIF('Letterboxd Watched'!$E$2:$E$3000,M2122)&gt;0,1,0)</f>
        <v>1</v>
      </c>
      <c r="H2122" s="4" t="n">
        <v>4</v>
      </c>
      <c r="I2122" s="4" t="s">
        <v>213</v>
      </c>
      <c r="J2122" s="4" t="s">
        <v>49</v>
      </c>
      <c r="K2122" s="4" t="s">
        <v>5812</v>
      </c>
      <c r="L2122" s="48" t="str">
        <f aca="false">HYPERLINK("https://boxd.it/i7Q4","open")</f>
        <v>open</v>
      </c>
      <c r="M2122" s="4" t="str">
        <f aca="false">LOWER(A2122)&amp;"|"&amp;B2122</f>
        <v>sound of metal|2019</v>
      </c>
      <c r="N2122" s="4" t="n">
        <v>1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0</v>
      </c>
      <c r="T2122" s="4" t="n">
        <v>1</v>
      </c>
      <c r="U2122" s="4" t="n">
        <v>0</v>
      </c>
      <c r="V2122" s="4" t="n">
        <v>0</v>
      </c>
      <c r="W2122" s="4" t="n">
        <v>0</v>
      </c>
    </row>
    <row r="2123" customFormat="false" ht="15" hidden="false" customHeight="false" outlineLevel="0" collapsed="false">
      <c r="A2123" s="4" t="s">
        <v>987</v>
      </c>
      <c r="B2123" s="4" t="n">
        <v>1965</v>
      </c>
      <c r="C2123" s="4" t="str">
        <f aca="false">FLOOR(B2123,10)&amp;"s"</f>
        <v>1960s</v>
      </c>
      <c r="D2123" s="4" t="s">
        <v>789</v>
      </c>
      <c r="E2123" s="25" t="str">
        <f aca="false">IF(G2123=1,"✓","")</f>
        <v/>
      </c>
      <c r="F2123" s="4" t="n">
        <v>2</v>
      </c>
      <c r="G2123" s="4" t="n">
        <f aca="false">IF(COUNTIF('Letterboxd Watched'!$E$2:$E$3000,M2123)&gt;0,1,0)</f>
        <v>0</v>
      </c>
      <c r="H2123" s="4" t="n">
        <v>4</v>
      </c>
      <c r="I2123" s="4" t="s">
        <v>213</v>
      </c>
      <c r="J2123" s="4" t="s">
        <v>52</v>
      </c>
      <c r="K2123" s="4" t="s">
        <v>5278</v>
      </c>
      <c r="L2123" s="48" t="str">
        <f aca="false">HYPERLINK("https://boxd.it/1MLK","open")</f>
        <v>open</v>
      </c>
      <c r="M2123" s="4" t="str">
        <f aca="false">LOWER(A2123)&amp;"|"&amp;B2123</f>
        <v>the sound of music|1965</v>
      </c>
      <c r="N2123" s="4" t="n">
        <v>0</v>
      </c>
      <c r="O2123" s="4" t="n">
        <v>0</v>
      </c>
      <c r="P2123" s="4" t="n">
        <v>0</v>
      </c>
      <c r="Q2123" s="4" t="n">
        <v>1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1</v>
      </c>
      <c r="W2123" s="4" t="n">
        <v>0</v>
      </c>
    </row>
    <row r="2124" customFormat="false" ht="15" hidden="false" customHeight="false" outlineLevel="0" collapsed="false">
      <c r="A2124" s="4" t="s">
        <v>1910</v>
      </c>
      <c r="B2124" s="4" t="n">
        <v>1954</v>
      </c>
      <c r="C2124" s="4" t="str">
        <f aca="false">FLOOR(B2124,10)&amp;"s"</f>
        <v>1950s</v>
      </c>
      <c r="D2124" s="4" t="s">
        <v>759</v>
      </c>
      <c r="E2124" s="25" t="str">
        <f aca="false">IF(G2124=1,"✓","")</f>
        <v/>
      </c>
      <c r="F2124" s="4" t="n">
        <v>1</v>
      </c>
      <c r="G2124" s="4" t="n">
        <f aca="false">IF(COUNTIF('Letterboxd Watched'!$E$2:$E$3000,M2124)&gt;0,1,0)</f>
        <v>0</v>
      </c>
      <c r="H2124" s="4" t="n">
        <v>2</v>
      </c>
      <c r="I2124" s="4" t="s">
        <v>213</v>
      </c>
      <c r="J2124" s="4" t="s">
        <v>53</v>
      </c>
      <c r="K2124" s="4" t="s">
        <v>4246</v>
      </c>
      <c r="L2124" s="48" t="str">
        <f aca="false">HYPERLINK("https://letterboxd.com/search/films/Sound+of+the+Mountain+1954/","open")</f>
        <v>open</v>
      </c>
      <c r="M2124" s="4" t="str">
        <f aca="false">LOWER(A2124)&amp;"|"&amp;B2124</f>
        <v>sound of the mountain|1954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1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</row>
    <row r="2125" customFormat="false" ht="15" hidden="false" customHeight="false" outlineLevel="0" collapsed="false">
      <c r="A2125" s="4" t="s">
        <v>3346</v>
      </c>
      <c r="B2125" s="4" t="n">
        <v>1945</v>
      </c>
      <c r="C2125" s="4" t="str">
        <f aca="false">FLOOR(B2125,10)&amp;"s"</f>
        <v>1940s</v>
      </c>
      <c r="D2125" s="4" t="s">
        <v>234</v>
      </c>
      <c r="E2125" s="25" t="str">
        <f aca="false">IF(G2125=1,"✓","")</f>
        <v/>
      </c>
      <c r="F2125" s="4" t="n">
        <v>1</v>
      </c>
      <c r="G2125" s="4" t="n">
        <f aca="false">IF(COUNTIF('Letterboxd Watched'!$E$2:$E$3000,M2125)&gt;0,1,0)</f>
        <v>0</v>
      </c>
      <c r="H2125" s="4" t="n">
        <v>1</v>
      </c>
      <c r="I2125" s="4" t="s">
        <v>1327</v>
      </c>
      <c r="J2125" s="4" t="s">
        <v>53</v>
      </c>
      <c r="K2125" s="4" t="s">
        <v>234</v>
      </c>
      <c r="L2125" s="48" t="str">
        <f aca="false">HYPERLINK("https://letterboxd.com/search/films/The+Southerner+1945/","open")</f>
        <v>open</v>
      </c>
      <c r="M2125" s="4" t="str">
        <f aca="false">LOWER(A2125)&amp;"|"&amp;B2125</f>
        <v>the southerner|1945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1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</row>
    <row r="2126" customFormat="false" ht="15" hidden="false" customHeight="false" outlineLevel="0" collapsed="false">
      <c r="A2126" s="4" t="s">
        <v>2222</v>
      </c>
      <c r="B2126" s="4" t="n">
        <v>1973</v>
      </c>
      <c r="C2126" s="4" t="str">
        <f aca="false">FLOOR(B2126,10)&amp;"s"</f>
        <v>1970s</v>
      </c>
      <c r="D2126" s="4" t="s">
        <v>2223</v>
      </c>
      <c r="E2126" s="25" t="str">
        <f aca="false">IF(G2126=1,"✓","")</f>
        <v/>
      </c>
      <c r="F2126" s="4" t="n">
        <v>1</v>
      </c>
      <c r="G2126" s="4" t="n">
        <f aca="false">IF(COUNTIF('Letterboxd Watched'!$E$2:$E$3000,M2126)&gt;0,1,0)</f>
        <v>0</v>
      </c>
      <c r="H2126" s="4" t="n">
        <v>2</v>
      </c>
      <c r="I2126" s="4" t="s">
        <v>213</v>
      </c>
      <c r="J2126" s="4" t="s">
        <v>52</v>
      </c>
      <c r="K2126" s="4" t="s">
        <v>4086</v>
      </c>
      <c r="L2126" s="48" t="str">
        <f aca="false">HYPERLINK("https://boxd.it/1SxE","open")</f>
        <v>open</v>
      </c>
      <c r="M2126" s="4" t="str">
        <f aca="false">LOWER(A2126)&amp;"|"&amp;B2126</f>
        <v>soylent green|1973</v>
      </c>
      <c r="N2126" s="4" t="n">
        <v>0</v>
      </c>
      <c r="O2126" s="4" t="n">
        <v>0</v>
      </c>
      <c r="P2126" s="4" t="n">
        <v>0</v>
      </c>
      <c r="Q2126" s="4" t="n">
        <v>1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</row>
    <row r="2127" customFormat="false" ht="15" hidden="false" customHeight="false" outlineLevel="0" collapsed="false">
      <c r="A2127" s="4" t="s">
        <v>3699</v>
      </c>
      <c r="B2127" s="4" t="n">
        <v>1997</v>
      </c>
      <c r="C2127" s="4" t="str">
        <f aca="false">FLOOR(B2127,10)&amp;"s"</f>
        <v>1990s</v>
      </c>
      <c r="D2127" s="4" t="s">
        <v>2451</v>
      </c>
      <c r="E2127" s="25" t="str">
        <f aca="false">IF(G2127=1,"✓","")</f>
        <v/>
      </c>
      <c r="F2127" s="4" t="n">
        <v>1</v>
      </c>
      <c r="G2127" s="4" t="n">
        <f aca="false">IF(COUNTIF('Letterboxd Watched'!$E$2:$E$3000,M2127)&gt;0,1,0)</f>
        <v>0</v>
      </c>
      <c r="H2127" s="4" t="n">
        <v>1</v>
      </c>
      <c r="I2127" s="4" t="s">
        <v>1327</v>
      </c>
      <c r="J2127" s="4" t="s">
        <v>52</v>
      </c>
      <c r="K2127" s="4" t="s">
        <v>4122</v>
      </c>
      <c r="L2127" s="48" t="str">
        <f aca="false">HYPERLINK("https://boxd.it/1nZW","open")</f>
        <v>open</v>
      </c>
      <c r="M2127" s="4" t="str">
        <f aca="false">LOWER(A2127)&amp;"|"&amp;B2127</f>
        <v>the spanish prisoner|1997</v>
      </c>
      <c r="N2127" s="4" t="n">
        <v>0</v>
      </c>
      <c r="O2127" s="4" t="n">
        <v>0</v>
      </c>
      <c r="P2127" s="4" t="n">
        <v>0</v>
      </c>
      <c r="Q2127" s="4" t="n">
        <v>1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</row>
    <row r="2128" customFormat="false" ht="15" hidden="false" customHeight="false" outlineLevel="0" collapsed="false">
      <c r="A2128" s="4" t="s">
        <v>954</v>
      </c>
      <c r="B2128" s="4" t="n">
        <v>1960</v>
      </c>
      <c r="C2128" s="4" t="str">
        <f aca="false">FLOOR(B2128,10)&amp;"s"</f>
        <v>1960s</v>
      </c>
      <c r="D2128" s="4" t="s">
        <v>187</v>
      </c>
      <c r="E2128" s="25" t="str">
        <f aca="false">IF(G2128=1,"✓","")</f>
        <v/>
      </c>
      <c r="F2128" s="4" t="n">
        <v>2</v>
      </c>
      <c r="G2128" s="4" t="n">
        <f aca="false">IF(COUNTIF('Letterboxd Watched'!$E$2:$E$3000,M2128)&gt;0,1,0)</f>
        <v>0</v>
      </c>
      <c r="H2128" s="4" t="n">
        <v>4</v>
      </c>
      <c r="I2128" s="4" t="s">
        <v>213</v>
      </c>
      <c r="J2128" s="4" t="s">
        <v>53</v>
      </c>
      <c r="K2128" s="4" t="s">
        <v>5813</v>
      </c>
      <c r="L2128" s="48" t="str">
        <f aca="false">HYPERLINK("https://boxd.it/29bq","open")</f>
        <v>open</v>
      </c>
      <c r="M2128" s="4" t="str">
        <f aca="false">LOWER(A2128)&amp;"|"&amp;B2128</f>
        <v>spartacus|1960</v>
      </c>
      <c r="N2128" s="4" t="n">
        <v>0</v>
      </c>
      <c r="O2128" s="4" t="n">
        <v>0</v>
      </c>
      <c r="P2128" s="4" t="n">
        <v>0</v>
      </c>
      <c r="Q2128" s="4" t="n">
        <v>0</v>
      </c>
      <c r="R2128" s="4" t="n">
        <v>1</v>
      </c>
      <c r="S2128" s="4" t="n">
        <v>0</v>
      </c>
      <c r="T2128" s="4" t="n">
        <v>0</v>
      </c>
      <c r="U2128" s="4" t="n">
        <v>0</v>
      </c>
      <c r="V2128" s="4" t="n">
        <v>1</v>
      </c>
      <c r="W2128" s="4" t="n">
        <v>0</v>
      </c>
    </row>
    <row r="2129" customFormat="false" ht="15" hidden="false" customHeight="false" outlineLevel="0" collapsed="false">
      <c r="A2129" s="4" t="s">
        <v>3560</v>
      </c>
      <c r="B2129" s="4" t="n">
        <v>1977</v>
      </c>
      <c r="C2129" s="4" t="str">
        <f aca="false">FLOOR(B2129,10)&amp;"s"</f>
        <v>1970s</v>
      </c>
      <c r="D2129" s="4" t="s">
        <v>2236</v>
      </c>
      <c r="E2129" s="25" t="str">
        <f aca="false">IF(G2129=1,"✓","")</f>
        <v/>
      </c>
      <c r="F2129" s="4" t="n">
        <v>1</v>
      </c>
      <c r="G2129" s="4" t="n">
        <f aca="false">IF(COUNTIF('Letterboxd Watched'!$E$2:$E$3000,M2129)&gt;0,1,0)</f>
        <v>0</v>
      </c>
      <c r="H2129" s="4" t="n">
        <v>1</v>
      </c>
      <c r="I2129" s="4" t="s">
        <v>1327</v>
      </c>
      <c r="J2129" s="4" t="s">
        <v>51</v>
      </c>
      <c r="K2129" s="4" t="s">
        <v>3946</v>
      </c>
      <c r="L2129" s="48" t="str">
        <f aca="false">HYPERLINK("https://boxd.it/Xqc","open")</f>
        <v>open</v>
      </c>
      <c r="M2129" s="4" t="str">
        <f aca="false">LOWER(A2129)&amp;"|"&amp;B2129</f>
        <v>a special day|1977</v>
      </c>
      <c r="N2129" s="4" t="n">
        <v>0</v>
      </c>
      <c r="O2129" s="4" t="n">
        <v>0</v>
      </c>
      <c r="P2129" s="4" t="n">
        <v>1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</row>
    <row r="2130" customFormat="false" ht="15" hidden="false" customHeight="false" outlineLevel="0" collapsed="false">
      <c r="A2130" s="4" t="s">
        <v>2584</v>
      </c>
      <c r="B2130" s="4" t="n">
        <v>1994</v>
      </c>
      <c r="C2130" s="4" t="str">
        <f aca="false">FLOOR(B2130,10)&amp;"s"</f>
        <v>1990s</v>
      </c>
      <c r="D2130" s="4" t="s">
        <v>2585</v>
      </c>
      <c r="E2130" s="25" t="str">
        <f aca="false">IF(G2130=1,"✓","")</f>
        <v>✓</v>
      </c>
      <c r="F2130" s="4" t="n">
        <v>1</v>
      </c>
      <c r="G2130" s="4" t="n">
        <f aca="false">IF(COUNTIF('Letterboxd Watched'!$E$2:$E$3000,M2130)&gt;0,1,0)</f>
        <v>1</v>
      </c>
      <c r="H2130" s="4" t="n">
        <v>2</v>
      </c>
      <c r="I2130" s="4" t="s">
        <v>213</v>
      </c>
      <c r="J2130" s="4" t="s">
        <v>52</v>
      </c>
      <c r="K2130" s="4" t="s">
        <v>4158</v>
      </c>
      <c r="L2130" s="48" t="str">
        <f aca="false">HYPERLINK("https://boxd.it/28qk","open")</f>
        <v>open</v>
      </c>
      <c r="M2130" s="4" t="str">
        <f aca="false">LOWER(A2130)&amp;"|"&amp;B2130</f>
        <v>speed|1994</v>
      </c>
      <c r="N2130" s="4" t="n">
        <v>0</v>
      </c>
      <c r="O2130" s="4" t="n">
        <v>0</v>
      </c>
      <c r="P2130" s="4" t="n">
        <v>0</v>
      </c>
      <c r="Q2130" s="4" t="n">
        <v>1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</row>
    <row r="2131" customFormat="false" ht="15" hidden="false" customHeight="false" outlineLevel="0" collapsed="false">
      <c r="A2131" s="4" t="s">
        <v>1831</v>
      </c>
      <c r="B2131" s="4" t="n">
        <v>1945</v>
      </c>
      <c r="C2131" s="4" t="str">
        <f aca="false">FLOOR(B2131,10)&amp;"s"</f>
        <v>1940s</v>
      </c>
      <c r="D2131" s="4" t="s">
        <v>162</v>
      </c>
      <c r="E2131" s="25" t="str">
        <f aca="false">IF(G2131=1,"✓","")</f>
        <v/>
      </c>
      <c r="F2131" s="4" t="n">
        <v>1</v>
      </c>
      <c r="G2131" s="4" t="n">
        <f aca="false">IF(COUNTIF('Letterboxd Watched'!$E$2:$E$3000,M2131)&gt;0,1,0)</f>
        <v>0</v>
      </c>
      <c r="H2131" s="4" t="n">
        <v>2</v>
      </c>
      <c r="I2131" s="4" t="s">
        <v>213</v>
      </c>
      <c r="J2131" s="4" t="s">
        <v>55</v>
      </c>
      <c r="K2131" s="4" t="s">
        <v>4332</v>
      </c>
      <c r="L2131" s="48" t="str">
        <f aca="false">HYPERLINK("https://boxd.it/24Ji","open")</f>
        <v>open</v>
      </c>
      <c r="M2131" s="4" t="str">
        <f aca="false">LOWER(A2131)&amp;"|"&amp;B2131</f>
        <v>spellbound|1945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1</v>
      </c>
      <c r="U2131" s="4" t="n">
        <v>0</v>
      </c>
      <c r="V2131" s="4" t="n">
        <v>0</v>
      </c>
      <c r="W2131" s="4" t="n">
        <v>0</v>
      </c>
    </row>
    <row r="2132" customFormat="false" ht="15" hidden="false" customHeight="false" outlineLevel="0" collapsed="false">
      <c r="A2132" s="4" t="s">
        <v>3729</v>
      </c>
      <c r="B2132" s="4" t="n">
        <v>2002</v>
      </c>
      <c r="C2132" s="4" t="str">
        <f aca="false">FLOOR(B2132,10)&amp;"s"</f>
        <v>2000s</v>
      </c>
      <c r="D2132" s="4" t="s">
        <v>316</v>
      </c>
      <c r="E2132" s="25" t="str">
        <f aca="false">IF(G2132=1,"✓","")</f>
        <v/>
      </c>
      <c r="F2132" s="4" t="n">
        <v>1</v>
      </c>
      <c r="G2132" s="4" t="n">
        <f aca="false">IF(COUNTIF('Letterboxd Watched'!$E$2:$E$3000,M2132)&gt;0,1,0)</f>
        <v>0</v>
      </c>
      <c r="H2132" s="4" t="n">
        <v>1</v>
      </c>
      <c r="I2132" s="4" t="s">
        <v>1327</v>
      </c>
      <c r="J2132" s="4" t="s">
        <v>53</v>
      </c>
      <c r="K2132" s="4" t="s">
        <v>316</v>
      </c>
      <c r="L2132" s="48" t="str">
        <f aca="false">HYPERLINK("https://boxd.it/1YeI","open")</f>
        <v>open</v>
      </c>
      <c r="M2132" s="4" t="str">
        <f aca="false">LOWER(A2132)&amp;"|"&amp;B2132</f>
        <v>spider|2002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1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</row>
    <row r="2133" customFormat="false" ht="15" hidden="false" customHeight="false" outlineLevel="0" collapsed="false">
      <c r="A2133" s="4" t="s">
        <v>3146</v>
      </c>
      <c r="B2133" s="4" t="n">
        <v>2018</v>
      </c>
      <c r="C2133" s="4" t="str">
        <f aca="false">FLOOR(B2133,10)&amp;"s"</f>
        <v>2010s</v>
      </c>
      <c r="D2133" s="4" t="s">
        <v>3147</v>
      </c>
      <c r="E2133" s="25" t="str">
        <f aca="false">IF(G2133=1,"✓","")</f>
        <v/>
      </c>
      <c r="F2133" s="4" t="n">
        <v>1</v>
      </c>
      <c r="G2133" s="4" t="n">
        <f aca="false">IF(COUNTIF('Letterboxd Watched'!$E$2:$E$3000,M2133)&gt;0,1,0)</f>
        <v>0</v>
      </c>
      <c r="H2133" s="4" t="n">
        <v>2</v>
      </c>
      <c r="I2133" s="4" t="s">
        <v>213</v>
      </c>
      <c r="J2133" s="4" t="s">
        <v>52</v>
      </c>
      <c r="K2133" s="4" t="s">
        <v>4168</v>
      </c>
      <c r="L2133" s="48" t="str">
        <f aca="false">HYPERLINK("https://boxd.it/azpY","open")</f>
        <v>open</v>
      </c>
      <c r="M2133" s="4" t="str">
        <f aca="false">LOWER(A2133)&amp;"|"&amp;B2133</f>
        <v>spider-man: into the spider-verse|2018</v>
      </c>
      <c r="N2133" s="4" t="n">
        <v>0</v>
      </c>
      <c r="O2133" s="4" t="n">
        <v>0</v>
      </c>
      <c r="P2133" s="4" t="n">
        <v>0</v>
      </c>
      <c r="Q2133" s="4" t="n">
        <v>1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</row>
    <row r="2134" customFormat="false" ht="15" hidden="false" customHeight="false" outlineLevel="0" collapsed="false">
      <c r="A2134" s="4" t="s">
        <v>902</v>
      </c>
      <c r="B2134" s="4" t="n">
        <v>1928</v>
      </c>
      <c r="C2134" s="4" t="str">
        <f aca="false">FLOOR(B2134,10)&amp;"s"</f>
        <v>1920s</v>
      </c>
      <c r="D2134" s="4" t="s">
        <v>248</v>
      </c>
      <c r="E2134" s="25" t="str">
        <f aca="false">IF(G2134=1,"✓","")</f>
        <v/>
      </c>
      <c r="F2134" s="4" t="n">
        <v>2</v>
      </c>
      <c r="G2134" s="4" t="n">
        <f aca="false">IF(COUNTIF('Letterboxd Watched'!$E$2:$E$3000,M2134)&gt;0,1,0)</f>
        <v>0</v>
      </c>
      <c r="H2134" s="4" t="n">
        <v>4</v>
      </c>
      <c r="I2134" s="4" t="s">
        <v>213</v>
      </c>
      <c r="J2134" s="4" t="s">
        <v>50</v>
      </c>
      <c r="K2134" s="4" t="s">
        <v>5361</v>
      </c>
      <c r="L2134" s="48" t="str">
        <f aca="false">HYPERLINK("https://boxd.it/2IXk","open")</f>
        <v>open</v>
      </c>
      <c r="M2134" s="4" t="str">
        <f aca="false">LOWER(A2134)&amp;"|"&amp;B2134</f>
        <v>spies|1928</v>
      </c>
      <c r="N2134" s="4" t="n">
        <v>0</v>
      </c>
      <c r="O2134" s="4" t="n">
        <v>1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1</v>
      </c>
      <c r="W2134" s="4" t="n">
        <v>0</v>
      </c>
    </row>
    <row r="2135" customFormat="false" ht="15" hidden="false" customHeight="false" outlineLevel="0" collapsed="false">
      <c r="A2135" s="4" t="s">
        <v>792</v>
      </c>
      <c r="B2135" s="4" t="n">
        <v>1973</v>
      </c>
      <c r="C2135" s="4" t="str">
        <f aca="false">FLOOR(B2135,10)&amp;"s"</f>
        <v>1970s</v>
      </c>
      <c r="D2135" s="4" t="s">
        <v>793</v>
      </c>
      <c r="E2135" s="25" t="str">
        <f aca="false">IF(G2135=1,"✓","")</f>
        <v/>
      </c>
      <c r="F2135" s="4" t="n">
        <v>2</v>
      </c>
      <c r="G2135" s="4" t="n">
        <f aca="false">IF(COUNTIF('Letterboxd Watched'!$E$2:$E$3000,M2135)&gt;0,1,0)</f>
        <v>0</v>
      </c>
      <c r="H2135" s="4" t="n">
        <v>5</v>
      </c>
      <c r="I2135" s="4" t="s">
        <v>144</v>
      </c>
      <c r="J2135" s="4" t="s">
        <v>51</v>
      </c>
      <c r="K2135" s="4" t="s">
        <v>5814</v>
      </c>
      <c r="L2135" s="48" t="str">
        <f aca="false">HYPERLINK("https://boxd.it/24eY","open")</f>
        <v>open</v>
      </c>
      <c r="M2135" s="4" t="str">
        <f aca="false">LOWER(A2135)&amp;"|"&amp;B2135</f>
        <v>the spirit of the beehive|1973</v>
      </c>
      <c r="N2135" s="4" t="n">
        <v>0</v>
      </c>
      <c r="O2135" s="4" t="n">
        <v>0</v>
      </c>
      <c r="P2135" s="4" t="n">
        <v>1</v>
      </c>
      <c r="Q2135" s="4" t="n">
        <v>0</v>
      </c>
      <c r="R2135" s="4" t="n">
        <v>0</v>
      </c>
      <c r="S2135" s="4" t="n">
        <v>0</v>
      </c>
      <c r="T2135" s="4" t="n">
        <v>1</v>
      </c>
      <c r="U2135" s="4" t="n">
        <v>0</v>
      </c>
      <c r="V2135" s="4" t="n">
        <v>0</v>
      </c>
      <c r="W2135" s="4" t="n">
        <v>0</v>
      </c>
    </row>
    <row r="2136" customFormat="false" ht="15" hidden="false" customHeight="false" outlineLevel="0" collapsed="false">
      <c r="A2136" s="4" t="s">
        <v>3328</v>
      </c>
      <c r="B2136" s="4" t="n">
        <v>1938</v>
      </c>
      <c r="C2136" s="4" t="str">
        <f aca="false">FLOOR(B2136,10)&amp;"s"</f>
        <v>1930s</v>
      </c>
      <c r="D2136" s="4" t="s">
        <v>3329</v>
      </c>
      <c r="E2136" s="25" t="str">
        <f aca="false">IF(G2136=1,"✓","")</f>
        <v/>
      </c>
      <c r="F2136" s="4" t="n">
        <v>1</v>
      </c>
      <c r="G2136" s="4" t="n">
        <f aca="false">IF(COUNTIF('Letterboxd Watched'!$E$2:$E$3000,M2136)&gt;0,1,0)</f>
        <v>0</v>
      </c>
      <c r="H2136" s="4" t="n">
        <v>1</v>
      </c>
      <c r="I2136" s="4" t="s">
        <v>1327</v>
      </c>
      <c r="J2136" s="4" t="s">
        <v>54</v>
      </c>
      <c r="K2136" s="4" t="s">
        <v>4284</v>
      </c>
      <c r="L2136" s="48" t="str">
        <f aca="false">HYPERLINK("https://letterboxd.com/search/films/Spirit+of+Youth+1938/","open")</f>
        <v>open</v>
      </c>
      <c r="M2136" s="4" t="str">
        <f aca="false">LOWER(A2136)&amp;"|"&amp;B2136</f>
        <v>spirit of youth|1938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1</v>
      </c>
      <c r="T2136" s="4" t="n">
        <v>0</v>
      </c>
      <c r="U2136" s="4" t="n">
        <v>0</v>
      </c>
      <c r="V2136" s="4" t="n">
        <v>0</v>
      </c>
      <c r="W2136" s="4" t="n">
        <v>0</v>
      </c>
    </row>
    <row r="2137" customFormat="false" ht="15" hidden="false" customHeight="false" outlineLevel="0" collapsed="false">
      <c r="A2137" s="4" t="s">
        <v>381</v>
      </c>
      <c r="B2137" s="4" t="n">
        <v>2001</v>
      </c>
      <c r="C2137" s="4" t="str">
        <f aca="false">FLOOR(B2137,10)&amp;"s"</f>
        <v>2000s</v>
      </c>
      <c r="D2137" s="4" t="s">
        <v>382</v>
      </c>
      <c r="E2137" s="25" t="str">
        <f aca="false">IF(G2137=1,"✓","")</f>
        <v/>
      </c>
      <c r="F2137" s="4" t="n">
        <v>4</v>
      </c>
      <c r="G2137" s="4" t="n">
        <f aca="false">IF(COUNTIF('Letterboxd Watched'!$E$2:$E$3000,M2137)&gt;0,1,0)</f>
        <v>0</v>
      </c>
      <c r="H2137" s="4" t="n">
        <v>9</v>
      </c>
      <c r="I2137" s="4" t="s">
        <v>144</v>
      </c>
      <c r="J2137" s="4" t="s">
        <v>50</v>
      </c>
      <c r="K2137" s="4" t="s">
        <v>5815</v>
      </c>
      <c r="L2137" s="48" t="str">
        <f aca="false">HYPERLINK("https://boxd.it/2b4m","open")</f>
        <v>open</v>
      </c>
      <c r="M2137" s="4" t="str">
        <f aca="false">LOWER(A2137)&amp;"|"&amp;B2137</f>
        <v>spirited away|2001</v>
      </c>
      <c r="N2137" s="4" t="n">
        <v>0</v>
      </c>
      <c r="O2137" s="4" t="n">
        <v>1</v>
      </c>
      <c r="P2137" s="4" t="n">
        <v>0</v>
      </c>
      <c r="Q2137" s="4" t="n">
        <v>0</v>
      </c>
      <c r="R2137" s="4" t="n">
        <v>1</v>
      </c>
      <c r="S2137" s="4" t="n">
        <v>0</v>
      </c>
      <c r="T2137" s="4" t="n">
        <v>0</v>
      </c>
      <c r="U2137" s="4" t="n">
        <v>0</v>
      </c>
      <c r="V2137" s="4" t="n">
        <v>1</v>
      </c>
      <c r="W2137" s="4" t="n">
        <v>0</v>
      </c>
    </row>
    <row r="2138" customFormat="false" ht="15" hidden="false" customHeight="false" outlineLevel="0" collapsed="false">
      <c r="A2138" s="4" t="s">
        <v>1629</v>
      </c>
      <c r="B2138" s="4" t="n">
        <v>2015</v>
      </c>
      <c r="C2138" s="4" t="str">
        <f aca="false">FLOOR(B2138,10)&amp;"s"</f>
        <v>2010s</v>
      </c>
      <c r="D2138" s="4" t="s">
        <v>1630</v>
      </c>
      <c r="E2138" s="25" t="str">
        <f aca="false">IF(G2138=1,"✓","")</f>
        <v>✓</v>
      </c>
      <c r="F2138" s="4" t="n">
        <v>1</v>
      </c>
      <c r="G2138" s="4" t="n">
        <f aca="false">IF(COUNTIF('Letterboxd Watched'!$E$2:$E$3000,M2138)&gt;0,1,0)</f>
        <v>1</v>
      </c>
      <c r="H2138" s="4" t="n">
        <v>3</v>
      </c>
      <c r="I2138" s="4" t="s">
        <v>144</v>
      </c>
      <c r="J2138" s="4" t="s">
        <v>55</v>
      </c>
      <c r="K2138" s="4" t="s">
        <v>4320</v>
      </c>
      <c r="L2138" s="48" t="str">
        <f aca="false">HYPERLINK("https://boxd.it/a84k","open")</f>
        <v>open</v>
      </c>
      <c r="M2138" s="4" t="str">
        <f aca="false">LOWER(A2138)&amp;"|"&amp;B2138</f>
        <v>spotlight|2015</v>
      </c>
      <c r="N2138" s="4" t="n">
        <v>0</v>
      </c>
      <c r="O2138" s="4" t="n">
        <v>0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1</v>
      </c>
      <c r="U2138" s="4" t="n">
        <v>0</v>
      </c>
      <c r="V2138" s="4" t="n">
        <v>0</v>
      </c>
      <c r="W2138" s="4" t="n">
        <v>0</v>
      </c>
    </row>
    <row r="2139" customFormat="false" ht="15" hidden="false" customHeight="false" outlineLevel="0" collapsed="false">
      <c r="A2139" s="4" t="s">
        <v>3018</v>
      </c>
      <c r="B2139" s="4" t="n">
        <v>2012</v>
      </c>
      <c r="C2139" s="4" t="str">
        <f aca="false">FLOOR(B2139,10)&amp;"s"</f>
        <v>2010s</v>
      </c>
      <c r="D2139" s="4" t="s">
        <v>2698</v>
      </c>
      <c r="E2139" s="25" t="str">
        <f aca="false">IF(G2139=1,"✓","")</f>
        <v/>
      </c>
      <c r="F2139" s="4" t="n">
        <v>1</v>
      </c>
      <c r="G2139" s="4" t="n">
        <f aca="false">IF(COUNTIF('Letterboxd Watched'!$E$2:$E$3000,M2139)&gt;0,1,0)</f>
        <v>0</v>
      </c>
      <c r="H2139" s="4" t="n">
        <v>2</v>
      </c>
      <c r="I2139" s="4" t="s">
        <v>213</v>
      </c>
      <c r="J2139" s="4" t="s">
        <v>57</v>
      </c>
      <c r="K2139" s="4" t="s">
        <v>4450</v>
      </c>
      <c r="L2139" s="48" t="str">
        <f aca="false">HYPERLINK("https://boxd.it/421s","open")</f>
        <v>open</v>
      </c>
      <c r="M2139" s="4" t="str">
        <f aca="false">LOWER(A2139)&amp;"|"&amp;B2139</f>
        <v>spring breakers|2012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1</v>
      </c>
      <c r="W2139" s="4" t="n">
        <v>0</v>
      </c>
    </row>
    <row r="2140" customFormat="false" ht="15" hidden="false" customHeight="false" outlineLevel="0" collapsed="false">
      <c r="A2140" s="4" t="s">
        <v>1851</v>
      </c>
      <c r="B2140" s="4" t="n">
        <v>1948</v>
      </c>
      <c r="C2140" s="4" t="str">
        <f aca="false">FLOOR(B2140,10)&amp;"s"</f>
        <v>1940s</v>
      </c>
      <c r="D2140" s="4" t="s">
        <v>1852</v>
      </c>
      <c r="E2140" s="25" t="str">
        <f aca="false">IF(G2140=1,"✓","")</f>
        <v/>
      </c>
      <c r="F2140" s="4" t="n">
        <v>1</v>
      </c>
      <c r="G2140" s="4" t="n">
        <f aca="false">IF(COUNTIF('Letterboxd Watched'!$E$2:$E$3000,M2140)&gt;0,1,0)</f>
        <v>0</v>
      </c>
      <c r="H2140" s="4" t="n">
        <v>2</v>
      </c>
      <c r="I2140" s="4" t="s">
        <v>213</v>
      </c>
      <c r="J2140" s="4" t="s">
        <v>51</v>
      </c>
      <c r="K2140" s="4" t="s">
        <v>4020</v>
      </c>
      <c r="L2140" s="48" t="str">
        <f aca="false">HYPERLINK("https://letterboxd.com/search/films/Spring+in+a+Small+Town+1948/","open")</f>
        <v>open</v>
      </c>
      <c r="M2140" s="4" t="str">
        <f aca="false">LOWER(A2140)&amp;"|"&amp;B2140</f>
        <v>spring in a small town|1948</v>
      </c>
      <c r="N2140" s="4" t="n">
        <v>0</v>
      </c>
      <c r="O2140" s="4" t="n">
        <v>0</v>
      </c>
      <c r="P2140" s="4" t="n">
        <v>1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</row>
    <row r="2141" customFormat="false" ht="15" hidden="false" customHeight="false" outlineLevel="0" collapsed="false">
      <c r="A2141" s="4" t="s">
        <v>2799</v>
      </c>
      <c r="B2141" s="4" t="n">
        <v>2003</v>
      </c>
      <c r="C2141" s="4" t="str">
        <f aca="false">FLOOR(B2141,10)&amp;"s"</f>
        <v>2000s</v>
      </c>
      <c r="D2141" s="4" t="s">
        <v>2800</v>
      </c>
      <c r="E2141" s="25" t="str">
        <f aca="false">IF(G2141=1,"✓","")</f>
        <v/>
      </c>
      <c r="F2141" s="4" t="n">
        <v>1</v>
      </c>
      <c r="G2141" s="4" t="n">
        <f aca="false">IF(COUNTIF('Letterboxd Watched'!$E$2:$E$3000,M2141)&gt;0,1,0)</f>
        <v>0</v>
      </c>
      <c r="H2141" s="4" t="n">
        <v>2</v>
      </c>
      <c r="I2141" s="4" t="s">
        <v>213</v>
      </c>
      <c r="J2141" s="4" t="s">
        <v>51</v>
      </c>
      <c r="K2141" s="4" t="s">
        <v>4022</v>
      </c>
      <c r="L2141" s="48" t="str">
        <f aca="false">HYPERLINK("https://letterboxd.com/search/films/Spring+Summer+Fall+Winter+and+Spring+2003/","open")</f>
        <v>open</v>
      </c>
      <c r="M2141" s="4" t="str">
        <f aca="false">LOWER(A2141)&amp;"|"&amp;B2141</f>
        <v>spring, summer, fall, winter... and spring|2003</v>
      </c>
      <c r="N2141" s="4" t="n">
        <v>0</v>
      </c>
      <c r="O2141" s="4" t="n">
        <v>0</v>
      </c>
      <c r="P2141" s="4" t="n">
        <v>1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</row>
    <row r="2142" customFormat="false" ht="15" hidden="false" customHeight="false" outlineLevel="0" collapsed="false">
      <c r="A2142" s="4" t="s">
        <v>2064</v>
      </c>
      <c r="B2142" s="4" t="n">
        <v>1965</v>
      </c>
      <c r="C2142" s="4" t="str">
        <f aca="false">FLOOR(B2142,10)&amp;"s"</f>
        <v>1960s</v>
      </c>
      <c r="D2142" s="4" t="s">
        <v>1516</v>
      </c>
      <c r="E2142" s="25" t="str">
        <f aca="false">IF(G2142=1,"✓","")</f>
        <v/>
      </c>
      <c r="F2142" s="4" t="n">
        <v>1</v>
      </c>
      <c r="G2142" s="4" t="n">
        <f aca="false">IF(COUNTIF('Letterboxd Watched'!$E$2:$E$3000,M2142)&gt;0,1,0)</f>
        <v>0</v>
      </c>
      <c r="H2142" s="4" t="n">
        <v>2</v>
      </c>
      <c r="I2142" s="4" t="s">
        <v>213</v>
      </c>
      <c r="J2142" s="4" t="s">
        <v>52</v>
      </c>
      <c r="K2142" s="4" t="s">
        <v>4132</v>
      </c>
      <c r="L2142" s="48" t="str">
        <f aca="false">HYPERLINK("https://letterboxd.com/search/films/The+Spy+Who+Came+in+from+the+Cold+1965/","open")</f>
        <v>open</v>
      </c>
      <c r="M2142" s="4" t="str">
        <f aca="false">LOWER(A2142)&amp;"|"&amp;B2142</f>
        <v>the spy who came in from the cold|1965</v>
      </c>
      <c r="N2142" s="4" t="n">
        <v>0</v>
      </c>
      <c r="O2142" s="4" t="n">
        <v>0</v>
      </c>
      <c r="P2142" s="4" t="n">
        <v>0</v>
      </c>
      <c r="Q2142" s="4" t="n">
        <v>1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</row>
    <row r="2143" customFormat="false" ht="15" hidden="false" customHeight="false" outlineLevel="0" collapsed="false">
      <c r="A2143" s="4" t="s">
        <v>1593</v>
      </c>
      <c r="B2143" s="4" t="n">
        <v>2005</v>
      </c>
      <c r="C2143" s="4" t="str">
        <f aca="false">FLOOR(B2143,10)&amp;"s"</f>
        <v>2000s</v>
      </c>
      <c r="D2143" s="4" t="s">
        <v>870</v>
      </c>
      <c r="E2143" s="25" t="str">
        <f aca="false">IF(G2143=1,"✓","")</f>
        <v>✓</v>
      </c>
      <c r="F2143" s="4" t="n">
        <v>2</v>
      </c>
      <c r="G2143" s="4" t="n">
        <f aca="false">IF(COUNTIF('Letterboxd Watched'!$E$2:$E$3000,M2143)&gt;0,1,0)</f>
        <v>1</v>
      </c>
      <c r="H2143" s="4" t="n">
        <v>3</v>
      </c>
      <c r="I2143" s="4" t="s">
        <v>213</v>
      </c>
      <c r="J2143" s="4" t="s">
        <v>55</v>
      </c>
      <c r="K2143" s="4" t="s">
        <v>5816</v>
      </c>
      <c r="L2143" s="48" t="str">
        <f aca="false">HYPERLINK("https://boxd.it/1VAG","open")</f>
        <v>open</v>
      </c>
      <c r="M2143" s="4" t="str">
        <f aca="false">LOWER(A2143)&amp;"|"&amp;B2143</f>
        <v>the squid and the whale|2005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1</v>
      </c>
      <c r="U2143" s="4" t="n">
        <v>0</v>
      </c>
      <c r="V2143" s="4" t="n">
        <v>0</v>
      </c>
      <c r="W2143" s="4" t="n">
        <v>0</v>
      </c>
    </row>
    <row r="2144" customFormat="false" ht="15" hidden="false" customHeight="false" outlineLevel="0" collapsed="false">
      <c r="A2144" s="4" t="s">
        <v>302</v>
      </c>
      <c r="B2144" s="4" t="n">
        <v>1939</v>
      </c>
      <c r="C2144" s="4" t="str">
        <f aca="false">FLOOR(B2144,10)&amp;"s"</f>
        <v>1930s</v>
      </c>
      <c r="D2144" s="4" t="s">
        <v>205</v>
      </c>
      <c r="E2144" s="25" t="str">
        <f aca="false">IF(G2144=1,"✓","")</f>
        <v/>
      </c>
      <c r="F2144" s="4" t="n">
        <v>4</v>
      </c>
      <c r="G2144" s="4" t="n">
        <f aca="false">IF(COUNTIF('Letterboxd Watched'!$E$2:$E$3000,M2144)&gt;0,1,0)</f>
        <v>0</v>
      </c>
      <c r="H2144" s="4" t="n">
        <v>10</v>
      </c>
      <c r="I2144" s="4" t="s">
        <v>144</v>
      </c>
      <c r="J2144" s="4" t="s">
        <v>50</v>
      </c>
      <c r="K2144" s="4" t="s">
        <v>5817</v>
      </c>
      <c r="L2144" s="48" t="str">
        <f aca="false">HYPERLINK("https://boxd.it/297S","open")</f>
        <v>open</v>
      </c>
      <c r="M2144" s="4" t="str">
        <f aca="false">LOWER(A2144)&amp;"|"&amp;B2144</f>
        <v>stagecoach|1939</v>
      </c>
      <c r="N2144" s="4" t="n">
        <v>0</v>
      </c>
      <c r="O2144" s="4" t="n">
        <v>1</v>
      </c>
      <c r="P2144" s="4" t="n">
        <v>0</v>
      </c>
      <c r="Q2144" s="4" t="n">
        <v>1</v>
      </c>
      <c r="R2144" s="4" t="n">
        <v>1</v>
      </c>
      <c r="S2144" s="4" t="n">
        <v>0</v>
      </c>
      <c r="T2144" s="4" t="n">
        <v>0</v>
      </c>
      <c r="U2144" s="4" t="n">
        <v>0</v>
      </c>
      <c r="V2144" s="4" t="n">
        <v>1</v>
      </c>
      <c r="W2144" s="4" t="n">
        <v>0</v>
      </c>
    </row>
    <row r="2145" customFormat="false" ht="15" hidden="false" customHeight="false" outlineLevel="0" collapsed="false">
      <c r="A2145" s="4" t="s">
        <v>1898</v>
      </c>
      <c r="B2145" s="4" t="n">
        <v>1953</v>
      </c>
      <c r="C2145" s="4" t="str">
        <f aca="false">FLOOR(B2145,10)&amp;"s"</f>
        <v>1950s</v>
      </c>
      <c r="D2145" s="4" t="s">
        <v>200</v>
      </c>
      <c r="E2145" s="25" t="str">
        <f aca="false">IF(G2145=1,"✓","")</f>
        <v/>
      </c>
      <c r="F2145" s="4" t="n">
        <v>1</v>
      </c>
      <c r="G2145" s="4" t="n">
        <f aca="false">IF(COUNTIF('Letterboxd Watched'!$E$2:$E$3000,M2145)&gt;0,1,0)</f>
        <v>0</v>
      </c>
      <c r="H2145" s="4" t="n">
        <v>2</v>
      </c>
      <c r="I2145" s="4" t="s">
        <v>213</v>
      </c>
      <c r="J2145" s="4" t="s">
        <v>53</v>
      </c>
      <c r="K2145" s="4" t="s">
        <v>200</v>
      </c>
      <c r="L2145" s="48" t="str">
        <f aca="false">HYPERLINK("https://boxd.it/29Xa","open")</f>
        <v>open</v>
      </c>
      <c r="M2145" s="4" t="str">
        <f aca="false">LOWER(A2145)&amp;"|"&amp;B2145</f>
        <v>stalag 17|1953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1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</row>
    <row r="2146" customFormat="false" ht="15" hidden="false" customHeight="false" outlineLevel="0" collapsed="false">
      <c r="A2146" s="4" t="s">
        <v>209</v>
      </c>
      <c r="B2146" s="4" t="n">
        <v>1979</v>
      </c>
      <c r="C2146" s="4" t="str">
        <f aca="false">FLOOR(B2146,10)&amp;"s"</f>
        <v>1970s</v>
      </c>
      <c r="D2146" s="4" t="s">
        <v>210</v>
      </c>
      <c r="E2146" s="25" t="str">
        <f aca="false">IF(G2146=1,"✓","")</f>
        <v>✓</v>
      </c>
      <c r="F2146" s="4" t="n">
        <v>7</v>
      </c>
      <c r="G2146" s="4" t="n">
        <f aca="false">IF(COUNTIF('Letterboxd Watched'!$E$2:$E$3000,M2146)&gt;0,1,0)</f>
        <v>1</v>
      </c>
      <c r="H2146" s="4" t="n">
        <v>14</v>
      </c>
      <c r="I2146" s="4" t="s">
        <v>144</v>
      </c>
      <c r="J2146" s="4" t="s">
        <v>51</v>
      </c>
      <c r="K2146" s="4" t="s">
        <v>5818</v>
      </c>
      <c r="L2146" s="48" t="str">
        <f aca="false">HYPERLINK("https://boxd.it/28PO","open")</f>
        <v>open</v>
      </c>
      <c r="M2146" s="4" t="str">
        <f aca="false">LOWER(A2146)&amp;"|"&amp;B2146</f>
        <v>stalker|1979</v>
      </c>
      <c r="N2146" s="4" t="n">
        <v>0</v>
      </c>
      <c r="O2146" s="4" t="n">
        <v>0</v>
      </c>
      <c r="P2146" s="4" t="n">
        <v>1</v>
      </c>
      <c r="Q2146" s="4" t="n">
        <v>1</v>
      </c>
      <c r="R2146" s="4" t="n">
        <v>1</v>
      </c>
      <c r="S2146" s="4" t="n">
        <v>1</v>
      </c>
      <c r="T2146" s="4" t="n">
        <v>0</v>
      </c>
      <c r="U2146" s="4" t="n">
        <v>0</v>
      </c>
      <c r="V2146" s="4" t="n">
        <v>1</v>
      </c>
      <c r="W2146" s="4" t="n">
        <v>1</v>
      </c>
    </row>
    <row r="2147" customFormat="false" ht="15" hidden="false" customHeight="false" outlineLevel="0" collapsed="false">
      <c r="A2147" s="4" t="s">
        <v>2481</v>
      </c>
      <c r="B2147" s="4" t="n">
        <v>1988</v>
      </c>
      <c r="C2147" s="4" t="str">
        <f aca="false">FLOOR(B2147,10)&amp;"s"</f>
        <v>1980s</v>
      </c>
      <c r="D2147" s="4" t="s">
        <v>2482</v>
      </c>
      <c r="E2147" s="25" t="str">
        <f aca="false">IF(G2147=1,"✓","")</f>
        <v/>
      </c>
      <c r="F2147" s="4" t="n">
        <v>1</v>
      </c>
      <c r="G2147" s="4" t="n">
        <f aca="false">IF(COUNTIF('Letterboxd Watched'!$E$2:$E$3000,M2147)&gt;0,1,0)</f>
        <v>0</v>
      </c>
      <c r="H2147" s="4" t="n">
        <v>2</v>
      </c>
      <c r="I2147" s="4" t="s">
        <v>213</v>
      </c>
      <c r="J2147" s="4" t="s">
        <v>55</v>
      </c>
      <c r="K2147" s="4" t="s">
        <v>4346</v>
      </c>
      <c r="L2147" s="48" t="str">
        <f aca="false">HYPERLINK("https://boxd.it/1o5g","open")</f>
        <v>open</v>
      </c>
      <c r="M2147" s="4" t="str">
        <f aca="false">LOWER(A2147)&amp;"|"&amp;B2147</f>
        <v>stand and deliver|1988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1</v>
      </c>
      <c r="U2147" s="4" t="n">
        <v>0</v>
      </c>
      <c r="V2147" s="4" t="n">
        <v>0</v>
      </c>
      <c r="W2147" s="4" t="n">
        <v>0</v>
      </c>
    </row>
    <row r="2148" customFormat="false" ht="15" hidden="false" customHeight="false" outlineLevel="0" collapsed="false">
      <c r="A2148" s="4" t="s">
        <v>1534</v>
      </c>
      <c r="B2148" s="4" t="n">
        <v>1986</v>
      </c>
      <c r="C2148" s="4" t="str">
        <f aca="false">FLOOR(B2148,10)&amp;"s"</f>
        <v>1980s</v>
      </c>
      <c r="D2148" s="4" t="s">
        <v>822</v>
      </c>
      <c r="E2148" s="25" t="str">
        <f aca="false">IF(G2148=1,"✓","")</f>
        <v>✓</v>
      </c>
      <c r="F2148" s="4" t="n">
        <v>1</v>
      </c>
      <c r="G2148" s="4" t="n">
        <f aca="false">IF(COUNTIF('Letterboxd Watched'!$E$2:$E$3000,M2148)&gt;0,1,0)</f>
        <v>1</v>
      </c>
      <c r="H2148" s="4" t="n">
        <v>3</v>
      </c>
      <c r="I2148" s="4" t="s">
        <v>144</v>
      </c>
      <c r="J2148" s="4" t="s">
        <v>55</v>
      </c>
      <c r="K2148" s="4" t="s">
        <v>4344</v>
      </c>
      <c r="L2148" s="48" t="str">
        <f aca="false">HYPERLINK("https://boxd.it/2aOe","open")</f>
        <v>open</v>
      </c>
      <c r="M2148" s="4" t="str">
        <f aca="false">LOWER(A2148)&amp;"|"&amp;B2148</f>
        <v>stand by me|1986</v>
      </c>
      <c r="N2148" s="4" t="n">
        <v>0</v>
      </c>
      <c r="O2148" s="4" t="n">
        <v>0</v>
      </c>
      <c r="P2148" s="4" t="n">
        <v>0</v>
      </c>
      <c r="Q2148" s="4" t="n">
        <v>0</v>
      </c>
      <c r="R2148" s="4" t="n">
        <v>0</v>
      </c>
      <c r="S2148" s="4" t="n">
        <v>0</v>
      </c>
      <c r="T2148" s="4" t="n">
        <v>1</v>
      </c>
      <c r="U2148" s="4" t="n">
        <v>0</v>
      </c>
      <c r="V2148" s="4" t="n">
        <v>0</v>
      </c>
      <c r="W2148" s="4" t="n">
        <v>0</v>
      </c>
    </row>
    <row r="2149" customFormat="false" ht="15" hidden="false" customHeight="false" outlineLevel="0" collapsed="false">
      <c r="A2149" s="4" t="s">
        <v>1906</v>
      </c>
      <c r="B2149" s="4" t="n">
        <v>1954</v>
      </c>
      <c r="C2149" s="4" t="str">
        <f aca="false">FLOOR(B2149,10)&amp;"s"</f>
        <v>1950s</v>
      </c>
      <c r="D2149" s="4" t="s">
        <v>537</v>
      </c>
      <c r="E2149" s="25" t="str">
        <f aca="false">IF(G2149=1,"✓","")</f>
        <v/>
      </c>
      <c r="F2149" s="4" t="n">
        <v>1</v>
      </c>
      <c r="G2149" s="4" t="n">
        <f aca="false">IF(COUNTIF('Letterboxd Watched'!$E$2:$E$3000,M2149)&gt;0,1,0)</f>
        <v>0</v>
      </c>
      <c r="H2149" s="4" t="n">
        <v>2</v>
      </c>
      <c r="I2149" s="4" t="s">
        <v>213</v>
      </c>
      <c r="J2149" s="4" t="s">
        <v>52</v>
      </c>
      <c r="K2149" s="4" t="s">
        <v>4110</v>
      </c>
      <c r="L2149" s="48" t="str">
        <f aca="false">HYPERLINK("https://boxd.it/25I6","open")</f>
        <v>open</v>
      </c>
      <c r="M2149" s="4" t="str">
        <f aca="false">LOWER(A2149)&amp;"|"&amp;B2149</f>
        <v>a star is born|1954</v>
      </c>
      <c r="N2149" s="4" t="n">
        <v>0</v>
      </c>
      <c r="O2149" s="4" t="n">
        <v>0</v>
      </c>
      <c r="P2149" s="4" t="n">
        <v>0</v>
      </c>
      <c r="Q2149" s="4" t="n">
        <v>1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</row>
    <row r="2150" customFormat="false" ht="15" hidden="false" customHeight="false" outlineLevel="0" collapsed="false">
      <c r="A2150" s="4" t="s">
        <v>256</v>
      </c>
      <c r="B2150" s="4" t="n">
        <v>1977</v>
      </c>
      <c r="C2150" s="4" t="str">
        <f aca="false">FLOOR(B2150,10)&amp;"s"</f>
        <v>1970s</v>
      </c>
      <c r="D2150" s="4" t="s">
        <v>257</v>
      </c>
      <c r="E2150" s="25" t="str">
        <f aca="false">IF(G2150=1,"✓","")</f>
        <v>✓</v>
      </c>
      <c r="F2150" s="4" t="n">
        <v>5</v>
      </c>
      <c r="G2150" s="4" t="n">
        <f aca="false">IF(COUNTIF('Letterboxd Watched'!$E$2:$E$3000,M2150)&gt;0,1,0)</f>
        <v>1</v>
      </c>
      <c r="H2150" s="4" t="n">
        <v>12</v>
      </c>
      <c r="I2150" s="4" t="s">
        <v>144</v>
      </c>
      <c r="J2150" s="4" t="s">
        <v>50</v>
      </c>
      <c r="K2150" s="4" t="s">
        <v>5819</v>
      </c>
      <c r="L2150" s="48" t="str">
        <f aca="false">HYPERLINK("https://boxd.it/72s","open")</f>
        <v>open</v>
      </c>
      <c r="M2150" s="4" t="str">
        <f aca="false">LOWER(A2150)&amp;"|"&amp;B2150</f>
        <v>star wars|1977</v>
      </c>
      <c r="N2150" s="4" t="n">
        <v>0</v>
      </c>
      <c r="O2150" s="4" t="n">
        <v>1</v>
      </c>
      <c r="P2150" s="4" t="n">
        <v>0</v>
      </c>
      <c r="Q2150" s="4" t="n">
        <v>1</v>
      </c>
      <c r="R2150" s="4" t="n">
        <v>0</v>
      </c>
      <c r="S2150" s="4" t="n">
        <v>0</v>
      </c>
      <c r="T2150" s="4" t="n">
        <v>0</v>
      </c>
      <c r="U2150" s="4" t="n">
        <v>1</v>
      </c>
      <c r="V2150" s="4" t="n">
        <v>1</v>
      </c>
      <c r="W2150" s="4" t="n">
        <v>0</v>
      </c>
    </row>
    <row r="2151" customFormat="false" ht="15" hidden="false" customHeight="false" outlineLevel="0" collapsed="false">
      <c r="A2151" s="4" t="s">
        <v>2405</v>
      </c>
      <c r="B2151" s="4" t="n">
        <v>1984</v>
      </c>
      <c r="C2151" s="4" t="str">
        <f aca="false">FLOOR(B2151,10)&amp;"s"</f>
        <v>1980s</v>
      </c>
      <c r="D2151" s="4" t="s">
        <v>266</v>
      </c>
      <c r="E2151" s="25" t="str">
        <f aca="false">IF(G2151=1,"✓","")</f>
        <v>✓</v>
      </c>
      <c r="F2151" s="4" t="n">
        <v>1</v>
      </c>
      <c r="G2151" s="4" t="n">
        <f aca="false">IF(COUNTIF('Letterboxd Watched'!$E$2:$E$3000,M2151)&gt;0,1,0)</f>
        <v>1</v>
      </c>
      <c r="H2151" s="4" t="n">
        <v>2</v>
      </c>
      <c r="I2151" s="4" t="s">
        <v>213</v>
      </c>
      <c r="J2151" s="4" t="s">
        <v>53</v>
      </c>
      <c r="K2151" s="4" t="s">
        <v>266</v>
      </c>
      <c r="L2151" s="48" t="str">
        <f aca="false">HYPERLINK("https://boxd.it/1Y6O","open")</f>
        <v>open</v>
      </c>
      <c r="M2151" s="4" t="str">
        <f aca="false">LOWER(A2151)&amp;"|"&amp;B2151</f>
        <v>starman|1984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1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</row>
    <row r="2152" customFormat="false" ht="15" hidden="false" customHeight="false" outlineLevel="0" collapsed="false">
      <c r="A2152" s="4" t="s">
        <v>3041</v>
      </c>
      <c r="B2152" s="4" t="n">
        <v>2013</v>
      </c>
      <c r="C2152" s="4" t="str">
        <f aca="false">FLOOR(B2152,10)&amp;"s"</f>
        <v>2010s</v>
      </c>
      <c r="D2152" s="4" t="s">
        <v>1632</v>
      </c>
      <c r="E2152" s="25" t="str">
        <f aca="false">IF(G2152=1,"✓","")</f>
        <v/>
      </c>
      <c r="F2152" s="4" t="n">
        <v>1</v>
      </c>
      <c r="G2152" s="4" t="n">
        <f aca="false">IF(COUNTIF('Letterboxd Watched'!$E$2:$E$3000,M2152)&gt;0,1,0)</f>
        <v>0</v>
      </c>
      <c r="H2152" s="4" t="n">
        <v>2</v>
      </c>
      <c r="I2152" s="4" t="s">
        <v>213</v>
      </c>
      <c r="J2152" s="4" t="s">
        <v>55</v>
      </c>
      <c r="K2152" s="4" t="s">
        <v>4326</v>
      </c>
      <c r="L2152" s="48" t="str">
        <f aca="false">HYPERLINK("https://letterboxd.com/search/films/Starred+Up+2013/","open")</f>
        <v>open</v>
      </c>
      <c r="M2152" s="4" t="str">
        <f aca="false">LOWER(A2152)&amp;"|"&amp;B2152</f>
        <v>starred up|2013</v>
      </c>
      <c r="N2152" s="4" t="n">
        <v>0</v>
      </c>
      <c r="O2152" s="4" t="n">
        <v>0</v>
      </c>
      <c r="P2152" s="4" t="n">
        <v>0</v>
      </c>
      <c r="Q2152" s="4" t="n">
        <v>0</v>
      </c>
      <c r="R2152" s="4" t="n">
        <v>0</v>
      </c>
      <c r="S2152" s="4" t="n">
        <v>0</v>
      </c>
      <c r="T2152" s="4" t="n">
        <v>1</v>
      </c>
      <c r="U2152" s="4" t="n">
        <v>0</v>
      </c>
      <c r="V2152" s="4" t="n">
        <v>0</v>
      </c>
      <c r="W2152" s="4" t="n">
        <v>0</v>
      </c>
    </row>
    <row r="2153" customFormat="false" ht="15" hidden="false" customHeight="false" outlineLevel="0" collapsed="false">
      <c r="A2153" s="4" t="s">
        <v>2670</v>
      </c>
      <c r="B2153" s="4" t="n">
        <v>1997</v>
      </c>
      <c r="C2153" s="4" t="str">
        <f aca="false">FLOOR(B2153,10)&amp;"s"</f>
        <v>1990s</v>
      </c>
      <c r="D2153" s="4" t="s">
        <v>699</v>
      </c>
      <c r="E2153" s="25" t="str">
        <f aca="false">IF(G2153=1,"✓","")</f>
        <v/>
      </c>
      <c r="F2153" s="4" t="n">
        <v>1</v>
      </c>
      <c r="G2153" s="4" t="n">
        <f aca="false">IF(COUNTIF('Letterboxd Watched'!$E$2:$E$3000,M2153)&gt;0,1,0)</f>
        <v>0</v>
      </c>
      <c r="H2153" s="4" t="n">
        <v>2</v>
      </c>
      <c r="I2153" s="4" t="s">
        <v>213</v>
      </c>
      <c r="J2153" s="4" t="s">
        <v>52</v>
      </c>
      <c r="K2153" s="4" t="s">
        <v>4094</v>
      </c>
      <c r="L2153" s="48" t="str">
        <f aca="false">HYPERLINK("https://boxd.it/2a7k","open")</f>
        <v>open</v>
      </c>
      <c r="M2153" s="4" t="str">
        <f aca="false">LOWER(A2153)&amp;"|"&amp;B2153</f>
        <v>starship troopers|1997</v>
      </c>
      <c r="N2153" s="4" t="n">
        <v>0</v>
      </c>
      <c r="O2153" s="4" t="n">
        <v>0</v>
      </c>
      <c r="P2153" s="4" t="n">
        <v>0</v>
      </c>
      <c r="Q2153" s="4" t="n">
        <v>1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</row>
    <row r="2154" customFormat="false" ht="15" hidden="false" customHeight="false" outlineLevel="0" collapsed="false">
      <c r="A2154" s="4" t="s">
        <v>1694</v>
      </c>
      <c r="B2154" s="4" t="n">
        <v>1928</v>
      </c>
      <c r="C2154" s="4" t="str">
        <f aca="false">FLOOR(B2154,10)&amp;"s"</f>
        <v>1920s</v>
      </c>
      <c r="D2154" s="4" t="s">
        <v>1695</v>
      </c>
      <c r="E2154" s="25" t="str">
        <f aca="false">IF(G2154=1,"✓","")</f>
        <v/>
      </c>
      <c r="F2154" s="4" t="n">
        <v>1</v>
      </c>
      <c r="G2154" s="4" t="n">
        <f aca="false">IF(COUNTIF('Letterboxd Watched'!$E$2:$E$3000,M2154)&gt;0,1,0)</f>
        <v>0</v>
      </c>
      <c r="H2154" s="4" t="n">
        <v>2</v>
      </c>
      <c r="I2154" s="4" t="s">
        <v>213</v>
      </c>
      <c r="J2154" s="4" t="s">
        <v>50</v>
      </c>
      <c r="K2154" s="4" t="s">
        <v>3896</v>
      </c>
      <c r="L2154" s="48" t="str">
        <f aca="false">HYPERLINK("https://boxd.it/1v9u","open")</f>
        <v>open</v>
      </c>
      <c r="M2154" s="4" t="str">
        <f aca="false">LOWER(A2154)&amp;"|"&amp;B2154</f>
        <v>steamboat bill, jr.|1928</v>
      </c>
      <c r="N2154" s="4" t="n">
        <v>0</v>
      </c>
      <c r="O2154" s="4" t="n">
        <v>1</v>
      </c>
      <c r="P2154" s="4" t="n">
        <v>0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</row>
    <row r="2155" customFormat="false" ht="15" hidden="false" customHeight="false" outlineLevel="0" collapsed="false">
      <c r="A2155" s="4" t="s">
        <v>3358</v>
      </c>
      <c r="B2155" s="4" t="n">
        <v>1951</v>
      </c>
      <c r="C2155" s="4" t="str">
        <f aca="false">FLOOR(B2155,10)&amp;"s"</f>
        <v>1950s</v>
      </c>
      <c r="D2155" s="4" t="s">
        <v>940</v>
      </c>
      <c r="E2155" s="25" t="str">
        <f aca="false">IF(G2155=1,"✓","")</f>
        <v/>
      </c>
      <c r="F2155" s="4" t="n">
        <v>1</v>
      </c>
      <c r="G2155" s="4" t="n">
        <f aca="false">IF(COUNTIF('Letterboxd Watched'!$E$2:$E$3000,M2155)&gt;0,1,0)</f>
        <v>0</v>
      </c>
      <c r="H2155" s="4" t="n">
        <v>1</v>
      </c>
      <c r="I2155" s="4" t="s">
        <v>1327</v>
      </c>
      <c r="J2155" s="4" t="s">
        <v>53</v>
      </c>
      <c r="K2155" s="4" t="s">
        <v>4194</v>
      </c>
      <c r="L2155" s="48" t="str">
        <f aca="false">HYPERLINK("https://letterboxd.com/search/films/The+Steel+Helmet+1951/","open")</f>
        <v>open</v>
      </c>
      <c r="M2155" s="4" t="str">
        <f aca="false">LOWER(A2155)&amp;"|"&amp;B2155</f>
        <v>the steel helmet|1951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1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</row>
    <row r="2156" customFormat="false" ht="15" hidden="false" customHeight="false" outlineLevel="0" collapsed="false">
      <c r="A2156" s="4" t="s">
        <v>1438</v>
      </c>
      <c r="B2156" s="4" t="n">
        <v>1937</v>
      </c>
      <c r="C2156" s="4" t="str">
        <f aca="false">FLOOR(B2156,10)&amp;"s"</f>
        <v>1930s</v>
      </c>
      <c r="D2156" s="4" t="s">
        <v>535</v>
      </c>
      <c r="E2156" s="25" t="str">
        <f aca="false">IF(G2156=1,"✓","")</f>
        <v/>
      </c>
      <c r="F2156" s="4" t="n">
        <v>1</v>
      </c>
      <c r="G2156" s="4" t="n">
        <f aca="false">IF(COUNTIF('Letterboxd Watched'!$E$2:$E$3000,M2156)&gt;0,1,0)</f>
        <v>0</v>
      </c>
      <c r="H2156" s="4" t="n">
        <v>3</v>
      </c>
      <c r="I2156" s="4" t="s">
        <v>144</v>
      </c>
      <c r="J2156" s="4" t="s">
        <v>52</v>
      </c>
      <c r="K2156" s="4" t="s">
        <v>4148</v>
      </c>
      <c r="L2156" s="48" t="str">
        <f aca="false">HYPERLINK("https://letterboxd.com/search/films/Stella+Dallas+1937/","open")</f>
        <v>open</v>
      </c>
      <c r="M2156" s="4" t="str">
        <f aca="false">LOWER(A2156)&amp;"|"&amp;B2156</f>
        <v>stella dallas|1937</v>
      </c>
      <c r="N2156" s="4" t="n">
        <v>0</v>
      </c>
      <c r="O2156" s="4" t="n">
        <v>0</v>
      </c>
      <c r="P2156" s="4" t="n">
        <v>0</v>
      </c>
      <c r="Q2156" s="4" t="n">
        <v>1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</row>
    <row r="2157" customFormat="false" ht="15" hidden="false" customHeight="false" outlineLevel="0" collapsed="false">
      <c r="A2157" s="4" t="s">
        <v>2904</v>
      </c>
      <c r="B2157" s="4" t="n">
        <v>2008</v>
      </c>
      <c r="C2157" s="4" t="str">
        <f aca="false">FLOOR(B2157,10)&amp;"s"</f>
        <v>2000s</v>
      </c>
      <c r="D2157" s="4" t="s">
        <v>856</v>
      </c>
      <c r="E2157" s="25" t="str">
        <f aca="false">IF(G2157=1,"✓","")</f>
        <v>✓</v>
      </c>
      <c r="F2157" s="4" t="n">
        <v>1</v>
      </c>
      <c r="G2157" s="4" t="n">
        <f aca="false">IF(COUNTIF('Letterboxd Watched'!$E$2:$E$3000,M2157)&gt;0,1,0)</f>
        <v>1</v>
      </c>
      <c r="H2157" s="4" t="n">
        <v>2</v>
      </c>
      <c r="I2157" s="4" t="s">
        <v>213</v>
      </c>
      <c r="J2157" s="4" t="s">
        <v>52</v>
      </c>
      <c r="K2157" s="4" t="s">
        <v>4108</v>
      </c>
      <c r="L2157" s="48" t="str">
        <f aca="false">HYPERLINK("https://boxd.it/1SsE","open")</f>
        <v>open</v>
      </c>
      <c r="M2157" s="4" t="str">
        <f aca="false">LOWER(A2157)&amp;"|"&amp;B2157</f>
        <v>step brothers|2008</v>
      </c>
      <c r="N2157" s="4" t="n">
        <v>0</v>
      </c>
      <c r="O2157" s="4" t="n">
        <v>0</v>
      </c>
      <c r="P2157" s="4" t="n">
        <v>0</v>
      </c>
      <c r="Q2157" s="4" t="n">
        <v>1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</row>
    <row r="2158" customFormat="false" ht="15" hidden="false" customHeight="false" outlineLevel="0" collapsed="false">
      <c r="A2158" s="4" t="s">
        <v>858</v>
      </c>
      <c r="B2158" s="4" t="n">
        <v>2006</v>
      </c>
      <c r="C2158" s="4" t="str">
        <f aca="false">FLOOR(B2158,10)&amp;"s"</f>
        <v>2000s</v>
      </c>
      <c r="D2158" s="4" t="s">
        <v>859</v>
      </c>
      <c r="E2158" s="25" t="str">
        <f aca="false">IF(G2158=1,"✓","")</f>
        <v/>
      </c>
      <c r="F2158" s="4" t="n">
        <v>2</v>
      </c>
      <c r="G2158" s="4" t="n">
        <f aca="false">IF(COUNTIF('Letterboxd Watched'!$E$2:$E$3000,M2158)&gt;0,1,0)</f>
        <v>0</v>
      </c>
      <c r="H2158" s="4" t="n">
        <v>5</v>
      </c>
      <c r="I2158" s="4" t="s">
        <v>144</v>
      </c>
      <c r="J2158" s="4" t="s">
        <v>51</v>
      </c>
      <c r="K2158" s="4" t="s">
        <v>5707</v>
      </c>
      <c r="L2158" s="48" t="str">
        <f aca="false">HYPERLINK("https://letterboxd.com/search/films/Still+Life+2006/","open")</f>
        <v>open</v>
      </c>
      <c r="M2158" s="4" t="str">
        <f aca="false">LOWER(A2158)&amp;"|"&amp;B2158</f>
        <v>still life|2006</v>
      </c>
      <c r="N2158" s="4" t="n">
        <v>0</v>
      </c>
      <c r="O2158" s="4" t="n">
        <v>0</v>
      </c>
      <c r="P2158" s="4" t="n">
        <v>1</v>
      </c>
      <c r="Q2158" s="4" t="n">
        <v>0</v>
      </c>
      <c r="R2158" s="4" t="n">
        <v>1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</row>
    <row r="2159" customFormat="false" ht="15" hidden="false" customHeight="false" outlineLevel="0" collapsed="false">
      <c r="A2159" s="4" t="s">
        <v>1407</v>
      </c>
      <c r="B2159" s="4" t="n">
        <v>2008</v>
      </c>
      <c r="C2159" s="4" t="str">
        <f aca="false">FLOOR(B2159,10)&amp;"s"</f>
        <v>2000s</v>
      </c>
      <c r="D2159" s="4" t="s">
        <v>1205</v>
      </c>
      <c r="E2159" s="25" t="str">
        <f aca="false">IF(G2159=1,"✓","")</f>
        <v/>
      </c>
      <c r="F2159" s="4" t="n">
        <v>2</v>
      </c>
      <c r="G2159" s="4" t="n">
        <f aca="false">IF(COUNTIF('Letterboxd Watched'!$E$2:$E$3000,M2159)&gt;0,1,0)</f>
        <v>0</v>
      </c>
      <c r="H2159" s="4" t="n">
        <v>3</v>
      </c>
      <c r="I2159" s="4" t="s">
        <v>213</v>
      </c>
      <c r="J2159" s="4" t="s">
        <v>51</v>
      </c>
      <c r="K2159" s="4" t="s">
        <v>5820</v>
      </c>
      <c r="L2159" s="48" t="str">
        <f aca="false">HYPERLINK("https://boxd.it/1wvm","open")</f>
        <v>open</v>
      </c>
      <c r="M2159" s="4" t="str">
        <f aca="false">LOWER(A2159)&amp;"|"&amp;B2159</f>
        <v>still walking|2008</v>
      </c>
      <c r="N2159" s="4" t="n">
        <v>0</v>
      </c>
      <c r="O2159" s="4" t="n">
        <v>0</v>
      </c>
      <c r="P2159" s="4" t="n">
        <v>1</v>
      </c>
      <c r="Q2159" s="4" t="n">
        <v>0</v>
      </c>
      <c r="R2159" s="4" t="n">
        <v>0</v>
      </c>
      <c r="S2159" s="4" t="n">
        <v>0</v>
      </c>
      <c r="T2159" s="4" t="n">
        <v>1</v>
      </c>
      <c r="U2159" s="4" t="n">
        <v>0</v>
      </c>
      <c r="V2159" s="4" t="n">
        <v>0</v>
      </c>
      <c r="W2159" s="4" t="n">
        <v>0</v>
      </c>
    </row>
    <row r="2160" customFormat="false" ht="15" hidden="false" customHeight="false" outlineLevel="0" collapsed="false">
      <c r="A2160" s="4" t="s">
        <v>796</v>
      </c>
      <c r="B2160" s="4" t="n">
        <v>1973</v>
      </c>
      <c r="C2160" s="4" t="str">
        <f aca="false">FLOOR(B2160,10)&amp;"s"</f>
        <v>1970s</v>
      </c>
      <c r="D2160" s="4" t="s">
        <v>797</v>
      </c>
      <c r="E2160" s="25" t="str">
        <f aca="false">IF(G2160=1,"✓","")</f>
        <v/>
      </c>
      <c r="F2160" s="4" t="n">
        <v>2</v>
      </c>
      <c r="G2160" s="4" t="n">
        <f aca="false">IF(COUNTIF('Letterboxd Watched'!$E$2:$E$3000,M2160)&gt;0,1,0)</f>
        <v>0</v>
      </c>
      <c r="H2160" s="4" t="n">
        <v>5</v>
      </c>
      <c r="I2160" s="4" t="s">
        <v>144</v>
      </c>
      <c r="J2160" s="4" t="s">
        <v>52</v>
      </c>
      <c r="K2160" s="4" t="s">
        <v>5821</v>
      </c>
      <c r="L2160" s="48" t="str">
        <f aca="false">HYPERLINK("https://boxd.it/1Z5s","open")</f>
        <v>open</v>
      </c>
      <c r="M2160" s="4" t="str">
        <f aca="false">LOWER(A2160)&amp;"|"&amp;B2160</f>
        <v>the sting|1973</v>
      </c>
      <c r="N2160" s="4" t="n">
        <v>0</v>
      </c>
      <c r="O2160" s="4" t="n">
        <v>0</v>
      </c>
      <c r="P2160" s="4" t="n">
        <v>0</v>
      </c>
      <c r="Q2160" s="4" t="n">
        <v>1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1</v>
      </c>
    </row>
    <row r="2161" customFormat="false" ht="15" hidden="false" customHeight="false" outlineLevel="0" collapsed="false">
      <c r="A2161" s="4" t="s">
        <v>1001</v>
      </c>
      <c r="B2161" s="4" t="n">
        <v>1968</v>
      </c>
      <c r="C2161" s="4" t="str">
        <f aca="false">FLOOR(B2161,10)&amp;"s"</f>
        <v>1960s</v>
      </c>
      <c r="D2161" s="4" t="s">
        <v>150</v>
      </c>
      <c r="E2161" s="25" t="str">
        <f aca="false">IF(G2161=1,"✓","")</f>
        <v/>
      </c>
      <c r="F2161" s="4" t="n">
        <v>2</v>
      </c>
      <c r="G2161" s="4" t="n">
        <f aca="false">IF(COUNTIF('Letterboxd Watched'!$E$2:$E$3000,M2161)&gt;0,1,0)</f>
        <v>0</v>
      </c>
      <c r="H2161" s="4" t="n">
        <v>4</v>
      </c>
      <c r="I2161" s="4" t="s">
        <v>213</v>
      </c>
      <c r="J2161" s="4" t="s">
        <v>53</v>
      </c>
      <c r="K2161" s="4" t="s">
        <v>5822</v>
      </c>
      <c r="L2161" s="48" t="str">
        <f aca="false">HYPERLINK("https://boxd.it/2aL0","open")</f>
        <v>open</v>
      </c>
      <c r="M2161" s="4" t="str">
        <f aca="false">LOWER(A2161)&amp;"|"&amp;B2161</f>
        <v>stolen kisses|1968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1</v>
      </c>
      <c r="S2161" s="4" t="n">
        <v>0</v>
      </c>
      <c r="T2161" s="4" t="n">
        <v>0</v>
      </c>
      <c r="U2161" s="4" t="n">
        <v>1</v>
      </c>
      <c r="V2161" s="4" t="n">
        <v>0</v>
      </c>
      <c r="W2161" s="4" t="n">
        <v>0</v>
      </c>
    </row>
    <row r="2162" customFormat="false" ht="15" hidden="false" customHeight="false" outlineLevel="0" collapsed="false">
      <c r="A2162" s="4" t="s">
        <v>3533</v>
      </c>
      <c r="B2162" s="4" t="n">
        <v>1974</v>
      </c>
      <c r="C2162" s="4" t="str">
        <f aca="false">FLOOR(B2162,10)&amp;"s"</f>
        <v>1970s</v>
      </c>
      <c r="D2162" s="4" t="s">
        <v>3534</v>
      </c>
      <c r="E2162" s="25" t="str">
        <f aca="false">IF(G2162=1,"✓","")</f>
        <v/>
      </c>
      <c r="F2162" s="4" t="n">
        <v>1</v>
      </c>
      <c r="G2162" s="4" t="n">
        <f aca="false">IF(COUNTIF('Letterboxd Watched'!$E$2:$E$3000,M2162)&gt;0,1,0)</f>
        <v>0</v>
      </c>
      <c r="H2162" s="4" t="n">
        <v>1</v>
      </c>
      <c r="I2162" s="4" t="s">
        <v>1327</v>
      </c>
      <c r="J2162" s="4" t="s">
        <v>51</v>
      </c>
      <c r="K2162" s="4" t="s">
        <v>4038</v>
      </c>
      <c r="L2162" s="48" t="str">
        <f aca="false">HYPERLINK("https://letterboxd.com/search/films/Stone+1974/","open")</f>
        <v>open</v>
      </c>
      <c r="M2162" s="4" t="str">
        <f aca="false">LOWER(A2162)&amp;"|"&amp;B2162</f>
        <v>stone|1974</v>
      </c>
      <c r="N2162" s="4" t="n">
        <v>0</v>
      </c>
      <c r="O2162" s="4" t="n">
        <v>0</v>
      </c>
      <c r="P2162" s="4" t="n">
        <v>1</v>
      </c>
      <c r="Q2162" s="4" t="n">
        <v>0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0</v>
      </c>
    </row>
    <row r="2163" customFormat="false" ht="15" hidden="false" customHeight="false" outlineLevel="0" collapsed="false">
      <c r="A2163" s="4" t="s">
        <v>1529</v>
      </c>
      <c r="B2163" s="4" t="n">
        <v>1984</v>
      </c>
      <c r="C2163" s="4" t="str">
        <f aca="false">FLOOR(B2163,10)&amp;"s"</f>
        <v>1980s</v>
      </c>
      <c r="D2163" s="4" t="s">
        <v>496</v>
      </c>
      <c r="E2163" s="25" t="str">
        <f aca="false">IF(G2163=1,"✓","")</f>
        <v/>
      </c>
      <c r="F2163" s="4" t="n">
        <v>1</v>
      </c>
      <c r="G2163" s="4" t="n">
        <f aca="false">IF(COUNTIF('Letterboxd Watched'!$E$2:$E$3000,M2163)&gt;0,1,0)</f>
        <v>0</v>
      </c>
      <c r="H2163" s="4" t="n">
        <v>3</v>
      </c>
      <c r="I2163" s="4" t="s">
        <v>144</v>
      </c>
      <c r="J2163" s="4" t="s">
        <v>52</v>
      </c>
      <c r="K2163" s="4" t="s">
        <v>4178</v>
      </c>
      <c r="L2163" s="48" t="str">
        <f aca="false">HYPERLINK("https://boxd.it/1ygo","open")</f>
        <v>open</v>
      </c>
      <c r="M2163" s="4" t="str">
        <f aca="false">LOWER(A2163)&amp;"|"&amp;B2163</f>
        <v>stop making sense|1984</v>
      </c>
      <c r="N2163" s="4" t="n">
        <v>0</v>
      </c>
      <c r="O2163" s="4" t="n">
        <v>0</v>
      </c>
      <c r="P2163" s="4" t="n">
        <v>0</v>
      </c>
      <c r="Q2163" s="4" t="n">
        <v>1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</row>
    <row r="2164" customFormat="false" ht="15" hidden="false" customHeight="false" outlineLevel="0" collapsed="false">
      <c r="A2164" s="4" t="s">
        <v>1617</v>
      </c>
      <c r="B2164" s="4" t="n">
        <v>2012</v>
      </c>
      <c r="C2164" s="4" t="str">
        <f aca="false">FLOOR(B2164,10)&amp;"s"</f>
        <v>2010s</v>
      </c>
      <c r="D2164" s="4" t="s">
        <v>1618</v>
      </c>
      <c r="E2164" s="25" t="str">
        <f aca="false">IF(G2164=1,"✓","")</f>
        <v/>
      </c>
      <c r="F2164" s="4" t="n">
        <v>1</v>
      </c>
      <c r="G2164" s="4" t="n">
        <f aca="false">IF(COUNTIF('Letterboxd Watched'!$E$2:$E$3000,M2164)&gt;0,1,0)</f>
        <v>0</v>
      </c>
      <c r="H2164" s="4" t="n">
        <v>3</v>
      </c>
      <c r="I2164" s="4" t="s">
        <v>144</v>
      </c>
      <c r="J2164" s="4" t="s">
        <v>52</v>
      </c>
      <c r="K2164" s="4" t="s">
        <v>4174</v>
      </c>
      <c r="L2164" s="48" t="str">
        <f aca="false">HYPERLINK("https://boxd.it/4c4Q","open")</f>
        <v>open</v>
      </c>
      <c r="M2164" s="4" t="str">
        <f aca="false">LOWER(A2164)&amp;"|"&amp;B2164</f>
        <v>stories we tell|2012</v>
      </c>
      <c r="N2164" s="4" t="n">
        <v>0</v>
      </c>
      <c r="O2164" s="4" t="n">
        <v>0</v>
      </c>
      <c r="P2164" s="4" t="n">
        <v>0</v>
      </c>
      <c r="Q2164" s="4" t="n">
        <v>1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</row>
    <row r="2165" customFormat="false" ht="15" hidden="false" customHeight="false" outlineLevel="0" collapsed="false">
      <c r="A2165" s="4" t="s">
        <v>1811</v>
      </c>
      <c r="B2165" s="4" t="n">
        <v>1943</v>
      </c>
      <c r="C2165" s="4" t="str">
        <f aca="false">FLOOR(B2165,10)&amp;"s"</f>
        <v>1940s</v>
      </c>
      <c r="D2165" s="4" t="s">
        <v>1812</v>
      </c>
      <c r="E2165" s="25" t="str">
        <f aca="false">IF(G2165=1,"✓","")</f>
        <v/>
      </c>
      <c r="F2165" s="4" t="n">
        <v>1</v>
      </c>
      <c r="G2165" s="4" t="n">
        <f aca="false">IF(COUNTIF('Letterboxd Watched'!$E$2:$E$3000,M2165)&gt;0,1,0)</f>
        <v>0</v>
      </c>
      <c r="H2165" s="4" t="n">
        <v>2</v>
      </c>
      <c r="I2165" s="4" t="s">
        <v>213</v>
      </c>
      <c r="J2165" s="4" t="s">
        <v>54</v>
      </c>
      <c r="K2165" s="4" t="s">
        <v>4284</v>
      </c>
      <c r="L2165" s="48" t="str">
        <f aca="false">HYPERLINK("https://boxd.it/UhQ","open")</f>
        <v>open</v>
      </c>
      <c r="M2165" s="4" t="str">
        <f aca="false">LOWER(A2165)&amp;"|"&amp;B2165</f>
        <v>stormy weather|1943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1</v>
      </c>
      <c r="T2165" s="4" t="n">
        <v>0</v>
      </c>
      <c r="U2165" s="4" t="n">
        <v>0</v>
      </c>
      <c r="V2165" s="4" t="n">
        <v>0</v>
      </c>
      <c r="W2165" s="4" t="n">
        <v>0</v>
      </c>
    </row>
    <row r="2166" customFormat="false" ht="15" hidden="false" customHeight="false" outlineLevel="0" collapsed="false">
      <c r="A2166" s="4" t="s">
        <v>1880</v>
      </c>
      <c r="B2166" s="4" t="n">
        <v>1950</v>
      </c>
      <c r="C2166" s="4" t="str">
        <f aca="false">FLOOR(B2166,10)&amp;"s"</f>
        <v>1950s</v>
      </c>
      <c r="D2166" s="4" t="s">
        <v>217</v>
      </c>
      <c r="E2166" s="25" t="str">
        <f aca="false">IF(G2166=1,"✓","")</f>
        <v/>
      </c>
      <c r="F2166" s="4" t="n">
        <v>1</v>
      </c>
      <c r="G2166" s="4" t="n">
        <f aca="false">IF(COUNTIF('Letterboxd Watched'!$E$2:$E$3000,M2166)&gt;0,1,0)</f>
        <v>0</v>
      </c>
      <c r="H2166" s="4" t="n">
        <v>2</v>
      </c>
      <c r="I2166" s="4" t="s">
        <v>213</v>
      </c>
      <c r="J2166" s="4" t="s">
        <v>53</v>
      </c>
      <c r="K2166" s="4" t="s">
        <v>217</v>
      </c>
      <c r="L2166" s="48" t="str">
        <f aca="false">HYPERLINK("https://boxd.it/Fda","open")</f>
        <v>open</v>
      </c>
      <c r="M2166" s="4" t="str">
        <f aca="false">LOWER(A2166)&amp;"|"&amp;B2166</f>
        <v>story of a love affair|1950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1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</row>
    <row r="2167" customFormat="false" ht="15" hidden="false" customHeight="false" outlineLevel="0" collapsed="false">
      <c r="A2167" s="4" t="s">
        <v>2269</v>
      </c>
      <c r="B2167" s="4" t="n">
        <v>1975</v>
      </c>
      <c r="C2167" s="4" t="str">
        <f aca="false">FLOOR(B2167,10)&amp;"s"</f>
        <v>1970s</v>
      </c>
      <c r="D2167" s="4" t="s">
        <v>150</v>
      </c>
      <c r="E2167" s="25" t="str">
        <f aca="false">IF(G2167=1,"✓","")</f>
        <v/>
      </c>
      <c r="F2167" s="4" t="n">
        <v>1</v>
      </c>
      <c r="G2167" s="4" t="n">
        <f aca="false">IF(COUNTIF('Letterboxd Watched'!$E$2:$E$3000,M2167)&gt;0,1,0)</f>
        <v>0</v>
      </c>
      <c r="H2167" s="4" t="n">
        <v>2</v>
      </c>
      <c r="I2167" s="4" t="s">
        <v>213</v>
      </c>
      <c r="J2167" s="4" t="s">
        <v>53</v>
      </c>
      <c r="K2167" s="4" t="s">
        <v>4226</v>
      </c>
      <c r="L2167" s="48" t="str">
        <f aca="false">HYPERLINK("https://boxd.it/284I","open")</f>
        <v>open</v>
      </c>
      <c r="M2167" s="4" t="str">
        <f aca="false">LOWER(A2167)&amp;"|"&amp;B2167</f>
        <v>the story of adèle h.|1975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1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</row>
    <row r="2168" customFormat="false" ht="15" hidden="false" customHeight="false" outlineLevel="0" collapsed="false">
      <c r="A2168" s="4" t="s">
        <v>1767</v>
      </c>
      <c r="B2168" s="4" t="n">
        <v>1936</v>
      </c>
      <c r="C2168" s="4" t="str">
        <f aca="false">FLOOR(B2168,10)&amp;"s"</f>
        <v>1930s</v>
      </c>
      <c r="D2168" s="4" t="s">
        <v>1768</v>
      </c>
      <c r="E2168" s="25" t="str">
        <f aca="false">IF(G2168=1,"✓","")</f>
        <v/>
      </c>
      <c r="F2168" s="4" t="n">
        <v>1</v>
      </c>
      <c r="G2168" s="4" t="n">
        <f aca="false">IF(COUNTIF('Letterboxd Watched'!$E$2:$E$3000,M2168)&gt;0,1,0)</f>
        <v>0</v>
      </c>
      <c r="H2168" s="4" t="n">
        <v>2</v>
      </c>
      <c r="I2168" s="4" t="s">
        <v>213</v>
      </c>
      <c r="J2168" s="4" t="s">
        <v>55</v>
      </c>
      <c r="K2168" s="4" t="s">
        <v>4338</v>
      </c>
      <c r="L2168" s="48" t="str">
        <f aca="false">HYPERLINK("https://letterboxd.com/search/films/The+Story+of+Louis+Pasteur+1936/","open")</f>
        <v>open</v>
      </c>
      <c r="M2168" s="4" t="str">
        <f aca="false">LOWER(A2168)&amp;"|"&amp;B2168</f>
        <v>the story of louis pasteur|1936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0</v>
      </c>
      <c r="T2168" s="4" t="n">
        <v>1</v>
      </c>
      <c r="U2168" s="4" t="n">
        <v>0</v>
      </c>
      <c r="V2168" s="4" t="n">
        <v>0</v>
      </c>
      <c r="W2168" s="4" t="n">
        <v>0</v>
      </c>
    </row>
    <row r="2169" customFormat="false" ht="15" hidden="false" customHeight="false" outlineLevel="0" collapsed="false">
      <c r="A2169" s="4" t="s">
        <v>1310</v>
      </c>
      <c r="B2169" s="4" t="n">
        <v>1939</v>
      </c>
      <c r="C2169" s="4" t="str">
        <f aca="false">FLOOR(B2169,10)&amp;"s"</f>
        <v>1930s</v>
      </c>
      <c r="D2169" s="4" t="s">
        <v>286</v>
      </c>
      <c r="E2169" s="25" t="str">
        <f aca="false">IF(G2169=1,"✓","")</f>
        <v/>
      </c>
      <c r="F2169" s="4" t="n">
        <v>2</v>
      </c>
      <c r="G2169" s="4" t="n">
        <f aca="false">IF(COUNTIF('Letterboxd Watched'!$E$2:$E$3000,M2169)&gt;0,1,0)</f>
        <v>0</v>
      </c>
      <c r="H2169" s="4" t="n">
        <v>3</v>
      </c>
      <c r="I2169" s="4" t="s">
        <v>213</v>
      </c>
      <c r="J2169" s="4" t="s">
        <v>51</v>
      </c>
      <c r="K2169" s="4" t="s">
        <v>5411</v>
      </c>
      <c r="L2169" s="48" t="str">
        <f aca="false">HYPERLINK("https://letterboxd.com/search/films/The+Story+of+the+Last+Chrysanthemums+1939/","open")</f>
        <v>open</v>
      </c>
      <c r="M2169" s="4" t="str">
        <f aca="false">LOWER(A2169)&amp;"|"&amp;B2169</f>
        <v>the story of the last chrysanthemums|1939</v>
      </c>
      <c r="N2169" s="4" t="n">
        <v>0</v>
      </c>
      <c r="O2169" s="4" t="n">
        <v>0</v>
      </c>
      <c r="P2169" s="4" t="n">
        <v>1</v>
      </c>
      <c r="Q2169" s="4" t="n">
        <v>0</v>
      </c>
      <c r="R2169" s="4" t="n">
        <v>1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</row>
    <row r="2170" customFormat="false" ht="15" hidden="false" customHeight="false" outlineLevel="0" collapsed="false">
      <c r="A2170" s="4" t="s">
        <v>1445</v>
      </c>
      <c r="B2170" s="4" t="n">
        <v>1954</v>
      </c>
      <c r="C2170" s="4" t="str">
        <f aca="false">FLOOR(B2170,10)&amp;"s"</f>
        <v>1950s</v>
      </c>
      <c r="D2170" s="4" t="s">
        <v>179</v>
      </c>
      <c r="E2170" s="25" t="str">
        <f aca="false">IF(G2170=1,"✓","")</f>
        <v/>
      </c>
      <c r="F2170" s="4" t="n">
        <v>1</v>
      </c>
      <c r="G2170" s="4" t="n">
        <f aca="false">IF(COUNTIF('Letterboxd Watched'!$E$2:$E$3000,M2170)&gt;0,1,0)</f>
        <v>0</v>
      </c>
      <c r="H2170" s="4" t="n">
        <v>3</v>
      </c>
      <c r="I2170" s="4" t="s">
        <v>144</v>
      </c>
      <c r="J2170" s="4" t="s">
        <v>53</v>
      </c>
      <c r="K2170" s="4" t="s">
        <v>179</v>
      </c>
      <c r="L2170" s="48" t="str">
        <f aca="false">HYPERLINK("https://boxd.it/2asi","open")</f>
        <v>open</v>
      </c>
      <c r="M2170" s="4" t="str">
        <f aca="false">LOWER(A2170)&amp;"|"&amp;B2170</f>
        <v>la strada|1954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1</v>
      </c>
      <c r="S2170" s="4" t="n">
        <v>0</v>
      </c>
      <c r="T2170" s="4" t="n">
        <v>0</v>
      </c>
      <c r="U2170" s="4" t="n">
        <v>0</v>
      </c>
      <c r="V2170" s="4" t="n">
        <v>0</v>
      </c>
      <c r="W2170" s="4" t="n">
        <v>0</v>
      </c>
    </row>
    <row r="2171" customFormat="false" ht="15" hidden="false" customHeight="false" outlineLevel="0" collapsed="false">
      <c r="A2171" s="4" t="s">
        <v>2539</v>
      </c>
      <c r="B2171" s="4" t="n">
        <v>1991</v>
      </c>
      <c r="C2171" s="4" t="str">
        <f aca="false">FLOOR(B2171,10)&amp;"s"</f>
        <v>1990s</v>
      </c>
      <c r="D2171" s="4" t="s">
        <v>2540</v>
      </c>
      <c r="E2171" s="25" t="str">
        <f aca="false">IF(G2171=1,"✓","")</f>
        <v/>
      </c>
      <c r="F2171" s="4" t="n">
        <v>1</v>
      </c>
      <c r="G2171" s="4" t="n">
        <f aca="false">IF(COUNTIF('Letterboxd Watched'!$E$2:$E$3000,M2171)&gt;0,1,0)</f>
        <v>0</v>
      </c>
      <c r="H2171" s="4" t="n">
        <v>2</v>
      </c>
      <c r="I2171" s="4" t="s">
        <v>213</v>
      </c>
      <c r="J2171" s="4" t="s">
        <v>56</v>
      </c>
      <c r="K2171" s="4" t="s">
        <v>4394</v>
      </c>
      <c r="L2171" s="48" t="str">
        <f aca="false">HYPERLINK("https://letterboxd.com/search/films/Straight+Out+of+Brooklyn+1991/","open")</f>
        <v>open</v>
      </c>
      <c r="M2171" s="4" t="str">
        <f aca="false">LOWER(A2171)&amp;"|"&amp;B2171</f>
        <v>straight out of brooklyn|1991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1</v>
      </c>
      <c r="V2171" s="4" t="n">
        <v>0</v>
      </c>
      <c r="W2171" s="4" t="n">
        <v>0</v>
      </c>
    </row>
    <row r="2172" customFormat="false" ht="15" hidden="false" customHeight="false" outlineLevel="0" collapsed="false">
      <c r="A2172" s="4" t="s">
        <v>1128</v>
      </c>
      <c r="B2172" s="4" t="n">
        <v>1999</v>
      </c>
      <c r="C2172" s="4" t="str">
        <f aca="false">FLOOR(B2172,10)&amp;"s"</f>
        <v>1990s</v>
      </c>
      <c r="D2172" s="4" t="s">
        <v>154</v>
      </c>
      <c r="E2172" s="25" t="str">
        <f aca="false">IF(G2172=1,"✓","")</f>
        <v>✓</v>
      </c>
      <c r="F2172" s="4" t="n">
        <v>2</v>
      </c>
      <c r="G2172" s="4" t="n">
        <f aca="false">IF(COUNTIF('Letterboxd Watched'!$E$2:$E$3000,M2172)&gt;0,1,0)</f>
        <v>1</v>
      </c>
      <c r="H2172" s="4" t="n">
        <v>4</v>
      </c>
      <c r="I2172" s="4" t="s">
        <v>213</v>
      </c>
      <c r="J2172" s="4" t="s">
        <v>53</v>
      </c>
      <c r="K2172" s="4" t="s">
        <v>5823</v>
      </c>
      <c r="L2172" s="48" t="str">
        <f aca="false">HYPERLINK("https://boxd.it/2ass","open")</f>
        <v>open</v>
      </c>
      <c r="M2172" s="4" t="str">
        <f aca="false">LOWER(A2172)&amp;"|"&amp;B2172</f>
        <v>the straight story|1999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1</v>
      </c>
      <c r="S2172" s="4" t="n">
        <v>0</v>
      </c>
      <c r="T2172" s="4" t="n">
        <v>1</v>
      </c>
      <c r="U2172" s="4" t="n">
        <v>0</v>
      </c>
      <c r="V2172" s="4" t="n">
        <v>0</v>
      </c>
      <c r="W2172" s="4" t="n">
        <v>0</v>
      </c>
    </row>
    <row r="2173" customFormat="false" ht="15" hidden="false" customHeight="false" outlineLevel="0" collapsed="false">
      <c r="A2173" s="4" t="s">
        <v>3570</v>
      </c>
      <c r="B2173" s="4" t="n">
        <v>1978</v>
      </c>
      <c r="C2173" s="4" t="str">
        <f aca="false">FLOOR(B2173,10)&amp;"s"</f>
        <v>1970s</v>
      </c>
      <c r="D2173" s="4" t="s">
        <v>3571</v>
      </c>
      <c r="E2173" s="25" t="str">
        <f aca="false">IF(G2173=1,"✓","")</f>
        <v/>
      </c>
      <c r="F2173" s="4" t="n">
        <v>1</v>
      </c>
      <c r="G2173" s="4" t="n">
        <f aca="false">IF(COUNTIF('Letterboxd Watched'!$E$2:$E$3000,M2173)&gt;0,1,0)</f>
        <v>0</v>
      </c>
      <c r="H2173" s="4" t="n">
        <v>1</v>
      </c>
      <c r="I2173" s="4" t="s">
        <v>1327</v>
      </c>
      <c r="J2173" s="4" t="s">
        <v>52</v>
      </c>
      <c r="K2173" s="4" t="s">
        <v>4120</v>
      </c>
      <c r="L2173" s="48" t="str">
        <f aca="false">HYPERLINK("https://boxd.it/1zgu","open")</f>
        <v>open</v>
      </c>
      <c r="M2173" s="4" t="str">
        <f aca="false">LOWER(A2173)&amp;"|"&amp;B2173</f>
        <v>straight time|1978</v>
      </c>
      <c r="N2173" s="4" t="n">
        <v>0</v>
      </c>
      <c r="O2173" s="4" t="n">
        <v>0</v>
      </c>
      <c r="P2173" s="4" t="n">
        <v>0</v>
      </c>
      <c r="Q2173" s="4" t="n">
        <v>1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</row>
    <row r="2174" customFormat="false" ht="15" hidden="false" customHeight="false" outlineLevel="0" collapsed="false">
      <c r="A2174" s="4" t="s">
        <v>1285</v>
      </c>
      <c r="B2174" s="4" t="n">
        <v>1995</v>
      </c>
      <c r="C2174" s="4" t="str">
        <f aca="false">FLOOR(B2174,10)&amp;"s"</f>
        <v>1990s</v>
      </c>
      <c r="D2174" s="4" t="s">
        <v>865</v>
      </c>
      <c r="E2174" s="25" t="str">
        <f aca="false">IF(G2174=1,"✓","")</f>
        <v/>
      </c>
      <c r="F2174" s="4" t="n">
        <v>2</v>
      </c>
      <c r="G2174" s="4" t="n">
        <f aca="false">IF(COUNTIF('Letterboxd Watched'!$E$2:$E$3000,M2174)&gt;0,1,0)</f>
        <v>0</v>
      </c>
      <c r="H2174" s="4" t="n">
        <v>4</v>
      </c>
      <c r="I2174" s="4" t="s">
        <v>213</v>
      </c>
      <c r="J2174" s="4" t="s">
        <v>52</v>
      </c>
      <c r="K2174" s="4" t="s">
        <v>5824</v>
      </c>
      <c r="L2174" s="48" t="str">
        <f aca="false">HYPERLINK("https://boxd.it/2aGO","open")</f>
        <v>open</v>
      </c>
      <c r="M2174" s="4" t="str">
        <f aca="false">LOWER(A2174)&amp;"|"&amp;B2174</f>
        <v>strange days|1995</v>
      </c>
      <c r="N2174" s="4" t="n">
        <v>0</v>
      </c>
      <c r="O2174" s="4" t="n">
        <v>0</v>
      </c>
      <c r="P2174" s="4" t="n">
        <v>0</v>
      </c>
      <c r="Q2174" s="4" t="n">
        <v>1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</row>
    <row r="2175" customFormat="false" ht="15" hidden="false" customHeight="false" outlineLevel="0" collapsed="false">
      <c r="A2175" s="4" t="s">
        <v>1345</v>
      </c>
      <c r="B2175" s="4" t="n">
        <v>1971</v>
      </c>
      <c r="C2175" s="4" t="str">
        <f aca="false">FLOOR(B2175,10)&amp;"s"</f>
        <v>1970s</v>
      </c>
      <c r="D2175" s="4" t="s">
        <v>1346</v>
      </c>
      <c r="E2175" s="25" t="str">
        <f aca="false">IF(G2175=1,"✓","")</f>
        <v/>
      </c>
      <c r="F2175" s="4" t="n">
        <v>2</v>
      </c>
      <c r="G2175" s="4" t="n">
        <f aca="false">IF(COUNTIF('Letterboxd Watched'!$E$2:$E$3000,M2175)&gt;0,1,0)</f>
        <v>0</v>
      </c>
      <c r="H2175" s="4" t="n">
        <v>3</v>
      </c>
      <c r="I2175" s="4" t="s">
        <v>213</v>
      </c>
      <c r="J2175" s="4" t="s">
        <v>51</v>
      </c>
      <c r="K2175" s="4" t="s">
        <v>5233</v>
      </c>
      <c r="L2175" s="48" t="str">
        <f aca="false">HYPERLINK("https://letterboxd.com/search/films/The+Strange+Vice+of+Mrs+Wardh+1971/","open")</f>
        <v>open</v>
      </c>
      <c r="M2175" s="4" t="str">
        <f aca="false">LOWER(A2175)&amp;"|"&amp;B2175</f>
        <v>the strange vice of mrs. wardh|1971</v>
      </c>
      <c r="N2175" s="4" t="n">
        <v>0</v>
      </c>
      <c r="O2175" s="4" t="n">
        <v>0</v>
      </c>
      <c r="P2175" s="4" t="n">
        <v>1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1</v>
      </c>
      <c r="W2175" s="4" t="n">
        <v>0</v>
      </c>
    </row>
    <row r="2176" customFormat="false" ht="15" hidden="false" customHeight="false" outlineLevel="0" collapsed="false">
      <c r="A2176" s="4" t="s">
        <v>3810</v>
      </c>
      <c r="B2176" s="4" t="n">
        <v>2013</v>
      </c>
      <c r="C2176" s="4" t="str">
        <f aca="false">FLOOR(B2176,10)&amp;"s"</f>
        <v>2010s</v>
      </c>
      <c r="D2176" s="4" t="s">
        <v>3811</v>
      </c>
      <c r="E2176" s="25" t="str">
        <f aca="false">IF(G2176=1,"✓","")</f>
        <v/>
      </c>
      <c r="F2176" s="4" t="n">
        <v>1</v>
      </c>
      <c r="G2176" s="4" t="n">
        <f aca="false">IF(COUNTIF('Letterboxd Watched'!$E$2:$E$3000,M2176)&gt;0,1,0)</f>
        <v>0</v>
      </c>
      <c r="H2176" s="4" t="n">
        <v>1</v>
      </c>
      <c r="I2176" s="4" t="s">
        <v>1327</v>
      </c>
      <c r="J2176" s="4" t="s">
        <v>51</v>
      </c>
      <c r="K2176" s="4" t="s">
        <v>3970</v>
      </c>
      <c r="L2176" s="48" t="str">
        <f aca="false">HYPERLINK("https://letterboxd.com/search/films/Stranger+by+the+Lake+2013/","open")</f>
        <v>open</v>
      </c>
      <c r="M2176" s="4" t="str">
        <f aca="false">LOWER(A2176)&amp;"|"&amp;B2176</f>
        <v>stranger by the lake|2013</v>
      </c>
      <c r="N2176" s="4" t="n">
        <v>0</v>
      </c>
      <c r="O2176" s="4" t="n">
        <v>0</v>
      </c>
      <c r="P2176" s="4" t="n">
        <v>1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4" t="n">
        <v>0</v>
      </c>
    </row>
    <row r="2177" customFormat="false" ht="15" hidden="false" customHeight="false" outlineLevel="0" collapsed="false">
      <c r="A2177" s="4" t="s">
        <v>680</v>
      </c>
      <c r="B2177" s="4" t="n">
        <v>1984</v>
      </c>
      <c r="C2177" s="4" t="str">
        <f aca="false">FLOOR(B2177,10)&amp;"s"</f>
        <v>1980s</v>
      </c>
      <c r="D2177" s="4" t="s">
        <v>615</v>
      </c>
      <c r="E2177" s="25" t="str">
        <f aca="false">IF(G2177=1,"✓","")</f>
        <v/>
      </c>
      <c r="F2177" s="4" t="n">
        <v>2</v>
      </c>
      <c r="G2177" s="4" t="n">
        <f aca="false">IF(COUNTIF('Letterboxd Watched'!$E$2:$E$3000,M2177)&gt;0,1,0)</f>
        <v>0</v>
      </c>
      <c r="H2177" s="4" t="n">
        <v>6</v>
      </c>
      <c r="I2177" s="4" t="s">
        <v>144</v>
      </c>
      <c r="J2177" s="4" t="s">
        <v>50</v>
      </c>
      <c r="K2177" s="4" t="s">
        <v>5825</v>
      </c>
      <c r="L2177" s="48" t="str">
        <f aca="false">HYPERLINK("https://boxd.it/2ajU","open")</f>
        <v>open</v>
      </c>
      <c r="M2177" s="4" t="str">
        <f aca="false">LOWER(A2177)&amp;"|"&amp;B2177</f>
        <v>stranger than paradise|1984</v>
      </c>
      <c r="N2177" s="4" t="n">
        <v>0</v>
      </c>
      <c r="O2177" s="4" t="n">
        <v>1</v>
      </c>
      <c r="P2177" s="4" t="n">
        <v>0</v>
      </c>
      <c r="Q2177" s="4" t="n">
        <v>0</v>
      </c>
      <c r="R2177" s="4" t="n">
        <v>1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</row>
    <row r="2178" customFormat="false" ht="15" hidden="false" customHeight="false" outlineLevel="0" collapsed="false">
      <c r="A2178" s="4" t="s">
        <v>1883</v>
      </c>
      <c r="B2178" s="4" t="n">
        <v>1951</v>
      </c>
      <c r="C2178" s="4" t="str">
        <f aca="false">FLOOR(B2178,10)&amp;"s"</f>
        <v>1950s</v>
      </c>
      <c r="D2178" s="4" t="s">
        <v>162</v>
      </c>
      <c r="E2178" s="25" t="str">
        <f aca="false">IF(G2178=1,"✓","")</f>
        <v/>
      </c>
      <c r="F2178" s="4" t="n">
        <v>1</v>
      </c>
      <c r="G2178" s="4" t="n">
        <f aca="false">IF(COUNTIF('Letterboxd Watched'!$E$2:$E$3000,M2178)&gt;0,1,0)</f>
        <v>0</v>
      </c>
      <c r="H2178" s="4" t="n">
        <v>2</v>
      </c>
      <c r="I2178" s="4" t="s">
        <v>213</v>
      </c>
      <c r="J2178" s="4" t="s">
        <v>53</v>
      </c>
      <c r="K2178" s="4" t="s">
        <v>162</v>
      </c>
      <c r="L2178" s="48" t="str">
        <f aca="false">HYPERLINK("https://boxd.it/29tk","open")</f>
        <v>open</v>
      </c>
      <c r="M2178" s="4" t="str">
        <f aca="false">LOWER(A2178)&amp;"|"&amp;B2178</f>
        <v>strangers on a train|1951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1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</row>
    <row r="2179" customFormat="false" ht="15" hidden="false" customHeight="false" outlineLevel="0" collapsed="false">
      <c r="A2179" s="4" t="s">
        <v>2561</v>
      </c>
      <c r="B2179" s="4" t="n">
        <v>1993</v>
      </c>
      <c r="C2179" s="4" t="str">
        <f aca="false">FLOOR(B2179,10)&amp;"s"</f>
        <v>1990s</v>
      </c>
      <c r="D2179" s="4" t="s">
        <v>2562</v>
      </c>
      <c r="E2179" s="25" t="str">
        <f aca="false">IF(G2179=1,"✓","")</f>
        <v/>
      </c>
      <c r="F2179" s="4" t="n">
        <v>1</v>
      </c>
      <c r="G2179" s="4" t="n">
        <f aca="false">IF(COUNTIF('Letterboxd Watched'!$E$2:$E$3000,M2179)&gt;0,1,0)</f>
        <v>0</v>
      </c>
      <c r="H2179" s="4" t="n">
        <v>2</v>
      </c>
      <c r="I2179" s="4" t="s">
        <v>213</v>
      </c>
      <c r="J2179" s="4" t="s">
        <v>51</v>
      </c>
      <c r="K2179" s="4" t="s">
        <v>4008</v>
      </c>
      <c r="L2179" s="48" t="str">
        <f aca="false">HYPERLINK("https://letterboxd.com/search/films/Strawberry+and+Chocolate+1993/","open")</f>
        <v>open</v>
      </c>
      <c r="M2179" s="4" t="str">
        <f aca="false">LOWER(A2179)&amp;"|"&amp;B2179</f>
        <v>strawberry and chocolate|1993</v>
      </c>
      <c r="N2179" s="4" t="n">
        <v>0</v>
      </c>
      <c r="O2179" s="4" t="n">
        <v>0</v>
      </c>
      <c r="P2179" s="4" t="n">
        <v>1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</row>
    <row r="2180" customFormat="false" ht="15" hidden="false" customHeight="false" outlineLevel="0" collapsed="false">
      <c r="A2180" s="4" t="s">
        <v>351</v>
      </c>
      <c r="B2180" s="4" t="n">
        <v>1949</v>
      </c>
      <c r="C2180" s="4" t="str">
        <f aca="false">FLOOR(B2180,10)&amp;"s"</f>
        <v>1940s</v>
      </c>
      <c r="D2180" s="4" t="s">
        <v>156</v>
      </c>
      <c r="E2180" s="25" t="str">
        <f aca="false">IF(G2180=1,"✓","")</f>
        <v/>
      </c>
      <c r="F2180" s="4" t="n">
        <v>4</v>
      </c>
      <c r="G2180" s="4" t="n">
        <f aca="false">IF(COUNTIF('Letterboxd Watched'!$E$2:$E$3000,M2180)&gt;0,1,0)</f>
        <v>0</v>
      </c>
      <c r="H2180" s="4" t="n">
        <v>9</v>
      </c>
      <c r="I2180" s="4" t="s">
        <v>144</v>
      </c>
      <c r="J2180" s="4" t="s">
        <v>51</v>
      </c>
      <c r="K2180" s="4" t="s">
        <v>5826</v>
      </c>
      <c r="L2180" s="48" t="str">
        <f aca="false">HYPERLINK("https://boxd.it/1ltu","open")</f>
        <v>open</v>
      </c>
      <c r="M2180" s="4" t="str">
        <f aca="false">LOWER(A2180)&amp;"|"&amp;B2180</f>
        <v>stray dog|1949</v>
      </c>
      <c r="N2180" s="4" t="n">
        <v>0</v>
      </c>
      <c r="O2180" s="4" t="n">
        <v>0</v>
      </c>
      <c r="P2180" s="4" t="n">
        <v>1</v>
      </c>
      <c r="Q2180" s="4" t="n">
        <v>0</v>
      </c>
      <c r="R2180" s="4" t="n">
        <v>1</v>
      </c>
      <c r="S2180" s="4" t="n">
        <v>0</v>
      </c>
      <c r="T2180" s="4" t="n">
        <v>1</v>
      </c>
      <c r="U2180" s="4" t="n">
        <v>0</v>
      </c>
      <c r="V2180" s="4" t="n">
        <v>0</v>
      </c>
      <c r="W2180" s="4" t="n">
        <v>1</v>
      </c>
    </row>
    <row r="2181" customFormat="false" ht="15" hidden="false" customHeight="false" outlineLevel="0" collapsed="false">
      <c r="A2181" s="4" t="s">
        <v>3037</v>
      </c>
      <c r="B2181" s="4" t="n">
        <v>2013</v>
      </c>
      <c r="C2181" s="4" t="str">
        <f aca="false">FLOOR(B2181,10)&amp;"s"</f>
        <v>2010s</v>
      </c>
      <c r="D2181" s="4" t="s">
        <v>1165</v>
      </c>
      <c r="E2181" s="25" t="str">
        <f aca="false">IF(G2181=1,"✓","")</f>
        <v/>
      </c>
      <c r="F2181" s="4" t="n">
        <v>1</v>
      </c>
      <c r="G2181" s="4" t="n">
        <f aca="false">IF(COUNTIF('Letterboxd Watched'!$E$2:$E$3000,M2181)&gt;0,1,0)</f>
        <v>0</v>
      </c>
      <c r="H2181" s="4" t="n">
        <v>2</v>
      </c>
      <c r="I2181" s="4" t="s">
        <v>213</v>
      </c>
      <c r="J2181" s="4" t="s">
        <v>53</v>
      </c>
      <c r="K2181" s="4" t="s">
        <v>4255</v>
      </c>
      <c r="L2181" s="48" t="str">
        <f aca="false">HYPERLINK("https://boxd.it/6gL4","open")</f>
        <v>open</v>
      </c>
      <c r="M2181" s="4" t="str">
        <f aca="false">LOWER(A2181)&amp;"|"&amp;B2181</f>
        <v>stray dogs|2013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1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</row>
    <row r="2182" customFormat="false" ht="15" hidden="false" customHeight="false" outlineLevel="0" collapsed="false">
      <c r="A2182" s="4" t="s">
        <v>2238</v>
      </c>
      <c r="B2182" s="4" t="n">
        <v>1974</v>
      </c>
      <c r="C2182" s="4" t="str">
        <f aca="false">FLOOR(B2182,10)&amp;"s"</f>
        <v>1970s</v>
      </c>
      <c r="D2182" s="4" t="s">
        <v>2239</v>
      </c>
      <c r="E2182" s="25" t="str">
        <f aca="false">IF(G2182=1,"✓","")</f>
        <v/>
      </c>
      <c r="F2182" s="4" t="n">
        <v>1</v>
      </c>
      <c r="G2182" s="4" t="n">
        <f aca="false">IF(COUNTIF('Letterboxd Watched'!$E$2:$E$3000,M2182)&gt;0,1,0)</f>
        <v>0</v>
      </c>
      <c r="H2182" s="4" t="n">
        <v>2</v>
      </c>
      <c r="I2182" s="4" t="s">
        <v>213</v>
      </c>
      <c r="J2182" s="4" t="s">
        <v>51</v>
      </c>
      <c r="K2182" s="4" t="s">
        <v>3954</v>
      </c>
      <c r="L2182" s="48" t="str">
        <f aca="false">HYPERLINK("https://letterboxd.com/search/films/Street+Law+1974/","open")</f>
        <v>open</v>
      </c>
      <c r="M2182" s="4" t="str">
        <f aca="false">LOWER(A2182)&amp;"|"&amp;B2182</f>
        <v>street law|1974</v>
      </c>
      <c r="N2182" s="4" t="n">
        <v>0</v>
      </c>
      <c r="O2182" s="4" t="n">
        <v>0</v>
      </c>
      <c r="P2182" s="4" t="n">
        <v>1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</row>
    <row r="2183" customFormat="false" ht="15" hidden="false" customHeight="false" outlineLevel="0" collapsed="false">
      <c r="A2183" s="4" t="s">
        <v>3639</v>
      </c>
      <c r="B2183" s="4" t="n">
        <v>1986</v>
      </c>
      <c r="C2183" s="4" t="str">
        <f aca="false">FLOOR(B2183,10)&amp;"s"</f>
        <v>1980s</v>
      </c>
      <c r="D2183" s="4" t="s">
        <v>3640</v>
      </c>
      <c r="E2183" s="25" t="str">
        <f aca="false">IF(G2183=1,"✓","")</f>
        <v/>
      </c>
      <c r="F2183" s="4" t="n">
        <v>1</v>
      </c>
      <c r="G2183" s="4" t="n">
        <f aca="false">IF(COUNTIF('Letterboxd Watched'!$E$2:$E$3000,M2183)&gt;0,1,0)</f>
        <v>0</v>
      </c>
      <c r="H2183" s="4" t="n">
        <v>1</v>
      </c>
      <c r="I2183" s="4" t="s">
        <v>1327</v>
      </c>
      <c r="J2183" s="4" t="s">
        <v>52</v>
      </c>
      <c r="K2183" s="4" t="s">
        <v>4164</v>
      </c>
      <c r="L2183" s="48" t="str">
        <f aca="false">HYPERLINK("https://letterboxd.com/search/films/Street+of+Crocodiles+1986/","open")</f>
        <v>open</v>
      </c>
      <c r="M2183" s="4" t="str">
        <f aca="false">LOWER(A2183)&amp;"|"&amp;B2183</f>
        <v>street of crocodiles|1986</v>
      </c>
      <c r="N2183" s="4" t="n">
        <v>0</v>
      </c>
      <c r="O2183" s="4" t="n">
        <v>0</v>
      </c>
      <c r="P2183" s="4" t="n">
        <v>0</v>
      </c>
      <c r="Q2183" s="4" t="n">
        <v>1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</row>
    <row r="2184" customFormat="false" ht="15" hidden="false" customHeight="false" outlineLevel="0" collapsed="false">
      <c r="A2184" s="4" t="s">
        <v>1935</v>
      </c>
      <c r="B2184" s="4" t="n">
        <v>1956</v>
      </c>
      <c r="C2184" s="4" t="str">
        <f aca="false">FLOOR(B2184,10)&amp;"s"</f>
        <v>1950s</v>
      </c>
      <c r="D2184" s="4" t="s">
        <v>286</v>
      </c>
      <c r="E2184" s="25" t="str">
        <f aca="false">IF(G2184=1,"✓","")</f>
        <v/>
      </c>
      <c r="F2184" s="4" t="n">
        <v>1</v>
      </c>
      <c r="G2184" s="4" t="n">
        <f aca="false">IF(COUNTIF('Letterboxd Watched'!$E$2:$E$3000,M2184)&gt;0,1,0)</f>
        <v>0</v>
      </c>
      <c r="H2184" s="4" t="n">
        <v>2</v>
      </c>
      <c r="I2184" s="4" t="s">
        <v>213</v>
      </c>
      <c r="J2184" s="4" t="s">
        <v>53</v>
      </c>
      <c r="K2184" s="4" t="s">
        <v>4246</v>
      </c>
      <c r="L2184" s="48" t="str">
        <f aca="false">HYPERLINK("https://boxd.it/UWO","open")</f>
        <v>open</v>
      </c>
      <c r="M2184" s="4" t="str">
        <f aca="false">LOWER(A2184)&amp;"|"&amp;B2184</f>
        <v>street of shame|1956</v>
      </c>
      <c r="N2184" s="4" t="n">
        <v>0</v>
      </c>
      <c r="O2184" s="4" t="n">
        <v>0</v>
      </c>
      <c r="P2184" s="4" t="n">
        <v>0</v>
      </c>
      <c r="Q2184" s="4" t="n">
        <v>0</v>
      </c>
      <c r="R2184" s="4" t="n">
        <v>1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</row>
    <row r="2185" customFormat="false" ht="15" hidden="false" customHeight="false" outlineLevel="0" collapsed="false">
      <c r="A2185" s="4" t="s">
        <v>573</v>
      </c>
      <c r="B2185" s="4" t="n">
        <v>1951</v>
      </c>
      <c r="C2185" s="4" t="str">
        <f aca="false">FLOOR(B2185,10)&amp;"s"</f>
        <v>1950s</v>
      </c>
      <c r="D2185" s="4" t="s">
        <v>375</v>
      </c>
      <c r="E2185" s="25" t="str">
        <f aca="false">IF(G2185=1,"✓","")</f>
        <v/>
      </c>
      <c r="F2185" s="4" t="n">
        <v>3</v>
      </c>
      <c r="G2185" s="4" t="n">
        <f aca="false">IF(COUNTIF('Letterboxd Watched'!$E$2:$E$3000,M2185)&gt;0,1,0)</f>
        <v>0</v>
      </c>
      <c r="H2185" s="4" t="n">
        <v>6</v>
      </c>
      <c r="I2185" s="4" t="s">
        <v>213</v>
      </c>
      <c r="J2185" s="4" t="s">
        <v>50</v>
      </c>
      <c r="K2185" s="4" t="s">
        <v>5827</v>
      </c>
      <c r="L2185" s="48" t="str">
        <f aca="false">HYPERLINK("https://boxd.it/29Mc","open")</f>
        <v>open</v>
      </c>
      <c r="M2185" s="4" t="str">
        <f aca="false">LOWER(A2185)&amp;"|"&amp;B2185</f>
        <v>a streetcar named desire|1951</v>
      </c>
      <c r="N2185" s="4" t="n">
        <v>0</v>
      </c>
      <c r="O2185" s="4" t="n">
        <v>1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1</v>
      </c>
      <c r="U2185" s="4" t="n">
        <v>0</v>
      </c>
      <c r="V2185" s="4" t="n">
        <v>1</v>
      </c>
      <c r="W2185" s="4" t="n">
        <v>0</v>
      </c>
    </row>
    <row r="2186" customFormat="false" ht="15" hidden="false" customHeight="false" outlineLevel="0" collapsed="false">
      <c r="A2186" s="4" t="s">
        <v>900</v>
      </c>
      <c r="B2186" s="4" t="n">
        <v>1925</v>
      </c>
      <c r="C2186" s="4" t="str">
        <f aca="false">FLOOR(B2186,10)&amp;"s"</f>
        <v>1920s</v>
      </c>
      <c r="D2186" s="4" t="s">
        <v>232</v>
      </c>
      <c r="E2186" s="25" t="str">
        <f aca="false">IF(G2186=1,"✓","")</f>
        <v/>
      </c>
      <c r="F2186" s="4" t="n">
        <v>2</v>
      </c>
      <c r="G2186" s="4" t="n">
        <f aca="false">IF(COUNTIF('Letterboxd Watched'!$E$2:$E$3000,M2186)&gt;0,1,0)</f>
        <v>0</v>
      </c>
      <c r="H2186" s="4" t="n">
        <v>4</v>
      </c>
      <c r="I2186" s="4" t="s">
        <v>213</v>
      </c>
      <c r="J2186" s="4" t="s">
        <v>50</v>
      </c>
      <c r="K2186" s="4" t="s">
        <v>5666</v>
      </c>
      <c r="L2186" s="48" t="str">
        <f aca="false">HYPERLINK("https://boxd.it/QFk","open")</f>
        <v>open</v>
      </c>
      <c r="M2186" s="4" t="str">
        <f aca="false">LOWER(A2186)&amp;"|"&amp;B2186</f>
        <v>strike|1925</v>
      </c>
      <c r="N2186" s="4" t="n">
        <v>0</v>
      </c>
      <c r="O2186" s="4" t="n">
        <v>1</v>
      </c>
      <c r="P2186" s="4" t="n">
        <v>0</v>
      </c>
      <c r="Q2186" s="4" t="n">
        <v>0</v>
      </c>
      <c r="R2186" s="4" t="n">
        <v>0</v>
      </c>
      <c r="S2186" s="4" t="n">
        <v>1</v>
      </c>
      <c r="T2186" s="4" t="n">
        <v>0</v>
      </c>
      <c r="U2186" s="4" t="n">
        <v>0</v>
      </c>
      <c r="V2186" s="4" t="n">
        <v>0</v>
      </c>
      <c r="W2186" s="4" t="n">
        <v>0</v>
      </c>
    </row>
    <row r="2187" customFormat="false" ht="15" hidden="false" customHeight="false" outlineLevel="0" collapsed="false">
      <c r="A2187" s="4" t="s">
        <v>3592</v>
      </c>
      <c r="B2187" s="4" t="n">
        <v>1981</v>
      </c>
      <c r="C2187" s="4" t="str">
        <f aca="false">FLOOR(B2187,10)&amp;"s"</f>
        <v>1980s</v>
      </c>
      <c r="D2187" s="4" t="s">
        <v>2404</v>
      </c>
      <c r="E2187" s="25" t="str">
        <f aca="false">IF(G2187=1,"✓","")</f>
        <v>✓</v>
      </c>
      <c r="F2187" s="4" t="n">
        <v>1</v>
      </c>
      <c r="G2187" s="4" t="n">
        <f aca="false">IF(COUNTIF('Letterboxd Watched'!$E$2:$E$3000,M2187)&gt;0,1,0)</f>
        <v>1</v>
      </c>
      <c r="H2187" s="4" t="n">
        <v>1</v>
      </c>
      <c r="I2187" s="4" t="s">
        <v>1327</v>
      </c>
      <c r="J2187" s="4" t="s">
        <v>52</v>
      </c>
      <c r="K2187" s="4" t="s">
        <v>4108</v>
      </c>
      <c r="L2187" s="48" t="str">
        <f aca="false">HYPERLINK("https://boxd.it/gY6","open")</f>
        <v>open</v>
      </c>
      <c r="M2187" s="4" t="str">
        <f aca="false">LOWER(A2187)&amp;"|"&amp;B2187</f>
        <v>stripes|1981</v>
      </c>
      <c r="N2187" s="4" t="n">
        <v>0</v>
      </c>
      <c r="O2187" s="4" t="n">
        <v>0</v>
      </c>
      <c r="P2187" s="4" t="n">
        <v>0</v>
      </c>
      <c r="Q2187" s="4" t="n">
        <v>1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</row>
    <row r="2188" customFormat="false" ht="15" hidden="false" customHeight="false" outlineLevel="0" collapsed="false">
      <c r="A2188" s="4" t="s">
        <v>1645</v>
      </c>
      <c r="B2188" s="4" t="n">
        <v>1950</v>
      </c>
      <c r="C2188" s="4" t="str">
        <f aca="false">FLOOR(B2188,10)&amp;"s"</f>
        <v>1950s</v>
      </c>
      <c r="D2188" s="4" t="s">
        <v>268</v>
      </c>
      <c r="E2188" s="25" t="str">
        <f aca="false">IF(G2188=1,"✓","")</f>
        <v/>
      </c>
      <c r="F2188" s="4" t="n">
        <v>2</v>
      </c>
      <c r="G2188" s="4" t="n">
        <f aca="false">IF(COUNTIF('Letterboxd Watched'!$E$2:$E$3000,M2188)&gt;0,1,0)</f>
        <v>0</v>
      </c>
      <c r="H2188" s="4" t="n">
        <v>2</v>
      </c>
      <c r="I2188" s="4" t="s">
        <v>1327</v>
      </c>
      <c r="J2188" s="4" t="s">
        <v>51</v>
      </c>
      <c r="K2188" s="4" t="s">
        <v>5428</v>
      </c>
      <c r="L2188" s="48" t="str">
        <f aca="false">HYPERLINK("https://boxd.it/24Js","open")</f>
        <v>open</v>
      </c>
      <c r="M2188" s="4" t="str">
        <f aca="false">LOWER(A2188)&amp;"|"&amp;B2188</f>
        <v>stromboli|1950</v>
      </c>
      <c r="N2188" s="4" t="n">
        <v>0</v>
      </c>
      <c r="O2188" s="4" t="n">
        <v>0</v>
      </c>
      <c r="P2188" s="4" t="n">
        <v>1</v>
      </c>
      <c r="Q2188" s="4" t="n">
        <v>0</v>
      </c>
      <c r="R2188" s="4" t="n">
        <v>0</v>
      </c>
      <c r="S2188" s="4" t="n">
        <v>1</v>
      </c>
      <c r="T2188" s="4" t="n">
        <v>0</v>
      </c>
      <c r="U2188" s="4" t="n">
        <v>0</v>
      </c>
      <c r="V2188" s="4" t="n">
        <v>0</v>
      </c>
      <c r="W2188" s="4" t="n">
        <v>0</v>
      </c>
    </row>
    <row r="2189" customFormat="false" ht="15" hidden="false" customHeight="false" outlineLevel="0" collapsed="false">
      <c r="A2189" s="4" t="s">
        <v>1357</v>
      </c>
      <c r="B2189" s="4" t="n">
        <v>1977</v>
      </c>
      <c r="C2189" s="4" t="str">
        <f aca="false">FLOOR(B2189,10)&amp;"s"</f>
        <v>1970s</v>
      </c>
      <c r="D2189" s="4" t="s">
        <v>292</v>
      </c>
      <c r="E2189" s="25" t="str">
        <f aca="false">IF(G2189=1,"✓","")</f>
        <v/>
      </c>
      <c r="F2189" s="4" t="n">
        <v>2</v>
      </c>
      <c r="G2189" s="4" t="n">
        <f aca="false">IF(COUNTIF('Letterboxd Watched'!$E$2:$E$3000,M2189)&gt;0,1,0)</f>
        <v>0</v>
      </c>
      <c r="H2189" s="4" t="n">
        <v>3</v>
      </c>
      <c r="I2189" s="4" t="s">
        <v>213</v>
      </c>
      <c r="J2189" s="4" t="s">
        <v>51</v>
      </c>
      <c r="K2189" s="4" t="s">
        <v>5379</v>
      </c>
      <c r="L2189" s="48" t="str">
        <f aca="false">HYPERLINK("https://boxd.it/1Td6","open")</f>
        <v>open</v>
      </c>
      <c r="M2189" s="4" t="str">
        <f aca="false">LOWER(A2189)&amp;"|"&amp;B2189</f>
        <v>stroszek|1977</v>
      </c>
      <c r="N2189" s="4" t="n">
        <v>0</v>
      </c>
      <c r="O2189" s="4" t="n">
        <v>0</v>
      </c>
      <c r="P2189" s="4" t="n">
        <v>1</v>
      </c>
      <c r="Q2189" s="4" t="n">
        <v>0</v>
      </c>
      <c r="R2189" s="4" t="n">
        <v>1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</row>
    <row r="2190" customFormat="false" ht="15" hidden="false" customHeight="false" outlineLevel="0" collapsed="false">
      <c r="A2190" s="4" t="s">
        <v>3230</v>
      </c>
      <c r="B2190" s="4" t="n">
        <v>2022</v>
      </c>
      <c r="C2190" s="4" t="str">
        <f aca="false">FLOOR(B2190,10)&amp;"s"</f>
        <v>2020s</v>
      </c>
      <c r="D2190" s="4" t="s">
        <v>1641</v>
      </c>
      <c r="E2190" s="25" t="str">
        <f aca="false">IF(G2190=1,"✓","")</f>
        <v>✓</v>
      </c>
      <c r="F2190" s="4" t="n">
        <v>1</v>
      </c>
      <c r="G2190" s="4" t="n">
        <f aca="false">IF(COUNTIF('Letterboxd Watched'!$E$2:$E$3000,M2190)&gt;0,1,0)</f>
        <v>1</v>
      </c>
      <c r="H2190" s="4" t="n">
        <v>2</v>
      </c>
      <c r="I2190" s="4" t="s">
        <v>213</v>
      </c>
      <c r="J2190" s="4" t="s">
        <v>55</v>
      </c>
      <c r="K2190" s="4" t="s">
        <v>4332</v>
      </c>
      <c r="L2190" s="48" t="str">
        <f aca="false">HYPERLINK("https://boxd.it/u5li","open")</f>
        <v>open</v>
      </c>
      <c r="M2190" s="4" t="str">
        <f aca="false">LOWER(A2190)&amp;"|"&amp;B2190</f>
        <v>stutz|2022</v>
      </c>
      <c r="N2190" s="4" t="n">
        <v>0</v>
      </c>
      <c r="O2190" s="4" t="n">
        <v>0</v>
      </c>
      <c r="P2190" s="4" t="n">
        <v>0</v>
      </c>
      <c r="Q2190" s="4" t="n">
        <v>0</v>
      </c>
      <c r="R2190" s="4" t="n">
        <v>0</v>
      </c>
      <c r="S2190" s="4" t="n">
        <v>0</v>
      </c>
      <c r="T2190" s="4" t="n">
        <v>1</v>
      </c>
      <c r="U2190" s="4" t="n">
        <v>0</v>
      </c>
      <c r="V2190" s="4" t="n">
        <v>0</v>
      </c>
      <c r="W2190" s="4" t="n">
        <v>0</v>
      </c>
    </row>
    <row r="2191" customFormat="false" ht="15" hidden="false" customHeight="false" outlineLevel="0" collapsed="false">
      <c r="A2191" s="4" t="s">
        <v>3256</v>
      </c>
      <c r="B2191" s="4" t="n">
        <v>2024</v>
      </c>
      <c r="C2191" s="4" t="str">
        <f aca="false">FLOOR(B2191,10)&amp;"s"</f>
        <v>2020s</v>
      </c>
      <c r="D2191" s="4" t="s">
        <v>3257</v>
      </c>
      <c r="E2191" s="25" t="str">
        <f aca="false">IF(G2191=1,"✓","")</f>
        <v/>
      </c>
      <c r="F2191" s="4" t="n">
        <v>1</v>
      </c>
      <c r="G2191" s="4" t="n">
        <f aca="false">IF(COUNTIF('Letterboxd Watched'!$E$2:$E$3000,M2191)&gt;0,1,0)</f>
        <v>0</v>
      </c>
      <c r="H2191" s="4" t="n">
        <v>2</v>
      </c>
      <c r="I2191" s="4" t="s">
        <v>213</v>
      </c>
      <c r="J2191" s="4" t="s">
        <v>52</v>
      </c>
      <c r="K2191" s="4" t="s">
        <v>4072</v>
      </c>
      <c r="L2191" s="48" t="str">
        <f aca="false">HYPERLINK("https://boxd.it/zanS","open")</f>
        <v>open</v>
      </c>
      <c r="M2191" s="4" t="str">
        <f aca="false">LOWER(A2191)&amp;"|"&amp;B2191</f>
        <v>the substance|2024</v>
      </c>
      <c r="N2191" s="4" t="n">
        <v>0</v>
      </c>
      <c r="O2191" s="4" t="n">
        <v>0</v>
      </c>
      <c r="P2191" s="4" t="n">
        <v>0</v>
      </c>
      <c r="Q2191" s="4" t="n">
        <v>1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</row>
    <row r="2192" customFormat="false" ht="15" hidden="false" customHeight="false" outlineLevel="0" collapsed="false">
      <c r="A2192" s="4" t="s">
        <v>3620</v>
      </c>
      <c r="B2192" s="4" t="n">
        <v>1983</v>
      </c>
      <c r="C2192" s="4" t="str">
        <f aca="false">FLOOR(B2192,10)&amp;"s"</f>
        <v>1980s</v>
      </c>
      <c r="D2192" s="4" t="s">
        <v>3603</v>
      </c>
      <c r="E2192" s="25" t="str">
        <f aca="false">IF(G2192=1,"✓","")</f>
        <v/>
      </c>
      <c r="F2192" s="4" t="n">
        <v>1</v>
      </c>
      <c r="G2192" s="4" t="n">
        <f aca="false">IF(COUNTIF('Letterboxd Watched'!$E$2:$E$3000,M2192)&gt;0,1,0)</f>
        <v>0</v>
      </c>
      <c r="H2192" s="4" t="n">
        <v>1</v>
      </c>
      <c r="I2192" s="4" t="s">
        <v>1327</v>
      </c>
      <c r="J2192" s="4" t="s">
        <v>56</v>
      </c>
      <c r="K2192" s="4" t="s">
        <v>4396</v>
      </c>
      <c r="L2192" s="48" t="str">
        <f aca="false">HYPERLINK("https://boxd.it/1qmo","open")</f>
        <v>open</v>
      </c>
      <c r="M2192" s="4" t="str">
        <f aca="false">LOWER(A2192)&amp;"|"&amp;B2192</f>
        <v>suburbia|1983</v>
      </c>
      <c r="N2192" s="4" t="n">
        <v>0</v>
      </c>
      <c r="O2192" s="4" t="n">
        <v>0</v>
      </c>
      <c r="P2192" s="4" t="n">
        <v>0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1</v>
      </c>
      <c r="V2192" s="4" t="n">
        <v>0</v>
      </c>
      <c r="W2192" s="4" t="n">
        <v>0</v>
      </c>
    </row>
    <row r="2193" customFormat="false" ht="15" hidden="false" customHeight="false" outlineLevel="0" collapsed="false">
      <c r="A2193" s="4" t="s">
        <v>2640</v>
      </c>
      <c r="B2193" s="4" t="n">
        <v>1996</v>
      </c>
      <c r="C2193" s="4" t="str">
        <f aca="false">FLOOR(B2193,10)&amp;"s"</f>
        <v>1990s</v>
      </c>
      <c r="D2193" s="4" t="s">
        <v>320</v>
      </c>
      <c r="E2193" s="25" t="str">
        <f aca="false">IF(G2193=1,"✓","")</f>
        <v/>
      </c>
      <c r="F2193" s="4" t="n">
        <v>1</v>
      </c>
      <c r="G2193" s="4" t="n">
        <f aca="false">IF(COUNTIF('Letterboxd Watched'!$E$2:$E$3000,M2193)&gt;0,1,0)</f>
        <v>0</v>
      </c>
      <c r="H2193" s="4" t="n">
        <v>2</v>
      </c>
      <c r="I2193" s="4" t="s">
        <v>213</v>
      </c>
      <c r="J2193" s="4" t="s">
        <v>53</v>
      </c>
      <c r="K2193" s="4" t="s">
        <v>320</v>
      </c>
      <c r="L2193" s="48" t="str">
        <f aca="false">HYPERLINK("https://boxd.it/1qlK","open")</f>
        <v>open</v>
      </c>
      <c r="M2193" s="4" t="str">
        <f aca="false">LOWER(A2193)&amp;"|"&amp;B2193</f>
        <v>suburbia|1996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1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</row>
    <row r="2194" customFormat="false" ht="15" hidden="false" customHeight="false" outlineLevel="0" collapsed="false">
      <c r="A2194" s="4" t="s">
        <v>2411</v>
      </c>
      <c r="B2194" s="4" t="n">
        <v>1985</v>
      </c>
      <c r="C2194" s="4" t="str">
        <f aca="false">FLOOR(B2194,10)&amp;"s"</f>
        <v>1980s</v>
      </c>
      <c r="D2194" s="4" t="s">
        <v>1558</v>
      </c>
      <c r="E2194" s="25" t="str">
        <f aca="false">IF(G2194=1,"✓","")</f>
        <v/>
      </c>
      <c r="F2194" s="4" t="n">
        <v>1</v>
      </c>
      <c r="G2194" s="4" t="n">
        <f aca="false">IF(COUNTIF('Letterboxd Watched'!$E$2:$E$3000,M2194)&gt;0,1,0)</f>
        <v>0</v>
      </c>
      <c r="H2194" s="4" t="n">
        <v>2</v>
      </c>
      <c r="I2194" s="4" t="s">
        <v>213</v>
      </c>
      <c r="J2194" s="4" t="s">
        <v>51</v>
      </c>
      <c r="K2194" s="4" t="s">
        <v>3966</v>
      </c>
      <c r="L2194" s="48" t="str">
        <f aca="false">HYPERLINK("https://boxd.it/1VIg","open")</f>
        <v>open</v>
      </c>
      <c r="M2194" s="4" t="str">
        <f aca="false">LOWER(A2194)&amp;"|"&amp;B2194</f>
        <v>subway|1985</v>
      </c>
      <c r="N2194" s="4" t="n">
        <v>0</v>
      </c>
      <c r="O2194" s="4" t="n">
        <v>0</v>
      </c>
      <c r="P2194" s="4" t="n">
        <v>1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</row>
    <row r="2195" customFormat="false" ht="15" hidden="false" customHeight="false" outlineLevel="0" collapsed="false">
      <c r="A2195" s="4" t="s">
        <v>1027</v>
      </c>
      <c r="B2195" s="4" t="n">
        <v>1974</v>
      </c>
      <c r="C2195" s="4" t="str">
        <f aca="false">FLOOR(B2195,10)&amp;"s"</f>
        <v>1970s</v>
      </c>
      <c r="D2195" s="4" t="s">
        <v>183</v>
      </c>
      <c r="E2195" s="25" t="str">
        <f aca="false">IF(G2195=1,"✓","")</f>
        <v>✓</v>
      </c>
      <c r="F2195" s="4" t="n">
        <v>2</v>
      </c>
      <c r="G2195" s="4" t="n">
        <f aca="false">IF(COUNTIF('Letterboxd Watched'!$E$2:$E$3000,M2195)&gt;0,1,0)</f>
        <v>1</v>
      </c>
      <c r="H2195" s="4" t="n">
        <v>4</v>
      </c>
      <c r="I2195" s="4" t="s">
        <v>213</v>
      </c>
      <c r="J2195" s="4" t="s">
        <v>53</v>
      </c>
      <c r="K2195" s="4" t="s">
        <v>5828</v>
      </c>
      <c r="L2195" s="48" t="str">
        <f aca="false">HYPERLINK("https://boxd.it/23la","open")</f>
        <v>open</v>
      </c>
      <c r="M2195" s="4" t="str">
        <f aca="false">LOWER(A2195)&amp;"|"&amp;B2195</f>
        <v>the sugarland express|1974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1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1</v>
      </c>
    </row>
    <row r="2196" customFormat="false" ht="15" hidden="false" customHeight="false" outlineLevel="0" collapsed="false">
      <c r="A2196" s="4" t="s">
        <v>249</v>
      </c>
      <c r="B2196" s="4" t="n">
        <v>1941</v>
      </c>
      <c r="C2196" s="4" t="str">
        <f aca="false">FLOOR(B2196,10)&amp;"s"</f>
        <v>1940s</v>
      </c>
      <c r="D2196" s="4" t="s">
        <v>250</v>
      </c>
      <c r="E2196" s="25" t="str">
        <f aca="false">IF(G2196=1,"✓","")</f>
        <v/>
      </c>
      <c r="F2196" s="4" t="n">
        <v>5</v>
      </c>
      <c r="G2196" s="4" t="n">
        <f aca="false">IF(COUNTIF('Letterboxd Watched'!$E$2:$E$3000,M2196)&gt;0,1,0)</f>
        <v>0</v>
      </c>
      <c r="H2196" s="4" t="n">
        <v>12</v>
      </c>
      <c r="I2196" s="4" t="s">
        <v>144</v>
      </c>
      <c r="J2196" s="4" t="s">
        <v>53</v>
      </c>
      <c r="K2196" s="4" t="s">
        <v>5829</v>
      </c>
      <c r="L2196" s="48" t="str">
        <f aca="false">HYPERLINK("https://boxd.it/1Ko0","open")</f>
        <v>open</v>
      </c>
      <c r="M2196" s="4" t="str">
        <f aca="false">LOWER(A2196)&amp;"|"&amp;B2196</f>
        <v>sullivan's travels|1941</v>
      </c>
      <c r="N2196" s="4" t="n">
        <v>0</v>
      </c>
      <c r="O2196" s="4" t="n">
        <v>0</v>
      </c>
      <c r="P2196" s="4" t="n">
        <v>0</v>
      </c>
      <c r="Q2196" s="4" t="n">
        <v>0</v>
      </c>
      <c r="R2196" s="4" t="n">
        <v>1</v>
      </c>
      <c r="S2196" s="4" t="n">
        <v>0</v>
      </c>
      <c r="T2196" s="4" t="n">
        <v>1</v>
      </c>
      <c r="U2196" s="4" t="n">
        <v>0</v>
      </c>
      <c r="V2196" s="4" t="n">
        <v>1</v>
      </c>
      <c r="W2196" s="4" t="n">
        <v>1</v>
      </c>
    </row>
    <row r="2197" customFormat="false" ht="15" hidden="false" customHeight="false" outlineLevel="0" collapsed="false">
      <c r="A2197" s="4" t="s">
        <v>3712</v>
      </c>
      <c r="B2197" s="4" t="n">
        <v>1999</v>
      </c>
      <c r="C2197" s="4" t="str">
        <f aca="false">FLOOR(B2197,10)&amp;"s"</f>
        <v>1990s</v>
      </c>
      <c r="D2197" s="4" t="s">
        <v>148</v>
      </c>
      <c r="E2197" s="25" t="str">
        <f aca="false">IF(G2197=1,"✓","")</f>
        <v/>
      </c>
      <c r="F2197" s="4" t="n">
        <v>1</v>
      </c>
      <c r="G2197" s="4" t="n">
        <f aca="false">IF(COUNTIF('Letterboxd Watched'!$E$2:$E$3000,M2197)&gt;0,1,0)</f>
        <v>0</v>
      </c>
      <c r="H2197" s="4" t="n">
        <v>1</v>
      </c>
      <c r="I2197" s="4" t="s">
        <v>1327</v>
      </c>
      <c r="J2197" s="4" t="s">
        <v>53</v>
      </c>
      <c r="K2197" s="4" t="s">
        <v>148</v>
      </c>
      <c r="L2197" s="48" t="str">
        <f aca="false">HYPERLINK("https://boxd.it/1WE0","open")</f>
        <v>open</v>
      </c>
      <c r="M2197" s="4" t="str">
        <f aca="false">LOWER(A2197)&amp;"|"&amp;B2197</f>
        <v>summer of sam|1999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1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</row>
    <row r="2198" customFormat="false" ht="15" hidden="false" customHeight="false" outlineLevel="0" collapsed="false">
      <c r="A2198" s="4" t="s">
        <v>3213</v>
      </c>
      <c r="B2198" s="4" t="n">
        <v>2021</v>
      </c>
      <c r="C2198" s="4" t="str">
        <f aca="false">FLOOR(B2198,10)&amp;"s"</f>
        <v>2020s</v>
      </c>
      <c r="D2198" s="4" t="s">
        <v>3214</v>
      </c>
      <c r="E2198" s="25" t="str">
        <f aca="false">IF(G2198=1,"✓","")</f>
        <v/>
      </c>
      <c r="F2198" s="4" t="n">
        <v>1</v>
      </c>
      <c r="G2198" s="4" t="n">
        <f aca="false">IF(COUNTIF('Letterboxd Watched'!$E$2:$E$3000,M2198)&gt;0,1,0)</f>
        <v>0</v>
      </c>
      <c r="H2198" s="4" t="n">
        <v>2</v>
      </c>
      <c r="I2198" s="4" t="s">
        <v>213</v>
      </c>
      <c r="J2198" s="4" t="s">
        <v>52</v>
      </c>
      <c r="K2198" s="4" t="s">
        <v>4178</v>
      </c>
      <c r="L2198" s="48" t="str">
        <f aca="false">HYPERLINK("https://letterboxd.com/search/films/Summer+of+Soul+Or+When+the+Revolution+Could+Not+Be+Televised+2021/","open")</f>
        <v>open</v>
      </c>
      <c r="M2198" s="4" t="str">
        <f aca="false">LOWER(A2198)&amp;"|"&amp;B2198</f>
        <v>summer of soul (...or, when the revolution could not be televised)|2021</v>
      </c>
      <c r="N2198" s="4" t="n">
        <v>0</v>
      </c>
      <c r="O2198" s="4" t="n">
        <v>0</v>
      </c>
      <c r="P2198" s="4" t="n">
        <v>0</v>
      </c>
      <c r="Q2198" s="4" t="n">
        <v>1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</row>
    <row r="2199" customFormat="false" ht="15" hidden="false" customHeight="false" outlineLevel="0" collapsed="false">
      <c r="A2199" s="4" t="s">
        <v>2642</v>
      </c>
      <c r="B2199" s="4" t="n">
        <v>1996</v>
      </c>
      <c r="C2199" s="4" t="str">
        <f aca="false">FLOOR(B2199,10)&amp;"s"</f>
        <v>1990s</v>
      </c>
      <c r="D2199" s="4" t="s">
        <v>419</v>
      </c>
      <c r="E2199" s="25" t="str">
        <f aca="false">IF(G2199=1,"✓","")</f>
        <v/>
      </c>
      <c r="F2199" s="4" t="n">
        <v>1</v>
      </c>
      <c r="G2199" s="4" t="n">
        <f aca="false">IF(COUNTIF('Letterboxd Watched'!$E$2:$E$3000,M2199)&gt;0,1,0)</f>
        <v>0</v>
      </c>
      <c r="H2199" s="4" t="n">
        <v>2</v>
      </c>
      <c r="I2199" s="4" t="s">
        <v>213</v>
      </c>
      <c r="J2199" s="4" t="s">
        <v>53</v>
      </c>
      <c r="K2199" s="4" t="s">
        <v>4226</v>
      </c>
      <c r="L2199" s="48" t="str">
        <f aca="false">HYPERLINK("https://boxd.it/183e","open")</f>
        <v>open</v>
      </c>
      <c r="M2199" s="4" t="str">
        <f aca="false">LOWER(A2199)&amp;"|"&amp;B2199</f>
        <v>a summer's tale|1996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1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</row>
    <row r="2200" customFormat="false" ht="15" hidden="false" customHeight="false" outlineLevel="0" collapsed="false">
      <c r="A2200" s="4" t="s">
        <v>1899</v>
      </c>
      <c r="B2200" s="4" t="n">
        <v>1953</v>
      </c>
      <c r="C2200" s="4" t="str">
        <f aca="false">FLOOR(B2200,10)&amp;"s"</f>
        <v>1950s</v>
      </c>
      <c r="D2200" s="4" t="s">
        <v>170</v>
      </c>
      <c r="E2200" s="25" t="str">
        <f aca="false">IF(G2200=1,"✓","")</f>
        <v/>
      </c>
      <c r="F2200" s="4" t="n">
        <v>1</v>
      </c>
      <c r="G2200" s="4" t="n">
        <f aca="false">IF(COUNTIF('Letterboxd Watched'!$E$2:$E$3000,M2200)&gt;0,1,0)</f>
        <v>0</v>
      </c>
      <c r="H2200" s="4" t="n">
        <v>2</v>
      </c>
      <c r="I2200" s="4" t="s">
        <v>213</v>
      </c>
      <c r="J2200" s="4" t="s">
        <v>53</v>
      </c>
      <c r="K2200" s="4" t="s">
        <v>170</v>
      </c>
      <c r="L2200" s="48" t="str">
        <f aca="false">HYPERLINK("https://boxd.it/JZC","open")</f>
        <v>open</v>
      </c>
      <c r="M2200" s="4" t="str">
        <f aca="false">LOWER(A2200)&amp;"|"&amp;B2200</f>
        <v>summer with monika|1953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1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</row>
    <row r="2201" customFormat="false" ht="15" hidden="false" customHeight="false" outlineLevel="0" collapsed="false">
      <c r="A2201" s="4" t="s">
        <v>3808</v>
      </c>
      <c r="B2201" s="4" t="n">
        <v>2012</v>
      </c>
      <c r="C2201" s="4" t="str">
        <f aca="false">FLOOR(B2201,10)&amp;"s"</f>
        <v>2010s</v>
      </c>
      <c r="D2201" s="4" t="s">
        <v>3809</v>
      </c>
      <c r="E2201" s="25" t="str">
        <f aca="false">IF(G2201=1,"✓","")</f>
        <v/>
      </c>
      <c r="F2201" s="4" t="n">
        <v>1</v>
      </c>
      <c r="G2201" s="4" t="n">
        <f aca="false">IF(COUNTIF('Letterboxd Watched'!$E$2:$E$3000,M2201)&gt;0,1,0)</f>
        <v>0</v>
      </c>
      <c r="H2201" s="4" t="n">
        <v>1</v>
      </c>
      <c r="I2201" s="4" t="s">
        <v>1327</v>
      </c>
      <c r="J2201" s="4" t="s">
        <v>56</v>
      </c>
      <c r="K2201" s="4" t="s">
        <v>4386</v>
      </c>
      <c r="L2201" s="48" t="str">
        <f aca="false">HYPERLINK("https://letterboxd.com/search/films/The+Summit+2012/","open")</f>
        <v>open</v>
      </c>
      <c r="M2201" s="4" t="str">
        <f aca="false">LOWER(A2201)&amp;"|"&amp;B2201</f>
        <v>the summit|2012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1</v>
      </c>
      <c r="V2201" s="4" t="n">
        <v>0</v>
      </c>
      <c r="W2201" s="4" t="n">
        <v>0</v>
      </c>
    </row>
    <row r="2202" customFormat="false" ht="15" hidden="false" customHeight="false" outlineLevel="0" collapsed="false">
      <c r="A2202" s="4" t="s">
        <v>3369</v>
      </c>
      <c r="B2202" s="4" t="n">
        <v>1953</v>
      </c>
      <c r="C2202" s="4" t="str">
        <f aca="false">FLOOR(B2202,10)&amp;"s"</f>
        <v>1950s</v>
      </c>
      <c r="D2202" s="4" t="s">
        <v>205</v>
      </c>
      <c r="E2202" s="25" t="str">
        <f aca="false">IF(G2202=1,"✓","")</f>
        <v/>
      </c>
      <c r="F2202" s="4" t="n">
        <v>1</v>
      </c>
      <c r="G2202" s="4" t="n">
        <f aca="false">IF(COUNTIF('Letterboxd Watched'!$E$2:$E$3000,M2202)&gt;0,1,0)</f>
        <v>0</v>
      </c>
      <c r="H2202" s="4" t="n">
        <v>1</v>
      </c>
      <c r="I2202" s="4" t="s">
        <v>1327</v>
      </c>
      <c r="J2202" s="4" t="s">
        <v>53</v>
      </c>
      <c r="K2202" s="4" t="s">
        <v>205</v>
      </c>
      <c r="L2202" s="48" t="str">
        <f aca="false">HYPERLINK("https://letterboxd.com/search/films/The+Sun+Shines+Bright+1953/","open")</f>
        <v>open</v>
      </c>
      <c r="M2202" s="4" t="str">
        <f aca="false">LOWER(A2202)&amp;"|"&amp;B2202</f>
        <v>the sun shines bright|1953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1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</row>
    <row r="2203" customFormat="false" ht="15" hidden="false" customHeight="false" outlineLevel="0" collapsed="false">
      <c r="A2203" s="4" t="s">
        <v>298</v>
      </c>
      <c r="B2203" s="4" t="n">
        <v>1927</v>
      </c>
      <c r="C2203" s="4" t="str">
        <f aca="false">FLOOR(B2203,10)&amp;"s"</f>
        <v>1920s</v>
      </c>
      <c r="D2203" s="4" t="s">
        <v>299</v>
      </c>
      <c r="E2203" s="25" t="str">
        <f aca="false">IF(G2203=1,"✓","")</f>
        <v/>
      </c>
      <c r="F2203" s="4" t="n">
        <v>5</v>
      </c>
      <c r="G2203" s="4" t="n">
        <f aca="false">IF(COUNTIF('Letterboxd Watched'!$E$2:$E$3000,M2203)&gt;0,1,0)</f>
        <v>0</v>
      </c>
      <c r="H2203" s="4" t="n">
        <v>11</v>
      </c>
      <c r="I2203" s="4" t="s">
        <v>144</v>
      </c>
      <c r="J2203" s="4" t="s">
        <v>49</v>
      </c>
      <c r="K2203" s="4" t="s">
        <v>5830</v>
      </c>
      <c r="L2203" s="48" t="str">
        <f aca="false">HYPERLINK("https://boxd.it/29Xk","open")</f>
        <v>open</v>
      </c>
      <c r="M2203" s="4" t="str">
        <f aca="false">LOWER(A2203)&amp;"|"&amp;B2203</f>
        <v>sunrise: a song of two humans|1927</v>
      </c>
      <c r="N2203" s="4" t="n">
        <v>1</v>
      </c>
      <c r="O2203" s="4" t="n">
        <v>1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1</v>
      </c>
      <c r="W2203" s="4" t="n">
        <v>0</v>
      </c>
    </row>
    <row r="2204" customFormat="false" ht="15" hidden="false" customHeight="false" outlineLevel="0" collapsed="false">
      <c r="A2204" s="4" t="s">
        <v>284</v>
      </c>
      <c r="B2204" s="4" t="n">
        <v>1950</v>
      </c>
      <c r="C2204" s="4" t="str">
        <f aca="false">FLOOR(B2204,10)&amp;"s"</f>
        <v>1950s</v>
      </c>
      <c r="D2204" s="4" t="s">
        <v>200</v>
      </c>
      <c r="E2204" s="25" t="str">
        <f aca="false">IF(G2204=1,"✓","")</f>
        <v>✓</v>
      </c>
      <c r="F2204" s="4" t="n">
        <v>5</v>
      </c>
      <c r="G2204" s="4" t="n">
        <f aca="false">IF(COUNTIF('Letterboxd Watched'!$E$2:$E$3000,M2204)&gt;0,1,0)</f>
        <v>1</v>
      </c>
      <c r="H2204" s="4" t="n">
        <v>11</v>
      </c>
      <c r="I2204" s="4" t="s">
        <v>144</v>
      </c>
      <c r="J2204" s="4" t="s">
        <v>50</v>
      </c>
      <c r="K2204" s="4" t="s">
        <v>5831</v>
      </c>
      <c r="L2204" s="48" t="str">
        <f aca="false">HYPERLINK("https://boxd.it/2a20","open")</f>
        <v>open</v>
      </c>
      <c r="M2204" s="4" t="str">
        <f aca="false">LOWER(A2204)&amp;"|"&amp;B2204</f>
        <v>sunset boulevard|1950</v>
      </c>
      <c r="N2204" s="4" t="n">
        <v>0</v>
      </c>
      <c r="O2204" s="4" t="n">
        <v>1</v>
      </c>
      <c r="P2204" s="4" t="n">
        <v>0</v>
      </c>
      <c r="Q2204" s="4" t="n">
        <v>0</v>
      </c>
      <c r="R2204" s="4" t="n">
        <v>1</v>
      </c>
      <c r="S2204" s="4" t="n">
        <v>0</v>
      </c>
      <c r="T2204" s="4" t="n">
        <v>1</v>
      </c>
      <c r="U2204" s="4" t="n">
        <v>0</v>
      </c>
      <c r="V2204" s="4" t="n">
        <v>1</v>
      </c>
      <c r="W2204" s="4" t="n">
        <v>0</v>
      </c>
    </row>
    <row r="2205" customFormat="false" ht="15" hidden="false" customHeight="false" outlineLevel="0" collapsed="false">
      <c r="A2205" s="4" t="s">
        <v>2204</v>
      </c>
      <c r="B2205" s="4" t="n">
        <v>1972</v>
      </c>
      <c r="C2205" s="4" t="str">
        <f aca="false">FLOOR(B2205,10)&amp;"s"</f>
        <v>1970s</v>
      </c>
      <c r="D2205" s="4" t="s">
        <v>2205</v>
      </c>
      <c r="E2205" s="25" t="str">
        <f aca="false">IF(G2205=1,"✓","")</f>
        <v/>
      </c>
      <c r="F2205" s="4" t="n">
        <v>1</v>
      </c>
      <c r="G2205" s="4" t="n">
        <f aca="false">IF(COUNTIF('Letterboxd Watched'!$E$2:$E$3000,M2205)&gt;0,1,0)</f>
        <v>0</v>
      </c>
      <c r="H2205" s="4" t="n">
        <v>2</v>
      </c>
      <c r="I2205" s="4" t="s">
        <v>213</v>
      </c>
      <c r="J2205" s="4" t="s">
        <v>54</v>
      </c>
      <c r="K2205" s="4" t="s">
        <v>4288</v>
      </c>
      <c r="L2205" s="48" t="str">
        <f aca="false">HYPERLINK("https://boxd.it/1BeU","open")</f>
        <v>open</v>
      </c>
      <c r="M2205" s="4" t="str">
        <f aca="false">LOWER(A2205)&amp;"|"&amp;B2205</f>
        <v>super fly|1972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1</v>
      </c>
      <c r="T2205" s="4" t="n">
        <v>0</v>
      </c>
      <c r="U2205" s="4" t="n">
        <v>0</v>
      </c>
      <c r="V2205" s="4" t="n">
        <v>0</v>
      </c>
      <c r="W2205" s="4" t="n">
        <v>0</v>
      </c>
    </row>
    <row r="2206" customFormat="false" ht="15" hidden="false" customHeight="false" outlineLevel="0" collapsed="false">
      <c r="A2206" s="4" t="s">
        <v>2879</v>
      </c>
      <c r="B2206" s="4" t="n">
        <v>2007</v>
      </c>
      <c r="C2206" s="4" t="str">
        <f aca="false">FLOOR(B2206,10)&amp;"s"</f>
        <v>2000s</v>
      </c>
      <c r="D2206" s="4" t="s">
        <v>2661</v>
      </c>
      <c r="E2206" s="25" t="str">
        <f aca="false">IF(G2206=1,"✓","")</f>
        <v/>
      </c>
      <c r="F2206" s="4" t="n">
        <v>1</v>
      </c>
      <c r="G2206" s="4" t="n">
        <f aca="false">IF(COUNTIF('Letterboxd Watched'!$E$2:$E$3000,M2206)&gt;0,1,0)</f>
        <v>0</v>
      </c>
      <c r="H2206" s="4" t="n">
        <v>2</v>
      </c>
      <c r="I2206" s="4" t="s">
        <v>213</v>
      </c>
      <c r="J2206" s="4" t="s">
        <v>52</v>
      </c>
      <c r="K2206" s="4" t="s">
        <v>4108</v>
      </c>
      <c r="L2206" s="48" t="str">
        <f aca="false">HYPERLINK("https://boxd.it/20hO","open")</f>
        <v>open</v>
      </c>
      <c r="M2206" s="4" t="str">
        <f aca="false">LOWER(A2206)&amp;"|"&amp;B2206</f>
        <v>superbad|2007</v>
      </c>
      <c r="N2206" s="4" t="n">
        <v>0</v>
      </c>
      <c r="O2206" s="4" t="n">
        <v>0</v>
      </c>
      <c r="P2206" s="4" t="n">
        <v>0</v>
      </c>
      <c r="Q2206" s="4" t="n">
        <v>1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</row>
    <row r="2207" customFormat="false" ht="15" hidden="false" customHeight="false" outlineLevel="0" collapsed="false">
      <c r="A2207" s="4" t="s">
        <v>2304</v>
      </c>
      <c r="B2207" s="4" t="n">
        <v>1978</v>
      </c>
      <c r="C2207" s="4" t="str">
        <f aca="false">FLOOR(B2207,10)&amp;"s"</f>
        <v>1970s</v>
      </c>
      <c r="D2207" s="4" t="s">
        <v>2286</v>
      </c>
      <c r="E2207" s="25" t="str">
        <f aca="false">IF(G2207=1,"✓","")</f>
        <v/>
      </c>
      <c r="F2207" s="4" t="n">
        <v>1</v>
      </c>
      <c r="G2207" s="4" t="n">
        <f aca="false">IF(COUNTIF('Letterboxd Watched'!$E$2:$E$3000,M2207)&gt;0,1,0)</f>
        <v>0</v>
      </c>
      <c r="H2207" s="4" t="n">
        <v>2</v>
      </c>
      <c r="I2207" s="4" t="s">
        <v>213</v>
      </c>
      <c r="J2207" s="4" t="s">
        <v>50</v>
      </c>
      <c r="K2207" s="4" t="s">
        <v>3920</v>
      </c>
      <c r="L2207" s="48" t="str">
        <f aca="false">HYPERLINK("https://boxd.it/27Qm","open")</f>
        <v>open</v>
      </c>
      <c r="M2207" s="4" t="str">
        <f aca="false">LOWER(A2207)&amp;"|"&amp;B2207</f>
        <v>superman|1978</v>
      </c>
      <c r="N2207" s="4" t="n">
        <v>0</v>
      </c>
      <c r="O2207" s="4" t="n">
        <v>1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</row>
    <row r="2208" customFormat="false" ht="15" hidden="false" customHeight="false" outlineLevel="0" collapsed="false">
      <c r="A2208" s="4" t="s">
        <v>3614</v>
      </c>
      <c r="B2208" s="4" t="n">
        <v>1983</v>
      </c>
      <c r="C2208" s="4" t="str">
        <f aca="false">FLOOR(B2208,10)&amp;"s"</f>
        <v>1980s</v>
      </c>
      <c r="D2208" s="4" t="s">
        <v>793</v>
      </c>
      <c r="E2208" s="25" t="str">
        <f aca="false">IF(G2208=1,"✓","")</f>
        <v/>
      </c>
      <c r="F2208" s="4" t="n">
        <v>1</v>
      </c>
      <c r="G2208" s="4" t="n">
        <f aca="false">IF(COUNTIF('Letterboxd Watched'!$E$2:$E$3000,M2208)&gt;0,1,0)</f>
        <v>0</v>
      </c>
      <c r="H2208" s="4" t="n">
        <v>1</v>
      </c>
      <c r="I2208" s="4" t="s">
        <v>1327</v>
      </c>
      <c r="J2208" s="4" t="s">
        <v>51</v>
      </c>
      <c r="K2208" s="4" t="s">
        <v>4002</v>
      </c>
      <c r="L2208" s="48" t="str">
        <f aca="false">HYPERLINK("https://boxd.it/JbM","open")</f>
        <v>open</v>
      </c>
      <c r="M2208" s="4" t="str">
        <f aca="false">LOWER(A2208)&amp;"|"&amp;B2208</f>
        <v>el sur|1983</v>
      </c>
      <c r="N2208" s="4" t="n">
        <v>0</v>
      </c>
      <c r="O2208" s="4" t="n">
        <v>0</v>
      </c>
      <c r="P2208" s="4" t="n">
        <v>1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</row>
    <row r="2209" customFormat="false" ht="15" hidden="false" customHeight="false" outlineLevel="0" collapsed="false">
      <c r="A2209" s="4" t="s">
        <v>3655</v>
      </c>
      <c r="B2209" s="4" t="n">
        <v>1989</v>
      </c>
      <c r="C2209" s="4" t="str">
        <f aca="false">FLOOR(B2209,10)&amp;"s"</f>
        <v>1980s</v>
      </c>
      <c r="D2209" s="4" t="s">
        <v>3656</v>
      </c>
      <c r="E2209" s="25" t="str">
        <f aca="false">IF(G2209=1,"✓","")</f>
        <v/>
      </c>
      <c r="F2209" s="4" t="n">
        <v>1</v>
      </c>
      <c r="G2209" s="4" t="n">
        <f aca="false">IF(COUNTIF('Letterboxd Watched'!$E$2:$E$3000,M2209)&gt;0,1,0)</f>
        <v>0</v>
      </c>
      <c r="H2209" s="4" t="n">
        <v>1</v>
      </c>
      <c r="I2209" s="4" t="s">
        <v>1327</v>
      </c>
      <c r="J2209" s="4" t="s">
        <v>54</v>
      </c>
      <c r="K2209" s="4" t="s">
        <v>4292</v>
      </c>
      <c r="L2209" s="48" t="str">
        <f aca="false">HYPERLINK("https://letterboxd.com/search/films/Surname+Viet+Given+Name+Nam+1989/","open")</f>
        <v>open</v>
      </c>
      <c r="M2209" s="4" t="str">
        <f aca="false">LOWER(A2209)&amp;"|"&amp;B2209</f>
        <v>surname viet given name nam|1989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1</v>
      </c>
      <c r="T2209" s="4" t="n">
        <v>0</v>
      </c>
      <c r="U2209" s="4" t="n">
        <v>0</v>
      </c>
      <c r="V2209" s="4" t="n">
        <v>0</v>
      </c>
      <c r="W2209" s="4" t="n">
        <v>0</v>
      </c>
    </row>
    <row r="2210" customFormat="false" ht="15" hidden="false" customHeight="false" outlineLevel="0" collapsed="false">
      <c r="A2210" s="4" t="s">
        <v>1294</v>
      </c>
      <c r="B2210" s="4" t="n">
        <v>1913</v>
      </c>
      <c r="C2210" s="4" t="str">
        <f aca="false">FLOOR(B2210,10)&amp;"s"</f>
        <v>1910s</v>
      </c>
      <c r="D2210" s="4" t="s">
        <v>1295</v>
      </c>
      <c r="E2210" s="25" t="str">
        <f aca="false">IF(G2210=1,"✓","")</f>
        <v/>
      </c>
      <c r="F2210" s="4" t="n">
        <v>2</v>
      </c>
      <c r="G2210" s="4" t="n">
        <f aca="false">IF(COUNTIF('Letterboxd Watched'!$E$2:$E$3000,M2210)&gt;0,1,0)</f>
        <v>0</v>
      </c>
      <c r="H2210" s="4" t="n">
        <v>3</v>
      </c>
      <c r="I2210" s="4" t="s">
        <v>213</v>
      </c>
      <c r="J2210" s="4" t="s">
        <v>50</v>
      </c>
      <c r="K2210" s="4" t="s">
        <v>5832</v>
      </c>
      <c r="L2210" s="48" t="str">
        <f aca="false">HYPERLINK("https://boxd.it/3zPo","open")</f>
        <v>open</v>
      </c>
      <c r="M2210" s="4" t="str">
        <f aca="false">LOWER(A2210)&amp;"|"&amp;B2210</f>
        <v>suspense.|1913</v>
      </c>
      <c r="N2210" s="4" t="n">
        <v>0</v>
      </c>
      <c r="O2210" s="4" t="n">
        <v>1</v>
      </c>
      <c r="P2210" s="4" t="n">
        <v>0</v>
      </c>
      <c r="Q2210" s="4" t="n">
        <v>0</v>
      </c>
      <c r="R2210" s="4" t="n">
        <v>0</v>
      </c>
      <c r="S2210" s="4" t="n">
        <v>1</v>
      </c>
      <c r="T2210" s="4" t="n">
        <v>0</v>
      </c>
      <c r="U2210" s="4" t="n">
        <v>0</v>
      </c>
      <c r="V2210" s="4" t="n">
        <v>0</v>
      </c>
      <c r="W2210" s="4" t="n">
        <v>0</v>
      </c>
    </row>
    <row r="2211" customFormat="false" ht="15" hidden="false" customHeight="false" outlineLevel="0" collapsed="false">
      <c r="A2211" s="4" t="s">
        <v>1509</v>
      </c>
      <c r="B2211" s="4" t="n">
        <v>1977</v>
      </c>
      <c r="C2211" s="4" t="str">
        <f aca="false">FLOOR(B2211,10)&amp;"s"</f>
        <v>1970s</v>
      </c>
      <c r="D2211" s="4" t="s">
        <v>677</v>
      </c>
      <c r="E2211" s="25" t="str">
        <f aca="false">IF(G2211=1,"✓","")</f>
        <v/>
      </c>
      <c r="F2211" s="4" t="n">
        <v>1</v>
      </c>
      <c r="G2211" s="4" t="n">
        <f aca="false">IF(COUNTIF('Letterboxd Watched'!$E$2:$E$3000,M2211)&gt;0,1,0)</f>
        <v>0</v>
      </c>
      <c r="H2211" s="4" t="n">
        <v>3</v>
      </c>
      <c r="I2211" s="4" t="s">
        <v>144</v>
      </c>
      <c r="J2211" s="4" t="s">
        <v>51</v>
      </c>
      <c r="K2211" s="4" t="s">
        <v>3952</v>
      </c>
      <c r="L2211" s="48" t="str">
        <f aca="false">HYPERLINK("https://boxd.it/1SNW","open")</f>
        <v>open</v>
      </c>
      <c r="M2211" s="4" t="str">
        <f aca="false">LOWER(A2211)&amp;"|"&amp;B2211</f>
        <v>suspiria|1977</v>
      </c>
      <c r="N2211" s="4" t="n">
        <v>0</v>
      </c>
      <c r="O2211" s="4" t="n">
        <v>0</v>
      </c>
      <c r="P2211" s="4" t="n">
        <v>1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</row>
    <row r="2212" customFormat="false" ht="15" hidden="false" customHeight="false" outlineLevel="0" collapsed="false">
      <c r="A2212" s="4" t="s">
        <v>3717</v>
      </c>
      <c r="B2212" s="4" t="n">
        <v>2000</v>
      </c>
      <c r="C2212" s="4" t="str">
        <f aca="false">FLOOR(B2212,10)&amp;"s"</f>
        <v>2000s</v>
      </c>
      <c r="D2212" s="4" t="s">
        <v>3718</v>
      </c>
      <c r="E2212" s="25" t="str">
        <f aca="false">IF(G2212=1,"✓","")</f>
        <v/>
      </c>
      <c r="F2212" s="4" t="n">
        <v>1</v>
      </c>
      <c r="G2212" s="4" t="n">
        <f aca="false">IF(COUNTIF('Letterboxd Watched'!$E$2:$E$3000,M2212)&gt;0,1,0)</f>
        <v>0</v>
      </c>
      <c r="H2212" s="4" t="n">
        <v>1</v>
      </c>
      <c r="I2212" s="4" t="s">
        <v>1327</v>
      </c>
      <c r="J2212" s="4" t="s">
        <v>51</v>
      </c>
      <c r="K2212" s="4" t="s">
        <v>4020</v>
      </c>
      <c r="L2212" s="48" t="str">
        <f aca="false">HYPERLINK("https://letterboxd.com/search/films/Suzhou+River+2000/","open")</f>
        <v>open</v>
      </c>
      <c r="M2212" s="4" t="str">
        <f aca="false">LOWER(A2212)&amp;"|"&amp;B2212</f>
        <v>suzhou river|2000</v>
      </c>
      <c r="N2212" s="4" t="n">
        <v>0</v>
      </c>
      <c r="O2212" s="4" t="n">
        <v>0</v>
      </c>
      <c r="P2212" s="4" t="n">
        <v>1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</row>
    <row r="2213" customFormat="false" ht="15" hidden="false" customHeight="false" outlineLevel="0" collapsed="false">
      <c r="A2213" s="4" t="s">
        <v>3129</v>
      </c>
      <c r="B2213" s="4" t="n">
        <v>2017</v>
      </c>
      <c r="C2213" s="4" t="str">
        <f aca="false">FLOOR(B2213,10)&amp;"s"</f>
        <v>2010s</v>
      </c>
      <c r="D2213" s="4" t="s">
        <v>2934</v>
      </c>
      <c r="E2213" s="25" t="str">
        <f aca="false">IF(G2213=1,"✓","")</f>
        <v/>
      </c>
      <c r="F2213" s="4" t="n">
        <v>1</v>
      </c>
      <c r="G2213" s="4" t="n">
        <f aca="false">IF(COUNTIF('Letterboxd Watched'!$E$2:$E$3000,M2213)&gt;0,1,0)</f>
        <v>0</v>
      </c>
      <c r="H2213" s="4" t="n">
        <v>2</v>
      </c>
      <c r="I2213" s="4" t="s">
        <v>213</v>
      </c>
      <c r="J2213" s="4" t="s">
        <v>54</v>
      </c>
      <c r="K2213" s="4" t="s">
        <v>4294</v>
      </c>
      <c r="L2213" s="48" t="str">
        <f aca="false">HYPERLINK("https://letterboxd.com/search/films/Sweet+Country+2017/","open")</f>
        <v>open</v>
      </c>
      <c r="M2213" s="4" t="str">
        <f aca="false">LOWER(A2213)&amp;"|"&amp;B2213</f>
        <v>sweet country|2017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1</v>
      </c>
      <c r="T2213" s="4" t="n">
        <v>0</v>
      </c>
      <c r="U2213" s="4" t="n">
        <v>0</v>
      </c>
      <c r="V2213" s="4" t="n">
        <v>0</v>
      </c>
      <c r="W2213" s="4" t="n">
        <v>0</v>
      </c>
    </row>
    <row r="2214" customFormat="false" ht="15" hidden="false" customHeight="false" outlineLevel="0" collapsed="false">
      <c r="A2214" s="4" t="s">
        <v>2668</v>
      </c>
      <c r="B2214" s="4" t="n">
        <v>1997</v>
      </c>
      <c r="C2214" s="4" t="str">
        <f aca="false">FLOOR(B2214,10)&amp;"s"</f>
        <v>1990s</v>
      </c>
      <c r="D2214" s="4" t="s">
        <v>2669</v>
      </c>
      <c r="E2214" s="25" t="str">
        <f aca="false">IF(G2214=1,"✓","")</f>
        <v/>
      </c>
      <c r="F2214" s="4" t="n">
        <v>1</v>
      </c>
      <c r="G2214" s="4" t="n">
        <f aca="false">IF(COUNTIF('Letterboxd Watched'!$E$2:$E$3000,M2214)&gt;0,1,0)</f>
        <v>0</v>
      </c>
      <c r="H2214" s="4" t="n">
        <v>2</v>
      </c>
      <c r="I2214" s="4" t="s">
        <v>213</v>
      </c>
      <c r="J2214" s="4" t="s">
        <v>51</v>
      </c>
      <c r="K2214" s="4" t="s">
        <v>4040</v>
      </c>
      <c r="L2214" s="48" t="str">
        <f aca="false">HYPERLINK("https://boxd.it/1WNm","open")</f>
        <v>open</v>
      </c>
      <c r="M2214" s="4" t="str">
        <f aca="false">LOWER(A2214)&amp;"|"&amp;B2214</f>
        <v>the sweet hereafter|1997</v>
      </c>
      <c r="N2214" s="4" t="n">
        <v>0</v>
      </c>
      <c r="O2214" s="4" t="n">
        <v>0</v>
      </c>
      <c r="P2214" s="4" t="n">
        <v>1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</row>
    <row r="2215" customFormat="false" ht="15" hidden="false" customHeight="false" outlineLevel="0" collapsed="false">
      <c r="A2215" s="4" t="s">
        <v>2764</v>
      </c>
      <c r="B2215" s="4" t="n">
        <v>2002</v>
      </c>
      <c r="C2215" s="4" t="str">
        <f aca="false">FLOOR(B2215,10)&amp;"s"</f>
        <v>2000s</v>
      </c>
      <c r="D2215" s="4" t="s">
        <v>359</v>
      </c>
      <c r="E2215" s="25" t="str">
        <f aca="false">IF(G2215=1,"✓","")</f>
        <v/>
      </c>
      <c r="F2215" s="4" t="n">
        <v>1</v>
      </c>
      <c r="G2215" s="4" t="n">
        <f aca="false">IF(COUNTIF('Letterboxd Watched'!$E$2:$E$3000,M2215)&gt;0,1,0)</f>
        <v>0</v>
      </c>
      <c r="H2215" s="4" t="n">
        <v>2</v>
      </c>
      <c r="I2215" s="4" t="s">
        <v>213</v>
      </c>
      <c r="J2215" s="4" t="s">
        <v>51</v>
      </c>
      <c r="K2215" s="4" t="s">
        <v>3982</v>
      </c>
      <c r="L2215" s="48" t="str">
        <f aca="false">HYPERLINK("https://boxd.it/28SI","open")</f>
        <v>open</v>
      </c>
      <c r="M2215" s="4" t="str">
        <f aca="false">LOWER(A2215)&amp;"|"&amp;B2215</f>
        <v>sweet sixteen|2002</v>
      </c>
      <c r="N2215" s="4" t="n">
        <v>0</v>
      </c>
      <c r="O2215" s="4" t="n">
        <v>0</v>
      </c>
      <c r="P2215" s="4" t="n">
        <v>1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</row>
    <row r="2216" customFormat="false" ht="15" hidden="false" customHeight="false" outlineLevel="0" collapsed="false">
      <c r="A2216" s="4" t="s">
        <v>410</v>
      </c>
      <c r="B2216" s="4" t="n">
        <v>1957</v>
      </c>
      <c r="C2216" s="4" t="str">
        <f aca="false">FLOOR(B2216,10)&amp;"s"</f>
        <v>1950s</v>
      </c>
      <c r="D2216" s="4" t="s">
        <v>411</v>
      </c>
      <c r="E2216" s="25" t="str">
        <f aca="false">IF(G2216=1,"✓","")</f>
        <v/>
      </c>
      <c r="F2216" s="4" t="n">
        <v>4</v>
      </c>
      <c r="G2216" s="4" t="n">
        <f aca="false">IF(COUNTIF('Letterboxd Watched'!$E$2:$E$3000,M2216)&gt;0,1,0)</f>
        <v>0</v>
      </c>
      <c r="H2216" s="4" t="n">
        <v>8</v>
      </c>
      <c r="I2216" s="4" t="s">
        <v>213</v>
      </c>
      <c r="J2216" s="4" t="s">
        <v>50</v>
      </c>
      <c r="K2216" s="4" t="s">
        <v>5833</v>
      </c>
      <c r="L2216" s="48" t="str">
        <f aca="false">HYPERLINK("https://boxd.it/29aW","open")</f>
        <v>open</v>
      </c>
      <c r="M2216" s="4" t="str">
        <f aca="false">LOWER(A2216)&amp;"|"&amp;B2216</f>
        <v>sweet smell of success|1957</v>
      </c>
      <c r="N2216" s="4" t="n">
        <v>0</v>
      </c>
      <c r="O2216" s="4" t="n">
        <v>1</v>
      </c>
      <c r="P2216" s="4" t="n">
        <v>0</v>
      </c>
      <c r="Q2216" s="4" t="n">
        <v>1</v>
      </c>
      <c r="R2216" s="4" t="n">
        <v>0</v>
      </c>
      <c r="S2216" s="4" t="n">
        <v>0</v>
      </c>
      <c r="T2216" s="4" t="n">
        <v>1</v>
      </c>
      <c r="U2216" s="4" t="n">
        <v>0</v>
      </c>
      <c r="V2216" s="4" t="n">
        <v>0</v>
      </c>
      <c r="W2216" s="4" t="n">
        <v>0</v>
      </c>
    </row>
    <row r="2217" customFormat="false" ht="15" hidden="false" customHeight="false" outlineLevel="0" collapsed="false">
      <c r="A2217" s="4" t="s">
        <v>1486</v>
      </c>
      <c r="B2217" s="4" t="n">
        <v>1971</v>
      </c>
      <c r="C2217" s="4" t="str">
        <f aca="false">FLOOR(B2217,10)&amp;"s"</f>
        <v>1970s</v>
      </c>
      <c r="D2217" s="4" t="s">
        <v>1487</v>
      </c>
      <c r="E2217" s="25" t="str">
        <f aca="false">IF(G2217=1,"✓","")</f>
        <v/>
      </c>
      <c r="F2217" s="4" t="n">
        <v>1</v>
      </c>
      <c r="G2217" s="4" t="n">
        <f aca="false">IF(COUNTIF('Letterboxd Watched'!$E$2:$E$3000,M2217)&gt;0,1,0)</f>
        <v>0</v>
      </c>
      <c r="H2217" s="4" t="n">
        <v>3</v>
      </c>
      <c r="I2217" s="4" t="s">
        <v>144</v>
      </c>
      <c r="J2217" s="4" t="s">
        <v>54</v>
      </c>
      <c r="K2217" s="4" t="s">
        <v>4288</v>
      </c>
      <c r="L2217" s="48" t="str">
        <f aca="false">HYPERLINK("https://boxd.it/22xa","open")</f>
        <v>open</v>
      </c>
      <c r="M2217" s="4" t="str">
        <f aca="false">LOWER(A2217)&amp;"|"&amp;B2217</f>
        <v>sweet sweetback's baadasssss song|1971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1</v>
      </c>
      <c r="T2217" s="4" t="n">
        <v>0</v>
      </c>
      <c r="U2217" s="4" t="n">
        <v>0</v>
      </c>
      <c r="V2217" s="4" t="n">
        <v>0</v>
      </c>
      <c r="W2217" s="4" t="n">
        <v>0</v>
      </c>
    </row>
    <row r="2218" customFormat="false" ht="15" hidden="false" customHeight="false" outlineLevel="0" collapsed="false">
      <c r="A2218" s="4" t="s">
        <v>911</v>
      </c>
      <c r="B2218" s="4" t="n">
        <v>1936</v>
      </c>
      <c r="C2218" s="4" t="str">
        <f aca="false">FLOOR(B2218,10)&amp;"s"</f>
        <v>1930s</v>
      </c>
      <c r="D2218" s="4" t="s">
        <v>912</v>
      </c>
      <c r="E2218" s="25" t="str">
        <f aca="false">IF(G2218=1,"✓","")</f>
        <v/>
      </c>
      <c r="F2218" s="4" t="n">
        <v>2</v>
      </c>
      <c r="G2218" s="4" t="n">
        <f aca="false">IF(COUNTIF('Letterboxd Watched'!$E$2:$E$3000,M2218)&gt;0,1,0)</f>
        <v>0</v>
      </c>
      <c r="H2218" s="4" t="n">
        <v>4</v>
      </c>
      <c r="I2218" s="4" t="s">
        <v>213</v>
      </c>
      <c r="J2218" s="4" t="s">
        <v>52</v>
      </c>
      <c r="K2218" s="4" t="s">
        <v>5834</v>
      </c>
      <c r="L2218" s="48" t="str">
        <f aca="false">HYPERLINK("https://boxd.it/1DGw","open")</f>
        <v>open</v>
      </c>
      <c r="M2218" s="4" t="str">
        <f aca="false">LOWER(A2218)&amp;"|"&amp;B2218</f>
        <v>swing time|1936</v>
      </c>
      <c r="N2218" s="4" t="n">
        <v>0</v>
      </c>
      <c r="O2218" s="4" t="n">
        <v>0</v>
      </c>
      <c r="P2218" s="4" t="n">
        <v>0</v>
      </c>
      <c r="Q2218" s="4" t="n">
        <v>1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1</v>
      </c>
      <c r="W2218" s="4" t="n">
        <v>0</v>
      </c>
    </row>
    <row r="2219" customFormat="false" ht="15" hidden="false" customHeight="false" outlineLevel="0" collapsed="false">
      <c r="A2219" s="4" t="s">
        <v>3835</v>
      </c>
      <c r="B2219" s="4" t="n">
        <v>2016</v>
      </c>
      <c r="C2219" s="4" t="str">
        <f aca="false">FLOOR(B2219,10)&amp;"s"</f>
        <v>2010s</v>
      </c>
      <c r="D2219" s="4" t="s">
        <v>1643</v>
      </c>
      <c r="E2219" s="25" t="str">
        <f aca="false">IF(G2219=1,"✓","")</f>
        <v/>
      </c>
      <c r="F2219" s="4" t="n">
        <v>1</v>
      </c>
      <c r="G2219" s="4" t="n">
        <f aca="false">IF(COUNTIF('Letterboxd Watched'!$E$2:$E$3000,M2219)&gt;0,1,0)</f>
        <v>0</v>
      </c>
      <c r="H2219" s="4" t="n">
        <v>1</v>
      </c>
      <c r="I2219" s="4" t="s">
        <v>1327</v>
      </c>
      <c r="J2219" s="4" t="s">
        <v>58</v>
      </c>
      <c r="K2219" s="4" t="s">
        <v>4484</v>
      </c>
      <c r="L2219" s="48" t="str">
        <f aca="false">HYPERLINK("https://boxd.it/bDG2","open")</f>
        <v>open</v>
      </c>
      <c r="M2219" s="4" t="str">
        <f aca="false">LOWER(A2219)&amp;"|"&amp;B2219</f>
        <v>swiss army man|2016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1</v>
      </c>
    </row>
    <row r="2220" customFormat="false" ht="15" hidden="false" customHeight="false" outlineLevel="0" collapsed="false">
      <c r="A2220" s="4" t="s">
        <v>1029</v>
      </c>
      <c r="B2220" s="4" t="n">
        <v>1975</v>
      </c>
      <c r="C2220" s="4" t="str">
        <f aca="false">FLOOR(B2220,10)&amp;"s"</f>
        <v>1970s</v>
      </c>
      <c r="D2220" s="4" t="s">
        <v>1022</v>
      </c>
      <c r="E2220" s="25" t="str">
        <f aca="false">IF(G2220=1,"✓","")</f>
        <v/>
      </c>
      <c r="F2220" s="4" t="n">
        <v>2</v>
      </c>
      <c r="G2220" s="4" t="n">
        <f aca="false">IF(COUNTIF('Letterboxd Watched'!$E$2:$E$3000,M2220)&gt;0,1,0)</f>
        <v>0</v>
      </c>
      <c r="H2220" s="4" t="n">
        <v>4</v>
      </c>
      <c r="I2220" s="4" t="s">
        <v>213</v>
      </c>
      <c r="J2220" s="4" t="s">
        <v>54</v>
      </c>
      <c r="K2220" s="4" t="s">
        <v>5835</v>
      </c>
      <c r="L2220" s="48" t="str">
        <f aca="false">HYPERLINK("https://letterboxd.com/search/films/Switchblade+Sisters+1975/","open")</f>
        <v>open</v>
      </c>
      <c r="M2220" s="4" t="str">
        <f aca="false">LOWER(A2220)&amp;"|"&amp;B2220</f>
        <v>switchblade sisters|1975</v>
      </c>
      <c r="N2220" s="4" t="n">
        <v>0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1</v>
      </c>
      <c r="T2220" s="4" t="n">
        <v>0</v>
      </c>
      <c r="U2220" s="4" t="n">
        <v>1</v>
      </c>
      <c r="V2220" s="4" t="n">
        <v>0</v>
      </c>
      <c r="W2220" s="4" t="n">
        <v>0</v>
      </c>
    </row>
    <row r="2221" customFormat="false" ht="15" hidden="false" customHeight="false" outlineLevel="0" collapsed="false">
      <c r="A2221" s="4" t="s">
        <v>2551</v>
      </c>
      <c r="B2221" s="4" t="n">
        <v>1992</v>
      </c>
      <c r="C2221" s="4" t="str">
        <f aca="false">FLOOR(B2221,10)&amp;"s"</f>
        <v>1990s</v>
      </c>
      <c r="D2221" s="4" t="s">
        <v>2552</v>
      </c>
      <c r="E2221" s="25" t="str">
        <f aca="false">IF(G2221=1,"✓","")</f>
        <v/>
      </c>
      <c r="F2221" s="4" t="n">
        <v>1</v>
      </c>
      <c r="G2221" s="4" t="n">
        <f aca="false">IF(COUNTIF('Letterboxd Watched'!$E$2:$E$3000,M2221)&gt;0,1,0)</f>
        <v>0</v>
      </c>
      <c r="H2221" s="4" t="n">
        <v>2</v>
      </c>
      <c r="I2221" s="4" t="s">
        <v>213</v>
      </c>
      <c r="J2221" s="4" t="s">
        <v>54</v>
      </c>
      <c r="K2221" s="4" t="s">
        <v>4298</v>
      </c>
      <c r="L2221" s="48" t="str">
        <f aca="false">HYPERLINK("https://letterboxd.com/search/films/Swoon+1992/","open")</f>
        <v>open</v>
      </c>
      <c r="M2221" s="4" t="str">
        <f aca="false">LOWER(A2221)&amp;"|"&amp;B2221</f>
        <v>swoon|1992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1</v>
      </c>
      <c r="T2221" s="4" t="n">
        <v>0</v>
      </c>
      <c r="U2221" s="4" t="n">
        <v>0</v>
      </c>
      <c r="V2221" s="4" t="n">
        <v>0</v>
      </c>
      <c r="W2221" s="4" t="n">
        <v>0</v>
      </c>
    </row>
    <row r="2222" customFormat="false" ht="15" hidden="false" customHeight="false" outlineLevel="0" collapsed="false">
      <c r="A2222" s="4" t="s">
        <v>2075</v>
      </c>
      <c r="B2222" s="4" t="n">
        <v>1966</v>
      </c>
      <c r="C2222" s="4" t="str">
        <f aca="false">FLOOR(B2222,10)&amp;"s"</f>
        <v>1960s</v>
      </c>
      <c r="D2222" s="4" t="s">
        <v>2076</v>
      </c>
      <c r="E2222" s="25" t="str">
        <f aca="false">IF(G2222=1,"✓","")</f>
        <v/>
      </c>
      <c r="F2222" s="4" t="n">
        <v>1</v>
      </c>
      <c r="G2222" s="4" t="n">
        <f aca="false">IF(COUNTIF('Letterboxd Watched'!$E$2:$E$3000,M2222)&gt;0,1,0)</f>
        <v>0</v>
      </c>
      <c r="H2222" s="4" t="n">
        <v>2</v>
      </c>
      <c r="I2222" s="4" t="s">
        <v>213</v>
      </c>
      <c r="J2222" s="4" t="s">
        <v>51</v>
      </c>
      <c r="K2222" s="4" t="s">
        <v>3934</v>
      </c>
      <c r="L2222" s="48" t="str">
        <f aca="false">HYPERLINK("https://boxd.it/1EoS","open")</f>
        <v>open</v>
      </c>
      <c r="M2222" s="4" t="str">
        <f aca="false">LOWER(A2222)&amp;"|"&amp;B2222</f>
        <v>the sword of doom|1966</v>
      </c>
      <c r="N2222" s="4" t="n">
        <v>0</v>
      </c>
      <c r="O2222" s="4" t="n">
        <v>0</v>
      </c>
      <c r="P2222" s="4" t="n">
        <v>1</v>
      </c>
      <c r="Q2222" s="4" t="n">
        <v>0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0</v>
      </c>
    </row>
    <row r="2223" customFormat="false" ht="15" hidden="false" customHeight="false" outlineLevel="0" collapsed="false">
      <c r="A2223" s="4" t="s">
        <v>1158</v>
      </c>
      <c r="B2223" s="4" t="n">
        <v>2002</v>
      </c>
      <c r="C2223" s="4" t="str">
        <f aca="false">FLOOR(B2223,10)&amp;"s"</f>
        <v>2000s</v>
      </c>
      <c r="D2223" s="4" t="s">
        <v>685</v>
      </c>
      <c r="E2223" s="25" t="str">
        <f aca="false">IF(G2223=1,"✓","")</f>
        <v/>
      </c>
      <c r="F2223" s="4" t="n">
        <v>2</v>
      </c>
      <c r="G2223" s="4" t="n">
        <f aca="false">IF(COUNTIF('Letterboxd Watched'!$E$2:$E$3000,M2223)&gt;0,1,0)</f>
        <v>0</v>
      </c>
      <c r="H2223" s="4" t="n">
        <v>4</v>
      </c>
      <c r="I2223" s="4" t="s">
        <v>213</v>
      </c>
      <c r="J2223" s="4" t="s">
        <v>51</v>
      </c>
      <c r="K2223" s="4" t="s">
        <v>5347</v>
      </c>
      <c r="L2223" s="48" t="str">
        <f aca="false">HYPERLINK("https://letterboxd.com/search/films/Sympathy+for+Mr+Vengeance+2002/","open")</f>
        <v>open</v>
      </c>
      <c r="M2223" s="4" t="str">
        <f aca="false">LOWER(A2223)&amp;"|"&amp;B2223</f>
        <v>sympathy for mr. vengeance|2002</v>
      </c>
      <c r="N2223" s="4" t="n">
        <v>0</v>
      </c>
      <c r="O2223" s="4" t="n">
        <v>0</v>
      </c>
      <c r="P2223" s="4" t="n">
        <v>1</v>
      </c>
      <c r="Q2223" s="4" t="n">
        <v>0</v>
      </c>
      <c r="R2223" s="4" t="n">
        <v>1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</row>
    <row r="2224" customFormat="false" ht="15" hidden="false" customHeight="false" outlineLevel="0" collapsed="false">
      <c r="A2224" s="4" t="s">
        <v>2254</v>
      </c>
      <c r="B2224" s="4" t="n">
        <v>1974</v>
      </c>
      <c r="C2224" s="4" t="str">
        <f aca="false">FLOOR(B2224,10)&amp;"s"</f>
        <v>1970s</v>
      </c>
      <c r="D2224" s="4" t="s">
        <v>2255</v>
      </c>
      <c r="E2224" s="25" t="str">
        <f aca="false">IF(G2224=1,"✓","")</f>
        <v/>
      </c>
      <c r="F2224" s="4" t="n">
        <v>1</v>
      </c>
      <c r="G2224" s="4" t="n">
        <f aca="false">IF(COUNTIF('Letterboxd Watched'!$E$2:$E$3000,M2224)&gt;0,1,0)</f>
        <v>0</v>
      </c>
      <c r="H2224" s="4" t="n">
        <v>2</v>
      </c>
      <c r="I2224" s="4" t="s">
        <v>213</v>
      </c>
      <c r="J2224" s="4" t="s">
        <v>57</v>
      </c>
      <c r="K2224" s="4" t="s">
        <v>4442</v>
      </c>
      <c r="L2224" s="48" t="str">
        <f aca="false">HYPERLINK("https://letterboxd.com/search/films/Symptoms+1974/","open")</f>
        <v>open</v>
      </c>
      <c r="M2224" s="4" t="str">
        <f aca="false">LOWER(A2224)&amp;"|"&amp;B2224</f>
        <v>symptoms|1974</v>
      </c>
      <c r="N2224" s="4" t="n">
        <v>0</v>
      </c>
      <c r="O2224" s="4" t="n">
        <v>0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1</v>
      </c>
      <c r="W2224" s="4" t="n">
        <v>0</v>
      </c>
    </row>
    <row r="2225" customFormat="false" ht="15" hidden="false" customHeight="false" outlineLevel="0" collapsed="false">
      <c r="A2225" s="4" t="s">
        <v>1172</v>
      </c>
      <c r="B2225" s="4" t="n">
        <v>2006</v>
      </c>
      <c r="C2225" s="4" t="str">
        <f aca="false">FLOOR(B2225,10)&amp;"s"</f>
        <v>2000s</v>
      </c>
      <c r="D2225" s="4" t="s">
        <v>444</v>
      </c>
      <c r="E2225" s="25" t="str">
        <f aca="false">IF(G2225=1,"✓","")</f>
        <v/>
      </c>
      <c r="F2225" s="4" t="n">
        <v>2</v>
      </c>
      <c r="G2225" s="4" t="n">
        <f aca="false">IF(COUNTIF('Letterboxd Watched'!$E$2:$E$3000,M2225)&gt;0,1,0)</f>
        <v>0</v>
      </c>
      <c r="H2225" s="4" t="n">
        <v>4</v>
      </c>
      <c r="I2225" s="4" t="s">
        <v>213</v>
      </c>
      <c r="J2225" s="4" t="s">
        <v>51</v>
      </c>
      <c r="K2225" s="4" t="s">
        <v>5243</v>
      </c>
      <c r="L2225" s="48" t="str">
        <f aca="false">HYPERLINK("https://boxd.it/1qHQ","open")</f>
        <v>open</v>
      </c>
      <c r="M2225" s="4" t="str">
        <f aca="false">LOWER(A2225)&amp;"|"&amp;B2225</f>
        <v>syndromes and a century|2006</v>
      </c>
      <c r="N2225" s="4" t="n">
        <v>0</v>
      </c>
      <c r="O2225" s="4" t="n">
        <v>0</v>
      </c>
      <c r="P2225" s="4" t="n">
        <v>1</v>
      </c>
      <c r="Q2225" s="4" t="n">
        <v>0</v>
      </c>
      <c r="R2225" s="4" t="n">
        <v>1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</row>
    <row r="2226" customFormat="false" ht="15" hidden="false" customHeight="false" outlineLevel="0" collapsed="false">
      <c r="A2226" s="4" t="s">
        <v>1186</v>
      </c>
      <c r="B2226" s="4" t="n">
        <v>2008</v>
      </c>
      <c r="C2226" s="4" t="str">
        <f aca="false">FLOOR(B2226,10)&amp;"s"</f>
        <v>2000s</v>
      </c>
      <c r="D2226" s="4" t="s">
        <v>1187</v>
      </c>
      <c r="E2226" s="25" t="str">
        <f aca="false">IF(G2226=1,"✓","")</f>
        <v>✓</v>
      </c>
      <c r="F2226" s="4" t="n">
        <v>2</v>
      </c>
      <c r="G2226" s="4" t="n">
        <f aca="false">IF(COUNTIF('Letterboxd Watched'!$E$2:$E$3000,M2226)&gt;0,1,0)</f>
        <v>1</v>
      </c>
      <c r="H2226" s="4" t="n">
        <v>4</v>
      </c>
      <c r="I2226" s="4" t="s">
        <v>213</v>
      </c>
      <c r="J2226" s="4" t="s">
        <v>53</v>
      </c>
      <c r="K2226" s="4" t="s">
        <v>5836</v>
      </c>
      <c r="L2226" s="48" t="str">
        <f aca="false">HYPERLINK("https://boxd.it/23zw","open")</f>
        <v>open</v>
      </c>
      <c r="M2226" s="4" t="str">
        <f aca="false">LOWER(A2226)&amp;"|"&amp;B2226</f>
        <v>synecdoche, new york|2008</v>
      </c>
      <c r="N2226" s="4" t="n">
        <v>0</v>
      </c>
      <c r="O2226" s="4" t="n">
        <v>0</v>
      </c>
      <c r="P2226" s="4" t="n">
        <v>0</v>
      </c>
      <c r="Q2226" s="4" t="n">
        <v>0</v>
      </c>
      <c r="R2226" s="4" t="n">
        <v>1</v>
      </c>
      <c r="S2226" s="4" t="n">
        <v>0</v>
      </c>
      <c r="T2226" s="4" t="n">
        <v>1</v>
      </c>
      <c r="U2226" s="4" t="n">
        <v>0</v>
      </c>
      <c r="V2226" s="4" t="n">
        <v>0</v>
      </c>
      <c r="W2226" s="4" t="n">
        <v>0</v>
      </c>
    </row>
    <row r="2227" customFormat="false" ht="15" hidden="false" customHeight="false" outlineLevel="0" collapsed="false">
      <c r="A2227" s="4" t="s">
        <v>3749</v>
      </c>
      <c r="B2227" s="4" t="n">
        <v>2005</v>
      </c>
      <c r="C2227" s="4" t="str">
        <f aca="false">FLOOR(B2227,10)&amp;"s"</f>
        <v>2000s</v>
      </c>
      <c r="D2227" s="4" t="s">
        <v>3750</v>
      </c>
      <c r="E2227" s="25" t="str">
        <f aca="false">IF(G2227=1,"✓","")</f>
        <v/>
      </c>
      <c r="F2227" s="4" t="n">
        <v>1</v>
      </c>
      <c r="G2227" s="4" t="n">
        <f aca="false">IF(COUNTIF('Letterboxd Watched'!$E$2:$E$3000,M2227)&gt;0,1,0)</f>
        <v>0</v>
      </c>
      <c r="H2227" s="4" t="n">
        <v>1</v>
      </c>
      <c r="I2227" s="4" t="s">
        <v>1327</v>
      </c>
      <c r="J2227" s="4" t="s">
        <v>54</v>
      </c>
      <c r="K2227" s="4" t="s">
        <v>4304</v>
      </c>
      <c r="L2227" s="48" t="str">
        <f aca="false">HYPERLINK("https://boxd.it/2aOS","open")</f>
        <v>open</v>
      </c>
      <c r="M2227" s="4" t="str">
        <f aca="false">LOWER(A2227)&amp;"|"&amp;B2227</f>
        <v>syriana|2005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1</v>
      </c>
      <c r="T2227" s="4" t="n">
        <v>0</v>
      </c>
      <c r="U2227" s="4" t="n">
        <v>0</v>
      </c>
      <c r="V2227" s="4" t="n">
        <v>0</v>
      </c>
      <c r="W2227" s="4" t="n">
        <v>0</v>
      </c>
    </row>
    <row r="2228" customFormat="false" ht="15" hidden="false" customHeight="false" outlineLevel="0" collapsed="false">
      <c r="A2228" s="4" t="s">
        <v>1842</v>
      </c>
      <c r="B2228" s="4" t="n">
        <v>1947</v>
      </c>
      <c r="C2228" s="4" t="str">
        <f aca="false">FLOOR(B2228,10)&amp;"s"</f>
        <v>1940s</v>
      </c>
      <c r="D2228" s="4" t="s">
        <v>1843</v>
      </c>
      <c r="E2228" s="25" t="str">
        <f aca="false">IF(G2228=1,"✓","")</f>
        <v/>
      </c>
      <c r="F2228" s="4" t="n">
        <v>1</v>
      </c>
      <c r="G2228" s="4" t="n">
        <f aca="false">IF(COUNTIF('Letterboxd Watched'!$E$2:$E$3000,M2228)&gt;0,1,0)</f>
        <v>0</v>
      </c>
      <c r="H2228" s="4" t="n">
        <v>2</v>
      </c>
      <c r="I2228" s="4" t="s">
        <v>213</v>
      </c>
      <c r="J2228" s="4" t="s">
        <v>52</v>
      </c>
      <c r="K2228" s="4" t="s">
        <v>4042</v>
      </c>
      <c r="L2228" s="48" t="str">
        <f aca="false">HYPERLINK("https://letterboxd.com/search/films/TMen+1947/","open")</f>
        <v>open</v>
      </c>
      <c r="M2228" s="4" t="str">
        <f aca="false">LOWER(A2228)&amp;"|"&amp;B2228</f>
        <v>t-men|1947</v>
      </c>
      <c r="N2228" s="4" t="n">
        <v>0</v>
      </c>
      <c r="O2228" s="4" t="n">
        <v>0</v>
      </c>
      <c r="P2228" s="4" t="n">
        <v>0</v>
      </c>
      <c r="Q2228" s="4" t="n">
        <v>1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</row>
    <row r="2229" customFormat="false" ht="15" hidden="false" customHeight="false" outlineLevel="0" collapsed="false">
      <c r="A2229" s="4" t="s">
        <v>1723</v>
      </c>
      <c r="B2229" s="4" t="n">
        <v>1931</v>
      </c>
      <c r="C2229" s="4" t="str">
        <f aca="false">FLOOR(B2229,10)&amp;"s"</f>
        <v>1930s</v>
      </c>
      <c r="D2229" s="4" t="s">
        <v>299</v>
      </c>
      <c r="E2229" s="25" t="str">
        <f aca="false">IF(G2229=1,"✓","")</f>
        <v/>
      </c>
      <c r="F2229" s="4" t="n">
        <v>1</v>
      </c>
      <c r="G2229" s="4" t="n">
        <f aca="false">IF(COUNTIF('Letterboxd Watched'!$E$2:$E$3000,M2229)&gt;0,1,0)</f>
        <v>0</v>
      </c>
      <c r="H2229" s="4" t="n">
        <v>2</v>
      </c>
      <c r="I2229" s="4" t="s">
        <v>213</v>
      </c>
      <c r="J2229" s="4" t="s">
        <v>57</v>
      </c>
      <c r="K2229" s="4" t="s">
        <v>4444</v>
      </c>
      <c r="L2229" s="48" t="str">
        <f aca="false">HYPERLINK("https://letterboxd.com/search/films/Tabu+1931/","open")</f>
        <v>open</v>
      </c>
      <c r="M2229" s="4" t="str">
        <f aca="false">LOWER(A2229)&amp;"|"&amp;B2229</f>
        <v>tabu|1931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1</v>
      </c>
      <c r="W2229" s="4" t="n">
        <v>0</v>
      </c>
    </row>
    <row r="2230" customFormat="false" ht="15" hidden="false" customHeight="false" outlineLevel="0" collapsed="false">
      <c r="A2230" s="4" t="s">
        <v>1072</v>
      </c>
      <c r="B2230" s="4" t="n">
        <v>1985</v>
      </c>
      <c r="C2230" s="4" t="str">
        <f aca="false">FLOOR(B2230,10)&amp;"s"</f>
        <v>1980s</v>
      </c>
      <c r="D2230" s="4" t="s">
        <v>223</v>
      </c>
      <c r="E2230" s="25" t="str">
        <f aca="false">IF(G2230=1,"✓","")</f>
        <v/>
      </c>
      <c r="F2230" s="4" t="n">
        <v>2</v>
      </c>
      <c r="G2230" s="4" t="n">
        <f aca="false">IF(COUNTIF('Letterboxd Watched'!$E$2:$E$3000,M2230)&gt;0,1,0)</f>
        <v>0</v>
      </c>
      <c r="H2230" s="4" t="n">
        <v>4</v>
      </c>
      <c r="I2230" s="4" t="s">
        <v>213</v>
      </c>
      <c r="J2230" s="4" t="s">
        <v>51</v>
      </c>
      <c r="K2230" s="4" t="s">
        <v>5837</v>
      </c>
      <c r="L2230" s="48" t="str">
        <f aca="false">HYPERLINK("https://boxd.it/3BkC","open")</f>
        <v>open</v>
      </c>
      <c r="M2230" s="4" t="str">
        <f aca="false">LOWER(A2230)&amp;"|"&amp;B2230</f>
        <v>taipei story|1985</v>
      </c>
      <c r="N2230" s="4" t="n">
        <v>0</v>
      </c>
      <c r="O2230" s="4" t="n">
        <v>0</v>
      </c>
      <c r="P2230" s="4" t="n">
        <v>1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1</v>
      </c>
      <c r="W2230" s="4" t="n">
        <v>0</v>
      </c>
    </row>
    <row r="2231" customFormat="false" ht="15" hidden="false" customHeight="false" outlineLevel="0" collapsed="false">
      <c r="A2231" s="4" t="s">
        <v>1411</v>
      </c>
      <c r="B2231" s="4" t="n">
        <v>2011</v>
      </c>
      <c r="C2231" s="4" t="str">
        <f aca="false">FLOOR(B2231,10)&amp;"s"</f>
        <v>2010s</v>
      </c>
      <c r="D2231" s="4" t="s">
        <v>1412</v>
      </c>
      <c r="E2231" s="25" t="str">
        <f aca="false">IF(G2231=1,"✓","")</f>
        <v/>
      </c>
      <c r="F2231" s="4" t="n">
        <v>2</v>
      </c>
      <c r="G2231" s="4" t="n">
        <f aca="false">IF(COUNTIF('Letterboxd Watched'!$E$2:$E$3000,M2231)&gt;0,1,0)</f>
        <v>0</v>
      </c>
      <c r="H2231" s="4" t="n">
        <v>3</v>
      </c>
      <c r="I2231" s="4" t="s">
        <v>213</v>
      </c>
      <c r="J2231" s="4" t="s">
        <v>55</v>
      </c>
      <c r="K2231" s="4" t="s">
        <v>5838</v>
      </c>
      <c r="L2231" s="48" t="str">
        <f aca="false">HYPERLINK("https://boxd.it/DQ","open")</f>
        <v>open</v>
      </c>
      <c r="M2231" s="4" t="str">
        <f aca="false">LOWER(A2231)&amp;"|"&amp;B2231</f>
        <v>take shelter|2011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1</v>
      </c>
      <c r="U2231" s="4" t="n">
        <v>0</v>
      </c>
      <c r="V2231" s="4" t="n">
        <v>0</v>
      </c>
      <c r="W2231" s="4" t="n">
        <v>1</v>
      </c>
    </row>
    <row r="2232" customFormat="false" ht="15" hidden="false" customHeight="false" outlineLevel="0" collapsed="false">
      <c r="A2232" s="4" t="s">
        <v>2143</v>
      </c>
      <c r="B2232" s="4" t="n">
        <v>1969</v>
      </c>
      <c r="C2232" s="4" t="str">
        <f aca="false">FLOOR(B2232,10)&amp;"s"</f>
        <v>1960s</v>
      </c>
      <c r="D2232" s="4" t="s">
        <v>604</v>
      </c>
      <c r="E2232" s="25" t="str">
        <f aca="false">IF(G2232=1,"✓","")</f>
        <v/>
      </c>
      <c r="F2232" s="4" t="n">
        <v>1</v>
      </c>
      <c r="G2232" s="4" t="n">
        <f aca="false">IF(COUNTIF('Letterboxd Watched'!$E$2:$E$3000,M2232)&gt;0,1,0)</f>
        <v>0</v>
      </c>
      <c r="H2232" s="4" t="n">
        <v>2</v>
      </c>
      <c r="I2232" s="4" t="s">
        <v>213</v>
      </c>
      <c r="J2232" s="4" t="s">
        <v>52</v>
      </c>
      <c r="K2232" s="4" t="s">
        <v>4104</v>
      </c>
      <c r="L2232" s="48" t="str">
        <f aca="false">HYPERLINK("https://boxd.it/1TJQ","open")</f>
        <v>open</v>
      </c>
      <c r="M2232" s="4" t="str">
        <f aca="false">LOWER(A2232)&amp;"|"&amp;B2232</f>
        <v>take the money and run|1969</v>
      </c>
      <c r="N2232" s="4" t="n">
        <v>0</v>
      </c>
      <c r="O2232" s="4" t="n">
        <v>0</v>
      </c>
      <c r="P2232" s="4" t="n">
        <v>0</v>
      </c>
      <c r="Q2232" s="4" t="n">
        <v>1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</row>
    <row r="2233" customFormat="false" ht="15" hidden="false" customHeight="false" outlineLevel="0" collapsed="false">
      <c r="A2233" s="4" t="s">
        <v>1025</v>
      </c>
      <c r="B2233" s="4" t="n">
        <v>1974</v>
      </c>
      <c r="C2233" s="4" t="str">
        <f aca="false">FLOOR(B2233,10)&amp;"s"</f>
        <v>1970s</v>
      </c>
      <c r="D2233" s="4" t="s">
        <v>1026</v>
      </c>
      <c r="E2233" s="25" t="str">
        <f aca="false">IF(G2233=1,"✓","")</f>
        <v/>
      </c>
      <c r="F2233" s="4" t="n">
        <v>2</v>
      </c>
      <c r="G2233" s="4" t="n">
        <f aca="false">IF(COUNTIF('Letterboxd Watched'!$E$2:$E$3000,M2233)&gt;0,1,0)</f>
        <v>0</v>
      </c>
      <c r="H2233" s="4" t="n">
        <v>4</v>
      </c>
      <c r="I2233" s="4" t="s">
        <v>213</v>
      </c>
      <c r="J2233" s="4" t="s">
        <v>52</v>
      </c>
      <c r="K2233" s="4" t="s">
        <v>5839</v>
      </c>
      <c r="L2233" s="48" t="str">
        <f aca="false">HYPERLINK("https://boxd.it/20lG","open")</f>
        <v>open</v>
      </c>
      <c r="M2233" s="4" t="str">
        <f aca="false">LOWER(A2233)&amp;"|"&amp;B2233</f>
        <v>the taking of pelham one two three|1974</v>
      </c>
      <c r="N2233" s="4" t="n">
        <v>0</v>
      </c>
      <c r="O2233" s="4" t="n">
        <v>0</v>
      </c>
      <c r="P2233" s="4" t="n">
        <v>0</v>
      </c>
      <c r="Q2233" s="4" t="n">
        <v>1</v>
      </c>
      <c r="R2233" s="4" t="n">
        <v>0</v>
      </c>
      <c r="S2233" s="4" t="n">
        <v>0</v>
      </c>
      <c r="T2233" s="4" t="n">
        <v>0</v>
      </c>
      <c r="U2233" s="4" t="n">
        <v>1</v>
      </c>
      <c r="V2233" s="4" t="n">
        <v>0</v>
      </c>
      <c r="W2233" s="4" t="n">
        <v>0</v>
      </c>
    </row>
    <row r="2234" customFormat="false" ht="15" hidden="false" customHeight="false" outlineLevel="0" collapsed="false">
      <c r="A2234" s="4" t="s">
        <v>3019</v>
      </c>
      <c r="B2234" s="4" t="n">
        <v>2013</v>
      </c>
      <c r="C2234" s="4" t="str">
        <f aca="false">FLOOR(B2234,10)&amp;"s"</f>
        <v>2010s</v>
      </c>
      <c r="D2234" s="4" t="s">
        <v>611</v>
      </c>
      <c r="E2234" s="25" t="str">
        <f aca="false">IF(G2234=1,"✓","")</f>
        <v/>
      </c>
      <c r="F2234" s="4" t="n">
        <v>1</v>
      </c>
      <c r="G2234" s="4" t="n">
        <f aca="false">IF(COUNTIF('Letterboxd Watched'!$E$2:$E$3000,M2234)&gt;0,1,0)</f>
        <v>0</v>
      </c>
      <c r="H2234" s="4" t="n">
        <v>2</v>
      </c>
      <c r="I2234" s="4" t="s">
        <v>213</v>
      </c>
      <c r="J2234" s="4" t="s">
        <v>51</v>
      </c>
      <c r="K2234" s="4" t="s">
        <v>3938</v>
      </c>
      <c r="L2234" s="48" t="str">
        <f aca="false">HYPERLINK("https://boxd.it/4JQI","open")</f>
        <v>open</v>
      </c>
      <c r="M2234" s="4" t="str">
        <f aca="false">LOWER(A2234)&amp;"|"&amp;B2234</f>
        <v>the tale of the princess kaguya|2013</v>
      </c>
      <c r="N2234" s="4" t="n">
        <v>0</v>
      </c>
      <c r="O2234" s="4" t="n">
        <v>0</v>
      </c>
      <c r="P2234" s="4" t="n">
        <v>1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</row>
    <row r="2235" customFormat="false" ht="15" hidden="false" customHeight="false" outlineLevel="0" collapsed="false">
      <c r="A2235" s="4" t="s">
        <v>1400</v>
      </c>
      <c r="B2235" s="4" t="n">
        <v>2003</v>
      </c>
      <c r="C2235" s="4" t="str">
        <f aca="false">FLOOR(B2235,10)&amp;"s"</f>
        <v>2000s</v>
      </c>
      <c r="D2235" s="4" t="s">
        <v>1401</v>
      </c>
      <c r="E2235" s="25" t="str">
        <f aca="false">IF(G2235=1,"✓","")</f>
        <v/>
      </c>
      <c r="F2235" s="4" t="n">
        <v>2</v>
      </c>
      <c r="G2235" s="4" t="n">
        <f aca="false">IF(COUNTIF('Letterboxd Watched'!$E$2:$E$3000,M2235)&gt;0,1,0)</f>
        <v>0</v>
      </c>
      <c r="H2235" s="4" t="n">
        <v>3</v>
      </c>
      <c r="I2235" s="4" t="s">
        <v>213</v>
      </c>
      <c r="J2235" s="4" t="s">
        <v>51</v>
      </c>
      <c r="K2235" s="4" t="s">
        <v>5840</v>
      </c>
      <c r="L2235" s="48" t="str">
        <f aca="false">HYPERLINK("https://letterboxd.com/search/films/A+Tale+of+Two+Sisters+2003/","open")</f>
        <v>open</v>
      </c>
      <c r="M2235" s="4" t="str">
        <f aca="false">LOWER(A2235)&amp;"|"&amp;B2235</f>
        <v>a tale of two sisters|2003</v>
      </c>
      <c r="N2235" s="4" t="n">
        <v>0</v>
      </c>
      <c r="O2235" s="4" t="n">
        <v>0</v>
      </c>
      <c r="P2235" s="4" t="n">
        <v>1</v>
      </c>
      <c r="Q2235" s="4" t="n">
        <v>1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</row>
    <row r="2236" customFormat="false" ht="15" hidden="false" customHeight="false" outlineLevel="0" collapsed="false">
      <c r="A2236" s="4" t="s">
        <v>1881</v>
      </c>
      <c r="B2236" s="4" t="n">
        <v>1951</v>
      </c>
      <c r="C2236" s="4" t="str">
        <f aca="false">FLOOR(B2236,10)&amp;"s"</f>
        <v>1950s</v>
      </c>
      <c r="D2236" s="4" t="s">
        <v>453</v>
      </c>
      <c r="E2236" s="25" t="str">
        <f aca="false">IF(G2236=1,"✓","")</f>
        <v/>
      </c>
      <c r="F2236" s="4" t="n">
        <v>1</v>
      </c>
      <c r="G2236" s="4" t="n">
        <f aca="false">IF(COUNTIF('Letterboxd Watched'!$E$2:$E$3000,M2236)&gt;0,1,0)</f>
        <v>0</v>
      </c>
      <c r="H2236" s="4" t="n">
        <v>2</v>
      </c>
      <c r="I2236" s="4" t="s">
        <v>213</v>
      </c>
      <c r="J2236" s="4" t="s">
        <v>51</v>
      </c>
      <c r="K2236" s="4" t="s">
        <v>3976</v>
      </c>
      <c r="L2236" s="48" t="str">
        <f aca="false">HYPERLINK("https://boxd.it/Sds","open")</f>
        <v>open</v>
      </c>
      <c r="M2236" s="4" t="str">
        <f aca="false">LOWER(A2236)&amp;"|"&amp;B2236</f>
        <v>the tales of hoffmann|1951</v>
      </c>
      <c r="N2236" s="4" t="n">
        <v>0</v>
      </c>
      <c r="O2236" s="4" t="n">
        <v>0</v>
      </c>
      <c r="P2236" s="4" t="n">
        <v>1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</row>
    <row r="2237" customFormat="false" ht="15" hidden="false" customHeight="false" outlineLevel="0" collapsed="false">
      <c r="A2237" s="4" t="s">
        <v>1582</v>
      </c>
      <c r="B2237" s="4" t="n">
        <v>2002</v>
      </c>
      <c r="C2237" s="4" t="str">
        <f aca="false">FLOOR(B2237,10)&amp;"s"</f>
        <v>2000s</v>
      </c>
      <c r="D2237" s="4" t="s">
        <v>1087</v>
      </c>
      <c r="E2237" s="25" t="str">
        <f aca="false">IF(G2237=1,"✓","")</f>
        <v/>
      </c>
      <c r="F2237" s="4" t="n">
        <v>1</v>
      </c>
      <c r="G2237" s="4" t="n">
        <f aca="false">IF(COUNTIF('Letterboxd Watched'!$E$2:$E$3000,M2237)&gt;0,1,0)</f>
        <v>0</v>
      </c>
      <c r="H2237" s="4" t="n">
        <v>3</v>
      </c>
      <c r="I2237" s="4" t="s">
        <v>144</v>
      </c>
      <c r="J2237" s="4" t="s">
        <v>53</v>
      </c>
      <c r="K2237" s="4" t="s">
        <v>1087</v>
      </c>
      <c r="L2237" s="48" t="str">
        <f aca="false">HYPERLINK("https://boxd.it/2beG","open")</f>
        <v>open</v>
      </c>
      <c r="M2237" s="4" t="str">
        <f aca="false">LOWER(A2237)&amp;"|"&amp;B2237</f>
        <v>talk to her|2002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1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</row>
    <row r="2238" customFormat="false" ht="15" hidden="false" customHeight="false" outlineLevel="0" collapsed="false">
      <c r="A2238" s="4" t="s">
        <v>1450</v>
      </c>
      <c r="B2238" s="4" t="n">
        <v>1957</v>
      </c>
      <c r="C2238" s="4" t="str">
        <f aca="false">FLOOR(B2238,10)&amp;"s"</f>
        <v>1950s</v>
      </c>
      <c r="D2238" s="4" t="s">
        <v>1451</v>
      </c>
      <c r="E2238" s="25" t="str">
        <f aca="false">IF(G2238=1,"✓","")</f>
        <v/>
      </c>
      <c r="F2238" s="4" t="n">
        <v>1</v>
      </c>
      <c r="G2238" s="4" t="n">
        <f aca="false">IF(COUNTIF('Letterboxd Watched'!$E$2:$E$3000,M2238)&gt;0,1,0)</f>
        <v>0</v>
      </c>
      <c r="H2238" s="4" t="n">
        <v>3</v>
      </c>
      <c r="I2238" s="4" t="s">
        <v>144</v>
      </c>
      <c r="J2238" s="4" t="s">
        <v>52</v>
      </c>
      <c r="K2238" s="4" t="s">
        <v>4050</v>
      </c>
      <c r="L2238" s="48" t="str">
        <f aca="false">HYPERLINK("https://boxd.it/UX8","open")</f>
        <v>open</v>
      </c>
      <c r="M2238" s="4" t="str">
        <f aca="false">LOWER(A2238)&amp;"|"&amp;B2238</f>
        <v>the tall t|1957</v>
      </c>
      <c r="N2238" s="4" t="n">
        <v>0</v>
      </c>
      <c r="O2238" s="4" t="n">
        <v>0</v>
      </c>
      <c r="P2238" s="4" t="n">
        <v>0</v>
      </c>
      <c r="Q2238" s="4" t="n">
        <v>1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</row>
    <row r="2239" customFormat="false" ht="15" hidden="false" customHeight="false" outlineLevel="0" collapsed="false">
      <c r="A2239" s="4" t="s">
        <v>1532</v>
      </c>
      <c r="B2239" s="4" t="n">
        <v>1985</v>
      </c>
      <c r="C2239" s="4" t="str">
        <f aca="false">FLOOR(B2239,10)&amp;"s"</f>
        <v>1980s</v>
      </c>
      <c r="D2239" s="4" t="s">
        <v>1533</v>
      </c>
      <c r="E2239" s="25" t="str">
        <f aca="false">IF(G2239=1,"✓","")</f>
        <v/>
      </c>
      <c r="F2239" s="4" t="n">
        <v>1</v>
      </c>
      <c r="G2239" s="4" t="n">
        <f aca="false">IF(COUNTIF('Letterboxd Watched'!$E$2:$E$3000,M2239)&gt;0,1,0)</f>
        <v>0</v>
      </c>
      <c r="H2239" s="4" t="n">
        <v>3</v>
      </c>
      <c r="I2239" s="4" t="s">
        <v>144</v>
      </c>
      <c r="J2239" s="4" t="s">
        <v>55</v>
      </c>
      <c r="K2239" s="4" t="s">
        <v>4368</v>
      </c>
      <c r="L2239" s="48" t="str">
        <f aca="false">HYPERLINK("https://boxd.it/1SZe","open")</f>
        <v>open</v>
      </c>
      <c r="M2239" s="4" t="str">
        <f aca="false">LOWER(A2239)&amp;"|"&amp;B2239</f>
        <v>tampopo|1985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1</v>
      </c>
      <c r="U2239" s="4" t="n">
        <v>0</v>
      </c>
      <c r="V2239" s="4" t="n">
        <v>0</v>
      </c>
      <c r="W2239" s="4" t="n">
        <v>0</v>
      </c>
    </row>
    <row r="2240" customFormat="false" ht="15" hidden="false" customHeight="false" outlineLevel="0" collapsed="false">
      <c r="A2240" s="4" t="s">
        <v>693</v>
      </c>
      <c r="B2240" s="4" t="n">
        <v>2015</v>
      </c>
      <c r="C2240" s="4" t="str">
        <f aca="false">FLOOR(B2240,10)&amp;"s"</f>
        <v>2010s</v>
      </c>
      <c r="D2240" s="4" t="s">
        <v>694</v>
      </c>
      <c r="E2240" s="25" t="str">
        <f aca="false">IF(G2240=1,"✓","")</f>
        <v/>
      </c>
      <c r="F2240" s="4" t="n">
        <v>3</v>
      </c>
      <c r="G2240" s="4" t="n">
        <f aca="false">IF(COUNTIF('Letterboxd Watched'!$E$2:$E$3000,M2240)&gt;0,1,0)</f>
        <v>0</v>
      </c>
      <c r="H2240" s="4" t="n">
        <v>6</v>
      </c>
      <c r="I2240" s="4" t="s">
        <v>213</v>
      </c>
      <c r="J2240" s="4" t="s">
        <v>54</v>
      </c>
      <c r="K2240" s="4" t="s">
        <v>5841</v>
      </c>
      <c r="L2240" s="48" t="str">
        <f aca="false">HYPERLINK("https://boxd.it/9QRe","open")</f>
        <v>open</v>
      </c>
      <c r="M2240" s="4" t="str">
        <f aca="false">LOWER(A2240)&amp;"|"&amp;B2240</f>
        <v>tangerine|2015</v>
      </c>
      <c r="N2240" s="4" t="n">
        <v>0</v>
      </c>
      <c r="O2240" s="4" t="n">
        <v>0</v>
      </c>
      <c r="P2240" s="4" t="n">
        <v>0</v>
      </c>
      <c r="Q2240" s="4" t="n">
        <v>0</v>
      </c>
      <c r="R2240" s="4" t="n">
        <v>0</v>
      </c>
      <c r="S2240" s="4" t="n">
        <v>1</v>
      </c>
      <c r="T2240" s="4" t="n">
        <v>1</v>
      </c>
      <c r="U2240" s="4" t="n">
        <v>0</v>
      </c>
      <c r="V2240" s="4" t="n">
        <v>0</v>
      </c>
      <c r="W2240" s="4" t="n">
        <v>0</v>
      </c>
    </row>
    <row r="2241" customFormat="false" ht="15" hidden="false" customHeight="false" outlineLevel="0" collapsed="false">
      <c r="A2241" s="4" t="s">
        <v>2480</v>
      </c>
      <c r="B2241" s="4" t="n">
        <v>1988</v>
      </c>
      <c r="C2241" s="4" t="str">
        <f aca="false">FLOOR(B2241,10)&amp;"s"</f>
        <v>1980s</v>
      </c>
      <c r="D2241" s="4" t="s">
        <v>197</v>
      </c>
      <c r="E2241" s="25" t="str">
        <f aca="false">IF(G2241=1,"✓","")</f>
        <v/>
      </c>
      <c r="F2241" s="4" t="n">
        <v>2</v>
      </c>
      <c r="G2241" s="4" t="n">
        <f aca="false">IF(COUNTIF('Letterboxd Watched'!$E$2:$E$3000,M2241)&gt;0,1,0)</f>
        <v>0</v>
      </c>
      <c r="H2241" s="4" t="n">
        <v>2</v>
      </c>
      <c r="I2241" s="4" t="s">
        <v>1327</v>
      </c>
      <c r="J2241" s="4" t="s">
        <v>55</v>
      </c>
      <c r="K2241" s="4" t="s">
        <v>5842</v>
      </c>
      <c r="L2241" s="48" t="str">
        <f aca="false">HYPERLINK("https://boxd.it/ax6q","open")</f>
        <v>open</v>
      </c>
      <c r="M2241" s="4" t="str">
        <f aca="false">LOWER(A2241)&amp;"|"&amp;B2241</f>
        <v>tanner '88|1988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1</v>
      </c>
      <c r="U2241" s="4" t="n">
        <v>0</v>
      </c>
      <c r="V2241" s="4" t="n">
        <v>0</v>
      </c>
      <c r="W2241" s="4" t="n">
        <v>0</v>
      </c>
    </row>
    <row r="2242" customFormat="false" ht="15" hidden="false" customHeight="false" outlineLevel="0" collapsed="false">
      <c r="A2242" s="4" t="s">
        <v>1149</v>
      </c>
      <c r="B2242" s="4" t="n">
        <v>2001</v>
      </c>
      <c r="C2242" s="4" t="str">
        <f aca="false">FLOOR(B2242,10)&amp;"s"</f>
        <v>2000s</v>
      </c>
      <c r="D2242" s="4" t="s">
        <v>320</v>
      </c>
      <c r="E2242" s="25" t="str">
        <f aca="false">IF(G2242=1,"✓","")</f>
        <v>✓</v>
      </c>
      <c r="F2242" s="4" t="n">
        <v>2</v>
      </c>
      <c r="G2242" s="4" t="n">
        <f aca="false">IF(COUNTIF('Letterboxd Watched'!$E$2:$E$3000,M2242)&gt;0,1,0)</f>
        <v>1</v>
      </c>
      <c r="H2242" s="4" t="n">
        <v>4</v>
      </c>
      <c r="I2242" s="4" t="s">
        <v>213</v>
      </c>
      <c r="J2242" s="4" t="s">
        <v>53</v>
      </c>
      <c r="K2242" s="4" t="s">
        <v>5843</v>
      </c>
      <c r="L2242" s="48" t="str">
        <f aca="false">HYPERLINK("https://boxd.it/1yCu","open")</f>
        <v>open</v>
      </c>
      <c r="M2242" s="4" t="str">
        <f aca="false">LOWER(A2242)&amp;"|"&amp;B2242</f>
        <v>tape|2001</v>
      </c>
      <c r="N2242" s="4" t="n">
        <v>0</v>
      </c>
      <c r="O2242" s="4" t="n">
        <v>0</v>
      </c>
      <c r="P2242" s="4" t="n">
        <v>0</v>
      </c>
      <c r="Q2242" s="4" t="n">
        <v>0</v>
      </c>
      <c r="R2242" s="4" t="n">
        <v>1</v>
      </c>
      <c r="S2242" s="4" t="n">
        <v>0</v>
      </c>
      <c r="T2242" s="4" t="n">
        <v>0</v>
      </c>
      <c r="U2242" s="4" t="n">
        <v>1</v>
      </c>
      <c r="V2242" s="4" t="n">
        <v>0</v>
      </c>
      <c r="W2242" s="4" t="n">
        <v>0</v>
      </c>
    </row>
    <row r="2243" customFormat="false" ht="15" hidden="false" customHeight="false" outlineLevel="0" collapsed="false">
      <c r="A2243" s="4" t="s">
        <v>3217</v>
      </c>
      <c r="B2243" s="4" t="n">
        <v>2022</v>
      </c>
      <c r="C2243" s="4" t="str">
        <f aca="false">FLOOR(B2243,10)&amp;"s"</f>
        <v>2020s</v>
      </c>
      <c r="D2243" s="4" t="s">
        <v>3218</v>
      </c>
      <c r="E2243" s="25" t="str">
        <f aca="false">IF(G2243=1,"✓","")</f>
        <v/>
      </c>
      <c r="F2243" s="4" t="n">
        <v>1</v>
      </c>
      <c r="G2243" s="4" t="n">
        <f aca="false">IF(COUNTIF('Letterboxd Watched'!$E$2:$E$3000,M2243)&gt;0,1,0)</f>
        <v>0</v>
      </c>
      <c r="H2243" s="4" t="n">
        <v>2</v>
      </c>
      <c r="I2243" s="4" t="s">
        <v>213</v>
      </c>
      <c r="J2243" s="4" t="s">
        <v>50</v>
      </c>
      <c r="K2243" s="4" t="s">
        <v>3928</v>
      </c>
      <c r="L2243" s="48" t="str">
        <f aca="false">HYPERLINK("https://boxd.it/uNIA","open")</f>
        <v>open</v>
      </c>
      <c r="M2243" s="4" t="str">
        <f aca="false">LOWER(A2243)&amp;"|"&amp;B2243</f>
        <v>tár|2022</v>
      </c>
      <c r="N2243" s="4" t="n">
        <v>0</v>
      </c>
      <c r="O2243" s="4" t="n">
        <v>1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</row>
    <row r="2244" customFormat="false" ht="15" hidden="false" customHeight="false" outlineLevel="0" collapsed="false">
      <c r="A2244" s="4" t="s">
        <v>2806</v>
      </c>
      <c r="B2244" s="4" t="n">
        <v>2003</v>
      </c>
      <c r="C2244" s="4" t="str">
        <f aca="false">FLOOR(B2244,10)&amp;"s"</f>
        <v>2000s</v>
      </c>
      <c r="D2244" s="4" t="s">
        <v>2807</v>
      </c>
      <c r="E2244" s="25" t="str">
        <f aca="false">IF(G2244=1,"✓","")</f>
        <v/>
      </c>
      <c r="F2244" s="4" t="n">
        <v>1</v>
      </c>
      <c r="G2244" s="4" t="n">
        <f aca="false">IF(COUNTIF('Letterboxd Watched'!$E$2:$E$3000,M2244)&gt;0,1,0)</f>
        <v>0</v>
      </c>
      <c r="H2244" s="4" t="n">
        <v>2</v>
      </c>
      <c r="I2244" s="4" t="s">
        <v>213</v>
      </c>
      <c r="J2244" s="4" t="s">
        <v>52</v>
      </c>
      <c r="K2244" s="4" t="s">
        <v>4174</v>
      </c>
      <c r="L2244" s="48" t="str">
        <f aca="false">HYPERLINK("https://letterboxd.com/search/films/Tarnation+2003/","open")</f>
        <v>open</v>
      </c>
      <c r="M2244" s="4" t="str">
        <f aca="false">LOWER(A2244)&amp;"|"&amp;B2244</f>
        <v>tarnation|2003</v>
      </c>
      <c r="N2244" s="4" t="n">
        <v>0</v>
      </c>
      <c r="O2244" s="4" t="n">
        <v>0</v>
      </c>
      <c r="P2244" s="4" t="n">
        <v>0</v>
      </c>
      <c r="Q2244" s="4" t="n">
        <v>1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0</v>
      </c>
    </row>
    <row r="2245" customFormat="false" ht="15" hidden="false" customHeight="false" outlineLevel="0" collapsed="false">
      <c r="A2245" s="4" t="s">
        <v>3388</v>
      </c>
      <c r="B2245" s="4" t="n">
        <v>1957</v>
      </c>
      <c r="C2245" s="4" t="str">
        <f aca="false">FLOOR(B2245,10)&amp;"s"</f>
        <v>1950s</v>
      </c>
      <c r="D2245" s="4" t="s">
        <v>1447</v>
      </c>
      <c r="E2245" s="25" t="str">
        <f aca="false">IF(G2245=1,"✓","")</f>
        <v/>
      </c>
      <c r="F2245" s="4" t="n">
        <v>1</v>
      </c>
      <c r="G2245" s="4" t="n">
        <f aca="false">IF(COUNTIF('Letterboxd Watched'!$E$2:$E$3000,M2245)&gt;0,1,0)</f>
        <v>0</v>
      </c>
      <c r="H2245" s="4" t="n">
        <v>1</v>
      </c>
      <c r="I2245" s="4" t="s">
        <v>1327</v>
      </c>
      <c r="J2245" s="4" t="s">
        <v>52</v>
      </c>
      <c r="K2245" s="4" t="s">
        <v>4146</v>
      </c>
      <c r="L2245" s="48" t="str">
        <f aca="false">HYPERLINK("https://boxd.it/15ZE","open")</f>
        <v>open</v>
      </c>
      <c r="M2245" s="4" t="str">
        <f aca="false">LOWER(A2245)&amp;"|"&amp;B2245</f>
        <v>the tarnished angels|1957</v>
      </c>
      <c r="N2245" s="4" t="n">
        <v>0</v>
      </c>
      <c r="O2245" s="4" t="n">
        <v>0</v>
      </c>
      <c r="P2245" s="4" t="n">
        <v>0</v>
      </c>
      <c r="Q2245" s="4" t="n">
        <v>1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</row>
    <row r="2246" customFormat="false" ht="15" hidden="false" customHeight="false" outlineLevel="0" collapsed="false">
      <c r="A2246" s="4" t="s">
        <v>321</v>
      </c>
      <c r="B2246" s="4" t="n">
        <v>1997</v>
      </c>
      <c r="C2246" s="4" t="str">
        <f aca="false">FLOOR(B2246,10)&amp;"s"</f>
        <v>1990s</v>
      </c>
      <c r="D2246" s="4" t="s">
        <v>203</v>
      </c>
      <c r="E2246" s="25" t="str">
        <f aca="false">IF(G2246=1,"✓","")</f>
        <v>✓</v>
      </c>
      <c r="F2246" s="4" t="n">
        <v>4</v>
      </c>
      <c r="G2246" s="4" t="n">
        <f aca="false">IF(COUNTIF('Letterboxd Watched'!$E$2:$E$3000,M2246)&gt;0,1,0)</f>
        <v>1</v>
      </c>
      <c r="H2246" s="4" t="n">
        <v>10</v>
      </c>
      <c r="I2246" s="4" t="s">
        <v>144</v>
      </c>
      <c r="J2246" s="4" t="s">
        <v>51</v>
      </c>
      <c r="K2246" s="4" t="s">
        <v>5844</v>
      </c>
      <c r="L2246" s="48" t="str">
        <f aca="false">HYPERLINK("https://boxd.it/1m8W","open")</f>
        <v>open</v>
      </c>
      <c r="M2246" s="4" t="str">
        <f aca="false">LOWER(A2246)&amp;"|"&amp;B2246</f>
        <v>taste of cherry|1997</v>
      </c>
      <c r="N2246" s="4" t="n">
        <v>0</v>
      </c>
      <c r="O2246" s="4" t="n">
        <v>0</v>
      </c>
      <c r="P2246" s="4" t="n">
        <v>1</v>
      </c>
      <c r="Q2246" s="4" t="n">
        <v>0</v>
      </c>
      <c r="R2246" s="4" t="n">
        <v>1</v>
      </c>
      <c r="S2246" s="4" t="n">
        <v>0</v>
      </c>
      <c r="T2246" s="4" t="n">
        <v>1</v>
      </c>
      <c r="U2246" s="4" t="n">
        <v>0</v>
      </c>
      <c r="V2246" s="4" t="n">
        <v>0</v>
      </c>
      <c r="W2246" s="4" t="n">
        <v>1</v>
      </c>
    </row>
    <row r="2247" customFormat="false" ht="15" hidden="false" customHeight="false" outlineLevel="0" collapsed="false">
      <c r="A2247" s="4" t="s">
        <v>1990</v>
      </c>
      <c r="B2247" s="4" t="n">
        <v>1961</v>
      </c>
      <c r="C2247" s="4" t="str">
        <f aca="false">FLOOR(B2247,10)&amp;"s"</f>
        <v>1960s</v>
      </c>
      <c r="D2247" s="4" t="s">
        <v>1991</v>
      </c>
      <c r="E2247" s="25" t="str">
        <f aca="false">IF(G2247=1,"✓","")</f>
        <v/>
      </c>
      <c r="F2247" s="4" t="n">
        <v>1</v>
      </c>
      <c r="G2247" s="4" t="n">
        <f aca="false">IF(COUNTIF('Letterboxd Watched'!$E$2:$E$3000,M2247)&gt;0,1,0)</f>
        <v>0</v>
      </c>
      <c r="H2247" s="4" t="n">
        <v>2</v>
      </c>
      <c r="I2247" s="4" t="s">
        <v>213</v>
      </c>
      <c r="J2247" s="4" t="s">
        <v>51</v>
      </c>
      <c r="K2247" s="4" t="s">
        <v>3980</v>
      </c>
      <c r="L2247" s="48" t="str">
        <f aca="false">HYPERLINK("https://boxd.it/1wtA","open")</f>
        <v>open</v>
      </c>
      <c r="M2247" s="4" t="str">
        <f aca="false">LOWER(A2247)&amp;"|"&amp;B2247</f>
        <v>a taste of honey|1961</v>
      </c>
      <c r="N2247" s="4" t="n">
        <v>0</v>
      </c>
      <c r="O2247" s="4" t="n">
        <v>0</v>
      </c>
      <c r="P2247" s="4" t="n">
        <v>1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</row>
    <row r="2248" customFormat="false" ht="15" hidden="false" customHeight="false" outlineLevel="0" collapsed="false">
      <c r="A2248" s="4" t="s">
        <v>3247</v>
      </c>
      <c r="B2248" s="4" t="n">
        <v>2023</v>
      </c>
      <c r="C2248" s="4" t="str">
        <f aca="false">FLOOR(B2248,10)&amp;"s"</f>
        <v>2020s</v>
      </c>
      <c r="D2248" s="4" t="s">
        <v>3248</v>
      </c>
      <c r="E2248" s="25" t="str">
        <f aca="false">IF(G2248=1,"✓","")</f>
        <v/>
      </c>
      <c r="F2248" s="4" t="n">
        <v>1</v>
      </c>
      <c r="G2248" s="4" t="n">
        <f aca="false">IF(COUNTIF('Letterboxd Watched'!$E$2:$E$3000,M2248)&gt;0,1,0)</f>
        <v>0</v>
      </c>
      <c r="H2248" s="4" t="n">
        <v>2</v>
      </c>
      <c r="I2248" s="4" t="s">
        <v>213</v>
      </c>
      <c r="J2248" s="4" t="s">
        <v>55</v>
      </c>
      <c r="K2248" s="4" t="s">
        <v>4368</v>
      </c>
      <c r="L2248" s="48" t="str">
        <f aca="false">HYPERLINK("https://letterboxd.com/search/films/The+Taste+of+Things+2023/","open")</f>
        <v>open</v>
      </c>
      <c r="M2248" s="4" t="str">
        <f aca="false">LOWER(A2248)&amp;"|"&amp;B2248</f>
        <v>the taste of things|2023</v>
      </c>
      <c r="N2248" s="4" t="n">
        <v>0</v>
      </c>
      <c r="O2248" s="4" t="n">
        <v>0</v>
      </c>
      <c r="P2248" s="4" t="n">
        <v>0</v>
      </c>
      <c r="Q2248" s="4" t="n">
        <v>0</v>
      </c>
      <c r="R2248" s="4" t="n">
        <v>0</v>
      </c>
      <c r="S2248" s="4" t="n">
        <v>0</v>
      </c>
      <c r="T2248" s="4" t="n">
        <v>1</v>
      </c>
      <c r="U2248" s="4" t="n">
        <v>0</v>
      </c>
      <c r="V2248" s="4" t="n">
        <v>0</v>
      </c>
      <c r="W2248" s="4" t="n">
        <v>0</v>
      </c>
    </row>
    <row r="2249" customFormat="false" ht="15" hidden="false" customHeight="false" outlineLevel="0" collapsed="false">
      <c r="A2249" s="4" t="s">
        <v>163</v>
      </c>
      <c r="B2249" s="4" t="n">
        <v>1976</v>
      </c>
      <c r="C2249" s="4" t="str">
        <f aca="false">FLOOR(B2249,10)&amp;"s"</f>
        <v>1970s</v>
      </c>
      <c r="D2249" s="4" t="s">
        <v>164</v>
      </c>
      <c r="E2249" s="25" t="str">
        <f aca="false">IF(G2249=1,"✓","")</f>
        <v>✓</v>
      </c>
      <c r="F2249" s="4" t="n">
        <v>8</v>
      </c>
      <c r="G2249" s="4" t="n">
        <f aca="false">IF(COUNTIF('Letterboxd Watched'!$E$2:$E$3000,M2249)&gt;0,1,0)</f>
        <v>1</v>
      </c>
      <c r="H2249" s="4" t="n">
        <v>19</v>
      </c>
      <c r="I2249" s="4" t="s">
        <v>144</v>
      </c>
      <c r="J2249" s="4" t="s">
        <v>50</v>
      </c>
      <c r="K2249" s="4" t="s">
        <v>5845</v>
      </c>
      <c r="L2249" s="48" t="str">
        <f aca="false">HYPERLINK("https://boxd.it/2b8y","open")</f>
        <v>open</v>
      </c>
      <c r="M2249" s="4" t="str">
        <f aca="false">LOWER(A2249)&amp;"|"&amp;B2249</f>
        <v>taxi driver|1976</v>
      </c>
      <c r="N2249" s="4" t="n">
        <v>0</v>
      </c>
      <c r="O2249" s="4" t="n">
        <v>1</v>
      </c>
      <c r="P2249" s="4" t="n">
        <v>0</v>
      </c>
      <c r="Q2249" s="4" t="n">
        <v>0</v>
      </c>
      <c r="R2249" s="4" t="n">
        <v>1</v>
      </c>
      <c r="S2249" s="4" t="n">
        <v>0</v>
      </c>
      <c r="T2249" s="4" t="n">
        <v>1</v>
      </c>
      <c r="U2249" s="4" t="n">
        <v>1</v>
      </c>
      <c r="V2249" s="4" t="n">
        <v>1</v>
      </c>
      <c r="W2249" s="4" t="n">
        <v>1</v>
      </c>
    </row>
    <row r="2250" customFormat="false" ht="15" hidden="false" customHeight="false" outlineLevel="0" collapsed="false">
      <c r="A2250" s="4" t="s">
        <v>2345</v>
      </c>
      <c r="B2250" s="4" t="n">
        <v>1980</v>
      </c>
      <c r="C2250" s="4" t="str">
        <f aca="false">FLOOR(B2250,10)&amp;"s"</f>
        <v>1980s</v>
      </c>
      <c r="D2250" s="4" t="s">
        <v>2346</v>
      </c>
      <c r="E2250" s="25" t="str">
        <f aca="false">IF(G2250=1,"✓","")</f>
        <v/>
      </c>
      <c r="F2250" s="4" t="n">
        <v>1</v>
      </c>
      <c r="G2250" s="4" t="n">
        <f aca="false">IF(COUNTIF('Letterboxd Watched'!$E$2:$E$3000,M2250)&gt;0,1,0)</f>
        <v>0</v>
      </c>
      <c r="H2250" s="4" t="n">
        <v>2</v>
      </c>
      <c r="I2250" s="4" t="s">
        <v>213</v>
      </c>
      <c r="J2250" s="4" t="s">
        <v>54</v>
      </c>
      <c r="K2250" s="4" t="s">
        <v>4298</v>
      </c>
      <c r="L2250" s="48" t="str">
        <f aca="false">HYPERLINK("https://letterboxd.com/search/films/Taxi+zum+Klo+1980/","open")</f>
        <v>open</v>
      </c>
      <c r="M2250" s="4" t="str">
        <f aca="false">LOWER(A2250)&amp;"|"&amp;B2250</f>
        <v>taxi zum klo|1980</v>
      </c>
      <c r="N2250" s="4" t="n">
        <v>0</v>
      </c>
      <c r="O2250" s="4" t="n">
        <v>0</v>
      </c>
      <c r="P2250" s="4" t="n">
        <v>0</v>
      </c>
      <c r="Q2250" s="4" t="n">
        <v>0</v>
      </c>
      <c r="R2250" s="4" t="n">
        <v>0</v>
      </c>
      <c r="S2250" s="4" t="n">
        <v>1</v>
      </c>
      <c r="T2250" s="4" t="n">
        <v>0</v>
      </c>
      <c r="U2250" s="4" t="n">
        <v>0</v>
      </c>
      <c r="V2250" s="4" t="n">
        <v>0</v>
      </c>
      <c r="W2250" s="4" t="n">
        <v>0</v>
      </c>
    </row>
    <row r="2251" customFormat="false" ht="15" hidden="false" customHeight="false" outlineLevel="0" collapsed="false">
      <c r="A2251" s="4" t="s">
        <v>2784</v>
      </c>
      <c r="B2251" s="4" t="n">
        <v>2002</v>
      </c>
      <c r="C2251" s="4" t="str">
        <f aca="false">FLOOR(B2251,10)&amp;"s"</f>
        <v>2000s</v>
      </c>
      <c r="D2251" s="4" t="s">
        <v>203</v>
      </c>
      <c r="E2251" s="25" t="str">
        <f aca="false">IF(G2251=1,"✓","")</f>
        <v/>
      </c>
      <c r="F2251" s="4" t="n">
        <v>1</v>
      </c>
      <c r="G2251" s="4" t="n">
        <f aca="false">IF(COUNTIF('Letterboxd Watched'!$E$2:$E$3000,M2251)&gt;0,1,0)</f>
        <v>0</v>
      </c>
      <c r="H2251" s="4" t="n">
        <v>2</v>
      </c>
      <c r="I2251" s="4" t="s">
        <v>213</v>
      </c>
      <c r="J2251" s="4" t="s">
        <v>53</v>
      </c>
      <c r="K2251" s="4" t="s">
        <v>203</v>
      </c>
      <c r="L2251" s="48" t="str">
        <f aca="false">HYPERLINK("https://letterboxd.com/search/films/Ten+2002/","open")</f>
        <v>open</v>
      </c>
      <c r="M2251" s="4" t="str">
        <f aca="false">LOWER(A2251)&amp;"|"&amp;B2251</f>
        <v>ten|2002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1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</row>
    <row r="2252" customFormat="false" ht="15" hidden="false" customHeight="false" outlineLevel="0" collapsed="false">
      <c r="A2252" s="4" t="s">
        <v>1059</v>
      </c>
      <c r="B2252" s="4" t="n">
        <v>1982</v>
      </c>
      <c r="C2252" s="4" t="str">
        <f aca="false">FLOOR(B2252,10)&amp;"s"</f>
        <v>1980s</v>
      </c>
      <c r="D2252" s="4" t="s">
        <v>677</v>
      </c>
      <c r="E2252" s="25" t="str">
        <f aca="false">IF(G2252=1,"✓","")</f>
        <v/>
      </c>
      <c r="F2252" s="4" t="n">
        <v>2</v>
      </c>
      <c r="G2252" s="4" t="n">
        <f aca="false">IF(COUNTIF('Letterboxd Watched'!$E$2:$E$3000,M2252)&gt;0,1,0)</f>
        <v>0</v>
      </c>
      <c r="H2252" s="4" t="n">
        <v>4</v>
      </c>
      <c r="I2252" s="4" t="s">
        <v>213</v>
      </c>
      <c r="J2252" s="4" t="s">
        <v>51</v>
      </c>
      <c r="K2252" s="4" t="s">
        <v>5846</v>
      </c>
      <c r="L2252" s="48" t="str">
        <f aca="false">HYPERLINK("https://letterboxd.com/search/films/Tenebrae+1982/","open")</f>
        <v>open</v>
      </c>
      <c r="M2252" s="4" t="str">
        <f aca="false">LOWER(A2252)&amp;"|"&amp;B2252</f>
        <v>tenebrae|1982</v>
      </c>
      <c r="N2252" s="4" t="n">
        <v>0</v>
      </c>
      <c r="O2252" s="4" t="n">
        <v>0</v>
      </c>
      <c r="P2252" s="4" t="n">
        <v>1</v>
      </c>
      <c r="Q2252" s="4" t="n">
        <v>0</v>
      </c>
      <c r="R2252" s="4" t="n">
        <v>0</v>
      </c>
      <c r="S2252" s="4" t="n">
        <v>0</v>
      </c>
      <c r="T2252" s="4" t="n">
        <v>0</v>
      </c>
      <c r="U2252" s="4" t="n">
        <v>1</v>
      </c>
      <c r="V2252" s="4" t="n">
        <v>0</v>
      </c>
      <c r="W2252" s="4" t="n">
        <v>0</v>
      </c>
    </row>
    <row r="2253" customFormat="false" ht="15" hidden="false" customHeight="false" outlineLevel="0" collapsed="false">
      <c r="A2253" s="4" t="s">
        <v>3199</v>
      </c>
      <c r="B2253" s="4" t="n">
        <v>2020</v>
      </c>
      <c r="C2253" s="4" t="str">
        <f aca="false">FLOOR(B2253,10)&amp;"s"</f>
        <v>2020s</v>
      </c>
      <c r="D2253" s="4" t="s">
        <v>342</v>
      </c>
      <c r="E2253" s="25" t="str">
        <f aca="false">IF(G2253=1,"✓","")</f>
        <v/>
      </c>
      <c r="F2253" s="4" t="n">
        <v>1</v>
      </c>
      <c r="G2253" s="4" t="n">
        <f aca="false">IF(COUNTIF('Letterboxd Watched'!$E$2:$E$3000,M2253)&gt;0,1,0)</f>
        <v>0</v>
      </c>
      <c r="H2253" s="4" t="n">
        <v>2</v>
      </c>
      <c r="I2253" s="4" t="s">
        <v>213</v>
      </c>
      <c r="J2253" s="4" t="s">
        <v>55</v>
      </c>
      <c r="K2253" s="4" t="s">
        <v>4336</v>
      </c>
      <c r="L2253" s="48" t="str">
        <f aca="false">HYPERLINK("https://boxd.it/leq4","open")</f>
        <v>open</v>
      </c>
      <c r="M2253" s="4" t="str">
        <f aca="false">LOWER(A2253)&amp;"|"&amp;B2253</f>
        <v>tenet|2020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1</v>
      </c>
      <c r="U2253" s="4" t="n">
        <v>0</v>
      </c>
      <c r="V2253" s="4" t="n">
        <v>0</v>
      </c>
      <c r="W2253" s="4" t="n">
        <v>0</v>
      </c>
    </row>
    <row r="2254" customFormat="false" ht="15" hidden="false" customHeight="false" outlineLevel="0" collapsed="false">
      <c r="A2254" s="4" t="s">
        <v>3452</v>
      </c>
      <c r="B2254" s="4" t="n">
        <v>1968</v>
      </c>
      <c r="C2254" s="4" t="str">
        <f aca="false">FLOOR(B2254,10)&amp;"s"</f>
        <v>1960s</v>
      </c>
      <c r="D2254" s="4" t="s">
        <v>974</v>
      </c>
      <c r="E2254" s="25" t="str">
        <f aca="false">IF(G2254=1,"✓","")</f>
        <v/>
      </c>
      <c r="F2254" s="4" t="n">
        <v>1</v>
      </c>
      <c r="G2254" s="4" t="n">
        <f aca="false">IF(COUNTIF('Letterboxd Watched'!$E$2:$E$3000,M2254)&gt;0,1,0)</f>
        <v>0</v>
      </c>
      <c r="H2254" s="4" t="n">
        <v>1</v>
      </c>
      <c r="I2254" s="4" t="s">
        <v>1327</v>
      </c>
      <c r="J2254" s="4" t="s">
        <v>51</v>
      </c>
      <c r="K2254" s="4" t="s">
        <v>3944</v>
      </c>
      <c r="L2254" s="48" t="str">
        <f aca="false">HYPERLINK("https://letterboxd.com/search/films/Teorema+1968/","open")</f>
        <v>open</v>
      </c>
      <c r="M2254" s="4" t="str">
        <f aca="false">LOWER(A2254)&amp;"|"&amp;B2254</f>
        <v>teorema|1968</v>
      </c>
      <c r="N2254" s="4" t="n">
        <v>0</v>
      </c>
      <c r="O2254" s="4" t="n">
        <v>0</v>
      </c>
      <c r="P2254" s="4" t="n">
        <v>1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</row>
    <row r="2255" customFormat="false" ht="15" hidden="false" customHeight="false" outlineLevel="0" collapsed="false">
      <c r="A2255" s="4" t="s">
        <v>1528</v>
      </c>
      <c r="B2255" s="4" t="n">
        <v>1984</v>
      </c>
      <c r="C2255" s="4" t="str">
        <f aca="false">FLOOR(B2255,10)&amp;"s"</f>
        <v>1980s</v>
      </c>
      <c r="D2255" s="4" t="s">
        <v>892</v>
      </c>
      <c r="E2255" s="25" t="str">
        <f aca="false">IF(G2255=1,"✓","")</f>
        <v>✓</v>
      </c>
      <c r="F2255" s="4" t="n">
        <v>1</v>
      </c>
      <c r="G2255" s="4" t="n">
        <f aca="false">IF(COUNTIF('Letterboxd Watched'!$E$2:$E$3000,M2255)&gt;0,1,0)</f>
        <v>1</v>
      </c>
      <c r="H2255" s="4" t="n">
        <v>3</v>
      </c>
      <c r="I2255" s="4" t="s">
        <v>144</v>
      </c>
      <c r="J2255" s="4" t="s">
        <v>52</v>
      </c>
      <c r="K2255" s="4" t="s">
        <v>4046</v>
      </c>
      <c r="L2255" s="48" t="str">
        <f aca="false">HYPERLINK("https://boxd.it/2aQY","open")</f>
        <v>open</v>
      </c>
      <c r="M2255" s="4" t="str">
        <f aca="false">LOWER(A2255)&amp;"|"&amp;B2255</f>
        <v>the terminator|1984</v>
      </c>
      <c r="N2255" s="4" t="n">
        <v>0</v>
      </c>
      <c r="O2255" s="4" t="n">
        <v>0</v>
      </c>
      <c r="P2255" s="4" t="n">
        <v>0</v>
      </c>
      <c r="Q2255" s="4" t="n">
        <v>1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</row>
    <row r="2256" customFormat="false" ht="15" hidden="false" customHeight="false" outlineLevel="0" collapsed="false">
      <c r="A2256" s="4" t="s">
        <v>891</v>
      </c>
      <c r="B2256" s="4" t="n">
        <v>1991</v>
      </c>
      <c r="C2256" s="4" t="str">
        <f aca="false">FLOOR(B2256,10)&amp;"s"</f>
        <v>1990s</v>
      </c>
      <c r="D2256" s="4" t="s">
        <v>892</v>
      </c>
      <c r="E2256" s="25" t="str">
        <f aca="false">IF(G2256=1,"✓","")</f>
        <v/>
      </c>
      <c r="F2256" s="4" t="n">
        <v>2</v>
      </c>
      <c r="G2256" s="4" t="n">
        <f aca="false">IF(COUNTIF('Letterboxd Watched'!$E$2:$E$3000,M2256)&gt;0,1,0)</f>
        <v>0</v>
      </c>
      <c r="H2256" s="4" t="n">
        <v>5</v>
      </c>
      <c r="I2256" s="4" t="s">
        <v>144</v>
      </c>
      <c r="J2256" s="4" t="s">
        <v>52</v>
      </c>
      <c r="K2256" s="4" t="s">
        <v>5169</v>
      </c>
      <c r="L2256" s="48" t="str">
        <f aca="false">HYPERLINK("https://boxd.it/2aGY","open")</f>
        <v>open</v>
      </c>
      <c r="M2256" s="4" t="str">
        <f aca="false">LOWER(A2256)&amp;"|"&amp;B2256</f>
        <v>terminator 2: judgment day|1991</v>
      </c>
      <c r="N2256" s="4" t="n">
        <v>0</v>
      </c>
      <c r="O2256" s="4" t="n">
        <v>0</v>
      </c>
      <c r="P2256" s="4" t="n">
        <v>0</v>
      </c>
      <c r="Q2256" s="4" t="n">
        <v>1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</row>
    <row r="2257" customFormat="false" ht="15" hidden="false" customHeight="false" outlineLevel="0" collapsed="false">
      <c r="A2257" s="4" t="s">
        <v>928</v>
      </c>
      <c r="B2257" s="4" t="n">
        <v>1948</v>
      </c>
      <c r="C2257" s="4" t="str">
        <f aca="false">FLOOR(B2257,10)&amp;"s"</f>
        <v>1940s</v>
      </c>
      <c r="D2257" s="4" t="s">
        <v>461</v>
      </c>
      <c r="E2257" s="25" t="str">
        <f aca="false">IF(G2257=1,"✓","")</f>
        <v/>
      </c>
      <c r="F2257" s="4" t="n">
        <v>2</v>
      </c>
      <c r="G2257" s="4" t="n">
        <f aca="false">IF(COUNTIF('Letterboxd Watched'!$E$2:$E$3000,M2257)&gt;0,1,0)</f>
        <v>0</v>
      </c>
      <c r="H2257" s="4" t="n">
        <v>4</v>
      </c>
      <c r="I2257" s="4" t="s">
        <v>213</v>
      </c>
      <c r="J2257" s="4" t="s">
        <v>51</v>
      </c>
      <c r="K2257" s="4" t="s">
        <v>5847</v>
      </c>
      <c r="L2257" s="48" t="str">
        <f aca="false">HYPERLINK("https://boxd.it/UsE","open")</f>
        <v>open</v>
      </c>
      <c r="M2257" s="4" t="str">
        <f aca="false">LOWER(A2257)&amp;"|"&amp;B2257</f>
        <v>la terra trema|1948</v>
      </c>
      <c r="N2257" s="4" t="n">
        <v>0</v>
      </c>
      <c r="O2257" s="4" t="n">
        <v>0</v>
      </c>
      <c r="P2257" s="4" t="n">
        <v>1</v>
      </c>
      <c r="Q2257" s="4" t="n">
        <v>0</v>
      </c>
      <c r="R2257" s="4" t="n">
        <v>0</v>
      </c>
      <c r="S2257" s="4" t="n">
        <v>1</v>
      </c>
      <c r="T2257" s="4" t="n">
        <v>0</v>
      </c>
      <c r="U2257" s="4" t="n">
        <v>0</v>
      </c>
      <c r="V2257" s="4" t="n">
        <v>0</v>
      </c>
      <c r="W2257" s="4" t="n">
        <v>0</v>
      </c>
    </row>
    <row r="2258" customFormat="false" ht="15" hidden="false" customHeight="false" outlineLevel="0" collapsed="false">
      <c r="A2258" s="4" t="s">
        <v>2430</v>
      </c>
      <c r="B2258" s="4" t="n">
        <v>1986</v>
      </c>
      <c r="C2258" s="4" t="str">
        <f aca="false">FLOOR(B2258,10)&amp;"s"</f>
        <v>1980s</v>
      </c>
      <c r="D2258" s="4" t="s">
        <v>223</v>
      </c>
      <c r="E2258" s="25" t="str">
        <f aca="false">IF(G2258=1,"✓","")</f>
        <v/>
      </c>
      <c r="F2258" s="4" t="n">
        <v>1</v>
      </c>
      <c r="G2258" s="4" t="n">
        <f aca="false">IF(COUNTIF('Letterboxd Watched'!$E$2:$E$3000,M2258)&gt;0,1,0)</f>
        <v>0</v>
      </c>
      <c r="H2258" s="4" t="n">
        <v>2</v>
      </c>
      <c r="I2258" s="4" t="s">
        <v>213</v>
      </c>
      <c r="J2258" s="4" t="s">
        <v>51</v>
      </c>
      <c r="K2258" s="4" t="s">
        <v>4018</v>
      </c>
      <c r="L2258" s="48" t="str">
        <f aca="false">HYPERLINK("https://boxd.it/2IRG","open")</f>
        <v>open</v>
      </c>
      <c r="M2258" s="4" t="str">
        <f aca="false">LOWER(A2258)&amp;"|"&amp;B2258</f>
        <v>terrorizers|1986</v>
      </c>
      <c r="N2258" s="4" t="n">
        <v>0</v>
      </c>
      <c r="O2258" s="4" t="n">
        <v>0</v>
      </c>
      <c r="P2258" s="4" t="n">
        <v>1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</row>
    <row r="2259" customFormat="false" ht="15" hidden="false" customHeight="false" outlineLevel="0" collapsed="false">
      <c r="A2259" s="4" t="s">
        <v>3618</v>
      </c>
      <c r="B2259" s="4" t="n">
        <v>1983</v>
      </c>
      <c r="C2259" s="4" t="str">
        <f aca="false">FLOOR(B2259,10)&amp;"s"</f>
        <v>1980s</v>
      </c>
      <c r="D2259" s="4" t="s">
        <v>3619</v>
      </c>
      <c r="E2259" s="25" t="str">
        <f aca="false">IF(G2259=1,"✓","")</f>
        <v/>
      </c>
      <c r="F2259" s="4" t="n">
        <v>1</v>
      </c>
      <c r="G2259" s="4" t="n">
        <f aca="false">IF(COUNTIF('Letterboxd Watched'!$E$2:$E$3000,M2259)&gt;0,1,0)</f>
        <v>0</v>
      </c>
      <c r="H2259" s="4" t="n">
        <v>1</v>
      </c>
      <c r="I2259" s="4" t="s">
        <v>1327</v>
      </c>
      <c r="J2259" s="4" t="s">
        <v>55</v>
      </c>
      <c r="K2259" s="4" t="s">
        <v>4342</v>
      </c>
      <c r="L2259" s="48" t="str">
        <f aca="false">HYPERLINK("https://boxd.it/1CcK","open")</f>
        <v>open</v>
      </c>
      <c r="M2259" s="4" t="str">
        <f aca="false">LOWER(A2259)&amp;"|"&amp;B2259</f>
        <v>testament|1983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1</v>
      </c>
      <c r="U2259" s="4" t="n">
        <v>0</v>
      </c>
      <c r="V2259" s="4" t="n">
        <v>0</v>
      </c>
      <c r="W2259" s="4" t="n">
        <v>0</v>
      </c>
    </row>
    <row r="2260" customFormat="false" ht="15" hidden="false" customHeight="false" outlineLevel="0" collapsed="false">
      <c r="A2260" s="4" t="s">
        <v>493</v>
      </c>
      <c r="B2260" s="4" t="n">
        <v>1989</v>
      </c>
      <c r="C2260" s="4" t="str">
        <f aca="false">FLOOR(B2260,10)&amp;"s"</f>
        <v>1980s</v>
      </c>
      <c r="D2260" s="4" t="s">
        <v>494</v>
      </c>
      <c r="E2260" s="25" t="str">
        <f aca="false">IF(G2260=1,"✓","")</f>
        <v/>
      </c>
      <c r="F2260" s="4" t="n">
        <v>4</v>
      </c>
      <c r="G2260" s="4" t="n">
        <f aca="false">IF(COUNTIF('Letterboxd Watched'!$E$2:$E$3000,M2260)&gt;0,1,0)</f>
        <v>0</v>
      </c>
      <c r="H2260" s="4" t="n">
        <v>7</v>
      </c>
      <c r="I2260" s="4" t="s">
        <v>213</v>
      </c>
      <c r="J2260" s="4" t="s">
        <v>52</v>
      </c>
      <c r="K2260" s="4" t="s">
        <v>5848</v>
      </c>
      <c r="L2260" s="48" t="str">
        <f aca="false">HYPERLINK("https://boxd.it/ZoM","open")</f>
        <v>open</v>
      </c>
      <c r="M2260" s="4" t="str">
        <f aca="false">LOWER(A2260)&amp;"|"&amp;B2260</f>
        <v>tetsuo: the iron man|1989</v>
      </c>
      <c r="N2260" s="4" t="n">
        <v>0</v>
      </c>
      <c r="O2260" s="4" t="n">
        <v>0</v>
      </c>
      <c r="P2260" s="4" t="n">
        <v>0</v>
      </c>
      <c r="Q2260" s="4" t="n">
        <v>1</v>
      </c>
      <c r="R2260" s="4" t="n">
        <v>0</v>
      </c>
      <c r="S2260" s="4" t="n">
        <v>0</v>
      </c>
      <c r="T2260" s="4" t="n">
        <v>0</v>
      </c>
      <c r="U2260" s="4" t="n">
        <v>1</v>
      </c>
      <c r="V2260" s="4" t="n">
        <v>1</v>
      </c>
      <c r="W2260" s="4" t="n">
        <v>0</v>
      </c>
    </row>
    <row r="2261" customFormat="false" ht="15" hidden="false" customHeight="false" outlineLevel="0" collapsed="false">
      <c r="A2261" s="4" t="s">
        <v>434</v>
      </c>
      <c r="B2261" s="4" t="n">
        <v>1974</v>
      </c>
      <c r="C2261" s="4" t="str">
        <f aca="false">FLOOR(B2261,10)&amp;"s"</f>
        <v>1970s</v>
      </c>
      <c r="D2261" s="4" t="s">
        <v>435</v>
      </c>
      <c r="E2261" s="25" t="str">
        <f aca="false">IF(G2261=1,"✓","")</f>
        <v/>
      </c>
      <c r="F2261" s="4" t="n">
        <v>3</v>
      </c>
      <c r="G2261" s="4" t="n">
        <f aca="false">IF(COUNTIF('Letterboxd Watched'!$E$2:$E$3000,M2261)&gt;0,1,0)</f>
        <v>0</v>
      </c>
      <c r="H2261" s="4" t="n">
        <v>8</v>
      </c>
      <c r="I2261" s="4" t="s">
        <v>144</v>
      </c>
      <c r="J2261" s="4" t="s">
        <v>52</v>
      </c>
      <c r="K2261" s="4" t="s">
        <v>5849</v>
      </c>
      <c r="L2261" s="48" t="str">
        <f aca="false">HYPERLINK("https://boxd.it/1lcS","open")</f>
        <v>open</v>
      </c>
      <c r="M2261" s="4" t="str">
        <f aca="false">LOWER(A2261)&amp;"|"&amp;B2261</f>
        <v>the texas chain saw massacre|1974</v>
      </c>
      <c r="N2261" s="4" t="n">
        <v>0</v>
      </c>
      <c r="O2261" s="4" t="n">
        <v>0</v>
      </c>
      <c r="P2261" s="4" t="n">
        <v>0</v>
      </c>
      <c r="Q2261" s="4" t="n">
        <v>1</v>
      </c>
      <c r="R2261" s="4" t="n">
        <v>0</v>
      </c>
      <c r="S2261" s="4" t="n">
        <v>1</v>
      </c>
      <c r="T2261" s="4" t="n">
        <v>0</v>
      </c>
      <c r="U2261" s="4" t="n">
        <v>0</v>
      </c>
      <c r="V2261" s="4" t="n">
        <v>0</v>
      </c>
      <c r="W2261" s="4" t="n">
        <v>0</v>
      </c>
    </row>
    <row r="2262" customFormat="false" ht="15" hidden="false" customHeight="false" outlineLevel="0" collapsed="false">
      <c r="A2262" s="4" t="s">
        <v>2300</v>
      </c>
      <c r="B2262" s="4" t="n">
        <v>1977</v>
      </c>
      <c r="C2262" s="4" t="str">
        <f aca="false">FLOOR(B2262,10)&amp;"s"</f>
        <v>1970s</v>
      </c>
      <c r="D2262" s="4" t="s">
        <v>402</v>
      </c>
      <c r="E2262" s="25" t="str">
        <f aca="false">IF(G2262=1,"✓","")</f>
        <v/>
      </c>
      <c r="F2262" s="4" t="n">
        <v>1</v>
      </c>
      <c r="G2262" s="4" t="n">
        <f aca="false">IF(COUNTIF('Letterboxd Watched'!$E$2:$E$3000,M2262)&gt;0,1,0)</f>
        <v>0</v>
      </c>
      <c r="H2262" s="4" t="n">
        <v>2</v>
      </c>
      <c r="I2262" s="4" t="s">
        <v>213</v>
      </c>
      <c r="J2262" s="4" t="s">
        <v>53</v>
      </c>
      <c r="K2262" s="4" t="s">
        <v>402</v>
      </c>
      <c r="L2262" s="48" t="str">
        <f aca="false">HYPERLINK("https://boxd.it/22zg","open")</f>
        <v>open</v>
      </c>
      <c r="M2262" s="4" t="str">
        <f aca="false">LOWER(A2262)&amp;"|"&amp;B2262</f>
        <v>that obscure object of desire|1977</v>
      </c>
      <c r="N2262" s="4" t="n">
        <v>0</v>
      </c>
      <c r="O2262" s="4" t="n">
        <v>0</v>
      </c>
      <c r="P2262" s="4" t="n">
        <v>0</v>
      </c>
      <c r="Q2262" s="4" t="n">
        <v>0</v>
      </c>
      <c r="R2262" s="4" t="n">
        <v>1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</row>
    <row r="2263" customFormat="false" ht="15" hidden="false" customHeight="false" outlineLevel="0" collapsed="false">
      <c r="A2263" s="4" t="s">
        <v>2652</v>
      </c>
      <c r="B2263" s="4" t="n">
        <v>1996</v>
      </c>
      <c r="C2263" s="4" t="str">
        <f aca="false">FLOOR(B2263,10)&amp;"s"</f>
        <v>1990s</v>
      </c>
      <c r="D2263" s="4" t="s">
        <v>2653</v>
      </c>
      <c r="E2263" s="25" t="str">
        <f aca="false">IF(G2263=1,"✓","")</f>
        <v>✓</v>
      </c>
      <c r="F2263" s="4" t="n">
        <v>1</v>
      </c>
      <c r="G2263" s="4" t="n">
        <f aca="false">IF(COUNTIF('Letterboxd Watched'!$E$2:$E$3000,M2263)&gt;0,1,0)</f>
        <v>1</v>
      </c>
      <c r="H2263" s="4" t="n">
        <v>2</v>
      </c>
      <c r="I2263" s="4" t="s">
        <v>213</v>
      </c>
      <c r="J2263" s="4" t="s">
        <v>55</v>
      </c>
      <c r="K2263" s="4" t="s">
        <v>4366</v>
      </c>
      <c r="L2263" s="48" t="str">
        <f aca="false">HYPERLINK("https://boxd.it/1Yig","open")</f>
        <v>open</v>
      </c>
      <c r="M2263" s="4" t="str">
        <f aca="false">LOWER(A2263)&amp;"|"&amp;B2263</f>
        <v>that thing you do!|1996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1</v>
      </c>
      <c r="U2263" s="4" t="n">
        <v>0</v>
      </c>
      <c r="V2263" s="4" t="n">
        <v>0</v>
      </c>
      <c r="W2263" s="4" t="n">
        <v>0</v>
      </c>
    </row>
    <row r="2264" customFormat="false" ht="15" hidden="false" customHeight="false" outlineLevel="0" collapsed="false">
      <c r="A2264" s="4" t="s">
        <v>3512</v>
      </c>
      <c r="B2264" s="4" t="n">
        <v>1973</v>
      </c>
      <c r="C2264" s="4" t="str">
        <f aca="false">FLOOR(B2264,10)&amp;"s"</f>
        <v>1970s</v>
      </c>
      <c r="D2264" s="4" t="s">
        <v>3513</v>
      </c>
      <c r="E2264" s="25" t="str">
        <f aca="false">IF(G2264=1,"✓","")</f>
        <v/>
      </c>
      <c r="F2264" s="4" t="n">
        <v>1</v>
      </c>
      <c r="G2264" s="4" t="n">
        <f aca="false">IF(COUNTIF('Letterboxd Watched'!$E$2:$E$3000,M2264)&gt;0,1,0)</f>
        <v>0</v>
      </c>
      <c r="H2264" s="4" t="n">
        <v>1</v>
      </c>
      <c r="I2264" s="4" t="s">
        <v>1327</v>
      </c>
      <c r="J2264" s="4" t="s">
        <v>52</v>
      </c>
      <c r="K2264" s="4" t="s">
        <v>4062</v>
      </c>
      <c r="L2264" s="48" t="str">
        <f aca="false">HYPERLINK("https://letterboxd.com/search/films/Theatre+of+Blood+1973/","open")</f>
        <v>open</v>
      </c>
      <c r="M2264" s="4" t="str">
        <f aca="false">LOWER(A2264)&amp;"|"&amp;B2264</f>
        <v>theatre of blood|1973</v>
      </c>
      <c r="N2264" s="4" t="n">
        <v>0</v>
      </c>
      <c r="O2264" s="4" t="n">
        <v>0</v>
      </c>
      <c r="P2264" s="4" t="n">
        <v>0</v>
      </c>
      <c r="Q2264" s="4" t="n">
        <v>1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</row>
    <row r="2265" customFormat="false" ht="15" hidden="false" customHeight="false" outlineLevel="0" collapsed="false">
      <c r="A2265" s="4" t="s">
        <v>2535</v>
      </c>
      <c r="B2265" s="4" t="n">
        <v>1991</v>
      </c>
      <c r="C2265" s="4" t="str">
        <f aca="false">FLOOR(B2265,10)&amp;"s"</f>
        <v>1990s</v>
      </c>
      <c r="D2265" s="4" t="s">
        <v>174</v>
      </c>
      <c r="E2265" s="25" t="str">
        <f aca="false">IF(G2265=1,"✓","")</f>
        <v/>
      </c>
      <c r="F2265" s="4" t="n">
        <v>1</v>
      </c>
      <c r="G2265" s="4" t="n">
        <f aca="false">IF(COUNTIF('Letterboxd Watched'!$E$2:$E$3000,M2265)&gt;0,1,0)</f>
        <v>0</v>
      </c>
      <c r="H2265" s="4" t="n">
        <v>2</v>
      </c>
      <c r="I2265" s="4" t="s">
        <v>213</v>
      </c>
      <c r="J2265" s="4" t="s">
        <v>55</v>
      </c>
      <c r="K2265" s="4" t="s">
        <v>4354</v>
      </c>
      <c r="L2265" s="48" t="str">
        <f aca="false">HYPERLINK("https://boxd.it/28Ew","open")</f>
        <v>open</v>
      </c>
      <c r="M2265" s="4" t="str">
        <f aca="false">LOWER(A2265)&amp;"|"&amp;B2265</f>
        <v>thelma &amp; louise|1991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1</v>
      </c>
      <c r="U2265" s="4" t="n">
        <v>0</v>
      </c>
      <c r="V2265" s="4" t="n">
        <v>0</v>
      </c>
      <c r="W2265" s="4" t="n">
        <v>0</v>
      </c>
    </row>
    <row r="2266" customFormat="false" ht="15" hidden="false" customHeight="false" outlineLevel="0" collapsed="false">
      <c r="A2266" s="4" t="s">
        <v>1904</v>
      </c>
      <c r="B2266" s="4" t="n">
        <v>1954</v>
      </c>
      <c r="C2266" s="4" t="str">
        <f aca="false">FLOOR(B2266,10)&amp;"s"</f>
        <v>1950s</v>
      </c>
      <c r="D2266" s="4" t="s">
        <v>1905</v>
      </c>
      <c r="E2266" s="25" t="str">
        <f aca="false">IF(G2266=1,"✓","")</f>
        <v/>
      </c>
      <c r="F2266" s="4" t="n">
        <v>1</v>
      </c>
      <c r="G2266" s="4" t="n">
        <f aca="false">IF(COUNTIF('Letterboxd Watched'!$E$2:$E$3000,M2266)&gt;0,1,0)</f>
        <v>0</v>
      </c>
      <c r="H2266" s="4" t="n">
        <v>2</v>
      </c>
      <c r="I2266" s="4" t="s">
        <v>213</v>
      </c>
      <c r="J2266" s="4" t="s">
        <v>52</v>
      </c>
      <c r="K2266" s="4" t="s">
        <v>4084</v>
      </c>
      <c r="L2266" s="48" t="str">
        <f aca="false">HYPERLINK("https://boxd.it/1UI0","open")</f>
        <v>open</v>
      </c>
      <c r="M2266" s="4" t="str">
        <f aca="false">LOWER(A2266)&amp;"|"&amp;B2266</f>
        <v>them!|1954</v>
      </c>
      <c r="N2266" s="4" t="n">
        <v>0</v>
      </c>
      <c r="O2266" s="4" t="n">
        <v>0</v>
      </c>
      <c r="P2266" s="4" t="n">
        <v>0</v>
      </c>
      <c r="Q2266" s="4" t="n">
        <v>1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</row>
    <row r="2267" customFormat="false" ht="15" hidden="false" customHeight="false" outlineLevel="0" collapsed="false">
      <c r="A2267" s="4" t="s">
        <v>3060</v>
      </c>
      <c r="B2267" s="4" t="n">
        <v>2014</v>
      </c>
      <c r="C2267" s="4" t="str">
        <f aca="false">FLOOR(B2267,10)&amp;"s"</f>
        <v>2010s</v>
      </c>
      <c r="D2267" s="4" t="s">
        <v>2906</v>
      </c>
      <c r="E2267" s="25" t="str">
        <f aca="false">IF(G2267=1,"✓","")</f>
        <v/>
      </c>
      <c r="F2267" s="4" t="n">
        <v>1</v>
      </c>
      <c r="G2267" s="4" t="n">
        <f aca="false">IF(COUNTIF('Letterboxd Watched'!$E$2:$E$3000,M2267)&gt;0,1,0)</f>
        <v>0</v>
      </c>
      <c r="H2267" s="4" t="n">
        <v>2</v>
      </c>
      <c r="I2267" s="4" t="s">
        <v>213</v>
      </c>
      <c r="J2267" s="4" t="s">
        <v>55</v>
      </c>
      <c r="K2267" s="4" t="s">
        <v>4338</v>
      </c>
      <c r="L2267" s="48" t="str">
        <f aca="false">HYPERLINK("https://boxd.it/7YtA","open")</f>
        <v>open</v>
      </c>
      <c r="M2267" s="4" t="str">
        <f aca="false">LOWER(A2267)&amp;"|"&amp;B2267</f>
        <v>the theory of everything|2014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1</v>
      </c>
      <c r="U2267" s="4" t="n">
        <v>0</v>
      </c>
      <c r="V2267" s="4" t="n">
        <v>0</v>
      </c>
      <c r="W2267" s="4" t="n">
        <v>0</v>
      </c>
    </row>
    <row r="2268" customFormat="false" ht="15" hidden="false" customHeight="false" outlineLevel="0" collapsed="false">
      <c r="A2268" s="4" t="s">
        <v>3384</v>
      </c>
      <c r="B2268" s="4" t="n">
        <v>1956</v>
      </c>
      <c r="C2268" s="4" t="str">
        <f aca="false">FLOOR(B2268,10)&amp;"s"</f>
        <v>1950s</v>
      </c>
      <c r="D2268" s="4" t="s">
        <v>1447</v>
      </c>
      <c r="E2268" s="25" t="str">
        <f aca="false">IF(G2268=1,"✓","")</f>
        <v/>
      </c>
      <c r="F2268" s="4" t="n">
        <v>1</v>
      </c>
      <c r="G2268" s="4" t="n">
        <f aca="false">IF(COUNTIF('Letterboxd Watched'!$E$2:$E$3000,M2268)&gt;0,1,0)</f>
        <v>0</v>
      </c>
      <c r="H2268" s="4" t="n">
        <v>1</v>
      </c>
      <c r="I2268" s="4" t="s">
        <v>1327</v>
      </c>
      <c r="J2268" s="4" t="s">
        <v>52</v>
      </c>
      <c r="K2268" s="4" t="s">
        <v>4146</v>
      </c>
      <c r="L2268" s="48" t="str">
        <f aca="false">HYPERLINK("https://boxd.it/17S6","open")</f>
        <v>open</v>
      </c>
      <c r="M2268" s="4" t="str">
        <f aca="false">LOWER(A2268)&amp;"|"&amp;B2268</f>
        <v>there's always tomorrow|1956</v>
      </c>
      <c r="N2268" s="4" t="n">
        <v>0</v>
      </c>
      <c r="O2268" s="4" t="n">
        <v>0</v>
      </c>
      <c r="P2268" s="4" t="n">
        <v>0</v>
      </c>
      <c r="Q2268" s="4" t="n">
        <v>1</v>
      </c>
      <c r="R2268" s="4" t="n">
        <v>0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</row>
    <row r="2269" customFormat="false" ht="15" hidden="false" customHeight="false" outlineLevel="0" collapsed="false">
      <c r="A2269" s="4" t="s">
        <v>3341</v>
      </c>
      <c r="B2269" s="4" t="n">
        <v>1942</v>
      </c>
      <c r="C2269" s="4" t="str">
        <f aca="false">FLOOR(B2269,10)&amp;"s"</f>
        <v>1940s</v>
      </c>
      <c r="D2269" s="4" t="s">
        <v>146</v>
      </c>
      <c r="E2269" s="25" t="str">
        <f aca="false">IF(G2269=1,"✓","")</f>
        <v/>
      </c>
      <c r="F2269" s="4" t="n">
        <v>1</v>
      </c>
      <c r="G2269" s="4" t="n">
        <f aca="false">IF(COUNTIF('Letterboxd Watched'!$E$2:$E$3000,M2269)&gt;0,1,0)</f>
        <v>0</v>
      </c>
      <c r="H2269" s="4" t="n">
        <v>1</v>
      </c>
      <c r="I2269" s="4" t="s">
        <v>1327</v>
      </c>
      <c r="J2269" s="4" t="s">
        <v>53</v>
      </c>
      <c r="K2269" s="4" t="s">
        <v>146</v>
      </c>
      <c r="L2269" s="48" t="str">
        <f aca="false">HYPERLINK("https://boxd.it/1rWW","open")</f>
        <v>open</v>
      </c>
      <c r="M2269" s="4" t="str">
        <f aca="false">LOWER(A2269)&amp;"|"&amp;B2269</f>
        <v>there was a father|1942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1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</row>
    <row r="2270" customFormat="false" ht="15" hidden="false" customHeight="false" outlineLevel="0" collapsed="false">
      <c r="A2270" s="4" t="s">
        <v>277</v>
      </c>
      <c r="B2270" s="4" t="n">
        <v>2007</v>
      </c>
      <c r="C2270" s="4" t="str">
        <f aca="false">FLOOR(B2270,10)&amp;"s"</f>
        <v>2000s</v>
      </c>
      <c r="D2270" s="4" t="s">
        <v>278</v>
      </c>
      <c r="E2270" s="25" t="str">
        <f aca="false">IF(G2270=1,"✓","")</f>
        <v>✓</v>
      </c>
      <c r="F2270" s="4" t="n">
        <v>5</v>
      </c>
      <c r="G2270" s="4" t="n">
        <f aca="false">IF(COUNTIF('Letterboxd Watched'!$E$2:$E$3000,M2270)&gt;0,1,0)</f>
        <v>1</v>
      </c>
      <c r="H2270" s="4" t="n">
        <v>11</v>
      </c>
      <c r="I2270" s="4" t="s">
        <v>144</v>
      </c>
      <c r="J2270" s="4" t="s">
        <v>49</v>
      </c>
      <c r="K2270" s="4" t="s">
        <v>5850</v>
      </c>
      <c r="L2270" s="48" t="str">
        <f aca="false">HYPERLINK("https://boxd.it/20Z2","open")</f>
        <v>open</v>
      </c>
      <c r="M2270" s="4" t="str">
        <f aca="false">LOWER(A2270)&amp;"|"&amp;B2270</f>
        <v>there will be blood|2007</v>
      </c>
      <c r="N2270" s="4" t="n">
        <v>1</v>
      </c>
      <c r="O2270" s="4" t="n">
        <v>1</v>
      </c>
      <c r="P2270" s="4" t="n">
        <v>0</v>
      </c>
      <c r="Q2270" s="4" t="n">
        <v>1</v>
      </c>
      <c r="R2270" s="4" t="n">
        <v>1</v>
      </c>
      <c r="S2270" s="4" t="n">
        <v>0</v>
      </c>
      <c r="T2270" s="4" t="n">
        <v>1</v>
      </c>
      <c r="U2270" s="4" t="n">
        <v>0</v>
      </c>
      <c r="V2270" s="4" t="n">
        <v>0</v>
      </c>
      <c r="W2270" s="4" t="n">
        <v>0</v>
      </c>
    </row>
    <row r="2271" customFormat="false" ht="15" hidden="false" customHeight="false" outlineLevel="0" collapsed="false">
      <c r="A2271" s="4" t="s">
        <v>1088</v>
      </c>
      <c r="B2271" s="4" t="n">
        <v>1988</v>
      </c>
      <c r="C2271" s="4" t="str">
        <f aca="false">FLOOR(B2271,10)&amp;"s"</f>
        <v>1980s</v>
      </c>
      <c r="D2271" s="4" t="s">
        <v>266</v>
      </c>
      <c r="E2271" s="25" t="str">
        <f aca="false">IF(G2271=1,"✓","")</f>
        <v>✓</v>
      </c>
      <c r="F2271" s="4" t="n">
        <v>2</v>
      </c>
      <c r="G2271" s="4" t="n">
        <f aca="false">IF(COUNTIF('Letterboxd Watched'!$E$2:$E$3000,M2271)&gt;0,1,0)</f>
        <v>1</v>
      </c>
      <c r="H2271" s="4" t="n">
        <v>4</v>
      </c>
      <c r="I2271" s="4" t="s">
        <v>213</v>
      </c>
      <c r="J2271" s="4" t="s">
        <v>52</v>
      </c>
      <c r="K2271" s="4" t="s">
        <v>5851</v>
      </c>
      <c r="L2271" s="48" t="str">
        <f aca="false">HYPERLINK("https://boxd.it/20lm","open")</f>
        <v>open</v>
      </c>
      <c r="M2271" s="4" t="str">
        <f aca="false">LOWER(A2271)&amp;"|"&amp;B2271</f>
        <v>they live|1988</v>
      </c>
      <c r="N2271" s="4" t="n">
        <v>0</v>
      </c>
      <c r="O2271" s="4" t="n">
        <v>0</v>
      </c>
      <c r="P2271" s="4" t="n">
        <v>0</v>
      </c>
      <c r="Q2271" s="4" t="n">
        <v>1</v>
      </c>
      <c r="R2271" s="4" t="n">
        <v>1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</row>
    <row r="2272" customFormat="false" ht="15" hidden="false" customHeight="false" outlineLevel="0" collapsed="false">
      <c r="A2272" s="4" t="s">
        <v>1857</v>
      </c>
      <c r="B2272" s="4" t="n">
        <v>1948</v>
      </c>
      <c r="C2272" s="4" t="str">
        <f aca="false">FLOOR(B2272,10)&amp;"s"</f>
        <v>1940s</v>
      </c>
      <c r="D2272" s="4" t="s">
        <v>270</v>
      </c>
      <c r="E2272" s="25" t="str">
        <f aca="false">IF(G2272=1,"✓","")</f>
        <v/>
      </c>
      <c r="F2272" s="4" t="n">
        <v>1</v>
      </c>
      <c r="G2272" s="4" t="n">
        <f aca="false">IF(COUNTIF('Letterboxd Watched'!$E$2:$E$3000,M2272)&gt;0,1,0)</f>
        <v>0</v>
      </c>
      <c r="H2272" s="4" t="n">
        <v>2</v>
      </c>
      <c r="I2272" s="4" t="s">
        <v>213</v>
      </c>
      <c r="J2272" s="4" t="s">
        <v>53</v>
      </c>
      <c r="K2272" s="4" t="s">
        <v>4194</v>
      </c>
      <c r="L2272" s="48" t="str">
        <f aca="false">HYPERLINK("https://boxd.it/SzS","open")</f>
        <v>open</v>
      </c>
      <c r="M2272" s="4" t="str">
        <f aca="false">LOWER(A2272)&amp;"|"&amp;B2272</f>
        <v>they live by night|1948</v>
      </c>
      <c r="N2272" s="4" t="n">
        <v>0</v>
      </c>
      <c r="O2272" s="4" t="n">
        <v>0</v>
      </c>
      <c r="P2272" s="4" t="n">
        <v>0</v>
      </c>
      <c r="Q2272" s="4" t="n">
        <v>0</v>
      </c>
      <c r="R2272" s="4" t="n">
        <v>1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</row>
    <row r="2273" customFormat="false" ht="15" hidden="false" customHeight="false" outlineLevel="0" collapsed="false">
      <c r="A2273" s="4" t="s">
        <v>3141</v>
      </c>
      <c r="B2273" s="4" t="n">
        <v>2018</v>
      </c>
      <c r="C2273" s="4" t="str">
        <f aca="false">FLOOR(B2273,10)&amp;"s"</f>
        <v>2010s</v>
      </c>
      <c r="D2273" s="4" t="s">
        <v>1560</v>
      </c>
      <c r="E2273" s="25" t="str">
        <f aca="false">IF(G2273=1,"✓","")</f>
        <v>✓</v>
      </c>
      <c r="F2273" s="4" t="n">
        <v>1</v>
      </c>
      <c r="G2273" s="4" t="n">
        <f aca="false">IF(COUNTIF('Letterboxd Watched'!$E$2:$E$3000,M2273)&gt;0,1,0)</f>
        <v>1</v>
      </c>
      <c r="H2273" s="4" t="n">
        <v>2</v>
      </c>
      <c r="I2273" s="4" t="s">
        <v>213</v>
      </c>
      <c r="J2273" s="4" t="s">
        <v>52</v>
      </c>
      <c r="K2273" s="4" t="s">
        <v>4136</v>
      </c>
      <c r="L2273" s="48" t="str">
        <f aca="false">HYPERLINK("https://boxd.it/jP62","open")</f>
        <v>open</v>
      </c>
      <c r="M2273" s="4" t="str">
        <f aca="false">LOWER(A2273)&amp;"|"&amp;B2273</f>
        <v>they shall not grow old|2018</v>
      </c>
      <c r="N2273" s="4" t="n">
        <v>0</v>
      </c>
      <c r="O2273" s="4" t="n">
        <v>0</v>
      </c>
      <c r="P2273" s="4" t="n">
        <v>0</v>
      </c>
      <c r="Q2273" s="4" t="n">
        <v>1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</row>
    <row r="2274" customFormat="false" ht="15" hidden="false" customHeight="false" outlineLevel="0" collapsed="false">
      <c r="A2274" s="4" t="s">
        <v>3344</v>
      </c>
      <c r="B2274" s="4" t="n">
        <v>1945</v>
      </c>
      <c r="C2274" s="4" t="str">
        <f aca="false">FLOOR(B2274,10)&amp;"s"</f>
        <v>1940s</v>
      </c>
      <c r="D2274" s="4" t="s">
        <v>205</v>
      </c>
      <c r="E2274" s="25" t="str">
        <f aca="false">IF(G2274=1,"✓","")</f>
        <v/>
      </c>
      <c r="F2274" s="4" t="n">
        <v>1</v>
      </c>
      <c r="G2274" s="4" t="n">
        <f aca="false">IF(COUNTIF('Letterboxd Watched'!$E$2:$E$3000,M2274)&gt;0,1,0)</f>
        <v>0</v>
      </c>
      <c r="H2274" s="4" t="n">
        <v>1</v>
      </c>
      <c r="I2274" s="4" t="s">
        <v>1327</v>
      </c>
      <c r="J2274" s="4" t="s">
        <v>53</v>
      </c>
      <c r="K2274" s="4" t="s">
        <v>205</v>
      </c>
      <c r="L2274" s="48" t="str">
        <f aca="false">HYPERLINK("https://boxd.it/1GlQ","open")</f>
        <v>open</v>
      </c>
      <c r="M2274" s="4" t="str">
        <f aca="false">LOWER(A2274)&amp;"|"&amp;B2274</f>
        <v>they were expendable|1945</v>
      </c>
      <c r="N2274" s="4" t="n">
        <v>0</v>
      </c>
      <c r="O2274" s="4" t="n">
        <v>0</v>
      </c>
      <c r="P2274" s="4" t="n">
        <v>0</v>
      </c>
      <c r="Q2274" s="4" t="n">
        <v>0</v>
      </c>
      <c r="R2274" s="4" t="n">
        <v>1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</row>
    <row r="2275" customFormat="false" ht="15" hidden="false" customHeight="false" outlineLevel="0" collapsed="false">
      <c r="A2275" s="4" t="s">
        <v>559</v>
      </c>
      <c r="B2275" s="4" t="n">
        <v>1981</v>
      </c>
      <c r="C2275" s="4" t="str">
        <f aca="false">FLOOR(B2275,10)&amp;"s"</f>
        <v>1980s</v>
      </c>
      <c r="D2275" s="4" t="s">
        <v>296</v>
      </c>
      <c r="E2275" s="25" t="str">
        <f aca="false">IF(G2275=1,"✓","")</f>
        <v/>
      </c>
      <c r="F2275" s="4" t="n">
        <v>4</v>
      </c>
      <c r="G2275" s="4" t="n">
        <f aca="false">IF(COUNTIF('Letterboxd Watched'!$E$2:$E$3000,M2275)&gt;0,1,0)</f>
        <v>0</v>
      </c>
      <c r="H2275" s="4" t="n">
        <v>6</v>
      </c>
      <c r="I2275" s="4" t="s">
        <v>213</v>
      </c>
      <c r="J2275" s="4" t="s">
        <v>50</v>
      </c>
      <c r="K2275" s="4" t="s">
        <v>5852</v>
      </c>
      <c r="L2275" s="48" t="str">
        <f aca="false">HYPERLINK("https://boxd.it/1TEc","open")</f>
        <v>open</v>
      </c>
      <c r="M2275" s="4" t="str">
        <f aca="false">LOWER(A2275)&amp;"|"&amp;B2275</f>
        <v>thief|1981</v>
      </c>
      <c r="N2275" s="4" t="n">
        <v>0</v>
      </c>
      <c r="O2275" s="4" t="n">
        <v>1</v>
      </c>
      <c r="P2275" s="4" t="n">
        <v>0</v>
      </c>
      <c r="Q2275" s="4" t="n">
        <v>1</v>
      </c>
      <c r="R2275" s="4" t="n">
        <v>1</v>
      </c>
      <c r="S2275" s="4" t="n">
        <v>0</v>
      </c>
      <c r="T2275" s="4" t="n">
        <v>0</v>
      </c>
      <c r="U2275" s="4" t="n">
        <v>1</v>
      </c>
      <c r="V2275" s="4" t="n">
        <v>0</v>
      </c>
      <c r="W2275" s="4" t="n">
        <v>0</v>
      </c>
    </row>
    <row r="2276" customFormat="false" ht="15" hidden="false" customHeight="false" outlineLevel="0" collapsed="false">
      <c r="A2276" s="4" t="s">
        <v>2248</v>
      </c>
      <c r="B2276" s="4" t="n">
        <v>1974</v>
      </c>
      <c r="C2276" s="4" t="str">
        <f aca="false">FLOOR(B2276,10)&amp;"s"</f>
        <v>1970s</v>
      </c>
      <c r="D2276" s="4" t="s">
        <v>197</v>
      </c>
      <c r="E2276" s="25" t="str">
        <f aca="false">IF(G2276=1,"✓","")</f>
        <v/>
      </c>
      <c r="F2276" s="4" t="n">
        <v>1</v>
      </c>
      <c r="G2276" s="4" t="n">
        <f aca="false">IF(COUNTIF('Letterboxd Watched'!$E$2:$E$3000,M2276)&gt;0,1,0)</f>
        <v>0</v>
      </c>
      <c r="H2276" s="4" t="n">
        <v>2</v>
      </c>
      <c r="I2276" s="4" t="s">
        <v>213</v>
      </c>
      <c r="J2276" s="4" t="s">
        <v>53</v>
      </c>
      <c r="K2276" s="4" t="s">
        <v>197</v>
      </c>
      <c r="L2276" s="48" t="str">
        <f aca="false">HYPERLINK("https://boxd.it/1iBK","open")</f>
        <v>open</v>
      </c>
      <c r="M2276" s="4" t="str">
        <f aca="false">LOWER(A2276)&amp;"|"&amp;B2276</f>
        <v>thieves like us|1974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1</v>
      </c>
      <c r="S2276" s="4" t="n">
        <v>0</v>
      </c>
      <c r="T2276" s="4" t="n">
        <v>0</v>
      </c>
      <c r="U2276" s="4" t="n">
        <v>0</v>
      </c>
      <c r="V2276" s="4" t="n">
        <v>0</v>
      </c>
      <c r="W2276" s="4" t="n">
        <v>0</v>
      </c>
    </row>
    <row r="2277" customFormat="false" ht="15" hidden="false" customHeight="false" outlineLevel="0" collapsed="false">
      <c r="A2277" s="4" t="s">
        <v>1089</v>
      </c>
      <c r="B2277" s="4" t="n">
        <v>1988</v>
      </c>
      <c r="C2277" s="4" t="str">
        <f aca="false">FLOOR(B2277,10)&amp;"s"</f>
        <v>1980s</v>
      </c>
      <c r="D2277" s="4" t="s">
        <v>1090</v>
      </c>
      <c r="E2277" s="25" t="str">
        <f aca="false">IF(G2277=1,"✓","")</f>
        <v/>
      </c>
      <c r="F2277" s="4" t="n">
        <v>2</v>
      </c>
      <c r="G2277" s="4" t="n">
        <f aca="false">IF(COUNTIF('Letterboxd Watched'!$E$2:$E$3000,M2277)&gt;0,1,0)</f>
        <v>0</v>
      </c>
      <c r="H2277" s="4" t="n">
        <v>4</v>
      </c>
      <c r="I2277" s="4" t="s">
        <v>144</v>
      </c>
      <c r="J2277" s="4" t="s">
        <v>52</v>
      </c>
      <c r="K2277" s="4" t="s">
        <v>5853</v>
      </c>
      <c r="L2277" s="48" t="str">
        <f aca="false">HYPERLINK("https://boxd.it/1OnK","open")</f>
        <v>open</v>
      </c>
      <c r="M2277" s="4" t="str">
        <f aca="false">LOWER(A2277)&amp;"|"&amp;B2277</f>
        <v>the thin blue line|1988</v>
      </c>
      <c r="N2277" s="4" t="n">
        <v>0</v>
      </c>
      <c r="O2277" s="4" t="n">
        <v>0</v>
      </c>
      <c r="P2277" s="4" t="n">
        <v>0</v>
      </c>
      <c r="Q2277" s="4" t="n">
        <v>1</v>
      </c>
      <c r="R2277" s="4" t="n">
        <v>0</v>
      </c>
      <c r="S2277" s="4" t="n">
        <v>0</v>
      </c>
      <c r="T2277" s="4" t="n">
        <v>1</v>
      </c>
      <c r="U2277" s="4" t="n">
        <v>0</v>
      </c>
      <c r="V2277" s="4" t="n">
        <v>0</v>
      </c>
      <c r="W2277" s="4" t="n">
        <v>0</v>
      </c>
    </row>
    <row r="2278" customFormat="false" ht="15" hidden="false" customHeight="false" outlineLevel="0" collapsed="false">
      <c r="A2278" s="4" t="s">
        <v>625</v>
      </c>
      <c r="B2278" s="4" t="n">
        <v>1998</v>
      </c>
      <c r="C2278" s="4" t="str">
        <f aca="false">FLOOR(B2278,10)&amp;"s"</f>
        <v>1990s</v>
      </c>
      <c r="D2278" s="4" t="s">
        <v>361</v>
      </c>
      <c r="E2278" s="25" t="str">
        <f aca="false">IF(G2278=1,"✓","")</f>
        <v>✓</v>
      </c>
      <c r="F2278" s="4" t="n">
        <v>3</v>
      </c>
      <c r="G2278" s="4" t="n">
        <f aca="false">IF(COUNTIF('Letterboxd Watched'!$E$2:$E$3000,M2278)&gt;0,1,0)</f>
        <v>1</v>
      </c>
      <c r="H2278" s="4" t="n">
        <v>6</v>
      </c>
      <c r="I2278" s="4" t="s">
        <v>213</v>
      </c>
      <c r="J2278" s="4" t="s">
        <v>52</v>
      </c>
      <c r="K2278" s="4" t="s">
        <v>5854</v>
      </c>
      <c r="L2278" s="48" t="str">
        <f aca="false">HYPERLINK("https://boxd.it/1ZTM","open")</f>
        <v>open</v>
      </c>
      <c r="M2278" s="4" t="str">
        <f aca="false">LOWER(A2278)&amp;"|"&amp;B2278</f>
        <v>the thin red line|1998</v>
      </c>
      <c r="N2278" s="4" t="n">
        <v>0</v>
      </c>
      <c r="O2278" s="4" t="n">
        <v>0</v>
      </c>
      <c r="P2278" s="4" t="n">
        <v>0</v>
      </c>
      <c r="Q2278" s="4" t="n">
        <v>1</v>
      </c>
      <c r="R2278" s="4" t="n">
        <v>1</v>
      </c>
      <c r="S2278" s="4" t="n">
        <v>0</v>
      </c>
      <c r="T2278" s="4" t="n">
        <v>0</v>
      </c>
      <c r="U2278" s="4" t="n">
        <v>0</v>
      </c>
      <c r="V2278" s="4" t="n">
        <v>1</v>
      </c>
      <c r="W2278" s="4" t="n">
        <v>0</v>
      </c>
    </row>
    <row r="2279" customFormat="false" ht="15" hidden="false" customHeight="false" outlineLevel="0" collapsed="false">
      <c r="A2279" s="4" t="s">
        <v>265</v>
      </c>
      <c r="B2279" s="4" t="n">
        <v>1982</v>
      </c>
      <c r="C2279" s="4" t="str">
        <f aca="false">FLOOR(B2279,10)&amp;"s"</f>
        <v>1980s</v>
      </c>
      <c r="D2279" s="4" t="s">
        <v>266</v>
      </c>
      <c r="E2279" s="25" t="str">
        <f aca="false">IF(G2279=1,"✓","")</f>
        <v>✓</v>
      </c>
      <c r="F2279" s="4" t="n">
        <v>4</v>
      </c>
      <c r="G2279" s="4" t="n">
        <f aca="false">IF(COUNTIF('Letterboxd Watched'!$E$2:$E$3000,M2279)&gt;0,1,0)</f>
        <v>1</v>
      </c>
      <c r="H2279" s="4" t="n">
        <v>12</v>
      </c>
      <c r="I2279" s="4" t="s">
        <v>144</v>
      </c>
      <c r="J2279" s="4" t="s">
        <v>52</v>
      </c>
      <c r="K2279" s="4" t="s">
        <v>5855</v>
      </c>
      <c r="L2279" s="48" t="str">
        <f aca="false">HYPERLINK("https://boxd.it/294O","open")</f>
        <v>open</v>
      </c>
      <c r="M2279" s="4" t="str">
        <f aca="false">LOWER(A2279)&amp;"|"&amp;B2279</f>
        <v>the thing|1982</v>
      </c>
      <c r="N2279" s="4" t="n">
        <v>0</v>
      </c>
      <c r="O2279" s="4" t="n">
        <v>0</v>
      </c>
      <c r="P2279" s="4" t="n">
        <v>0</v>
      </c>
      <c r="Q2279" s="4" t="n">
        <v>1</v>
      </c>
      <c r="R2279" s="4" t="n">
        <v>1</v>
      </c>
      <c r="S2279" s="4" t="n">
        <v>0</v>
      </c>
      <c r="T2279" s="4" t="n">
        <v>0</v>
      </c>
      <c r="U2279" s="4" t="n">
        <v>1</v>
      </c>
      <c r="V2279" s="4" t="n">
        <v>0</v>
      </c>
      <c r="W2279" s="4" t="n">
        <v>0</v>
      </c>
    </row>
    <row r="2280" customFormat="false" ht="15" hidden="false" customHeight="false" outlineLevel="0" collapsed="false">
      <c r="A2280" s="4" t="s">
        <v>743</v>
      </c>
      <c r="B2280" s="4" t="n">
        <v>1951</v>
      </c>
      <c r="C2280" s="4" t="str">
        <f aca="false">FLOOR(B2280,10)&amp;"s"</f>
        <v>1950s</v>
      </c>
      <c r="D2280" s="4" t="s">
        <v>744</v>
      </c>
      <c r="E2280" s="25" t="str">
        <f aca="false">IF(G2280=1,"✓","")</f>
        <v/>
      </c>
      <c r="F2280" s="4" t="n">
        <v>2</v>
      </c>
      <c r="G2280" s="4" t="n">
        <f aca="false">IF(COUNTIF('Letterboxd Watched'!$E$2:$E$3000,M2280)&gt;0,1,0)</f>
        <v>0</v>
      </c>
      <c r="H2280" s="4" t="n">
        <v>5</v>
      </c>
      <c r="I2280" s="4" t="s">
        <v>144</v>
      </c>
      <c r="J2280" s="4" t="s">
        <v>52</v>
      </c>
      <c r="K2280" s="4" t="s">
        <v>5856</v>
      </c>
      <c r="L2280" s="48" t="str">
        <f aca="false">HYPERLINK("https://boxd.it/1Vp4","open")</f>
        <v>open</v>
      </c>
      <c r="M2280" s="4" t="str">
        <f aca="false">LOWER(A2280)&amp;"|"&amp;B2280</f>
        <v>the thing from another world|1951</v>
      </c>
      <c r="N2280" s="4" t="n">
        <v>0</v>
      </c>
      <c r="O2280" s="4" t="n">
        <v>0</v>
      </c>
      <c r="P2280" s="4" t="n">
        <v>0</v>
      </c>
      <c r="Q2280" s="4" t="n">
        <v>1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1</v>
      </c>
    </row>
    <row r="2281" customFormat="false" ht="15" hidden="false" customHeight="false" outlineLevel="0" collapsed="false">
      <c r="A2281" s="4" t="s">
        <v>1756</v>
      </c>
      <c r="B2281" s="4" t="n">
        <v>1936</v>
      </c>
      <c r="C2281" s="4" t="str">
        <f aca="false">FLOOR(B2281,10)&amp;"s"</f>
        <v>1930s</v>
      </c>
      <c r="D2281" s="4" t="s">
        <v>1757</v>
      </c>
      <c r="E2281" s="25" t="str">
        <f aca="false">IF(G2281=1,"✓","")</f>
        <v/>
      </c>
      <c r="F2281" s="4" t="n">
        <v>1</v>
      </c>
      <c r="G2281" s="4" t="n">
        <f aca="false">IF(COUNTIF('Letterboxd Watched'!$E$2:$E$3000,M2281)&gt;0,1,0)</f>
        <v>0</v>
      </c>
      <c r="H2281" s="4" t="n">
        <v>2</v>
      </c>
      <c r="I2281" s="4" t="s">
        <v>213</v>
      </c>
      <c r="J2281" s="4" t="s">
        <v>52</v>
      </c>
      <c r="K2281" s="4" t="s">
        <v>4084</v>
      </c>
      <c r="L2281" s="48" t="str">
        <f aca="false">HYPERLINK("https://boxd.it/258i","open")</f>
        <v>open</v>
      </c>
      <c r="M2281" s="4" t="str">
        <f aca="false">LOWER(A2281)&amp;"|"&amp;B2281</f>
        <v>things to come|1936</v>
      </c>
      <c r="N2281" s="4" t="n">
        <v>0</v>
      </c>
      <c r="O2281" s="4" t="n">
        <v>0</v>
      </c>
      <c r="P2281" s="4" t="n">
        <v>0</v>
      </c>
      <c r="Q2281" s="4" t="n">
        <v>1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</row>
    <row r="2282" customFormat="false" ht="15" hidden="false" customHeight="false" outlineLevel="0" collapsed="false">
      <c r="A2282" s="4" t="s">
        <v>538</v>
      </c>
      <c r="B2282" s="4" t="n">
        <v>1949</v>
      </c>
      <c r="C2282" s="4" t="str">
        <f aca="false">FLOOR(B2282,10)&amp;"s"</f>
        <v>1940s</v>
      </c>
      <c r="D2282" s="4" t="s">
        <v>539</v>
      </c>
      <c r="E2282" s="25" t="str">
        <f aca="false">IF(G2282=1,"✓","")</f>
        <v/>
      </c>
      <c r="F2282" s="4" t="n">
        <v>3</v>
      </c>
      <c r="G2282" s="4" t="n">
        <f aca="false">IF(COUNTIF('Letterboxd Watched'!$E$2:$E$3000,M2282)&gt;0,1,0)</f>
        <v>0</v>
      </c>
      <c r="H2282" s="4" t="n">
        <v>7</v>
      </c>
      <c r="I2282" s="4" t="s">
        <v>144</v>
      </c>
      <c r="J2282" s="4" t="s">
        <v>49</v>
      </c>
      <c r="K2282" s="4" t="s">
        <v>5857</v>
      </c>
      <c r="L2282" s="48" t="str">
        <f aca="false">HYPERLINK("https://boxd.it/294E","open")</f>
        <v>open</v>
      </c>
      <c r="M2282" s="4" t="str">
        <f aca="false">LOWER(A2282)&amp;"|"&amp;B2282</f>
        <v>the third man|1949</v>
      </c>
      <c r="N2282" s="4" t="n">
        <v>1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1</v>
      </c>
      <c r="W2282" s="4" t="n">
        <v>0</v>
      </c>
    </row>
    <row r="2283" customFormat="false" ht="15" hidden="false" customHeight="false" outlineLevel="0" collapsed="false">
      <c r="A2283" s="4" t="s">
        <v>3782</v>
      </c>
      <c r="B2283" s="4" t="n">
        <v>2009</v>
      </c>
      <c r="C2283" s="4" t="str">
        <f aca="false">FLOOR(B2283,10)&amp;"s"</f>
        <v>2000s</v>
      </c>
      <c r="D2283" s="4" t="s">
        <v>685</v>
      </c>
      <c r="E2283" s="25" t="str">
        <f aca="false">IF(G2283=1,"✓","")</f>
        <v/>
      </c>
      <c r="F2283" s="4" t="n">
        <v>1</v>
      </c>
      <c r="G2283" s="4" t="n">
        <f aca="false">IF(COUNTIF('Letterboxd Watched'!$E$2:$E$3000,M2283)&gt;0,1,0)</f>
        <v>0</v>
      </c>
      <c r="H2283" s="4" t="n">
        <v>1</v>
      </c>
      <c r="I2283" s="4" t="s">
        <v>1327</v>
      </c>
      <c r="J2283" s="4" t="s">
        <v>53</v>
      </c>
      <c r="K2283" s="4" t="s">
        <v>4251</v>
      </c>
      <c r="L2283" s="48" t="str">
        <f aca="false">HYPERLINK("https://boxd.it/1Aqq","open")</f>
        <v>open</v>
      </c>
      <c r="M2283" s="4" t="str">
        <f aca="false">LOWER(A2283)&amp;"|"&amp;B2283</f>
        <v>thirst|2009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1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</row>
    <row r="2284" customFormat="false" ht="15" hidden="false" customHeight="false" outlineLevel="0" collapsed="false">
      <c r="A2284" s="4" t="s">
        <v>2867</v>
      </c>
      <c r="B2284" s="4" t="n">
        <v>2006</v>
      </c>
      <c r="C2284" s="4" t="str">
        <f aca="false">FLOOR(B2284,10)&amp;"s"</f>
        <v>2000s</v>
      </c>
      <c r="D2284" s="4" t="s">
        <v>2868</v>
      </c>
      <c r="E2284" s="25" t="str">
        <f aca="false">IF(G2284=1,"✓","")</f>
        <v/>
      </c>
      <c r="F2284" s="4" t="n">
        <v>1</v>
      </c>
      <c r="G2284" s="4" t="n">
        <f aca="false">IF(COUNTIF('Letterboxd Watched'!$E$2:$E$3000,M2284)&gt;0,1,0)</f>
        <v>0</v>
      </c>
      <c r="H2284" s="4" t="n">
        <v>2</v>
      </c>
      <c r="I2284" s="4" t="s">
        <v>213</v>
      </c>
      <c r="J2284" s="4" t="s">
        <v>56</v>
      </c>
      <c r="K2284" s="4" t="s">
        <v>4396</v>
      </c>
      <c r="L2284" s="48" t="str">
        <f aca="false">HYPERLINK("https://boxd.it/1T44","open")</f>
        <v>open</v>
      </c>
      <c r="M2284" s="4" t="str">
        <f aca="false">LOWER(A2284)&amp;"|"&amp;B2284</f>
        <v>this is england|2006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1</v>
      </c>
      <c r="V2284" s="4" t="n">
        <v>0</v>
      </c>
      <c r="W2284" s="4" t="n">
        <v>0</v>
      </c>
    </row>
    <row r="2285" customFormat="false" ht="15" hidden="false" customHeight="false" outlineLevel="0" collapsed="false">
      <c r="A2285" s="4" t="s">
        <v>2967</v>
      </c>
      <c r="B2285" s="4" t="n">
        <v>2011</v>
      </c>
      <c r="C2285" s="4" t="str">
        <f aca="false">FLOOR(B2285,10)&amp;"s"</f>
        <v>2010s</v>
      </c>
      <c r="D2285" s="4" t="s">
        <v>2968</v>
      </c>
      <c r="E2285" s="25" t="str">
        <f aca="false">IF(G2285=1,"✓","")</f>
        <v/>
      </c>
      <c r="F2285" s="4" t="n">
        <v>1</v>
      </c>
      <c r="G2285" s="4" t="n">
        <f aca="false">IF(COUNTIF('Letterboxd Watched'!$E$2:$E$3000,M2285)&gt;0,1,0)</f>
        <v>0</v>
      </c>
      <c r="H2285" s="4" t="n">
        <v>2</v>
      </c>
      <c r="I2285" s="4" t="s">
        <v>213</v>
      </c>
      <c r="J2285" s="4" t="s">
        <v>51</v>
      </c>
      <c r="K2285" s="4" t="s">
        <v>4034</v>
      </c>
      <c r="L2285" s="48" t="str">
        <f aca="false">HYPERLINK("https://letterboxd.com/search/films/This+Is+Not+a+Film+2011/","open")</f>
        <v>open</v>
      </c>
      <c r="M2285" s="4" t="str">
        <f aca="false">LOWER(A2285)&amp;"|"&amp;B2285</f>
        <v>this is not a film|2011</v>
      </c>
      <c r="N2285" s="4" t="n">
        <v>0</v>
      </c>
      <c r="O2285" s="4" t="n">
        <v>0</v>
      </c>
      <c r="P2285" s="4" t="n">
        <v>1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</row>
    <row r="2286" customFormat="false" ht="15" hidden="false" customHeight="false" outlineLevel="0" collapsed="false">
      <c r="A2286" s="4" t="s">
        <v>889</v>
      </c>
      <c r="B2286" s="4" t="n">
        <v>1984</v>
      </c>
      <c r="C2286" s="4" t="str">
        <f aca="false">FLOOR(B2286,10)&amp;"s"</f>
        <v>1980s</v>
      </c>
      <c r="D2286" s="4" t="s">
        <v>822</v>
      </c>
      <c r="E2286" s="25" t="str">
        <f aca="false">IF(G2286=1,"✓","")</f>
        <v/>
      </c>
      <c r="F2286" s="4" t="n">
        <v>2</v>
      </c>
      <c r="G2286" s="4" t="n">
        <f aca="false">IF(COUNTIF('Letterboxd Watched'!$E$2:$E$3000,M2286)&gt;0,1,0)</f>
        <v>0</v>
      </c>
      <c r="H2286" s="4" t="n">
        <v>5</v>
      </c>
      <c r="I2286" s="4" t="s">
        <v>144</v>
      </c>
      <c r="J2286" s="4" t="s">
        <v>52</v>
      </c>
      <c r="K2286" s="4" t="s">
        <v>5858</v>
      </c>
      <c r="L2286" s="48" t="str">
        <f aca="false">HYPERLINK("https://boxd.it/1UOs","open")</f>
        <v>open</v>
      </c>
      <c r="M2286" s="4" t="str">
        <f aca="false">LOWER(A2286)&amp;"|"&amp;B2286</f>
        <v>this is spinal tap|1984</v>
      </c>
      <c r="N2286" s="4" t="n">
        <v>0</v>
      </c>
      <c r="O2286" s="4" t="n">
        <v>0</v>
      </c>
      <c r="P2286" s="4" t="n">
        <v>0</v>
      </c>
      <c r="Q2286" s="4" t="n">
        <v>1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</row>
    <row r="2287" customFormat="false" ht="15" hidden="false" customHeight="false" outlineLevel="0" collapsed="false">
      <c r="A2287" s="4" t="s">
        <v>2021</v>
      </c>
      <c r="B2287" s="4" t="n">
        <v>1963</v>
      </c>
      <c r="C2287" s="4" t="str">
        <f aca="false">FLOOR(B2287,10)&amp;"s"</f>
        <v>1960s</v>
      </c>
      <c r="D2287" s="4" t="s">
        <v>997</v>
      </c>
      <c r="E2287" s="25" t="str">
        <f aca="false">IF(G2287=1,"✓","")</f>
        <v/>
      </c>
      <c r="F2287" s="4" t="n">
        <v>1</v>
      </c>
      <c r="G2287" s="4" t="n">
        <f aca="false">IF(COUNTIF('Letterboxd Watched'!$E$2:$E$3000,M2287)&gt;0,1,0)</f>
        <v>0</v>
      </c>
      <c r="H2287" s="4" t="n">
        <v>2</v>
      </c>
      <c r="I2287" s="4" t="s">
        <v>213</v>
      </c>
      <c r="J2287" s="4" t="s">
        <v>51</v>
      </c>
      <c r="K2287" s="4" t="s">
        <v>3980</v>
      </c>
      <c r="L2287" s="48" t="str">
        <f aca="false">HYPERLINK("https://boxd.it/1Glw","open")</f>
        <v>open</v>
      </c>
      <c r="M2287" s="4" t="str">
        <f aca="false">LOWER(A2287)&amp;"|"&amp;B2287</f>
        <v>this sporting life|1963</v>
      </c>
      <c r="N2287" s="4" t="n">
        <v>0</v>
      </c>
      <c r="O2287" s="4" t="n">
        <v>0</v>
      </c>
      <c r="P2287" s="4" t="n">
        <v>1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</row>
    <row r="2288" customFormat="false" ht="15" hidden="false" customHeight="false" outlineLevel="0" collapsed="false">
      <c r="A2288" s="4" t="s">
        <v>2133</v>
      </c>
      <c r="B2288" s="4" t="n">
        <v>1968</v>
      </c>
      <c r="C2288" s="4" t="str">
        <f aca="false">FLOOR(B2288,10)&amp;"s"</f>
        <v>1960s</v>
      </c>
      <c r="D2288" s="4" t="s">
        <v>2116</v>
      </c>
      <c r="E2288" s="25" t="str">
        <f aca="false">IF(G2288=1,"✓","")</f>
        <v/>
      </c>
      <c r="F2288" s="4" t="n">
        <v>1</v>
      </c>
      <c r="G2288" s="4" t="n">
        <f aca="false">IF(COUNTIF('Letterboxd Watched'!$E$2:$E$3000,M2288)&gt;0,1,0)</f>
        <v>0</v>
      </c>
      <c r="H2288" s="4" t="n">
        <v>2</v>
      </c>
      <c r="I2288" s="4" t="s">
        <v>213</v>
      </c>
      <c r="J2288" s="4" t="s">
        <v>58</v>
      </c>
      <c r="K2288" s="4" t="s">
        <v>4478</v>
      </c>
      <c r="L2288" s="48" t="str">
        <f aca="false">HYPERLINK("https://boxd.it/29iw","open")</f>
        <v>open</v>
      </c>
      <c r="M2288" s="4" t="str">
        <f aca="false">LOWER(A2288)&amp;"|"&amp;B2288</f>
        <v>the thomas crown affair|1968</v>
      </c>
      <c r="N2288" s="4" t="n">
        <v>0</v>
      </c>
      <c r="O2288" s="4" t="n">
        <v>0</v>
      </c>
      <c r="P2288" s="4" t="n">
        <v>0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1</v>
      </c>
    </row>
    <row r="2289" customFormat="false" ht="15" hidden="false" customHeight="false" outlineLevel="0" collapsed="false">
      <c r="A2289" s="4" t="s">
        <v>1065</v>
      </c>
      <c r="B2289" s="4" t="n">
        <v>1984</v>
      </c>
      <c r="C2289" s="4" t="str">
        <f aca="false">FLOOR(B2289,10)&amp;"s"</f>
        <v>1980s</v>
      </c>
      <c r="D2289" s="4" t="s">
        <v>1066</v>
      </c>
      <c r="E2289" s="25" t="str">
        <f aca="false">IF(G2289=1,"✓","")</f>
        <v>✓</v>
      </c>
      <c r="F2289" s="4" t="n">
        <v>2</v>
      </c>
      <c r="G2289" s="4" t="n">
        <f aca="false">IF(COUNTIF('Letterboxd Watched'!$E$2:$E$3000,M2289)&gt;0,1,0)</f>
        <v>1</v>
      </c>
      <c r="H2289" s="4" t="n">
        <v>4</v>
      </c>
      <c r="I2289" s="4" t="s">
        <v>213</v>
      </c>
      <c r="J2289" s="4" t="s">
        <v>55</v>
      </c>
      <c r="K2289" s="4" t="s">
        <v>5859</v>
      </c>
      <c r="L2289" s="48" t="str">
        <f aca="false">HYPERLINK("https://boxd.it/1I0g","open")</f>
        <v>open</v>
      </c>
      <c r="M2289" s="4" t="str">
        <f aca="false">LOWER(A2289)&amp;"|"&amp;B2289</f>
        <v>threads|1984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1</v>
      </c>
      <c r="U2289" s="4" t="n">
        <v>0</v>
      </c>
      <c r="V2289" s="4" t="n">
        <v>0</v>
      </c>
      <c r="W2289" s="4" t="n">
        <v>1</v>
      </c>
    </row>
    <row r="2290" customFormat="false" ht="15" hidden="false" customHeight="false" outlineLevel="0" collapsed="false">
      <c r="A2290" s="4" t="s">
        <v>2834</v>
      </c>
      <c r="B2290" s="4" t="n">
        <v>2005</v>
      </c>
      <c r="C2290" s="4" t="str">
        <f aca="false">FLOOR(B2290,10)&amp;"s"</f>
        <v>2000s</v>
      </c>
      <c r="D2290" s="4" t="s">
        <v>2835</v>
      </c>
      <c r="E2290" s="25" t="str">
        <f aca="false">IF(G2290=1,"✓","")</f>
        <v/>
      </c>
      <c r="F2290" s="4" t="n">
        <v>1</v>
      </c>
      <c r="G2290" s="4" t="n">
        <f aca="false">IF(COUNTIF('Letterboxd Watched'!$E$2:$E$3000,M2290)&gt;0,1,0)</f>
        <v>0</v>
      </c>
      <c r="H2290" s="4" t="n">
        <v>2</v>
      </c>
      <c r="I2290" s="4" t="s">
        <v>213</v>
      </c>
      <c r="J2290" s="4" t="s">
        <v>52</v>
      </c>
      <c r="K2290" s="4" t="s">
        <v>4056</v>
      </c>
      <c r="L2290" s="48" t="str">
        <f aca="false">HYPERLINK("https://letterboxd.com/search/films/The+Three+Burials+of+Melquiades+Estrada+2005/","open")</f>
        <v>open</v>
      </c>
      <c r="M2290" s="4" t="str">
        <f aca="false">LOWER(A2290)&amp;"|"&amp;B2290</f>
        <v>the three burials of melquiades estrada|2005</v>
      </c>
      <c r="N2290" s="4" t="n">
        <v>0</v>
      </c>
      <c r="O2290" s="4" t="n">
        <v>0</v>
      </c>
      <c r="P2290" s="4" t="n">
        <v>0</v>
      </c>
      <c r="Q2290" s="4" t="n">
        <v>1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</row>
    <row r="2291" customFormat="false" ht="15" hidden="false" customHeight="false" outlineLevel="0" collapsed="false">
      <c r="A2291" s="4" t="s">
        <v>1554</v>
      </c>
      <c r="B2291" s="4" t="n">
        <v>1993</v>
      </c>
      <c r="C2291" s="4" t="str">
        <f aca="false">FLOOR(B2291,10)&amp;"s"</f>
        <v>1990s</v>
      </c>
      <c r="D2291" s="4" t="s">
        <v>1042</v>
      </c>
      <c r="E2291" s="25" t="str">
        <f aca="false">IF(G2291=1,"✓","")</f>
        <v/>
      </c>
      <c r="F2291" s="4" t="n">
        <v>1</v>
      </c>
      <c r="G2291" s="4" t="n">
        <f aca="false">IF(COUNTIF('Letterboxd Watched'!$E$2:$E$3000,M2291)&gt;0,1,0)</f>
        <v>0</v>
      </c>
      <c r="H2291" s="4" t="n">
        <v>3</v>
      </c>
      <c r="I2291" s="4" t="s">
        <v>144</v>
      </c>
      <c r="J2291" s="4" t="s">
        <v>53</v>
      </c>
      <c r="K2291" s="4" t="s">
        <v>1042</v>
      </c>
      <c r="L2291" s="48" t="str">
        <f aca="false">HYPERLINK("https://letterboxd.com/search/films/Three+Colors+Blue+1993/","open")</f>
        <v>open</v>
      </c>
      <c r="M2291" s="4" t="str">
        <f aca="false">LOWER(A2291)&amp;"|"&amp;B2291</f>
        <v>three colors: blue|1993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1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</row>
    <row r="2292" customFormat="false" ht="15" hidden="false" customHeight="false" outlineLevel="0" collapsed="false">
      <c r="A2292" s="4" t="s">
        <v>2590</v>
      </c>
      <c r="B2292" s="4" t="n">
        <v>1994</v>
      </c>
      <c r="C2292" s="4" t="str">
        <f aca="false">FLOOR(B2292,10)&amp;"s"</f>
        <v>1990s</v>
      </c>
      <c r="D2292" s="4" t="s">
        <v>1042</v>
      </c>
      <c r="E2292" s="25" t="str">
        <f aca="false">IF(G2292=1,"✓","")</f>
        <v/>
      </c>
      <c r="F2292" s="4" t="n">
        <v>1</v>
      </c>
      <c r="G2292" s="4" t="n">
        <f aca="false">IF(COUNTIF('Letterboxd Watched'!$E$2:$E$3000,M2292)&gt;0,1,0)</f>
        <v>0</v>
      </c>
      <c r="H2292" s="4" t="n">
        <v>2</v>
      </c>
      <c r="I2292" s="4" t="s">
        <v>213</v>
      </c>
      <c r="J2292" s="4" t="s">
        <v>53</v>
      </c>
      <c r="K2292" s="4" t="s">
        <v>1042</v>
      </c>
      <c r="L2292" s="48" t="str">
        <f aca="false">HYPERLINK("https://letterboxd.com/search/films/Three+Colors+Red+1994/","open")</f>
        <v>open</v>
      </c>
      <c r="M2292" s="4" t="str">
        <f aca="false">LOWER(A2292)&amp;"|"&amp;B2292</f>
        <v>three colors: red|1994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1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</row>
    <row r="2293" customFormat="false" ht="15" hidden="false" customHeight="false" outlineLevel="0" collapsed="false">
      <c r="A2293" s="4" t="s">
        <v>2589</v>
      </c>
      <c r="B2293" s="4" t="n">
        <v>1994</v>
      </c>
      <c r="C2293" s="4" t="str">
        <f aca="false">FLOOR(B2293,10)&amp;"s"</f>
        <v>1990s</v>
      </c>
      <c r="D2293" s="4" t="s">
        <v>1042</v>
      </c>
      <c r="E2293" s="25" t="str">
        <f aca="false">IF(G2293=1,"✓","")</f>
        <v/>
      </c>
      <c r="F2293" s="4" t="n">
        <v>1</v>
      </c>
      <c r="G2293" s="4" t="n">
        <f aca="false">IF(COUNTIF('Letterboxd Watched'!$E$2:$E$3000,M2293)&gt;0,1,0)</f>
        <v>0</v>
      </c>
      <c r="H2293" s="4" t="n">
        <v>2</v>
      </c>
      <c r="I2293" s="4" t="s">
        <v>213</v>
      </c>
      <c r="J2293" s="4" t="s">
        <v>53</v>
      </c>
      <c r="K2293" s="4" t="s">
        <v>1042</v>
      </c>
      <c r="L2293" s="48" t="str">
        <f aca="false">HYPERLINK("https://letterboxd.com/search/films/Three+Colors+White+1994/","open")</f>
        <v>open</v>
      </c>
      <c r="M2293" s="4" t="str">
        <f aca="false">LOWER(A2293)&amp;"|"&amp;B2293</f>
        <v>three colors: white|1994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1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</row>
    <row r="2294" customFormat="false" ht="15" hidden="false" customHeight="false" outlineLevel="0" collapsed="false">
      <c r="A2294" s="4" t="s">
        <v>1276</v>
      </c>
      <c r="B2294" s="4" t="n">
        <v>1975</v>
      </c>
      <c r="C2294" s="4" t="str">
        <f aca="false">FLOOR(B2294,10)&amp;"s"</f>
        <v>1970s</v>
      </c>
      <c r="D2294" s="4" t="s">
        <v>1058</v>
      </c>
      <c r="E2294" s="25" t="str">
        <f aca="false">IF(G2294=1,"✓","")</f>
        <v/>
      </c>
      <c r="F2294" s="4" t="n">
        <v>2</v>
      </c>
      <c r="G2294" s="4" t="n">
        <f aca="false">IF(COUNTIF('Letterboxd Watched'!$E$2:$E$3000,M2294)&gt;0,1,0)</f>
        <v>0</v>
      </c>
      <c r="H2294" s="4" t="n">
        <v>4</v>
      </c>
      <c r="I2294" s="4" t="s">
        <v>213</v>
      </c>
      <c r="J2294" s="4" t="s">
        <v>52</v>
      </c>
      <c r="K2294" s="4" t="s">
        <v>5860</v>
      </c>
      <c r="L2294" s="48" t="str">
        <f aca="false">HYPERLINK("https://boxd.it/1SF4","open")</f>
        <v>open</v>
      </c>
      <c r="M2294" s="4" t="str">
        <f aca="false">LOWER(A2294)&amp;"|"&amp;B2294</f>
        <v>three days of the condor|1975</v>
      </c>
      <c r="N2294" s="4" t="n">
        <v>0</v>
      </c>
      <c r="O2294" s="4" t="n">
        <v>0</v>
      </c>
      <c r="P2294" s="4" t="n">
        <v>0</v>
      </c>
      <c r="Q2294" s="4" t="n">
        <v>1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</row>
    <row r="2295" customFormat="false" ht="15" hidden="false" customHeight="false" outlineLevel="0" collapsed="false">
      <c r="A2295" s="4" t="s">
        <v>2703</v>
      </c>
      <c r="B2295" s="4" t="n">
        <v>1999</v>
      </c>
      <c r="C2295" s="4" t="str">
        <f aca="false">FLOOR(B2295,10)&amp;"s"</f>
        <v>1990s</v>
      </c>
      <c r="D2295" s="4" t="s">
        <v>2704</v>
      </c>
      <c r="E2295" s="25" t="str">
        <f aca="false">IF(G2295=1,"✓","")</f>
        <v/>
      </c>
      <c r="F2295" s="4" t="n">
        <v>1</v>
      </c>
      <c r="G2295" s="4" t="n">
        <f aca="false">IF(COUNTIF('Letterboxd Watched'!$E$2:$E$3000,M2295)&gt;0,1,0)</f>
        <v>0</v>
      </c>
      <c r="H2295" s="4" t="n">
        <v>2</v>
      </c>
      <c r="I2295" s="4" t="s">
        <v>213</v>
      </c>
      <c r="J2295" s="4" t="s">
        <v>52</v>
      </c>
      <c r="K2295" s="4" t="s">
        <v>4142</v>
      </c>
      <c r="L2295" s="48" t="str">
        <f aca="false">HYPERLINK("https://boxd.it/21IG","open")</f>
        <v>open</v>
      </c>
      <c r="M2295" s="4" t="str">
        <f aca="false">LOWER(A2295)&amp;"|"&amp;B2295</f>
        <v>three kings|1999</v>
      </c>
      <c r="N2295" s="4" t="n">
        <v>0</v>
      </c>
      <c r="O2295" s="4" t="n">
        <v>0</v>
      </c>
      <c r="P2295" s="4" t="n">
        <v>0</v>
      </c>
      <c r="Q2295" s="4" t="n">
        <v>1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</row>
    <row r="2296" customFormat="false" ht="15" hidden="false" customHeight="false" outlineLevel="0" collapsed="false">
      <c r="A2296" s="4" t="s">
        <v>3310</v>
      </c>
      <c r="B2296" s="4" t="n">
        <v>1932</v>
      </c>
      <c r="C2296" s="4" t="str">
        <f aca="false">FLOOR(B2296,10)&amp;"s"</f>
        <v>1930s</v>
      </c>
      <c r="D2296" s="4" t="s">
        <v>909</v>
      </c>
      <c r="E2296" s="25" t="str">
        <f aca="false">IF(G2296=1,"✓","")</f>
        <v/>
      </c>
      <c r="F2296" s="4" t="n">
        <v>1</v>
      </c>
      <c r="G2296" s="4" t="n">
        <f aca="false">IF(COUNTIF('Letterboxd Watched'!$E$2:$E$3000,M2296)&gt;0,1,0)</f>
        <v>0</v>
      </c>
      <c r="H2296" s="4" t="n">
        <v>1</v>
      </c>
      <c r="I2296" s="4" t="s">
        <v>1327</v>
      </c>
      <c r="J2296" s="4" t="s">
        <v>50</v>
      </c>
      <c r="K2296" s="4" t="s">
        <v>3908</v>
      </c>
      <c r="L2296" s="48" t="str">
        <f aca="false">HYPERLINK("https://boxd.it/VIS","open")</f>
        <v>open</v>
      </c>
      <c r="M2296" s="4" t="str">
        <f aca="false">LOWER(A2296)&amp;"|"&amp;B2296</f>
        <v>three on a match|1932</v>
      </c>
      <c r="N2296" s="4" t="n">
        <v>0</v>
      </c>
      <c r="O2296" s="4" t="n">
        <v>1</v>
      </c>
      <c r="P2296" s="4" t="n">
        <v>0</v>
      </c>
      <c r="Q2296" s="4" t="n">
        <v>0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</row>
    <row r="2297" customFormat="false" ht="15" hidden="false" customHeight="false" outlineLevel="0" collapsed="false">
      <c r="A2297" s="4" t="s">
        <v>3319</v>
      </c>
      <c r="B2297" s="4" t="n">
        <v>1934</v>
      </c>
      <c r="C2297" s="4" t="str">
        <f aca="false">FLOOR(B2297,10)&amp;"s"</f>
        <v>1930s</v>
      </c>
      <c r="D2297" s="4" t="s">
        <v>181</v>
      </c>
      <c r="E2297" s="25" t="str">
        <f aca="false">IF(G2297=1,"✓","")</f>
        <v/>
      </c>
      <c r="F2297" s="4" t="n">
        <v>1</v>
      </c>
      <c r="G2297" s="4" t="n">
        <f aca="false">IF(COUNTIF('Letterboxd Watched'!$E$2:$E$3000,M2297)&gt;0,1,0)</f>
        <v>0</v>
      </c>
      <c r="H2297" s="4" t="n">
        <v>1</v>
      </c>
      <c r="I2297" s="4" t="s">
        <v>1327</v>
      </c>
      <c r="J2297" s="4" t="s">
        <v>54</v>
      </c>
      <c r="K2297" s="4" t="s">
        <v>4272</v>
      </c>
      <c r="L2297" s="48" t="str">
        <f aca="false">HYPERLINK("https://letterboxd.com/search/films/Three+Songs+About+Lenin+1934/","open")</f>
        <v>open</v>
      </c>
      <c r="M2297" s="4" t="str">
        <f aca="false">LOWER(A2297)&amp;"|"&amp;B2297</f>
        <v>three songs about lenin|1934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1</v>
      </c>
      <c r="T2297" s="4" t="n">
        <v>0</v>
      </c>
      <c r="U2297" s="4" t="n">
        <v>0</v>
      </c>
      <c r="V2297" s="4" t="n">
        <v>0</v>
      </c>
      <c r="W2297" s="4" t="n">
        <v>0</v>
      </c>
    </row>
    <row r="2298" customFormat="false" ht="15" hidden="false" customHeight="false" outlineLevel="0" collapsed="false">
      <c r="A2298" s="4" t="s">
        <v>2840</v>
      </c>
      <c r="B2298" s="4" t="n">
        <v>2005</v>
      </c>
      <c r="C2298" s="4" t="str">
        <f aca="false">FLOOR(B2298,10)&amp;"s"</f>
        <v>2000s</v>
      </c>
      <c r="D2298" s="4" t="s">
        <v>492</v>
      </c>
      <c r="E2298" s="25" t="str">
        <f aca="false">IF(G2298=1,"✓","")</f>
        <v/>
      </c>
      <c r="F2298" s="4" t="n">
        <v>1</v>
      </c>
      <c r="G2298" s="4" t="n">
        <f aca="false">IF(COUNTIF('Letterboxd Watched'!$E$2:$E$3000,M2298)&gt;0,1,0)</f>
        <v>0</v>
      </c>
      <c r="H2298" s="4" t="n">
        <v>2</v>
      </c>
      <c r="I2298" s="4" t="s">
        <v>213</v>
      </c>
      <c r="J2298" s="4" t="s">
        <v>53</v>
      </c>
      <c r="K2298" s="4" t="s">
        <v>4255</v>
      </c>
      <c r="L2298" s="48" t="str">
        <f aca="false">HYPERLINK("https://boxd.it/1Tzm","open")</f>
        <v>open</v>
      </c>
      <c r="M2298" s="4" t="str">
        <f aca="false">LOWER(A2298)&amp;"|"&amp;B2298</f>
        <v>three times|2005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1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</row>
    <row r="2299" customFormat="false" ht="15" hidden="false" customHeight="false" outlineLevel="0" collapsed="false">
      <c r="A2299" s="4" t="s">
        <v>578</v>
      </c>
      <c r="B2299" s="4" t="n">
        <v>1957</v>
      </c>
      <c r="C2299" s="4" t="str">
        <f aca="false">FLOOR(B2299,10)&amp;"s"</f>
        <v>1950s</v>
      </c>
      <c r="D2299" s="4" t="s">
        <v>156</v>
      </c>
      <c r="E2299" s="25" t="str">
        <f aca="false">IF(G2299=1,"✓","")</f>
        <v>✓</v>
      </c>
      <c r="F2299" s="4" t="n">
        <v>3</v>
      </c>
      <c r="G2299" s="4" t="n">
        <f aca="false">IF(COUNTIF('Letterboxd Watched'!$E$2:$E$3000,M2299)&gt;0,1,0)</f>
        <v>1</v>
      </c>
      <c r="H2299" s="4" t="n">
        <v>6</v>
      </c>
      <c r="I2299" s="4" t="s">
        <v>213</v>
      </c>
      <c r="J2299" s="4" t="s">
        <v>51</v>
      </c>
      <c r="K2299" s="4" t="s">
        <v>5861</v>
      </c>
      <c r="L2299" s="48" t="str">
        <f aca="false">HYPERLINK("https://boxd.it/251w","open")</f>
        <v>open</v>
      </c>
      <c r="M2299" s="4" t="str">
        <f aca="false">LOWER(A2299)&amp;"|"&amp;B2299</f>
        <v>throne of blood|1957</v>
      </c>
      <c r="N2299" s="4" t="n">
        <v>0</v>
      </c>
      <c r="O2299" s="4" t="n">
        <v>0</v>
      </c>
      <c r="P2299" s="4" t="n">
        <v>1</v>
      </c>
      <c r="Q2299" s="4" t="n">
        <v>0</v>
      </c>
      <c r="R2299" s="4" t="n">
        <v>1</v>
      </c>
      <c r="S2299" s="4" t="n">
        <v>0</v>
      </c>
      <c r="T2299" s="4" t="n">
        <v>0</v>
      </c>
      <c r="U2299" s="4" t="n">
        <v>1</v>
      </c>
      <c r="V2299" s="4" t="n">
        <v>0</v>
      </c>
      <c r="W2299" s="4" t="n">
        <v>0</v>
      </c>
    </row>
    <row r="2300" customFormat="false" ht="15" hidden="false" customHeight="false" outlineLevel="0" collapsed="false">
      <c r="A2300" s="4" t="s">
        <v>1998</v>
      </c>
      <c r="B2300" s="4" t="n">
        <v>1961</v>
      </c>
      <c r="C2300" s="4" t="str">
        <f aca="false">FLOOR(B2300,10)&amp;"s"</f>
        <v>1960s</v>
      </c>
      <c r="D2300" s="4" t="s">
        <v>170</v>
      </c>
      <c r="E2300" s="25" t="str">
        <f aca="false">IF(G2300=1,"✓","")</f>
        <v/>
      </c>
      <c r="F2300" s="4" t="n">
        <v>1</v>
      </c>
      <c r="G2300" s="4" t="n">
        <f aca="false">IF(COUNTIF('Letterboxd Watched'!$E$2:$E$3000,M2300)&gt;0,1,0)</f>
        <v>0</v>
      </c>
      <c r="H2300" s="4" t="n">
        <v>2</v>
      </c>
      <c r="I2300" s="4" t="s">
        <v>213</v>
      </c>
      <c r="J2300" s="4" t="s">
        <v>53</v>
      </c>
      <c r="K2300" s="4" t="s">
        <v>170</v>
      </c>
      <c r="L2300" s="48" t="str">
        <f aca="false">HYPERLINK("https://boxd.it/1TrW","open")</f>
        <v>open</v>
      </c>
      <c r="M2300" s="4" t="str">
        <f aca="false">LOWER(A2300)&amp;"|"&amp;B2300</f>
        <v>through a glass darkly|1961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1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</row>
    <row r="2301" customFormat="false" ht="15" hidden="false" customHeight="false" outlineLevel="0" collapsed="false">
      <c r="A2301" s="4" t="s">
        <v>1107</v>
      </c>
      <c r="B2301" s="4" t="n">
        <v>1994</v>
      </c>
      <c r="C2301" s="4" t="str">
        <f aca="false">FLOOR(B2301,10)&amp;"s"</f>
        <v>1990s</v>
      </c>
      <c r="D2301" s="4" t="s">
        <v>203</v>
      </c>
      <c r="E2301" s="25" t="str">
        <f aca="false">IF(G2301=1,"✓","")</f>
        <v/>
      </c>
      <c r="F2301" s="4" t="n">
        <v>2</v>
      </c>
      <c r="G2301" s="4" t="n">
        <f aca="false">IF(COUNTIF('Letterboxd Watched'!$E$2:$E$3000,M2301)&gt;0,1,0)</f>
        <v>0</v>
      </c>
      <c r="H2301" s="4" t="n">
        <v>4</v>
      </c>
      <c r="I2301" s="4" t="s">
        <v>213</v>
      </c>
      <c r="J2301" s="4" t="s">
        <v>51</v>
      </c>
      <c r="K2301" s="4" t="s">
        <v>5567</v>
      </c>
      <c r="L2301" s="48" t="str">
        <f aca="false">HYPERLINK("https://boxd.it/Lx6","open")</f>
        <v>open</v>
      </c>
      <c r="M2301" s="4" t="str">
        <f aca="false">LOWER(A2301)&amp;"|"&amp;B2301</f>
        <v>through the olive trees|1994</v>
      </c>
      <c r="N2301" s="4" t="n">
        <v>0</v>
      </c>
      <c r="O2301" s="4" t="n">
        <v>0</v>
      </c>
      <c r="P2301" s="4" t="n">
        <v>1</v>
      </c>
      <c r="Q2301" s="4" t="n">
        <v>0</v>
      </c>
      <c r="R2301" s="4" t="n">
        <v>1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</row>
    <row r="2302" customFormat="false" ht="15" hidden="false" customHeight="false" outlineLevel="0" collapsed="false">
      <c r="A2302" s="4" t="s">
        <v>2179</v>
      </c>
      <c r="B2302" s="4" t="n">
        <v>1971</v>
      </c>
      <c r="C2302" s="4" t="str">
        <f aca="false">FLOOR(B2302,10)&amp;"s"</f>
        <v>1970s</v>
      </c>
      <c r="D2302" s="4" t="s">
        <v>257</v>
      </c>
      <c r="E2302" s="25" t="str">
        <f aca="false">IF(G2302=1,"✓","")</f>
        <v/>
      </c>
      <c r="F2302" s="4" t="n">
        <v>1</v>
      </c>
      <c r="G2302" s="4" t="n">
        <f aca="false">IF(COUNTIF('Letterboxd Watched'!$E$2:$E$3000,M2302)&gt;0,1,0)</f>
        <v>0</v>
      </c>
      <c r="H2302" s="4" t="n">
        <v>2</v>
      </c>
      <c r="I2302" s="4" t="s">
        <v>213</v>
      </c>
      <c r="J2302" s="4" t="s">
        <v>52</v>
      </c>
      <c r="K2302" s="4" t="s">
        <v>4086</v>
      </c>
      <c r="L2302" s="48" t="str">
        <f aca="false">HYPERLINK("https://boxd.it/29Ww","open")</f>
        <v>open</v>
      </c>
      <c r="M2302" s="4" t="str">
        <f aca="false">LOWER(A2302)&amp;"|"&amp;B2302</f>
        <v>thx 1138|1971</v>
      </c>
      <c r="N2302" s="4" t="n">
        <v>0</v>
      </c>
      <c r="O2302" s="4" t="n">
        <v>0</v>
      </c>
      <c r="P2302" s="4" t="n">
        <v>0</v>
      </c>
      <c r="Q2302" s="4" t="n">
        <v>1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</row>
    <row r="2303" customFormat="false" ht="15" hidden="false" customHeight="false" outlineLevel="0" collapsed="false">
      <c r="A2303" s="4" t="s">
        <v>3048</v>
      </c>
      <c r="B2303" s="4" t="n">
        <v>2014</v>
      </c>
      <c r="C2303" s="4" t="str">
        <f aca="false">FLOOR(B2303,10)&amp;"s"</f>
        <v>2010s</v>
      </c>
      <c r="D2303" s="4" t="s">
        <v>3049</v>
      </c>
      <c r="E2303" s="25" t="str">
        <f aca="false">IF(G2303=1,"✓","")</f>
        <v/>
      </c>
      <c r="F2303" s="4" t="n">
        <v>1</v>
      </c>
      <c r="G2303" s="4" t="n">
        <f aca="false">IF(COUNTIF('Letterboxd Watched'!$E$2:$E$3000,M2303)&gt;0,1,0)</f>
        <v>0</v>
      </c>
      <c r="H2303" s="4" t="n">
        <v>2</v>
      </c>
      <c r="I2303" s="4" t="s">
        <v>213</v>
      </c>
      <c r="J2303" s="4" t="s">
        <v>51</v>
      </c>
      <c r="K2303" s="4" t="s">
        <v>4036</v>
      </c>
      <c r="L2303" s="48" t="str">
        <f aca="false">HYPERLINK("https://boxd.it/7UrK","open")</f>
        <v>open</v>
      </c>
      <c r="M2303" s="4" t="str">
        <f aca="false">LOWER(A2303)&amp;"|"&amp;B2303</f>
        <v>timbuktu|2014</v>
      </c>
      <c r="N2303" s="4" t="n">
        <v>0</v>
      </c>
      <c r="O2303" s="4" t="n">
        <v>0</v>
      </c>
      <c r="P2303" s="4" t="n">
        <v>1</v>
      </c>
      <c r="Q2303" s="4" t="n">
        <v>0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</row>
    <row r="2304" customFormat="false" ht="15" hidden="false" customHeight="false" outlineLevel="0" collapsed="false">
      <c r="A2304" s="4" t="s">
        <v>2465</v>
      </c>
      <c r="B2304" s="4" t="n">
        <v>1988</v>
      </c>
      <c r="C2304" s="4" t="str">
        <f aca="false">FLOOR(B2304,10)&amp;"s"</f>
        <v>1980s</v>
      </c>
      <c r="D2304" s="4" t="s">
        <v>1566</v>
      </c>
      <c r="E2304" s="25" t="str">
        <f aca="false">IF(G2304=1,"✓","")</f>
        <v/>
      </c>
      <c r="F2304" s="4" t="n">
        <v>1</v>
      </c>
      <c r="G2304" s="4" t="n">
        <f aca="false">IF(COUNTIF('Letterboxd Watched'!$E$2:$E$3000,M2304)&gt;0,1,0)</f>
        <v>0</v>
      </c>
      <c r="H2304" s="4" t="n">
        <v>2</v>
      </c>
      <c r="I2304" s="4" t="s">
        <v>213</v>
      </c>
      <c r="J2304" s="4" t="s">
        <v>51</v>
      </c>
      <c r="K2304" s="4" t="s">
        <v>3996</v>
      </c>
      <c r="L2304" s="48" t="str">
        <f aca="false">HYPERLINK("https://letterboxd.com/search/films/Time+of+the+Gypsies+1988/","open")</f>
        <v>open</v>
      </c>
      <c r="M2304" s="4" t="str">
        <f aca="false">LOWER(A2304)&amp;"|"&amp;B2304</f>
        <v>time of the gypsies|1988</v>
      </c>
      <c r="N2304" s="4" t="n">
        <v>0</v>
      </c>
      <c r="O2304" s="4" t="n">
        <v>0</v>
      </c>
      <c r="P2304" s="4" t="n">
        <v>1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</row>
    <row r="2305" customFormat="false" ht="15" hidden="false" customHeight="false" outlineLevel="0" collapsed="false">
      <c r="A2305" s="4" t="s">
        <v>3725</v>
      </c>
      <c r="B2305" s="4" t="n">
        <v>2001</v>
      </c>
      <c r="C2305" s="4" t="str">
        <f aca="false">FLOOR(B2305,10)&amp;"s"</f>
        <v>2000s</v>
      </c>
      <c r="D2305" s="4" t="s">
        <v>1182</v>
      </c>
      <c r="E2305" s="25" t="str">
        <f aca="false">IF(G2305=1,"✓","")</f>
        <v/>
      </c>
      <c r="F2305" s="4" t="n">
        <v>1</v>
      </c>
      <c r="G2305" s="4" t="n">
        <f aca="false">IF(COUNTIF('Letterboxd Watched'!$E$2:$E$3000,M2305)&gt;0,1,0)</f>
        <v>0</v>
      </c>
      <c r="H2305" s="4" t="n">
        <v>1</v>
      </c>
      <c r="I2305" s="4" t="s">
        <v>1327</v>
      </c>
      <c r="J2305" s="4" t="s">
        <v>55</v>
      </c>
      <c r="K2305" s="4" t="s">
        <v>4316</v>
      </c>
      <c r="L2305" s="48" t="str">
        <f aca="false">HYPERLINK("https://letterboxd.com/search/films/Time+Out+2001/","open")</f>
        <v>open</v>
      </c>
      <c r="M2305" s="4" t="str">
        <f aca="false">LOWER(A2305)&amp;"|"&amp;B2305</f>
        <v>time out|2001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1</v>
      </c>
      <c r="U2305" s="4" t="n">
        <v>0</v>
      </c>
      <c r="V2305" s="4" t="n">
        <v>0</v>
      </c>
      <c r="W2305" s="4" t="n">
        <v>0</v>
      </c>
    </row>
    <row r="2306" customFormat="false" ht="15" hidden="false" customHeight="false" outlineLevel="0" collapsed="false">
      <c r="A2306" s="4" t="s">
        <v>2412</v>
      </c>
      <c r="B2306" s="4" t="n">
        <v>1985</v>
      </c>
      <c r="C2306" s="4" t="str">
        <f aca="false">FLOOR(B2306,10)&amp;"s"</f>
        <v>1980s</v>
      </c>
      <c r="D2306" s="4" t="s">
        <v>492</v>
      </c>
      <c r="E2306" s="25" t="str">
        <f aca="false">IF(G2306=1,"✓","")</f>
        <v/>
      </c>
      <c r="F2306" s="4" t="n">
        <v>1</v>
      </c>
      <c r="G2306" s="4" t="n">
        <f aca="false">IF(COUNTIF('Letterboxd Watched'!$E$2:$E$3000,M2306)&gt;0,1,0)</f>
        <v>0</v>
      </c>
      <c r="H2306" s="4" t="n">
        <v>2</v>
      </c>
      <c r="I2306" s="4" t="s">
        <v>213</v>
      </c>
      <c r="J2306" s="4" t="s">
        <v>51</v>
      </c>
      <c r="K2306" s="4" t="s">
        <v>4018</v>
      </c>
      <c r="L2306" s="48" t="str">
        <f aca="false">HYPERLINK("https://letterboxd.com/search/films/A+Time+to+Live+a+Time+to+Die+1985/","open")</f>
        <v>open</v>
      </c>
      <c r="M2306" s="4" t="str">
        <f aca="false">LOWER(A2306)&amp;"|"&amp;B2306</f>
        <v>a time to live, a time to die|1985</v>
      </c>
      <c r="N2306" s="4" t="n">
        <v>0</v>
      </c>
      <c r="O2306" s="4" t="n">
        <v>0</v>
      </c>
      <c r="P2306" s="4" t="n">
        <v>1</v>
      </c>
      <c r="Q2306" s="4" t="n">
        <v>0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</row>
    <row r="2307" customFormat="false" ht="15" hidden="false" customHeight="false" outlineLevel="0" collapsed="false">
      <c r="A2307" s="4" t="s">
        <v>2730</v>
      </c>
      <c r="B2307" s="4" t="n">
        <v>2000</v>
      </c>
      <c r="C2307" s="4" t="str">
        <f aca="false">FLOOR(B2307,10)&amp;"s"</f>
        <v>2000s</v>
      </c>
      <c r="D2307" s="4" t="s">
        <v>2596</v>
      </c>
      <c r="E2307" s="25" t="str">
        <f aca="false">IF(G2307=1,"✓","")</f>
        <v/>
      </c>
      <c r="F2307" s="4" t="n">
        <v>1</v>
      </c>
      <c r="G2307" s="4" t="n">
        <f aca="false">IF(COUNTIF('Letterboxd Watched'!$E$2:$E$3000,M2307)&gt;0,1,0)</f>
        <v>0</v>
      </c>
      <c r="H2307" s="4" t="n">
        <v>2</v>
      </c>
      <c r="I2307" s="4" t="s">
        <v>213</v>
      </c>
      <c r="J2307" s="4" t="s">
        <v>56</v>
      </c>
      <c r="K2307" s="4" t="s">
        <v>4376</v>
      </c>
      <c r="L2307" s="48" t="str">
        <f aca="false">HYPERLINK("https://boxd.it/1b1A","open")</f>
        <v>open</v>
      </c>
      <c r="M2307" s="4" t="str">
        <f aca="false">LOWER(A2307)&amp;"|"&amp;B2307</f>
        <v>timecode|2000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1</v>
      </c>
      <c r="V2307" s="4" t="n">
        <v>0</v>
      </c>
      <c r="W2307" s="4" t="n">
        <v>0</v>
      </c>
    </row>
    <row r="2308" customFormat="false" ht="15" hidden="false" customHeight="false" outlineLevel="0" collapsed="false">
      <c r="A2308" s="4" t="s">
        <v>2892</v>
      </c>
      <c r="B2308" s="4" t="n">
        <v>2007</v>
      </c>
      <c r="C2308" s="4" t="str">
        <f aca="false">FLOOR(B2308,10)&amp;"s"</f>
        <v>2000s</v>
      </c>
      <c r="D2308" s="4" t="s">
        <v>2893</v>
      </c>
      <c r="E2308" s="25" t="str">
        <f aca="false">IF(G2308=1,"✓","")</f>
        <v/>
      </c>
      <c r="F2308" s="4" t="n">
        <v>1</v>
      </c>
      <c r="G2308" s="4" t="n">
        <f aca="false">IF(COUNTIF('Letterboxd Watched'!$E$2:$E$3000,M2308)&gt;0,1,0)</f>
        <v>0</v>
      </c>
      <c r="H2308" s="4" t="n">
        <v>2</v>
      </c>
      <c r="I2308" s="4" t="s">
        <v>213</v>
      </c>
      <c r="J2308" s="4" t="s">
        <v>55</v>
      </c>
      <c r="K2308" s="4" t="s">
        <v>4336</v>
      </c>
      <c r="L2308" s="48" t="str">
        <f aca="false">HYPERLINK("https://boxd.it/1OGM","open")</f>
        <v>open</v>
      </c>
      <c r="M2308" s="4" t="str">
        <f aca="false">LOWER(A2308)&amp;"|"&amp;B2308</f>
        <v>timecrimes|2007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1</v>
      </c>
      <c r="U2308" s="4" t="n">
        <v>0</v>
      </c>
      <c r="V2308" s="4" t="n">
        <v>0</v>
      </c>
      <c r="W2308" s="4" t="n">
        <v>0</v>
      </c>
    </row>
    <row r="2309" customFormat="false" ht="15" hidden="false" customHeight="false" outlineLevel="0" collapsed="false">
      <c r="A2309" s="4" t="s">
        <v>2322</v>
      </c>
      <c r="B2309" s="4" t="n">
        <v>1979</v>
      </c>
      <c r="C2309" s="4" t="str">
        <f aca="false">FLOOR(B2309,10)&amp;"s"</f>
        <v>1970s</v>
      </c>
      <c r="D2309" s="4" t="s">
        <v>2323</v>
      </c>
      <c r="E2309" s="25" t="str">
        <f aca="false">IF(G2309=1,"✓","")</f>
        <v/>
      </c>
      <c r="F2309" s="4" t="n">
        <v>1</v>
      </c>
      <c r="G2309" s="4" t="n">
        <f aca="false">IF(COUNTIF('Letterboxd Watched'!$E$2:$E$3000,M2309)&gt;0,1,0)</f>
        <v>0</v>
      </c>
      <c r="H2309" s="4" t="n">
        <v>2</v>
      </c>
      <c r="I2309" s="4" t="s">
        <v>213</v>
      </c>
      <c r="J2309" s="4" t="s">
        <v>51</v>
      </c>
      <c r="K2309" s="4" t="s">
        <v>3972</v>
      </c>
      <c r="L2309" s="48" t="str">
        <f aca="false">HYPERLINK("https://boxd.it/29SO","open")</f>
        <v>open</v>
      </c>
      <c r="M2309" s="4" t="str">
        <f aca="false">LOWER(A2309)&amp;"|"&amp;B2309</f>
        <v>the tin drum|1979</v>
      </c>
      <c r="N2309" s="4" t="n">
        <v>0</v>
      </c>
      <c r="O2309" s="4" t="n">
        <v>0</v>
      </c>
      <c r="P2309" s="4" t="n">
        <v>1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</row>
    <row r="2310" customFormat="false" ht="15" hidden="false" customHeight="false" outlineLevel="0" collapsed="false">
      <c r="A2310" s="4" t="s">
        <v>1610</v>
      </c>
      <c r="B2310" s="4" t="n">
        <v>2011</v>
      </c>
      <c r="C2310" s="4" t="str">
        <f aca="false">FLOOR(B2310,10)&amp;"s"</f>
        <v>2010s</v>
      </c>
      <c r="D2310" s="4" t="s">
        <v>1611</v>
      </c>
      <c r="E2310" s="25" t="str">
        <f aca="false">IF(G2310=1,"✓","")</f>
        <v/>
      </c>
      <c r="F2310" s="4" t="n">
        <v>1</v>
      </c>
      <c r="G2310" s="4" t="n">
        <f aca="false">IF(COUNTIF('Letterboxd Watched'!$E$2:$E$3000,M2310)&gt;0,1,0)</f>
        <v>0</v>
      </c>
      <c r="H2310" s="4" t="n">
        <v>3</v>
      </c>
      <c r="I2310" s="4" t="s">
        <v>144</v>
      </c>
      <c r="J2310" s="4" t="s">
        <v>52</v>
      </c>
      <c r="K2310" s="4" t="s">
        <v>4132</v>
      </c>
      <c r="L2310" s="48" t="str">
        <f aca="false">HYPERLINK("https://boxd.it/FRY","open")</f>
        <v>open</v>
      </c>
      <c r="M2310" s="4" t="str">
        <f aca="false">LOWER(A2310)&amp;"|"&amp;B2310</f>
        <v>tinker tailor soldier spy|2011</v>
      </c>
      <c r="N2310" s="4" t="n">
        <v>0</v>
      </c>
      <c r="O2310" s="4" t="n">
        <v>0</v>
      </c>
      <c r="P2310" s="4" t="n">
        <v>0</v>
      </c>
      <c r="Q2310" s="4" t="n">
        <v>1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</row>
    <row r="2311" customFormat="false" ht="15" hidden="false" customHeight="false" outlineLevel="0" collapsed="false">
      <c r="A2311" s="4" t="s">
        <v>2957</v>
      </c>
      <c r="B2311" s="4" t="n">
        <v>2010</v>
      </c>
      <c r="C2311" s="4" t="str">
        <f aca="false">FLOOR(B2311,10)&amp;"s"</f>
        <v>2010s</v>
      </c>
      <c r="D2311" s="4" t="s">
        <v>2958</v>
      </c>
      <c r="E2311" s="25" t="str">
        <f aca="false">IF(G2311=1,"✓","")</f>
        <v/>
      </c>
      <c r="F2311" s="4" t="n">
        <v>1</v>
      </c>
      <c r="G2311" s="4" t="n">
        <f aca="false">IF(COUNTIF('Letterboxd Watched'!$E$2:$E$3000,M2311)&gt;0,1,0)</f>
        <v>0</v>
      </c>
      <c r="H2311" s="4" t="n">
        <v>2</v>
      </c>
      <c r="I2311" s="4" t="s">
        <v>213</v>
      </c>
      <c r="J2311" s="4" t="s">
        <v>54</v>
      </c>
      <c r="K2311" s="4" t="s">
        <v>4312</v>
      </c>
      <c r="L2311" s="48" t="str">
        <f aca="false">HYPERLINK("https://letterboxd.com/search/films/Tiny+Furniture+2010/","open")</f>
        <v>open</v>
      </c>
      <c r="M2311" s="4" t="str">
        <f aca="false">LOWER(A2311)&amp;"|"&amp;B2311</f>
        <v>tiny furniture|2010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1</v>
      </c>
      <c r="T2311" s="4" t="n">
        <v>0</v>
      </c>
      <c r="U2311" s="4" t="n">
        <v>0</v>
      </c>
      <c r="V2311" s="4" t="n">
        <v>0</v>
      </c>
      <c r="W2311" s="4" t="n">
        <v>0</v>
      </c>
    </row>
    <row r="2312" customFormat="false" ht="15" hidden="false" customHeight="false" outlineLevel="0" collapsed="false">
      <c r="A2312" s="4" t="s">
        <v>1260</v>
      </c>
      <c r="B2312" s="4" t="n">
        <v>2021</v>
      </c>
      <c r="C2312" s="4" t="str">
        <f aca="false">FLOOR(B2312,10)&amp;"s"</f>
        <v>2020s</v>
      </c>
      <c r="D2312" s="4" t="s">
        <v>876</v>
      </c>
      <c r="E2312" s="25" t="str">
        <f aca="false">IF(G2312=1,"✓","")</f>
        <v/>
      </c>
      <c r="F2312" s="4" t="n">
        <v>2</v>
      </c>
      <c r="G2312" s="4" t="n">
        <f aca="false">IF(COUNTIF('Letterboxd Watched'!$E$2:$E$3000,M2312)&gt;0,1,0)</f>
        <v>0</v>
      </c>
      <c r="H2312" s="4" t="n">
        <v>4</v>
      </c>
      <c r="I2312" s="4" t="s">
        <v>213</v>
      </c>
      <c r="J2312" s="4" t="s">
        <v>51</v>
      </c>
      <c r="K2312" s="4" t="s">
        <v>5862</v>
      </c>
      <c r="L2312" s="48" t="str">
        <f aca="false">HYPERLINK("https://boxd.it/nlQC","open")</f>
        <v>open</v>
      </c>
      <c r="M2312" s="4" t="str">
        <f aca="false">LOWER(A2312)&amp;"|"&amp;B2312</f>
        <v>titane|2021</v>
      </c>
      <c r="N2312" s="4" t="n">
        <v>0</v>
      </c>
      <c r="O2312" s="4" t="n">
        <v>0</v>
      </c>
      <c r="P2312" s="4" t="n">
        <v>1</v>
      </c>
      <c r="Q2312" s="4" t="n">
        <v>1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0</v>
      </c>
    </row>
    <row r="2313" customFormat="false" ht="15" hidden="false" customHeight="false" outlineLevel="0" collapsed="false">
      <c r="A2313" s="4" t="s">
        <v>1123</v>
      </c>
      <c r="B2313" s="4" t="n">
        <v>1997</v>
      </c>
      <c r="C2313" s="4" t="str">
        <f aca="false">FLOOR(B2313,10)&amp;"s"</f>
        <v>1990s</v>
      </c>
      <c r="D2313" s="4" t="s">
        <v>892</v>
      </c>
      <c r="E2313" s="25" t="str">
        <f aca="false">IF(G2313=1,"✓","")</f>
        <v/>
      </c>
      <c r="F2313" s="4" t="n">
        <v>2</v>
      </c>
      <c r="G2313" s="4" t="n">
        <f aca="false">IF(COUNTIF('Letterboxd Watched'!$E$2:$E$3000,M2313)&gt;0,1,0)</f>
        <v>0</v>
      </c>
      <c r="H2313" s="4" t="n">
        <v>4</v>
      </c>
      <c r="I2313" s="4" t="s">
        <v>213</v>
      </c>
      <c r="J2313" s="4" t="s">
        <v>56</v>
      </c>
      <c r="K2313" s="4" t="s">
        <v>5863</v>
      </c>
      <c r="L2313" s="48" t="str">
        <f aca="false">HYPERLINK("https://boxd.it/2a2k","open")</f>
        <v>open</v>
      </c>
      <c r="M2313" s="4" t="str">
        <f aca="false">LOWER(A2313)&amp;"|"&amp;B2313</f>
        <v>titanic|1997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1</v>
      </c>
      <c r="V2313" s="4" t="n">
        <v>1</v>
      </c>
      <c r="W2313" s="4" t="n">
        <v>0</v>
      </c>
    </row>
    <row r="2314" customFormat="false" ht="15" hidden="false" customHeight="false" outlineLevel="0" collapsed="false">
      <c r="A2314" s="4" t="s">
        <v>3366</v>
      </c>
      <c r="B2314" s="4" t="n">
        <v>1953</v>
      </c>
      <c r="C2314" s="4" t="str">
        <f aca="false">FLOOR(B2314,10)&amp;"s"</f>
        <v>1950s</v>
      </c>
      <c r="D2314" s="4" t="s">
        <v>936</v>
      </c>
      <c r="E2314" s="25" t="str">
        <f aca="false">IF(G2314=1,"✓","")</f>
        <v/>
      </c>
      <c r="F2314" s="4" t="n">
        <v>1</v>
      </c>
      <c r="G2314" s="4" t="n">
        <f aca="false">IF(COUNTIF('Letterboxd Watched'!$E$2:$E$3000,M2314)&gt;0,1,0)</f>
        <v>0</v>
      </c>
      <c r="H2314" s="4" t="n">
        <v>1</v>
      </c>
      <c r="I2314" s="4" t="s">
        <v>1327</v>
      </c>
      <c r="J2314" s="4" t="s">
        <v>51</v>
      </c>
      <c r="K2314" s="4" t="s">
        <v>3978</v>
      </c>
      <c r="L2314" s="48" t="str">
        <f aca="false">HYPERLINK("https://letterboxd.com/search/films/The+Titfield+Thunderbolt+1953/","open")</f>
        <v>open</v>
      </c>
      <c r="M2314" s="4" t="str">
        <f aca="false">LOWER(A2314)&amp;"|"&amp;B2314</f>
        <v>the titfield thunderbolt|1953</v>
      </c>
      <c r="N2314" s="4" t="n">
        <v>0</v>
      </c>
      <c r="O2314" s="4" t="n">
        <v>0</v>
      </c>
      <c r="P2314" s="4" t="n">
        <v>1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</row>
    <row r="2315" customFormat="false" ht="15" hidden="false" customHeight="false" outlineLevel="0" collapsed="false">
      <c r="A2315" s="4" t="s">
        <v>991</v>
      </c>
      <c r="B2315" s="4" t="n">
        <v>1967</v>
      </c>
      <c r="C2315" s="4" t="str">
        <f aca="false">FLOOR(B2315,10)&amp;"s"</f>
        <v>1960s</v>
      </c>
      <c r="D2315" s="4" t="s">
        <v>992</v>
      </c>
      <c r="E2315" s="25" t="str">
        <f aca="false">IF(G2315=1,"✓","")</f>
        <v/>
      </c>
      <c r="F2315" s="4" t="n">
        <v>2</v>
      </c>
      <c r="G2315" s="4" t="n">
        <f aca="false">IF(COUNTIF('Letterboxd Watched'!$E$2:$E$3000,M2315)&gt;0,1,0)</f>
        <v>0</v>
      </c>
      <c r="H2315" s="4" t="n">
        <v>4</v>
      </c>
      <c r="I2315" s="4" t="s">
        <v>213</v>
      </c>
      <c r="J2315" s="4" t="s">
        <v>52</v>
      </c>
      <c r="K2315" s="4" t="s">
        <v>5864</v>
      </c>
      <c r="L2315" s="48" t="str">
        <f aca="false">HYPERLINK("https://boxd.it/ZVc","open")</f>
        <v>open</v>
      </c>
      <c r="M2315" s="4" t="str">
        <f aca="false">LOWER(A2315)&amp;"|"&amp;B2315</f>
        <v>titicut follies|1967</v>
      </c>
      <c r="N2315" s="4" t="n">
        <v>0</v>
      </c>
      <c r="O2315" s="4" t="n">
        <v>0</v>
      </c>
      <c r="P2315" s="4" t="n">
        <v>0</v>
      </c>
      <c r="Q2315" s="4" t="n">
        <v>1</v>
      </c>
      <c r="R2315" s="4" t="n">
        <v>0</v>
      </c>
      <c r="S2315" s="4" t="n">
        <v>0</v>
      </c>
      <c r="T2315" s="4" t="n">
        <v>1</v>
      </c>
      <c r="U2315" s="4" t="n">
        <v>0</v>
      </c>
      <c r="V2315" s="4" t="n">
        <v>0</v>
      </c>
      <c r="W2315" s="4" t="n">
        <v>0</v>
      </c>
    </row>
    <row r="2316" customFormat="false" ht="15" hidden="false" customHeight="false" outlineLevel="0" collapsed="false">
      <c r="A2316" s="4" t="s">
        <v>920</v>
      </c>
      <c r="B2316" s="4" t="n">
        <v>1942</v>
      </c>
      <c r="C2316" s="4" t="str">
        <f aca="false">FLOOR(B2316,10)&amp;"s"</f>
        <v>1940s</v>
      </c>
      <c r="D2316" s="4" t="s">
        <v>348</v>
      </c>
      <c r="E2316" s="25" t="str">
        <f aca="false">IF(G2316=1,"✓","")</f>
        <v/>
      </c>
      <c r="F2316" s="4" t="n">
        <v>2</v>
      </c>
      <c r="G2316" s="4" t="n">
        <f aca="false">IF(COUNTIF('Letterboxd Watched'!$E$2:$E$3000,M2316)&gt;0,1,0)</f>
        <v>0</v>
      </c>
      <c r="H2316" s="4" t="n">
        <v>4</v>
      </c>
      <c r="I2316" s="4" t="s">
        <v>213</v>
      </c>
      <c r="J2316" s="4" t="s">
        <v>52</v>
      </c>
      <c r="K2316" s="4" t="s">
        <v>5865</v>
      </c>
      <c r="L2316" s="48" t="str">
        <f aca="false">HYPERLINK("https://boxd.it/2aTy","open")</f>
        <v>open</v>
      </c>
      <c r="M2316" s="4" t="str">
        <f aca="false">LOWER(A2316)&amp;"|"&amp;B2316</f>
        <v>to be or not to be|1942</v>
      </c>
      <c r="N2316" s="4" t="n">
        <v>0</v>
      </c>
      <c r="O2316" s="4" t="n">
        <v>0</v>
      </c>
      <c r="P2316" s="4" t="n">
        <v>0</v>
      </c>
      <c r="Q2316" s="4" t="n">
        <v>1</v>
      </c>
      <c r="R2316" s="4" t="n">
        <v>1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</row>
    <row r="2317" customFormat="false" ht="15" hidden="false" customHeight="false" outlineLevel="0" collapsed="false">
      <c r="A2317" s="4" t="s">
        <v>2616</v>
      </c>
      <c r="B2317" s="4" t="n">
        <v>1995</v>
      </c>
      <c r="C2317" s="4" t="str">
        <f aca="false">FLOOR(B2317,10)&amp;"s"</f>
        <v>1990s</v>
      </c>
      <c r="D2317" s="4" t="s">
        <v>827</v>
      </c>
      <c r="E2317" s="25" t="str">
        <f aca="false">IF(G2317=1,"✓","")</f>
        <v/>
      </c>
      <c r="F2317" s="4" t="n">
        <v>1</v>
      </c>
      <c r="G2317" s="4" t="n">
        <f aca="false">IF(COUNTIF('Letterboxd Watched'!$E$2:$E$3000,M2317)&gt;0,1,0)</f>
        <v>0</v>
      </c>
      <c r="H2317" s="4" t="n">
        <v>2</v>
      </c>
      <c r="I2317" s="4" t="s">
        <v>213</v>
      </c>
      <c r="J2317" s="4" t="s">
        <v>55</v>
      </c>
      <c r="K2317" s="4" t="s">
        <v>4322</v>
      </c>
      <c r="L2317" s="48" t="str">
        <f aca="false">HYPERLINK("https://boxd.it/2a5o","open")</f>
        <v>open</v>
      </c>
      <c r="M2317" s="4" t="str">
        <f aca="false">LOWER(A2317)&amp;"|"&amp;B2317</f>
        <v>to die for|1995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1</v>
      </c>
      <c r="U2317" s="4" t="n">
        <v>0</v>
      </c>
      <c r="V2317" s="4" t="n">
        <v>0</v>
      </c>
      <c r="W2317" s="4" t="n">
        <v>0</v>
      </c>
    </row>
    <row r="2318" customFormat="false" ht="15" hidden="false" customHeight="false" outlineLevel="0" collapsed="false">
      <c r="A2318" s="4" t="s">
        <v>1819</v>
      </c>
      <c r="B2318" s="4" t="n">
        <v>1944</v>
      </c>
      <c r="C2318" s="4" t="str">
        <f aca="false">FLOOR(B2318,10)&amp;"s"</f>
        <v>1940s</v>
      </c>
      <c r="D2318" s="4" t="s">
        <v>168</v>
      </c>
      <c r="E2318" s="25" t="str">
        <f aca="false">IF(G2318=1,"✓","")</f>
        <v/>
      </c>
      <c r="F2318" s="4" t="n">
        <v>1</v>
      </c>
      <c r="G2318" s="4" t="n">
        <f aca="false">IF(COUNTIF('Letterboxd Watched'!$E$2:$E$3000,M2318)&gt;0,1,0)</f>
        <v>0</v>
      </c>
      <c r="H2318" s="4" t="n">
        <v>2</v>
      </c>
      <c r="I2318" s="4" t="s">
        <v>213</v>
      </c>
      <c r="J2318" s="4" t="s">
        <v>53</v>
      </c>
      <c r="K2318" s="4" t="s">
        <v>168</v>
      </c>
      <c r="L2318" s="48" t="str">
        <f aca="false">HYPERLINK("https://boxd.it/1Am4","open")</f>
        <v>open</v>
      </c>
      <c r="M2318" s="4" t="str">
        <f aca="false">LOWER(A2318)&amp;"|"&amp;B2318</f>
        <v>to have and have not|1944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1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</row>
    <row r="2319" customFormat="false" ht="15" hidden="false" customHeight="false" outlineLevel="0" collapsed="false">
      <c r="A2319" s="4" t="s">
        <v>432</v>
      </c>
      <c r="B2319" s="4" t="n">
        <v>1962</v>
      </c>
      <c r="C2319" s="4" t="str">
        <f aca="false">FLOOR(B2319,10)&amp;"s"</f>
        <v>1960s</v>
      </c>
      <c r="D2319" s="4" t="s">
        <v>433</v>
      </c>
      <c r="E2319" s="25" t="str">
        <f aca="false">IF(G2319=1,"✓","")</f>
        <v/>
      </c>
      <c r="F2319" s="4" t="n">
        <v>3</v>
      </c>
      <c r="G2319" s="4" t="n">
        <f aca="false">IF(COUNTIF('Letterboxd Watched'!$E$2:$E$3000,M2319)&gt;0,1,0)</f>
        <v>0</v>
      </c>
      <c r="H2319" s="4" t="n">
        <v>8</v>
      </c>
      <c r="I2319" s="4" t="s">
        <v>144</v>
      </c>
      <c r="J2319" s="4" t="s">
        <v>55</v>
      </c>
      <c r="K2319" s="4" t="s">
        <v>5866</v>
      </c>
      <c r="L2319" s="48" t="str">
        <f aca="false">HYPERLINK("https://boxd.it/2a2E","open")</f>
        <v>open</v>
      </c>
      <c r="M2319" s="4" t="str">
        <f aca="false">LOWER(A2319)&amp;"|"&amp;B2319</f>
        <v>to kill a mockingbird|1962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1</v>
      </c>
      <c r="U2319" s="4" t="n">
        <v>0</v>
      </c>
      <c r="V2319" s="4" t="n">
        <v>1</v>
      </c>
      <c r="W2319" s="4" t="n">
        <v>0</v>
      </c>
    </row>
    <row r="2320" customFormat="false" ht="15" hidden="false" customHeight="false" outlineLevel="0" collapsed="false">
      <c r="A2320" s="4" t="s">
        <v>2581</v>
      </c>
      <c r="B2320" s="4" t="n">
        <v>1994</v>
      </c>
      <c r="C2320" s="4" t="str">
        <f aca="false">FLOOR(B2320,10)&amp;"s"</f>
        <v>1990s</v>
      </c>
      <c r="D2320" s="4" t="s">
        <v>1541</v>
      </c>
      <c r="E2320" s="25" t="str">
        <f aca="false">IF(G2320=1,"✓","")</f>
        <v/>
      </c>
      <c r="F2320" s="4" t="n">
        <v>1</v>
      </c>
      <c r="G2320" s="4" t="n">
        <f aca="false">IF(COUNTIF('Letterboxd Watched'!$E$2:$E$3000,M2320)&gt;0,1,0)</f>
        <v>0</v>
      </c>
      <c r="H2320" s="4" t="n">
        <v>2</v>
      </c>
      <c r="I2320" s="4" t="s">
        <v>213</v>
      </c>
      <c r="J2320" s="4" t="s">
        <v>51</v>
      </c>
      <c r="K2320" s="4" t="s">
        <v>4020</v>
      </c>
      <c r="L2320" s="48" t="str">
        <f aca="false">HYPERLINK("https://boxd.it/1j6S","open")</f>
        <v>open</v>
      </c>
      <c r="M2320" s="4" t="str">
        <f aca="false">LOWER(A2320)&amp;"|"&amp;B2320</f>
        <v>to live|1994</v>
      </c>
      <c r="N2320" s="4" t="n">
        <v>0</v>
      </c>
      <c r="O2320" s="4" t="n">
        <v>0</v>
      </c>
      <c r="P2320" s="4" t="n">
        <v>1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</row>
    <row r="2321" customFormat="false" ht="15" hidden="false" customHeight="false" outlineLevel="0" collapsed="false">
      <c r="A2321" s="4" t="s">
        <v>3627</v>
      </c>
      <c r="B2321" s="4" t="n">
        <v>1985</v>
      </c>
      <c r="C2321" s="4" t="str">
        <f aca="false">FLOOR(B2321,10)&amp;"s"</f>
        <v>1980s</v>
      </c>
      <c r="D2321" s="4" t="s">
        <v>479</v>
      </c>
      <c r="E2321" s="25" t="str">
        <f aca="false">IF(G2321=1,"✓","")</f>
        <v>✓</v>
      </c>
      <c r="F2321" s="4" t="n">
        <v>1</v>
      </c>
      <c r="G2321" s="4" t="n">
        <f aca="false">IF(COUNTIF('Letterboxd Watched'!$E$2:$E$3000,M2321)&gt;0,1,0)</f>
        <v>1</v>
      </c>
      <c r="H2321" s="4" t="n">
        <v>1</v>
      </c>
      <c r="I2321" s="4" t="s">
        <v>1327</v>
      </c>
      <c r="J2321" s="4" t="s">
        <v>50</v>
      </c>
      <c r="K2321" s="4" t="s">
        <v>3922</v>
      </c>
      <c r="L2321" s="48" t="str">
        <f aca="false">HYPERLINK("https://boxd.it/1XFo","open")</f>
        <v>open</v>
      </c>
      <c r="M2321" s="4" t="str">
        <f aca="false">LOWER(A2321)&amp;"|"&amp;B2321</f>
        <v>to live and die in l.a.|1985</v>
      </c>
      <c r="N2321" s="4" t="n">
        <v>0</v>
      </c>
      <c r="O2321" s="4" t="n">
        <v>1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</row>
    <row r="2322" customFormat="false" ht="15" hidden="false" customHeight="false" outlineLevel="0" collapsed="false">
      <c r="A2322" s="4" t="s">
        <v>2112</v>
      </c>
      <c r="B2322" s="4" t="n">
        <v>1967</v>
      </c>
      <c r="C2322" s="4" t="str">
        <f aca="false">FLOOR(B2322,10)&amp;"s"</f>
        <v>1960s</v>
      </c>
      <c r="D2322" s="4" t="s">
        <v>2113</v>
      </c>
      <c r="E2322" s="25" t="str">
        <f aca="false">IF(G2322=1,"✓","")</f>
        <v/>
      </c>
      <c r="F2322" s="4" t="n">
        <v>1</v>
      </c>
      <c r="G2322" s="4" t="n">
        <f aca="false">IF(COUNTIF('Letterboxd Watched'!$E$2:$E$3000,M2322)&gt;0,1,0)</f>
        <v>0</v>
      </c>
      <c r="H2322" s="4" t="n">
        <v>2</v>
      </c>
      <c r="I2322" s="4" t="s">
        <v>213</v>
      </c>
      <c r="J2322" s="4" t="s">
        <v>55</v>
      </c>
      <c r="K2322" s="4" t="s">
        <v>4346</v>
      </c>
      <c r="L2322" s="48" t="str">
        <f aca="false">HYPERLINK("https://boxd.it/1uOw","open")</f>
        <v>open</v>
      </c>
      <c r="M2322" s="4" t="str">
        <f aca="false">LOWER(A2322)&amp;"|"&amp;B2322</f>
        <v>to sir, with love|1967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0</v>
      </c>
      <c r="T2322" s="4" t="n">
        <v>1</v>
      </c>
      <c r="U2322" s="4" t="n">
        <v>0</v>
      </c>
      <c r="V2322" s="4" t="n">
        <v>0</v>
      </c>
      <c r="W2322" s="4" t="n">
        <v>0</v>
      </c>
    </row>
    <row r="2323" customFormat="false" ht="15" hidden="false" customHeight="false" outlineLevel="0" collapsed="false">
      <c r="A2323" s="4" t="s">
        <v>2514</v>
      </c>
      <c r="B2323" s="4" t="n">
        <v>1990</v>
      </c>
      <c r="C2323" s="4" t="str">
        <f aca="false">FLOOR(B2323,10)&amp;"s"</f>
        <v>1990s</v>
      </c>
      <c r="D2323" s="4" t="s">
        <v>239</v>
      </c>
      <c r="E2323" s="25" t="str">
        <f aca="false">IF(G2323=1,"✓","")</f>
        <v/>
      </c>
      <c r="F2323" s="4" t="n">
        <v>1</v>
      </c>
      <c r="G2323" s="4" t="n">
        <f aca="false">IF(COUNTIF('Letterboxd Watched'!$E$2:$E$3000,M2323)&gt;0,1,0)</f>
        <v>0</v>
      </c>
      <c r="H2323" s="4" t="n">
        <v>2</v>
      </c>
      <c r="I2323" s="4" t="s">
        <v>213</v>
      </c>
      <c r="J2323" s="4" t="s">
        <v>54</v>
      </c>
      <c r="K2323" s="4" t="s">
        <v>4286</v>
      </c>
      <c r="L2323" s="48" t="str">
        <f aca="false">HYPERLINK("https://letterboxd.com/search/films/To+Sleep+with+Anger+1990/","open")</f>
        <v>open</v>
      </c>
      <c r="M2323" s="4" t="str">
        <f aca="false">LOWER(A2323)&amp;"|"&amp;B2323</f>
        <v>to sleep with anger|1990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1</v>
      </c>
      <c r="T2323" s="4" t="n">
        <v>0</v>
      </c>
      <c r="U2323" s="4" t="n">
        <v>0</v>
      </c>
      <c r="V2323" s="4" t="n">
        <v>0</v>
      </c>
      <c r="W2323" s="4" t="n">
        <v>0</v>
      </c>
    </row>
    <row r="2324" customFormat="false" ht="15" hidden="false" customHeight="false" outlineLevel="0" collapsed="false">
      <c r="A2324" s="4" t="s">
        <v>3804</v>
      </c>
      <c r="B2324" s="4" t="n">
        <v>2012</v>
      </c>
      <c r="C2324" s="4" t="str">
        <f aca="false">FLOOR(B2324,10)&amp;"s"</f>
        <v>2010s</v>
      </c>
      <c r="D2324" s="4" t="s">
        <v>361</v>
      </c>
      <c r="E2324" s="25" t="str">
        <f aca="false">IF(G2324=1,"✓","")</f>
        <v/>
      </c>
      <c r="F2324" s="4" t="n">
        <v>1</v>
      </c>
      <c r="G2324" s="4" t="n">
        <f aca="false">IF(COUNTIF('Letterboxd Watched'!$E$2:$E$3000,M2324)&gt;0,1,0)</f>
        <v>0</v>
      </c>
      <c r="H2324" s="4" t="n">
        <v>1</v>
      </c>
      <c r="I2324" s="4" t="s">
        <v>1327</v>
      </c>
      <c r="J2324" s="4" t="s">
        <v>53</v>
      </c>
      <c r="K2324" s="4" t="s">
        <v>361</v>
      </c>
      <c r="L2324" s="48" t="str">
        <f aca="false">HYPERLINK("https://boxd.it/gpU","open")</f>
        <v>open</v>
      </c>
      <c r="M2324" s="4" t="str">
        <f aca="false">LOWER(A2324)&amp;"|"&amp;B2324</f>
        <v>to the wonder|2012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1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</row>
    <row r="2325" customFormat="false" ht="15" hidden="false" customHeight="false" outlineLevel="0" collapsed="false">
      <c r="A2325" s="4" t="s">
        <v>703</v>
      </c>
      <c r="B2325" s="4" t="n">
        <v>1966</v>
      </c>
      <c r="C2325" s="4" t="str">
        <f aca="false">FLOOR(B2325,10)&amp;"s"</f>
        <v>1960s</v>
      </c>
      <c r="D2325" s="4" t="s">
        <v>472</v>
      </c>
      <c r="E2325" s="25" t="str">
        <f aca="false">IF(G2325=1,"✓","")</f>
        <v/>
      </c>
      <c r="F2325" s="4" t="n">
        <v>3</v>
      </c>
      <c r="G2325" s="4" t="n">
        <f aca="false">IF(COUNTIF('Letterboxd Watched'!$E$2:$E$3000,M2325)&gt;0,1,0)</f>
        <v>0</v>
      </c>
      <c r="H2325" s="4" t="n">
        <v>5</v>
      </c>
      <c r="I2325" s="4" t="s">
        <v>213</v>
      </c>
      <c r="J2325" s="4" t="s">
        <v>50</v>
      </c>
      <c r="K2325" s="4" t="s">
        <v>5867</v>
      </c>
      <c r="L2325" s="48" t="str">
        <f aca="false">HYPERLINK("https://boxd.it/OTY","open")</f>
        <v>open</v>
      </c>
      <c r="M2325" s="4" t="str">
        <f aca="false">LOWER(A2325)&amp;"|"&amp;B2325</f>
        <v>tokyo drifter|1966</v>
      </c>
      <c r="N2325" s="4" t="n">
        <v>0</v>
      </c>
      <c r="O2325" s="4" t="n">
        <v>1</v>
      </c>
      <c r="P2325" s="4" t="n">
        <v>1</v>
      </c>
      <c r="Q2325" s="4" t="n">
        <v>0</v>
      </c>
      <c r="R2325" s="4" t="n">
        <v>0</v>
      </c>
      <c r="S2325" s="4" t="n">
        <v>0</v>
      </c>
      <c r="T2325" s="4" t="n">
        <v>1</v>
      </c>
      <c r="U2325" s="4" t="n">
        <v>0</v>
      </c>
      <c r="V2325" s="4" t="n">
        <v>0</v>
      </c>
      <c r="W2325" s="4" t="n">
        <v>0</v>
      </c>
    </row>
    <row r="2326" customFormat="false" ht="15" hidden="false" customHeight="false" outlineLevel="0" collapsed="false">
      <c r="A2326" s="4" t="s">
        <v>3631</v>
      </c>
      <c r="B2326" s="4" t="n">
        <v>1985</v>
      </c>
      <c r="C2326" s="4" t="str">
        <f aca="false">FLOOR(B2326,10)&amp;"s"</f>
        <v>1980s</v>
      </c>
      <c r="D2326" s="4" t="s">
        <v>365</v>
      </c>
      <c r="E2326" s="25" t="str">
        <f aca="false">IF(G2326=1,"✓","")</f>
        <v/>
      </c>
      <c r="F2326" s="4" t="n">
        <v>1</v>
      </c>
      <c r="G2326" s="4" t="n">
        <f aca="false">IF(COUNTIF('Letterboxd Watched'!$E$2:$E$3000,M2326)&gt;0,1,0)</f>
        <v>0</v>
      </c>
      <c r="H2326" s="4" t="n">
        <v>1</v>
      </c>
      <c r="I2326" s="4" t="s">
        <v>1327</v>
      </c>
      <c r="J2326" s="4" t="s">
        <v>55</v>
      </c>
      <c r="K2326" s="4" t="s">
        <v>4362</v>
      </c>
      <c r="L2326" s="48" t="str">
        <f aca="false">HYPERLINK("https://boxd.it/2DyE","open")</f>
        <v>open</v>
      </c>
      <c r="M2326" s="4" t="str">
        <f aca="false">LOWER(A2326)&amp;"|"&amp;B2326</f>
        <v>tokyo-ga|1985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1</v>
      </c>
      <c r="U2326" s="4" t="n">
        <v>0</v>
      </c>
      <c r="V2326" s="4" t="n">
        <v>0</v>
      </c>
      <c r="W2326" s="4" t="n">
        <v>0</v>
      </c>
    </row>
    <row r="2327" customFormat="false" ht="15" hidden="false" customHeight="false" outlineLevel="0" collapsed="false">
      <c r="A2327" s="4" t="s">
        <v>634</v>
      </c>
      <c r="B2327" s="4" t="n">
        <v>2003</v>
      </c>
      <c r="C2327" s="4" t="str">
        <f aca="false">FLOOR(B2327,10)&amp;"s"</f>
        <v>2000s</v>
      </c>
      <c r="D2327" s="4" t="s">
        <v>635</v>
      </c>
      <c r="E2327" s="25" t="str">
        <f aca="false">IF(G2327=1,"✓","")</f>
        <v/>
      </c>
      <c r="F2327" s="4" t="n">
        <v>3</v>
      </c>
      <c r="G2327" s="4" t="n">
        <f aca="false">IF(COUNTIF('Letterboxd Watched'!$E$2:$E$3000,M2327)&gt;0,1,0)</f>
        <v>0</v>
      </c>
      <c r="H2327" s="4" t="n">
        <v>6</v>
      </c>
      <c r="I2327" s="4" t="s">
        <v>213</v>
      </c>
      <c r="J2327" s="4" t="s">
        <v>51</v>
      </c>
      <c r="K2327" s="4" t="s">
        <v>5868</v>
      </c>
      <c r="L2327" s="48" t="str">
        <f aca="false">HYPERLINK("https://boxd.it/1Qg2","open")</f>
        <v>open</v>
      </c>
      <c r="M2327" s="4" t="str">
        <f aca="false">LOWER(A2327)&amp;"|"&amp;B2327</f>
        <v>tokyo godfathers|2003</v>
      </c>
      <c r="N2327" s="4" t="n">
        <v>0</v>
      </c>
      <c r="O2327" s="4" t="n">
        <v>0</v>
      </c>
      <c r="P2327" s="4" t="n">
        <v>1</v>
      </c>
      <c r="Q2327" s="4" t="n">
        <v>0</v>
      </c>
      <c r="R2327" s="4" t="n">
        <v>0</v>
      </c>
      <c r="S2327" s="4" t="n">
        <v>0</v>
      </c>
      <c r="T2327" s="4" t="n">
        <v>1</v>
      </c>
      <c r="U2327" s="4" t="n">
        <v>1</v>
      </c>
      <c r="V2327" s="4" t="n">
        <v>0</v>
      </c>
      <c r="W2327" s="4" t="n">
        <v>0</v>
      </c>
    </row>
    <row r="2328" customFormat="false" ht="15" hidden="false" customHeight="false" outlineLevel="0" collapsed="false">
      <c r="A2328" s="4" t="s">
        <v>1180</v>
      </c>
      <c r="B2328" s="4" t="n">
        <v>2008</v>
      </c>
      <c r="C2328" s="4" t="str">
        <f aca="false">FLOOR(B2328,10)&amp;"s"</f>
        <v>2000s</v>
      </c>
      <c r="D2328" s="4" t="s">
        <v>505</v>
      </c>
      <c r="E2328" s="25" t="str">
        <f aca="false">IF(G2328=1,"✓","")</f>
        <v/>
      </c>
      <c r="F2328" s="4" t="n">
        <v>2</v>
      </c>
      <c r="G2328" s="4" t="n">
        <f aca="false">IF(COUNTIF('Letterboxd Watched'!$E$2:$E$3000,M2328)&gt;0,1,0)</f>
        <v>0</v>
      </c>
      <c r="H2328" s="4" t="n">
        <v>4</v>
      </c>
      <c r="I2328" s="4" t="s">
        <v>213</v>
      </c>
      <c r="J2328" s="4" t="s">
        <v>51</v>
      </c>
      <c r="K2328" s="4" t="s">
        <v>5869</v>
      </c>
      <c r="L2328" s="48" t="str">
        <f aca="false">HYPERLINK("https://boxd.it/1ZxQ","open")</f>
        <v>open</v>
      </c>
      <c r="M2328" s="4" t="str">
        <f aca="false">LOWER(A2328)&amp;"|"&amp;B2328</f>
        <v>tokyo sonata|2008</v>
      </c>
      <c r="N2328" s="4" t="n">
        <v>0</v>
      </c>
      <c r="O2328" s="4" t="n">
        <v>0</v>
      </c>
      <c r="P2328" s="4" t="n">
        <v>1</v>
      </c>
      <c r="Q2328" s="4" t="n">
        <v>0</v>
      </c>
      <c r="R2328" s="4" t="n">
        <v>0</v>
      </c>
      <c r="S2328" s="4" t="n">
        <v>0</v>
      </c>
      <c r="T2328" s="4" t="n">
        <v>1</v>
      </c>
      <c r="U2328" s="4" t="n">
        <v>0</v>
      </c>
      <c r="V2328" s="4" t="n">
        <v>0</v>
      </c>
      <c r="W2328" s="4" t="n">
        <v>0</v>
      </c>
    </row>
    <row r="2329" customFormat="false" ht="15" hidden="false" customHeight="false" outlineLevel="0" collapsed="false">
      <c r="A2329" s="4" t="s">
        <v>145</v>
      </c>
      <c r="B2329" s="4" t="n">
        <v>1953</v>
      </c>
      <c r="C2329" s="4" t="str">
        <f aca="false">FLOOR(B2329,10)&amp;"s"</f>
        <v>1950s</v>
      </c>
      <c r="D2329" s="4" t="s">
        <v>146</v>
      </c>
      <c r="E2329" s="25" t="str">
        <f aca="false">IF(G2329=1,"✓","")</f>
        <v/>
      </c>
      <c r="F2329" s="4" t="n">
        <v>10</v>
      </c>
      <c r="G2329" s="4" t="n">
        <f aca="false">IF(COUNTIF('Letterboxd Watched'!$E$2:$E$3000,M2329)&gt;0,1,0)</f>
        <v>0</v>
      </c>
      <c r="H2329" s="4" t="n">
        <v>25</v>
      </c>
      <c r="I2329" s="4" t="s">
        <v>144</v>
      </c>
      <c r="J2329" s="4" t="s">
        <v>49</v>
      </c>
      <c r="K2329" s="4" t="s">
        <v>5870</v>
      </c>
      <c r="L2329" s="48" t="str">
        <f aca="false">HYPERLINK("https://boxd.it/1HuY","open")</f>
        <v>open</v>
      </c>
      <c r="M2329" s="4" t="str">
        <f aca="false">LOWER(A2329)&amp;"|"&amp;B2329</f>
        <v>tokyo story|1953</v>
      </c>
      <c r="N2329" s="4" t="n">
        <v>1</v>
      </c>
      <c r="O2329" s="4" t="n">
        <v>1</v>
      </c>
      <c r="P2329" s="4" t="n">
        <v>1</v>
      </c>
      <c r="Q2329" s="4" t="n">
        <v>0</v>
      </c>
      <c r="R2329" s="4" t="n">
        <v>1</v>
      </c>
      <c r="S2329" s="4" t="n">
        <v>1</v>
      </c>
      <c r="T2329" s="4" t="n">
        <v>1</v>
      </c>
      <c r="U2329" s="4" t="n">
        <v>0</v>
      </c>
      <c r="V2329" s="4" t="n">
        <v>1</v>
      </c>
      <c r="W2329" s="4" t="n">
        <v>0</v>
      </c>
    </row>
    <row r="2330" customFormat="false" ht="15" hidden="false" customHeight="false" outlineLevel="0" collapsed="false">
      <c r="A2330" s="4" t="s">
        <v>1948</v>
      </c>
      <c r="B2330" s="4" t="n">
        <v>1957</v>
      </c>
      <c r="C2330" s="4" t="str">
        <f aca="false">FLOOR(B2330,10)&amp;"s"</f>
        <v>1950s</v>
      </c>
      <c r="D2330" s="4" t="s">
        <v>146</v>
      </c>
      <c r="E2330" s="25" t="str">
        <f aca="false">IF(G2330=1,"✓","")</f>
        <v/>
      </c>
      <c r="F2330" s="4" t="n">
        <v>1</v>
      </c>
      <c r="G2330" s="4" t="n">
        <f aca="false">IF(COUNTIF('Letterboxd Watched'!$E$2:$E$3000,M2330)&gt;0,1,0)</f>
        <v>0</v>
      </c>
      <c r="H2330" s="4" t="n">
        <v>2</v>
      </c>
      <c r="I2330" s="4" t="s">
        <v>213</v>
      </c>
      <c r="J2330" s="4" t="s">
        <v>53</v>
      </c>
      <c r="K2330" s="4" t="s">
        <v>146</v>
      </c>
      <c r="L2330" s="48" t="str">
        <f aca="false">HYPERLINK("https://boxd.it/sq6","open")</f>
        <v>open</v>
      </c>
      <c r="M2330" s="4" t="str">
        <f aca="false">LOWER(A2330)&amp;"|"&amp;B2330</f>
        <v>tokyo twilight|1957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1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0</v>
      </c>
    </row>
    <row r="2331" customFormat="false" ht="15" hidden="false" customHeight="false" outlineLevel="0" collapsed="false">
      <c r="A2331" s="4" t="s">
        <v>2576</v>
      </c>
      <c r="B2331" s="4" t="n">
        <v>1993</v>
      </c>
      <c r="C2331" s="4" t="str">
        <f aca="false">FLOOR(B2331,10)&amp;"s"</f>
        <v>1990s</v>
      </c>
      <c r="D2331" s="4" t="s">
        <v>2577</v>
      </c>
      <c r="E2331" s="25" t="str">
        <f aca="false">IF(G2331=1,"✓","")</f>
        <v>✓</v>
      </c>
      <c r="F2331" s="4" t="n">
        <v>1</v>
      </c>
      <c r="G2331" s="4" t="n">
        <f aca="false">IF(COUNTIF('Letterboxd Watched'!$E$2:$E$3000,M2331)&gt;0,1,0)</f>
        <v>1</v>
      </c>
      <c r="H2331" s="4" t="n">
        <v>2</v>
      </c>
      <c r="I2331" s="4" t="s">
        <v>213</v>
      </c>
      <c r="J2331" s="4" t="s">
        <v>56</v>
      </c>
      <c r="K2331" s="4" t="s">
        <v>4400</v>
      </c>
      <c r="L2331" s="48" t="str">
        <f aca="false">HYPERLINK("https://boxd.it/1SE6","open")</f>
        <v>open</v>
      </c>
      <c r="M2331" s="4" t="str">
        <f aca="false">LOWER(A2331)&amp;"|"&amp;B2331</f>
        <v>tombstone|1993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1</v>
      </c>
      <c r="V2331" s="4" t="n">
        <v>0</v>
      </c>
      <c r="W2331" s="4" t="n">
        <v>0</v>
      </c>
    </row>
    <row r="2332" customFormat="false" ht="15" hidden="false" customHeight="false" outlineLevel="0" collapsed="false">
      <c r="A2332" s="4" t="s">
        <v>2499</v>
      </c>
      <c r="B2332" s="4" t="n">
        <v>1989</v>
      </c>
      <c r="C2332" s="4" t="str">
        <f aca="false">FLOOR(B2332,10)&amp;"s"</f>
        <v>1980s</v>
      </c>
      <c r="D2332" s="4" t="s">
        <v>2500</v>
      </c>
      <c r="E2332" s="25" t="str">
        <f aca="false">IF(G2332=1,"✓","")</f>
        <v/>
      </c>
      <c r="F2332" s="4" t="n">
        <v>1</v>
      </c>
      <c r="G2332" s="4" t="n">
        <f aca="false">IF(COUNTIF('Letterboxd Watched'!$E$2:$E$3000,M2332)&gt;0,1,0)</f>
        <v>0</v>
      </c>
      <c r="H2332" s="4" t="n">
        <v>2</v>
      </c>
      <c r="I2332" s="4" t="s">
        <v>213</v>
      </c>
      <c r="J2332" s="4" t="s">
        <v>54</v>
      </c>
      <c r="K2332" s="4" t="s">
        <v>4298</v>
      </c>
      <c r="L2332" s="48" t="str">
        <f aca="false">HYPERLINK("https://letterboxd.com/search/films/Tongues+Untied+1989/","open")</f>
        <v>open</v>
      </c>
      <c r="M2332" s="4" t="str">
        <f aca="false">LOWER(A2332)&amp;"|"&amp;B2332</f>
        <v>tongues untied|1989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1</v>
      </c>
      <c r="T2332" s="4" t="n">
        <v>0</v>
      </c>
      <c r="U2332" s="4" t="n">
        <v>0</v>
      </c>
      <c r="V2332" s="4" t="n">
        <v>0</v>
      </c>
      <c r="W2332" s="4" t="n">
        <v>0</v>
      </c>
    </row>
    <row r="2333" customFormat="false" ht="15" hidden="false" customHeight="false" outlineLevel="0" collapsed="false">
      <c r="A2333" s="4" t="s">
        <v>526</v>
      </c>
      <c r="B2333" s="4" t="n">
        <v>2016</v>
      </c>
      <c r="C2333" s="4" t="str">
        <f aca="false">FLOOR(B2333,10)&amp;"s"</f>
        <v>2010s</v>
      </c>
      <c r="D2333" s="4" t="s">
        <v>527</v>
      </c>
      <c r="E2333" s="25" t="str">
        <f aca="false">IF(G2333=1,"✓","")</f>
        <v/>
      </c>
      <c r="F2333" s="4" t="n">
        <v>3</v>
      </c>
      <c r="G2333" s="4" t="n">
        <f aca="false">IF(COUNTIF('Letterboxd Watched'!$E$2:$E$3000,M2333)&gt;0,1,0)</f>
        <v>0</v>
      </c>
      <c r="H2333" s="4" t="n">
        <v>7</v>
      </c>
      <c r="I2333" s="4" t="s">
        <v>144</v>
      </c>
      <c r="J2333" s="4" t="s">
        <v>51</v>
      </c>
      <c r="K2333" s="4" t="s">
        <v>5871</v>
      </c>
      <c r="L2333" s="48" t="str">
        <f aca="false">HYPERLINK("https://boxd.it/d0xu","open")</f>
        <v>open</v>
      </c>
      <c r="M2333" s="4" t="str">
        <f aca="false">LOWER(A2333)&amp;"|"&amp;B2333</f>
        <v>toni erdmann|2016</v>
      </c>
      <c r="N2333" s="4" t="n">
        <v>0</v>
      </c>
      <c r="O2333" s="4" t="n">
        <v>0</v>
      </c>
      <c r="P2333" s="4" t="n">
        <v>1</v>
      </c>
      <c r="Q2333" s="4" t="n">
        <v>1</v>
      </c>
      <c r="R2333" s="4" t="n">
        <v>0</v>
      </c>
      <c r="S2333" s="4" t="n">
        <v>1</v>
      </c>
      <c r="T2333" s="4" t="n">
        <v>0</v>
      </c>
      <c r="U2333" s="4" t="n">
        <v>0</v>
      </c>
      <c r="V2333" s="4" t="n">
        <v>0</v>
      </c>
      <c r="W2333" s="4" t="n">
        <v>0</v>
      </c>
    </row>
    <row r="2334" customFormat="false" ht="15" hidden="false" customHeight="false" outlineLevel="0" collapsed="false">
      <c r="A2334" s="4" t="s">
        <v>3774</v>
      </c>
      <c r="B2334" s="4" t="n">
        <v>2008</v>
      </c>
      <c r="C2334" s="4" t="str">
        <f aca="false">FLOOR(B2334,10)&amp;"s"</f>
        <v>2000s</v>
      </c>
      <c r="D2334" s="4" t="s">
        <v>2995</v>
      </c>
      <c r="E2334" s="25" t="str">
        <f aca="false">IF(G2334=1,"✓","")</f>
        <v/>
      </c>
      <c r="F2334" s="4" t="n">
        <v>1</v>
      </c>
      <c r="G2334" s="4" t="n">
        <f aca="false">IF(COUNTIF('Letterboxd Watched'!$E$2:$E$3000,M2334)&gt;0,1,0)</f>
        <v>0</v>
      </c>
      <c r="H2334" s="4" t="n">
        <v>1</v>
      </c>
      <c r="I2334" s="4" t="s">
        <v>1327</v>
      </c>
      <c r="J2334" s="4" t="s">
        <v>51</v>
      </c>
      <c r="K2334" s="4" t="s">
        <v>4010</v>
      </c>
      <c r="L2334" s="48" t="str">
        <f aca="false">HYPERLINK("https://boxd.it/1eSs","open")</f>
        <v>open</v>
      </c>
      <c r="M2334" s="4" t="str">
        <f aca="false">LOWER(A2334)&amp;"|"&amp;B2334</f>
        <v>tony manero|2008</v>
      </c>
      <c r="N2334" s="4" t="n">
        <v>0</v>
      </c>
      <c r="O2334" s="4" t="n">
        <v>0</v>
      </c>
      <c r="P2334" s="4" t="n">
        <v>1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</row>
    <row r="2335" customFormat="false" ht="15" hidden="false" customHeight="false" outlineLevel="0" collapsed="false">
      <c r="A2335" s="4" t="s">
        <v>3799</v>
      </c>
      <c r="B2335" s="4" t="n">
        <v>2011</v>
      </c>
      <c r="C2335" s="4" t="str">
        <f aca="false">FLOOR(B2335,10)&amp;"s"</f>
        <v>2010s</v>
      </c>
      <c r="D2335" s="4" t="s">
        <v>1569</v>
      </c>
      <c r="E2335" s="25" t="str">
        <f aca="false">IF(G2335=1,"✓","")</f>
        <v/>
      </c>
      <c r="F2335" s="4" t="n">
        <v>1</v>
      </c>
      <c r="G2335" s="4" t="n">
        <f aca="false">IF(COUNTIF('Letterboxd Watched'!$E$2:$E$3000,M2335)&gt;0,1,0)</f>
        <v>0</v>
      </c>
      <c r="H2335" s="4" t="n">
        <v>1</v>
      </c>
      <c r="I2335" s="4" t="s">
        <v>1327</v>
      </c>
      <c r="J2335" s="4" t="s">
        <v>55</v>
      </c>
      <c r="K2335" s="4" t="s">
        <v>4314</v>
      </c>
      <c r="L2335" s="48" t="str">
        <f aca="false">HYPERLINK("https://boxd.it/4EI","open")</f>
        <v>open</v>
      </c>
      <c r="M2335" s="4" t="str">
        <f aca="false">LOWER(A2335)&amp;"|"&amp;B2335</f>
        <v>too big to fail|2011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1</v>
      </c>
      <c r="U2335" s="4" t="n">
        <v>0</v>
      </c>
      <c r="V2335" s="4" t="n">
        <v>0</v>
      </c>
      <c r="W2335" s="4" t="n">
        <v>0</v>
      </c>
    </row>
    <row r="2336" customFormat="false" ht="15" hidden="false" customHeight="false" outlineLevel="0" collapsed="false">
      <c r="A2336" s="4" t="s">
        <v>1057</v>
      </c>
      <c r="B2336" s="4" t="n">
        <v>1982</v>
      </c>
      <c r="C2336" s="4" t="str">
        <f aca="false">FLOOR(B2336,10)&amp;"s"</f>
        <v>1980s</v>
      </c>
      <c r="D2336" s="4" t="s">
        <v>1058</v>
      </c>
      <c r="E2336" s="25" t="str">
        <f aca="false">IF(G2336=1,"✓","")</f>
        <v/>
      </c>
      <c r="F2336" s="4" t="n">
        <v>2</v>
      </c>
      <c r="G2336" s="4" t="n">
        <f aca="false">IF(COUNTIF('Letterboxd Watched'!$E$2:$E$3000,M2336)&gt;0,1,0)</f>
        <v>0</v>
      </c>
      <c r="H2336" s="4" t="n">
        <v>4</v>
      </c>
      <c r="I2336" s="4" t="s">
        <v>213</v>
      </c>
      <c r="J2336" s="4" t="s">
        <v>49</v>
      </c>
      <c r="K2336" s="4" t="s">
        <v>5872</v>
      </c>
      <c r="L2336" s="48" t="str">
        <f aca="false">HYPERLINK("https://boxd.it/1YkG","open")</f>
        <v>open</v>
      </c>
      <c r="M2336" s="4" t="str">
        <f aca="false">LOWER(A2336)&amp;"|"&amp;B2336</f>
        <v>tootsie|1982</v>
      </c>
      <c r="N2336" s="4" t="n">
        <v>1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1</v>
      </c>
      <c r="W2336" s="4" t="n">
        <v>0</v>
      </c>
    </row>
    <row r="2337" customFormat="false" ht="15" hidden="false" customHeight="false" outlineLevel="0" collapsed="false">
      <c r="A2337" s="4" t="s">
        <v>2425</v>
      </c>
      <c r="B2337" s="4" t="n">
        <v>1986</v>
      </c>
      <c r="C2337" s="4" t="str">
        <f aca="false">FLOOR(B2337,10)&amp;"s"</f>
        <v>1980s</v>
      </c>
      <c r="D2337" s="4" t="s">
        <v>2426</v>
      </c>
      <c r="E2337" s="25" t="str">
        <f aca="false">IF(G2337=1,"✓","")</f>
        <v>✓</v>
      </c>
      <c r="F2337" s="4" t="n">
        <v>1</v>
      </c>
      <c r="G2337" s="4" t="n">
        <f aca="false">IF(COUNTIF('Letterboxd Watched'!$E$2:$E$3000,M2337)&gt;0,1,0)</f>
        <v>1</v>
      </c>
      <c r="H2337" s="4" t="n">
        <v>2</v>
      </c>
      <c r="I2337" s="4" t="s">
        <v>213</v>
      </c>
      <c r="J2337" s="4" t="s">
        <v>50</v>
      </c>
      <c r="K2337" s="4" t="s">
        <v>3920</v>
      </c>
      <c r="L2337" s="48" t="str">
        <f aca="false">HYPERLINK("https://boxd.it/29JC","open")</f>
        <v>open</v>
      </c>
      <c r="M2337" s="4" t="str">
        <f aca="false">LOWER(A2337)&amp;"|"&amp;B2337</f>
        <v>top gun|1986</v>
      </c>
      <c r="N2337" s="4" t="n">
        <v>0</v>
      </c>
      <c r="O2337" s="4" t="n">
        <v>1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</row>
    <row r="2338" customFormat="false" ht="15" hidden="false" customHeight="false" outlineLevel="0" collapsed="false">
      <c r="A2338" s="4" t="s">
        <v>3234</v>
      </c>
      <c r="B2338" s="4" t="n">
        <v>2022</v>
      </c>
      <c r="C2338" s="4" t="str">
        <f aca="false">FLOOR(B2338,10)&amp;"s"</f>
        <v>2020s</v>
      </c>
      <c r="D2338" s="4" t="s">
        <v>3235</v>
      </c>
      <c r="E2338" s="25" t="str">
        <f aca="false">IF(G2338=1,"✓","")</f>
        <v>✓</v>
      </c>
      <c r="F2338" s="4" t="n">
        <v>1</v>
      </c>
      <c r="G2338" s="4" t="n">
        <f aca="false">IF(COUNTIF('Letterboxd Watched'!$E$2:$E$3000,M2338)&gt;0,1,0)</f>
        <v>1</v>
      </c>
      <c r="H2338" s="4" t="n">
        <v>2</v>
      </c>
      <c r="I2338" s="4" t="s">
        <v>213</v>
      </c>
      <c r="J2338" s="4" t="s">
        <v>56</v>
      </c>
      <c r="K2338" s="4" t="s">
        <v>4400</v>
      </c>
      <c r="L2338" s="48" t="str">
        <f aca="false">HYPERLINK("https://boxd.it/cjr4","open")</f>
        <v>open</v>
      </c>
      <c r="M2338" s="4" t="str">
        <f aca="false">LOWER(A2338)&amp;"|"&amp;B2338</f>
        <v>top gun: maverick|2022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0</v>
      </c>
      <c r="T2338" s="4" t="n">
        <v>0</v>
      </c>
      <c r="U2338" s="4" t="n">
        <v>1</v>
      </c>
      <c r="V2338" s="4" t="n">
        <v>0</v>
      </c>
      <c r="W2338" s="4" t="n">
        <v>0</v>
      </c>
    </row>
    <row r="2339" customFormat="false" ht="15" hidden="false" customHeight="false" outlineLevel="0" collapsed="false">
      <c r="A2339" s="4" t="s">
        <v>1436</v>
      </c>
      <c r="B2339" s="4" t="n">
        <v>1935</v>
      </c>
      <c r="C2339" s="4" t="str">
        <f aca="false">FLOOR(B2339,10)&amp;"s"</f>
        <v>1930s</v>
      </c>
      <c r="D2339" s="4" t="s">
        <v>1437</v>
      </c>
      <c r="E2339" s="25" t="str">
        <f aca="false">IF(G2339=1,"✓","")</f>
        <v/>
      </c>
      <c r="F2339" s="4" t="n">
        <v>1</v>
      </c>
      <c r="G2339" s="4" t="n">
        <f aca="false">IF(COUNTIF('Letterboxd Watched'!$E$2:$E$3000,M2339)&gt;0,1,0)</f>
        <v>0</v>
      </c>
      <c r="H2339" s="4" t="n">
        <v>3</v>
      </c>
      <c r="I2339" s="4" t="s">
        <v>144</v>
      </c>
      <c r="J2339" s="4" t="s">
        <v>52</v>
      </c>
      <c r="K2339" s="4" t="s">
        <v>4110</v>
      </c>
      <c r="L2339" s="48" t="str">
        <f aca="false">HYPERLINK("https://boxd.it/25MW","open")</f>
        <v>open</v>
      </c>
      <c r="M2339" s="4" t="str">
        <f aca="false">LOWER(A2339)&amp;"|"&amp;B2339</f>
        <v>top hat|1935</v>
      </c>
      <c r="N2339" s="4" t="n">
        <v>0</v>
      </c>
      <c r="O2339" s="4" t="n">
        <v>0</v>
      </c>
      <c r="P2339" s="4" t="n">
        <v>0</v>
      </c>
      <c r="Q2339" s="4" t="n">
        <v>1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</row>
    <row r="2340" customFormat="false" ht="15" hidden="false" customHeight="false" outlineLevel="0" collapsed="false">
      <c r="A2340" s="4" t="s">
        <v>2402</v>
      </c>
      <c r="B2340" s="4" t="n">
        <v>1984</v>
      </c>
      <c r="C2340" s="4" t="str">
        <f aca="false">FLOOR(B2340,10)&amp;"s"</f>
        <v>1980s</v>
      </c>
      <c r="D2340" s="4" t="s">
        <v>1521</v>
      </c>
      <c r="E2340" s="25" t="str">
        <f aca="false">IF(G2340=1,"✓","")</f>
        <v/>
      </c>
      <c r="F2340" s="4" t="n">
        <v>1</v>
      </c>
      <c r="G2340" s="4" t="n">
        <f aca="false">IF(COUNTIF('Letterboxd Watched'!$E$2:$E$3000,M2340)&gt;0,1,0)</f>
        <v>0</v>
      </c>
      <c r="H2340" s="4" t="n">
        <v>2</v>
      </c>
      <c r="I2340" s="4" t="s">
        <v>213</v>
      </c>
      <c r="J2340" s="4" t="s">
        <v>52</v>
      </c>
      <c r="K2340" s="4" t="s">
        <v>4102</v>
      </c>
      <c r="L2340" s="48" t="str">
        <f aca="false">HYPERLINK("https://boxd.it/1ZSE","open")</f>
        <v>open</v>
      </c>
      <c r="M2340" s="4" t="str">
        <f aca="false">LOWER(A2340)&amp;"|"&amp;B2340</f>
        <v>top secret!|1984</v>
      </c>
      <c r="N2340" s="4" t="n">
        <v>0</v>
      </c>
      <c r="O2340" s="4" t="n">
        <v>0</v>
      </c>
      <c r="P2340" s="4" t="n">
        <v>0</v>
      </c>
      <c r="Q2340" s="4" t="n">
        <v>1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0</v>
      </c>
    </row>
    <row r="2341" customFormat="false" ht="15" hidden="false" customHeight="false" outlineLevel="0" collapsed="false">
      <c r="A2341" s="4" t="s">
        <v>2047</v>
      </c>
      <c r="B2341" s="4" t="n">
        <v>1964</v>
      </c>
      <c r="C2341" s="4" t="str">
        <f aca="false">FLOOR(B2341,10)&amp;"s"</f>
        <v>1960s</v>
      </c>
      <c r="D2341" s="4" t="s">
        <v>658</v>
      </c>
      <c r="E2341" s="25" t="str">
        <f aca="false">IF(G2341=1,"✓","")</f>
        <v/>
      </c>
      <c r="F2341" s="4" t="n">
        <v>1</v>
      </c>
      <c r="G2341" s="4" t="n">
        <f aca="false">IF(COUNTIF('Letterboxd Watched'!$E$2:$E$3000,M2341)&gt;0,1,0)</f>
        <v>0</v>
      </c>
      <c r="H2341" s="4" t="n">
        <v>2</v>
      </c>
      <c r="I2341" s="4" t="s">
        <v>213</v>
      </c>
      <c r="J2341" s="4" t="s">
        <v>52</v>
      </c>
      <c r="K2341" s="4" t="s">
        <v>4118</v>
      </c>
      <c r="L2341" s="48" t="str">
        <f aca="false">HYPERLINK("https://boxd.it/23qk","open")</f>
        <v>open</v>
      </c>
      <c r="M2341" s="4" t="str">
        <f aca="false">LOWER(A2341)&amp;"|"&amp;B2341</f>
        <v>topkapi|1964</v>
      </c>
      <c r="N2341" s="4" t="n">
        <v>0</v>
      </c>
      <c r="O2341" s="4" t="n">
        <v>0</v>
      </c>
      <c r="P2341" s="4" t="n">
        <v>0</v>
      </c>
      <c r="Q2341" s="4" t="n">
        <v>1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</row>
    <row r="2342" customFormat="false" ht="15" hidden="false" customHeight="false" outlineLevel="0" collapsed="false">
      <c r="A2342" s="4" t="s">
        <v>420</v>
      </c>
      <c r="B2342" s="4" t="n">
        <v>1970</v>
      </c>
      <c r="C2342" s="4" t="str">
        <f aca="false">FLOOR(B2342,10)&amp;"s"</f>
        <v>1970s</v>
      </c>
      <c r="D2342" s="4" t="s">
        <v>421</v>
      </c>
      <c r="E2342" s="25" t="str">
        <f aca="false">IF(G2342=1,"✓","")</f>
        <v/>
      </c>
      <c r="F2342" s="4" t="n">
        <v>3</v>
      </c>
      <c r="G2342" s="4" t="n">
        <f aca="false">IF(COUNTIF('Letterboxd Watched'!$E$2:$E$3000,M2342)&gt;0,1,0)</f>
        <v>0</v>
      </c>
      <c r="H2342" s="4" t="n">
        <v>8</v>
      </c>
      <c r="I2342" s="4" t="s">
        <v>144</v>
      </c>
      <c r="J2342" s="4" t="s">
        <v>52</v>
      </c>
      <c r="K2342" s="4" t="s">
        <v>5873</v>
      </c>
      <c r="L2342" s="48" t="str">
        <f aca="false">HYPERLINK("https://boxd.it/1QYS","open")</f>
        <v>open</v>
      </c>
      <c r="M2342" s="4" t="str">
        <f aca="false">LOWER(A2342)&amp;"|"&amp;B2342</f>
        <v>el topo|1970</v>
      </c>
      <c r="N2342" s="4" t="n">
        <v>0</v>
      </c>
      <c r="O2342" s="4" t="n">
        <v>0</v>
      </c>
      <c r="P2342" s="4" t="n">
        <v>0</v>
      </c>
      <c r="Q2342" s="4" t="n">
        <v>1</v>
      </c>
      <c r="R2342" s="4" t="n">
        <v>0</v>
      </c>
      <c r="S2342" s="4" t="n">
        <v>1</v>
      </c>
      <c r="T2342" s="4" t="n">
        <v>0</v>
      </c>
      <c r="U2342" s="4" t="n">
        <v>1</v>
      </c>
      <c r="V2342" s="4" t="n">
        <v>0</v>
      </c>
      <c r="W2342" s="4" t="n">
        <v>0</v>
      </c>
    </row>
    <row r="2343" customFormat="false" ht="15" hidden="false" customHeight="false" outlineLevel="0" collapsed="false">
      <c r="A2343" s="4" t="s">
        <v>2217</v>
      </c>
      <c r="B2343" s="4" t="n">
        <v>1973</v>
      </c>
      <c r="C2343" s="4" t="str">
        <f aca="false">FLOOR(B2343,10)&amp;"s"</f>
        <v>1970s</v>
      </c>
      <c r="D2343" s="4" t="s">
        <v>1346</v>
      </c>
      <c r="E2343" s="25" t="str">
        <f aca="false">IF(G2343=1,"✓","")</f>
        <v/>
      </c>
      <c r="F2343" s="4" t="n">
        <v>1</v>
      </c>
      <c r="G2343" s="4" t="n">
        <f aca="false">IF(COUNTIF('Letterboxd Watched'!$E$2:$E$3000,M2343)&gt;0,1,0)</f>
        <v>0</v>
      </c>
      <c r="H2343" s="4" t="n">
        <v>2</v>
      </c>
      <c r="I2343" s="4" t="s">
        <v>213</v>
      </c>
      <c r="J2343" s="4" t="s">
        <v>51</v>
      </c>
      <c r="K2343" s="4" t="s">
        <v>3950</v>
      </c>
      <c r="L2343" s="48" t="str">
        <f aca="false">HYPERLINK("https://letterboxd.com/search/films/Torso+1973/","open")</f>
        <v>open</v>
      </c>
      <c r="M2343" s="4" t="str">
        <f aca="false">LOWER(A2343)&amp;"|"&amp;B2343</f>
        <v>torso|1973</v>
      </c>
      <c r="N2343" s="4" t="n">
        <v>0</v>
      </c>
      <c r="O2343" s="4" t="n">
        <v>0</v>
      </c>
      <c r="P2343" s="4" t="n">
        <v>1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</row>
    <row r="2344" customFormat="false" ht="15" hidden="false" customHeight="false" outlineLevel="0" collapsed="false">
      <c r="A2344" s="4" t="s">
        <v>3676</v>
      </c>
      <c r="B2344" s="4" t="n">
        <v>1993</v>
      </c>
      <c r="C2344" s="4" t="str">
        <f aca="false">FLOOR(B2344,10)&amp;"s"</f>
        <v>1990s</v>
      </c>
      <c r="D2344" s="4" t="s">
        <v>2550</v>
      </c>
      <c r="E2344" s="25" t="str">
        <f aca="false">IF(G2344=1,"✓","")</f>
        <v/>
      </c>
      <c r="F2344" s="4" t="n">
        <v>1</v>
      </c>
      <c r="G2344" s="4" t="n">
        <f aca="false">IF(COUNTIF('Letterboxd Watched'!$E$2:$E$3000,M2344)&gt;0,1,0)</f>
        <v>0</v>
      </c>
      <c r="H2344" s="4" t="n">
        <v>1</v>
      </c>
      <c r="I2344" s="4" t="s">
        <v>1327</v>
      </c>
      <c r="J2344" s="4" t="s">
        <v>54</v>
      </c>
      <c r="K2344" s="4" t="s">
        <v>4298</v>
      </c>
      <c r="L2344" s="48" t="str">
        <f aca="false">HYPERLINK("https://letterboxd.com/search/films/Totally+Fucked+Up+1993/","open")</f>
        <v>open</v>
      </c>
      <c r="M2344" s="4" t="str">
        <f aca="false">LOWER(A2344)&amp;"|"&amp;B2344</f>
        <v>totally fucked up|1993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1</v>
      </c>
      <c r="T2344" s="4" t="n">
        <v>0</v>
      </c>
      <c r="U2344" s="4" t="n">
        <v>0</v>
      </c>
      <c r="V2344" s="4" t="n">
        <v>0</v>
      </c>
      <c r="W2344" s="4" t="n">
        <v>0</v>
      </c>
    </row>
    <row r="2345" customFormat="false" ht="15" hidden="false" customHeight="false" outlineLevel="0" collapsed="false">
      <c r="A2345" s="4" t="s">
        <v>308</v>
      </c>
      <c r="B2345" s="4" t="n">
        <v>1958</v>
      </c>
      <c r="C2345" s="4" t="str">
        <f aca="false">FLOOR(B2345,10)&amp;"s"</f>
        <v>1950s</v>
      </c>
      <c r="D2345" s="4" t="s">
        <v>143</v>
      </c>
      <c r="E2345" s="25" t="str">
        <f aca="false">IF(G2345=1,"✓","")</f>
        <v/>
      </c>
      <c r="F2345" s="4" t="n">
        <v>4</v>
      </c>
      <c r="G2345" s="4" t="n">
        <f aca="false">IF(COUNTIF('Letterboxd Watched'!$E$2:$E$3000,M2345)&gt;0,1,0)</f>
        <v>0</v>
      </c>
      <c r="H2345" s="4" t="n">
        <v>10</v>
      </c>
      <c r="I2345" s="4" t="s">
        <v>144</v>
      </c>
      <c r="J2345" s="4" t="s">
        <v>49</v>
      </c>
      <c r="K2345" s="4" t="s">
        <v>5874</v>
      </c>
      <c r="L2345" s="48" t="str">
        <f aca="false">HYPERLINK("https://boxd.it/28II","open")</f>
        <v>open</v>
      </c>
      <c r="M2345" s="4" t="str">
        <f aca="false">LOWER(A2345)&amp;"|"&amp;B2345</f>
        <v>touch of evil|1958</v>
      </c>
      <c r="N2345" s="4" t="n">
        <v>1</v>
      </c>
      <c r="O2345" s="4" t="n">
        <v>0</v>
      </c>
      <c r="P2345" s="4" t="n">
        <v>0</v>
      </c>
      <c r="Q2345" s="4" t="n">
        <v>1</v>
      </c>
      <c r="R2345" s="4" t="n">
        <v>1</v>
      </c>
      <c r="S2345" s="4" t="n">
        <v>0</v>
      </c>
      <c r="T2345" s="4" t="n">
        <v>0</v>
      </c>
      <c r="U2345" s="4" t="n">
        <v>0</v>
      </c>
      <c r="V2345" s="4" t="n">
        <v>1</v>
      </c>
      <c r="W2345" s="4" t="n">
        <v>0</v>
      </c>
    </row>
    <row r="2346" customFormat="false" ht="15" hidden="false" customHeight="false" outlineLevel="0" collapsed="false">
      <c r="A2346" s="4" t="s">
        <v>1206</v>
      </c>
      <c r="B2346" s="4" t="n">
        <v>2013</v>
      </c>
      <c r="C2346" s="4" t="str">
        <f aca="false">FLOOR(B2346,10)&amp;"s"</f>
        <v>2010s</v>
      </c>
      <c r="D2346" s="4" t="s">
        <v>859</v>
      </c>
      <c r="E2346" s="25" t="str">
        <f aca="false">IF(G2346=1,"✓","")</f>
        <v/>
      </c>
      <c r="F2346" s="4" t="n">
        <v>2</v>
      </c>
      <c r="G2346" s="4" t="n">
        <f aca="false">IF(COUNTIF('Letterboxd Watched'!$E$2:$E$3000,M2346)&gt;0,1,0)</f>
        <v>0</v>
      </c>
      <c r="H2346" s="4" t="n">
        <v>4</v>
      </c>
      <c r="I2346" s="4" t="s">
        <v>213</v>
      </c>
      <c r="J2346" s="4" t="s">
        <v>51</v>
      </c>
      <c r="K2346" s="4" t="s">
        <v>5707</v>
      </c>
      <c r="L2346" s="48" t="str">
        <f aca="false">HYPERLINK("https://boxd.it/5Fvo","open")</f>
        <v>open</v>
      </c>
      <c r="M2346" s="4" t="str">
        <f aca="false">LOWER(A2346)&amp;"|"&amp;B2346</f>
        <v>a touch of sin|2013</v>
      </c>
      <c r="N2346" s="4" t="n">
        <v>0</v>
      </c>
      <c r="O2346" s="4" t="n">
        <v>0</v>
      </c>
      <c r="P2346" s="4" t="n">
        <v>1</v>
      </c>
      <c r="Q2346" s="4" t="n">
        <v>0</v>
      </c>
      <c r="R2346" s="4" t="n">
        <v>1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</row>
    <row r="2347" customFormat="false" ht="15" hidden="false" customHeight="false" outlineLevel="0" collapsed="false">
      <c r="A2347" s="4" t="s">
        <v>1482</v>
      </c>
      <c r="B2347" s="4" t="n">
        <v>1970</v>
      </c>
      <c r="C2347" s="4" t="str">
        <f aca="false">FLOOR(B2347,10)&amp;"s"</f>
        <v>1970s</v>
      </c>
      <c r="D2347" s="4" t="s">
        <v>1483</v>
      </c>
      <c r="E2347" s="25" t="str">
        <f aca="false">IF(G2347=1,"✓","")</f>
        <v/>
      </c>
      <c r="F2347" s="4" t="n">
        <v>1</v>
      </c>
      <c r="G2347" s="4" t="n">
        <f aca="false">IF(COUNTIF('Letterboxd Watched'!$E$2:$E$3000,M2347)&gt;0,1,0)</f>
        <v>0</v>
      </c>
      <c r="H2347" s="4" t="n">
        <v>3</v>
      </c>
      <c r="I2347" s="4" t="s">
        <v>144</v>
      </c>
      <c r="J2347" s="4" t="s">
        <v>51</v>
      </c>
      <c r="K2347" s="4" t="s">
        <v>4014</v>
      </c>
      <c r="L2347" s="48" t="str">
        <f aca="false">HYPERLINK("https://boxd.it/SFm","open")</f>
        <v>open</v>
      </c>
      <c r="M2347" s="4" t="str">
        <f aca="false">LOWER(A2347)&amp;"|"&amp;B2347</f>
        <v>a touch of zen|1970</v>
      </c>
      <c r="N2347" s="4" t="n">
        <v>0</v>
      </c>
      <c r="O2347" s="4" t="n">
        <v>0</v>
      </c>
      <c r="P2347" s="4" t="n">
        <v>1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</row>
    <row r="2348" customFormat="false" ht="15" hidden="false" customHeight="false" outlineLevel="0" collapsed="false">
      <c r="A2348" s="4" t="s">
        <v>1901</v>
      </c>
      <c r="B2348" s="4" t="n">
        <v>1954</v>
      </c>
      <c r="C2348" s="4" t="str">
        <f aca="false">FLOOR(B2348,10)&amp;"s"</f>
        <v>1950s</v>
      </c>
      <c r="D2348" s="4" t="s">
        <v>953</v>
      </c>
      <c r="E2348" s="25" t="str">
        <f aca="false">IF(G2348=1,"✓","")</f>
        <v/>
      </c>
      <c r="F2348" s="4" t="n">
        <v>1</v>
      </c>
      <c r="G2348" s="4" t="n">
        <f aca="false">IF(COUNTIF('Letterboxd Watched'!$E$2:$E$3000,M2348)&gt;0,1,0)</f>
        <v>0</v>
      </c>
      <c r="H2348" s="4" t="n">
        <v>2</v>
      </c>
      <c r="I2348" s="4" t="s">
        <v>213</v>
      </c>
      <c r="J2348" s="4" t="s">
        <v>51</v>
      </c>
      <c r="K2348" s="4" t="s">
        <v>3964</v>
      </c>
      <c r="L2348" s="48" t="str">
        <f aca="false">HYPERLINK("https://boxd.it/1rPw","open")</f>
        <v>open</v>
      </c>
      <c r="M2348" s="4" t="str">
        <f aca="false">LOWER(A2348)&amp;"|"&amp;B2348</f>
        <v>touchez pas au grisbi|1954</v>
      </c>
      <c r="N2348" s="4" t="n">
        <v>0</v>
      </c>
      <c r="O2348" s="4" t="n">
        <v>0</v>
      </c>
      <c r="P2348" s="4" t="n">
        <v>1</v>
      </c>
      <c r="Q2348" s="4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</row>
    <row r="2349" customFormat="false" ht="15" hidden="false" customHeight="false" outlineLevel="0" collapsed="false">
      <c r="A2349" s="4" t="s">
        <v>853</v>
      </c>
      <c r="B2349" s="4" t="n">
        <v>2003</v>
      </c>
      <c r="C2349" s="4" t="str">
        <f aca="false">FLOOR(B2349,10)&amp;"s"</f>
        <v>2000s</v>
      </c>
      <c r="D2349" s="4" t="s">
        <v>854</v>
      </c>
      <c r="E2349" s="25" t="str">
        <f aca="false">IF(G2349=1,"✓","")</f>
        <v/>
      </c>
      <c r="F2349" s="4" t="n">
        <v>2</v>
      </c>
      <c r="G2349" s="4" t="n">
        <f aca="false">IF(COUNTIF('Letterboxd Watched'!$E$2:$E$3000,M2349)&gt;0,1,0)</f>
        <v>0</v>
      </c>
      <c r="H2349" s="4" t="n">
        <v>5</v>
      </c>
      <c r="I2349" s="4" t="s">
        <v>144</v>
      </c>
      <c r="J2349" s="4" t="s">
        <v>52</v>
      </c>
      <c r="K2349" s="4" t="s">
        <v>5875</v>
      </c>
      <c r="L2349" s="48" t="str">
        <f aca="false">HYPERLINK("https://boxd.it/1Up8","open")</f>
        <v>open</v>
      </c>
      <c r="M2349" s="4" t="str">
        <f aca="false">LOWER(A2349)&amp;"|"&amp;B2349</f>
        <v>touching the void|2003</v>
      </c>
      <c r="N2349" s="4" t="n">
        <v>0</v>
      </c>
      <c r="O2349" s="4" t="n">
        <v>0</v>
      </c>
      <c r="P2349" s="4" t="n">
        <v>0</v>
      </c>
      <c r="Q2349" s="4" t="n">
        <v>1</v>
      </c>
      <c r="R2349" s="4" t="n">
        <v>0</v>
      </c>
      <c r="S2349" s="4" t="n">
        <v>0</v>
      </c>
      <c r="T2349" s="4" t="n">
        <v>0</v>
      </c>
      <c r="U2349" s="4" t="n">
        <v>1</v>
      </c>
      <c r="V2349" s="4" t="n">
        <v>0</v>
      </c>
      <c r="W2349" s="4" t="n">
        <v>0</v>
      </c>
    </row>
    <row r="2350" customFormat="false" ht="15" hidden="false" customHeight="false" outlineLevel="0" collapsed="false">
      <c r="A2350" s="4" t="s">
        <v>339</v>
      </c>
      <c r="B2350" s="4" t="n">
        <v>1973</v>
      </c>
      <c r="C2350" s="4" t="str">
        <f aca="false">FLOOR(B2350,10)&amp;"s"</f>
        <v>1970s</v>
      </c>
      <c r="D2350" s="4" t="s">
        <v>340</v>
      </c>
      <c r="E2350" s="25" t="str">
        <f aca="false">IF(G2350=1,"✓","")</f>
        <v/>
      </c>
      <c r="F2350" s="4" t="n">
        <v>4</v>
      </c>
      <c r="G2350" s="4" t="n">
        <f aca="false">IF(COUNTIF('Letterboxd Watched'!$E$2:$E$3000,M2350)&gt;0,1,0)</f>
        <v>0</v>
      </c>
      <c r="H2350" s="4" t="n">
        <v>10</v>
      </c>
      <c r="I2350" s="4" t="s">
        <v>144</v>
      </c>
      <c r="J2350" s="4" t="s">
        <v>50</v>
      </c>
      <c r="K2350" s="4" t="s">
        <v>5876</v>
      </c>
      <c r="L2350" s="48" t="str">
        <f aca="false">HYPERLINK("https://boxd.it/2H44","open")</f>
        <v>open</v>
      </c>
      <c r="M2350" s="4" t="str">
        <f aca="false">LOWER(A2350)&amp;"|"&amp;B2350</f>
        <v>touki bouki|1973</v>
      </c>
      <c r="N2350" s="4" t="n">
        <v>0</v>
      </c>
      <c r="O2350" s="4" t="n">
        <v>1</v>
      </c>
      <c r="P2350" s="4" t="n">
        <v>1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1</v>
      </c>
      <c r="W2350" s="4" t="n">
        <v>0</v>
      </c>
    </row>
    <row r="2351" customFormat="false" ht="15" hidden="false" customHeight="false" outlineLevel="0" collapsed="false">
      <c r="A2351" s="4" t="s">
        <v>3503</v>
      </c>
      <c r="B2351" s="4" t="n">
        <v>1972</v>
      </c>
      <c r="C2351" s="4" t="str">
        <f aca="false">FLOOR(B2351,10)&amp;"s"</f>
        <v>1970s</v>
      </c>
      <c r="D2351" s="4" t="s">
        <v>3504</v>
      </c>
      <c r="E2351" s="25" t="str">
        <f aca="false">IF(G2351=1,"✓","")</f>
        <v/>
      </c>
      <c r="F2351" s="4" t="n">
        <v>1</v>
      </c>
      <c r="G2351" s="4" t="n">
        <f aca="false">IF(COUNTIF('Letterboxd Watched'!$E$2:$E$3000,M2351)&gt;0,1,0)</f>
        <v>0</v>
      </c>
      <c r="H2351" s="4" t="n">
        <v>1</v>
      </c>
      <c r="I2351" s="4" t="s">
        <v>1327</v>
      </c>
      <c r="J2351" s="4" t="s">
        <v>53</v>
      </c>
      <c r="K2351" s="4" t="s">
        <v>152</v>
      </c>
      <c r="L2351" s="48" t="str">
        <f aca="false">HYPERLINK("https://boxd.it/20AQ","open")</f>
        <v>open</v>
      </c>
      <c r="M2351" s="4" t="str">
        <f aca="false">LOWER(A2351)&amp;"|"&amp;B2351</f>
        <v>tout va bien|1972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1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</row>
    <row r="2352" customFormat="false" ht="15" hidden="false" customHeight="false" outlineLevel="0" collapsed="false">
      <c r="A2352" s="4" t="s">
        <v>2367</v>
      </c>
      <c r="B2352" s="4" t="n">
        <v>1982</v>
      </c>
      <c r="C2352" s="4" t="str">
        <f aca="false">FLOOR(B2352,10)&amp;"s"</f>
        <v>1980s</v>
      </c>
      <c r="D2352" s="4" t="s">
        <v>185</v>
      </c>
      <c r="E2352" s="25" t="str">
        <f aca="false">IF(G2352=1,"✓","")</f>
        <v/>
      </c>
      <c r="F2352" s="4" t="n">
        <v>1</v>
      </c>
      <c r="G2352" s="4" t="n">
        <f aca="false">IF(COUNTIF('Letterboxd Watched'!$E$2:$E$3000,M2352)&gt;0,1,0)</f>
        <v>0</v>
      </c>
      <c r="H2352" s="4" t="n">
        <v>2</v>
      </c>
      <c r="I2352" s="4" t="s">
        <v>213</v>
      </c>
      <c r="J2352" s="4" t="s">
        <v>53</v>
      </c>
      <c r="K2352" s="4" t="s">
        <v>185</v>
      </c>
      <c r="L2352" s="48" t="str">
        <f aca="false">HYPERLINK("https://boxd.it/9oA","open")</f>
        <v>open</v>
      </c>
      <c r="M2352" s="4" t="str">
        <f aca="false">LOWER(A2352)&amp;"|"&amp;B2352</f>
        <v>toute une nuit|1982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1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</row>
    <row r="2353" customFormat="false" ht="15" hidden="false" customHeight="false" outlineLevel="0" collapsed="false">
      <c r="A2353" s="4" t="s">
        <v>1502</v>
      </c>
      <c r="B2353" s="4" t="n">
        <v>1974</v>
      </c>
      <c r="C2353" s="4" t="str">
        <f aca="false">FLOOR(B2353,10)&amp;"s"</f>
        <v>1970s</v>
      </c>
      <c r="D2353" s="4" t="s">
        <v>1503</v>
      </c>
      <c r="E2353" s="25" t="str">
        <f aca="false">IF(G2353=1,"✓","")</f>
        <v/>
      </c>
      <c r="F2353" s="4" t="n">
        <v>1</v>
      </c>
      <c r="G2353" s="4" t="n">
        <f aca="false">IF(COUNTIF('Letterboxd Watched'!$E$2:$E$3000,M2353)&gt;0,1,0)</f>
        <v>0</v>
      </c>
      <c r="H2353" s="4" t="n">
        <v>3</v>
      </c>
      <c r="I2353" s="4" t="s">
        <v>144</v>
      </c>
      <c r="J2353" s="4" t="s">
        <v>56</v>
      </c>
      <c r="K2353" s="4" t="s">
        <v>4388</v>
      </c>
      <c r="L2353" s="48" t="str">
        <f aca="false">HYPERLINK("https://boxd.it/22ly","open")</f>
        <v>open</v>
      </c>
      <c r="M2353" s="4" t="str">
        <f aca="false">LOWER(A2353)&amp;"|"&amp;B2353</f>
        <v>the towering inferno|1974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1</v>
      </c>
      <c r="V2353" s="4" t="n">
        <v>0</v>
      </c>
      <c r="W2353" s="4" t="n">
        <v>0</v>
      </c>
    </row>
    <row r="2354" customFormat="false" ht="15" hidden="false" customHeight="false" outlineLevel="0" collapsed="false">
      <c r="A2354" s="4" t="s">
        <v>378</v>
      </c>
      <c r="B2354" s="4" t="n">
        <v>1995</v>
      </c>
      <c r="C2354" s="4" t="str">
        <f aca="false">FLOOR(B2354,10)&amp;"s"</f>
        <v>1990s</v>
      </c>
      <c r="D2354" s="4" t="s">
        <v>379</v>
      </c>
      <c r="E2354" s="25" t="str">
        <f aca="false">IF(G2354=1,"✓","")</f>
        <v>✓</v>
      </c>
      <c r="F2354" s="4" t="n">
        <v>4</v>
      </c>
      <c r="G2354" s="4" t="n">
        <f aca="false">IF(COUNTIF('Letterboxd Watched'!$E$2:$E$3000,M2354)&gt;0,1,0)</f>
        <v>1</v>
      </c>
      <c r="H2354" s="4" t="n">
        <v>9</v>
      </c>
      <c r="I2354" s="4" t="s">
        <v>144</v>
      </c>
      <c r="J2354" s="4" t="s">
        <v>49</v>
      </c>
      <c r="K2354" s="4" t="s">
        <v>5877</v>
      </c>
      <c r="L2354" s="48" t="str">
        <f aca="false">HYPERLINK("https://boxd.it/29qA","open")</f>
        <v>open</v>
      </c>
      <c r="M2354" s="4" t="str">
        <f aca="false">LOWER(A2354)&amp;"|"&amp;B2354</f>
        <v>toy story|1995</v>
      </c>
      <c r="N2354" s="4" t="n">
        <v>1</v>
      </c>
      <c r="O2354" s="4" t="n">
        <v>0</v>
      </c>
      <c r="P2354" s="4" t="n">
        <v>0</v>
      </c>
      <c r="Q2354" s="4" t="n">
        <v>1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1</v>
      </c>
      <c r="W2354" s="4" t="n">
        <v>0</v>
      </c>
    </row>
    <row r="2355" customFormat="false" ht="15" hidden="false" customHeight="false" outlineLevel="0" collapsed="false">
      <c r="A2355" s="4" t="s">
        <v>2705</v>
      </c>
      <c r="B2355" s="4" t="n">
        <v>1999</v>
      </c>
      <c r="C2355" s="4" t="str">
        <f aca="false">FLOOR(B2355,10)&amp;"s"</f>
        <v>1990s</v>
      </c>
      <c r="D2355" s="4" t="s">
        <v>379</v>
      </c>
      <c r="E2355" s="25" t="str">
        <f aca="false">IF(G2355=1,"✓","")</f>
        <v>✓</v>
      </c>
      <c r="F2355" s="4" t="n">
        <v>1</v>
      </c>
      <c r="G2355" s="4" t="n">
        <f aca="false">IF(COUNTIF('Letterboxd Watched'!$E$2:$E$3000,M2355)&gt;0,1,0)</f>
        <v>1</v>
      </c>
      <c r="H2355" s="4" t="n">
        <v>2</v>
      </c>
      <c r="I2355" s="4" t="s">
        <v>213</v>
      </c>
      <c r="J2355" s="4" t="s">
        <v>52</v>
      </c>
      <c r="K2355" s="4" t="s">
        <v>4168</v>
      </c>
      <c r="L2355" s="48" t="str">
        <f aca="false">HYPERLINK("https://boxd.it/29qq","open")</f>
        <v>open</v>
      </c>
      <c r="M2355" s="4" t="str">
        <f aca="false">LOWER(A2355)&amp;"|"&amp;B2355</f>
        <v>toy story 2|1999</v>
      </c>
      <c r="N2355" s="4" t="n">
        <v>0</v>
      </c>
      <c r="O2355" s="4" t="n">
        <v>0</v>
      </c>
      <c r="P2355" s="4" t="n">
        <v>0</v>
      </c>
      <c r="Q2355" s="4" t="n">
        <v>1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</row>
    <row r="2356" customFormat="false" ht="15" hidden="false" customHeight="false" outlineLevel="0" collapsed="false">
      <c r="A2356" s="4" t="s">
        <v>1061</v>
      </c>
      <c r="B2356" s="4" t="n">
        <v>1983</v>
      </c>
      <c r="C2356" s="4" t="str">
        <f aca="false">FLOOR(B2356,10)&amp;"s"</f>
        <v>1980s</v>
      </c>
      <c r="D2356" s="4" t="s">
        <v>1062</v>
      </c>
      <c r="E2356" s="25" t="str">
        <f aca="false">IF(G2356=1,"✓","")</f>
        <v/>
      </c>
      <c r="F2356" s="4" t="n">
        <v>2</v>
      </c>
      <c r="G2356" s="4" t="n">
        <f aca="false">IF(COUNTIF('Letterboxd Watched'!$E$2:$E$3000,M2356)&gt;0,1,0)</f>
        <v>0</v>
      </c>
      <c r="H2356" s="4" t="n">
        <v>4</v>
      </c>
      <c r="I2356" s="4" t="s">
        <v>213</v>
      </c>
      <c r="J2356" s="4" t="s">
        <v>52</v>
      </c>
      <c r="K2356" s="4" t="s">
        <v>5878</v>
      </c>
      <c r="L2356" s="48" t="str">
        <f aca="false">HYPERLINK("https://boxd.it/28sK","open")</f>
        <v>open</v>
      </c>
      <c r="M2356" s="4" t="str">
        <f aca="false">LOWER(A2356)&amp;"|"&amp;B2356</f>
        <v>trading places|1983</v>
      </c>
      <c r="N2356" s="4" t="n">
        <v>0</v>
      </c>
      <c r="O2356" s="4" t="n">
        <v>0</v>
      </c>
      <c r="P2356" s="4" t="n">
        <v>0</v>
      </c>
      <c r="Q2356" s="4" t="n">
        <v>1</v>
      </c>
      <c r="R2356" s="4" t="n">
        <v>0</v>
      </c>
      <c r="S2356" s="4" t="n">
        <v>0</v>
      </c>
      <c r="T2356" s="4" t="n">
        <v>1</v>
      </c>
      <c r="U2356" s="4" t="n">
        <v>0</v>
      </c>
      <c r="V2356" s="4" t="n">
        <v>0</v>
      </c>
      <c r="W2356" s="4" t="n">
        <v>0</v>
      </c>
    </row>
    <row r="2357" customFormat="false" ht="15" hidden="false" customHeight="false" outlineLevel="0" collapsed="false">
      <c r="A2357" s="4" t="s">
        <v>850</v>
      </c>
      <c r="B2357" s="4" t="n">
        <v>2000</v>
      </c>
      <c r="C2357" s="4" t="str">
        <f aca="false">FLOOR(B2357,10)&amp;"s"</f>
        <v>2000s</v>
      </c>
      <c r="D2357" s="4" t="s">
        <v>490</v>
      </c>
      <c r="E2357" s="25" t="str">
        <f aca="false">IF(G2357=1,"✓","")</f>
        <v/>
      </c>
      <c r="F2357" s="4" t="n">
        <v>2</v>
      </c>
      <c r="G2357" s="4" t="n">
        <f aca="false">IF(COUNTIF('Letterboxd Watched'!$E$2:$E$3000,M2357)&gt;0,1,0)</f>
        <v>0</v>
      </c>
      <c r="H2357" s="4" t="n">
        <v>5</v>
      </c>
      <c r="I2357" s="4" t="s">
        <v>144</v>
      </c>
      <c r="J2357" s="4" t="s">
        <v>53</v>
      </c>
      <c r="K2357" s="4" t="s">
        <v>5879</v>
      </c>
      <c r="L2357" s="48" t="str">
        <f aca="false">HYPERLINK("https://boxd.it/27Ue","open")</f>
        <v>open</v>
      </c>
      <c r="M2357" s="4" t="str">
        <f aca="false">LOWER(A2357)&amp;"|"&amp;B2357</f>
        <v>traffic|2000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1</v>
      </c>
      <c r="S2357" s="4" t="n">
        <v>1</v>
      </c>
      <c r="T2357" s="4" t="n">
        <v>0</v>
      </c>
      <c r="U2357" s="4" t="n">
        <v>0</v>
      </c>
      <c r="V2357" s="4" t="n">
        <v>0</v>
      </c>
      <c r="W2357" s="4" t="n">
        <v>0</v>
      </c>
    </row>
    <row r="2358" customFormat="false" ht="15" hidden="false" customHeight="false" outlineLevel="0" collapsed="false">
      <c r="A2358" s="4" t="s">
        <v>3858</v>
      </c>
      <c r="B2358" s="4" t="n">
        <v>2021</v>
      </c>
      <c r="C2358" s="4" t="str">
        <f aca="false">FLOOR(B2358,10)&amp;"s"</f>
        <v>2020s</v>
      </c>
      <c r="D2358" s="4" t="s">
        <v>397</v>
      </c>
      <c r="E2358" s="25" t="str">
        <f aca="false">IF(G2358=1,"✓","")</f>
        <v>✓</v>
      </c>
      <c r="F2358" s="4" t="n">
        <v>1</v>
      </c>
      <c r="G2358" s="4" t="n">
        <f aca="false">IF(COUNTIF('Letterboxd Watched'!$E$2:$E$3000,M2358)&gt;0,1,0)</f>
        <v>1</v>
      </c>
      <c r="H2358" s="4" t="n">
        <v>1</v>
      </c>
      <c r="I2358" s="4" t="s">
        <v>1327</v>
      </c>
      <c r="J2358" s="4" t="s">
        <v>53</v>
      </c>
      <c r="K2358" s="4" t="s">
        <v>4208</v>
      </c>
      <c r="L2358" s="48" t="str">
        <f aca="false">HYPERLINK("https://boxd.it/lMi4","open")</f>
        <v>open</v>
      </c>
      <c r="M2358" s="4" t="str">
        <f aca="false">LOWER(A2358)&amp;"|"&amp;B2358</f>
        <v>the tragedy of macbeth|2021</v>
      </c>
      <c r="N2358" s="4" t="n">
        <v>0</v>
      </c>
      <c r="O2358" s="4" t="n">
        <v>0</v>
      </c>
      <c r="P2358" s="4" t="n">
        <v>0</v>
      </c>
      <c r="Q2358" s="4" t="n">
        <v>0</v>
      </c>
      <c r="R2358" s="4" t="n">
        <v>1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</row>
    <row r="2359" customFormat="false" ht="15" hidden="false" customHeight="false" outlineLevel="0" collapsed="false">
      <c r="A2359" s="4" t="s">
        <v>877</v>
      </c>
      <c r="B2359" s="4" t="n">
        <v>2016</v>
      </c>
      <c r="C2359" s="4" t="str">
        <f aca="false">FLOOR(B2359,10)&amp;"s"</f>
        <v>2010s</v>
      </c>
      <c r="D2359" s="4" t="s">
        <v>878</v>
      </c>
      <c r="E2359" s="25" t="str">
        <f aca="false">IF(G2359=1,"✓","")</f>
        <v/>
      </c>
      <c r="F2359" s="4" t="n">
        <v>2</v>
      </c>
      <c r="G2359" s="4" t="n">
        <f aca="false">IF(COUNTIF('Letterboxd Watched'!$E$2:$E$3000,M2359)&gt;0,1,0)</f>
        <v>0</v>
      </c>
      <c r="H2359" s="4" t="n">
        <v>5</v>
      </c>
      <c r="I2359" s="4" t="s">
        <v>144</v>
      </c>
      <c r="J2359" s="4" t="s">
        <v>51</v>
      </c>
      <c r="K2359" s="4" t="s">
        <v>5880</v>
      </c>
      <c r="L2359" s="48" t="str">
        <f aca="false">HYPERLINK("https://boxd.it/dSQU","open")</f>
        <v>open</v>
      </c>
      <c r="M2359" s="4" t="str">
        <f aca="false">LOWER(A2359)&amp;"|"&amp;B2359</f>
        <v>train to busan|2016</v>
      </c>
      <c r="N2359" s="4" t="n">
        <v>0</v>
      </c>
      <c r="O2359" s="4" t="n">
        <v>0</v>
      </c>
      <c r="P2359" s="4" t="n">
        <v>1</v>
      </c>
      <c r="Q2359" s="4" t="n">
        <v>1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</row>
    <row r="2360" customFormat="false" ht="15" hidden="false" customHeight="false" outlineLevel="0" collapsed="false">
      <c r="A2360" s="4" t="s">
        <v>2662</v>
      </c>
      <c r="B2360" s="4" t="n">
        <v>1996</v>
      </c>
      <c r="C2360" s="4" t="str">
        <f aca="false">FLOOR(B2360,10)&amp;"s"</f>
        <v>1990s</v>
      </c>
      <c r="D2360" s="4" t="s">
        <v>1161</v>
      </c>
      <c r="E2360" s="25" t="str">
        <f aca="false">IF(G2360=1,"✓","")</f>
        <v>✓</v>
      </c>
      <c r="F2360" s="4" t="n">
        <v>1</v>
      </c>
      <c r="G2360" s="4" t="n">
        <f aca="false">IF(COUNTIF('Letterboxd Watched'!$E$2:$E$3000,M2360)&gt;0,1,0)</f>
        <v>1</v>
      </c>
      <c r="H2360" s="4" t="n">
        <v>2</v>
      </c>
      <c r="I2360" s="4" t="s">
        <v>213</v>
      </c>
      <c r="J2360" s="4" t="s">
        <v>57</v>
      </c>
      <c r="K2360" s="4" t="s">
        <v>4430</v>
      </c>
      <c r="L2360" s="48" t="str">
        <f aca="false">HYPERLINK("https://boxd.it/29XY","open")</f>
        <v>open</v>
      </c>
      <c r="M2360" s="4" t="str">
        <f aca="false">LOWER(A2360)&amp;"|"&amp;B2360</f>
        <v>trainspotting|1996</v>
      </c>
      <c r="N2360" s="4" t="n">
        <v>0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1</v>
      </c>
      <c r="W2360" s="4" t="n">
        <v>0</v>
      </c>
    </row>
    <row r="2361" customFormat="false" ht="15" hidden="false" customHeight="false" outlineLevel="0" collapsed="false">
      <c r="A2361" s="4" t="s">
        <v>2353</v>
      </c>
      <c r="B2361" s="4" t="n">
        <v>1981</v>
      </c>
      <c r="C2361" s="4" t="str">
        <f aca="false">FLOOR(B2361,10)&amp;"s"</f>
        <v>1980s</v>
      </c>
      <c r="D2361" s="4" t="s">
        <v>2354</v>
      </c>
      <c r="E2361" s="25" t="str">
        <f aca="false">IF(G2361=1,"✓","")</f>
        <v/>
      </c>
      <c r="F2361" s="4" t="n">
        <v>1</v>
      </c>
      <c r="G2361" s="4" t="n">
        <f aca="false">IF(COUNTIF('Letterboxd Watched'!$E$2:$E$3000,M2361)&gt;0,1,0)</f>
        <v>0</v>
      </c>
      <c r="H2361" s="4" t="n">
        <v>2</v>
      </c>
      <c r="I2361" s="4" t="s">
        <v>213</v>
      </c>
      <c r="J2361" s="4" t="s">
        <v>57</v>
      </c>
      <c r="K2361" s="4" t="s">
        <v>4448</v>
      </c>
      <c r="L2361" s="48" t="str">
        <f aca="false">HYPERLINK("https://letterboxd.com/search/films/Trances+1981/","open")</f>
        <v>open</v>
      </c>
      <c r="M2361" s="4" t="str">
        <f aca="false">LOWER(A2361)&amp;"|"&amp;B2361</f>
        <v>trances|1981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1</v>
      </c>
      <c r="W2361" s="4" t="n">
        <v>0</v>
      </c>
    </row>
    <row r="2362" customFormat="false" ht="15" hidden="false" customHeight="false" outlineLevel="0" collapsed="false">
      <c r="A2362" s="4" t="s">
        <v>3136</v>
      </c>
      <c r="B2362" s="4" t="n">
        <v>2018</v>
      </c>
      <c r="C2362" s="4" t="str">
        <f aca="false">FLOOR(B2362,10)&amp;"s"</f>
        <v>2010s</v>
      </c>
      <c r="D2362" s="4" t="s">
        <v>2991</v>
      </c>
      <c r="E2362" s="25" t="str">
        <f aca="false">IF(G2362=1,"✓","")</f>
        <v/>
      </c>
      <c r="F2362" s="4" t="n">
        <v>1</v>
      </c>
      <c r="G2362" s="4" t="n">
        <f aca="false">IF(COUNTIF('Letterboxd Watched'!$E$2:$E$3000,M2362)&gt;0,1,0)</f>
        <v>0</v>
      </c>
      <c r="H2362" s="4" t="n">
        <v>2</v>
      </c>
      <c r="I2362" s="4" t="s">
        <v>213</v>
      </c>
      <c r="J2362" s="4" t="s">
        <v>51</v>
      </c>
      <c r="K2362" s="4" t="s">
        <v>3974</v>
      </c>
      <c r="L2362" s="48" t="str">
        <f aca="false">HYPERLINK("https://boxd.it/gUK6","open")</f>
        <v>open</v>
      </c>
      <c r="M2362" s="4" t="str">
        <f aca="false">LOWER(A2362)&amp;"|"&amp;B2362</f>
        <v>transit|2018</v>
      </c>
      <c r="N2362" s="4" t="n">
        <v>0</v>
      </c>
      <c r="O2362" s="4" t="n">
        <v>0</v>
      </c>
      <c r="P2362" s="4" t="n">
        <v>1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</row>
    <row r="2363" customFormat="false" ht="15" hidden="false" customHeight="false" outlineLevel="0" collapsed="false">
      <c r="A2363" s="4" t="s">
        <v>405</v>
      </c>
      <c r="B2363" s="4" t="n">
        <v>1948</v>
      </c>
      <c r="C2363" s="4" t="str">
        <f aca="false">FLOOR(B2363,10)&amp;"s"</f>
        <v>1940s</v>
      </c>
      <c r="D2363" s="4" t="s">
        <v>283</v>
      </c>
      <c r="E2363" s="25" t="str">
        <f aca="false">IF(G2363=1,"✓","")</f>
        <v/>
      </c>
      <c r="F2363" s="4" t="n">
        <v>4</v>
      </c>
      <c r="G2363" s="4" t="n">
        <f aca="false">IF(COUNTIF('Letterboxd Watched'!$E$2:$E$3000,M2363)&gt;0,1,0)</f>
        <v>0</v>
      </c>
      <c r="H2363" s="4" t="n">
        <v>8</v>
      </c>
      <c r="I2363" s="4" t="s">
        <v>213</v>
      </c>
      <c r="J2363" s="4" t="s">
        <v>52</v>
      </c>
      <c r="K2363" s="4" t="s">
        <v>5881</v>
      </c>
      <c r="L2363" s="48" t="str">
        <f aca="false">HYPERLINK("https://boxd.it/25Lk","open")</f>
        <v>open</v>
      </c>
      <c r="M2363" s="4" t="str">
        <f aca="false">LOWER(A2363)&amp;"|"&amp;B2363</f>
        <v>the treasure of the sierra madre|1948</v>
      </c>
      <c r="N2363" s="4" t="n">
        <v>0</v>
      </c>
      <c r="O2363" s="4" t="n">
        <v>0</v>
      </c>
      <c r="P2363" s="4" t="n">
        <v>0</v>
      </c>
      <c r="Q2363" s="4" t="n">
        <v>1</v>
      </c>
      <c r="R2363" s="4" t="n">
        <v>0</v>
      </c>
      <c r="S2363" s="4" t="n">
        <v>0</v>
      </c>
      <c r="T2363" s="4" t="n">
        <v>1</v>
      </c>
      <c r="U2363" s="4" t="n">
        <v>0</v>
      </c>
      <c r="V2363" s="4" t="n">
        <v>1</v>
      </c>
      <c r="W2363" s="4" t="n">
        <v>0</v>
      </c>
    </row>
    <row r="2364" customFormat="false" ht="15" hidden="false" customHeight="false" outlineLevel="0" collapsed="false">
      <c r="A2364" s="4" t="s">
        <v>1198</v>
      </c>
      <c r="B2364" s="4" t="n">
        <v>2011</v>
      </c>
      <c r="C2364" s="4" t="str">
        <f aca="false">FLOOR(B2364,10)&amp;"s"</f>
        <v>2010s</v>
      </c>
      <c r="D2364" s="4" t="s">
        <v>361</v>
      </c>
      <c r="E2364" s="25" t="str">
        <f aca="false">IF(G2364=1,"✓","")</f>
        <v>✓</v>
      </c>
      <c r="F2364" s="4" t="n">
        <v>2</v>
      </c>
      <c r="G2364" s="4" t="n">
        <f aca="false">IF(COUNTIF('Letterboxd Watched'!$E$2:$E$3000,M2364)&gt;0,1,0)</f>
        <v>1</v>
      </c>
      <c r="H2364" s="4" t="n">
        <v>4</v>
      </c>
      <c r="I2364" s="4" t="s">
        <v>213</v>
      </c>
      <c r="J2364" s="4" t="s">
        <v>50</v>
      </c>
      <c r="K2364" s="4" t="s">
        <v>5882</v>
      </c>
      <c r="L2364" s="48" t="str">
        <f aca="false">HYPERLINK("https://boxd.it/1Zu8","open")</f>
        <v>open</v>
      </c>
      <c r="M2364" s="4" t="str">
        <f aca="false">LOWER(A2364)&amp;"|"&amp;B2364</f>
        <v>the tree of life|2011</v>
      </c>
      <c r="N2364" s="4" t="n">
        <v>0</v>
      </c>
      <c r="O2364" s="4" t="n">
        <v>1</v>
      </c>
      <c r="P2364" s="4" t="n">
        <v>0</v>
      </c>
      <c r="Q2364" s="4" t="n">
        <v>0</v>
      </c>
      <c r="R2364" s="4" t="n">
        <v>1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</row>
    <row r="2365" customFormat="false" ht="15" hidden="false" customHeight="false" outlineLevel="0" collapsed="false">
      <c r="A2365" s="4" t="s">
        <v>2012</v>
      </c>
      <c r="B2365" s="4" t="n">
        <v>1962</v>
      </c>
      <c r="C2365" s="4" t="str">
        <f aca="false">FLOOR(B2365,10)&amp;"s"</f>
        <v>1960s</v>
      </c>
      <c r="D2365" s="4" t="s">
        <v>143</v>
      </c>
      <c r="E2365" s="25" t="str">
        <f aca="false">IF(G2365=1,"✓","")</f>
        <v>✓</v>
      </c>
      <c r="F2365" s="4" t="n">
        <v>1</v>
      </c>
      <c r="G2365" s="4" t="n">
        <f aca="false">IF(COUNTIF('Letterboxd Watched'!$E$2:$E$3000,M2365)&gt;0,1,0)</f>
        <v>1</v>
      </c>
      <c r="H2365" s="4" t="n">
        <v>2</v>
      </c>
      <c r="I2365" s="4" t="s">
        <v>213</v>
      </c>
      <c r="J2365" s="4" t="s">
        <v>53</v>
      </c>
      <c r="K2365" s="4" t="s">
        <v>143</v>
      </c>
      <c r="L2365" s="48" t="str">
        <f aca="false">HYPERLINK("https://boxd.it/25Xg","open")</f>
        <v>open</v>
      </c>
      <c r="M2365" s="4" t="str">
        <f aca="false">LOWER(A2365)&amp;"|"&amp;B2365</f>
        <v>the trial|1962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1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</row>
    <row r="2366" customFormat="false" ht="15" hidden="false" customHeight="false" outlineLevel="0" collapsed="false">
      <c r="A2366" s="4" t="s">
        <v>3418</v>
      </c>
      <c r="B2366" s="4" t="n">
        <v>1962</v>
      </c>
      <c r="C2366" s="4" t="str">
        <f aca="false">FLOOR(B2366,10)&amp;"s"</f>
        <v>1960s</v>
      </c>
      <c r="D2366" s="4" t="s">
        <v>215</v>
      </c>
      <c r="E2366" s="25" t="str">
        <f aca="false">IF(G2366=1,"✓","")</f>
        <v/>
      </c>
      <c r="F2366" s="4" t="n">
        <v>1</v>
      </c>
      <c r="G2366" s="4" t="n">
        <f aca="false">IF(COUNTIF('Letterboxd Watched'!$E$2:$E$3000,M2366)&gt;0,1,0)</f>
        <v>0</v>
      </c>
      <c r="H2366" s="4" t="n">
        <v>1</v>
      </c>
      <c r="I2366" s="4" t="s">
        <v>1327</v>
      </c>
      <c r="J2366" s="4" t="s">
        <v>53</v>
      </c>
      <c r="K2366" s="4" t="s">
        <v>215</v>
      </c>
      <c r="L2366" s="48" t="str">
        <f aca="false">HYPERLINK("https://boxd.it/HGe","open")</f>
        <v>open</v>
      </c>
      <c r="M2366" s="4" t="str">
        <f aca="false">LOWER(A2366)&amp;"|"&amp;B2366</f>
        <v>the trial of joan of arc|1962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1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</row>
    <row r="2367" customFormat="false" ht="15" hidden="false" customHeight="false" outlineLevel="0" collapsed="false">
      <c r="A2367" s="4" t="s">
        <v>3784</v>
      </c>
      <c r="B2367" s="4" t="n">
        <v>2009</v>
      </c>
      <c r="C2367" s="4" t="str">
        <f aca="false">FLOOR(B2367,10)&amp;"s"</f>
        <v>2000s</v>
      </c>
      <c r="D2367" s="4" t="s">
        <v>3785</v>
      </c>
      <c r="E2367" s="25" t="str">
        <f aca="false">IF(G2367=1,"✓","")</f>
        <v/>
      </c>
      <c r="F2367" s="4" t="n">
        <v>1</v>
      </c>
      <c r="G2367" s="4" t="n">
        <f aca="false">IF(COUNTIF('Letterboxd Watched'!$E$2:$E$3000,M2367)&gt;0,1,0)</f>
        <v>0</v>
      </c>
      <c r="H2367" s="4" t="n">
        <v>1</v>
      </c>
      <c r="I2367" s="4" t="s">
        <v>1327</v>
      </c>
      <c r="J2367" s="4" t="s">
        <v>55</v>
      </c>
      <c r="K2367" s="4" t="s">
        <v>4336</v>
      </c>
      <c r="L2367" s="48" t="str">
        <f aca="false">HYPERLINK("https://boxd.it/1tQG","open")</f>
        <v>open</v>
      </c>
      <c r="M2367" s="4" t="str">
        <f aca="false">LOWER(A2367)&amp;"|"&amp;B2367</f>
        <v>triangle|2009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1</v>
      </c>
      <c r="U2367" s="4" t="n">
        <v>0</v>
      </c>
      <c r="V2367" s="4" t="n">
        <v>0</v>
      </c>
      <c r="W2367" s="4" t="n">
        <v>0</v>
      </c>
    </row>
    <row r="2368" customFormat="false" ht="15" hidden="false" customHeight="false" outlineLevel="0" collapsed="false">
      <c r="A2368" s="4" t="s">
        <v>3772</v>
      </c>
      <c r="B2368" s="4" t="n">
        <v>2007</v>
      </c>
      <c r="C2368" s="4" t="str">
        <f aca="false">FLOOR(B2368,10)&amp;"s"</f>
        <v>2000s</v>
      </c>
      <c r="D2368" s="4" t="s">
        <v>3773</v>
      </c>
      <c r="E2368" s="25" t="str">
        <f aca="false">IF(G2368=1,"✓","")</f>
        <v/>
      </c>
      <c r="F2368" s="4" t="n">
        <v>1</v>
      </c>
      <c r="G2368" s="4" t="n">
        <f aca="false">IF(COUNTIF('Letterboxd Watched'!$E$2:$E$3000,M2368)&gt;0,1,0)</f>
        <v>0</v>
      </c>
      <c r="H2368" s="4" t="n">
        <v>1</v>
      </c>
      <c r="I2368" s="4" t="s">
        <v>1327</v>
      </c>
      <c r="J2368" s="4" t="s">
        <v>56</v>
      </c>
      <c r="K2368" s="4" t="s">
        <v>4380</v>
      </c>
      <c r="L2368" s="48" t="str">
        <f aca="false">HYPERLINK("https://boxd.it/1zvE","open")</f>
        <v>open</v>
      </c>
      <c r="M2368" s="4" t="str">
        <f aca="false">LOWER(A2368)&amp;"|"&amp;B2368</f>
        <v>trick 'r treat|2007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1</v>
      </c>
      <c r="V2368" s="4" t="n">
        <v>0</v>
      </c>
      <c r="W2368" s="4" t="n">
        <v>0</v>
      </c>
    </row>
    <row r="2369" customFormat="false" ht="15" hidden="false" customHeight="false" outlineLevel="0" collapsed="false">
      <c r="A2369" s="4" t="s">
        <v>719</v>
      </c>
      <c r="B2369" s="4" t="n">
        <v>1902</v>
      </c>
      <c r="C2369" s="4" t="str">
        <f aca="false">FLOOR(B2369,10)&amp;"s"</f>
        <v>1900s</v>
      </c>
      <c r="D2369" s="4" t="s">
        <v>720</v>
      </c>
      <c r="E2369" s="25" t="str">
        <f aca="false">IF(G2369=1,"✓","")</f>
        <v>✓</v>
      </c>
      <c r="F2369" s="4" t="n">
        <v>2</v>
      </c>
      <c r="G2369" s="4" t="n">
        <f aca="false">IF(COUNTIF('Letterboxd Watched'!$E$2:$E$3000,M2369)&gt;0,1,0)</f>
        <v>1</v>
      </c>
      <c r="H2369" s="4" t="n">
        <v>5</v>
      </c>
      <c r="I2369" s="4" t="s">
        <v>144</v>
      </c>
      <c r="J2369" s="4" t="s">
        <v>50</v>
      </c>
      <c r="K2369" s="4" t="s">
        <v>5883</v>
      </c>
      <c r="L2369" s="48" t="str">
        <f aca="false">HYPERLINK("https://boxd.it/29EC","open")</f>
        <v>open</v>
      </c>
      <c r="M2369" s="4" t="str">
        <f aca="false">LOWER(A2369)&amp;"|"&amp;B2369</f>
        <v>a trip to the moon|1902</v>
      </c>
      <c r="N2369" s="4" t="n">
        <v>0</v>
      </c>
      <c r="O2369" s="4" t="n">
        <v>1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1</v>
      </c>
      <c r="W2369" s="4" t="n">
        <v>0</v>
      </c>
    </row>
    <row r="2370" customFormat="false" ht="15" hidden="false" customHeight="false" outlineLevel="0" collapsed="false">
      <c r="A2370" s="4" t="s">
        <v>2803</v>
      </c>
      <c r="B2370" s="4" t="n">
        <v>2003</v>
      </c>
      <c r="C2370" s="4" t="str">
        <f aca="false">FLOOR(B2370,10)&amp;"s"</f>
        <v>2000s</v>
      </c>
      <c r="D2370" s="4" t="s">
        <v>2804</v>
      </c>
      <c r="E2370" s="25" t="str">
        <f aca="false">IF(G2370=1,"✓","")</f>
        <v/>
      </c>
      <c r="F2370" s="4" t="n">
        <v>1</v>
      </c>
      <c r="G2370" s="4" t="n">
        <f aca="false">IF(COUNTIF('Letterboxd Watched'!$E$2:$E$3000,M2370)&gt;0,1,0)</f>
        <v>0</v>
      </c>
      <c r="H2370" s="4" t="n">
        <v>2</v>
      </c>
      <c r="I2370" s="4" t="s">
        <v>213</v>
      </c>
      <c r="J2370" s="4" t="s">
        <v>52</v>
      </c>
      <c r="K2370" s="4" t="s">
        <v>4166</v>
      </c>
      <c r="L2370" s="48" t="str">
        <f aca="false">HYPERLINK("https://boxd.it/1Y6Y","open")</f>
        <v>open</v>
      </c>
      <c r="M2370" s="4" t="str">
        <f aca="false">LOWER(A2370)&amp;"|"&amp;B2370</f>
        <v>the triplets of belleville|2003</v>
      </c>
      <c r="N2370" s="4" t="n">
        <v>0</v>
      </c>
      <c r="O2370" s="4" t="n">
        <v>0</v>
      </c>
      <c r="P2370" s="4" t="n">
        <v>0</v>
      </c>
      <c r="Q2370" s="4" t="n">
        <v>1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</row>
    <row r="2371" customFormat="false" ht="15" hidden="false" customHeight="false" outlineLevel="0" collapsed="false">
      <c r="A2371" s="4" t="s">
        <v>2162</v>
      </c>
      <c r="B2371" s="4" t="n">
        <v>1970</v>
      </c>
      <c r="C2371" s="4" t="str">
        <f aca="false">FLOOR(B2371,10)&amp;"s"</f>
        <v>1970s</v>
      </c>
      <c r="D2371" s="4" t="s">
        <v>402</v>
      </c>
      <c r="E2371" s="25" t="str">
        <f aca="false">IF(G2371=1,"✓","")</f>
        <v/>
      </c>
      <c r="F2371" s="4" t="n">
        <v>1</v>
      </c>
      <c r="G2371" s="4" t="n">
        <f aca="false">IF(COUNTIF('Letterboxd Watched'!$E$2:$E$3000,M2371)&gt;0,1,0)</f>
        <v>0</v>
      </c>
      <c r="H2371" s="4" t="n">
        <v>2</v>
      </c>
      <c r="I2371" s="4" t="s">
        <v>213</v>
      </c>
      <c r="J2371" s="4" t="s">
        <v>53</v>
      </c>
      <c r="K2371" s="4" t="s">
        <v>402</v>
      </c>
      <c r="L2371" s="48" t="str">
        <f aca="false">HYPERLINK("https://boxd.it/1bPg","open")</f>
        <v>open</v>
      </c>
      <c r="M2371" s="4" t="str">
        <f aca="false">LOWER(A2371)&amp;"|"&amp;B2371</f>
        <v>tristana|1970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1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</row>
    <row r="2372" customFormat="false" ht="15" hidden="false" customHeight="false" outlineLevel="0" collapsed="false">
      <c r="A2372" s="4" t="s">
        <v>1755</v>
      </c>
      <c r="B2372" s="4" t="n">
        <v>1935</v>
      </c>
      <c r="C2372" s="4" t="str">
        <f aca="false">FLOOR(B2372,10)&amp;"s"</f>
        <v>1930s</v>
      </c>
      <c r="D2372" s="4" t="s">
        <v>1739</v>
      </c>
      <c r="E2372" s="25" t="str">
        <f aca="false">IF(G2372=1,"✓","")</f>
        <v/>
      </c>
      <c r="F2372" s="4" t="n">
        <v>1</v>
      </c>
      <c r="G2372" s="4" t="n">
        <f aca="false">IF(COUNTIF('Letterboxd Watched'!$E$2:$E$3000,M2372)&gt;0,1,0)</f>
        <v>0</v>
      </c>
      <c r="H2372" s="4" t="n">
        <v>2</v>
      </c>
      <c r="I2372" s="4" t="s">
        <v>213</v>
      </c>
      <c r="J2372" s="4" t="s">
        <v>52</v>
      </c>
      <c r="K2372" s="4" t="s">
        <v>4170</v>
      </c>
      <c r="L2372" s="48" t="str">
        <f aca="false">HYPERLINK("https://letterboxd.com/search/films/Triumph+of+the+Will+1935/","open")</f>
        <v>open</v>
      </c>
      <c r="M2372" s="4" t="str">
        <f aca="false">LOWER(A2372)&amp;"|"&amp;B2372</f>
        <v>triumph of the will|1935</v>
      </c>
      <c r="N2372" s="4" t="n">
        <v>0</v>
      </c>
      <c r="O2372" s="4" t="n">
        <v>0</v>
      </c>
      <c r="P2372" s="4" t="n">
        <v>0</v>
      </c>
      <c r="Q2372" s="4" t="n">
        <v>1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</row>
    <row r="2373" customFormat="false" ht="15" hidden="false" customHeight="false" outlineLevel="0" collapsed="false">
      <c r="A2373" s="4" t="s">
        <v>3664</v>
      </c>
      <c r="B2373" s="4" t="n">
        <v>1990</v>
      </c>
      <c r="C2373" s="4" t="str">
        <f aca="false">FLOOR(B2373,10)&amp;"s"</f>
        <v>1990s</v>
      </c>
      <c r="D2373" s="4" t="s">
        <v>3665</v>
      </c>
      <c r="E2373" s="25" t="str">
        <f aca="false">IF(G2373=1,"✓","")</f>
        <v/>
      </c>
      <c r="F2373" s="4" t="n">
        <v>1</v>
      </c>
      <c r="G2373" s="4" t="n">
        <f aca="false">IF(COUNTIF('Letterboxd Watched'!$E$2:$E$3000,M2373)&gt;0,1,0)</f>
        <v>0</v>
      </c>
      <c r="H2373" s="4" t="n">
        <v>1</v>
      </c>
      <c r="I2373" s="4" t="s">
        <v>1327</v>
      </c>
      <c r="J2373" s="4" t="s">
        <v>54</v>
      </c>
      <c r="K2373" s="4" t="s">
        <v>4306</v>
      </c>
      <c r="L2373" s="48" t="str">
        <f aca="false">HYPERLINK("https://letterboxd.com/search/films/Troll+2+1990/","open")</f>
        <v>open</v>
      </c>
      <c r="M2373" s="4" t="str">
        <f aca="false">LOWER(A2373)&amp;"|"&amp;B2373</f>
        <v>troll 2|1990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1</v>
      </c>
      <c r="T2373" s="4" t="n">
        <v>0</v>
      </c>
      <c r="U2373" s="4" t="n">
        <v>0</v>
      </c>
      <c r="V2373" s="4" t="n">
        <v>0</v>
      </c>
      <c r="W2373" s="4" t="n">
        <v>0</v>
      </c>
    </row>
    <row r="2374" customFormat="false" ht="15" hidden="false" customHeight="false" outlineLevel="0" collapsed="false">
      <c r="A2374" s="4" t="s">
        <v>2359</v>
      </c>
      <c r="B2374" s="4" t="n">
        <v>1982</v>
      </c>
      <c r="C2374" s="4" t="str">
        <f aca="false">FLOOR(B2374,10)&amp;"s"</f>
        <v>1980s</v>
      </c>
      <c r="D2374" s="4" t="s">
        <v>2360</v>
      </c>
      <c r="E2374" s="25" t="str">
        <f aca="false">IF(G2374=1,"✓","")</f>
        <v/>
      </c>
      <c r="F2374" s="4" t="n">
        <v>1</v>
      </c>
      <c r="G2374" s="4" t="n">
        <f aca="false">IF(COUNTIF('Letterboxd Watched'!$E$2:$E$3000,M2374)&gt;0,1,0)</f>
        <v>0</v>
      </c>
      <c r="H2374" s="4" t="n">
        <v>2</v>
      </c>
      <c r="I2374" s="4" t="s">
        <v>213</v>
      </c>
      <c r="J2374" s="4" t="s">
        <v>52</v>
      </c>
      <c r="K2374" s="4" t="s">
        <v>4088</v>
      </c>
      <c r="L2374" s="48" t="str">
        <f aca="false">HYPERLINK("https://boxd.it/2b9w","open")</f>
        <v>open</v>
      </c>
      <c r="M2374" s="4" t="str">
        <f aca="false">LOWER(A2374)&amp;"|"&amp;B2374</f>
        <v>tron|1982</v>
      </c>
      <c r="N2374" s="4" t="n">
        <v>0</v>
      </c>
      <c r="O2374" s="4" t="n">
        <v>0</v>
      </c>
      <c r="P2374" s="4" t="n">
        <v>0</v>
      </c>
      <c r="Q2374" s="4" t="n">
        <v>1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</row>
    <row r="2375" customFormat="false" ht="15" hidden="false" customHeight="false" outlineLevel="0" collapsed="false">
      <c r="A2375" s="4" t="s">
        <v>443</v>
      </c>
      <c r="B2375" s="4" t="n">
        <v>2004</v>
      </c>
      <c r="C2375" s="4" t="str">
        <f aca="false">FLOOR(B2375,10)&amp;"s"</f>
        <v>2000s</v>
      </c>
      <c r="D2375" s="4" t="s">
        <v>444</v>
      </c>
      <c r="E2375" s="25" t="str">
        <f aca="false">IF(G2375=1,"✓","")</f>
        <v/>
      </c>
      <c r="F2375" s="4" t="n">
        <v>4</v>
      </c>
      <c r="G2375" s="4" t="n">
        <f aca="false">IF(COUNTIF('Letterboxd Watched'!$E$2:$E$3000,M2375)&gt;0,1,0)</f>
        <v>0</v>
      </c>
      <c r="H2375" s="4" t="n">
        <v>7</v>
      </c>
      <c r="I2375" s="4" t="s">
        <v>213</v>
      </c>
      <c r="J2375" s="4" t="s">
        <v>50</v>
      </c>
      <c r="K2375" s="4" t="s">
        <v>5884</v>
      </c>
      <c r="L2375" s="48" t="str">
        <f aca="false">HYPERLINK("https://boxd.it/1TCA","open")</f>
        <v>open</v>
      </c>
      <c r="M2375" s="4" t="str">
        <f aca="false">LOWER(A2375)&amp;"|"&amp;B2375</f>
        <v>tropical malady|2004</v>
      </c>
      <c r="N2375" s="4" t="n">
        <v>0</v>
      </c>
      <c r="O2375" s="4" t="n">
        <v>1</v>
      </c>
      <c r="P2375" s="4" t="n">
        <v>1</v>
      </c>
      <c r="Q2375" s="4" t="n">
        <v>0</v>
      </c>
      <c r="R2375" s="4" t="n">
        <v>1</v>
      </c>
      <c r="S2375" s="4" t="n">
        <v>0</v>
      </c>
      <c r="T2375" s="4" t="n">
        <v>0</v>
      </c>
      <c r="U2375" s="4" t="n">
        <v>0</v>
      </c>
      <c r="V2375" s="4" t="n">
        <v>1</v>
      </c>
      <c r="W2375" s="4" t="n">
        <v>0</v>
      </c>
    </row>
    <row r="2376" customFormat="false" ht="15" hidden="false" customHeight="false" outlineLevel="0" collapsed="false">
      <c r="A2376" s="4" t="s">
        <v>952</v>
      </c>
      <c r="B2376" s="4" t="n">
        <v>1960</v>
      </c>
      <c r="C2376" s="4" t="str">
        <f aca="false">FLOOR(B2376,10)&amp;"s"</f>
        <v>1960s</v>
      </c>
      <c r="D2376" s="4" t="s">
        <v>953</v>
      </c>
      <c r="E2376" s="25" t="str">
        <f aca="false">IF(G2376=1,"✓","")</f>
        <v/>
      </c>
      <c r="F2376" s="4" t="n">
        <v>2</v>
      </c>
      <c r="G2376" s="4" t="n">
        <f aca="false">IF(COUNTIF('Letterboxd Watched'!$E$2:$E$3000,M2376)&gt;0,1,0)</f>
        <v>0</v>
      </c>
      <c r="H2376" s="4" t="n">
        <v>4</v>
      </c>
      <c r="I2376" s="4" t="s">
        <v>213</v>
      </c>
      <c r="J2376" s="4" t="s">
        <v>51</v>
      </c>
      <c r="K2376" s="4" t="s">
        <v>5885</v>
      </c>
      <c r="L2376" s="48" t="str">
        <f aca="false">HYPERLINK("https://boxd.it/1nSw","open")</f>
        <v>open</v>
      </c>
      <c r="M2376" s="4" t="str">
        <f aca="false">LOWER(A2376)&amp;"|"&amp;B2376</f>
        <v>le trou|1960</v>
      </c>
      <c r="N2376" s="4" t="n">
        <v>0</v>
      </c>
      <c r="O2376" s="4" t="n">
        <v>0</v>
      </c>
      <c r="P2376" s="4" t="n">
        <v>1</v>
      </c>
      <c r="Q2376" s="4" t="n">
        <v>0</v>
      </c>
      <c r="R2376" s="4" t="n">
        <v>0</v>
      </c>
      <c r="S2376" s="4" t="n">
        <v>0</v>
      </c>
      <c r="T2376" s="4" t="n">
        <v>1</v>
      </c>
      <c r="U2376" s="4" t="n">
        <v>0</v>
      </c>
      <c r="V2376" s="4" t="n">
        <v>0</v>
      </c>
      <c r="W2376" s="4" t="n">
        <v>0</v>
      </c>
    </row>
    <row r="2377" customFormat="false" ht="15" hidden="false" customHeight="false" outlineLevel="0" collapsed="false">
      <c r="A2377" s="4" t="s">
        <v>1393</v>
      </c>
      <c r="B2377" s="4" t="n">
        <v>2001</v>
      </c>
      <c r="C2377" s="4" t="str">
        <f aca="false">FLOOR(B2377,10)&amp;"s"</f>
        <v>2000s</v>
      </c>
      <c r="D2377" s="4" t="s">
        <v>262</v>
      </c>
      <c r="E2377" s="25" t="str">
        <f aca="false">IF(G2377=1,"✓","")</f>
        <v/>
      </c>
      <c r="F2377" s="4" t="n">
        <v>2</v>
      </c>
      <c r="G2377" s="4" t="n">
        <f aca="false">IF(COUNTIF('Letterboxd Watched'!$E$2:$E$3000,M2377)&gt;0,1,0)</f>
        <v>0</v>
      </c>
      <c r="H2377" s="4" t="n">
        <v>3</v>
      </c>
      <c r="I2377" s="4" t="s">
        <v>213</v>
      </c>
      <c r="J2377" s="4" t="s">
        <v>51</v>
      </c>
      <c r="K2377" s="4" t="s">
        <v>5886</v>
      </c>
      <c r="L2377" s="48" t="str">
        <f aca="false">HYPERLINK("https://boxd.it/115M","open")</f>
        <v>open</v>
      </c>
      <c r="M2377" s="4" t="str">
        <f aca="false">LOWER(A2377)&amp;"|"&amp;B2377</f>
        <v>trouble every day|2001</v>
      </c>
      <c r="N2377" s="4" t="n">
        <v>0</v>
      </c>
      <c r="O2377" s="4" t="n">
        <v>0</v>
      </c>
      <c r="P2377" s="4" t="n">
        <v>1</v>
      </c>
      <c r="Q2377" s="4" t="n">
        <v>0</v>
      </c>
      <c r="R2377" s="4" t="n">
        <v>1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</row>
    <row r="2378" customFormat="false" ht="15" hidden="false" customHeight="false" outlineLevel="0" collapsed="false">
      <c r="A2378" s="4" t="s">
        <v>656</v>
      </c>
      <c r="B2378" s="4" t="n">
        <v>1932</v>
      </c>
      <c r="C2378" s="4" t="str">
        <f aca="false">FLOOR(B2378,10)&amp;"s"</f>
        <v>1930s</v>
      </c>
      <c r="D2378" s="4" t="s">
        <v>348</v>
      </c>
      <c r="E2378" s="25" t="str">
        <f aca="false">IF(G2378=1,"✓","")</f>
        <v/>
      </c>
      <c r="F2378" s="4" t="n">
        <v>2</v>
      </c>
      <c r="G2378" s="4" t="n">
        <f aca="false">IF(COUNTIF('Letterboxd Watched'!$E$2:$E$3000,M2378)&gt;0,1,0)</f>
        <v>0</v>
      </c>
      <c r="H2378" s="4" t="n">
        <v>6</v>
      </c>
      <c r="I2378" s="4" t="s">
        <v>144</v>
      </c>
      <c r="J2378" s="4" t="s">
        <v>50</v>
      </c>
      <c r="K2378" s="4" t="s">
        <v>5887</v>
      </c>
      <c r="L2378" s="48" t="str">
        <f aca="false">HYPERLINK("https://boxd.it/2aU2","open")</f>
        <v>open</v>
      </c>
      <c r="M2378" s="4" t="str">
        <f aca="false">LOWER(A2378)&amp;"|"&amp;B2378</f>
        <v>trouble in paradise|1932</v>
      </c>
      <c r="N2378" s="4" t="n">
        <v>0</v>
      </c>
      <c r="O2378" s="4" t="n">
        <v>1</v>
      </c>
      <c r="P2378" s="4" t="n">
        <v>0</v>
      </c>
      <c r="Q2378" s="4" t="n">
        <v>0</v>
      </c>
      <c r="R2378" s="4" t="n">
        <v>1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</row>
    <row r="2379" customFormat="false" ht="15" hidden="false" customHeight="false" outlineLevel="0" collapsed="false">
      <c r="A2379" s="4" t="s">
        <v>1930</v>
      </c>
      <c r="B2379" s="4" t="n">
        <v>1955</v>
      </c>
      <c r="C2379" s="4" t="str">
        <f aca="false">FLOOR(B2379,10)&amp;"s"</f>
        <v>1950s</v>
      </c>
      <c r="D2379" s="4" t="s">
        <v>162</v>
      </c>
      <c r="E2379" s="25" t="str">
        <f aca="false">IF(G2379=1,"✓","")</f>
        <v/>
      </c>
      <c r="F2379" s="4" t="n">
        <v>1</v>
      </c>
      <c r="G2379" s="4" t="n">
        <f aca="false">IF(COUNTIF('Letterboxd Watched'!$E$2:$E$3000,M2379)&gt;0,1,0)</f>
        <v>0</v>
      </c>
      <c r="H2379" s="4" t="n">
        <v>2</v>
      </c>
      <c r="I2379" s="4" t="s">
        <v>213</v>
      </c>
      <c r="J2379" s="4" t="s">
        <v>56</v>
      </c>
      <c r="K2379" s="4" t="s">
        <v>4418</v>
      </c>
      <c r="L2379" s="48" t="str">
        <f aca="false">HYPERLINK("https://boxd.it/1Ul6","open")</f>
        <v>open</v>
      </c>
      <c r="M2379" s="4" t="str">
        <f aca="false">LOWER(A2379)&amp;"|"&amp;B2379</f>
        <v>the trouble with harry|1955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1</v>
      </c>
      <c r="V2379" s="4" t="n">
        <v>0</v>
      </c>
      <c r="W2379" s="4" t="n">
        <v>0</v>
      </c>
    </row>
    <row r="2380" customFormat="false" ht="15" hidden="false" customHeight="false" outlineLevel="0" collapsed="false">
      <c r="A2380" s="4" t="s">
        <v>2951</v>
      </c>
      <c r="B2380" s="4" t="n">
        <v>2010</v>
      </c>
      <c r="C2380" s="4" t="str">
        <f aca="false">FLOOR(B2380,10)&amp;"s"</f>
        <v>2010s</v>
      </c>
      <c r="D2380" s="4" t="s">
        <v>323</v>
      </c>
      <c r="E2380" s="25" t="str">
        <f aca="false">IF(G2380=1,"✓","")</f>
        <v/>
      </c>
      <c r="F2380" s="4" t="n">
        <v>1</v>
      </c>
      <c r="G2380" s="4" t="n">
        <f aca="false">IF(COUNTIF('Letterboxd Watched'!$E$2:$E$3000,M2380)&gt;0,1,0)</f>
        <v>0</v>
      </c>
      <c r="H2380" s="4" t="n">
        <v>2</v>
      </c>
      <c r="I2380" s="4" t="s">
        <v>213</v>
      </c>
      <c r="J2380" s="4" t="s">
        <v>53</v>
      </c>
      <c r="K2380" s="4" t="s">
        <v>4208</v>
      </c>
      <c r="L2380" s="48" t="str">
        <f aca="false">HYPERLINK("https://boxd.it/Sog","open")</f>
        <v>open</v>
      </c>
      <c r="M2380" s="4" t="str">
        <f aca="false">LOWER(A2380)&amp;"|"&amp;B2380</f>
        <v>true grit|2010</v>
      </c>
      <c r="N2380" s="4" t="n">
        <v>0</v>
      </c>
      <c r="O2380" s="4" t="n">
        <v>0</v>
      </c>
      <c r="P2380" s="4" t="n">
        <v>0</v>
      </c>
      <c r="Q2380" s="4" t="n">
        <v>0</v>
      </c>
      <c r="R2380" s="4" t="n">
        <v>1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</row>
    <row r="2381" customFormat="false" ht="15" hidden="false" customHeight="false" outlineLevel="0" collapsed="false">
      <c r="A2381" s="4" t="s">
        <v>438</v>
      </c>
      <c r="B2381" s="4" t="n">
        <v>1998</v>
      </c>
      <c r="C2381" s="4" t="str">
        <f aca="false">FLOOR(B2381,10)&amp;"s"</f>
        <v>1990s</v>
      </c>
      <c r="D2381" s="4" t="s">
        <v>439</v>
      </c>
      <c r="E2381" s="25" t="str">
        <f aca="false">IF(G2381=1,"✓","")</f>
        <v>✓</v>
      </c>
      <c r="F2381" s="4" t="n">
        <v>4</v>
      </c>
      <c r="G2381" s="4" t="n">
        <f aca="false">IF(COUNTIF('Letterboxd Watched'!$E$2:$E$3000,M2381)&gt;0,1,0)</f>
        <v>1</v>
      </c>
      <c r="H2381" s="4" t="n">
        <v>8</v>
      </c>
      <c r="I2381" s="4" t="s">
        <v>213</v>
      </c>
      <c r="J2381" s="4" t="s">
        <v>54</v>
      </c>
      <c r="K2381" s="4" t="s">
        <v>5888</v>
      </c>
      <c r="L2381" s="48" t="str">
        <f aca="false">HYPERLINK("https://boxd.it/18U8","open")</f>
        <v>open</v>
      </c>
      <c r="M2381" s="4" t="str">
        <f aca="false">LOWER(A2381)&amp;"|"&amp;B2381</f>
        <v>the truman show|1998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1</v>
      </c>
      <c r="T2381" s="4" t="n">
        <v>1</v>
      </c>
      <c r="U2381" s="4" t="n">
        <v>0</v>
      </c>
      <c r="V2381" s="4" t="n">
        <v>0</v>
      </c>
      <c r="W2381" s="4" t="n">
        <v>0</v>
      </c>
    </row>
    <row r="2382" customFormat="false" ht="15" hidden="false" customHeight="false" outlineLevel="0" collapsed="false">
      <c r="A2382" s="4" t="s">
        <v>3648</v>
      </c>
      <c r="B2382" s="4" t="n">
        <v>1988</v>
      </c>
      <c r="C2382" s="4" t="str">
        <f aca="false">FLOOR(B2382,10)&amp;"s"</f>
        <v>1980s</v>
      </c>
      <c r="D2382" s="4" t="s">
        <v>172</v>
      </c>
      <c r="E2382" s="25" t="str">
        <f aca="false">IF(G2382=1,"✓","")</f>
        <v>✓</v>
      </c>
      <c r="F2382" s="4" t="n">
        <v>1</v>
      </c>
      <c r="G2382" s="4" t="n">
        <f aca="false">IF(COUNTIF('Letterboxd Watched'!$E$2:$E$3000,M2382)&gt;0,1,0)</f>
        <v>1</v>
      </c>
      <c r="H2382" s="4" t="n">
        <v>1</v>
      </c>
      <c r="I2382" s="4" t="s">
        <v>1327</v>
      </c>
      <c r="J2382" s="4" t="s">
        <v>53</v>
      </c>
      <c r="K2382" s="4" t="s">
        <v>172</v>
      </c>
      <c r="L2382" s="48" t="str">
        <f aca="false">HYPERLINK("https://boxd.it/1q4u","open")</f>
        <v>open</v>
      </c>
      <c r="M2382" s="4" t="str">
        <f aca="false">LOWER(A2382)&amp;"|"&amp;B2382</f>
        <v>tucker: the man and his dream|1988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1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</row>
    <row r="2383" customFormat="false" ht="15" hidden="false" customHeight="false" outlineLevel="0" collapsed="false">
      <c r="A2383" s="4" t="s">
        <v>1199</v>
      </c>
      <c r="B2383" s="4" t="n">
        <v>2011</v>
      </c>
      <c r="C2383" s="4" t="str">
        <f aca="false">FLOOR(B2383,10)&amp;"s"</f>
        <v>2010s</v>
      </c>
      <c r="D2383" s="4" t="s">
        <v>618</v>
      </c>
      <c r="E2383" s="25" t="str">
        <f aca="false">IF(G2383=1,"✓","")</f>
        <v/>
      </c>
      <c r="F2383" s="4" t="n">
        <v>2</v>
      </c>
      <c r="G2383" s="4" t="n">
        <f aca="false">IF(COUNTIF('Letterboxd Watched'!$E$2:$E$3000,M2383)&gt;0,1,0)</f>
        <v>0</v>
      </c>
      <c r="H2383" s="4" t="n">
        <v>4</v>
      </c>
      <c r="I2383" s="4" t="s">
        <v>213</v>
      </c>
      <c r="J2383" s="4" t="s">
        <v>51</v>
      </c>
      <c r="K2383" s="4" t="s">
        <v>5889</v>
      </c>
      <c r="L2383" s="48" t="str">
        <f aca="false">HYPERLINK("https://boxd.it/2Qsk","open")</f>
        <v>open</v>
      </c>
      <c r="M2383" s="4" t="str">
        <f aca="false">LOWER(A2383)&amp;"|"&amp;B2383</f>
        <v>the turin horse|2011</v>
      </c>
      <c r="N2383" s="4" t="n">
        <v>0</v>
      </c>
      <c r="O2383" s="4" t="n">
        <v>0</v>
      </c>
      <c r="P2383" s="4" t="n">
        <v>1</v>
      </c>
      <c r="Q2383" s="4" t="n">
        <v>0</v>
      </c>
      <c r="R2383" s="4" t="n">
        <v>0</v>
      </c>
      <c r="S2383" s="4" t="n">
        <v>1</v>
      </c>
      <c r="T2383" s="4" t="n">
        <v>0</v>
      </c>
      <c r="U2383" s="4" t="n">
        <v>0</v>
      </c>
      <c r="V2383" s="4" t="n">
        <v>0</v>
      </c>
      <c r="W2383" s="4" t="n">
        <v>0</v>
      </c>
    </row>
    <row r="2384" customFormat="false" ht="15" hidden="false" customHeight="false" outlineLevel="0" collapsed="false">
      <c r="A2384" s="4" t="s">
        <v>910</v>
      </c>
      <c r="B2384" s="4" t="n">
        <v>1934</v>
      </c>
      <c r="C2384" s="4" t="str">
        <f aca="false">FLOOR(B2384,10)&amp;"s"</f>
        <v>1930s</v>
      </c>
      <c r="D2384" s="4" t="s">
        <v>168</v>
      </c>
      <c r="E2384" s="25" t="str">
        <f aca="false">IF(G2384=1,"✓","")</f>
        <v/>
      </c>
      <c r="F2384" s="4" t="n">
        <v>2</v>
      </c>
      <c r="G2384" s="4" t="n">
        <f aca="false">IF(COUNTIF('Letterboxd Watched'!$E$2:$E$3000,M2384)&gt;0,1,0)</f>
        <v>0</v>
      </c>
      <c r="H2384" s="4" t="n">
        <v>4</v>
      </c>
      <c r="I2384" s="4" t="s">
        <v>213</v>
      </c>
      <c r="J2384" s="4" t="s">
        <v>52</v>
      </c>
      <c r="K2384" s="4" t="s">
        <v>5210</v>
      </c>
      <c r="L2384" s="48" t="str">
        <f aca="false">HYPERLINK("https://boxd.it/1ifE","open")</f>
        <v>open</v>
      </c>
      <c r="M2384" s="4" t="str">
        <f aca="false">LOWER(A2384)&amp;"|"&amp;B2384</f>
        <v>twentieth century|1934</v>
      </c>
      <c r="N2384" s="4" t="n">
        <v>0</v>
      </c>
      <c r="O2384" s="4" t="n">
        <v>0</v>
      </c>
      <c r="P2384" s="4" t="n">
        <v>0</v>
      </c>
      <c r="Q2384" s="4" t="n">
        <v>1</v>
      </c>
      <c r="R2384" s="4" t="n">
        <v>1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</row>
    <row r="2385" customFormat="false" ht="15" hidden="false" customHeight="false" outlineLevel="0" collapsed="false">
      <c r="A2385" s="4" t="s">
        <v>3376</v>
      </c>
      <c r="B2385" s="4" t="n">
        <v>1954</v>
      </c>
      <c r="C2385" s="4" t="str">
        <f aca="false">FLOOR(B2385,10)&amp;"s"</f>
        <v>1950s</v>
      </c>
      <c r="D2385" s="4" t="s">
        <v>3377</v>
      </c>
      <c r="E2385" s="25" t="str">
        <f aca="false">IF(G2385=1,"✓","")</f>
        <v/>
      </c>
      <c r="F2385" s="4" t="n">
        <v>1</v>
      </c>
      <c r="G2385" s="4" t="n">
        <f aca="false">IF(COUNTIF('Letterboxd Watched'!$E$2:$E$3000,M2385)&gt;0,1,0)</f>
        <v>0</v>
      </c>
      <c r="H2385" s="4" t="n">
        <v>1</v>
      </c>
      <c r="I2385" s="4" t="s">
        <v>1327</v>
      </c>
      <c r="J2385" s="4" t="s">
        <v>51</v>
      </c>
      <c r="K2385" s="4" t="s">
        <v>3930</v>
      </c>
      <c r="L2385" s="48" t="str">
        <f aca="false">HYPERLINK("https://letterboxd.com/search/films/TwentyFour+Eyes+1954/","open")</f>
        <v>open</v>
      </c>
      <c r="M2385" s="4" t="str">
        <f aca="false">LOWER(A2385)&amp;"|"&amp;B2385</f>
        <v>twenty-four eyes|1954</v>
      </c>
      <c r="N2385" s="4" t="n">
        <v>0</v>
      </c>
      <c r="O2385" s="4" t="n">
        <v>0</v>
      </c>
      <c r="P2385" s="4" t="n">
        <v>1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</row>
    <row r="2386" customFormat="false" ht="15" hidden="false" customHeight="false" outlineLevel="0" collapsed="false">
      <c r="A2386" s="4" t="s">
        <v>3734</v>
      </c>
      <c r="B2386" s="4" t="n">
        <v>2003</v>
      </c>
      <c r="C2386" s="4" t="str">
        <f aca="false">FLOOR(B2386,10)&amp;"s"</f>
        <v>2000s</v>
      </c>
      <c r="D2386" s="4" t="s">
        <v>3707</v>
      </c>
      <c r="E2386" s="25" t="str">
        <f aca="false">IF(G2386=1,"✓","")</f>
        <v/>
      </c>
      <c r="F2386" s="4" t="n">
        <v>1</v>
      </c>
      <c r="G2386" s="4" t="n">
        <f aca="false">IF(COUNTIF('Letterboxd Watched'!$E$2:$E$3000,M2386)&gt;0,1,0)</f>
        <v>0</v>
      </c>
      <c r="H2386" s="4" t="n">
        <v>1</v>
      </c>
      <c r="I2386" s="4" t="s">
        <v>1327</v>
      </c>
      <c r="J2386" s="4" t="s">
        <v>51</v>
      </c>
      <c r="K2386" s="4" t="s">
        <v>3968</v>
      </c>
      <c r="L2386" s="48" t="str">
        <f aca="false">HYPERLINK("https://letterboxd.com/search/films/Twentynine+Palms+2003/","open")</f>
        <v>open</v>
      </c>
      <c r="M2386" s="4" t="str">
        <f aca="false">LOWER(A2386)&amp;"|"&amp;B2386</f>
        <v>twentynine palms|2003</v>
      </c>
      <c r="N2386" s="4" t="n">
        <v>0</v>
      </c>
      <c r="O2386" s="4" t="n">
        <v>0</v>
      </c>
      <c r="P2386" s="4" t="n">
        <v>1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</row>
    <row r="2387" customFormat="false" ht="15" hidden="false" customHeight="false" outlineLevel="0" collapsed="false">
      <c r="A2387" s="4" t="s">
        <v>2762</v>
      </c>
      <c r="B2387" s="4" t="n">
        <v>2002</v>
      </c>
      <c r="C2387" s="4" t="str">
        <f aca="false">FLOOR(B2387,10)&amp;"s"</f>
        <v>2000s</v>
      </c>
      <c r="D2387" s="4" t="s">
        <v>2763</v>
      </c>
      <c r="E2387" s="25" t="str">
        <f aca="false">IF(G2387=1,"✓","")</f>
        <v/>
      </c>
      <c r="F2387" s="4" t="n">
        <v>1</v>
      </c>
      <c r="G2387" s="4" t="n">
        <f aca="false">IF(COUNTIF('Letterboxd Watched'!$E$2:$E$3000,M2387)&gt;0,1,0)</f>
        <v>0</v>
      </c>
      <c r="H2387" s="4" t="n">
        <v>2</v>
      </c>
      <c r="I2387" s="4" t="s">
        <v>213</v>
      </c>
      <c r="J2387" s="4" t="s">
        <v>51</v>
      </c>
      <c r="K2387" s="4" t="s">
        <v>3934</v>
      </c>
      <c r="L2387" s="48" t="str">
        <f aca="false">HYPERLINK("https://letterboxd.com/search/films/The+Twilight+Samurai+2002/","open")</f>
        <v>open</v>
      </c>
      <c r="M2387" s="4" t="str">
        <f aca="false">LOWER(A2387)&amp;"|"&amp;B2387</f>
        <v>the twilight samurai|2002</v>
      </c>
      <c r="N2387" s="4" t="n">
        <v>0</v>
      </c>
      <c r="O2387" s="4" t="n">
        <v>0</v>
      </c>
      <c r="P2387" s="4" t="n">
        <v>1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</row>
    <row r="2388" customFormat="false" ht="15" hidden="false" customHeight="false" outlineLevel="0" collapsed="false">
      <c r="A2388" s="4" t="s">
        <v>2544</v>
      </c>
      <c r="B2388" s="4" t="n">
        <v>1992</v>
      </c>
      <c r="C2388" s="4" t="str">
        <f aca="false">FLOOR(B2388,10)&amp;"s"</f>
        <v>1990s</v>
      </c>
      <c r="D2388" s="4" t="s">
        <v>154</v>
      </c>
      <c r="E2388" s="25" t="str">
        <f aca="false">IF(G2388=1,"✓","")</f>
        <v/>
      </c>
      <c r="F2388" s="4" t="n">
        <v>1</v>
      </c>
      <c r="G2388" s="4" t="n">
        <f aca="false">IF(COUNTIF('Letterboxd Watched'!$E$2:$E$3000,M2388)&gt;0,1,0)</f>
        <v>0</v>
      </c>
      <c r="H2388" s="4" t="n">
        <v>2</v>
      </c>
      <c r="I2388" s="4" t="s">
        <v>213</v>
      </c>
      <c r="J2388" s="4" t="s">
        <v>53</v>
      </c>
      <c r="K2388" s="4" t="s">
        <v>154</v>
      </c>
      <c r="L2388" s="48" t="str">
        <f aca="false">HYPERLINK("https://letterboxd.com/search/films/Twin+Peaks+Fire+Walk+with+Me+1992/","open")</f>
        <v>open</v>
      </c>
      <c r="M2388" s="4" t="str">
        <f aca="false">LOWER(A2388)&amp;"|"&amp;B2388</f>
        <v>twin peaks: fire walk with me|1992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1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</row>
    <row r="2389" customFormat="false" ht="15" hidden="false" customHeight="false" outlineLevel="0" collapsed="false">
      <c r="A2389" s="4" t="s">
        <v>2656</v>
      </c>
      <c r="B2389" s="4" t="n">
        <v>1996</v>
      </c>
      <c r="C2389" s="4" t="str">
        <f aca="false">FLOOR(B2389,10)&amp;"s"</f>
        <v>1990s</v>
      </c>
      <c r="D2389" s="4" t="s">
        <v>2585</v>
      </c>
      <c r="E2389" s="25" t="str">
        <f aca="false">IF(G2389=1,"✓","")</f>
        <v>✓</v>
      </c>
      <c r="F2389" s="4" t="n">
        <v>1</v>
      </c>
      <c r="G2389" s="4" t="n">
        <f aca="false">IF(COUNTIF('Letterboxd Watched'!$E$2:$E$3000,M2389)&gt;0,1,0)</f>
        <v>1</v>
      </c>
      <c r="H2389" s="4" t="n">
        <v>2</v>
      </c>
      <c r="I2389" s="4" t="s">
        <v>213</v>
      </c>
      <c r="J2389" s="4" t="s">
        <v>56</v>
      </c>
      <c r="K2389" s="4" t="s">
        <v>4388</v>
      </c>
      <c r="L2389" s="48" t="str">
        <f aca="false">HYPERLINK("https://boxd.it/29S0","open")</f>
        <v>open</v>
      </c>
      <c r="M2389" s="4" t="str">
        <f aca="false">LOWER(A2389)&amp;"|"&amp;B2389</f>
        <v>twister|1996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1</v>
      </c>
      <c r="V2389" s="4" t="n">
        <v>0</v>
      </c>
      <c r="W2389" s="4" t="n">
        <v>0</v>
      </c>
    </row>
    <row r="2390" customFormat="false" ht="15" hidden="false" customHeight="false" outlineLevel="0" collapsed="false">
      <c r="A2390" s="4" t="s">
        <v>1220</v>
      </c>
      <c r="B2390" s="4" t="n">
        <v>2014</v>
      </c>
      <c r="C2390" s="4" t="str">
        <f aca="false">FLOOR(B2390,10)&amp;"s"</f>
        <v>2010s</v>
      </c>
      <c r="D2390" s="4" t="s">
        <v>628</v>
      </c>
      <c r="E2390" s="25" t="str">
        <f aca="false">IF(G2390=1,"✓","")</f>
        <v/>
      </c>
      <c r="F2390" s="4" t="n">
        <v>2</v>
      </c>
      <c r="G2390" s="4" t="n">
        <f aca="false">IF(COUNTIF('Letterboxd Watched'!$E$2:$E$3000,M2390)&gt;0,1,0)</f>
        <v>0</v>
      </c>
      <c r="H2390" s="4" t="n">
        <v>4</v>
      </c>
      <c r="I2390" s="4" t="s">
        <v>213</v>
      </c>
      <c r="J2390" s="4" t="s">
        <v>55</v>
      </c>
      <c r="K2390" s="4" t="s">
        <v>5658</v>
      </c>
      <c r="L2390" s="48" t="str">
        <f aca="false">HYPERLINK("https://letterboxd.com/search/films/Two+Days+One+Night+2014/","open")</f>
        <v>open</v>
      </c>
      <c r="M2390" s="4" t="str">
        <f aca="false">LOWER(A2390)&amp;"|"&amp;B2390</f>
        <v>two days, one night|2014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</v>
      </c>
      <c r="T2390" s="4" t="n">
        <v>1</v>
      </c>
      <c r="U2390" s="4" t="n">
        <v>0</v>
      </c>
      <c r="V2390" s="4" t="n">
        <v>0</v>
      </c>
      <c r="W2390" s="4" t="n">
        <v>1</v>
      </c>
    </row>
    <row r="2391" customFormat="false" ht="15" hidden="false" customHeight="false" outlineLevel="0" collapsed="false">
      <c r="A2391" s="4" t="s">
        <v>2114</v>
      </c>
      <c r="B2391" s="4" t="n">
        <v>1967</v>
      </c>
      <c r="C2391" s="4" t="str">
        <f aca="false">FLOOR(B2391,10)&amp;"s"</f>
        <v>1960s</v>
      </c>
      <c r="D2391" s="4" t="s">
        <v>969</v>
      </c>
      <c r="E2391" s="25" t="str">
        <f aca="false">IF(G2391=1,"✓","")</f>
        <v/>
      </c>
      <c r="F2391" s="4" t="n">
        <v>1</v>
      </c>
      <c r="G2391" s="4" t="n">
        <f aca="false">IF(COUNTIF('Letterboxd Watched'!$E$2:$E$3000,M2391)&gt;0,1,0)</f>
        <v>0</v>
      </c>
      <c r="H2391" s="4" t="n">
        <v>2</v>
      </c>
      <c r="I2391" s="4" t="s">
        <v>213</v>
      </c>
      <c r="J2391" s="4" t="s">
        <v>55</v>
      </c>
      <c r="K2391" s="4" t="s">
        <v>4348</v>
      </c>
      <c r="L2391" s="48" t="str">
        <f aca="false">HYPERLINK("https://letterboxd.com/search/films/Two+for+the+Road+1967/","open")</f>
        <v>open</v>
      </c>
      <c r="M2391" s="4" t="str">
        <f aca="false">LOWER(A2391)&amp;"|"&amp;B2391</f>
        <v>two for the road|1967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1</v>
      </c>
      <c r="U2391" s="4" t="n">
        <v>0</v>
      </c>
      <c r="V2391" s="4" t="n">
        <v>0</v>
      </c>
      <c r="W2391" s="4" t="n">
        <v>0</v>
      </c>
    </row>
    <row r="2392" customFormat="false" ht="15" hidden="false" customHeight="false" outlineLevel="0" collapsed="false">
      <c r="A2392" s="4" t="s">
        <v>1343</v>
      </c>
      <c r="B2392" s="4" t="n">
        <v>1971</v>
      </c>
      <c r="C2392" s="4" t="str">
        <f aca="false">FLOOR(B2392,10)&amp;"s"</f>
        <v>1970s</v>
      </c>
      <c r="D2392" s="4" t="s">
        <v>1344</v>
      </c>
      <c r="E2392" s="25" t="str">
        <f aca="false">IF(G2392=1,"✓","")</f>
        <v/>
      </c>
      <c r="F2392" s="4" t="n">
        <v>2</v>
      </c>
      <c r="G2392" s="4" t="n">
        <f aca="false">IF(COUNTIF('Letterboxd Watched'!$E$2:$E$3000,M2392)&gt;0,1,0)</f>
        <v>0</v>
      </c>
      <c r="H2392" s="4" t="n">
        <v>3</v>
      </c>
      <c r="I2392" s="4" t="s">
        <v>213</v>
      </c>
      <c r="J2392" s="4" t="s">
        <v>50</v>
      </c>
      <c r="K2392" s="4" t="s">
        <v>5890</v>
      </c>
      <c r="L2392" s="48" t="str">
        <f aca="false">HYPERLINK("https://boxd.it/1sfE","open")</f>
        <v>open</v>
      </c>
      <c r="M2392" s="4" t="str">
        <f aca="false">LOWER(A2392)&amp;"|"&amp;B2392</f>
        <v>two-lane blacktop|1971</v>
      </c>
      <c r="N2392" s="4" t="n">
        <v>0</v>
      </c>
      <c r="O2392" s="4" t="n">
        <v>1</v>
      </c>
      <c r="P2392" s="4" t="n">
        <v>0</v>
      </c>
      <c r="Q2392" s="4" t="n">
        <v>0</v>
      </c>
      <c r="R2392" s="4" t="n">
        <v>0</v>
      </c>
      <c r="S2392" s="4" t="n">
        <v>0</v>
      </c>
      <c r="T2392" s="4" t="n">
        <v>1</v>
      </c>
      <c r="U2392" s="4" t="n">
        <v>0</v>
      </c>
      <c r="V2392" s="4" t="n">
        <v>0</v>
      </c>
      <c r="W2392" s="4" t="n">
        <v>0</v>
      </c>
    </row>
    <row r="2393" customFormat="false" ht="15" hidden="false" customHeight="false" outlineLevel="0" collapsed="false">
      <c r="A2393" s="4" t="s">
        <v>3427</v>
      </c>
      <c r="B2393" s="4" t="n">
        <v>1964</v>
      </c>
      <c r="C2393" s="4" t="str">
        <f aca="false">FLOOR(B2393,10)&amp;"s"</f>
        <v>1960s</v>
      </c>
      <c r="D2393" s="4" t="s">
        <v>2040</v>
      </c>
      <c r="E2393" s="25" t="str">
        <f aca="false">IF(G2393=1,"✓","")</f>
        <v/>
      </c>
      <c r="F2393" s="4" t="n">
        <v>1</v>
      </c>
      <c r="G2393" s="4" t="n">
        <f aca="false">IF(COUNTIF('Letterboxd Watched'!$E$2:$E$3000,M2393)&gt;0,1,0)</f>
        <v>0</v>
      </c>
      <c r="H2393" s="4" t="n">
        <v>1</v>
      </c>
      <c r="I2393" s="4" t="s">
        <v>1327</v>
      </c>
      <c r="J2393" s="4" t="s">
        <v>56</v>
      </c>
      <c r="K2393" s="4" t="s">
        <v>4392</v>
      </c>
      <c r="L2393" s="48" t="str">
        <f aca="false">HYPERLINK("https://letterboxd.com/search/films/Two+Thousand+Maniacs+1964/","open")</f>
        <v>open</v>
      </c>
      <c r="M2393" s="4" t="str">
        <f aca="false">LOWER(A2393)&amp;"|"&amp;B2393</f>
        <v>two thousand maniacs!|1964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1</v>
      </c>
      <c r="V2393" s="4" t="n">
        <v>0</v>
      </c>
      <c r="W2393" s="4" t="n">
        <v>0</v>
      </c>
    </row>
    <row r="2394" customFormat="false" ht="15" hidden="false" customHeight="false" outlineLevel="0" collapsed="false">
      <c r="A2394" s="4" t="s">
        <v>285</v>
      </c>
      <c r="B2394" s="4" t="n">
        <v>1953</v>
      </c>
      <c r="C2394" s="4" t="str">
        <f aca="false">FLOOR(B2394,10)&amp;"s"</f>
        <v>1950s</v>
      </c>
      <c r="D2394" s="4" t="s">
        <v>286</v>
      </c>
      <c r="E2394" s="25" t="str">
        <f aca="false">IF(G2394=1,"✓","")</f>
        <v/>
      </c>
      <c r="F2394" s="4" t="n">
        <v>5</v>
      </c>
      <c r="G2394" s="4" t="n">
        <f aca="false">IF(COUNTIF('Letterboxd Watched'!$E$2:$E$3000,M2394)&gt;0,1,0)</f>
        <v>0</v>
      </c>
      <c r="H2394" s="4" t="n">
        <v>11</v>
      </c>
      <c r="I2394" s="4" t="s">
        <v>144</v>
      </c>
      <c r="J2394" s="4" t="s">
        <v>50</v>
      </c>
      <c r="K2394" s="4" t="s">
        <v>5891</v>
      </c>
      <c r="L2394" s="48" t="str">
        <f aca="false">HYPERLINK("https://boxd.it/1NyM","open")</f>
        <v>open</v>
      </c>
      <c r="M2394" s="4" t="str">
        <f aca="false">LOWER(A2394)&amp;"|"&amp;B2394</f>
        <v>ugetsu|1953</v>
      </c>
      <c r="N2394" s="4" t="n">
        <v>0</v>
      </c>
      <c r="O2394" s="4" t="n">
        <v>1</v>
      </c>
      <c r="P2394" s="4" t="n">
        <v>1</v>
      </c>
      <c r="Q2394" s="4" t="n">
        <v>0</v>
      </c>
      <c r="R2394" s="4" t="n">
        <v>1</v>
      </c>
      <c r="S2394" s="4" t="n">
        <v>0</v>
      </c>
      <c r="T2394" s="4" t="n">
        <v>0</v>
      </c>
      <c r="U2394" s="4" t="n">
        <v>0</v>
      </c>
      <c r="V2394" s="4" t="n">
        <v>1</v>
      </c>
      <c r="W2394" s="4" t="n">
        <v>0</v>
      </c>
    </row>
    <row r="2395" customFormat="false" ht="15" hidden="false" customHeight="false" outlineLevel="0" collapsed="false">
      <c r="A2395" s="4" t="s">
        <v>3500</v>
      </c>
      <c r="B2395" s="4" t="n">
        <v>1972</v>
      </c>
      <c r="C2395" s="4" t="str">
        <f aca="false">FLOOR(B2395,10)&amp;"s"</f>
        <v>1970s</v>
      </c>
      <c r="D2395" s="4" t="s">
        <v>748</v>
      </c>
      <c r="E2395" s="25" t="str">
        <f aca="false">IF(G2395=1,"✓","")</f>
        <v/>
      </c>
      <c r="F2395" s="4" t="n">
        <v>1</v>
      </c>
      <c r="G2395" s="4" t="n">
        <f aca="false">IF(COUNTIF('Letterboxd Watched'!$E$2:$E$3000,M2395)&gt;0,1,0)</f>
        <v>0</v>
      </c>
      <c r="H2395" s="4" t="n">
        <v>1</v>
      </c>
      <c r="I2395" s="4" t="s">
        <v>1327</v>
      </c>
      <c r="J2395" s="4" t="s">
        <v>52</v>
      </c>
      <c r="K2395" s="4" t="s">
        <v>4052</v>
      </c>
      <c r="L2395" s="48" t="str">
        <f aca="false">HYPERLINK("https://boxd.it/WLS","open")</f>
        <v>open</v>
      </c>
      <c r="M2395" s="4" t="str">
        <f aca="false">LOWER(A2395)&amp;"|"&amp;B2395</f>
        <v>ulzana's raid|1972</v>
      </c>
      <c r="N2395" s="4" t="n">
        <v>0</v>
      </c>
      <c r="O2395" s="4" t="n">
        <v>0</v>
      </c>
      <c r="P2395" s="4" t="n">
        <v>0</v>
      </c>
      <c r="Q2395" s="4" t="n">
        <v>1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</row>
    <row r="2396" customFormat="false" ht="15" hidden="false" customHeight="false" outlineLevel="0" collapsed="false">
      <c r="A2396" s="4" t="s">
        <v>226</v>
      </c>
      <c r="B2396" s="4" t="n">
        <v>1952</v>
      </c>
      <c r="C2396" s="4" t="str">
        <f aca="false">FLOOR(B2396,10)&amp;"s"</f>
        <v>1950s</v>
      </c>
      <c r="D2396" s="4" t="s">
        <v>160</v>
      </c>
      <c r="E2396" s="25" t="str">
        <f aca="false">IF(G2396=1,"✓","")</f>
        <v/>
      </c>
      <c r="F2396" s="4" t="n">
        <v>6</v>
      </c>
      <c r="G2396" s="4" t="n">
        <f aca="false">IF(COUNTIF('Letterboxd Watched'!$E$2:$E$3000,M2396)&gt;0,1,0)</f>
        <v>0</v>
      </c>
      <c r="H2396" s="4" t="n">
        <v>13</v>
      </c>
      <c r="I2396" s="4" t="s">
        <v>144</v>
      </c>
      <c r="J2396" s="4" t="s">
        <v>51</v>
      </c>
      <c r="K2396" s="4" t="s">
        <v>5892</v>
      </c>
      <c r="L2396" s="48" t="str">
        <f aca="false">HYPERLINK("https://boxd.it/29vg","open")</f>
        <v>open</v>
      </c>
      <c r="M2396" s="4" t="str">
        <f aca="false">LOWER(A2396)&amp;"|"&amp;B2396</f>
        <v>umberto d.|1952</v>
      </c>
      <c r="N2396" s="4" t="n">
        <v>0</v>
      </c>
      <c r="O2396" s="4" t="n">
        <v>0</v>
      </c>
      <c r="P2396" s="4" t="n">
        <v>1</v>
      </c>
      <c r="Q2396" s="4" t="n">
        <v>0</v>
      </c>
      <c r="R2396" s="4" t="n">
        <v>0</v>
      </c>
      <c r="S2396" s="4" t="n">
        <v>1</v>
      </c>
      <c r="T2396" s="4" t="n">
        <v>1</v>
      </c>
      <c r="U2396" s="4" t="n">
        <v>0</v>
      </c>
      <c r="V2396" s="4" t="n">
        <v>1</v>
      </c>
      <c r="W2396" s="4" t="n">
        <v>1</v>
      </c>
    </row>
    <row r="2397" customFormat="false" ht="15" hidden="false" customHeight="false" outlineLevel="0" collapsed="false">
      <c r="A2397" s="4" t="s">
        <v>981</v>
      </c>
      <c r="B2397" s="4" t="n">
        <v>1964</v>
      </c>
      <c r="C2397" s="4" t="str">
        <f aca="false">FLOOR(B2397,10)&amp;"s"</f>
        <v>1960s</v>
      </c>
      <c r="D2397" s="4" t="s">
        <v>777</v>
      </c>
      <c r="E2397" s="25" t="str">
        <f aca="false">IF(G2397=1,"✓","")</f>
        <v/>
      </c>
      <c r="F2397" s="4" t="n">
        <v>2</v>
      </c>
      <c r="G2397" s="4" t="n">
        <f aca="false">IF(COUNTIF('Letterboxd Watched'!$E$2:$E$3000,M2397)&gt;0,1,0)</f>
        <v>0</v>
      </c>
      <c r="H2397" s="4" t="n">
        <v>4</v>
      </c>
      <c r="I2397" s="4" t="s">
        <v>144</v>
      </c>
      <c r="J2397" s="4" t="s">
        <v>52</v>
      </c>
      <c r="K2397" s="4" t="s">
        <v>5893</v>
      </c>
      <c r="L2397" s="48" t="str">
        <f aca="false">HYPERLINK("https://boxd.it/22fK","open")</f>
        <v>open</v>
      </c>
      <c r="M2397" s="4" t="str">
        <f aca="false">LOWER(A2397)&amp;"|"&amp;B2397</f>
        <v>the umbrellas of cherbourg|1964</v>
      </c>
      <c r="N2397" s="4" t="n">
        <v>0</v>
      </c>
      <c r="O2397" s="4" t="n">
        <v>0</v>
      </c>
      <c r="P2397" s="4" t="n">
        <v>0</v>
      </c>
      <c r="Q2397" s="4" t="n">
        <v>1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1</v>
      </c>
    </row>
    <row r="2398" customFormat="false" ht="15" hidden="false" customHeight="false" outlineLevel="0" collapsed="false">
      <c r="A2398" s="4" t="s">
        <v>401</v>
      </c>
      <c r="B2398" s="4" t="n">
        <v>1929</v>
      </c>
      <c r="C2398" s="4" t="str">
        <f aca="false">FLOOR(B2398,10)&amp;"s"</f>
        <v>1920s</v>
      </c>
      <c r="D2398" s="4" t="s">
        <v>402</v>
      </c>
      <c r="E2398" s="25" t="str">
        <f aca="false">IF(G2398=1,"✓","")</f>
        <v/>
      </c>
      <c r="F2398" s="4" t="n">
        <v>3</v>
      </c>
      <c r="G2398" s="4" t="n">
        <f aca="false">IF(COUNTIF('Letterboxd Watched'!$E$2:$E$3000,M2398)&gt;0,1,0)</f>
        <v>0</v>
      </c>
      <c r="H2398" s="4" t="n">
        <v>8</v>
      </c>
      <c r="I2398" s="4" t="s">
        <v>144</v>
      </c>
      <c r="J2398" s="4" t="s">
        <v>50</v>
      </c>
      <c r="K2398" s="4" t="s">
        <v>5894</v>
      </c>
      <c r="L2398" s="48" t="str">
        <f aca="false">HYPERLINK("https://boxd.it/29Y8","open")</f>
        <v>open</v>
      </c>
      <c r="M2398" s="4" t="str">
        <f aca="false">LOWER(A2398)&amp;"|"&amp;B2398</f>
        <v>un chien andalou|1929</v>
      </c>
      <c r="N2398" s="4" t="n">
        <v>0</v>
      </c>
      <c r="O2398" s="4" t="n">
        <v>1</v>
      </c>
      <c r="P2398" s="4" t="n">
        <v>0</v>
      </c>
      <c r="Q2398" s="4" t="n">
        <v>1</v>
      </c>
      <c r="R2398" s="4" t="n">
        <v>1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</row>
    <row r="2399" customFormat="false" ht="15" hidden="false" customHeight="false" outlineLevel="0" collapsed="false">
      <c r="A2399" s="4" t="s">
        <v>3497</v>
      </c>
      <c r="B2399" s="4" t="n">
        <v>1972</v>
      </c>
      <c r="C2399" s="4" t="str">
        <f aca="false">FLOOR(B2399,10)&amp;"s"</f>
        <v>1970s</v>
      </c>
      <c r="D2399" s="4" t="s">
        <v>290</v>
      </c>
      <c r="E2399" s="25" t="str">
        <f aca="false">IF(G2399=1,"✓","")</f>
        <v/>
      </c>
      <c r="F2399" s="4" t="n">
        <v>1</v>
      </c>
      <c r="G2399" s="4" t="n">
        <f aca="false">IF(COUNTIF('Letterboxd Watched'!$E$2:$E$3000,M2399)&gt;0,1,0)</f>
        <v>0</v>
      </c>
      <c r="H2399" s="4" t="n">
        <v>1</v>
      </c>
      <c r="I2399" s="4" t="s">
        <v>1327</v>
      </c>
      <c r="J2399" s="4" t="s">
        <v>51</v>
      </c>
      <c r="K2399" s="4" t="s">
        <v>3964</v>
      </c>
      <c r="L2399" s="48" t="str">
        <f aca="false">HYPERLINK("https://letterboxd.com/search/films/Un+Flic+1972/","open")</f>
        <v>open</v>
      </c>
      <c r="M2399" s="4" t="str">
        <f aca="false">LOWER(A2399)&amp;"|"&amp;B2399</f>
        <v>un flic|1972</v>
      </c>
      <c r="N2399" s="4" t="n">
        <v>0</v>
      </c>
      <c r="O2399" s="4" t="n">
        <v>0</v>
      </c>
      <c r="P2399" s="4" t="n">
        <v>1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</row>
    <row r="2400" customFormat="false" ht="15" hidden="false" customHeight="false" outlineLevel="0" collapsed="false">
      <c r="A2400" s="4" t="s">
        <v>517</v>
      </c>
      <c r="B2400" s="4" t="n">
        <v>2010</v>
      </c>
      <c r="C2400" s="4" t="str">
        <f aca="false">FLOOR(B2400,10)&amp;"s"</f>
        <v>2010s</v>
      </c>
      <c r="D2400" s="4" t="s">
        <v>444</v>
      </c>
      <c r="E2400" s="25" t="str">
        <f aca="false">IF(G2400=1,"✓","")</f>
        <v/>
      </c>
      <c r="F2400" s="4" t="n">
        <v>3</v>
      </c>
      <c r="G2400" s="4" t="n">
        <f aca="false">IF(COUNTIF('Letterboxd Watched'!$E$2:$E$3000,M2400)&gt;0,1,0)</f>
        <v>0</v>
      </c>
      <c r="H2400" s="4" t="n">
        <v>7</v>
      </c>
      <c r="I2400" s="4" t="s">
        <v>144</v>
      </c>
      <c r="J2400" s="4" t="s">
        <v>51</v>
      </c>
      <c r="K2400" s="4" t="s">
        <v>5895</v>
      </c>
      <c r="L2400" s="48" t="str">
        <f aca="false">HYPERLINK("https://boxd.it/168Q","open")</f>
        <v>open</v>
      </c>
      <c r="M2400" s="4" t="str">
        <f aca="false">LOWER(A2400)&amp;"|"&amp;B2400</f>
        <v>uncle boonmee who can recall his past lives|2010</v>
      </c>
      <c r="N2400" s="4" t="n">
        <v>0</v>
      </c>
      <c r="O2400" s="4" t="n">
        <v>0</v>
      </c>
      <c r="P2400" s="4" t="n">
        <v>1</v>
      </c>
      <c r="Q2400" s="4" t="n">
        <v>0</v>
      </c>
      <c r="R2400" s="4" t="n">
        <v>1</v>
      </c>
      <c r="S2400" s="4" t="n">
        <v>1</v>
      </c>
      <c r="T2400" s="4" t="n">
        <v>0</v>
      </c>
      <c r="U2400" s="4" t="n">
        <v>0</v>
      </c>
      <c r="V2400" s="4" t="n">
        <v>0</v>
      </c>
      <c r="W2400" s="4" t="n">
        <v>0</v>
      </c>
    </row>
    <row r="2401" customFormat="false" ht="15" hidden="false" customHeight="false" outlineLevel="0" collapsed="false">
      <c r="A2401" s="4" t="s">
        <v>652</v>
      </c>
      <c r="B2401" s="4" t="n">
        <v>2019</v>
      </c>
      <c r="C2401" s="4" t="str">
        <f aca="false">FLOOR(B2401,10)&amp;"s"</f>
        <v>2010s</v>
      </c>
      <c r="D2401" s="4" t="s">
        <v>653</v>
      </c>
      <c r="E2401" s="25" t="str">
        <f aca="false">IF(G2401=1,"✓","")</f>
        <v>✓</v>
      </c>
      <c r="F2401" s="4" t="n">
        <v>3</v>
      </c>
      <c r="G2401" s="4" t="n">
        <f aca="false">IF(COUNTIF('Letterboxd Watched'!$E$2:$E$3000,M2401)&gt;0,1,0)</f>
        <v>1</v>
      </c>
      <c r="H2401" s="4" t="n">
        <v>6</v>
      </c>
      <c r="I2401" s="4" t="s">
        <v>213</v>
      </c>
      <c r="J2401" s="4" t="s">
        <v>55</v>
      </c>
      <c r="K2401" s="4" t="s">
        <v>5896</v>
      </c>
      <c r="L2401" s="48" t="str">
        <f aca="false">HYPERLINK("https://boxd.it/gXGc","open")</f>
        <v>open</v>
      </c>
      <c r="M2401" s="4" t="str">
        <f aca="false">LOWER(A2401)&amp;"|"&amp;B2401</f>
        <v>uncut gems|2019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1</v>
      </c>
      <c r="U2401" s="4" t="n">
        <v>1</v>
      </c>
      <c r="V2401" s="4" t="n">
        <v>1</v>
      </c>
      <c r="W2401" s="4" t="n">
        <v>0</v>
      </c>
    </row>
    <row r="2402" customFormat="false" ht="15" hidden="false" customHeight="false" outlineLevel="0" collapsed="false">
      <c r="A2402" s="4" t="s">
        <v>1711</v>
      </c>
      <c r="B2402" s="4" t="n">
        <v>1930</v>
      </c>
      <c r="C2402" s="4" t="str">
        <f aca="false">FLOOR(B2402,10)&amp;"s"</f>
        <v>1930s</v>
      </c>
      <c r="D2402" s="4" t="s">
        <v>1712</v>
      </c>
      <c r="E2402" s="25" t="str">
        <f aca="false">IF(G2402=1,"✓","")</f>
        <v/>
      </c>
      <c r="F2402" s="4" t="n">
        <v>1</v>
      </c>
      <c r="G2402" s="4" t="n">
        <f aca="false">IF(COUNTIF('Letterboxd Watched'!$E$2:$E$3000,M2402)&gt;0,1,0)</f>
        <v>0</v>
      </c>
      <c r="H2402" s="4" t="n">
        <v>2</v>
      </c>
      <c r="I2402" s="4" t="s">
        <v>213</v>
      </c>
      <c r="J2402" s="4" t="s">
        <v>50</v>
      </c>
      <c r="K2402" s="4" t="s">
        <v>3906</v>
      </c>
      <c r="L2402" s="48" t="str">
        <f aca="false">HYPERLINK("https://letterboxd.com/search/films/Under+the+Roofs+of+Paris+1930/","open")</f>
        <v>open</v>
      </c>
      <c r="M2402" s="4" t="str">
        <f aca="false">LOWER(A2402)&amp;"|"&amp;B2402</f>
        <v>under the roofs of paris|1930</v>
      </c>
      <c r="N2402" s="4" t="n">
        <v>0</v>
      </c>
      <c r="O2402" s="4" t="n">
        <v>1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</row>
    <row r="2403" customFormat="false" ht="15" hidden="false" customHeight="false" outlineLevel="0" collapsed="false">
      <c r="A2403" s="4" t="s">
        <v>1207</v>
      </c>
      <c r="B2403" s="4" t="n">
        <v>2013</v>
      </c>
      <c r="C2403" s="4" t="str">
        <f aca="false">FLOOR(B2403,10)&amp;"s"</f>
        <v>2010s</v>
      </c>
      <c r="D2403" s="4" t="s">
        <v>400</v>
      </c>
      <c r="E2403" s="25" t="str">
        <f aca="false">IF(G2403=1,"✓","")</f>
        <v/>
      </c>
      <c r="F2403" s="4" t="n">
        <v>2</v>
      </c>
      <c r="G2403" s="4" t="n">
        <f aca="false">IF(COUNTIF('Letterboxd Watched'!$E$2:$E$3000,M2403)&gt;0,1,0)</f>
        <v>0</v>
      </c>
      <c r="H2403" s="4" t="n">
        <v>4</v>
      </c>
      <c r="I2403" s="4" t="s">
        <v>213</v>
      </c>
      <c r="J2403" s="4" t="s">
        <v>52</v>
      </c>
      <c r="K2403" s="4" t="s">
        <v>5897</v>
      </c>
      <c r="L2403" s="48" t="str">
        <f aca="false">HYPERLINK("https://boxd.it/3mDa","open")</f>
        <v>open</v>
      </c>
      <c r="M2403" s="4" t="str">
        <f aca="false">LOWER(A2403)&amp;"|"&amp;B2403</f>
        <v>under the skin|2013</v>
      </c>
      <c r="N2403" s="4" t="n">
        <v>0</v>
      </c>
      <c r="O2403" s="4" t="n">
        <v>0</v>
      </c>
      <c r="P2403" s="4" t="n">
        <v>0</v>
      </c>
      <c r="Q2403" s="4" t="n">
        <v>1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1</v>
      </c>
      <c r="W2403" s="4" t="n">
        <v>0</v>
      </c>
    </row>
    <row r="2404" customFormat="false" ht="15" hidden="false" customHeight="false" outlineLevel="0" collapsed="false">
      <c r="A2404" s="4" t="s">
        <v>1565</v>
      </c>
      <c r="B2404" s="4" t="n">
        <v>1995</v>
      </c>
      <c r="C2404" s="4" t="str">
        <f aca="false">FLOOR(B2404,10)&amp;"s"</f>
        <v>1990s</v>
      </c>
      <c r="D2404" s="4" t="s">
        <v>1566</v>
      </c>
      <c r="E2404" s="25" t="str">
        <f aca="false">IF(G2404=1,"✓","")</f>
        <v/>
      </c>
      <c r="F2404" s="4" t="n">
        <v>1</v>
      </c>
      <c r="G2404" s="4" t="n">
        <f aca="false">IF(COUNTIF('Letterboxd Watched'!$E$2:$E$3000,M2404)&gt;0,1,0)</f>
        <v>0</v>
      </c>
      <c r="H2404" s="4" t="n">
        <v>3</v>
      </c>
      <c r="I2404" s="4" t="s">
        <v>144</v>
      </c>
      <c r="J2404" s="4" t="s">
        <v>51</v>
      </c>
      <c r="K2404" s="4" t="s">
        <v>3996</v>
      </c>
      <c r="L2404" s="48" t="str">
        <f aca="false">HYPERLINK("https://boxd.it/1SOA","open")</f>
        <v>open</v>
      </c>
      <c r="M2404" s="4" t="str">
        <f aca="false">LOWER(A2404)&amp;"|"&amp;B2404</f>
        <v>underground|1995</v>
      </c>
      <c r="N2404" s="4" t="n">
        <v>0</v>
      </c>
      <c r="O2404" s="4" t="n">
        <v>0</v>
      </c>
      <c r="P2404" s="4" t="n">
        <v>1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</row>
    <row r="2405" customFormat="false" ht="15" hidden="false" customHeight="false" outlineLevel="0" collapsed="false">
      <c r="A2405" s="4" t="s">
        <v>3299</v>
      </c>
      <c r="B2405" s="4" t="n">
        <v>1927</v>
      </c>
      <c r="C2405" s="4" t="str">
        <f aca="false">FLOOR(B2405,10)&amp;"s"</f>
        <v>1920s</v>
      </c>
      <c r="D2405" s="4" t="s">
        <v>1710</v>
      </c>
      <c r="E2405" s="25" t="str">
        <f aca="false">IF(G2405=1,"✓","")</f>
        <v/>
      </c>
      <c r="F2405" s="4" t="n">
        <v>1</v>
      </c>
      <c r="G2405" s="4" t="n">
        <f aca="false">IF(COUNTIF('Letterboxd Watched'!$E$2:$E$3000,M2405)&gt;0,1,0)</f>
        <v>0</v>
      </c>
      <c r="H2405" s="4" t="n">
        <v>1</v>
      </c>
      <c r="I2405" s="4" t="s">
        <v>1327</v>
      </c>
      <c r="J2405" s="4" t="s">
        <v>50</v>
      </c>
      <c r="K2405" s="4" t="s">
        <v>3904</v>
      </c>
      <c r="L2405" s="48" t="str">
        <f aca="false">HYPERLINK("https://letterboxd.com/search/films/Underworld+1927/","open")</f>
        <v>open</v>
      </c>
      <c r="M2405" s="4" t="str">
        <f aca="false">LOWER(A2405)&amp;"|"&amp;B2405</f>
        <v>underworld|1927</v>
      </c>
      <c r="N2405" s="4" t="n">
        <v>0</v>
      </c>
      <c r="O2405" s="4" t="n">
        <v>1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</row>
    <row r="2406" customFormat="false" ht="15" hidden="false" customHeight="false" outlineLevel="0" collapsed="false">
      <c r="A2406" s="4" t="s">
        <v>3606</v>
      </c>
      <c r="B2406" s="4" t="n">
        <v>1982</v>
      </c>
      <c r="C2406" s="4" t="str">
        <f aca="false">FLOOR(B2406,10)&amp;"s"</f>
        <v>1980s</v>
      </c>
      <c r="D2406" s="4" t="s">
        <v>777</v>
      </c>
      <c r="E2406" s="25" t="str">
        <f aca="false">IF(G2406=1,"✓","")</f>
        <v/>
      </c>
      <c r="F2406" s="4" t="n">
        <v>1</v>
      </c>
      <c r="G2406" s="4" t="n">
        <f aca="false">IF(COUNTIF('Letterboxd Watched'!$E$2:$E$3000,M2406)&gt;0,1,0)</f>
        <v>0</v>
      </c>
      <c r="H2406" s="4" t="n">
        <v>1</v>
      </c>
      <c r="I2406" s="4" t="s">
        <v>1327</v>
      </c>
      <c r="J2406" s="4" t="s">
        <v>52</v>
      </c>
      <c r="K2406" s="4" t="s">
        <v>4114</v>
      </c>
      <c r="L2406" s="48" t="str">
        <f aca="false">HYPERLINK("https://letterboxd.com/search/films/Une+chambre+en+ville+1982/","open")</f>
        <v>open</v>
      </c>
      <c r="M2406" s="4" t="str">
        <f aca="false">LOWER(A2406)&amp;"|"&amp;B2406</f>
        <v>une chambre en ville|1982</v>
      </c>
      <c r="N2406" s="4" t="n">
        <v>0</v>
      </c>
      <c r="O2406" s="4" t="n">
        <v>0</v>
      </c>
      <c r="P2406" s="4" t="n">
        <v>0</v>
      </c>
      <c r="Q2406" s="4" t="n">
        <v>1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</row>
    <row r="2407" customFormat="false" ht="15" hidden="false" customHeight="false" outlineLevel="0" collapsed="false">
      <c r="A2407" s="4" t="s">
        <v>1994</v>
      </c>
      <c r="B2407" s="4" t="n">
        <v>1961</v>
      </c>
      <c r="C2407" s="4" t="str">
        <f aca="false">FLOOR(B2407,10)&amp;"s"</f>
        <v>1960s</v>
      </c>
      <c r="D2407" s="4" t="s">
        <v>152</v>
      </c>
      <c r="E2407" s="25" t="str">
        <f aca="false">IF(G2407=1,"✓","")</f>
        <v/>
      </c>
      <c r="F2407" s="4" t="n">
        <v>1</v>
      </c>
      <c r="G2407" s="4" t="n">
        <f aca="false">IF(COUNTIF('Letterboxd Watched'!$E$2:$E$3000,M2407)&gt;0,1,0)</f>
        <v>0</v>
      </c>
      <c r="H2407" s="4" t="n">
        <v>2</v>
      </c>
      <c r="I2407" s="4" t="s">
        <v>213</v>
      </c>
      <c r="J2407" s="4" t="s">
        <v>52</v>
      </c>
      <c r="K2407" s="4" t="s">
        <v>4114</v>
      </c>
      <c r="L2407" s="48" t="str">
        <f aca="false">HYPERLINK("https://letterboxd.com/search/films/Une+Femme+est+une+Femme+1961/","open")</f>
        <v>open</v>
      </c>
      <c r="M2407" s="4" t="str">
        <f aca="false">LOWER(A2407)&amp;"|"&amp;B2407</f>
        <v>une femme est une femme|1961</v>
      </c>
      <c r="N2407" s="4" t="n">
        <v>0</v>
      </c>
      <c r="O2407" s="4" t="n">
        <v>0</v>
      </c>
      <c r="P2407" s="4" t="n">
        <v>0</v>
      </c>
      <c r="Q2407" s="4" t="n">
        <v>1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</row>
    <row r="2408" customFormat="false" ht="15" hidden="false" customHeight="false" outlineLevel="0" collapsed="false">
      <c r="A2408" s="4" t="s">
        <v>3351</v>
      </c>
      <c r="B2408" s="4" t="n">
        <v>1948</v>
      </c>
      <c r="C2408" s="4" t="str">
        <f aca="false">FLOOR(B2408,10)&amp;"s"</f>
        <v>1940s</v>
      </c>
      <c r="D2408" s="4" t="s">
        <v>250</v>
      </c>
      <c r="E2408" s="25" t="str">
        <f aca="false">IF(G2408=1,"✓","")</f>
        <v/>
      </c>
      <c r="F2408" s="4" t="n">
        <v>1</v>
      </c>
      <c r="G2408" s="4" t="n">
        <f aca="false">IF(COUNTIF('Letterboxd Watched'!$E$2:$E$3000,M2408)&gt;0,1,0)</f>
        <v>0</v>
      </c>
      <c r="H2408" s="4" t="n">
        <v>1</v>
      </c>
      <c r="I2408" s="4" t="s">
        <v>1327</v>
      </c>
      <c r="J2408" s="4" t="s">
        <v>53</v>
      </c>
      <c r="K2408" s="4" t="s">
        <v>4191</v>
      </c>
      <c r="L2408" s="48" t="str">
        <f aca="false">HYPERLINK("https://letterboxd.com/search/films/Unfaithfully+Yours+1948/","open")</f>
        <v>open</v>
      </c>
      <c r="M2408" s="4" t="str">
        <f aca="false">LOWER(A2408)&amp;"|"&amp;B2408</f>
        <v>unfaithfully yours|1948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1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</row>
    <row r="2409" customFormat="false" ht="15" hidden="false" customHeight="false" outlineLevel="0" collapsed="false">
      <c r="A2409" s="4" t="s">
        <v>828</v>
      </c>
      <c r="B2409" s="4" t="n">
        <v>1992</v>
      </c>
      <c r="C2409" s="4" t="str">
        <f aca="false">FLOOR(B2409,10)&amp;"s"</f>
        <v>1990s</v>
      </c>
      <c r="D2409" s="4" t="s">
        <v>829</v>
      </c>
      <c r="E2409" s="25" t="str">
        <f aca="false">IF(G2409=1,"✓","")</f>
        <v>✓</v>
      </c>
      <c r="F2409" s="4" t="n">
        <v>2</v>
      </c>
      <c r="G2409" s="4" t="n">
        <f aca="false">IF(COUNTIF('Letterboxd Watched'!$E$2:$E$3000,M2409)&gt;0,1,0)</f>
        <v>1</v>
      </c>
      <c r="H2409" s="4" t="n">
        <v>5</v>
      </c>
      <c r="I2409" s="4" t="s">
        <v>144</v>
      </c>
      <c r="J2409" s="4" t="s">
        <v>52</v>
      </c>
      <c r="K2409" s="4" t="s">
        <v>5277</v>
      </c>
      <c r="L2409" s="48" t="str">
        <f aca="false">HYPERLINK("https://boxd.it/6Z4","open")</f>
        <v>open</v>
      </c>
      <c r="M2409" s="4" t="str">
        <f aca="false">LOWER(A2409)&amp;"|"&amp;B2409</f>
        <v>unforgiven|1992</v>
      </c>
      <c r="N2409" s="4" t="n">
        <v>0</v>
      </c>
      <c r="O2409" s="4" t="n">
        <v>0</v>
      </c>
      <c r="P2409" s="4" t="n">
        <v>0</v>
      </c>
      <c r="Q2409" s="4" t="n">
        <v>1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1</v>
      </c>
      <c r="W2409" s="4" t="n">
        <v>0</v>
      </c>
    </row>
    <row r="2410" customFormat="false" ht="15" hidden="false" customHeight="false" outlineLevel="0" collapsed="false">
      <c r="A2410" s="4" t="s">
        <v>3054</v>
      </c>
      <c r="B2410" s="4" t="n">
        <v>2014</v>
      </c>
      <c r="C2410" s="4" t="str">
        <f aca="false">FLOOR(B2410,10)&amp;"s"</f>
        <v>2010s</v>
      </c>
      <c r="D2410" s="4" t="s">
        <v>3055</v>
      </c>
      <c r="E2410" s="25" t="str">
        <f aca="false">IF(G2410=1,"✓","")</f>
        <v/>
      </c>
      <c r="F2410" s="4" t="n">
        <v>1</v>
      </c>
      <c r="G2410" s="4" t="n">
        <f aca="false">IF(COUNTIF('Letterboxd Watched'!$E$2:$E$3000,M2410)&gt;0,1,0)</f>
        <v>0</v>
      </c>
      <c r="H2410" s="4" t="n">
        <v>2</v>
      </c>
      <c r="I2410" s="4" t="s">
        <v>213</v>
      </c>
      <c r="J2410" s="4" t="s">
        <v>52</v>
      </c>
      <c r="K2410" s="4" t="s">
        <v>4076</v>
      </c>
      <c r="L2410" s="48" t="str">
        <f aca="false">HYPERLINK("https://letterboxd.com/search/films/Unfriended+2014/","open")</f>
        <v>open</v>
      </c>
      <c r="M2410" s="4" t="str">
        <f aca="false">LOWER(A2410)&amp;"|"&amp;B2410</f>
        <v>unfriended|2014</v>
      </c>
      <c r="N2410" s="4" t="n">
        <v>0</v>
      </c>
      <c r="O2410" s="4" t="n">
        <v>0</v>
      </c>
      <c r="P2410" s="4" t="n">
        <v>0</v>
      </c>
      <c r="Q2410" s="4" t="n">
        <v>1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</row>
    <row r="2411" customFormat="false" ht="15" hidden="false" customHeight="false" outlineLevel="0" collapsed="false">
      <c r="A2411" s="4" t="s">
        <v>3010</v>
      </c>
      <c r="B2411" s="4" t="n">
        <v>2012</v>
      </c>
      <c r="C2411" s="4" t="str">
        <f aca="false">FLOOR(B2411,10)&amp;"s"</f>
        <v>2010s</v>
      </c>
      <c r="D2411" s="4" t="s">
        <v>3011</v>
      </c>
      <c r="E2411" s="25" t="str">
        <f aca="false">IF(G2411=1,"✓","")</f>
        <v/>
      </c>
      <c r="F2411" s="4" t="n">
        <v>1</v>
      </c>
      <c r="G2411" s="4" t="n">
        <f aca="false">IF(COUNTIF('Letterboxd Watched'!$E$2:$E$3000,M2411)&gt;0,1,0)</f>
        <v>0</v>
      </c>
      <c r="H2411" s="4" t="n">
        <v>2</v>
      </c>
      <c r="I2411" s="4" t="s">
        <v>213</v>
      </c>
      <c r="J2411" s="4" t="s">
        <v>54</v>
      </c>
      <c r="K2411" s="4" t="s">
        <v>4310</v>
      </c>
      <c r="L2411" s="48" t="str">
        <f aca="false">HYPERLINK("https://letterboxd.com/search/films/Universal+Soldier+Day+of+Reckoning+2012/","open")</f>
        <v>open</v>
      </c>
      <c r="M2411" s="4" t="str">
        <f aca="false">LOWER(A2411)&amp;"|"&amp;B2411</f>
        <v>universal soldier: day of reckoning|2012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1</v>
      </c>
      <c r="T2411" s="4" t="n">
        <v>0</v>
      </c>
      <c r="U2411" s="4" t="n">
        <v>0</v>
      </c>
      <c r="V2411" s="4" t="n">
        <v>0</v>
      </c>
      <c r="W2411" s="4" t="n">
        <v>0</v>
      </c>
    </row>
    <row r="2412" customFormat="false" ht="15" hidden="false" customHeight="false" outlineLevel="0" collapsed="false">
      <c r="A2412" s="4" t="s">
        <v>2785</v>
      </c>
      <c r="B2412" s="4" t="n">
        <v>2002</v>
      </c>
      <c r="C2412" s="4" t="str">
        <f aca="false">FLOOR(B2412,10)&amp;"s"</f>
        <v>2000s</v>
      </c>
      <c r="D2412" s="4" t="s">
        <v>859</v>
      </c>
      <c r="E2412" s="25" t="str">
        <f aca="false">IF(G2412=1,"✓","")</f>
        <v/>
      </c>
      <c r="F2412" s="4" t="n">
        <v>1</v>
      </c>
      <c r="G2412" s="4" t="n">
        <f aca="false">IF(COUNTIF('Letterboxd Watched'!$E$2:$E$3000,M2412)&gt;0,1,0)</f>
        <v>0</v>
      </c>
      <c r="H2412" s="4" t="n">
        <v>2</v>
      </c>
      <c r="I2412" s="4" t="s">
        <v>213</v>
      </c>
      <c r="J2412" s="4" t="s">
        <v>53</v>
      </c>
      <c r="K2412" s="4" t="s">
        <v>4258</v>
      </c>
      <c r="L2412" s="48" t="str">
        <f aca="false">HYPERLINK("https://letterboxd.com/search/films/Unknown+Pleasures+2002/","open")</f>
        <v>open</v>
      </c>
      <c r="M2412" s="4" t="str">
        <f aca="false">LOWER(A2412)&amp;"|"&amp;B2412</f>
        <v>unknown pleasures|2002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1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</row>
    <row r="2413" customFormat="false" ht="15" hidden="false" customHeight="false" outlineLevel="0" collapsed="false">
      <c r="A2413" s="4" t="s">
        <v>2956</v>
      </c>
      <c r="B2413" s="4" t="n">
        <v>2010</v>
      </c>
      <c r="C2413" s="4" t="str">
        <f aca="false">FLOOR(B2413,10)&amp;"s"</f>
        <v>2010s</v>
      </c>
      <c r="D2413" s="4" t="s">
        <v>2426</v>
      </c>
      <c r="E2413" s="25" t="str">
        <f aca="false">IF(G2413=1,"✓","")</f>
        <v/>
      </c>
      <c r="F2413" s="4" t="n">
        <v>1</v>
      </c>
      <c r="G2413" s="4" t="n">
        <f aca="false">IF(COUNTIF('Letterboxd Watched'!$E$2:$E$3000,M2413)&gt;0,1,0)</f>
        <v>0</v>
      </c>
      <c r="H2413" s="4" t="n">
        <v>2</v>
      </c>
      <c r="I2413" s="4" t="s">
        <v>213</v>
      </c>
      <c r="J2413" s="4" t="s">
        <v>54</v>
      </c>
      <c r="K2413" s="4" t="s">
        <v>4310</v>
      </c>
      <c r="L2413" s="48" t="str">
        <f aca="false">HYPERLINK("https://boxd.it/SVO","open")</f>
        <v>open</v>
      </c>
      <c r="M2413" s="4" t="str">
        <f aca="false">LOWER(A2413)&amp;"|"&amp;B2413</f>
        <v>unstoppable|2010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1</v>
      </c>
      <c r="T2413" s="4" t="n">
        <v>0</v>
      </c>
      <c r="U2413" s="4" t="n">
        <v>0</v>
      </c>
      <c r="V2413" s="4" t="n">
        <v>0</v>
      </c>
      <c r="W2413" s="4" t="n">
        <v>0</v>
      </c>
    </row>
    <row r="2414" customFormat="false" ht="15" hidden="false" customHeight="false" outlineLevel="0" collapsed="false">
      <c r="A2414" s="4" t="s">
        <v>2927</v>
      </c>
      <c r="B2414" s="4" t="n">
        <v>2009</v>
      </c>
      <c r="C2414" s="4" t="str">
        <f aca="false">FLOOR(B2414,10)&amp;"s"</f>
        <v>2000s</v>
      </c>
      <c r="D2414" s="4" t="s">
        <v>2751</v>
      </c>
      <c r="E2414" s="25" t="str">
        <f aca="false">IF(G2414=1,"✓","")</f>
        <v>✓</v>
      </c>
      <c r="F2414" s="4" t="n">
        <v>1</v>
      </c>
      <c r="G2414" s="4" t="n">
        <f aca="false">IF(COUNTIF('Letterboxd Watched'!$E$2:$E$3000,M2414)&gt;0,1,0)</f>
        <v>1</v>
      </c>
      <c r="H2414" s="4" t="n">
        <v>2</v>
      </c>
      <c r="I2414" s="4" t="s">
        <v>213</v>
      </c>
      <c r="J2414" s="4" t="s">
        <v>52</v>
      </c>
      <c r="K2414" s="4" t="s">
        <v>4168</v>
      </c>
      <c r="L2414" s="48" t="str">
        <f aca="false">HYPERLINK("https://boxd.it/1OEc","open")</f>
        <v>open</v>
      </c>
      <c r="M2414" s="4" t="str">
        <f aca="false">LOWER(A2414)&amp;"|"&amp;B2414</f>
        <v>up|2009</v>
      </c>
      <c r="N2414" s="4" t="n">
        <v>0</v>
      </c>
      <c r="O2414" s="4" t="n">
        <v>0</v>
      </c>
      <c r="P2414" s="4" t="n">
        <v>0</v>
      </c>
      <c r="Q2414" s="4" t="n">
        <v>1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</row>
    <row r="2415" customFormat="false" ht="15" hidden="false" customHeight="false" outlineLevel="0" collapsed="false">
      <c r="A2415" s="4" t="s">
        <v>3029</v>
      </c>
      <c r="B2415" s="4" t="n">
        <v>2013</v>
      </c>
      <c r="C2415" s="4" t="str">
        <f aca="false">FLOOR(B2415,10)&amp;"s"</f>
        <v>2010s</v>
      </c>
      <c r="D2415" s="4" t="s">
        <v>513</v>
      </c>
      <c r="E2415" s="25" t="str">
        <f aca="false">IF(G2415=1,"✓","")</f>
        <v/>
      </c>
      <c r="F2415" s="4" t="n">
        <v>1</v>
      </c>
      <c r="G2415" s="4" t="n">
        <f aca="false">IF(COUNTIF('Letterboxd Watched'!$E$2:$E$3000,M2415)&gt;0,1,0)</f>
        <v>0</v>
      </c>
      <c r="H2415" s="4" t="n">
        <v>2</v>
      </c>
      <c r="I2415" s="4" t="s">
        <v>213</v>
      </c>
      <c r="J2415" s="4" t="s">
        <v>52</v>
      </c>
      <c r="K2415" s="4" t="s">
        <v>4090</v>
      </c>
      <c r="L2415" s="48" t="str">
        <f aca="false">HYPERLINK("https://boxd.it/4Cwc","open")</f>
        <v>open</v>
      </c>
      <c r="M2415" s="4" t="str">
        <f aca="false">LOWER(A2415)&amp;"|"&amp;B2415</f>
        <v>upstream color|2013</v>
      </c>
      <c r="N2415" s="4" t="n">
        <v>0</v>
      </c>
      <c r="O2415" s="4" t="n">
        <v>0</v>
      </c>
      <c r="P2415" s="4" t="n">
        <v>0</v>
      </c>
      <c r="Q2415" s="4" t="n">
        <v>1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</row>
    <row r="2416" customFormat="false" ht="15" hidden="false" customHeight="false" outlineLevel="0" collapsed="false">
      <c r="A2416" s="4" t="s">
        <v>3174</v>
      </c>
      <c r="B2416" s="4" t="n">
        <v>2019</v>
      </c>
      <c r="C2416" s="4" t="str">
        <f aca="false">FLOOR(B2416,10)&amp;"s"</f>
        <v>2010s</v>
      </c>
      <c r="D2416" s="4" t="s">
        <v>280</v>
      </c>
      <c r="E2416" s="25" t="str">
        <f aca="false">IF(G2416=1,"✓","")</f>
        <v/>
      </c>
      <c r="F2416" s="4" t="n">
        <v>1</v>
      </c>
      <c r="G2416" s="4" t="n">
        <f aca="false">IF(COUNTIF('Letterboxd Watched'!$E$2:$E$3000,M2416)&gt;0,1,0)</f>
        <v>0</v>
      </c>
      <c r="H2416" s="4" t="n">
        <v>2</v>
      </c>
      <c r="I2416" s="4" t="s">
        <v>213</v>
      </c>
      <c r="J2416" s="4" t="s">
        <v>52</v>
      </c>
      <c r="K2416" s="4" t="s">
        <v>4078</v>
      </c>
      <c r="L2416" s="48" t="str">
        <f aca="false">HYPERLINK("https://boxd.it/gnV6","open")</f>
        <v>open</v>
      </c>
      <c r="M2416" s="4" t="str">
        <f aca="false">LOWER(A2416)&amp;"|"&amp;B2416</f>
        <v>us|2019</v>
      </c>
      <c r="N2416" s="4" t="n">
        <v>0</v>
      </c>
      <c r="O2416" s="4" t="n">
        <v>0</v>
      </c>
      <c r="P2416" s="4" t="n">
        <v>0</v>
      </c>
      <c r="Q2416" s="4" t="n">
        <v>1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</row>
    <row r="2417" customFormat="false" ht="15" hidden="false" customHeight="false" outlineLevel="0" collapsed="false">
      <c r="A2417" s="4" t="s">
        <v>2601</v>
      </c>
      <c r="B2417" s="4" t="n">
        <v>1995</v>
      </c>
      <c r="C2417" s="4" t="str">
        <f aca="false">FLOOR(B2417,10)&amp;"s"</f>
        <v>1990s</v>
      </c>
      <c r="D2417" s="4" t="s">
        <v>2602</v>
      </c>
      <c r="E2417" s="25" t="str">
        <f aca="false">IF(G2417=1,"✓","")</f>
        <v/>
      </c>
      <c r="F2417" s="4" t="n">
        <v>1</v>
      </c>
      <c r="G2417" s="4" t="n">
        <f aca="false">IF(COUNTIF('Letterboxd Watched'!$E$2:$E$3000,M2417)&gt;0,1,0)</f>
        <v>0</v>
      </c>
      <c r="H2417" s="4" t="n">
        <v>2</v>
      </c>
      <c r="I2417" s="4" t="s">
        <v>213</v>
      </c>
      <c r="J2417" s="4" t="s">
        <v>49</v>
      </c>
      <c r="K2417" s="4" t="s">
        <v>3888</v>
      </c>
      <c r="L2417" s="48" t="str">
        <f aca="false">HYPERLINK("https://boxd.it/29XE","open")</f>
        <v>open</v>
      </c>
      <c r="M2417" s="4" t="str">
        <f aca="false">LOWER(A2417)&amp;"|"&amp;B2417</f>
        <v>the usual suspects|1995</v>
      </c>
      <c r="N2417" s="4" t="n">
        <v>1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</row>
    <row r="2418" customFormat="false" ht="15" hidden="false" customHeight="false" outlineLevel="0" collapsed="false">
      <c r="A2418" s="4" t="s">
        <v>1371</v>
      </c>
      <c r="B2418" s="4" t="n">
        <v>1985</v>
      </c>
      <c r="C2418" s="4" t="str">
        <f aca="false">FLOOR(B2418,10)&amp;"s"</f>
        <v>1980s</v>
      </c>
      <c r="D2418" s="4" t="s">
        <v>158</v>
      </c>
      <c r="E2418" s="25" t="str">
        <f aca="false">IF(G2418=1,"✓","")</f>
        <v/>
      </c>
      <c r="F2418" s="4" t="n">
        <v>2</v>
      </c>
      <c r="G2418" s="4" t="n">
        <f aca="false">IF(COUNTIF('Letterboxd Watched'!$E$2:$E$3000,M2418)&gt;0,1,0)</f>
        <v>0</v>
      </c>
      <c r="H2418" s="4" t="n">
        <v>3</v>
      </c>
      <c r="I2418" s="4" t="s">
        <v>213</v>
      </c>
      <c r="J2418" s="4" t="s">
        <v>53</v>
      </c>
      <c r="K2418" s="4" t="s">
        <v>5898</v>
      </c>
      <c r="L2418" s="48" t="str">
        <f aca="false">HYPERLINK("https://boxd.it/T0u","open")</f>
        <v>open</v>
      </c>
      <c r="M2418" s="4" t="str">
        <f aca="false">LOWER(A2418)&amp;"|"&amp;B2418</f>
        <v>vagabond|1985</v>
      </c>
      <c r="N2418" s="4" t="n">
        <v>0</v>
      </c>
      <c r="O2418" s="4" t="n">
        <v>0</v>
      </c>
      <c r="P2418" s="4" t="n">
        <v>0</v>
      </c>
      <c r="Q2418" s="4" t="n">
        <v>0</v>
      </c>
      <c r="R2418" s="4" t="n">
        <v>1</v>
      </c>
      <c r="S2418" s="4" t="n">
        <v>0</v>
      </c>
      <c r="T2418" s="4" t="n">
        <v>1</v>
      </c>
      <c r="U2418" s="4" t="n">
        <v>0</v>
      </c>
      <c r="V2418" s="4" t="n">
        <v>0</v>
      </c>
      <c r="W2418" s="4" t="n">
        <v>0</v>
      </c>
    </row>
    <row r="2419" customFormat="false" ht="15" hidden="false" customHeight="false" outlineLevel="0" collapsed="false">
      <c r="A2419" s="4" t="s">
        <v>2153</v>
      </c>
      <c r="B2419" s="4" t="n">
        <v>1970</v>
      </c>
      <c r="C2419" s="4" t="str">
        <f aca="false">FLOOR(B2419,10)&amp;"s"</f>
        <v>1970s</v>
      </c>
      <c r="D2419" s="4" t="s">
        <v>1340</v>
      </c>
      <c r="E2419" s="25" t="str">
        <f aca="false">IF(G2419=1,"✓","")</f>
        <v/>
      </c>
      <c r="F2419" s="4" t="n">
        <v>1</v>
      </c>
      <c r="G2419" s="4" t="n">
        <f aca="false">IF(COUNTIF('Letterboxd Watched'!$E$2:$E$3000,M2419)&gt;0,1,0)</f>
        <v>0</v>
      </c>
      <c r="H2419" s="4" t="n">
        <v>2</v>
      </c>
      <c r="I2419" s="4" t="s">
        <v>213</v>
      </c>
      <c r="J2419" s="4" t="s">
        <v>51</v>
      </c>
      <c r="K2419" s="4" t="s">
        <v>3992</v>
      </c>
      <c r="L2419" s="48" t="str">
        <f aca="false">HYPERLINK("https://boxd.it/NsC","open")</f>
        <v>open</v>
      </c>
      <c r="M2419" s="4" t="str">
        <f aca="false">LOWER(A2419)&amp;"|"&amp;B2419</f>
        <v>valerie and her week of wonders|1970</v>
      </c>
      <c r="N2419" s="4" t="n">
        <v>0</v>
      </c>
      <c r="O2419" s="4" t="n">
        <v>0</v>
      </c>
      <c r="P2419" s="4" t="n">
        <v>1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</row>
    <row r="2420" customFormat="false" ht="15" hidden="false" customHeight="false" outlineLevel="0" collapsed="false">
      <c r="A2420" s="4" t="s">
        <v>1671</v>
      </c>
      <c r="B2420" s="4" t="n">
        <v>1915</v>
      </c>
      <c r="C2420" s="4" t="str">
        <f aca="false">FLOOR(B2420,10)&amp;"s"</f>
        <v>1910s</v>
      </c>
      <c r="D2420" s="4" t="s">
        <v>1672</v>
      </c>
      <c r="E2420" s="25" t="str">
        <f aca="false">IF(G2420=1,"✓","")</f>
        <v/>
      </c>
      <c r="F2420" s="4" t="n">
        <v>1</v>
      </c>
      <c r="G2420" s="4" t="n">
        <f aca="false">IF(COUNTIF('Letterboxd Watched'!$E$2:$E$3000,M2420)&gt;0,1,0)</f>
        <v>0</v>
      </c>
      <c r="H2420" s="4" t="n">
        <v>2</v>
      </c>
      <c r="I2420" s="4" t="s">
        <v>213</v>
      </c>
      <c r="J2420" s="4" t="s">
        <v>50</v>
      </c>
      <c r="K2420" s="4" t="s">
        <v>3892</v>
      </c>
      <c r="L2420" s="48" t="str">
        <f aca="false">HYPERLINK("https://letterboxd.com/search/films/Les+Vampires+1915/","open")</f>
        <v>open</v>
      </c>
      <c r="M2420" s="4" t="str">
        <f aca="false">LOWER(A2420)&amp;"|"&amp;B2420</f>
        <v>les vampires|1915</v>
      </c>
      <c r="N2420" s="4" t="n">
        <v>0</v>
      </c>
      <c r="O2420" s="4" t="n">
        <v>1</v>
      </c>
      <c r="P2420" s="4" t="n">
        <v>0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</row>
    <row r="2421" customFormat="false" ht="15" hidden="false" customHeight="false" outlineLevel="0" collapsed="false">
      <c r="A2421" s="4" t="s">
        <v>1728</v>
      </c>
      <c r="B2421" s="4" t="n">
        <v>1932</v>
      </c>
      <c r="C2421" s="4" t="str">
        <f aca="false">FLOOR(B2421,10)&amp;"s"</f>
        <v>1930s</v>
      </c>
      <c r="D2421" s="4" t="s">
        <v>246</v>
      </c>
      <c r="E2421" s="25" t="str">
        <f aca="false">IF(G2421=1,"✓","")</f>
        <v/>
      </c>
      <c r="F2421" s="4" t="n">
        <v>1</v>
      </c>
      <c r="G2421" s="4" t="n">
        <f aca="false">IF(COUNTIF('Letterboxd Watched'!$E$2:$E$3000,M2421)&gt;0,1,0)</f>
        <v>0</v>
      </c>
      <c r="H2421" s="4" t="n">
        <v>2</v>
      </c>
      <c r="I2421" s="4" t="s">
        <v>213</v>
      </c>
      <c r="J2421" s="4" t="s">
        <v>51</v>
      </c>
      <c r="K2421" s="4" t="s">
        <v>3986</v>
      </c>
      <c r="L2421" s="48" t="str">
        <f aca="false">HYPERLINK("https://boxd.it/29DY","open")</f>
        <v>open</v>
      </c>
      <c r="M2421" s="4" t="str">
        <f aca="false">LOWER(A2421)&amp;"|"&amp;B2421</f>
        <v>vampyr|1932</v>
      </c>
      <c r="N2421" s="4" t="n">
        <v>0</v>
      </c>
      <c r="O2421" s="4" t="n">
        <v>0</v>
      </c>
      <c r="P2421" s="4" t="n">
        <v>1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</row>
    <row r="2422" customFormat="false" ht="15" hidden="false" customHeight="false" outlineLevel="0" collapsed="false">
      <c r="A2422" s="4" t="s">
        <v>1395</v>
      </c>
      <c r="B2422" s="4" t="n">
        <v>2001</v>
      </c>
      <c r="C2422" s="4" t="str">
        <f aca="false">FLOOR(B2422,10)&amp;"s"</f>
        <v>2000s</v>
      </c>
      <c r="D2422" s="4" t="s">
        <v>1376</v>
      </c>
      <c r="E2422" s="25" t="str">
        <f aca="false">IF(G2422=1,"✓","")</f>
        <v/>
      </c>
      <c r="F2422" s="4" t="n">
        <v>2</v>
      </c>
      <c r="G2422" s="4" t="n">
        <f aca="false">IF(COUNTIF('Letterboxd Watched'!$E$2:$E$3000,M2422)&gt;0,1,0)</f>
        <v>0</v>
      </c>
      <c r="H2422" s="4" t="n">
        <v>3</v>
      </c>
      <c r="I2422" s="4" t="s">
        <v>213</v>
      </c>
      <c r="J2422" s="4" t="s">
        <v>54</v>
      </c>
      <c r="K2422" s="4" t="s">
        <v>5153</v>
      </c>
      <c r="L2422" s="48" t="str">
        <f aca="false">HYPERLINK("https://boxd.it/27TK","open")</f>
        <v>open</v>
      </c>
      <c r="M2422" s="4" t="str">
        <f aca="false">LOWER(A2422)&amp;"|"&amp;B2422</f>
        <v>vanilla sky|2001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1</v>
      </c>
      <c r="T2422" s="4" t="n">
        <v>0</v>
      </c>
      <c r="U2422" s="4" t="n">
        <v>1</v>
      </c>
      <c r="V2422" s="4" t="n">
        <v>0</v>
      </c>
      <c r="W2422" s="4" t="n">
        <v>0</v>
      </c>
    </row>
    <row r="2423" customFormat="false" ht="15" hidden="false" customHeight="false" outlineLevel="0" collapsed="false">
      <c r="A2423" s="4" t="s">
        <v>598</v>
      </c>
      <c r="B2423" s="4" t="n">
        <v>1971</v>
      </c>
      <c r="C2423" s="4" t="str">
        <f aca="false">FLOOR(B2423,10)&amp;"s"</f>
        <v>1970s</v>
      </c>
      <c r="D2423" s="4" t="s">
        <v>599</v>
      </c>
      <c r="E2423" s="25" t="str">
        <f aca="false">IF(G2423=1,"✓","")</f>
        <v/>
      </c>
      <c r="F2423" s="4" t="n">
        <v>3</v>
      </c>
      <c r="G2423" s="4" t="n">
        <f aca="false">IF(COUNTIF('Letterboxd Watched'!$E$2:$E$3000,M2423)&gt;0,1,0)</f>
        <v>0</v>
      </c>
      <c r="H2423" s="4" t="n">
        <v>6</v>
      </c>
      <c r="I2423" s="4" t="s">
        <v>213</v>
      </c>
      <c r="J2423" s="4" t="s">
        <v>54</v>
      </c>
      <c r="K2423" s="4" t="s">
        <v>5899</v>
      </c>
      <c r="L2423" s="48" t="str">
        <f aca="false">HYPERLINK("https://letterboxd.com/search/films/Vanishing+Point+1971/","open")</f>
        <v>open</v>
      </c>
      <c r="M2423" s="4" t="str">
        <f aca="false">LOWER(A2423)&amp;"|"&amp;B2423</f>
        <v>vanishing point|1971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1</v>
      </c>
      <c r="T2423" s="4" t="n">
        <v>0</v>
      </c>
      <c r="U2423" s="4" t="n">
        <v>1</v>
      </c>
      <c r="V2423" s="4" t="n">
        <v>0</v>
      </c>
      <c r="W2423" s="4" t="n">
        <v>1</v>
      </c>
    </row>
    <row r="2424" customFormat="false" ht="15" hidden="false" customHeight="false" outlineLevel="0" collapsed="false">
      <c r="A2424" s="4" t="s">
        <v>835</v>
      </c>
      <c r="B2424" s="4" t="n">
        <v>1994</v>
      </c>
      <c r="C2424" s="4" t="str">
        <f aca="false">FLOOR(B2424,10)&amp;"s"</f>
        <v>1990s</v>
      </c>
      <c r="D2424" s="4" t="s">
        <v>813</v>
      </c>
      <c r="E2424" s="25" t="str">
        <f aca="false">IF(G2424=1,"✓","")</f>
        <v/>
      </c>
      <c r="F2424" s="4" t="n">
        <v>3</v>
      </c>
      <c r="G2424" s="4" t="n">
        <f aca="false">IF(COUNTIF('Letterboxd Watched'!$E$2:$E$3000,M2424)&gt;0,1,0)</f>
        <v>0</v>
      </c>
      <c r="H2424" s="4" t="n">
        <v>5</v>
      </c>
      <c r="I2424" s="4" t="s">
        <v>213</v>
      </c>
      <c r="J2424" s="4" t="s">
        <v>55</v>
      </c>
      <c r="K2424" s="4" t="s">
        <v>5900</v>
      </c>
      <c r="L2424" s="48" t="str">
        <f aca="false">HYPERLINK("https://boxd.it/1gMc","open")</f>
        <v>open</v>
      </c>
      <c r="M2424" s="4" t="str">
        <f aca="false">LOWER(A2424)&amp;"|"&amp;B2424</f>
        <v>vanya on 42nd street|1994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4" t="n">
        <v>1</v>
      </c>
      <c r="U2424" s="4" t="n">
        <v>0</v>
      </c>
      <c r="V2424" s="4" t="n">
        <v>0</v>
      </c>
      <c r="W2424" s="4" t="n">
        <v>1</v>
      </c>
    </row>
    <row r="2425" customFormat="false" ht="15" hidden="false" customHeight="false" outlineLevel="0" collapsed="false">
      <c r="A2425" s="4" t="s">
        <v>3316</v>
      </c>
      <c r="B2425" s="4" t="n">
        <v>1932</v>
      </c>
      <c r="C2425" s="4" t="str">
        <f aca="false">FLOOR(B2425,10)&amp;"s"</f>
        <v>1930s</v>
      </c>
      <c r="D2425" s="4" t="s">
        <v>722</v>
      </c>
      <c r="E2425" s="25" t="str">
        <f aca="false">IF(G2425=1,"✓","")</f>
        <v/>
      </c>
      <c r="F2425" s="4" t="n">
        <v>1</v>
      </c>
      <c r="G2425" s="4" t="n">
        <f aca="false">IF(COUNTIF('Letterboxd Watched'!$E$2:$E$3000,M2425)&gt;0,1,0)</f>
        <v>0</v>
      </c>
      <c r="H2425" s="4" t="n">
        <v>1</v>
      </c>
      <c r="I2425" s="4" t="s">
        <v>1327</v>
      </c>
      <c r="J2425" s="4" t="s">
        <v>54</v>
      </c>
      <c r="K2425" s="4" t="s">
        <v>4284</v>
      </c>
      <c r="L2425" s="48" t="str">
        <f aca="false">HYPERLINK("https://letterboxd.com/search/films/Veiled+Aristocrats+1932/","open")</f>
        <v>open</v>
      </c>
      <c r="M2425" s="4" t="str">
        <f aca="false">LOWER(A2425)&amp;"|"&amp;B2425</f>
        <v>veiled aristocrats|1932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1</v>
      </c>
      <c r="T2425" s="4" t="n">
        <v>0</v>
      </c>
      <c r="U2425" s="4" t="n">
        <v>0</v>
      </c>
      <c r="V2425" s="4" t="n">
        <v>0</v>
      </c>
      <c r="W2425" s="4" t="n">
        <v>0</v>
      </c>
    </row>
    <row r="2426" customFormat="false" ht="15" hidden="false" customHeight="false" outlineLevel="0" collapsed="false">
      <c r="A2426" s="4" t="s">
        <v>2689</v>
      </c>
      <c r="B2426" s="4" t="n">
        <v>1998</v>
      </c>
      <c r="C2426" s="4" t="str">
        <f aca="false">FLOOR(B2426,10)&amp;"s"</f>
        <v>1990s</v>
      </c>
      <c r="D2426" s="4" t="s">
        <v>718</v>
      </c>
      <c r="E2426" s="25" t="str">
        <f aca="false">IF(G2426=1,"✓","")</f>
        <v/>
      </c>
      <c r="F2426" s="4" t="n">
        <v>1</v>
      </c>
      <c r="G2426" s="4" t="n">
        <f aca="false">IF(COUNTIF('Letterboxd Watched'!$E$2:$E$3000,M2426)&gt;0,1,0)</f>
        <v>0</v>
      </c>
      <c r="H2426" s="4" t="n">
        <v>2</v>
      </c>
      <c r="I2426" s="4" t="s">
        <v>213</v>
      </c>
      <c r="J2426" s="4" t="s">
        <v>55</v>
      </c>
      <c r="K2426" s="4" t="s">
        <v>4366</v>
      </c>
      <c r="L2426" s="48" t="str">
        <f aca="false">HYPERLINK("https://boxd.it/2878","open")</f>
        <v>open</v>
      </c>
      <c r="M2426" s="4" t="str">
        <f aca="false">LOWER(A2426)&amp;"|"&amp;B2426</f>
        <v>velvet goldmine|1998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0</v>
      </c>
      <c r="S2426" s="4" t="n">
        <v>0</v>
      </c>
      <c r="T2426" s="4" t="n">
        <v>1</v>
      </c>
      <c r="U2426" s="4" t="n">
        <v>0</v>
      </c>
      <c r="V2426" s="4" t="n">
        <v>0</v>
      </c>
      <c r="W2426" s="4" t="n">
        <v>0</v>
      </c>
    </row>
    <row r="2427" customFormat="false" ht="15" hidden="false" customHeight="false" outlineLevel="0" collapsed="false">
      <c r="A2427" s="4" t="s">
        <v>2811</v>
      </c>
      <c r="B2427" s="4" t="n">
        <v>2004</v>
      </c>
      <c r="C2427" s="4" t="str">
        <f aca="false">FLOOR(B2427,10)&amp;"s"</f>
        <v>2000s</v>
      </c>
      <c r="D2427" s="4" t="s">
        <v>1549</v>
      </c>
      <c r="E2427" s="25" t="str">
        <f aca="false">IF(G2427=1,"✓","")</f>
        <v/>
      </c>
      <c r="F2427" s="4" t="n">
        <v>1</v>
      </c>
      <c r="G2427" s="4" t="n">
        <f aca="false">IF(COUNTIF('Letterboxd Watched'!$E$2:$E$3000,M2427)&gt;0,1,0)</f>
        <v>0</v>
      </c>
      <c r="H2427" s="4" t="n">
        <v>2</v>
      </c>
      <c r="I2427" s="4" t="s">
        <v>213</v>
      </c>
      <c r="J2427" s="4" t="s">
        <v>51</v>
      </c>
      <c r="K2427" s="4" t="s">
        <v>3982</v>
      </c>
      <c r="L2427" s="48" t="str">
        <f aca="false">HYPERLINK("https://boxd.it/1UCm","open")</f>
        <v>open</v>
      </c>
      <c r="M2427" s="4" t="str">
        <f aca="false">LOWER(A2427)&amp;"|"&amp;B2427</f>
        <v>vera drake|2004</v>
      </c>
      <c r="N2427" s="4" t="n">
        <v>0</v>
      </c>
      <c r="O2427" s="4" t="n">
        <v>0</v>
      </c>
      <c r="P2427" s="4" t="n">
        <v>1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</row>
    <row r="2428" customFormat="false" ht="15" hidden="false" customHeight="false" outlineLevel="0" collapsed="false">
      <c r="A2428" s="4" t="s">
        <v>1060</v>
      </c>
      <c r="B2428" s="4" t="n">
        <v>1982</v>
      </c>
      <c r="C2428" s="4" t="str">
        <f aca="false">FLOOR(B2428,10)&amp;"s"</f>
        <v>1980s</v>
      </c>
      <c r="D2428" s="4" t="s">
        <v>189</v>
      </c>
      <c r="E2428" s="25" t="str">
        <f aca="false">IF(G2428=1,"✓","")</f>
        <v>✓</v>
      </c>
      <c r="F2428" s="4" t="n">
        <v>2</v>
      </c>
      <c r="G2428" s="4" t="n">
        <f aca="false">IF(COUNTIF('Letterboxd Watched'!$E$2:$E$3000,M2428)&gt;0,1,0)</f>
        <v>1</v>
      </c>
      <c r="H2428" s="4" t="n">
        <v>4</v>
      </c>
      <c r="I2428" s="4" t="s">
        <v>213</v>
      </c>
      <c r="J2428" s="4" t="s">
        <v>53</v>
      </c>
      <c r="K2428" s="4" t="s">
        <v>5901</v>
      </c>
      <c r="L2428" s="48" t="str">
        <f aca="false">HYPERLINK("https://boxd.it/1y3Y","open")</f>
        <v>open</v>
      </c>
      <c r="M2428" s="4" t="str">
        <f aca="false">LOWER(A2428)&amp;"|"&amp;B2428</f>
        <v>the verdict|1982</v>
      </c>
      <c r="N2428" s="4" t="n">
        <v>0</v>
      </c>
      <c r="O2428" s="4" t="n">
        <v>0</v>
      </c>
      <c r="P2428" s="4" t="n">
        <v>0</v>
      </c>
      <c r="Q2428" s="4" t="n">
        <v>0</v>
      </c>
      <c r="R2428" s="4" t="n">
        <v>1</v>
      </c>
      <c r="S2428" s="4" t="n">
        <v>0</v>
      </c>
      <c r="T2428" s="4" t="n">
        <v>1</v>
      </c>
      <c r="U2428" s="4" t="n">
        <v>0</v>
      </c>
      <c r="V2428" s="4" t="n">
        <v>0</v>
      </c>
      <c r="W2428" s="4" t="n">
        <v>0</v>
      </c>
    </row>
    <row r="2429" customFormat="false" ht="15" hidden="false" customHeight="false" outlineLevel="0" collapsed="false">
      <c r="A2429" s="4" t="s">
        <v>2366</v>
      </c>
      <c r="B2429" s="4" t="n">
        <v>1982</v>
      </c>
      <c r="C2429" s="4" t="str">
        <f aca="false">FLOOR(B2429,10)&amp;"s"</f>
        <v>1980s</v>
      </c>
      <c r="D2429" s="4" t="s">
        <v>312</v>
      </c>
      <c r="E2429" s="25" t="str">
        <f aca="false">IF(G2429=1,"✓","")</f>
        <v/>
      </c>
      <c r="F2429" s="4" t="n">
        <v>1</v>
      </c>
      <c r="G2429" s="4" t="n">
        <f aca="false">IF(COUNTIF('Letterboxd Watched'!$E$2:$E$3000,M2429)&gt;0,1,0)</f>
        <v>0</v>
      </c>
      <c r="H2429" s="4" t="n">
        <v>2</v>
      </c>
      <c r="I2429" s="4" t="s">
        <v>213</v>
      </c>
      <c r="J2429" s="4" t="s">
        <v>53</v>
      </c>
      <c r="K2429" s="4" t="s">
        <v>312</v>
      </c>
      <c r="L2429" s="48" t="str">
        <f aca="false">HYPERLINK("https://boxd.it/273O","open")</f>
        <v>open</v>
      </c>
      <c r="M2429" s="4" t="str">
        <f aca="false">LOWER(A2429)&amp;"|"&amp;B2429</f>
        <v>veronika voss|1982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1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</row>
    <row r="2430" customFormat="false" ht="15" hidden="false" customHeight="false" outlineLevel="0" collapsed="false">
      <c r="A2430" s="4" t="s">
        <v>161</v>
      </c>
      <c r="B2430" s="4" t="n">
        <v>1958</v>
      </c>
      <c r="C2430" s="4" t="str">
        <f aca="false">FLOOR(B2430,10)&amp;"s"</f>
        <v>1950s</v>
      </c>
      <c r="D2430" s="4" t="s">
        <v>162</v>
      </c>
      <c r="E2430" s="25" t="str">
        <f aca="false">IF(G2430=1,"✓","")</f>
        <v/>
      </c>
      <c r="F2430" s="4" t="n">
        <v>7</v>
      </c>
      <c r="G2430" s="4" t="n">
        <f aca="false">IF(COUNTIF('Letterboxd Watched'!$E$2:$E$3000,M2430)&gt;0,1,0)</f>
        <v>0</v>
      </c>
      <c r="H2430" s="4" t="n">
        <v>19</v>
      </c>
      <c r="I2430" s="4" t="s">
        <v>144</v>
      </c>
      <c r="J2430" s="4" t="s">
        <v>50</v>
      </c>
      <c r="K2430" s="4" t="s">
        <v>5902</v>
      </c>
      <c r="L2430" s="48" t="str">
        <f aca="false">HYPERLINK("https://boxd.it/2apI","open")</f>
        <v>open</v>
      </c>
      <c r="M2430" s="4" t="str">
        <f aca="false">LOWER(A2430)&amp;"|"&amp;B2430</f>
        <v>vertigo|1958</v>
      </c>
      <c r="N2430" s="4" t="n">
        <v>0</v>
      </c>
      <c r="O2430" s="4" t="n">
        <v>1</v>
      </c>
      <c r="P2430" s="4" t="n">
        <v>0</v>
      </c>
      <c r="Q2430" s="4" t="n">
        <v>1</v>
      </c>
      <c r="R2430" s="4" t="n">
        <v>1</v>
      </c>
      <c r="S2430" s="4" t="n">
        <v>1</v>
      </c>
      <c r="T2430" s="4" t="n">
        <v>1</v>
      </c>
      <c r="U2430" s="4" t="n">
        <v>0</v>
      </c>
      <c r="V2430" s="4" t="n">
        <v>1</v>
      </c>
      <c r="W2430" s="4" t="n">
        <v>0</v>
      </c>
    </row>
    <row r="2431" customFormat="false" ht="15" hidden="false" customHeight="false" outlineLevel="0" collapsed="false">
      <c r="A2431" s="4" t="s">
        <v>3155</v>
      </c>
      <c r="B2431" s="4" t="n">
        <v>2018</v>
      </c>
      <c r="C2431" s="4" t="str">
        <f aca="false">FLOOR(B2431,10)&amp;"s"</f>
        <v>2010s</v>
      </c>
      <c r="D2431" s="4" t="s">
        <v>856</v>
      </c>
      <c r="E2431" s="25" t="str">
        <f aca="false">IF(G2431=1,"✓","")</f>
        <v>✓</v>
      </c>
      <c r="F2431" s="4" t="n">
        <v>1</v>
      </c>
      <c r="G2431" s="4" t="n">
        <f aca="false">IF(COUNTIF('Letterboxd Watched'!$E$2:$E$3000,M2431)&gt;0,1,0)</f>
        <v>1</v>
      </c>
      <c r="H2431" s="4" t="n">
        <v>2</v>
      </c>
      <c r="I2431" s="4" t="s">
        <v>213</v>
      </c>
      <c r="J2431" s="4" t="s">
        <v>55</v>
      </c>
      <c r="K2431" s="4" t="s">
        <v>4318</v>
      </c>
      <c r="L2431" s="48" t="str">
        <f aca="false">HYPERLINK("https://boxd.it/fcFY","open")</f>
        <v>open</v>
      </c>
      <c r="M2431" s="4" t="str">
        <f aca="false">LOWER(A2431)&amp;"|"&amp;B2431</f>
        <v>vice|2018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1</v>
      </c>
      <c r="U2431" s="4" t="n">
        <v>0</v>
      </c>
      <c r="V2431" s="4" t="n">
        <v>0</v>
      </c>
      <c r="W2431" s="4" t="n">
        <v>0</v>
      </c>
    </row>
    <row r="2432" customFormat="false" ht="15" hidden="false" customHeight="false" outlineLevel="0" collapsed="false">
      <c r="A2432" s="4" t="s">
        <v>1999</v>
      </c>
      <c r="B2432" s="4" t="n">
        <v>1961</v>
      </c>
      <c r="C2432" s="4" t="str">
        <f aca="false">FLOOR(B2432,10)&amp;"s"</f>
        <v>1960s</v>
      </c>
      <c r="D2432" s="4" t="s">
        <v>2000</v>
      </c>
      <c r="E2432" s="25" t="str">
        <f aca="false">IF(G2432=1,"✓","")</f>
        <v/>
      </c>
      <c r="F2432" s="4" t="n">
        <v>1</v>
      </c>
      <c r="G2432" s="4" t="n">
        <f aca="false">IF(COUNTIF('Letterboxd Watched'!$E$2:$E$3000,M2432)&gt;0,1,0)</f>
        <v>0</v>
      </c>
      <c r="H2432" s="4" t="n">
        <v>2</v>
      </c>
      <c r="I2432" s="4" t="s">
        <v>213</v>
      </c>
      <c r="J2432" s="4" t="s">
        <v>54</v>
      </c>
      <c r="K2432" s="4" t="s">
        <v>4296</v>
      </c>
      <c r="L2432" s="48" t="str">
        <f aca="false">HYPERLINK("https://letterboxd.com/search/films/Victim+1961/","open")</f>
        <v>open</v>
      </c>
      <c r="M2432" s="4" t="str">
        <f aca="false">LOWER(A2432)&amp;"|"&amp;B2432</f>
        <v>victim|1961</v>
      </c>
      <c r="N2432" s="4" t="n">
        <v>0</v>
      </c>
      <c r="O2432" s="4" t="n">
        <v>0</v>
      </c>
      <c r="P2432" s="4" t="n">
        <v>0</v>
      </c>
      <c r="Q2432" s="4" t="n">
        <v>0</v>
      </c>
      <c r="R2432" s="4" t="n">
        <v>0</v>
      </c>
      <c r="S2432" s="4" t="n">
        <v>1</v>
      </c>
      <c r="T2432" s="4" t="n">
        <v>0</v>
      </c>
      <c r="U2432" s="4" t="n">
        <v>0</v>
      </c>
      <c r="V2432" s="4" t="n">
        <v>0</v>
      </c>
      <c r="W2432" s="4" t="n">
        <v>0</v>
      </c>
    </row>
    <row r="2433" customFormat="false" ht="15" hidden="false" customHeight="false" outlineLevel="0" collapsed="false">
      <c r="A2433" s="4" t="s">
        <v>1223</v>
      </c>
      <c r="B2433" s="4" t="n">
        <v>2015</v>
      </c>
      <c r="C2433" s="4" t="str">
        <f aca="false">FLOOR(B2433,10)&amp;"s"</f>
        <v>2010s</v>
      </c>
      <c r="D2433" s="4" t="s">
        <v>1224</v>
      </c>
      <c r="E2433" s="25" t="str">
        <f aca="false">IF(G2433=1,"✓","")</f>
        <v/>
      </c>
      <c r="F2433" s="4" t="n">
        <v>2</v>
      </c>
      <c r="G2433" s="4" t="n">
        <f aca="false">IF(COUNTIF('Letterboxd Watched'!$E$2:$E$3000,M2433)&gt;0,1,0)</f>
        <v>0</v>
      </c>
      <c r="H2433" s="4" t="n">
        <v>4</v>
      </c>
      <c r="I2433" s="4" t="s">
        <v>213</v>
      </c>
      <c r="J2433" s="4" t="s">
        <v>49</v>
      </c>
      <c r="K2433" s="4" t="s">
        <v>5762</v>
      </c>
      <c r="L2433" s="48" t="str">
        <f aca="false">HYPERLINK("https://letterboxd.com/search/films/Victoria+2015/","open")</f>
        <v>open</v>
      </c>
      <c r="M2433" s="4" t="str">
        <f aca="false">LOWER(A2433)&amp;"|"&amp;B2433</f>
        <v>victoria|2015</v>
      </c>
      <c r="N2433" s="4" t="n">
        <v>1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1</v>
      </c>
      <c r="V2433" s="4" t="n">
        <v>0</v>
      </c>
      <c r="W2433" s="4" t="n">
        <v>0</v>
      </c>
    </row>
    <row r="2434" customFormat="false" ht="15" hidden="false" customHeight="false" outlineLevel="0" collapsed="false">
      <c r="A2434" s="4" t="s">
        <v>1462</v>
      </c>
      <c r="B2434" s="4" t="n">
        <v>1963</v>
      </c>
      <c r="C2434" s="4" t="str">
        <f aca="false">FLOOR(B2434,10)&amp;"s"</f>
        <v>1960s</v>
      </c>
      <c r="D2434" s="4" t="s">
        <v>1463</v>
      </c>
      <c r="E2434" s="25" t="str">
        <f aca="false">IF(G2434=1,"✓","")</f>
        <v/>
      </c>
      <c r="F2434" s="4" t="n">
        <v>1</v>
      </c>
      <c r="G2434" s="4" t="n">
        <f aca="false">IF(COUNTIF('Letterboxd Watched'!$E$2:$E$3000,M2434)&gt;0,1,0)</f>
        <v>0</v>
      </c>
      <c r="H2434" s="4" t="n">
        <v>3</v>
      </c>
      <c r="I2434" s="4" t="s">
        <v>144</v>
      </c>
      <c r="J2434" s="4" t="s">
        <v>51</v>
      </c>
      <c r="K2434" s="4" t="s">
        <v>4006</v>
      </c>
      <c r="L2434" s="48" t="str">
        <f aca="false">HYPERLINK("https://letterboxd.com/search/films/Vidas+Secas+1963/","open")</f>
        <v>open</v>
      </c>
      <c r="M2434" s="4" t="str">
        <f aca="false">LOWER(A2434)&amp;"|"&amp;B2434</f>
        <v>vidas secas|1963</v>
      </c>
      <c r="N2434" s="4" t="n">
        <v>0</v>
      </c>
      <c r="O2434" s="4" t="n">
        <v>0</v>
      </c>
      <c r="P2434" s="4" t="n">
        <v>1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</row>
    <row r="2435" customFormat="false" ht="15" hidden="false" customHeight="false" outlineLevel="0" collapsed="false">
      <c r="A2435" s="4" t="s">
        <v>315</v>
      </c>
      <c r="B2435" s="4" t="n">
        <v>1983</v>
      </c>
      <c r="C2435" s="4" t="str">
        <f aca="false">FLOOR(B2435,10)&amp;"s"</f>
        <v>1980s</v>
      </c>
      <c r="D2435" s="4" t="s">
        <v>316</v>
      </c>
      <c r="E2435" s="25" t="str">
        <f aca="false">IF(G2435=1,"✓","")</f>
        <v>✓</v>
      </c>
      <c r="F2435" s="4" t="n">
        <v>5</v>
      </c>
      <c r="G2435" s="4" t="n">
        <f aca="false">IF(COUNTIF('Letterboxd Watched'!$E$2:$E$3000,M2435)&gt;0,1,0)</f>
        <v>1</v>
      </c>
      <c r="H2435" s="4" t="n">
        <v>10</v>
      </c>
      <c r="I2435" s="4" t="s">
        <v>144</v>
      </c>
      <c r="J2435" s="4" t="s">
        <v>50</v>
      </c>
      <c r="K2435" s="4" t="s">
        <v>5903</v>
      </c>
      <c r="L2435" s="48" t="str">
        <f aca="false">HYPERLINK("https://boxd.it/29uC","open")</f>
        <v>open</v>
      </c>
      <c r="M2435" s="4" t="str">
        <f aca="false">LOWER(A2435)&amp;"|"&amp;B2435</f>
        <v>videodrome|1983</v>
      </c>
      <c r="N2435" s="4" t="n">
        <v>0</v>
      </c>
      <c r="O2435" s="4" t="n">
        <v>1</v>
      </c>
      <c r="P2435" s="4" t="n">
        <v>0</v>
      </c>
      <c r="Q2435" s="4" t="n">
        <v>1</v>
      </c>
      <c r="R2435" s="4" t="n">
        <v>1</v>
      </c>
      <c r="S2435" s="4" t="n">
        <v>0</v>
      </c>
      <c r="T2435" s="4" t="n">
        <v>0</v>
      </c>
      <c r="U2435" s="4" t="n">
        <v>0</v>
      </c>
      <c r="V2435" s="4" t="n">
        <v>1</v>
      </c>
      <c r="W2435" s="4" t="n">
        <v>0</v>
      </c>
    </row>
    <row r="2436" customFormat="false" ht="15" hidden="false" customHeight="false" outlineLevel="0" collapsed="false">
      <c r="A2436" s="4" t="s">
        <v>2256</v>
      </c>
      <c r="B2436" s="4" t="n">
        <v>1975</v>
      </c>
      <c r="C2436" s="4" t="str">
        <f aca="false">FLOOR(B2436,10)&amp;"s"</f>
        <v>1970s</v>
      </c>
      <c r="D2436" s="4" t="s">
        <v>2257</v>
      </c>
      <c r="E2436" s="25" t="str">
        <f aca="false">IF(G2436=1,"✓","")</f>
        <v/>
      </c>
      <c r="F2436" s="4" t="n">
        <v>1</v>
      </c>
      <c r="G2436" s="4" t="n">
        <f aca="false">IF(COUNTIF('Letterboxd Watched'!$E$2:$E$3000,M2436)&gt;0,1,0)</f>
        <v>0</v>
      </c>
      <c r="H2436" s="4" t="n">
        <v>2</v>
      </c>
      <c r="I2436" s="4" t="s">
        <v>213</v>
      </c>
      <c r="J2436" s="4" t="s">
        <v>51</v>
      </c>
      <c r="K2436" s="4" t="s">
        <v>3954</v>
      </c>
      <c r="L2436" s="48" t="str">
        <f aca="false">HYPERLINK("https://letterboxd.com/search/films/Violent+Rome+1975/","open")</f>
        <v>open</v>
      </c>
      <c r="M2436" s="4" t="str">
        <f aca="false">LOWER(A2436)&amp;"|"&amp;B2436</f>
        <v>violent rome|1975</v>
      </c>
      <c r="N2436" s="4" t="n">
        <v>0</v>
      </c>
      <c r="O2436" s="4" t="n">
        <v>0</v>
      </c>
      <c r="P2436" s="4" t="n">
        <v>1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</row>
    <row r="2437" customFormat="false" ht="15" hidden="false" customHeight="false" outlineLevel="0" collapsed="false">
      <c r="A2437" s="4" t="s">
        <v>1981</v>
      </c>
      <c r="B2437" s="4" t="n">
        <v>1960</v>
      </c>
      <c r="C2437" s="4" t="str">
        <f aca="false">FLOOR(B2437,10)&amp;"s"</f>
        <v>1960s</v>
      </c>
      <c r="D2437" s="4" t="s">
        <v>170</v>
      </c>
      <c r="E2437" s="25" t="str">
        <f aca="false">IF(G2437=1,"✓","")</f>
        <v/>
      </c>
      <c r="F2437" s="4" t="n">
        <v>1</v>
      </c>
      <c r="G2437" s="4" t="n">
        <f aca="false">IF(COUNTIF('Letterboxd Watched'!$E$2:$E$3000,M2437)&gt;0,1,0)</f>
        <v>0</v>
      </c>
      <c r="H2437" s="4" t="n">
        <v>2</v>
      </c>
      <c r="I2437" s="4" t="s">
        <v>213</v>
      </c>
      <c r="J2437" s="4" t="s">
        <v>53</v>
      </c>
      <c r="K2437" s="4" t="s">
        <v>170</v>
      </c>
      <c r="L2437" s="48" t="str">
        <f aca="false">HYPERLINK("https://boxd.it/1TjI","open")</f>
        <v>open</v>
      </c>
      <c r="M2437" s="4" t="str">
        <f aca="false">LOWER(A2437)&amp;"|"&amp;B2437</f>
        <v>the virgin spring|1960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1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</row>
    <row r="2438" customFormat="false" ht="15" hidden="false" customHeight="false" outlineLevel="0" collapsed="false">
      <c r="A2438" s="4" t="s">
        <v>662</v>
      </c>
      <c r="B2438" s="4" t="n">
        <v>1961</v>
      </c>
      <c r="C2438" s="4" t="str">
        <f aca="false">FLOOR(B2438,10)&amp;"s"</f>
        <v>1960s</v>
      </c>
      <c r="D2438" s="4" t="s">
        <v>402</v>
      </c>
      <c r="E2438" s="25" t="str">
        <f aca="false">IF(G2438=1,"✓","")</f>
        <v/>
      </c>
      <c r="F2438" s="4" t="n">
        <v>2</v>
      </c>
      <c r="G2438" s="4" t="n">
        <f aca="false">IF(COUNTIF('Letterboxd Watched'!$E$2:$E$3000,M2438)&gt;0,1,0)</f>
        <v>0</v>
      </c>
      <c r="H2438" s="4" t="n">
        <v>6</v>
      </c>
      <c r="I2438" s="4" t="s">
        <v>144</v>
      </c>
      <c r="J2438" s="4" t="s">
        <v>51</v>
      </c>
      <c r="K2438" s="4" t="s">
        <v>5904</v>
      </c>
      <c r="L2438" s="48" t="str">
        <f aca="false">HYPERLINK("https://boxd.it/24eE","open")</f>
        <v>open</v>
      </c>
      <c r="M2438" s="4" t="str">
        <f aca="false">LOWER(A2438)&amp;"|"&amp;B2438</f>
        <v>viridiana|1961</v>
      </c>
      <c r="N2438" s="4" t="n">
        <v>0</v>
      </c>
      <c r="O2438" s="4" t="n">
        <v>0</v>
      </c>
      <c r="P2438" s="4" t="n">
        <v>1</v>
      </c>
      <c r="Q2438" s="4" t="n">
        <v>0</v>
      </c>
      <c r="R2438" s="4" t="n">
        <v>1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</row>
    <row r="2439" customFormat="false" ht="15" hidden="false" customHeight="false" outlineLevel="0" collapsed="false">
      <c r="A2439" s="4" t="s">
        <v>2761</v>
      </c>
      <c r="B2439" s="4" t="n">
        <v>2001</v>
      </c>
      <c r="C2439" s="4" t="str">
        <f aca="false">FLOOR(B2439,10)&amp;"s"</f>
        <v>2000s</v>
      </c>
      <c r="D2439" s="4" t="s">
        <v>1127</v>
      </c>
      <c r="E2439" s="25" t="str">
        <f aca="false">IF(G2439=1,"✓","")</f>
        <v/>
      </c>
      <c r="F2439" s="4" t="n">
        <v>1</v>
      </c>
      <c r="G2439" s="4" t="n">
        <f aca="false">IF(COUNTIF('Letterboxd Watched'!$E$2:$E$3000,M2439)&gt;0,1,0)</f>
        <v>0</v>
      </c>
      <c r="H2439" s="4" t="n">
        <v>2</v>
      </c>
      <c r="I2439" s="4" t="s">
        <v>213</v>
      </c>
      <c r="J2439" s="4" t="s">
        <v>56</v>
      </c>
      <c r="K2439" s="4" t="s">
        <v>4410</v>
      </c>
      <c r="L2439" s="48" t="str">
        <f aca="false">HYPERLINK("https://boxd.it/24DE","open")</f>
        <v>open</v>
      </c>
      <c r="M2439" s="4" t="str">
        <f aca="false">LOWER(A2439)&amp;"|"&amp;B2439</f>
        <v>visitor q|2001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1</v>
      </c>
      <c r="V2439" s="4" t="n">
        <v>0</v>
      </c>
      <c r="W2439" s="4" t="n">
        <v>0</v>
      </c>
    </row>
    <row r="2440" customFormat="false" ht="15" hidden="false" customHeight="false" outlineLevel="0" collapsed="false">
      <c r="A2440" s="4" t="s">
        <v>2580</v>
      </c>
      <c r="B2440" s="4" t="n">
        <v>1994</v>
      </c>
      <c r="C2440" s="4" t="str">
        <f aca="false">FLOOR(B2440,10)&amp;"s"</f>
        <v>1990s</v>
      </c>
      <c r="D2440" s="4" t="s">
        <v>1165</v>
      </c>
      <c r="E2440" s="25" t="str">
        <f aca="false">IF(G2440=1,"✓","")</f>
        <v/>
      </c>
      <c r="F2440" s="4" t="n">
        <v>1</v>
      </c>
      <c r="G2440" s="4" t="n">
        <f aca="false">IF(COUNTIF('Letterboxd Watched'!$E$2:$E$3000,M2440)&gt;0,1,0)</f>
        <v>0</v>
      </c>
      <c r="H2440" s="4" t="n">
        <v>2</v>
      </c>
      <c r="I2440" s="4" t="s">
        <v>213</v>
      </c>
      <c r="J2440" s="4" t="s">
        <v>51</v>
      </c>
      <c r="K2440" s="4" t="s">
        <v>4018</v>
      </c>
      <c r="L2440" s="48" t="str">
        <f aca="false">HYPERLINK("https://boxd.it/2wsa","open")</f>
        <v>open</v>
      </c>
      <c r="M2440" s="4" t="str">
        <f aca="false">LOWER(A2440)&amp;"|"&amp;B2440</f>
        <v>vive l'amour|1994</v>
      </c>
      <c r="N2440" s="4" t="n">
        <v>0</v>
      </c>
      <c r="O2440" s="4" t="n">
        <v>0</v>
      </c>
      <c r="P2440" s="4" t="n">
        <v>1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</row>
    <row r="2441" customFormat="false" ht="15" hidden="false" customHeight="false" outlineLevel="0" collapsed="false">
      <c r="A2441" s="4" t="s">
        <v>962</v>
      </c>
      <c r="B2441" s="4" t="n">
        <v>1962</v>
      </c>
      <c r="C2441" s="4" t="str">
        <f aca="false">FLOOR(B2441,10)&amp;"s"</f>
        <v>1960s</v>
      </c>
      <c r="D2441" s="4" t="s">
        <v>152</v>
      </c>
      <c r="E2441" s="25" t="str">
        <f aca="false">IF(G2441=1,"✓","")</f>
        <v/>
      </c>
      <c r="F2441" s="4" t="n">
        <v>2</v>
      </c>
      <c r="G2441" s="4" t="n">
        <f aca="false">IF(COUNTIF('Letterboxd Watched'!$E$2:$E$3000,M2441)&gt;0,1,0)</f>
        <v>0</v>
      </c>
      <c r="H2441" s="4" t="n">
        <v>4</v>
      </c>
      <c r="I2441" s="4" t="s">
        <v>213</v>
      </c>
      <c r="J2441" s="4" t="s">
        <v>51</v>
      </c>
      <c r="K2441" s="4" t="s">
        <v>5704</v>
      </c>
      <c r="L2441" s="48" t="str">
        <f aca="false">HYPERLINK("https://boxd.it/28s6","open")</f>
        <v>open</v>
      </c>
      <c r="M2441" s="4" t="str">
        <f aca="false">LOWER(A2441)&amp;"|"&amp;B2441</f>
        <v>vivre sa vie|1962</v>
      </c>
      <c r="N2441" s="4" t="n">
        <v>0</v>
      </c>
      <c r="O2441" s="4" t="n">
        <v>0</v>
      </c>
      <c r="P2441" s="4" t="n">
        <v>1</v>
      </c>
      <c r="Q2441" s="4" t="n">
        <v>0</v>
      </c>
      <c r="R2441" s="4" t="n">
        <v>1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</row>
    <row r="2442" customFormat="false" ht="15" hidden="false" customHeight="false" outlineLevel="0" collapsed="false">
      <c r="A2442" s="4" t="s">
        <v>3449</v>
      </c>
      <c r="B2442" s="4" t="n">
        <v>1967</v>
      </c>
      <c r="C2442" s="4" t="str">
        <f aca="false">FLOOR(B2442,10)&amp;"s"</f>
        <v>1960s</v>
      </c>
      <c r="D2442" s="4" t="s">
        <v>3450</v>
      </c>
      <c r="E2442" s="25" t="str">
        <f aca="false">IF(G2442=1,"✓","")</f>
        <v/>
      </c>
      <c r="F2442" s="4" t="n">
        <v>1</v>
      </c>
      <c r="G2442" s="4" t="n">
        <f aca="false">IF(COUNTIF('Letterboxd Watched'!$E$2:$E$3000,M2442)&gt;0,1,0)</f>
        <v>0</v>
      </c>
      <c r="H2442" s="4" t="n">
        <v>1</v>
      </c>
      <c r="I2442" s="4" t="s">
        <v>1327</v>
      </c>
      <c r="J2442" s="4" t="s">
        <v>52</v>
      </c>
      <c r="K2442" s="4" t="s">
        <v>4064</v>
      </c>
      <c r="L2442" s="48" t="str">
        <f aca="false">HYPERLINK("https://letterboxd.com/search/films/Viy+1967/","open")</f>
        <v>open</v>
      </c>
      <c r="M2442" s="4" t="str">
        <f aca="false">LOWER(A2442)&amp;"|"&amp;B2442</f>
        <v>viy|1967</v>
      </c>
      <c r="N2442" s="4" t="n">
        <v>0</v>
      </c>
      <c r="O2442" s="4" t="n">
        <v>0</v>
      </c>
      <c r="P2442" s="4" t="n">
        <v>0</v>
      </c>
      <c r="Q2442" s="4" t="n">
        <v>1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</row>
    <row r="2443" customFormat="false" ht="15" hidden="false" customHeight="false" outlineLevel="0" collapsed="false">
      <c r="A2443" s="4" t="s">
        <v>3097</v>
      </c>
      <c r="B2443" s="4" t="n">
        <v>2016</v>
      </c>
      <c r="C2443" s="4" t="str">
        <f aca="false">FLOOR(B2443,10)&amp;"s"</f>
        <v>2010s</v>
      </c>
      <c r="D2443" s="4" t="s">
        <v>3098</v>
      </c>
      <c r="E2443" s="25" t="str">
        <f aca="false">IF(G2443=1,"✓","")</f>
        <v/>
      </c>
      <c r="F2443" s="4" t="n">
        <v>1</v>
      </c>
      <c r="G2443" s="4" t="n">
        <f aca="false">IF(COUNTIF('Letterboxd Watched'!$E$2:$E$3000,M2443)&gt;0,1,0)</f>
        <v>0</v>
      </c>
      <c r="H2443" s="4" t="n">
        <v>2</v>
      </c>
      <c r="I2443" s="4" t="s">
        <v>213</v>
      </c>
      <c r="J2443" s="4" t="s">
        <v>52</v>
      </c>
      <c r="K2443" s="4" t="s">
        <v>4080</v>
      </c>
      <c r="L2443" s="48" t="str">
        <f aca="false">HYPERLINK("https://letterboxd.com/search/films/The+Void+2016/","open")</f>
        <v>open</v>
      </c>
      <c r="M2443" s="4" t="str">
        <f aca="false">LOWER(A2443)&amp;"|"&amp;B2443</f>
        <v>the void|2016</v>
      </c>
      <c r="N2443" s="4" t="n">
        <v>0</v>
      </c>
      <c r="O2443" s="4" t="n">
        <v>0</v>
      </c>
      <c r="P2443" s="4" t="n">
        <v>0</v>
      </c>
      <c r="Q2443" s="4" t="n">
        <v>1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</row>
    <row r="2444" customFormat="false" ht="15" hidden="false" customHeight="false" outlineLevel="0" collapsed="false">
      <c r="A2444" s="4" t="s">
        <v>2860</v>
      </c>
      <c r="B2444" s="4" t="n">
        <v>2006</v>
      </c>
      <c r="C2444" s="4" t="str">
        <f aca="false">FLOOR(B2444,10)&amp;"s"</f>
        <v>2000s</v>
      </c>
      <c r="D2444" s="4" t="s">
        <v>1087</v>
      </c>
      <c r="E2444" s="25" t="str">
        <f aca="false">IF(G2444=1,"✓","")</f>
        <v/>
      </c>
      <c r="F2444" s="4" t="n">
        <v>1</v>
      </c>
      <c r="G2444" s="4" t="n">
        <f aca="false">IF(COUNTIF('Letterboxd Watched'!$E$2:$E$3000,M2444)&gt;0,1,0)</f>
        <v>0</v>
      </c>
      <c r="H2444" s="4" t="n">
        <v>2</v>
      </c>
      <c r="I2444" s="4" t="s">
        <v>213</v>
      </c>
      <c r="J2444" s="4" t="s">
        <v>53</v>
      </c>
      <c r="K2444" s="4" t="s">
        <v>1087</v>
      </c>
      <c r="L2444" s="48" t="str">
        <f aca="false">HYPERLINK("https://boxd.it/2aQO","open")</f>
        <v>open</v>
      </c>
      <c r="M2444" s="4" t="str">
        <f aca="false">LOWER(A2444)&amp;"|"&amp;B2444</f>
        <v>volver|2006</v>
      </c>
      <c r="N2444" s="4" t="n">
        <v>0</v>
      </c>
      <c r="O2444" s="4" t="n">
        <v>0</v>
      </c>
      <c r="P2444" s="4" t="n">
        <v>0</v>
      </c>
      <c r="Q2444" s="4" t="n">
        <v>0</v>
      </c>
      <c r="R2444" s="4" t="n">
        <v>1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</row>
    <row r="2445" customFormat="false" ht="15" hidden="false" customHeight="false" outlineLevel="0" collapsed="false">
      <c r="A2445" s="4" t="s">
        <v>3833</v>
      </c>
      <c r="B2445" s="4" t="n">
        <v>2016</v>
      </c>
      <c r="C2445" s="4" t="str">
        <f aca="false">FLOOR(B2445,10)&amp;"s"</f>
        <v>2010s</v>
      </c>
      <c r="D2445" s="4" t="s">
        <v>361</v>
      </c>
      <c r="E2445" s="25" t="str">
        <f aca="false">IF(G2445=1,"✓","")</f>
        <v/>
      </c>
      <c r="F2445" s="4" t="n">
        <v>1</v>
      </c>
      <c r="G2445" s="4" t="n">
        <f aca="false">IF(COUNTIF('Letterboxd Watched'!$E$2:$E$3000,M2445)&gt;0,1,0)</f>
        <v>0</v>
      </c>
      <c r="H2445" s="4" t="n">
        <v>1</v>
      </c>
      <c r="I2445" s="4" t="s">
        <v>1327</v>
      </c>
      <c r="J2445" s="4" t="s">
        <v>53</v>
      </c>
      <c r="K2445" s="4" t="s">
        <v>361</v>
      </c>
      <c r="L2445" s="48" t="str">
        <f aca="false">HYPERLINK("https://boxd.it/34Sw","open")</f>
        <v>open</v>
      </c>
      <c r="M2445" s="4" t="str">
        <f aca="false">LOWER(A2445)&amp;"|"&amp;B2445</f>
        <v>voyage of time: life's journey|2016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1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</row>
    <row r="2446" customFormat="false" ht="15" hidden="false" customHeight="false" outlineLevel="0" collapsed="false">
      <c r="A2446" s="4" t="s">
        <v>1484</v>
      </c>
      <c r="B2446" s="4" t="n">
        <v>1971</v>
      </c>
      <c r="C2446" s="4" t="str">
        <f aca="false">FLOOR(B2446,10)&amp;"s"</f>
        <v>1970s</v>
      </c>
      <c r="D2446" s="4" t="s">
        <v>1485</v>
      </c>
      <c r="E2446" s="25" t="str">
        <f aca="false">IF(G2446=1,"✓","")</f>
        <v/>
      </c>
      <c r="F2446" s="4" t="n">
        <v>1</v>
      </c>
      <c r="G2446" s="4" t="n">
        <f aca="false">IF(COUNTIF('Letterboxd Watched'!$E$2:$E$3000,M2446)&gt;0,1,0)</f>
        <v>0</v>
      </c>
      <c r="H2446" s="4" t="n">
        <v>3</v>
      </c>
      <c r="I2446" s="4" t="s">
        <v>144</v>
      </c>
      <c r="J2446" s="4" t="s">
        <v>51</v>
      </c>
      <c r="K2446" s="4" t="s">
        <v>3996</v>
      </c>
      <c r="L2446" s="48" t="str">
        <f aca="false">HYPERLINK("https://letterboxd.com/search/films/WR+Mysteries+of+the+Organism+1971/","open")</f>
        <v>open</v>
      </c>
      <c r="M2446" s="4" t="str">
        <f aca="false">LOWER(A2446)&amp;"|"&amp;B2446</f>
        <v>w.r.: mysteries of the organism|1971</v>
      </c>
      <c r="N2446" s="4" t="n">
        <v>0</v>
      </c>
      <c r="O2446" s="4" t="n">
        <v>0</v>
      </c>
      <c r="P2446" s="4" t="n">
        <v>1</v>
      </c>
      <c r="Q2446" s="4" t="n">
        <v>0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</row>
    <row r="2447" customFormat="false" ht="15" hidden="false" customHeight="false" outlineLevel="0" collapsed="false">
      <c r="A2447" s="4" t="s">
        <v>2998</v>
      </c>
      <c r="B2447" s="4" t="n">
        <v>2012</v>
      </c>
      <c r="C2447" s="4" t="str">
        <f aca="false">FLOOR(B2447,10)&amp;"s"</f>
        <v>2010s</v>
      </c>
      <c r="D2447" s="4" t="s">
        <v>2999</v>
      </c>
      <c r="E2447" s="25" t="str">
        <f aca="false">IF(G2447=1,"✓","")</f>
        <v/>
      </c>
      <c r="F2447" s="4" t="n">
        <v>1</v>
      </c>
      <c r="G2447" s="4" t="n">
        <f aca="false">IF(COUNTIF('Letterboxd Watched'!$E$2:$E$3000,M2447)&gt;0,1,0)</f>
        <v>0</v>
      </c>
      <c r="H2447" s="4" t="n">
        <v>2</v>
      </c>
      <c r="I2447" s="4" t="s">
        <v>213</v>
      </c>
      <c r="J2447" s="4" t="s">
        <v>51</v>
      </c>
      <c r="K2447" s="4" t="s">
        <v>4034</v>
      </c>
      <c r="L2447" s="48" t="str">
        <f aca="false">HYPERLINK("https://letterboxd.com/search/films/Wadjda+2012/","open")</f>
        <v>open</v>
      </c>
      <c r="M2447" s="4" t="str">
        <f aca="false">LOWER(A2447)&amp;"|"&amp;B2447</f>
        <v>wadjda|2012</v>
      </c>
      <c r="N2447" s="4" t="n">
        <v>0</v>
      </c>
      <c r="O2447" s="4" t="n">
        <v>0</v>
      </c>
      <c r="P2447" s="4" t="n">
        <v>1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</row>
    <row r="2448" customFormat="false" ht="15" hidden="false" customHeight="false" outlineLevel="0" collapsed="false">
      <c r="A2448" s="4" t="s">
        <v>2671</v>
      </c>
      <c r="B2448" s="4" t="n">
        <v>1997</v>
      </c>
      <c r="C2448" s="4" t="str">
        <f aca="false">FLOOR(B2448,10)&amp;"s"</f>
        <v>1990s</v>
      </c>
      <c r="D2448" s="4" t="s">
        <v>2374</v>
      </c>
      <c r="E2448" s="25" t="str">
        <f aca="false">IF(G2448=1,"✓","")</f>
        <v>✓</v>
      </c>
      <c r="F2448" s="4" t="n">
        <v>1</v>
      </c>
      <c r="G2448" s="4" t="n">
        <f aca="false">IF(COUNTIF('Letterboxd Watched'!$E$2:$E$3000,M2448)&gt;0,1,0)</f>
        <v>1</v>
      </c>
      <c r="H2448" s="4" t="n">
        <v>2</v>
      </c>
      <c r="I2448" s="4" t="s">
        <v>213</v>
      </c>
      <c r="J2448" s="4" t="s">
        <v>52</v>
      </c>
      <c r="K2448" s="4" t="s">
        <v>4100</v>
      </c>
      <c r="L2448" s="48" t="str">
        <f aca="false">HYPERLINK("https://boxd.it/2a3W","open")</f>
        <v>open</v>
      </c>
      <c r="M2448" s="4" t="str">
        <f aca="false">LOWER(A2448)&amp;"|"&amp;B2448</f>
        <v>wag the dog|1997</v>
      </c>
      <c r="N2448" s="4" t="n">
        <v>0</v>
      </c>
      <c r="O2448" s="4" t="n">
        <v>0</v>
      </c>
      <c r="P2448" s="4" t="n">
        <v>0</v>
      </c>
      <c r="Q2448" s="4" t="n">
        <v>1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</row>
    <row r="2449" customFormat="false" ht="15" hidden="false" customHeight="false" outlineLevel="0" collapsed="false">
      <c r="A2449" s="4" t="s">
        <v>1316</v>
      </c>
      <c r="B2449" s="4" t="n">
        <v>1953</v>
      </c>
      <c r="C2449" s="4" t="str">
        <f aca="false">FLOOR(B2449,10)&amp;"s"</f>
        <v>1950s</v>
      </c>
      <c r="D2449" s="4" t="s">
        <v>1317</v>
      </c>
      <c r="E2449" s="25" t="str">
        <f aca="false">IF(G2449=1,"✓","")</f>
        <v/>
      </c>
      <c r="F2449" s="4" t="n">
        <v>2</v>
      </c>
      <c r="G2449" s="4" t="n">
        <f aca="false">IF(COUNTIF('Letterboxd Watched'!$E$2:$E$3000,M2449)&gt;0,1,0)</f>
        <v>0</v>
      </c>
      <c r="H2449" s="4" t="n">
        <v>3</v>
      </c>
      <c r="I2449" s="4" t="s">
        <v>213</v>
      </c>
      <c r="J2449" s="4" t="s">
        <v>52</v>
      </c>
      <c r="K2449" s="4" t="s">
        <v>5905</v>
      </c>
      <c r="L2449" s="48" t="str">
        <f aca="false">HYPERLINK("https://boxd.it/2aSK","open")</f>
        <v>open</v>
      </c>
      <c r="M2449" s="4" t="str">
        <f aca="false">LOWER(A2449)&amp;"|"&amp;B2449</f>
        <v>the wages of fear|1953</v>
      </c>
      <c r="N2449" s="4" t="n">
        <v>0</v>
      </c>
      <c r="O2449" s="4" t="n">
        <v>0</v>
      </c>
      <c r="P2449" s="4" t="n">
        <v>0</v>
      </c>
      <c r="Q2449" s="4" t="n">
        <v>1</v>
      </c>
      <c r="R2449" s="4" t="n">
        <v>0</v>
      </c>
      <c r="S2449" s="4" t="n">
        <v>0</v>
      </c>
      <c r="T2449" s="4" t="n">
        <v>0</v>
      </c>
      <c r="U2449" s="4" t="n">
        <v>1</v>
      </c>
      <c r="V2449" s="4" t="n">
        <v>0</v>
      </c>
      <c r="W2449" s="4" t="n">
        <v>0</v>
      </c>
    </row>
    <row r="2450" customFormat="false" ht="15" hidden="false" customHeight="false" outlineLevel="0" collapsed="false">
      <c r="A2450" s="4" t="s">
        <v>3356</v>
      </c>
      <c r="B2450" s="4" t="n">
        <v>1950</v>
      </c>
      <c r="C2450" s="4" t="str">
        <f aca="false">FLOOR(B2450,10)&amp;"s"</f>
        <v>1950s</v>
      </c>
      <c r="D2450" s="4" t="s">
        <v>205</v>
      </c>
      <c r="E2450" s="25" t="str">
        <f aca="false">IF(G2450=1,"✓","")</f>
        <v/>
      </c>
      <c r="F2450" s="4" t="n">
        <v>1</v>
      </c>
      <c r="G2450" s="4" t="n">
        <f aca="false">IF(COUNTIF('Letterboxd Watched'!$E$2:$E$3000,M2450)&gt;0,1,0)</f>
        <v>0</v>
      </c>
      <c r="H2450" s="4" t="n">
        <v>1</v>
      </c>
      <c r="I2450" s="4" t="s">
        <v>1327</v>
      </c>
      <c r="J2450" s="4" t="s">
        <v>53</v>
      </c>
      <c r="K2450" s="4" t="s">
        <v>205</v>
      </c>
      <c r="L2450" s="48" t="str">
        <f aca="false">HYPERLINK("https://letterboxd.com/search/films/Wagon+Master+1950/","open")</f>
        <v>open</v>
      </c>
      <c r="M2450" s="4" t="str">
        <f aca="false">LOWER(A2450)&amp;"|"&amp;B2450</f>
        <v>wagon master|1950</v>
      </c>
      <c r="N2450" s="4" t="n">
        <v>0</v>
      </c>
      <c r="O2450" s="4" t="n">
        <v>0</v>
      </c>
      <c r="P2450" s="4" t="n">
        <v>0</v>
      </c>
      <c r="Q2450" s="4" t="n">
        <v>0</v>
      </c>
      <c r="R2450" s="4" t="n">
        <v>1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0</v>
      </c>
    </row>
    <row r="2451" customFormat="false" ht="15" hidden="false" customHeight="false" outlineLevel="0" collapsed="false">
      <c r="A2451" s="4" t="s">
        <v>1227</v>
      </c>
      <c r="B2451" s="4" t="n">
        <v>2016</v>
      </c>
      <c r="C2451" s="4" t="str">
        <f aca="false">FLOOR(B2451,10)&amp;"s"</f>
        <v>2010s</v>
      </c>
      <c r="D2451" s="4" t="s">
        <v>861</v>
      </c>
      <c r="E2451" s="25" t="str">
        <f aca="false">IF(G2451=1,"✓","")</f>
        <v/>
      </c>
      <c r="F2451" s="4" t="n">
        <v>2</v>
      </c>
      <c r="G2451" s="4" t="n">
        <f aca="false">IF(COUNTIF('Letterboxd Watched'!$E$2:$E$3000,M2451)&gt;0,1,0)</f>
        <v>0</v>
      </c>
      <c r="H2451" s="4" t="n">
        <v>4</v>
      </c>
      <c r="I2451" s="4" t="s">
        <v>213</v>
      </c>
      <c r="J2451" s="4" t="s">
        <v>51</v>
      </c>
      <c r="K2451" s="4" t="s">
        <v>5840</v>
      </c>
      <c r="L2451" s="48" t="str">
        <f aca="false">HYPERLINK("https://boxd.it/9fLy","open")</f>
        <v>open</v>
      </c>
      <c r="M2451" s="4" t="str">
        <f aca="false">LOWER(A2451)&amp;"|"&amp;B2451</f>
        <v>the wailing|2016</v>
      </c>
      <c r="N2451" s="4" t="n">
        <v>0</v>
      </c>
      <c r="O2451" s="4" t="n">
        <v>0</v>
      </c>
      <c r="P2451" s="4" t="n">
        <v>1</v>
      </c>
      <c r="Q2451" s="4" t="n">
        <v>1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</row>
    <row r="2452" customFormat="false" ht="15" hidden="false" customHeight="false" outlineLevel="0" collapsed="false">
      <c r="A2452" s="4" t="s">
        <v>2635</v>
      </c>
      <c r="B2452" s="4" t="n">
        <v>1996</v>
      </c>
      <c r="C2452" s="4" t="str">
        <f aca="false">FLOOR(B2452,10)&amp;"s"</f>
        <v>1990s</v>
      </c>
      <c r="D2452" s="4" t="s">
        <v>2636</v>
      </c>
      <c r="E2452" s="25" t="str">
        <f aca="false">IF(G2452=1,"✓","")</f>
        <v/>
      </c>
      <c r="F2452" s="4" t="n">
        <v>1</v>
      </c>
      <c r="G2452" s="4" t="n">
        <f aca="false">IF(COUNTIF('Letterboxd Watched'!$E$2:$E$3000,M2452)&gt;0,1,0)</f>
        <v>0</v>
      </c>
      <c r="H2452" s="4" t="n">
        <v>2</v>
      </c>
      <c r="I2452" s="4" t="s">
        <v>213</v>
      </c>
      <c r="J2452" s="4" t="s">
        <v>52</v>
      </c>
      <c r="K2452" s="4" t="s">
        <v>4104</v>
      </c>
      <c r="L2452" s="48" t="str">
        <f aca="false">HYPERLINK("https://boxd.it/1K4E","open")</f>
        <v>open</v>
      </c>
      <c r="M2452" s="4" t="str">
        <f aca="false">LOWER(A2452)&amp;"|"&amp;B2452</f>
        <v>waiting for guffman|1996</v>
      </c>
      <c r="N2452" s="4" t="n">
        <v>0</v>
      </c>
      <c r="O2452" s="4" t="n">
        <v>0</v>
      </c>
      <c r="P2452" s="4" t="n">
        <v>0</v>
      </c>
      <c r="Q2452" s="4" t="n">
        <v>1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0</v>
      </c>
    </row>
    <row r="2453" customFormat="false" ht="15" hidden="false" customHeight="false" outlineLevel="0" collapsed="false">
      <c r="A2453" s="4" t="s">
        <v>2169</v>
      </c>
      <c r="B2453" s="4" t="n">
        <v>1971</v>
      </c>
      <c r="C2453" s="4" t="str">
        <f aca="false">FLOOR(B2453,10)&amp;"s"</f>
        <v>1970s</v>
      </c>
      <c r="D2453" s="4" t="s">
        <v>2170</v>
      </c>
      <c r="E2453" s="25" t="str">
        <f aca="false">IF(G2453=1,"✓","")</f>
        <v/>
      </c>
      <c r="F2453" s="4" t="n">
        <v>1</v>
      </c>
      <c r="G2453" s="4" t="n">
        <f aca="false">IF(COUNTIF('Letterboxd Watched'!$E$2:$E$3000,M2453)&gt;0,1,0)</f>
        <v>0</v>
      </c>
      <c r="H2453" s="4" t="n">
        <v>2</v>
      </c>
      <c r="I2453" s="4" t="s">
        <v>213</v>
      </c>
      <c r="J2453" s="4" t="s">
        <v>51</v>
      </c>
      <c r="K2453" s="4" t="s">
        <v>4038</v>
      </c>
      <c r="L2453" s="48" t="str">
        <f aca="false">HYPERLINK("https://boxd.it/1tWk","open")</f>
        <v>open</v>
      </c>
      <c r="M2453" s="4" t="str">
        <f aca="false">LOWER(A2453)&amp;"|"&amp;B2453</f>
        <v>wake in fright|1971</v>
      </c>
      <c r="N2453" s="4" t="n">
        <v>0</v>
      </c>
      <c r="O2453" s="4" t="n">
        <v>0</v>
      </c>
      <c r="P2453" s="4" t="n">
        <v>1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</row>
    <row r="2454" customFormat="false" ht="15" hidden="false" customHeight="false" outlineLevel="0" collapsed="false">
      <c r="A2454" s="4" t="s">
        <v>633</v>
      </c>
      <c r="B2454" s="4" t="n">
        <v>2001</v>
      </c>
      <c r="C2454" s="4" t="str">
        <f aca="false">FLOOR(B2454,10)&amp;"s"</f>
        <v>2000s</v>
      </c>
      <c r="D2454" s="4" t="s">
        <v>320</v>
      </c>
      <c r="E2454" s="25" t="str">
        <f aca="false">IF(G2454=1,"✓","")</f>
        <v>✓</v>
      </c>
      <c r="F2454" s="4" t="n">
        <v>3</v>
      </c>
      <c r="G2454" s="4" t="n">
        <f aca="false">IF(COUNTIF('Letterboxd Watched'!$E$2:$E$3000,M2454)&gt;0,1,0)</f>
        <v>1</v>
      </c>
      <c r="H2454" s="4" t="n">
        <v>6</v>
      </c>
      <c r="I2454" s="4" t="s">
        <v>213</v>
      </c>
      <c r="J2454" s="4" t="s">
        <v>52</v>
      </c>
      <c r="K2454" s="4" t="s">
        <v>5906</v>
      </c>
      <c r="L2454" s="48" t="str">
        <f aca="false">HYPERLINK("https://boxd.it/1Zdc","open")</f>
        <v>open</v>
      </c>
      <c r="M2454" s="4" t="str">
        <f aca="false">LOWER(A2454)&amp;"|"&amp;B2454</f>
        <v>waking life|2001</v>
      </c>
      <c r="N2454" s="4" t="n">
        <v>0</v>
      </c>
      <c r="O2454" s="4" t="n">
        <v>0</v>
      </c>
      <c r="P2454" s="4" t="n">
        <v>0</v>
      </c>
      <c r="Q2454" s="4" t="n">
        <v>1</v>
      </c>
      <c r="R2454" s="4" t="n">
        <v>1</v>
      </c>
      <c r="S2454" s="4" t="n">
        <v>0</v>
      </c>
      <c r="T2454" s="4" t="n">
        <v>1</v>
      </c>
      <c r="U2454" s="4" t="n">
        <v>0</v>
      </c>
      <c r="V2454" s="4" t="n">
        <v>0</v>
      </c>
      <c r="W2454" s="4" t="n">
        <v>0</v>
      </c>
    </row>
    <row r="2455" customFormat="false" ht="15" hidden="false" customHeight="false" outlineLevel="0" collapsed="false">
      <c r="A2455" s="4" t="s">
        <v>2876</v>
      </c>
      <c r="B2455" s="4" t="n">
        <v>2007</v>
      </c>
      <c r="C2455" s="4" t="str">
        <f aca="false">FLOOR(B2455,10)&amp;"s"</f>
        <v>2000s</v>
      </c>
      <c r="D2455" s="4" t="s">
        <v>2877</v>
      </c>
      <c r="E2455" s="25" t="str">
        <f aca="false">IF(G2455=1,"✓","")</f>
        <v/>
      </c>
      <c r="F2455" s="4" t="n">
        <v>1</v>
      </c>
      <c r="G2455" s="4" t="n">
        <f aca="false">IF(COUNTIF('Letterboxd Watched'!$E$2:$E$3000,M2455)&gt;0,1,0)</f>
        <v>0</v>
      </c>
      <c r="H2455" s="4" t="n">
        <v>2</v>
      </c>
      <c r="I2455" s="4" t="s">
        <v>213</v>
      </c>
      <c r="J2455" s="4" t="s">
        <v>52</v>
      </c>
      <c r="K2455" s="4" t="s">
        <v>4102</v>
      </c>
      <c r="L2455" s="48" t="str">
        <f aca="false">HYPERLINK("https://boxd.it/21wK","open")</f>
        <v>open</v>
      </c>
      <c r="M2455" s="4" t="str">
        <f aca="false">LOWER(A2455)&amp;"|"&amp;B2455</f>
        <v>walk hard: the dewey cox story|2007</v>
      </c>
      <c r="N2455" s="4" t="n">
        <v>0</v>
      </c>
      <c r="O2455" s="4" t="n">
        <v>0</v>
      </c>
      <c r="P2455" s="4" t="n">
        <v>0</v>
      </c>
      <c r="Q2455" s="4" t="n">
        <v>1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</row>
    <row r="2456" customFormat="false" ht="15" hidden="false" customHeight="false" outlineLevel="0" collapsed="false">
      <c r="A2456" s="4" t="s">
        <v>787</v>
      </c>
      <c r="B2456" s="4" t="n">
        <v>1971</v>
      </c>
      <c r="C2456" s="4" t="str">
        <f aca="false">FLOOR(B2456,10)&amp;"s"</f>
        <v>1970s</v>
      </c>
      <c r="D2456" s="4" t="s">
        <v>391</v>
      </c>
      <c r="E2456" s="25" t="str">
        <f aca="false">IF(G2456=1,"✓","")</f>
        <v/>
      </c>
      <c r="F2456" s="4" t="n">
        <v>3</v>
      </c>
      <c r="G2456" s="4" t="n">
        <f aca="false">IF(COUNTIF('Letterboxd Watched'!$E$2:$E$3000,M2456)&gt;0,1,0)</f>
        <v>0</v>
      </c>
      <c r="H2456" s="4" t="n">
        <v>5</v>
      </c>
      <c r="I2456" s="4" t="s">
        <v>213</v>
      </c>
      <c r="J2456" s="4" t="s">
        <v>51</v>
      </c>
      <c r="K2456" s="4" t="s">
        <v>5907</v>
      </c>
      <c r="L2456" s="48" t="str">
        <f aca="false">HYPERLINK("https://boxd.it/1bsG","open")</f>
        <v>open</v>
      </c>
      <c r="M2456" s="4" t="str">
        <f aca="false">LOWER(A2456)&amp;"|"&amp;B2456</f>
        <v>walkabout|1971</v>
      </c>
      <c r="N2456" s="4" t="n">
        <v>0</v>
      </c>
      <c r="O2456" s="4" t="n">
        <v>0</v>
      </c>
      <c r="P2456" s="4" t="n">
        <v>1</v>
      </c>
      <c r="Q2456" s="4" t="n">
        <v>1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0</v>
      </c>
    </row>
    <row r="2457" customFormat="false" ht="15" hidden="false" customHeight="false" outlineLevel="0" collapsed="false">
      <c r="A2457" s="4" t="s">
        <v>3806</v>
      </c>
      <c r="B2457" s="4" t="n">
        <v>2012</v>
      </c>
      <c r="C2457" s="4" t="str">
        <f aca="false">FLOOR(B2457,10)&amp;"s"</f>
        <v>2010s</v>
      </c>
      <c r="D2457" s="4" t="s">
        <v>3807</v>
      </c>
      <c r="E2457" s="25" t="str">
        <f aca="false">IF(G2457=1,"✓","")</f>
        <v/>
      </c>
      <c r="F2457" s="4" t="n">
        <v>1</v>
      </c>
      <c r="G2457" s="4" t="n">
        <f aca="false">IF(COUNTIF('Letterboxd Watched'!$E$2:$E$3000,M2457)&gt;0,1,0)</f>
        <v>0</v>
      </c>
      <c r="H2457" s="4" t="n">
        <v>1</v>
      </c>
      <c r="I2457" s="4" t="s">
        <v>1327</v>
      </c>
      <c r="J2457" s="4" t="s">
        <v>55</v>
      </c>
      <c r="K2457" s="4" t="s">
        <v>4334</v>
      </c>
      <c r="L2457" s="48" t="str">
        <f aca="false">HYPERLINK("https://letterboxd.com/search/films/The+Wall+2012/","open")</f>
        <v>open</v>
      </c>
      <c r="M2457" s="4" t="str">
        <f aca="false">LOWER(A2457)&amp;"|"&amp;B2457</f>
        <v>the wall|2012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1</v>
      </c>
      <c r="U2457" s="4" t="n">
        <v>0</v>
      </c>
      <c r="V2457" s="4" t="n">
        <v>0</v>
      </c>
      <c r="W2457" s="4" t="n">
        <v>0</v>
      </c>
    </row>
    <row r="2458" customFormat="false" ht="15" hidden="false" customHeight="false" outlineLevel="0" collapsed="false">
      <c r="A2458" s="4" t="s">
        <v>1604</v>
      </c>
      <c r="B2458" s="4" t="n">
        <v>2008</v>
      </c>
      <c r="C2458" s="4" t="str">
        <f aca="false">FLOOR(B2458,10)&amp;"s"</f>
        <v>2000s</v>
      </c>
      <c r="D2458" s="4" t="s">
        <v>1605</v>
      </c>
      <c r="E2458" s="25" t="str">
        <f aca="false">IF(G2458=1,"✓","")</f>
        <v>✓</v>
      </c>
      <c r="F2458" s="4" t="n">
        <v>1</v>
      </c>
      <c r="G2458" s="4" t="n">
        <f aca="false">IF(COUNTIF('Letterboxd Watched'!$E$2:$E$3000,M2458)&gt;0,1,0)</f>
        <v>1</v>
      </c>
      <c r="H2458" s="4" t="n">
        <v>3</v>
      </c>
      <c r="I2458" s="4" t="s">
        <v>144</v>
      </c>
      <c r="J2458" s="4" t="s">
        <v>52</v>
      </c>
      <c r="K2458" s="4" t="s">
        <v>4168</v>
      </c>
      <c r="L2458" s="48" t="str">
        <f aca="false">HYPERLINK("https://boxd.it/1VEo","open")</f>
        <v>open</v>
      </c>
      <c r="M2458" s="4" t="str">
        <f aca="false">LOWER(A2458)&amp;"|"&amp;B2458</f>
        <v>wall·e|2008</v>
      </c>
      <c r="N2458" s="4" t="n">
        <v>0</v>
      </c>
      <c r="O2458" s="4" t="n">
        <v>0</v>
      </c>
      <c r="P2458" s="4" t="n">
        <v>0</v>
      </c>
      <c r="Q2458" s="4" t="n">
        <v>1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</row>
    <row r="2459" customFormat="false" ht="15" hidden="false" customHeight="false" outlineLevel="0" collapsed="false">
      <c r="A2459" s="4" t="s">
        <v>1535</v>
      </c>
      <c r="B2459" s="4" t="n">
        <v>1987</v>
      </c>
      <c r="C2459" s="4" t="str">
        <f aca="false">FLOOR(B2459,10)&amp;"s"</f>
        <v>1980s</v>
      </c>
      <c r="D2459" s="4" t="s">
        <v>816</v>
      </c>
      <c r="E2459" s="25" t="str">
        <f aca="false">IF(G2459=1,"✓","")</f>
        <v>✓</v>
      </c>
      <c r="F2459" s="4" t="n">
        <v>1</v>
      </c>
      <c r="G2459" s="4" t="n">
        <f aca="false">IF(COUNTIF('Letterboxd Watched'!$E$2:$E$3000,M2459)&gt;0,1,0)</f>
        <v>1</v>
      </c>
      <c r="H2459" s="4" t="n">
        <v>3</v>
      </c>
      <c r="I2459" s="4" t="s">
        <v>144</v>
      </c>
      <c r="J2459" s="4" t="s">
        <v>55</v>
      </c>
      <c r="K2459" s="4" t="s">
        <v>4314</v>
      </c>
      <c r="L2459" s="48" t="str">
        <f aca="false">HYPERLINK("https://boxd.it/1VFG","open")</f>
        <v>open</v>
      </c>
      <c r="M2459" s="4" t="str">
        <f aca="false">LOWER(A2459)&amp;"|"&amp;B2459</f>
        <v>wall street|1987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1</v>
      </c>
      <c r="U2459" s="4" t="n">
        <v>0</v>
      </c>
      <c r="V2459" s="4" t="n">
        <v>0</v>
      </c>
      <c r="W2459" s="4" t="n">
        <v>0</v>
      </c>
    </row>
    <row r="2460" customFormat="false" ht="15" hidden="false" customHeight="false" outlineLevel="0" collapsed="false">
      <c r="A2460" s="4" t="s">
        <v>2568</v>
      </c>
      <c r="B2460" s="4" t="n">
        <v>1993</v>
      </c>
      <c r="C2460" s="4" t="str">
        <f aca="false">FLOOR(B2460,10)&amp;"s"</f>
        <v>1990s</v>
      </c>
      <c r="D2460" s="4" t="s">
        <v>2569</v>
      </c>
      <c r="E2460" s="25" t="str">
        <f aca="false">IF(G2460=1,"✓","")</f>
        <v/>
      </c>
      <c r="F2460" s="4" t="n">
        <v>1</v>
      </c>
      <c r="G2460" s="4" t="n">
        <f aca="false">IF(COUNTIF('Letterboxd Watched'!$E$2:$E$3000,M2460)&gt;0,1,0)</f>
        <v>0</v>
      </c>
      <c r="H2460" s="4" t="n">
        <v>2</v>
      </c>
      <c r="I2460" s="4" t="s">
        <v>213</v>
      </c>
      <c r="J2460" s="4" t="s">
        <v>52</v>
      </c>
      <c r="K2460" s="4" t="s">
        <v>4164</v>
      </c>
      <c r="L2460" s="48" t="str">
        <f aca="false">HYPERLINK("https://letterboxd.com/search/films/Wallace+Gromit+The+Wrong+Trousers+1993/","open")</f>
        <v>open</v>
      </c>
      <c r="M2460" s="4" t="str">
        <f aca="false">LOWER(A2460)&amp;"|"&amp;B2460</f>
        <v>wallace &amp; gromit: the wrong trousers|1993</v>
      </c>
      <c r="N2460" s="4" t="n">
        <v>0</v>
      </c>
      <c r="O2460" s="4" t="n">
        <v>0</v>
      </c>
      <c r="P2460" s="4" t="n">
        <v>0</v>
      </c>
      <c r="Q2460" s="4" t="n">
        <v>1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</row>
    <row r="2461" customFormat="false" ht="15" hidden="false" customHeight="false" outlineLevel="0" collapsed="false">
      <c r="A2461" s="4" t="s">
        <v>862</v>
      </c>
      <c r="B2461" s="4" t="n">
        <v>2008</v>
      </c>
      <c r="C2461" s="4" t="str">
        <f aca="false">FLOOR(B2461,10)&amp;"s"</f>
        <v>2000s</v>
      </c>
      <c r="D2461" s="4" t="s">
        <v>863</v>
      </c>
      <c r="E2461" s="25" t="str">
        <f aca="false">IF(G2461=1,"✓","")</f>
        <v/>
      </c>
      <c r="F2461" s="4" t="n">
        <v>2</v>
      </c>
      <c r="G2461" s="4" t="n">
        <f aca="false">IF(COUNTIF('Letterboxd Watched'!$E$2:$E$3000,M2461)&gt;0,1,0)</f>
        <v>0</v>
      </c>
      <c r="H2461" s="4" t="n">
        <v>5</v>
      </c>
      <c r="I2461" s="4" t="s">
        <v>144</v>
      </c>
      <c r="J2461" s="4" t="s">
        <v>51</v>
      </c>
      <c r="K2461" s="4" t="s">
        <v>5697</v>
      </c>
      <c r="L2461" s="48" t="str">
        <f aca="false">HYPERLINK("https://letterboxd.com/search/films/Waltz+with+Bashir+2008/","open")</f>
        <v>open</v>
      </c>
      <c r="M2461" s="4" t="str">
        <f aca="false">LOWER(A2461)&amp;"|"&amp;B2461</f>
        <v>waltz with bashir|2008</v>
      </c>
      <c r="N2461" s="4" t="n">
        <v>0</v>
      </c>
      <c r="O2461" s="4" t="n">
        <v>0</v>
      </c>
      <c r="P2461" s="4" t="n">
        <v>1</v>
      </c>
      <c r="Q2461" s="4" t="n">
        <v>1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</row>
    <row r="2462" customFormat="false" ht="15" hidden="false" customHeight="false" outlineLevel="0" collapsed="false">
      <c r="A2462" s="4" t="s">
        <v>595</v>
      </c>
      <c r="B2462" s="4" t="n">
        <v>1970</v>
      </c>
      <c r="C2462" s="4" t="str">
        <f aca="false">FLOOR(B2462,10)&amp;"s"</f>
        <v>1970s</v>
      </c>
      <c r="D2462" s="4" t="s">
        <v>596</v>
      </c>
      <c r="E2462" s="25" t="str">
        <f aca="false">IF(G2462=1,"✓","")</f>
        <v/>
      </c>
      <c r="F2462" s="4" t="n">
        <v>3</v>
      </c>
      <c r="G2462" s="4" t="n">
        <f aca="false">IF(COUNTIF('Letterboxd Watched'!$E$2:$E$3000,M2462)&gt;0,1,0)</f>
        <v>0</v>
      </c>
      <c r="H2462" s="4" t="n">
        <v>6</v>
      </c>
      <c r="I2462" s="4" t="s">
        <v>144</v>
      </c>
      <c r="J2462" s="4" t="s">
        <v>50</v>
      </c>
      <c r="K2462" s="4" t="s">
        <v>5908</v>
      </c>
      <c r="L2462" s="48" t="str">
        <f aca="false">HYPERLINK("https://boxd.it/2OjK","open")</f>
        <v>open</v>
      </c>
      <c r="M2462" s="4" t="str">
        <f aca="false">LOWER(A2462)&amp;"|"&amp;B2462</f>
        <v>wanda|1970</v>
      </c>
      <c r="N2462" s="4" t="n">
        <v>0</v>
      </c>
      <c r="O2462" s="4" t="n">
        <v>1</v>
      </c>
      <c r="P2462" s="4" t="n">
        <v>0</v>
      </c>
      <c r="Q2462" s="4" t="n">
        <v>0</v>
      </c>
      <c r="R2462" s="4" t="n">
        <v>0</v>
      </c>
      <c r="S2462" s="4" t="n">
        <v>1</v>
      </c>
      <c r="T2462" s="4" t="n">
        <v>0</v>
      </c>
      <c r="U2462" s="4" t="n">
        <v>0</v>
      </c>
      <c r="V2462" s="4" t="n">
        <v>1</v>
      </c>
      <c r="W2462" s="4" t="n">
        <v>0</v>
      </c>
    </row>
    <row r="2463" customFormat="false" ht="15" hidden="false" customHeight="false" outlineLevel="0" collapsed="false">
      <c r="A2463" s="4" t="s">
        <v>1334</v>
      </c>
      <c r="B2463" s="4" t="n">
        <v>1966</v>
      </c>
      <c r="C2463" s="4" t="str">
        <f aca="false">FLOOR(B2463,10)&amp;"s"</f>
        <v>1960s</v>
      </c>
      <c r="D2463" s="4" t="s">
        <v>1335</v>
      </c>
      <c r="E2463" s="25" t="str">
        <f aca="false">IF(G2463=1,"✓","")</f>
        <v/>
      </c>
      <c r="F2463" s="4" t="n">
        <v>2</v>
      </c>
      <c r="G2463" s="4" t="n">
        <f aca="false">IF(COUNTIF('Letterboxd Watched'!$E$2:$E$3000,M2463)&gt;0,1,0)</f>
        <v>0</v>
      </c>
      <c r="H2463" s="4" t="n">
        <v>3</v>
      </c>
      <c r="I2463" s="4" t="s">
        <v>213</v>
      </c>
      <c r="J2463" s="4" t="s">
        <v>52</v>
      </c>
      <c r="K2463" s="4" t="s">
        <v>5909</v>
      </c>
      <c r="L2463" s="48" t="str">
        <f aca="false">HYPERLINK("https://boxd.it/1tKe","open")</f>
        <v>open</v>
      </c>
      <c r="M2463" s="4" t="str">
        <f aca="false">LOWER(A2463)&amp;"|"&amp;B2463</f>
        <v>the war game|1966</v>
      </c>
      <c r="N2463" s="4" t="n">
        <v>0</v>
      </c>
      <c r="O2463" s="4" t="n">
        <v>0</v>
      </c>
      <c r="P2463" s="4" t="n">
        <v>0</v>
      </c>
      <c r="Q2463" s="4" t="n">
        <v>1</v>
      </c>
      <c r="R2463" s="4" t="n">
        <v>0</v>
      </c>
      <c r="S2463" s="4" t="n">
        <v>0</v>
      </c>
      <c r="T2463" s="4" t="n">
        <v>1</v>
      </c>
      <c r="U2463" s="4" t="n">
        <v>0</v>
      </c>
      <c r="V2463" s="4" t="n">
        <v>0</v>
      </c>
      <c r="W2463" s="4" t="n">
        <v>0</v>
      </c>
    </row>
    <row r="2464" customFormat="false" ht="15" hidden="false" customHeight="false" outlineLevel="0" collapsed="false">
      <c r="A2464" s="4" t="s">
        <v>2504</v>
      </c>
      <c r="B2464" s="4" t="n">
        <v>1989</v>
      </c>
      <c r="C2464" s="4" t="str">
        <f aca="false">FLOOR(B2464,10)&amp;"s"</f>
        <v>1980s</v>
      </c>
      <c r="D2464" s="4" t="s">
        <v>2505</v>
      </c>
      <c r="E2464" s="25" t="str">
        <f aca="false">IF(G2464=1,"✓","")</f>
        <v/>
      </c>
      <c r="F2464" s="4" t="n">
        <v>1</v>
      </c>
      <c r="G2464" s="4" t="n">
        <f aca="false">IF(COUNTIF('Letterboxd Watched'!$E$2:$E$3000,M2464)&gt;0,1,0)</f>
        <v>0</v>
      </c>
      <c r="H2464" s="4" t="n">
        <v>2</v>
      </c>
      <c r="I2464" s="4" t="s">
        <v>213</v>
      </c>
      <c r="J2464" s="4" t="s">
        <v>55</v>
      </c>
      <c r="K2464" s="4" t="s">
        <v>4348</v>
      </c>
      <c r="L2464" s="48" t="str">
        <f aca="false">HYPERLINK("https://boxd.it/2aLY","open")</f>
        <v>open</v>
      </c>
      <c r="M2464" s="4" t="str">
        <f aca="false">LOWER(A2464)&amp;"|"&amp;B2464</f>
        <v>the war of the roses|1989</v>
      </c>
      <c r="N2464" s="4" t="n">
        <v>0</v>
      </c>
      <c r="O2464" s="4" t="n">
        <v>0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1</v>
      </c>
      <c r="U2464" s="4" t="n">
        <v>0</v>
      </c>
      <c r="V2464" s="4" t="n">
        <v>0</v>
      </c>
      <c r="W2464" s="4" t="n">
        <v>0</v>
      </c>
    </row>
    <row r="2465" customFormat="false" ht="15" hidden="false" customHeight="false" outlineLevel="0" collapsed="false">
      <c r="A2465" s="4" t="s">
        <v>1893</v>
      </c>
      <c r="B2465" s="4" t="n">
        <v>1953</v>
      </c>
      <c r="C2465" s="4" t="str">
        <f aca="false">FLOOR(B2465,10)&amp;"s"</f>
        <v>1950s</v>
      </c>
      <c r="D2465" s="4" t="s">
        <v>1894</v>
      </c>
      <c r="E2465" s="25" t="str">
        <f aca="false">IF(G2465=1,"✓","")</f>
        <v/>
      </c>
      <c r="F2465" s="4" t="n">
        <v>1</v>
      </c>
      <c r="G2465" s="4" t="n">
        <f aca="false">IF(COUNTIF('Letterboxd Watched'!$E$2:$E$3000,M2465)&gt;0,1,0)</f>
        <v>0</v>
      </c>
      <c r="H2465" s="4" t="n">
        <v>2</v>
      </c>
      <c r="I2465" s="4" t="s">
        <v>213</v>
      </c>
      <c r="J2465" s="4" t="s">
        <v>52</v>
      </c>
      <c r="K2465" s="4" t="s">
        <v>4084</v>
      </c>
      <c r="L2465" s="48" t="str">
        <f aca="false">HYPERLINK("https://boxd.it/1Zta","open")</f>
        <v>open</v>
      </c>
      <c r="M2465" s="4" t="str">
        <f aca="false">LOWER(A2465)&amp;"|"&amp;B2465</f>
        <v>the war of the worlds|1953</v>
      </c>
      <c r="N2465" s="4" t="n">
        <v>0</v>
      </c>
      <c r="O2465" s="4" t="n">
        <v>0</v>
      </c>
      <c r="P2465" s="4" t="n">
        <v>0</v>
      </c>
      <c r="Q2465" s="4" t="n">
        <v>1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</row>
    <row r="2466" customFormat="false" ht="15" hidden="false" customHeight="false" outlineLevel="0" collapsed="false">
      <c r="A2466" s="4" t="s">
        <v>2573</v>
      </c>
      <c r="B2466" s="4" t="n">
        <v>1993</v>
      </c>
      <c r="C2466" s="4" t="str">
        <f aca="false">FLOOR(B2466,10)&amp;"s"</f>
        <v>1990s</v>
      </c>
      <c r="D2466" s="4" t="s">
        <v>2574</v>
      </c>
      <c r="E2466" s="25" t="str">
        <f aca="false">IF(G2466=1,"✓","")</f>
        <v/>
      </c>
      <c r="F2466" s="4" t="n">
        <v>1</v>
      </c>
      <c r="G2466" s="4" t="n">
        <f aca="false">IF(COUNTIF('Letterboxd Watched'!$E$2:$E$3000,M2466)&gt;0,1,0)</f>
        <v>0</v>
      </c>
      <c r="H2466" s="4" t="n">
        <v>2</v>
      </c>
      <c r="I2466" s="4" t="s">
        <v>213</v>
      </c>
      <c r="J2466" s="4" t="s">
        <v>55</v>
      </c>
      <c r="K2466" s="4" t="s">
        <v>4318</v>
      </c>
      <c r="L2466" s="48" t="str">
        <f aca="false">HYPERLINK("https://boxd.it/1tWa","open")</f>
        <v>open</v>
      </c>
      <c r="M2466" s="4" t="str">
        <f aca="false">LOWER(A2466)&amp;"|"&amp;B2466</f>
        <v>the war room|1993</v>
      </c>
      <c r="N2466" s="4" t="n">
        <v>0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0</v>
      </c>
      <c r="T2466" s="4" t="n">
        <v>1</v>
      </c>
      <c r="U2466" s="4" t="n">
        <v>0</v>
      </c>
      <c r="V2466" s="4" t="n">
        <v>0</v>
      </c>
      <c r="W2466" s="4" t="n">
        <v>0</v>
      </c>
    </row>
    <row r="2467" customFormat="false" ht="15" hidden="false" customHeight="false" outlineLevel="0" collapsed="false">
      <c r="A2467" s="4" t="s">
        <v>3266</v>
      </c>
      <c r="B2467" s="4" t="n">
        <v>2025</v>
      </c>
      <c r="C2467" s="4" t="str">
        <f aca="false">FLOOR(B2467,10)&amp;"s"</f>
        <v>2020s</v>
      </c>
      <c r="D2467" s="4" t="s">
        <v>3267</v>
      </c>
      <c r="E2467" s="25" t="str">
        <f aca="false">IF(G2467=1,"✓","")</f>
        <v/>
      </c>
      <c r="F2467" s="4" t="n">
        <v>1</v>
      </c>
      <c r="G2467" s="4" t="n">
        <f aca="false">IF(COUNTIF('Letterboxd Watched'!$E$2:$E$3000,M2467)&gt;0,1,0)</f>
        <v>0</v>
      </c>
      <c r="H2467" s="4" t="n">
        <v>2</v>
      </c>
      <c r="I2467" s="4" t="s">
        <v>213</v>
      </c>
      <c r="J2467" s="4" t="s">
        <v>52</v>
      </c>
      <c r="K2467" s="4" t="s">
        <v>4144</v>
      </c>
      <c r="L2467" s="48" t="str">
        <f aca="false">HYPERLINK("https://boxd.it/LbRo","open")</f>
        <v>open</v>
      </c>
      <c r="M2467" s="4" t="str">
        <f aca="false">LOWER(A2467)&amp;"|"&amp;B2467</f>
        <v>warfare|2025</v>
      </c>
      <c r="N2467" s="4" t="n">
        <v>0</v>
      </c>
      <c r="O2467" s="4" t="n">
        <v>0</v>
      </c>
      <c r="P2467" s="4" t="n">
        <v>0</v>
      </c>
      <c r="Q2467" s="4" t="n">
        <v>1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</row>
    <row r="2468" customFormat="false" ht="15" hidden="false" customHeight="false" outlineLevel="0" collapsed="false">
      <c r="A2468" s="4" t="s">
        <v>2393</v>
      </c>
      <c r="B2468" s="4" t="n">
        <v>1983</v>
      </c>
      <c r="C2468" s="4" t="str">
        <f aca="false">FLOOR(B2468,10)&amp;"s"</f>
        <v>1980s</v>
      </c>
      <c r="D2468" s="4" t="s">
        <v>2394</v>
      </c>
      <c r="E2468" s="25" t="str">
        <f aca="false">IF(G2468=1,"✓","")</f>
        <v/>
      </c>
      <c r="F2468" s="4" t="n">
        <v>1</v>
      </c>
      <c r="G2468" s="4" t="n">
        <f aca="false">IF(COUNTIF('Letterboxd Watched'!$E$2:$E$3000,M2468)&gt;0,1,0)</f>
        <v>0</v>
      </c>
      <c r="H2468" s="4" t="n">
        <v>2</v>
      </c>
      <c r="I2468" s="4" t="s">
        <v>213</v>
      </c>
      <c r="J2468" s="4" t="s">
        <v>55</v>
      </c>
      <c r="K2468" s="4" t="s">
        <v>4340</v>
      </c>
      <c r="L2468" s="48" t="str">
        <f aca="false">HYPERLINK("https://boxd.it/29qU","open")</f>
        <v>open</v>
      </c>
      <c r="M2468" s="4" t="str">
        <f aca="false">LOWER(A2468)&amp;"|"&amp;B2468</f>
        <v>wargames|1983</v>
      </c>
      <c r="N2468" s="4" t="n">
        <v>0</v>
      </c>
      <c r="O2468" s="4" t="n">
        <v>0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1</v>
      </c>
      <c r="U2468" s="4" t="n">
        <v>0</v>
      </c>
      <c r="V2468" s="4" t="n">
        <v>0</v>
      </c>
      <c r="W2468" s="4" t="n">
        <v>0</v>
      </c>
    </row>
    <row r="2469" customFormat="false" ht="15" hidden="false" customHeight="false" outlineLevel="0" collapsed="false">
      <c r="A2469" s="4" t="s">
        <v>3279</v>
      </c>
      <c r="B2469" s="4" t="n">
        <v>1923</v>
      </c>
      <c r="C2469" s="4" t="str">
        <f aca="false">FLOOR(B2469,10)&amp;"s"</f>
        <v>1920s</v>
      </c>
      <c r="D2469" s="4" t="s">
        <v>3280</v>
      </c>
      <c r="E2469" s="25" t="str">
        <f aca="false">IF(G2469=1,"✓","")</f>
        <v/>
      </c>
      <c r="F2469" s="4" t="n">
        <v>1</v>
      </c>
      <c r="G2469" s="4" t="n">
        <f aca="false">IF(COUNTIF('Letterboxd Watched'!$E$2:$E$3000,M2469)&gt;0,1,0)</f>
        <v>0</v>
      </c>
      <c r="H2469" s="4" t="n">
        <v>1</v>
      </c>
      <c r="I2469" s="4" t="s">
        <v>1327</v>
      </c>
      <c r="J2469" s="4" t="s">
        <v>50</v>
      </c>
      <c r="K2469" s="4" t="s">
        <v>3898</v>
      </c>
      <c r="L2469" s="48" t="str">
        <f aca="false">HYPERLINK("https://letterboxd.com/search/films/Warning+Shadows+1923/","open")</f>
        <v>open</v>
      </c>
      <c r="M2469" s="4" t="str">
        <f aca="false">LOWER(A2469)&amp;"|"&amp;B2469</f>
        <v>warning shadows|1923</v>
      </c>
      <c r="N2469" s="4" t="n">
        <v>0</v>
      </c>
      <c r="O2469" s="4" t="n">
        <v>1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</row>
    <row r="2470" customFormat="false" ht="15" hidden="false" customHeight="false" outlineLevel="0" collapsed="false">
      <c r="A2470" s="4" t="s">
        <v>2647</v>
      </c>
      <c r="B2470" s="4" t="n">
        <v>1996</v>
      </c>
      <c r="C2470" s="4" t="str">
        <f aca="false">FLOOR(B2470,10)&amp;"s"</f>
        <v>1990s</v>
      </c>
      <c r="D2470" s="4" t="s">
        <v>2648</v>
      </c>
      <c r="E2470" s="25" t="str">
        <f aca="false">IF(G2470=1,"✓","")</f>
        <v/>
      </c>
      <c r="F2470" s="4" t="n">
        <v>1</v>
      </c>
      <c r="G2470" s="4" t="n">
        <f aca="false">IF(COUNTIF('Letterboxd Watched'!$E$2:$E$3000,M2470)&gt;0,1,0)</f>
        <v>0</v>
      </c>
      <c r="H2470" s="4" t="n">
        <v>2</v>
      </c>
      <c r="I2470" s="4" t="s">
        <v>213</v>
      </c>
      <c r="J2470" s="4" t="s">
        <v>54</v>
      </c>
      <c r="K2470" s="4" t="s">
        <v>4298</v>
      </c>
      <c r="L2470" s="48" t="str">
        <f aca="false">HYPERLINK("https://boxd.it/RRc","open")</f>
        <v>open</v>
      </c>
      <c r="M2470" s="4" t="str">
        <f aca="false">LOWER(A2470)&amp;"|"&amp;B2470</f>
        <v>the watermelon woman|1996</v>
      </c>
      <c r="N2470" s="4" t="n">
        <v>0</v>
      </c>
      <c r="O2470" s="4" t="n">
        <v>0</v>
      </c>
      <c r="P2470" s="4" t="n">
        <v>0</v>
      </c>
      <c r="Q2470" s="4" t="n">
        <v>0</v>
      </c>
      <c r="R2470" s="4" t="n">
        <v>0</v>
      </c>
      <c r="S2470" s="4" t="n">
        <v>1</v>
      </c>
      <c r="T2470" s="4" t="n">
        <v>0</v>
      </c>
      <c r="U2470" s="4" t="n">
        <v>0</v>
      </c>
      <c r="V2470" s="4" t="n">
        <v>0</v>
      </c>
      <c r="W2470" s="4" t="n">
        <v>0</v>
      </c>
    </row>
    <row r="2471" customFormat="false" ht="15" hidden="false" customHeight="false" outlineLevel="0" collapsed="false">
      <c r="A2471" s="4" t="s">
        <v>2310</v>
      </c>
      <c r="B2471" s="4" t="n">
        <v>1978</v>
      </c>
      <c r="C2471" s="4" t="str">
        <f aca="false">FLOOR(B2471,10)&amp;"s"</f>
        <v>1970s</v>
      </c>
      <c r="D2471" s="4" t="s">
        <v>2311</v>
      </c>
      <c r="E2471" s="25" t="str">
        <f aca="false">IF(G2471=1,"✓","")</f>
        <v/>
      </c>
      <c r="F2471" s="4" t="n">
        <v>1</v>
      </c>
      <c r="G2471" s="4" t="n">
        <f aca="false">IF(COUNTIF('Letterboxd Watched'!$E$2:$E$3000,M2471)&gt;0,1,0)</f>
        <v>0</v>
      </c>
      <c r="H2471" s="4" t="n">
        <v>2</v>
      </c>
      <c r="I2471" s="4" t="s">
        <v>213</v>
      </c>
      <c r="J2471" s="4" t="s">
        <v>52</v>
      </c>
      <c r="K2471" s="4" t="s">
        <v>4166</v>
      </c>
      <c r="L2471" s="48" t="str">
        <f aca="false">HYPERLINK("https://boxd.it/1SYg","open")</f>
        <v>open</v>
      </c>
      <c r="M2471" s="4" t="str">
        <f aca="false">LOWER(A2471)&amp;"|"&amp;B2471</f>
        <v>watership down|1978</v>
      </c>
      <c r="N2471" s="4" t="n">
        <v>0</v>
      </c>
      <c r="O2471" s="4" t="n">
        <v>0</v>
      </c>
      <c r="P2471" s="4" t="n">
        <v>0</v>
      </c>
      <c r="Q2471" s="4" t="n">
        <v>1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</row>
    <row r="2472" customFormat="false" ht="15" hidden="false" customHeight="false" outlineLevel="0" collapsed="false">
      <c r="A2472" s="4" t="s">
        <v>2228</v>
      </c>
      <c r="B2472" s="4" t="n">
        <v>1973</v>
      </c>
      <c r="C2472" s="4" t="str">
        <f aca="false">FLOOR(B2472,10)&amp;"s"</f>
        <v>1970s</v>
      </c>
      <c r="D2472" s="4" t="s">
        <v>2229</v>
      </c>
      <c r="E2472" s="25" t="str">
        <f aca="false">IF(G2472=1,"✓","")</f>
        <v/>
      </c>
      <c r="F2472" s="4" t="n">
        <v>1</v>
      </c>
      <c r="G2472" s="4" t="n">
        <f aca="false">IF(COUNTIF('Letterboxd Watched'!$E$2:$E$3000,M2472)&gt;0,1,0)</f>
        <v>0</v>
      </c>
      <c r="H2472" s="4" t="n">
        <v>2</v>
      </c>
      <c r="I2472" s="4" t="s">
        <v>213</v>
      </c>
      <c r="J2472" s="4" t="s">
        <v>52</v>
      </c>
      <c r="K2472" s="4" t="s">
        <v>4178</v>
      </c>
      <c r="L2472" s="48" t="str">
        <f aca="false">HYPERLINK("https://letterboxd.com/search/films/Wattstax+1973/","open")</f>
        <v>open</v>
      </c>
      <c r="M2472" s="4" t="str">
        <f aca="false">LOWER(A2472)&amp;"|"&amp;B2472</f>
        <v>wattstax|1973</v>
      </c>
      <c r="N2472" s="4" t="n">
        <v>0</v>
      </c>
      <c r="O2472" s="4" t="n">
        <v>0</v>
      </c>
      <c r="P2472" s="4" t="n">
        <v>0</v>
      </c>
      <c r="Q2472" s="4" t="n">
        <v>1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</row>
    <row r="2473" customFormat="false" ht="15" hidden="false" customHeight="false" outlineLevel="0" collapsed="false">
      <c r="A2473" s="4" t="s">
        <v>1473</v>
      </c>
      <c r="B2473" s="4" t="n">
        <v>1967</v>
      </c>
      <c r="C2473" s="4" t="str">
        <f aca="false">FLOOR(B2473,10)&amp;"s"</f>
        <v>1960s</v>
      </c>
      <c r="D2473" s="4" t="s">
        <v>1474</v>
      </c>
      <c r="E2473" s="25" t="str">
        <f aca="false">IF(G2473=1,"✓","")</f>
        <v/>
      </c>
      <c r="F2473" s="4" t="n">
        <v>1</v>
      </c>
      <c r="G2473" s="4" t="n">
        <f aca="false">IF(COUNTIF('Letterboxd Watched'!$E$2:$E$3000,M2473)&gt;0,1,0)</f>
        <v>0</v>
      </c>
      <c r="H2473" s="4" t="n">
        <v>3</v>
      </c>
      <c r="I2473" s="4" t="s">
        <v>144</v>
      </c>
      <c r="J2473" s="4" t="s">
        <v>52</v>
      </c>
      <c r="K2473" s="4" t="s">
        <v>4182</v>
      </c>
      <c r="L2473" s="48" t="str">
        <f aca="false">HYPERLINK("https://letterboxd.com/search/films/Wavelength+1967/","open")</f>
        <v>open</v>
      </c>
      <c r="M2473" s="4" t="str">
        <f aca="false">LOWER(A2473)&amp;"|"&amp;B2473</f>
        <v>wavelength|1967</v>
      </c>
      <c r="N2473" s="4" t="n">
        <v>0</v>
      </c>
      <c r="O2473" s="4" t="n">
        <v>0</v>
      </c>
      <c r="P2473" s="4" t="n">
        <v>0</v>
      </c>
      <c r="Q2473" s="4" t="n">
        <v>1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</row>
    <row r="2474" customFormat="false" ht="15" hidden="false" customHeight="false" outlineLevel="0" collapsed="false">
      <c r="A2474" s="4" t="s">
        <v>3283</v>
      </c>
      <c r="B2474" s="4" t="n">
        <v>1924</v>
      </c>
      <c r="C2474" s="4" t="str">
        <f aca="false">FLOOR(B2474,10)&amp;"s"</f>
        <v>1920s</v>
      </c>
      <c r="D2474" s="4" t="s">
        <v>3284</v>
      </c>
      <c r="E2474" s="25" t="str">
        <f aca="false">IF(G2474=1,"✓","")</f>
        <v/>
      </c>
      <c r="F2474" s="4" t="n">
        <v>1</v>
      </c>
      <c r="G2474" s="4" t="n">
        <f aca="false">IF(COUNTIF('Letterboxd Watched'!$E$2:$E$3000,M2474)&gt;0,1,0)</f>
        <v>0</v>
      </c>
      <c r="H2474" s="4" t="n">
        <v>1</v>
      </c>
      <c r="I2474" s="4" t="s">
        <v>1327</v>
      </c>
      <c r="J2474" s="4" t="s">
        <v>50</v>
      </c>
      <c r="K2474" s="4" t="s">
        <v>3898</v>
      </c>
      <c r="L2474" s="48" t="str">
        <f aca="false">HYPERLINK("https://letterboxd.com/search/films/Waxworks+1924/","open")</f>
        <v>open</v>
      </c>
      <c r="M2474" s="4" t="str">
        <f aca="false">LOWER(A2474)&amp;"|"&amp;B2474</f>
        <v>waxworks|1924</v>
      </c>
      <c r="N2474" s="4" t="n">
        <v>0</v>
      </c>
      <c r="O2474" s="4" t="n">
        <v>1</v>
      </c>
      <c r="P2474" s="4" t="n">
        <v>0</v>
      </c>
      <c r="Q2474" s="4" t="n">
        <v>0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</row>
    <row r="2475" customFormat="false" ht="15" hidden="false" customHeight="false" outlineLevel="0" collapsed="false">
      <c r="A2475" s="4" t="s">
        <v>3326</v>
      </c>
      <c r="B2475" s="4" t="n">
        <v>1937</v>
      </c>
      <c r="C2475" s="4" t="str">
        <f aca="false">FLOOR(B2475,10)&amp;"s"</f>
        <v>1930s</v>
      </c>
      <c r="D2475" s="4" t="s">
        <v>3327</v>
      </c>
      <c r="E2475" s="25" t="str">
        <f aca="false">IF(G2475=1,"✓","")</f>
        <v/>
      </c>
      <c r="F2475" s="4" t="n">
        <v>1</v>
      </c>
      <c r="G2475" s="4" t="n">
        <f aca="false">IF(COUNTIF('Letterboxd Watched'!$E$2:$E$3000,M2475)&gt;0,1,0)</f>
        <v>0</v>
      </c>
      <c r="H2475" s="4" t="n">
        <v>1</v>
      </c>
      <c r="I2475" s="4" t="s">
        <v>1327</v>
      </c>
      <c r="J2475" s="4" t="s">
        <v>52</v>
      </c>
      <c r="K2475" s="4" t="s">
        <v>4098</v>
      </c>
      <c r="L2475" s="48" t="str">
        <f aca="false">HYPERLINK("https://letterboxd.com/search/films/Way+Out+West+1937/","open")</f>
        <v>open</v>
      </c>
      <c r="M2475" s="4" t="str">
        <f aca="false">LOWER(A2475)&amp;"|"&amp;B2475</f>
        <v>way out west|1937</v>
      </c>
      <c r="N2475" s="4" t="n">
        <v>0</v>
      </c>
      <c r="O2475" s="4" t="n">
        <v>0</v>
      </c>
      <c r="P2475" s="4" t="n">
        <v>0</v>
      </c>
      <c r="Q2475" s="4" t="n">
        <v>1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</row>
    <row r="2476" customFormat="false" ht="15" hidden="false" customHeight="false" outlineLevel="0" collapsed="false">
      <c r="A2476" s="4" t="s">
        <v>2235</v>
      </c>
      <c r="B2476" s="4" t="n">
        <v>1974</v>
      </c>
      <c r="C2476" s="4" t="str">
        <f aca="false">FLOOR(B2476,10)&amp;"s"</f>
        <v>1970s</v>
      </c>
      <c r="D2476" s="4" t="s">
        <v>2236</v>
      </c>
      <c r="E2476" s="25" t="str">
        <f aca="false">IF(G2476=1,"✓","")</f>
        <v/>
      </c>
      <c r="F2476" s="4" t="n">
        <v>1</v>
      </c>
      <c r="G2476" s="4" t="n">
        <f aca="false">IF(COUNTIF('Letterboxd Watched'!$E$2:$E$3000,M2476)&gt;0,1,0)</f>
        <v>0</v>
      </c>
      <c r="H2476" s="4" t="n">
        <v>2</v>
      </c>
      <c r="I2476" s="4" t="s">
        <v>213</v>
      </c>
      <c r="J2476" s="4" t="s">
        <v>51</v>
      </c>
      <c r="K2476" s="4" t="s">
        <v>3946</v>
      </c>
      <c r="L2476" s="48" t="str">
        <f aca="false">HYPERLINK("https://letterboxd.com/search/films/We+All+Loved+Each+Other+So+Much+1974/","open")</f>
        <v>open</v>
      </c>
      <c r="M2476" s="4" t="str">
        <f aca="false">LOWER(A2476)&amp;"|"&amp;B2476</f>
        <v>we all loved each other so much|1974</v>
      </c>
      <c r="N2476" s="4" t="n">
        <v>0</v>
      </c>
      <c r="O2476" s="4" t="n">
        <v>0</v>
      </c>
      <c r="P2476" s="4" t="n">
        <v>1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</row>
    <row r="2477" customFormat="false" ht="15" hidden="false" customHeight="false" outlineLevel="0" collapsed="false">
      <c r="A2477" s="4" t="s">
        <v>3788</v>
      </c>
      <c r="B2477" s="4" t="n">
        <v>2009</v>
      </c>
      <c r="C2477" s="4" t="str">
        <f aca="false">FLOOR(B2477,10)&amp;"s"</f>
        <v>2000s</v>
      </c>
      <c r="D2477" s="4" t="s">
        <v>3789</v>
      </c>
      <c r="E2477" s="25" t="str">
        <f aca="false">IF(G2477=1,"✓","")</f>
        <v/>
      </c>
      <c r="F2477" s="4" t="n">
        <v>1</v>
      </c>
      <c r="G2477" s="4" t="n">
        <f aca="false">IF(COUNTIF('Letterboxd Watched'!$E$2:$E$3000,M2477)&gt;0,1,0)</f>
        <v>0</v>
      </c>
      <c r="H2477" s="4" t="n">
        <v>1</v>
      </c>
      <c r="I2477" s="4" t="s">
        <v>1327</v>
      </c>
      <c r="J2477" s="4" t="s">
        <v>55</v>
      </c>
      <c r="K2477" s="4" t="s">
        <v>4340</v>
      </c>
      <c r="L2477" s="48" t="str">
        <f aca="false">HYPERLINK("https://letterboxd.com/search/films/We+Live+in+Public+2009/","open")</f>
        <v>open</v>
      </c>
      <c r="M2477" s="4" t="str">
        <f aca="false">LOWER(A2477)&amp;"|"&amp;B2477</f>
        <v>we live in public|2009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1</v>
      </c>
      <c r="U2477" s="4" t="n">
        <v>0</v>
      </c>
      <c r="V2477" s="4" t="n">
        <v>0</v>
      </c>
      <c r="W2477" s="4" t="n">
        <v>0</v>
      </c>
    </row>
    <row r="2478" customFormat="false" ht="15" hidden="false" customHeight="false" outlineLevel="0" collapsed="false">
      <c r="A2478" s="4" t="s">
        <v>2107</v>
      </c>
      <c r="B2478" s="4" t="n">
        <v>1967</v>
      </c>
      <c r="C2478" s="4" t="str">
        <f aca="false">FLOOR(B2478,10)&amp;"s"</f>
        <v>1960s</v>
      </c>
      <c r="D2478" s="4" t="s">
        <v>152</v>
      </c>
      <c r="E2478" s="25" t="str">
        <f aca="false">IF(G2478=1,"✓","")</f>
        <v/>
      </c>
      <c r="F2478" s="4" t="n">
        <v>1</v>
      </c>
      <c r="G2478" s="4" t="n">
        <f aca="false">IF(COUNTIF('Letterboxd Watched'!$E$2:$E$3000,M2478)&gt;0,1,0)</f>
        <v>0</v>
      </c>
      <c r="H2478" s="4" t="n">
        <v>2</v>
      </c>
      <c r="I2478" s="4" t="s">
        <v>213</v>
      </c>
      <c r="J2478" s="4" t="s">
        <v>53</v>
      </c>
      <c r="K2478" s="4" t="s">
        <v>152</v>
      </c>
      <c r="L2478" s="48" t="str">
        <f aca="false">HYPERLINK("https://boxd.it/20Ac","open")</f>
        <v>open</v>
      </c>
      <c r="M2478" s="4" t="str">
        <f aca="false">LOWER(A2478)&amp;"|"&amp;B2478</f>
        <v>weekend|1967</v>
      </c>
      <c r="N2478" s="4" t="n">
        <v>0</v>
      </c>
      <c r="O2478" s="4" t="n">
        <v>0</v>
      </c>
      <c r="P2478" s="4" t="n">
        <v>0</v>
      </c>
      <c r="Q2478" s="4" t="n">
        <v>0</v>
      </c>
      <c r="R2478" s="4" t="n">
        <v>1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</row>
    <row r="2479" customFormat="false" ht="15" hidden="false" customHeight="false" outlineLevel="0" collapsed="false">
      <c r="A2479" s="4" t="s">
        <v>2107</v>
      </c>
      <c r="B2479" s="4" t="n">
        <v>2011</v>
      </c>
      <c r="C2479" s="4" t="str">
        <f aca="false">FLOOR(B2479,10)&amp;"s"</f>
        <v>2010s</v>
      </c>
      <c r="D2479" s="4" t="s">
        <v>3798</v>
      </c>
      <c r="E2479" s="25" t="str">
        <f aca="false">IF(G2479=1,"✓","")</f>
        <v/>
      </c>
      <c r="F2479" s="4" t="n">
        <v>1</v>
      </c>
      <c r="G2479" s="4" t="n">
        <f aca="false">IF(COUNTIF('Letterboxd Watched'!$E$2:$E$3000,M2479)&gt;0,1,0)</f>
        <v>0</v>
      </c>
      <c r="H2479" s="4" t="n">
        <v>1</v>
      </c>
      <c r="I2479" s="4" t="s">
        <v>1327</v>
      </c>
      <c r="J2479" s="4" t="s">
        <v>52</v>
      </c>
      <c r="K2479" s="4" t="s">
        <v>4154</v>
      </c>
      <c r="L2479" s="48" t="str">
        <f aca="false">HYPERLINK("https://letterboxd.com/search/films/Weekend+2011/","open")</f>
        <v>open</v>
      </c>
      <c r="M2479" s="4" t="str">
        <f aca="false">LOWER(A2479)&amp;"|"&amp;B2479</f>
        <v>weekend|2011</v>
      </c>
      <c r="N2479" s="4" t="n">
        <v>0</v>
      </c>
      <c r="O2479" s="4" t="n">
        <v>0</v>
      </c>
      <c r="P2479" s="4" t="n">
        <v>0</v>
      </c>
      <c r="Q2479" s="4" t="n">
        <v>1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</row>
    <row r="2480" customFormat="false" ht="15" hidden="false" customHeight="false" outlineLevel="0" collapsed="false">
      <c r="A2480" s="4" t="s">
        <v>1890</v>
      </c>
      <c r="B2480" s="4" t="n">
        <v>1953</v>
      </c>
      <c r="C2480" s="4" t="str">
        <f aca="false">FLOOR(B2480,10)&amp;"s"</f>
        <v>1950s</v>
      </c>
      <c r="D2480" s="4" t="s">
        <v>1891</v>
      </c>
      <c r="E2480" s="25" t="str">
        <f aca="false">IF(G2480=1,"✓","")</f>
        <v/>
      </c>
      <c r="F2480" s="4" t="n">
        <v>1</v>
      </c>
      <c r="G2480" s="4" t="n">
        <f aca="false">IF(COUNTIF('Letterboxd Watched'!$E$2:$E$3000,M2480)&gt;0,1,0)</f>
        <v>0</v>
      </c>
      <c r="H2480" s="4" t="n">
        <v>2</v>
      </c>
      <c r="I2480" s="4" t="s">
        <v>213</v>
      </c>
      <c r="J2480" s="4" t="s">
        <v>51</v>
      </c>
      <c r="K2480" s="4" t="s">
        <v>4002</v>
      </c>
      <c r="L2480" s="48" t="str">
        <f aca="false">HYPERLINK("https://letterboxd.com/search/films/Welcome+Mr+Marshall+1953/","open")</f>
        <v>open</v>
      </c>
      <c r="M2480" s="4" t="str">
        <f aca="false">LOWER(A2480)&amp;"|"&amp;B2480</f>
        <v>welcome mr. marshall!|1953</v>
      </c>
      <c r="N2480" s="4" t="n">
        <v>0</v>
      </c>
      <c r="O2480" s="4" t="n">
        <v>0</v>
      </c>
      <c r="P2480" s="4" t="n">
        <v>1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</row>
    <row r="2481" customFormat="false" ht="15" hidden="false" customHeight="false" outlineLevel="0" collapsed="false">
      <c r="A2481" s="4" t="s">
        <v>3686</v>
      </c>
      <c r="B2481" s="4" t="n">
        <v>1995</v>
      </c>
      <c r="C2481" s="4" t="str">
        <f aca="false">FLOOR(B2481,10)&amp;"s"</f>
        <v>1990s</v>
      </c>
      <c r="D2481" s="4" t="s">
        <v>624</v>
      </c>
      <c r="E2481" s="25" t="str">
        <f aca="false">IF(G2481=1,"✓","")</f>
        <v/>
      </c>
      <c r="F2481" s="4" t="n">
        <v>1</v>
      </c>
      <c r="G2481" s="4" t="n">
        <f aca="false">IF(COUNTIF('Letterboxd Watched'!$E$2:$E$3000,M2481)&gt;0,1,0)</f>
        <v>0</v>
      </c>
      <c r="H2481" s="4" t="n">
        <v>1</v>
      </c>
      <c r="I2481" s="4" t="s">
        <v>1327</v>
      </c>
      <c r="J2481" s="4" t="s">
        <v>50</v>
      </c>
      <c r="K2481" s="4" t="s">
        <v>3924</v>
      </c>
      <c r="L2481" s="48" t="str">
        <f aca="false">HYPERLINK("https://boxd.it/1TPO","open")</f>
        <v>open</v>
      </c>
      <c r="M2481" s="4" t="str">
        <f aca="false">LOWER(A2481)&amp;"|"&amp;B2481</f>
        <v>welcome to the dollhouse|1995</v>
      </c>
      <c r="N2481" s="4" t="n">
        <v>0</v>
      </c>
      <c r="O2481" s="4" t="n">
        <v>1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</row>
    <row r="2482" customFormat="false" ht="15" hidden="false" customHeight="false" outlineLevel="0" collapsed="false">
      <c r="A2482" s="4" t="s">
        <v>3543</v>
      </c>
      <c r="B2482" s="4" t="n">
        <v>1975</v>
      </c>
      <c r="C2482" s="4" t="str">
        <f aca="false">FLOOR(B2482,10)&amp;"s"</f>
        <v>1970s</v>
      </c>
      <c r="D2482" s="4" t="s">
        <v>992</v>
      </c>
      <c r="E2482" s="25" t="str">
        <f aca="false">IF(G2482=1,"✓","")</f>
        <v/>
      </c>
      <c r="F2482" s="4" t="n">
        <v>1</v>
      </c>
      <c r="G2482" s="4" t="n">
        <f aca="false">IF(COUNTIF('Letterboxd Watched'!$E$2:$E$3000,M2482)&gt;0,1,0)</f>
        <v>0</v>
      </c>
      <c r="H2482" s="4" t="n">
        <v>1</v>
      </c>
      <c r="I2482" s="4" t="s">
        <v>1327</v>
      </c>
      <c r="J2482" s="4" t="s">
        <v>52</v>
      </c>
      <c r="K2482" s="4" t="s">
        <v>4172</v>
      </c>
      <c r="L2482" s="48" t="str">
        <f aca="false">HYPERLINK("https://letterboxd.com/search/films/Welfare+1975/","open")</f>
        <v>open</v>
      </c>
      <c r="M2482" s="4" t="str">
        <f aca="false">LOWER(A2482)&amp;"|"&amp;B2482</f>
        <v>welfare|1975</v>
      </c>
      <c r="N2482" s="4" t="n">
        <v>0</v>
      </c>
      <c r="O2482" s="4" t="n">
        <v>0</v>
      </c>
      <c r="P2482" s="4" t="n">
        <v>0</v>
      </c>
      <c r="Q2482" s="4" t="n">
        <v>1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0</v>
      </c>
    </row>
    <row r="2483" customFormat="false" ht="15" hidden="false" customHeight="false" outlineLevel="0" collapsed="false">
      <c r="A2483" s="4" t="s">
        <v>866</v>
      </c>
      <c r="B2483" s="4" t="n">
        <v>2008</v>
      </c>
      <c r="C2483" s="4" t="str">
        <f aca="false">FLOOR(B2483,10)&amp;"s"</f>
        <v>2000s</v>
      </c>
      <c r="D2483" s="4" t="s">
        <v>867</v>
      </c>
      <c r="E2483" s="25" t="str">
        <f aca="false">IF(G2483=1,"✓","")</f>
        <v/>
      </c>
      <c r="F2483" s="4" t="n">
        <v>2</v>
      </c>
      <c r="G2483" s="4" t="n">
        <f aca="false">IF(COUNTIF('Letterboxd Watched'!$E$2:$E$3000,M2483)&gt;0,1,0)</f>
        <v>0</v>
      </c>
      <c r="H2483" s="4" t="n">
        <v>5</v>
      </c>
      <c r="I2483" s="4" t="s">
        <v>144</v>
      </c>
      <c r="J2483" s="4" t="s">
        <v>53</v>
      </c>
      <c r="K2483" s="4" t="s">
        <v>5910</v>
      </c>
      <c r="L2483" s="48" t="str">
        <f aca="false">HYPERLINK("https://boxd.it/1Zx2","open")</f>
        <v>open</v>
      </c>
      <c r="M2483" s="4" t="str">
        <f aca="false">LOWER(A2483)&amp;"|"&amp;B2483</f>
        <v>wendy and lucy|2008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1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1</v>
      </c>
    </row>
    <row r="2484" customFormat="false" ht="15" hidden="false" customHeight="false" outlineLevel="0" collapsed="false">
      <c r="A2484" s="4" t="s">
        <v>3339</v>
      </c>
      <c r="B2484" s="4" t="n">
        <v>1942</v>
      </c>
      <c r="C2484" s="4" t="str">
        <f aca="false">FLOOR(B2484,10)&amp;"s"</f>
        <v>1940s</v>
      </c>
      <c r="D2484" s="4" t="s">
        <v>3340</v>
      </c>
      <c r="E2484" s="25" t="str">
        <f aca="false">IF(G2484=1,"✓","")</f>
        <v/>
      </c>
      <c r="F2484" s="4" t="n">
        <v>1</v>
      </c>
      <c r="G2484" s="4" t="n">
        <f aca="false">IF(COUNTIF('Letterboxd Watched'!$E$2:$E$3000,M2484)&gt;0,1,0)</f>
        <v>0</v>
      </c>
      <c r="H2484" s="4" t="n">
        <v>1</v>
      </c>
      <c r="I2484" s="4" t="s">
        <v>1327</v>
      </c>
      <c r="J2484" s="4" t="s">
        <v>51</v>
      </c>
      <c r="K2484" s="4" t="s">
        <v>3978</v>
      </c>
      <c r="L2484" s="48" t="str">
        <f aca="false">HYPERLINK("https://letterboxd.com/search/films/Went+the+Day+Well+1942/","open")</f>
        <v>open</v>
      </c>
      <c r="M2484" s="4" t="str">
        <f aca="false">LOWER(A2484)&amp;"|"&amp;B2484</f>
        <v>went the day well?|1942</v>
      </c>
      <c r="N2484" s="4" t="n">
        <v>0</v>
      </c>
      <c r="O2484" s="4" t="n">
        <v>0</v>
      </c>
      <c r="P2484" s="4" t="n">
        <v>1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</row>
    <row r="2485" customFormat="false" ht="15" hidden="false" customHeight="false" outlineLevel="0" collapsed="false">
      <c r="A2485" s="4" t="s">
        <v>1133</v>
      </c>
      <c r="B2485" s="4" t="n">
        <v>2000</v>
      </c>
      <c r="C2485" s="4" t="str">
        <f aca="false">FLOOR(B2485,10)&amp;"s"</f>
        <v>2000s</v>
      </c>
      <c r="D2485" s="4" t="s">
        <v>618</v>
      </c>
      <c r="E2485" s="25" t="str">
        <f aca="false">IF(G2485=1,"✓","")</f>
        <v/>
      </c>
      <c r="F2485" s="4" t="n">
        <v>2</v>
      </c>
      <c r="G2485" s="4" t="n">
        <f aca="false">IF(COUNTIF('Letterboxd Watched'!$E$2:$E$3000,M2485)&gt;0,1,0)</f>
        <v>0</v>
      </c>
      <c r="H2485" s="4" t="n">
        <v>4</v>
      </c>
      <c r="I2485" s="4" t="s">
        <v>144</v>
      </c>
      <c r="J2485" s="4" t="s">
        <v>49</v>
      </c>
      <c r="K2485" s="4" t="s">
        <v>5911</v>
      </c>
      <c r="L2485" s="48" t="str">
        <f aca="false">HYPERLINK("https://boxd.it/1zzw","open")</f>
        <v>open</v>
      </c>
      <c r="M2485" s="4" t="str">
        <f aca="false">LOWER(A2485)&amp;"|"&amp;B2485</f>
        <v>werckmeister harmonies|2000</v>
      </c>
      <c r="N2485" s="4" t="n">
        <v>1</v>
      </c>
      <c r="O2485" s="4" t="n">
        <v>0</v>
      </c>
      <c r="P2485" s="4" t="n">
        <v>1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</row>
    <row r="2486" customFormat="false" ht="15" hidden="false" customHeight="false" outlineLevel="0" collapsed="false">
      <c r="A2486" s="4" t="s">
        <v>766</v>
      </c>
      <c r="B2486" s="4" t="n">
        <v>1961</v>
      </c>
      <c r="C2486" s="4" t="str">
        <f aca="false">FLOOR(B2486,10)&amp;"s"</f>
        <v>1960s</v>
      </c>
      <c r="D2486" s="4" t="s">
        <v>767</v>
      </c>
      <c r="E2486" s="25" t="str">
        <f aca="false">IF(G2486=1,"✓","")</f>
        <v/>
      </c>
      <c r="F2486" s="4" t="n">
        <v>2</v>
      </c>
      <c r="G2486" s="4" t="n">
        <f aca="false">IF(COUNTIF('Letterboxd Watched'!$E$2:$E$3000,M2486)&gt;0,1,0)</f>
        <v>0</v>
      </c>
      <c r="H2486" s="4" t="n">
        <v>5</v>
      </c>
      <c r="I2486" s="4" t="s">
        <v>144</v>
      </c>
      <c r="J2486" s="4" t="s">
        <v>52</v>
      </c>
      <c r="K2486" s="4" t="s">
        <v>5278</v>
      </c>
      <c r="L2486" s="48" t="str">
        <f aca="false">HYPERLINK("https://boxd.it/28dK","open")</f>
        <v>open</v>
      </c>
      <c r="M2486" s="4" t="str">
        <f aca="false">LOWER(A2486)&amp;"|"&amp;B2486</f>
        <v>west side story|1961</v>
      </c>
      <c r="N2486" s="4" t="n">
        <v>0</v>
      </c>
      <c r="O2486" s="4" t="n">
        <v>0</v>
      </c>
      <c r="P2486" s="4" t="n">
        <v>0</v>
      </c>
      <c r="Q2486" s="4" t="n">
        <v>1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1</v>
      </c>
      <c r="W2486" s="4" t="n">
        <v>0</v>
      </c>
    </row>
    <row r="2487" customFormat="false" ht="15" hidden="false" customHeight="false" outlineLevel="0" collapsed="false">
      <c r="A2487" s="4" t="s">
        <v>3625</v>
      </c>
      <c r="B2487" s="4" t="n">
        <v>1984</v>
      </c>
      <c r="C2487" s="4" t="str">
        <f aca="false">FLOOR(B2487,10)&amp;"s"</f>
        <v>1980s</v>
      </c>
      <c r="D2487" s="4" t="s">
        <v>1087</v>
      </c>
      <c r="E2487" s="25" t="str">
        <f aca="false">IF(G2487=1,"✓","")</f>
        <v/>
      </c>
      <c r="F2487" s="4" t="n">
        <v>1</v>
      </c>
      <c r="G2487" s="4" t="n">
        <f aca="false">IF(COUNTIF('Letterboxd Watched'!$E$2:$E$3000,M2487)&gt;0,1,0)</f>
        <v>0</v>
      </c>
      <c r="H2487" s="4" t="n">
        <v>1</v>
      </c>
      <c r="I2487" s="4" t="s">
        <v>1327</v>
      </c>
      <c r="J2487" s="4" t="s">
        <v>53</v>
      </c>
      <c r="K2487" s="4" t="s">
        <v>1087</v>
      </c>
      <c r="L2487" s="48" t="str">
        <f aca="false">HYPERLINK("https://boxd.it/20t6","open")</f>
        <v>open</v>
      </c>
      <c r="M2487" s="4" t="str">
        <f aca="false">LOWER(A2487)&amp;"|"&amp;B2487</f>
        <v>what have i done to deserve this?|1984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1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</row>
    <row r="2488" customFormat="false" ht="15" hidden="false" customHeight="false" outlineLevel="0" collapsed="false">
      <c r="A2488" s="4" t="s">
        <v>2196</v>
      </c>
      <c r="B2488" s="4" t="n">
        <v>1972</v>
      </c>
      <c r="C2488" s="4" t="str">
        <f aca="false">FLOOR(B2488,10)&amp;"s"</f>
        <v>1970s</v>
      </c>
      <c r="D2488" s="4" t="s">
        <v>2197</v>
      </c>
      <c r="E2488" s="25" t="str">
        <f aca="false">IF(G2488=1,"✓","")</f>
        <v/>
      </c>
      <c r="F2488" s="4" t="n">
        <v>1</v>
      </c>
      <c r="G2488" s="4" t="n">
        <f aca="false">IF(COUNTIF('Letterboxd Watched'!$E$2:$E$3000,M2488)&gt;0,1,0)</f>
        <v>0</v>
      </c>
      <c r="H2488" s="4" t="n">
        <v>2</v>
      </c>
      <c r="I2488" s="4" t="s">
        <v>213</v>
      </c>
      <c r="J2488" s="4" t="s">
        <v>51</v>
      </c>
      <c r="K2488" s="4" t="s">
        <v>3950</v>
      </c>
      <c r="L2488" s="48" t="str">
        <f aca="false">HYPERLINK("https://letterboxd.com/search/films/What+Have+You+Done+to+Solange+1972/","open")</f>
        <v>open</v>
      </c>
      <c r="M2488" s="4" t="str">
        <f aca="false">LOWER(A2488)&amp;"|"&amp;B2488</f>
        <v>what have you done to solange?|1972</v>
      </c>
      <c r="N2488" s="4" t="n">
        <v>0</v>
      </c>
      <c r="O2488" s="4" t="n">
        <v>0</v>
      </c>
      <c r="P2488" s="4" t="n">
        <v>1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</row>
    <row r="2489" customFormat="false" ht="15" hidden="false" customHeight="false" outlineLevel="0" collapsed="false">
      <c r="A2489" s="4" t="s">
        <v>3389</v>
      </c>
      <c r="B2489" s="4" t="n">
        <v>1957</v>
      </c>
      <c r="C2489" s="4" t="str">
        <f aca="false">FLOOR(B2489,10)&amp;"s"</f>
        <v>1950s</v>
      </c>
      <c r="D2489" s="4" t="s">
        <v>3390</v>
      </c>
      <c r="E2489" s="25" t="str">
        <f aca="false">IF(G2489=1,"✓","")</f>
        <v/>
      </c>
      <c r="F2489" s="4" t="n">
        <v>1</v>
      </c>
      <c r="G2489" s="4" t="n">
        <f aca="false">IF(COUNTIF('Letterboxd Watched'!$E$2:$E$3000,M2489)&gt;0,1,0)</f>
        <v>0</v>
      </c>
      <c r="H2489" s="4" t="n">
        <v>1</v>
      </c>
      <c r="I2489" s="4" t="s">
        <v>1327</v>
      </c>
      <c r="J2489" s="4" t="s">
        <v>52</v>
      </c>
      <c r="K2489" s="4" t="s">
        <v>4162</v>
      </c>
      <c r="L2489" s="48" t="str">
        <f aca="false">HYPERLINK("https://boxd.it/x4Y","open")</f>
        <v>open</v>
      </c>
      <c r="M2489" s="4" t="str">
        <f aca="false">LOWER(A2489)&amp;"|"&amp;B2489</f>
        <v>what's opera, doc?|1957</v>
      </c>
      <c r="N2489" s="4" t="n">
        <v>0</v>
      </c>
      <c r="O2489" s="4" t="n">
        <v>0</v>
      </c>
      <c r="P2489" s="4" t="n">
        <v>0</v>
      </c>
      <c r="Q2489" s="4" t="n">
        <v>1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</row>
    <row r="2490" customFormat="false" ht="15" hidden="false" customHeight="false" outlineLevel="0" collapsed="false">
      <c r="A2490" s="4" t="s">
        <v>2755</v>
      </c>
      <c r="B2490" s="4" t="n">
        <v>2001</v>
      </c>
      <c r="C2490" s="4" t="str">
        <f aca="false">FLOOR(B2490,10)&amp;"s"</f>
        <v>2000s</v>
      </c>
      <c r="D2490" s="4" t="s">
        <v>1165</v>
      </c>
      <c r="E2490" s="25" t="str">
        <f aca="false">IF(G2490=1,"✓","")</f>
        <v/>
      </c>
      <c r="F2490" s="4" t="n">
        <v>1</v>
      </c>
      <c r="G2490" s="4" t="n">
        <f aca="false">IF(COUNTIF('Letterboxd Watched'!$E$2:$E$3000,M2490)&gt;0,1,0)</f>
        <v>0</v>
      </c>
      <c r="H2490" s="4" t="n">
        <v>2</v>
      </c>
      <c r="I2490" s="4" t="s">
        <v>213</v>
      </c>
      <c r="J2490" s="4" t="s">
        <v>53</v>
      </c>
      <c r="K2490" s="4" t="s">
        <v>4255</v>
      </c>
      <c r="L2490" s="48" t="str">
        <f aca="false">HYPERLINK("https://boxd.it/1ybe","open")</f>
        <v>open</v>
      </c>
      <c r="M2490" s="4" t="str">
        <f aca="false">LOWER(A2490)&amp;"|"&amp;B2490</f>
        <v>what time is it there?|2001</v>
      </c>
      <c r="N2490" s="4" t="n">
        <v>0</v>
      </c>
      <c r="O2490" s="4" t="n">
        <v>0</v>
      </c>
      <c r="P2490" s="4" t="n">
        <v>0</v>
      </c>
      <c r="Q2490" s="4" t="n">
        <v>0</v>
      </c>
      <c r="R2490" s="4" t="n">
        <v>1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</row>
    <row r="2491" customFormat="false" ht="15" hidden="false" customHeight="false" outlineLevel="0" collapsed="false">
      <c r="A2491" s="4" t="s">
        <v>1625</v>
      </c>
      <c r="B2491" s="4" t="n">
        <v>2014</v>
      </c>
      <c r="C2491" s="4" t="str">
        <f aca="false">FLOOR(B2491,10)&amp;"s"</f>
        <v>2010s</v>
      </c>
      <c r="D2491" s="4" t="s">
        <v>1626</v>
      </c>
      <c r="E2491" s="25" t="str">
        <f aca="false">IF(G2491=1,"✓","")</f>
        <v/>
      </c>
      <c r="F2491" s="4" t="n">
        <v>1</v>
      </c>
      <c r="G2491" s="4" t="n">
        <f aca="false">IF(COUNTIF('Letterboxd Watched'!$E$2:$E$3000,M2491)&gt;0,1,0)</f>
        <v>0</v>
      </c>
      <c r="H2491" s="4" t="n">
        <v>3</v>
      </c>
      <c r="I2491" s="4" t="s">
        <v>144</v>
      </c>
      <c r="J2491" s="4" t="s">
        <v>52</v>
      </c>
      <c r="K2491" s="4" t="s">
        <v>4104</v>
      </c>
      <c r="L2491" s="48" t="str">
        <f aca="false">HYPERLINK("https://boxd.it/7eQy","open")</f>
        <v>open</v>
      </c>
      <c r="M2491" s="4" t="str">
        <f aca="false">LOWER(A2491)&amp;"|"&amp;B2491</f>
        <v>what we do in the shadows|2014</v>
      </c>
      <c r="N2491" s="4" t="n">
        <v>0</v>
      </c>
      <c r="O2491" s="4" t="n">
        <v>0</v>
      </c>
      <c r="P2491" s="4" t="n">
        <v>0</v>
      </c>
      <c r="Q2491" s="4" t="n">
        <v>1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</row>
    <row r="2492" customFormat="false" ht="15" hidden="false" customHeight="false" outlineLevel="0" collapsed="false">
      <c r="A2492" s="4" t="s">
        <v>1259</v>
      </c>
      <c r="B2492" s="4" t="n">
        <v>2021</v>
      </c>
      <c r="C2492" s="4" t="str">
        <f aca="false">FLOOR(B2492,10)&amp;"s"</f>
        <v>2020s</v>
      </c>
      <c r="D2492" s="4" t="s">
        <v>881</v>
      </c>
      <c r="E2492" s="25" t="str">
        <f aca="false">IF(G2492=1,"✓","")</f>
        <v/>
      </c>
      <c r="F2492" s="4" t="n">
        <v>2</v>
      </c>
      <c r="G2492" s="4" t="n">
        <f aca="false">IF(COUNTIF('Letterboxd Watched'!$E$2:$E$3000,M2492)&gt;0,1,0)</f>
        <v>0</v>
      </c>
      <c r="H2492" s="4" t="n">
        <v>4</v>
      </c>
      <c r="I2492" s="4" t="s">
        <v>213</v>
      </c>
      <c r="J2492" s="4" t="s">
        <v>51</v>
      </c>
      <c r="K2492" s="4" t="s">
        <v>5912</v>
      </c>
      <c r="L2492" s="48" t="str">
        <f aca="false">HYPERLINK("https://boxd.it/tWcm","open")</f>
        <v>open</v>
      </c>
      <c r="M2492" s="4" t="str">
        <f aca="false">LOWER(A2492)&amp;"|"&amp;B2492</f>
        <v>wheel of fortune and fantasy|2021</v>
      </c>
      <c r="N2492" s="4" t="n">
        <v>0</v>
      </c>
      <c r="O2492" s="4" t="n">
        <v>0</v>
      </c>
      <c r="P2492" s="4" t="n">
        <v>1</v>
      </c>
      <c r="Q2492" s="4" t="n">
        <v>0</v>
      </c>
      <c r="R2492" s="4" t="n">
        <v>0</v>
      </c>
      <c r="S2492" s="4" t="n">
        <v>0</v>
      </c>
      <c r="T2492" s="4" t="n">
        <v>0</v>
      </c>
      <c r="U2492" s="4" t="n">
        <v>1</v>
      </c>
      <c r="V2492" s="4" t="n">
        <v>0</v>
      </c>
      <c r="W2492" s="4" t="n">
        <v>0</v>
      </c>
    </row>
    <row r="2493" customFormat="false" ht="15" hidden="false" customHeight="false" outlineLevel="0" collapsed="false">
      <c r="A2493" s="4" t="s">
        <v>758</v>
      </c>
      <c r="B2493" s="4" t="n">
        <v>1960</v>
      </c>
      <c r="C2493" s="4" t="str">
        <f aca="false">FLOOR(B2493,10)&amp;"s"</f>
        <v>1960s</v>
      </c>
      <c r="D2493" s="4" t="s">
        <v>759</v>
      </c>
      <c r="E2493" s="25" t="str">
        <f aca="false">IF(G2493=1,"✓","")</f>
        <v/>
      </c>
      <c r="F2493" s="4" t="n">
        <v>2</v>
      </c>
      <c r="G2493" s="4" t="n">
        <f aca="false">IF(COUNTIF('Letterboxd Watched'!$E$2:$E$3000,M2493)&gt;0,1,0)</f>
        <v>0</v>
      </c>
      <c r="H2493" s="4" t="n">
        <v>5</v>
      </c>
      <c r="I2493" s="4" t="s">
        <v>144</v>
      </c>
      <c r="J2493" s="4" t="s">
        <v>51</v>
      </c>
      <c r="K2493" s="4" t="s">
        <v>5411</v>
      </c>
      <c r="L2493" s="48" t="str">
        <f aca="false">HYPERLINK("https://boxd.it/19Ck","open")</f>
        <v>open</v>
      </c>
      <c r="M2493" s="4" t="str">
        <f aca="false">LOWER(A2493)&amp;"|"&amp;B2493</f>
        <v>when a woman ascends the stairs|1960</v>
      </c>
      <c r="N2493" s="4" t="n">
        <v>0</v>
      </c>
      <c r="O2493" s="4" t="n">
        <v>0</v>
      </c>
      <c r="P2493" s="4" t="n">
        <v>1</v>
      </c>
      <c r="Q2493" s="4" t="n">
        <v>0</v>
      </c>
      <c r="R2493" s="4" t="n">
        <v>1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</row>
    <row r="2494" customFormat="false" ht="15" hidden="false" customHeight="false" outlineLevel="0" collapsed="false">
      <c r="A2494" s="4" t="s">
        <v>821</v>
      </c>
      <c r="B2494" s="4" t="n">
        <v>1989</v>
      </c>
      <c r="C2494" s="4" t="str">
        <f aca="false">FLOOR(B2494,10)&amp;"s"</f>
        <v>1980s</v>
      </c>
      <c r="D2494" s="4" t="s">
        <v>822</v>
      </c>
      <c r="E2494" s="25" t="str">
        <f aca="false">IF(G2494=1,"✓","")</f>
        <v/>
      </c>
      <c r="F2494" s="4" t="n">
        <v>2</v>
      </c>
      <c r="G2494" s="4" t="n">
        <f aca="false">IF(COUNTIF('Letterboxd Watched'!$E$2:$E$3000,M2494)&gt;0,1,0)</f>
        <v>0</v>
      </c>
      <c r="H2494" s="4" t="n">
        <v>5</v>
      </c>
      <c r="I2494" s="4" t="s">
        <v>144</v>
      </c>
      <c r="J2494" s="4" t="s">
        <v>52</v>
      </c>
      <c r="K2494" s="4" t="s">
        <v>5913</v>
      </c>
      <c r="L2494" s="48" t="str">
        <f aca="false">HYPERLINK("https://boxd.it/29W2","open")</f>
        <v>open</v>
      </c>
      <c r="M2494" s="4" t="str">
        <f aca="false">LOWER(A2494)&amp;"|"&amp;B2494</f>
        <v>when harry met sally...|1989</v>
      </c>
      <c r="N2494" s="4" t="n">
        <v>0</v>
      </c>
      <c r="O2494" s="4" t="n">
        <v>0</v>
      </c>
      <c r="P2494" s="4" t="n">
        <v>0</v>
      </c>
      <c r="Q2494" s="4" t="n">
        <v>1</v>
      </c>
      <c r="R2494" s="4" t="n">
        <v>0</v>
      </c>
      <c r="S2494" s="4" t="n">
        <v>0</v>
      </c>
      <c r="T2494" s="4" t="n">
        <v>0</v>
      </c>
      <c r="U2494" s="4" t="n">
        <v>1</v>
      </c>
      <c r="V2494" s="4" t="n">
        <v>0</v>
      </c>
      <c r="W2494" s="4" t="n">
        <v>0</v>
      </c>
    </row>
    <row r="2495" customFormat="false" ht="15" hidden="false" customHeight="false" outlineLevel="0" collapsed="false">
      <c r="A2495" s="4" t="s">
        <v>2858</v>
      </c>
      <c r="B2495" s="4" t="n">
        <v>2006</v>
      </c>
      <c r="C2495" s="4" t="str">
        <f aca="false">FLOOR(B2495,10)&amp;"s"</f>
        <v>2000s</v>
      </c>
      <c r="D2495" s="4" t="s">
        <v>148</v>
      </c>
      <c r="E2495" s="25" t="str">
        <f aca="false">IF(G2495=1,"✓","")</f>
        <v/>
      </c>
      <c r="F2495" s="4" t="n">
        <v>1</v>
      </c>
      <c r="G2495" s="4" t="n">
        <f aca="false">IF(COUNTIF('Letterboxd Watched'!$E$2:$E$3000,M2495)&gt;0,1,0)</f>
        <v>0</v>
      </c>
      <c r="H2495" s="4" t="n">
        <v>2</v>
      </c>
      <c r="I2495" s="4" t="s">
        <v>213</v>
      </c>
      <c r="J2495" s="4" t="s">
        <v>53</v>
      </c>
      <c r="K2495" s="4" t="s">
        <v>148</v>
      </c>
      <c r="L2495" s="48" t="str">
        <f aca="false">HYPERLINK("https://letterboxd.com/search/films/When+the+Levees+Broke+A+Requiem+in+Four+Acts+2006/","open")</f>
        <v>open</v>
      </c>
      <c r="M2495" s="4" t="str">
        <f aca="false">LOWER(A2495)&amp;"|"&amp;B2495</f>
        <v>when the levees broke: a requiem in four acts|2006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1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</row>
    <row r="2496" customFormat="false" ht="15" hidden="false" customHeight="false" outlineLevel="0" collapsed="false">
      <c r="A2496" s="4" t="s">
        <v>1078</v>
      </c>
      <c r="B2496" s="4" t="n">
        <v>1986</v>
      </c>
      <c r="C2496" s="4" t="str">
        <f aca="false">FLOOR(B2496,10)&amp;"s"</f>
        <v>1980s</v>
      </c>
      <c r="D2496" s="4" t="s">
        <v>1079</v>
      </c>
      <c r="E2496" s="25" t="str">
        <f aca="false">IF(G2496=1,"✓","")</f>
        <v/>
      </c>
      <c r="F2496" s="4" t="n">
        <v>2</v>
      </c>
      <c r="G2496" s="4" t="n">
        <f aca="false">IF(COUNTIF('Letterboxd Watched'!$E$2:$E$3000,M2496)&gt;0,1,0)</f>
        <v>0</v>
      </c>
      <c r="H2496" s="4" t="n">
        <v>4</v>
      </c>
      <c r="I2496" s="4" t="s">
        <v>213</v>
      </c>
      <c r="J2496" s="4" t="s">
        <v>52</v>
      </c>
      <c r="K2496" s="4" t="s">
        <v>5914</v>
      </c>
      <c r="L2496" s="48" t="str">
        <f aca="false">HYPERLINK("https://boxd.it/1VdC","open")</f>
        <v>open</v>
      </c>
      <c r="M2496" s="4" t="str">
        <f aca="false">LOWER(A2496)&amp;"|"&amp;B2496</f>
        <v>when the wind blows|1986</v>
      </c>
      <c r="N2496" s="4" t="n">
        <v>0</v>
      </c>
      <c r="O2496" s="4" t="n">
        <v>0</v>
      </c>
      <c r="P2496" s="4" t="n">
        <v>0</v>
      </c>
      <c r="Q2496" s="4" t="n">
        <v>1</v>
      </c>
      <c r="R2496" s="4" t="n">
        <v>0</v>
      </c>
      <c r="S2496" s="4" t="n">
        <v>0</v>
      </c>
      <c r="T2496" s="4" t="n">
        <v>1</v>
      </c>
      <c r="U2496" s="4" t="n">
        <v>0</v>
      </c>
      <c r="V2496" s="4" t="n">
        <v>0</v>
      </c>
      <c r="W2496" s="4" t="n">
        <v>0</v>
      </c>
    </row>
    <row r="2497" customFormat="false" ht="15" hidden="false" customHeight="false" outlineLevel="0" collapsed="false">
      <c r="A2497" s="4" t="s">
        <v>1082</v>
      </c>
      <c r="B2497" s="4" t="n">
        <v>1987</v>
      </c>
      <c r="C2497" s="4" t="str">
        <f aca="false">FLOOR(B2497,10)&amp;"s"</f>
        <v>1980s</v>
      </c>
      <c r="D2497" s="4" t="s">
        <v>203</v>
      </c>
      <c r="E2497" s="25" t="str">
        <f aca="false">IF(G2497=1,"✓","")</f>
        <v/>
      </c>
      <c r="F2497" s="4" t="n">
        <v>2</v>
      </c>
      <c r="G2497" s="4" t="n">
        <f aca="false">IF(COUNTIF('Letterboxd Watched'!$E$2:$E$3000,M2497)&gt;0,1,0)</f>
        <v>0</v>
      </c>
      <c r="H2497" s="4" t="n">
        <v>4</v>
      </c>
      <c r="I2497" s="4" t="s">
        <v>213</v>
      </c>
      <c r="J2497" s="4" t="s">
        <v>51</v>
      </c>
      <c r="K2497" s="4" t="s">
        <v>5567</v>
      </c>
      <c r="L2497" s="48" t="str">
        <f aca="false">HYPERLINK("https://boxd.it/ELg","open")</f>
        <v>open</v>
      </c>
      <c r="M2497" s="4" t="str">
        <f aca="false">LOWER(A2497)&amp;"|"&amp;B2497</f>
        <v>where is the friend's house?|1987</v>
      </c>
      <c r="N2497" s="4" t="n">
        <v>0</v>
      </c>
      <c r="O2497" s="4" t="n">
        <v>0</v>
      </c>
      <c r="P2497" s="4" t="n">
        <v>1</v>
      </c>
      <c r="Q2497" s="4" t="n">
        <v>0</v>
      </c>
      <c r="R2497" s="4" t="n">
        <v>1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</row>
    <row r="2498" customFormat="false" ht="15" hidden="false" customHeight="false" outlineLevel="0" collapsed="false">
      <c r="A2498" s="4" t="s">
        <v>1292</v>
      </c>
      <c r="B2498" s="4" t="n">
        <v>2014</v>
      </c>
      <c r="C2498" s="4" t="str">
        <f aca="false">FLOOR(B2498,10)&amp;"s"</f>
        <v>2010s</v>
      </c>
      <c r="D2498" s="4" t="s">
        <v>1293</v>
      </c>
      <c r="E2498" s="25" t="str">
        <f aca="false">IF(G2498=1,"✓","")</f>
        <v>✓</v>
      </c>
      <c r="F2498" s="4" t="n">
        <v>2</v>
      </c>
      <c r="G2498" s="4" t="n">
        <f aca="false">IF(COUNTIF('Letterboxd Watched'!$E$2:$E$3000,M2498)&gt;0,1,0)</f>
        <v>1</v>
      </c>
      <c r="H2498" s="4" t="n">
        <v>4</v>
      </c>
      <c r="I2498" s="4" t="s">
        <v>213</v>
      </c>
      <c r="J2498" s="4" t="s">
        <v>55</v>
      </c>
      <c r="K2498" s="4" t="s">
        <v>5915</v>
      </c>
      <c r="L2498" s="48" t="str">
        <f aca="false">HYPERLINK("https://boxd.it/7bQA","open")</f>
        <v>open</v>
      </c>
      <c r="M2498" s="4" t="str">
        <f aca="false">LOWER(A2498)&amp;"|"&amp;B2498</f>
        <v>whiplash|2014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0</v>
      </c>
      <c r="T2498" s="4" t="n">
        <v>1</v>
      </c>
      <c r="U2498" s="4" t="n">
        <v>0</v>
      </c>
      <c r="V2498" s="4" t="n">
        <v>0</v>
      </c>
      <c r="W2498" s="4" t="n">
        <v>0</v>
      </c>
    </row>
    <row r="2499" customFormat="false" ht="15" hidden="false" customHeight="false" outlineLevel="0" collapsed="false">
      <c r="A2499" s="4" t="s">
        <v>1866</v>
      </c>
      <c r="B2499" s="4" t="n">
        <v>1949</v>
      </c>
      <c r="C2499" s="4" t="str">
        <f aca="false">FLOOR(B2499,10)&amp;"s"</f>
        <v>1940s</v>
      </c>
      <c r="D2499" s="4" t="s">
        <v>411</v>
      </c>
      <c r="E2499" s="25" t="str">
        <f aca="false">IF(G2499=1,"✓","")</f>
        <v/>
      </c>
      <c r="F2499" s="4" t="n">
        <v>1</v>
      </c>
      <c r="G2499" s="4" t="n">
        <f aca="false">IF(COUNTIF('Letterboxd Watched'!$E$2:$E$3000,M2499)&gt;0,1,0)</f>
        <v>0</v>
      </c>
      <c r="H2499" s="4" t="n">
        <v>2</v>
      </c>
      <c r="I2499" s="4" t="s">
        <v>213</v>
      </c>
      <c r="J2499" s="4" t="s">
        <v>51</v>
      </c>
      <c r="K2499" s="4" t="s">
        <v>3978</v>
      </c>
      <c r="L2499" s="48" t="str">
        <f aca="false">HYPERLINK("https://boxd.it/1JOQ","open")</f>
        <v>open</v>
      </c>
      <c r="M2499" s="4" t="str">
        <f aca="false">LOWER(A2499)&amp;"|"&amp;B2499</f>
        <v>whisky galore!|1949</v>
      </c>
      <c r="N2499" s="4" t="n">
        <v>0</v>
      </c>
      <c r="O2499" s="4" t="n">
        <v>0</v>
      </c>
      <c r="P2499" s="4" t="n">
        <v>1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</row>
    <row r="2500" customFormat="false" ht="15" hidden="false" customHeight="false" outlineLevel="0" collapsed="false">
      <c r="A2500" s="4" t="s">
        <v>3692</v>
      </c>
      <c r="B2500" s="4" t="n">
        <v>1995</v>
      </c>
      <c r="C2500" s="4" t="str">
        <f aca="false">FLOOR(B2500,10)&amp;"s"</f>
        <v>1990s</v>
      </c>
      <c r="D2500" s="4" t="s">
        <v>3693</v>
      </c>
      <c r="E2500" s="25" t="str">
        <f aca="false">IF(G2500=1,"✓","")</f>
        <v/>
      </c>
      <c r="F2500" s="4" t="n">
        <v>1</v>
      </c>
      <c r="G2500" s="4" t="n">
        <f aca="false">IF(COUNTIF('Letterboxd Watched'!$E$2:$E$3000,M2500)&gt;0,1,0)</f>
        <v>0</v>
      </c>
      <c r="H2500" s="4" t="n">
        <v>1</v>
      </c>
      <c r="I2500" s="4" t="s">
        <v>1327</v>
      </c>
      <c r="J2500" s="4" t="s">
        <v>53</v>
      </c>
      <c r="K2500" s="4" t="s">
        <v>4248</v>
      </c>
      <c r="L2500" s="48" t="str">
        <f aca="false">HYPERLINK("https://letterboxd.com/search/films/Whisper+of+the+Heart+1995/","open")</f>
        <v>open</v>
      </c>
      <c r="M2500" s="4" t="str">
        <f aca="false">LOWER(A2500)&amp;"|"&amp;B2500</f>
        <v>whisper of the heart|1995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1</v>
      </c>
      <c r="S2500" s="4" t="n">
        <v>0</v>
      </c>
      <c r="T2500" s="4" t="n">
        <v>0</v>
      </c>
      <c r="U2500" s="4" t="n">
        <v>0</v>
      </c>
      <c r="V2500" s="4" t="n">
        <v>0</v>
      </c>
      <c r="W2500" s="4" t="n">
        <v>0</v>
      </c>
    </row>
    <row r="2501" customFormat="false" ht="15" hidden="false" customHeight="false" outlineLevel="0" collapsed="false">
      <c r="A2501" s="4" t="s">
        <v>2607</v>
      </c>
      <c r="B2501" s="4" t="n">
        <v>1995</v>
      </c>
      <c r="C2501" s="4" t="str">
        <f aca="false">FLOOR(B2501,10)&amp;"s"</f>
        <v>1990s</v>
      </c>
      <c r="D2501" s="4" t="s">
        <v>2608</v>
      </c>
      <c r="E2501" s="25" t="str">
        <f aca="false">IF(G2501=1,"✓","")</f>
        <v/>
      </c>
      <c r="F2501" s="4" t="n">
        <v>1</v>
      </c>
      <c r="G2501" s="4" t="n">
        <f aca="false">IF(COUNTIF('Letterboxd Watched'!$E$2:$E$3000,M2501)&gt;0,1,0)</f>
        <v>0</v>
      </c>
      <c r="H2501" s="4" t="n">
        <v>2</v>
      </c>
      <c r="I2501" s="4" t="s">
        <v>213</v>
      </c>
      <c r="J2501" s="4" t="s">
        <v>51</v>
      </c>
      <c r="K2501" s="4" t="s">
        <v>4032</v>
      </c>
      <c r="L2501" s="48" t="str">
        <f aca="false">HYPERLINK("https://letterboxd.com/search/films/The+White+Balloon+1995/","open")</f>
        <v>open</v>
      </c>
      <c r="M2501" s="4" t="str">
        <f aca="false">LOWER(A2501)&amp;"|"&amp;B2501</f>
        <v>the white balloon|1995</v>
      </c>
      <c r="N2501" s="4" t="n">
        <v>0</v>
      </c>
      <c r="O2501" s="4" t="n">
        <v>0</v>
      </c>
      <c r="P2501" s="4" t="n">
        <v>1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</row>
    <row r="2502" customFormat="false" ht="15" hidden="false" customHeight="false" outlineLevel="0" collapsed="false">
      <c r="A2502" s="4" t="s">
        <v>2364</v>
      </c>
      <c r="B2502" s="4" t="n">
        <v>1982</v>
      </c>
      <c r="C2502" s="4" t="str">
        <f aca="false">FLOOR(B2502,10)&amp;"s"</f>
        <v>1980s</v>
      </c>
      <c r="D2502" s="4" t="s">
        <v>940</v>
      </c>
      <c r="E2502" s="25" t="str">
        <f aca="false">IF(G2502=1,"✓","")</f>
        <v/>
      </c>
      <c r="F2502" s="4" t="n">
        <v>1</v>
      </c>
      <c r="G2502" s="4" t="n">
        <f aca="false">IF(COUNTIF('Letterboxd Watched'!$E$2:$E$3000,M2502)&gt;0,1,0)</f>
        <v>0</v>
      </c>
      <c r="H2502" s="4" t="n">
        <v>2</v>
      </c>
      <c r="I2502" s="4" t="s">
        <v>213</v>
      </c>
      <c r="J2502" s="4" t="s">
        <v>53</v>
      </c>
      <c r="K2502" s="4" t="s">
        <v>4194</v>
      </c>
      <c r="L2502" s="48" t="str">
        <f aca="false">HYPERLINK("https://boxd.it/Jtc","open")</f>
        <v>open</v>
      </c>
      <c r="M2502" s="4" t="str">
        <f aca="false">LOWER(A2502)&amp;"|"&amp;B2502</f>
        <v>white dog|1982</v>
      </c>
      <c r="N2502" s="4" t="n">
        <v>0</v>
      </c>
      <c r="O2502" s="4" t="n">
        <v>0</v>
      </c>
      <c r="P2502" s="4" t="n">
        <v>0</v>
      </c>
      <c r="Q2502" s="4" t="n">
        <v>0</v>
      </c>
      <c r="R2502" s="4" t="n">
        <v>1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</row>
    <row r="2503" customFormat="false" ht="15" hidden="false" customHeight="false" outlineLevel="0" collapsed="false">
      <c r="A2503" s="4" t="s">
        <v>1868</v>
      </c>
      <c r="B2503" s="4" t="n">
        <v>1949</v>
      </c>
      <c r="C2503" s="4" t="str">
        <f aca="false">FLOOR(B2503,10)&amp;"s"</f>
        <v>1940s</v>
      </c>
      <c r="D2503" s="4" t="s">
        <v>1869</v>
      </c>
      <c r="E2503" s="25" t="str">
        <f aca="false">IF(G2503=1,"✓","")</f>
        <v/>
      </c>
      <c r="F2503" s="4" t="n">
        <v>1</v>
      </c>
      <c r="G2503" s="4" t="n">
        <f aca="false">IF(COUNTIF('Letterboxd Watched'!$E$2:$E$3000,M2503)&gt;0,1,0)</f>
        <v>0</v>
      </c>
      <c r="H2503" s="4" t="n">
        <v>2</v>
      </c>
      <c r="I2503" s="4" t="s">
        <v>213</v>
      </c>
      <c r="J2503" s="4" t="s">
        <v>52</v>
      </c>
      <c r="K2503" s="4" t="s">
        <v>4116</v>
      </c>
      <c r="L2503" s="48" t="str">
        <f aca="false">HYPERLINK("https://boxd.it/1Lw0","open")</f>
        <v>open</v>
      </c>
      <c r="M2503" s="4" t="str">
        <f aca="false">LOWER(A2503)&amp;"|"&amp;B2503</f>
        <v>white heat|1949</v>
      </c>
      <c r="N2503" s="4" t="n">
        <v>0</v>
      </c>
      <c r="O2503" s="4" t="n">
        <v>0</v>
      </c>
      <c r="P2503" s="4" t="n">
        <v>0</v>
      </c>
      <c r="Q2503" s="4" t="n">
        <v>1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</row>
    <row r="2504" customFormat="false" ht="15" hidden="false" customHeight="false" outlineLevel="0" collapsed="false">
      <c r="A2504" s="4" t="s">
        <v>1705</v>
      </c>
      <c r="B2504" s="4" t="n">
        <v>1929</v>
      </c>
      <c r="C2504" s="4" t="str">
        <f aca="false">FLOOR(B2504,10)&amp;"s"</f>
        <v>1920s</v>
      </c>
      <c r="D2504" s="4" t="s">
        <v>1706</v>
      </c>
      <c r="E2504" s="25" t="str">
        <f aca="false">IF(G2504=1,"✓","")</f>
        <v/>
      </c>
      <c r="F2504" s="4" t="n">
        <v>1</v>
      </c>
      <c r="G2504" s="4" t="n">
        <f aca="false">IF(COUNTIF('Letterboxd Watched'!$E$2:$E$3000,M2504)&gt;0,1,0)</f>
        <v>0</v>
      </c>
      <c r="H2504" s="4" t="n">
        <v>2</v>
      </c>
      <c r="I2504" s="4" t="s">
        <v>213</v>
      </c>
      <c r="J2504" s="4" t="s">
        <v>56</v>
      </c>
      <c r="K2504" s="4" t="s">
        <v>4386</v>
      </c>
      <c r="L2504" s="48" t="str">
        <f aca="false">HYPERLINK("https://letterboxd.com/search/films/The+White+Hell+of+Pitz+Palu+1929/","open")</f>
        <v>open</v>
      </c>
      <c r="M2504" s="4" t="str">
        <f aca="false">LOWER(A2504)&amp;"|"&amp;B2504</f>
        <v>the white hell of pitz palu|1929</v>
      </c>
      <c r="N2504" s="4" t="n">
        <v>0</v>
      </c>
      <c r="O2504" s="4" t="n">
        <v>0</v>
      </c>
      <c r="P2504" s="4" t="n">
        <v>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1</v>
      </c>
      <c r="V2504" s="4" t="n">
        <v>0</v>
      </c>
      <c r="W2504" s="4" t="n">
        <v>0</v>
      </c>
    </row>
    <row r="2505" customFormat="false" ht="15" hidden="false" customHeight="false" outlineLevel="0" collapsed="false">
      <c r="A2505" s="4" t="s">
        <v>2929</v>
      </c>
      <c r="B2505" s="4" t="n">
        <v>2009</v>
      </c>
      <c r="C2505" s="4" t="str">
        <f aca="false">FLOOR(B2505,10)&amp;"s"</f>
        <v>2000s</v>
      </c>
      <c r="D2505" s="4" t="s">
        <v>262</v>
      </c>
      <c r="E2505" s="25" t="str">
        <f aca="false">IF(G2505=1,"✓","")</f>
        <v/>
      </c>
      <c r="F2505" s="4" t="n">
        <v>1</v>
      </c>
      <c r="G2505" s="4" t="n">
        <f aca="false">IF(COUNTIF('Letterboxd Watched'!$E$2:$E$3000,M2505)&gt;0,1,0)</f>
        <v>0</v>
      </c>
      <c r="H2505" s="4" t="n">
        <v>2</v>
      </c>
      <c r="I2505" s="4" t="s">
        <v>213</v>
      </c>
      <c r="J2505" s="4" t="s">
        <v>53</v>
      </c>
      <c r="K2505" s="4" t="s">
        <v>262</v>
      </c>
      <c r="L2505" s="48" t="str">
        <f aca="false">HYPERLINK("https://boxd.it/NIg","open")</f>
        <v>open</v>
      </c>
      <c r="M2505" s="4" t="str">
        <f aca="false">LOWER(A2505)&amp;"|"&amp;B2505</f>
        <v>white material|2009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1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</row>
    <row r="2506" customFormat="false" ht="15" hidden="false" customHeight="false" outlineLevel="0" collapsed="false">
      <c r="A2506" s="4" t="s">
        <v>2557</v>
      </c>
      <c r="B2506" s="4" t="n">
        <v>1992</v>
      </c>
      <c r="C2506" s="4" t="str">
        <f aca="false">FLOOR(B2506,10)&amp;"s"</f>
        <v>1990s</v>
      </c>
      <c r="D2506" s="4" t="s">
        <v>2484</v>
      </c>
      <c r="E2506" s="25" t="str">
        <f aca="false">IF(G2506=1,"✓","")</f>
        <v/>
      </c>
      <c r="F2506" s="4" t="n">
        <v>1</v>
      </c>
      <c r="G2506" s="4" t="n">
        <f aca="false">IF(COUNTIF('Letterboxd Watched'!$E$2:$E$3000,M2506)&gt;0,1,0)</f>
        <v>0</v>
      </c>
      <c r="H2506" s="4" t="n">
        <v>2</v>
      </c>
      <c r="I2506" s="4" t="s">
        <v>213</v>
      </c>
      <c r="J2506" s="4" t="s">
        <v>55</v>
      </c>
      <c r="K2506" s="4" t="s">
        <v>4364</v>
      </c>
      <c r="L2506" s="48" t="str">
        <f aca="false">HYPERLINK("https://boxd.it/1WWy","open")</f>
        <v>open</v>
      </c>
      <c r="M2506" s="4" t="str">
        <f aca="false">LOWER(A2506)&amp;"|"&amp;B2506</f>
        <v>white men can't jump|1992</v>
      </c>
      <c r="N2506" s="4" t="n">
        <v>0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0</v>
      </c>
      <c r="T2506" s="4" t="n">
        <v>1</v>
      </c>
      <c r="U2506" s="4" t="n">
        <v>0</v>
      </c>
      <c r="V2506" s="4" t="n">
        <v>0</v>
      </c>
      <c r="W2506" s="4" t="n">
        <v>0</v>
      </c>
    </row>
    <row r="2507" customFormat="false" ht="15" hidden="false" customHeight="false" outlineLevel="0" collapsed="false">
      <c r="A2507" s="4" t="s">
        <v>868</v>
      </c>
      <c r="B2507" s="4" t="n">
        <v>2009</v>
      </c>
      <c r="C2507" s="4" t="str">
        <f aca="false">FLOOR(B2507,10)&amp;"s"</f>
        <v>2000s</v>
      </c>
      <c r="D2507" s="4" t="s">
        <v>516</v>
      </c>
      <c r="E2507" s="25" t="str">
        <f aca="false">IF(G2507=1,"✓","")</f>
        <v/>
      </c>
      <c r="F2507" s="4" t="n">
        <v>2</v>
      </c>
      <c r="G2507" s="4" t="n">
        <f aca="false">IF(COUNTIF('Letterboxd Watched'!$E$2:$E$3000,M2507)&gt;0,1,0)</f>
        <v>0</v>
      </c>
      <c r="H2507" s="4" t="n">
        <v>5</v>
      </c>
      <c r="I2507" s="4" t="s">
        <v>144</v>
      </c>
      <c r="J2507" s="4" t="s">
        <v>51</v>
      </c>
      <c r="K2507" s="4" t="s">
        <v>5423</v>
      </c>
      <c r="L2507" s="48" t="str">
        <f aca="false">HYPERLINK("https://boxd.it/17eU","open")</f>
        <v>open</v>
      </c>
      <c r="M2507" s="4" t="str">
        <f aca="false">LOWER(A2507)&amp;"|"&amp;B2507</f>
        <v>the white ribbon|2009</v>
      </c>
      <c r="N2507" s="4" t="n">
        <v>0</v>
      </c>
      <c r="O2507" s="4" t="n">
        <v>0</v>
      </c>
      <c r="P2507" s="4" t="n">
        <v>1</v>
      </c>
      <c r="Q2507" s="4" t="n">
        <v>0</v>
      </c>
      <c r="R2507" s="4" t="n">
        <v>1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</row>
    <row r="2508" customFormat="false" ht="15" hidden="false" customHeight="false" outlineLevel="0" collapsed="false">
      <c r="A2508" s="4" t="s">
        <v>3363</v>
      </c>
      <c r="B2508" s="4" t="n">
        <v>1952</v>
      </c>
      <c r="C2508" s="4" t="str">
        <f aca="false">FLOOR(B2508,10)&amp;"s"</f>
        <v>1950s</v>
      </c>
      <c r="D2508" s="4" t="s">
        <v>179</v>
      </c>
      <c r="E2508" s="25" t="str">
        <f aca="false">IF(G2508=1,"✓","")</f>
        <v/>
      </c>
      <c r="F2508" s="4" t="n">
        <v>1</v>
      </c>
      <c r="G2508" s="4" t="n">
        <f aca="false">IF(COUNTIF('Letterboxd Watched'!$E$2:$E$3000,M2508)&gt;0,1,0)</f>
        <v>0</v>
      </c>
      <c r="H2508" s="4" t="n">
        <v>1</v>
      </c>
      <c r="I2508" s="4" t="s">
        <v>1327</v>
      </c>
      <c r="J2508" s="4" t="s">
        <v>53</v>
      </c>
      <c r="K2508" s="4" t="s">
        <v>179</v>
      </c>
      <c r="L2508" s="48" t="str">
        <f aca="false">HYPERLINK("https://letterboxd.com/search/films/The+White+Sheik+1952/","open")</f>
        <v>open</v>
      </c>
      <c r="M2508" s="4" t="str">
        <f aca="false">LOWER(A2508)&amp;"|"&amp;B2508</f>
        <v>the white sheik|1952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1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</row>
    <row r="2509" customFormat="false" ht="15" hidden="false" customHeight="false" outlineLevel="0" collapsed="false">
      <c r="A2509" s="4" t="s">
        <v>1732</v>
      </c>
      <c r="B2509" s="4" t="n">
        <v>1932</v>
      </c>
      <c r="C2509" s="4" t="str">
        <f aca="false">FLOOR(B2509,10)&amp;"s"</f>
        <v>1930s</v>
      </c>
      <c r="D2509" s="4" t="s">
        <v>1733</v>
      </c>
      <c r="E2509" s="25" t="str">
        <f aca="false">IF(G2509=1,"✓","")</f>
        <v/>
      </c>
      <c r="F2509" s="4" t="n">
        <v>1</v>
      </c>
      <c r="G2509" s="4" t="n">
        <f aca="false">IF(COUNTIF('Letterboxd Watched'!$E$2:$E$3000,M2509)&gt;0,1,0)</f>
        <v>0</v>
      </c>
      <c r="H2509" s="4" t="n">
        <v>2</v>
      </c>
      <c r="I2509" s="4" t="s">
        <v>213</v>
      </c>
      <c r="J2509" s="4" t="s">
        <v>52</v>
      </c>
      <c r="K2509" s="4" t="s">
        <v>4068</v>
      </c>
      <c r="L2509" s="48" t="str">
        <f aca="false">HYPERLINK("https://letterboxd.com/search/films/White+Zombie+1932/","open")</f>
        <v>open</v>
      </c>
      <c r="M2509" s="4" t="str">
        <f aca="false">LOWER(A2509)&amp;"|"&amp;B2509</f>
        <v>white zombie|1932</v>
      </c>
      <c r="N2509" s="4" t="n">
        <v>0</v>
      </c>
      <c r="O2509" s="4" t="n">
        <v>0</v>
      </c>
      <c r="P2509" s="4" t="n">
        <v>0</v>
      </c>
      <c r="Q2509" s="4" t="n">
        <v>1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</row>
    <row r="2510" customFormat="false" ht="15" hidden="false" customHeight="false" outlineLevel="0" collapsed="false">
      <c r="A2510" s="4" t="s">
        <v>356</v>
      </c>
      <c r="B2510" s="4" t="n">
        <v>1966</v>
      </c>
      <c r="C2510" s="4" t="str">
        <f aca="false">FLOOR(B2510,10)&amp;"s"</f>
        <v>1960s</v>
      </c>
      <c r="D2510" s="4" t="s">
        <v>357</v>
      </c>
      <c r="E2510" s="25" t="str">
        <f aca="false">IF(G2510=1,"✓","")</f>
        <v/>
      </c>
      <c r="F2510" s="4" t="n">
        <v>4</v>
      </c>
      <c r="G2510" s="4" t="n">
        <f aca="false">IF(COUNTIF('Letterboxd Watched'!$E$2:$E$3000,M2510)&gt;0,1,0)</f>
        <v>0</v>
      </c>
      <c r="H2510" s="4" t="n">
        <v>9</v>
      </c>
      <c r="I2510" s="4" t="s">
        <v>144</v>
      </c>
      <c r="J2510" s="4" t="s">
        <v>53</v>
      </c>
      <c r="K2510" s="4" t="s">
        <v>5916</v>
      </c>
      <c r="L2510" s="48" t="str">
        <f aca="false">HYPERLINK("https://boxd.it/2atK","open")</f>
        <v>open</v>
      </c>
      <c r="M2510" s="4" t="str">
        <f aca="false">LOWER(A2510)&amp;"|"&amp;B2510</f>
        <v>who's afraid of virginia woolf?|1966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1</v>
      </c>
      <c r="S2510" s="4" t="n">
        <v>0</v>
      </c>
      <c r="T2510" s="4" t="n">
        <v>1</v>
      </c>
      <c r="U2510" s="4" t="n">
        <v>1</v>
      </c>
      <c r="V2510" s="4" t="n">
        <v>1</v>
      </c>
      <c r="W2510" s="4" t="n">
        <v>0</v>
      </c>
    </row>
    <row r="2511" customFormat="false" ht="15" hidden="false" customHeight="false" outlineLevel="0" collapsed="false">
      <c r="A2511" s="4" t="s">
        <v>3581</v>
      </c>
      <c r="B2511" s="4" t="n">
        <v>1980</v>
      </c>
      <c r="C2511" s="4" t="str">
        <f aca="false">FLOOR(B2511,10)&amp;"s"</f>
        <v>1980s</v>
      </c>
      <c r="D2511" s="4" t="s">
        <v>3582</v>
      </c>
      <c r="E2511" s="25" t="str">
        <f aca="false">IF(G2511=1,"✓","")</f>
        <v/>
      </c>
      <c r="F2511" s="4" t="n">
        <v>1</v>
      </c>
      <c r="G2511" s="4" t="n">
        <f aca="false">IF(COUNTIF('Letterboxd Watched'!$E$2:$E$3000,M2511)&gt;0,1,0)</f>
        <v>0</v>
      </c>
      <c r="H2511" s="4" t="n">
        <v>1</v>
      </c>
      <c r="I2511" s="4" t="s">
        <v>1327</v>
      </c>
      <c r="J2511" s="4" t="s">
        <v>51</v>
      </c>
      <c r="K2511" s="4" t="s">
        <v>3996</v>
      </c>
      <c r="L2511" s="48" t="str">
        <f aca="false">HYPERLINK("https://letterboxd.com/search/films/Whos+Singin+Over+There+1980/","open")</f>
        <v>open</v>
      </c>
      <c r="M2511" s="4" t="str">
        <f aca="false">LOWER(A2511)&amp;"|"&amp;B2511</f>
        <v>who's singin' over there?|1980</v>
      </c>
      <c r="N2511" s="4" t="n">
        <v>0</v>
      </c>
      <c r="O2511" s="4" t="n">
        <v>0</v>
      </c>
      <c r="P2511" s="4" t="n">
        <v>1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</row>
    <row r="2512" customFormat="false" ht="15" hidden="false" customHeight="false" outlineLevel="0" collapsed="false">
      <c r="A2512" s="4" t="s">
        <v>1497</v>
      </c>
      <c r="B2512" s="4" t="n">
        <v>1973</v>
      </c>
      <c r="C2512" s="4" t="str">
        <f aca="false">FLOOR(B2512,10)&amp;"s"</f>
        <v>1970s</v>
      </c>
      <c r="D2512" s="4" t="s">
        <v>1498</v>
      </c>
      <c r="E2512" s="25" t="str">
        <f aca="false">IF(G2512=1,"✓","")</f>
        <v/>
      </c>
      <c r="F2512" s="4" t="n">
        <v>1</v>
      </c>
      <c r="G2512" s="4" t="n">
        <f aca="false">IF(COUNTIF('Letterboxd Watched'!$E$2:$E$3000,M2512)&gt;0,1,0)</f>
        <v>0</v>
      </c>
      <c r="H2512" s="4" t="n">
        <v>3</v>
      </c>
      <c r="I2512" s="4" t="s">
        <v>144</v>
      </c>
      <c r="J2512" s="4" t="s">
        <v>52</v>
      </c>
      <c r="K2512" s="4" t="s">
        <v>4064</v>
      </c>
      <c r="L2512" s="48" t="str">
        <f aca="false">HYPERLINK("https://boxd.it/1KnG","open")</f>
        <v>open</v>
      </c>
      <c r="M2512" s="4" t="str">
        <f aca="false">LOWER(A2512)&amp;"|"&amp;B2512</f>
        <v>the wicker man|1973</v>
      </c>
      <c r="N2512" s="4" t="n">
        <v>0</v>
      </c>
      <c r="O2512" s="4" t="n">
        <v>0</v>
      </c>
      <c r="P2512" s="4" t="n">
        <v>0</v>
      </c>
      <c r="Q2512" s="4" t="n">
        <v>1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0</v>
      </c>
    </row>
    <row r="2513" customFormat="false" ht="15" hidden="false" customHeight="false" outlineLevel="0" collapsed="false">
      <c r="A2513" s="4" t="s">
        <v>2087</v>
      </c>
      <c r="B2513" s="4" t="n">
        <v>1966</v>
      </c>
      <c r="C2513" s="4" t="str">
        <f aca="false">FLOOR(B2513,10)&amp;"s"</f>
        <v>1960s</v>
      </c>
      <c r="D2513" s="4" t="s">
        <v>2055</v>
      </c>
      <c r="E2513" s="25" t="str">
        <f aca="false">IF(G2513=1,"✓","")</f>
        <v/>
      </c>
      <c r="F2513" s="4" t="n">
        <v>1</v>
      </c>
      <c r="G2513" s="4" t="n">
        <f aca="false">IF(COUNTIF('Letterboxd Watched'!$E$2:$E$3000,M2513)&gt;0,1,0)</f>
        <v>0</v>
      </c>
      <c r="H2513" s="4" t="n">
        <v>2</v>
      </c>
      <c r="I2513" s="4" t="s">
        <v>213</v>
      </c>
      <c r="J2513" s="4" t="s">
        <v>54</v>
      </c>
      <c r="K2513" s="4" t="s">
        <v>4308</v>
      </c>
      <c r="L2513" s="48" t="str">
        <f aca="false">HYPERLINK("https://boxd.it/Wbg","open")</f>
        <v>open</v>
      </c>
      <c r="M2513" s="4" t="str">
        <f aca="false">LOWER(A2513)&amp;"|"&amp;B2513</f>
        <v>the wild angels|1966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1</v>
      </c>
      <c r="T2513" s="4" t="n">
        <v>0</v>
      </c>
      <c r="U2513" s="4" t="n">
        <v>0</v>
      </c>
      <c r="V2513" s="4" t="n">
        <v>0</v>
      </c>
      <c r="W2513" s="4" t="n">
        <v>0</v>
      </c>
    </row>
    <row r="2514" customFormat="false" ht="15" hidden="false" customHeight="false" outlineLevel="0" collapsed="false">
      <c r="A2514" s="4" t="s">
        <v>1100</v>
      </c>
      <c r="B2514" s="4" t="n">
        <v>1990</v>
      </c>
      <c r="C2514" s="4" t="str">
        <f aca="false">FLOOR(B2514,10)&amp;"s"</f>
        <v>1990s</v>
      </c>
      <c r="D2514" s="4" t="s">
        <v>154</v>
      </c>
      <c r="E2514" s="25" t="str">
        <f aca="false">IF(G2514=1,"✓","")</f>
        <v/>
      </c>
      <c r="F2514" s="4" t="n">
        <v>2</v>
      </c>
      <c r="G2514" s="4" t="n">
        <f aca="false">IF(COUNTIF('Letterboxd Watched'!$E$2:$E$3000,M2514)&gt;0,1,0)</f>
        <v>0</v>
      </c>
      <c r="H2514" s="4" t="n">
        <v>4</v>
      </c>
      <c r="I2514" s="4" t="s">
        <v>213</v>
      </c>
      <c r="J2514" s="4" t="s">
        <v>53</v>
      </c>
      <c r="K2514" s="4" t="s">
        <v>5917</v>
      </c>
      <c r="L2514" s="48" t="str">
        <f aca="false">HYPERLINK("https://boxd.it/2aii","open")</f>
        <v>open</v>
      </c>
      <c r="M2514" s="4" t="str">
        <f aca="false">LOWER(A2514)&amp;"|"&amp;B2514</f>
        <v>wild at heart|1990</v>
      </c>
      <c r="N2514" s="4" t="n">
        <v>0</v>
      </c>
      <c r="O2514" s="4" t="n">
        <v>0</v>
      </c>
      <c r="P2514" s="4" t="n">
        <v>0</v>
      </c>
      <c r="Q2514" s="4" t="n">
        <v>0</v>
      </c>
      <c r="R2514" s="4" t="n">
        <v>1</v>
      </c>
      <c r="S2514" s="4" t="n">
        <v>1</v>
      </c>
      <c r="T2514" s="4" t="n">
        <v>0</v>
      </c>
      <c r="U2514" s="4" t="n">
        <v>0</v>
      </c>
      <c r="V2514" s="4" t="n">
        <v>0</v>
      </c>
      <c r="W2514" s="4" t="n">
        <v>0</v>
      </c>
    </row>
    <row r="2515" customFormat="false" ht="15" hidden="false" customHeight="false" outlineLevel="0" collapsed="false">
      <c r="A2515" s="4" t="s">
        <v>782</v>
      </c>
      <c r="B2515" s="4" t="n">
        <v>1969</v>
      </c>
      <c r="C2515" s="4" t="str">
        <f aca="false">FLOOR(B2515,10)&amp;"s"</f>
        <v>1960s</v>
      </c>
      <c r="D2515" s="4" t="s">
        <v>783</v>
      </c>
      <c r="E2515" s="25" t="str">
        <f aca="false">IF(G2515=1,"✓","")</f>
        <v/>
      </c>
      <c r="F2515" s="4" t="n">
        <v>2</v>
      </c>
      <c r="G2515" s="4" t="n">
        <f aca="false">IF(COUNTIF('Letterboxd Watched'!$E$2:$E$3000,M2515)&gt;0,1,0)</f>
        <v>0</v>
      </c>
      <c r="H2515" s="4" t="n">
        <v>5</v>
      </c>
      <c r="I2515" s="4" t="s">
        <v>144</v>
      </c>
      <c r="J2515" s="4" t="s">
        <v>52</v>
      </c>
      <c r="K2515" s="4" t="s">
        <v>5277</v>
      </c>
      <c r="L2515" s="48" t="str">
        <f aca="false">HYPERLINK("https://boxd.it/2a5y","open")</f>
        <v>open</v>
      </c>
      <c r="M2515" s="4" t="str">
        <f aca="false">LOWER(A2515)&amp;"|"&amp;B2515</f>
        <v>the wild bunch|1969</v>
      </c>
      <c r="N2515" s="4" t="n">
        <v>0</v>
      </c>
      <c r="O2515" s="4" t="n">
        <v>0</v>
      </c>
      <c r="P2515" s="4" t="n">
        <v>0</v>
      </c>
      <c r="Q2515" s="4" t="n">
        <v>1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1</v>
      </c>
      <c r="W2515" s="4" t="n">
        <v>0</v>
      </c>
    </row>
    <row r="2516" customFormat="false" ht="15" hidden="false" customHeight="false" outlineLevel="0" collapsed="false">
      <c r="A2516" s="4" t="s">
        <v>3478</v>
      </c>
      <c r="B2516" s="4" t="n">
        <v>1970</v>
      </c>
      <c r="C2516" s="4" t="str">
        <f aca="false">FLOOR(B2516,10)&amp;"s"</f>
        <v>1970s</v>
      </c>
      <c r="D2516" s="4" t="s">
        <v>150</v>
      </c>
      <c r="E2516" s="25" t="str">
        <f aca="false">IF(G2516=1,"✓","")</f>
        <v/>
      </c>
      <c r="F2516" s="4" t="n">
        <v>1</v>
      </c>
      <c r="G2516" s="4" t="n">
        <f aca="false">IF(COUNTIF('Letterboxd Watched'!$E$2:$E$3000,M2516)&gt;0,1,0)</f>
        <v>0</v>
      </c>
      <c r="H2516" s="4" t="n">
        <v>1</v>
      </c>
      <c r="I2516" s="4" t="s">
        <v>1327</v>
      </c>
      <c r="J2516" s="4" t="s">
        <v>53</v>
      </c>
      <c r="K2516" s="4" t="s">
        <v>4226</v>
      </c>
      <c r="L2516" s="48" t="str">
        <f aca="false">HYPERLINK("https://boxd.it/28rW","open")</f>
        <v>open</v>
      </c>
      <c r="M2516" s="4" t="str">
        <f aca="false">LOWER(A2516)&amp;"|"&amp;B2516</f>
        <v>the wild child|1970</v>
      </c>
      <c r="N2516" s="4" t="n">
        <v>0</v>
      </c>
      <c r="O2516" s="4" t="n">
        <v>0</v>
      </c>
      <c r="P2516" s="4" t="n">
        <v>0</v>
      </c>
      <c r="Q2516" s="4" t="n">
        <v>0</v>
      </c>
      <c r="R2516" s="4" t="n">
        <v>1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</row>
    <row r="2517" customFormat="false" ht="15" hidden="false" customHeight="false" outlineLevel="0" collapsed="false">
      <c r="A2517" s="4" t="s">
        <v>169</v>
      </c>
      <c r="B2517" s="4" t="n">
        <v>1957</v>
      </c>
      <c r="C2517" s="4" t="str">
        <f aca="false">FLOOR(B2517,10)&amp;"s"</f>
        <v>1950s</v>
      </c>
      <c r="D2517" s="4" t="s">
        <v>170</v>
      </c>
      <c r="E2517" s="25" t="str">
        <f aca="false">IF(G2517=1,"✓","")</f>
        <v/>
      </c>
      <c r="F2517" s="4" t="n">
        <v>8</v>
      </c>
      <c r="G2517" s="4" t="n">
        <f aca="false">IF(COUNTIF('Letterboxd Watched'!$E$2:$E$3000,M2517)&gt;0,1,0)</f>
        <v>0</v>
      </c>
      <c r="H2517" s="4" t="n">
        <v>18</v>
      </c>
      <c r="I2517" s="4" t="s">
        <v>144</v>
      </c>
      <c r="J2517" s="4" t="s">
        <v>50</v>
      </c>
      <c r="K2517" s="4" t="s">
        <v>5918</v>
      </c>
      <c r="L2517" s="48" t="str">
        <f aca="false">HYPERLINK("https://boxd.it/29ZU","open")</f>
        <v>open</v>
      </c>
      <c r="M2517" s="4" t="str">
        <f aca="false">LOWER(A2517)&amp;"|"&amp;B2517</f>
        <v>wild strawberries|1957</v>
      </c>
      <c r="N2517" s="4" t="n">
        <v>0</v>
      </c>
      <c r="O2517" s="4" t="n">
        <v>1</v>
      </c>
      <c r="P2517" s="4" t="n">
        <v>1</v>
      </c>
      <c r="Q2517" s="4" t="n">
        <v>0</v>
      </c>
      <c r="R2517" s="4" t="n">
        <v>1</v>
      </c>
      <c r="S2517" s="4" t="n">
        <v>0</v>
      </c>
      <c r="T2517" s="4" t="n">
        <v>1</v>
      </c>
      <c r="U2517" s="4" t="n">
        <v>0</v>
      </c>
      <c r="V2517" s="4" t="n">
        <v>1</v>
      </c>
      <c r="W2517" s="4" t="n">
        <v>1</v>
      </c>
    </row>
    <row r="2518" customFormat="false" ht="15" hidden="false" customHeight="false" outlineLevel="0" collapsed="false">
      <c r="A2518" s="4" t="s">
        <v>1210</v>
      </c>
      <c r="B2518" s="4" t="n">
        <v>2014</v>
      </c>
      <c r="C2518" s="4" t="str">
        <f aca="false">FLOOR(B2518,10)&amp;"s"</f>
        <v>2010s</v>
      </c>
      <c r="D2518" s="4" t="s">
        <v>1211</v>
      </c>
      <c r="E2518" s="25" t="str">
        <f aca="false">IF(G2518=1,"✓","")</f>
        <v/>
      </c>
      <c r="F2518" s="4" t="n">
        <v>2</v>
      </c>
      <c r="G2518" s="4" t="n">
        <f aca="false">IF(COUNTIF('Letterboxd Watched'!$E$2:$E$3000,M2518)&gt;0,1,0)</f>
        <v>0</v>
      </c>
      <c r="H2518" s="4" t="n">
        <v>4</v>
      </c>
      <c r="I2518" s="4" t="s">
        <v>213</v>
      </c>
      <c r="J2518" s="4" t="s">
        <v>51</v>
      </c>
      <c r="K2518" s="4" t="s">
        <v>5919</v>
      </c>
      <c r="L2518" s="48" t="str">
        <f aca="false">HYPERLINK("https://boxd.it/7UmK","open")</f>
        <v>open</v>
      </c>
      <c r="M2518" s="4" t="str">
        <f aca="false">LOWER(A2518)&amp;"|"&amp;B2518</f>
        <v>wild tales|2014</v>
      </c>
      <c r="N2518" s="4" t="n">
        <v>0</v>
      </c>
      <c r="O2518" s="4" t="n">
        <v>0</v>
      </c>
      <c r="P2518" s="4" t="n">
        <v>1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1</v>
      </c>
      <c r="V2518" s="4" t="n">
        <v>0</v>
      </c>
      <c r="W2518" s="4" t="n">
        <v>0</v>
      </c>
    </row>
    <row r="2519" customFormat="false" ht="15" hidden="false" customHeight="false" outlineLevel="0" collapsed="false">
      <c r="A2519" s="4" t="s">
        <v>3704</v>
      </c>
      <c r="B2519" s="4" t="n">
        <v>1998</v>
      </c>
      <c r="C2519" s="4" t="str">
        <f aca="false">FLOOR(B2519,10)&amp;"s"</f>
        <v>1990s</v>
      </c>
      <c r="D2519" s="4" t="s">
        <v>3638</v>
      </c>
      <c r="E2519" s="25" t="str">
        <f aca="false">IF(G2519=1,"✓","")</f>
        <v/>
      </c>
      <c r="F2519" s="4" t="n">
        <v>1</v>
      </c>
      <c r="G2519" s="4" t="n">
        <f aca="false">IF(COUNTIF('Letterboxd Watched'!$E$2:$E$3000,M2519)&gt;0,1,0)</f>
        <v>0</v>
      </c>
      <c r="H2519" s="4" t="n">
        <v>1</v>
      </c>
      <c r="I2519" s="4" t="s">
        <v>1327</v>
      </c>
      <c r="J2519" s="4" t="s">
        <v>52</v>
      </c>
      <c r="K2519" s="4" t="s">
        <v>4128</v>
      </c>
      <c r="L2519" s="48" t="str">
        <f aca="false">HYPERLINK("https://boxd.it/29Zq","open")</f>
        <v>open</v>
      </c>
      <c r="M2519" s="4" t="str">
        <f aca="false">LOWER(A2519)&amp;"|"&amp;B2519</f>
        <v>wild things|1998</v>
      </c>
      <c r="N2519" s="4" t="n">
        <v>0</v>
      </c>
      <c r="O2519" s="4" t="n">
        <v>0</v>
      </c>
      <c r="P2519" s="4" t="n">
        <v>0</v>
      </c>
      <c r="Q2519" s="4" t="n">
        <v>1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</row>
    <row r="2520" customFormat="false" ht="15" hidden="false" customHeight="false" outlineLevel="0" collapsed="false">
      <c r="A2520" s="4" t="s">
        <v>1878</v>
      </c>
      <c r="B2520" s="4" t="n">
        <v>1950</v>
      </c>
      <c r="C2520" s="4" t="str">
        <f aca="false">FLOOR(B2520,10)&amp;"s"</f>
        <v>1950s</v>
      </c>
      <c r="D2520" s="4" t="s">
        <v>1843</v>
      </c>
      <c r="E2520" s="25" t="str">
        <f aca="false">IF(G2520=1,"✓","")</f>
        <v>✓</v>
      </c>
      <c r="F2520" s="4" t="n">
        <v>1</v>
      </c>
      <c r="G2520" s="4" t="n">
        <f aca="false">IF(COUNTIF('Letterboxd Watched'!$E$2:$E$3000,M2520)&gt;0,1,0)</f>
        <v>1</v>
      </c>
      <c r="H2520" s="4" t="n">
        <v>2</v>
      </c>
      <c r="I2520" s="4" t="s">
        <v>213</v>
      </c>
      <c r="J2520" s="4" t="s">
        <v>52</v>
      </c>
      <c r="K2520" s="4" t="s">
        <v>4048</v>
      </c>
      <c r="L2520" s="48" t="str">
        <f aca="false">HYPERLINK("https://boxd.it/1NRO","open")</f>
        <v>open</v>
      </c>
      <c r="M2520" s="4" t="str">
        <f aca="false">LOWER(A2520)&amp;"|"&amp;B2520</f>
        <v>winchester '73|1950</v>
      </c>
      <c r="N2520" s="4" t="n">
        <v>0</v>
      </c>
      <c r="O2520" s="4" t="n">
        <v>0</v>
      </c>
      <c r="P2520" s="4" t="n">
        <v>0</v>
      </c>
      <c r="Q2520" s="4" t="n">
        <v>1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</row>
    <row r="2521" customFormat="false" ht="15" hidden="false" customHeight="false" outlineLevel="0" collapsed="false">
      <c r="A2521" s="4" t="s">
        <v>1269</v>
      </c>
      <c r="B2521" s="4" t="n">
        <v>1928</v>
      </c>
      <c r="C2521" s="4" t="str">
        <f aca="false">FLOOR(B2521,10)&amp;"s"</f>
        <v>1920s</v>
      </c>
      <c r="D2521" s="4" t="s">
        <v>1270</v>
      </c>
      <c r="E2521" s="25" t="str">
        <f aca="false">IF(G2521=1,"✓","")</f>
        <v/>
      </c>
      <c r="F2521" s="4" t="n">
        <v>2</v>
      </c>
      <c r="G2521" s="4" t="n">
        <f aca="false">IF(COUNTIF('Letterboxd Watched'!$E$2:$E$3000,M2521)&gt;0,1,0)</f>
        <v>0</v>
      </c>
      <c r="H2521" s="4" t="n">
        <v>4</v>
      </c>
      <c r="I2521" s="4" t="s">
        <v>213</v>
      </c>
      <c r="J2521" s="4" t="s">
        <v>50</v>
      </c>
      <c r="K2521" s="4" t="s">
        <v>5920</v>
      </c>
      <c r="L2521" s="48" t="str">
        <f aca="false">HYPERLINK("https://boxd.it/1j9s","open")</f>
        <v>open</v>
      </c>
      <c r="M2521" s="4" t="str">
        <f aca="false">LOWER(A2521)&amp;"|"&amp;B2521</f>
        <v>the wind|1928</v>
      </c>
      <c r="N2521" s="4" t="n">
        <v>0</v>
      </c>
      <c r="O2521" s="4" t="n">
        <v>1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</row>
    <row r="2522" customFormat="false" ht="15" hidden="false" customHeight="false" outlineLevel="0" collapsed="false">
      <c r="A2522" s="4" t="s">
        <v>3036</v>
      </c>
      <c r="B2522" s="4" t="n">
        <v>2013</v>
      </c>
      <c r="C2522" s="4" t="str">
        <f aca="false">FLOOR(B2522,10)&amp;"s"</f>
        <v>2010s</v>
      </c>
      <c r="D2522" s="4" t="s">
        <v>382</v>
      </c>
      <c r="E2522" s="25" t="str">
        <f aca="false">IF(G2522=1,"✓","")</f>
        <v/>
      </c>
      <c r="F2522" s="4" t="n">
        <v>1</v>
      </c>
      <c r="G2522" s="4" t="n">
        <f aca="false">IF(COUNTIF('Letterboxd Watched'!$E$2:$E$3000,M2522)&gt;0,1,0)</f>
        <v>0</v>
      </c>
      <c r="H2522" s="4" t="n">
        <v>2</v>
      </c>
      <c r="I2522" s="4" t="s">
        <v>213</v>
      </c>
      <c r="J2522" s="4" t="s">
        <v>53</v>
      </c>
      <c r="K2522" s="4" t="s">
        <v>4248</v>
      </c>
      <c r="L2522" s="48" t="str">
        <f aca="false">HYPERLINK("https://boxd.it/4JQS","open")</f>
        <v>open</v>
      </c>
      <c r="M2522" s="4" t="str">
        <f aca="false">LOWER(A2522)&amp;"|"&amp;B2522</f>
        <v>the wind rises|2013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1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</row>
    <row r="2523" customFormat="false" ht="15" hidden="false" customHeight="false" outlineLevel="0" collapsed="false">
      <c r="A2523" s="4" t="s">
        <v>1232</v>
      </c>
      <c r="B2523" s="4" t="n">
        <v>2017</v>
      </c>
      <c r="C2523" s="4" t="str">
        <f aca="false">FLOOR(B2523,10)&amp;"s"</f>
        <v>2010s</v>
      </c>
      <c r="D2523" s="4" t="s">
        <v>1233</v>
      </c>
      <c r="E2523" s="25" t="str">
        <f aca="false">IF(G2523=1,"✓","")</f>
        <v/>
      </c>
      <c r="F2523" s="4" t="n">
        <v>2</v>
      </c>
      <c r="G2523" s="4" t="n">
        <f aca="false">IF(COUNTIF('Letterboxd Watched'!$E$2:$E$3000,M2523)&gt;0,1,0)</f>
        <v>0</v>
      </c>
      <c r="H2523" s="4" t="n">
        <v>4</v>
      </c>
      <c r="I2523" s="4" t="s">
        <v>213</v>
      </c>
      <c r="J2523" s="4" t="s">
        <v>52</v>
      </c>
      <c r="K2523" s="4" t="s">
        <v>5921</v>
      </c>
      <c r="L2523" s="48" t="str">
        <f aca="false">HYPERLINK("https://boxd.it/dR3i","open")</f>
        <v>open</v>
      </c>
      <c r="M2523" s="4" t="str">
        <f aca="false">LOWER(A2523)&amp;"|"&amp;B2523</f>
        <v>wind river|2017</v>
      </c>
      <c r="N2523" s="4" t="n">
        <v>0</v>
      </c>
      <c r="O2523" s="4" t="n">
        <v>0</v>
      </c>
      <c r="P2523" s="4" t="n">
        <v>0</v>
      </c>
      <c r="Q2523" s="4" t="n">
        <v>1</v>
      </c>
      <c r="R2523" s="4" t="n">
        <v>0</v>
      </c>
      <c r="S2523" s="4" t="n">
        <v>0</v>
      </c>
      <c r="T2523" s="4" t="n">
        <v>0</v>
      </c>
      <c r="U2523" s="4" t="n">
        <v>1</v>
      </c>
      <c r="V2523" s="4" t="n">
        <v>0</v>
      </c>
      <c r="W2523" s="4" t="n">
        <v>0</v>
      </c>
    </row>
    <row r="2524" customFormat="false" ht="15" hidden="false" customHeight="false" outlineLevel="0" collapsed="false">
      <c r="A2524" s="4" t="s">
        <v>1125</v>
      </c>
      <c r="B2524" s="4" t="n">
        <v>1999</v>
      </c>
      <c r="C2524" s="4" t="str">
        <f aca="false">FLOOR(B2524,10)&amp;"s"</f>
        <v>1990s</v>
      </c>
      <c r="D2524" s="4" t="s">
        <v>203</v>
      </c>
      <c r="E2524" s="25" t="str">
        <f aca="false">IF(G2524=1,"✓","")</f>
        <v/>
      </c>
      <c r="F2524" s="4" t="n">
        <v>2</v>
      </c>
      <c r="G2524" s="4" t="n">
        <f aca="false">IF(COUNTIF('Letterboxd Watched'!$E$2:$E$3000,M2524)&gt;0,1,0)</f>
        <v>0</v>
      </c>
      <c r="H2524" s="4" t="n">
        <v>4</v>
      </c>
      <c r="I2524" s="4" t="s">
        <v>213</v>
      </c>
      <c r="J2524" s="4" t="s">
        <v>51</v>
      </c>
      <c r="K2524" s="4" t="s">
        <v>5567</v>
      </c>
      <c r="L2524" s="48" t="str">
        <f aca="false">HYPERLINK("https://boxd.it/Uwc","open")</f>
        <v>open</v>
      </c>
      <c r="M2524" s="4" t="str">
        <f aca="false">LOWER(A2524)&amp;"|"&amp;B2524</f>
        <v>the wind will carry us|1999</v>
      </c>
      <c r="N2524" s="4" t="n">
        <v>0</v>
      </c>
      <c r="O2524" s="4" t="n">
        <v>0</v>
      </c>
      <c r="P2524" s="4" t="n">
        <v>1</v>
      </c>
      <c r="Q2524" s="4" t="n">
        <v>0</v>
      </c>
      <c r="R2524" s="4" t="n">
        <v>1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</row>
    <row r="2525" customFormat="false" ht="15" hidden="false" customHeight="false" outlineLevel="0" collapsed="false">
      <c r="A2525" s="4" t="s">
        <v>1965</v>
      </c>
      <c r="B2525" s="4" t="n">
        <v>1959</v>
      </c>
      <c r="C2525" s="4" t="str">
        <f aca="false">FLOOR(B2525,10)&amp;"s"</f>
        <v>1950s</v>
      </c>
      <c r="D2525" s="4" t="s">
        <v>1966</v>
      </c>
      <c r="E2525" s="25" t="str">
        <f aca="false">IF(G2525=1,"✓","")</f>
        <v/>
      </c>
      <c r="F2525" s="4" t="n">
        <v>1</v>
      </c>
      <c r="G2525" s="4" t="n">
        <f aca="false">IF(COUNTIF('Letterboxd Watched'!$E$2:$E$3000,M2525)&gt;0,1,0)</f>
        <v>0</v>
      </c>
      <c r="H2525" s="4" t="n">
        <v>2</v>
      </c>
      <c r="I2525" s="4" t="s">
        <v>213</v>
      </c>
      <c r="J2525" s="4" t="s">
        <v>52</v>
      </c>
      <c r="K2525" s="4" t="s">
        <v>4182</v>
      </c>
      <c r="L2525" s="48" t="str">
        <f aca="false">HYPERLINK("https://letterboxd.com/search/films/Window+Water+Baby+Moving+1959/","open")</f>
        <v>open</v>
      </c>
      <c r="M2525" s="4" t="str">
        <f aca="false">LOWER(A2525)&amp;"|"&amp;B2525</f>
        <v>window water baby moving|1959</v>
      </c>
      <c r="N2525" s="4" t="n">
        <v>0</v>
      </c>
      <c r="O2525" s="4" t="n">
        <v>0</v>
      </c>
      <c r="P2525" s="4" t="n">
        <v>0</v>
      </c>
      <c r="Q2525" s="4" t="n">
        <v>1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</row>
    <row r="2526" customFormat="false" ht="15" hidden="false" customHeight="false" outlineLevel="0" collapsed="false">
      <c r="A2526" s="4" t="s">
        <v>1689</v>
      </c>
      <c r="B2526" s="4" t="n">
        <v>1927</v>
      </c>
      <c r="C2526" s="4" t="str">
        <f aca="false">FLOOR(B2526,10)&amp;"s"</f>
        <v>1920s</v>
      </c>
      <c r="D2526" s="4" t="s">
        <v>564</v>
      </c>
      <c r="E2526" s="25" t="str">
        <f aca="false">IF(G2526=1,"✓","")</f>
        <v/>
      </c>
      <c r="F2526" s="4" t="n">
        <v>1</v>
      </c>
      <c r="G2526" s="4" t="n">
        <f aca="false">IF(COUNTIF('Letterboxd Watched'!$E$2:$E$3000,M2526)&gt;0,1,0)</f>
        <v>0</v>
      </c>
      <c r="H2526" s="4" t="n">
        <v>2</v>
      </c>
      <c r="I2526" s="4" t="s">
        <v>213</v>
      </c>
      <c r="J2526" s="4" t="s">
        <v>50</v>
      </c>
      <c r="K2526" s="4" t="s">
        <v>3894</v>
      </c>
      <c r="L2526" s="48" t="str">
        <f aca="false">HYPERLINK("https://boxd.it/1osO","open")</f>
        <v>open</v>
      </c>
      <c r="M2526" s="4" t="str">
        <f aca="false">LOWER(A2526)&amp;"|"&amp;B2526</f>
        <v>wings|1927</v>
      </c>
      <c r="N2526" s="4" t="n">
        <v>0</v>
      </c>
      <c r="O2526" s="4" t="n">
        <v>1</v>
      </c>
      <c r="P2526" s="4" t="n">
        <v>0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</row>
    <row r="2527" customFormat="false" ht="15" hidden="false" customHeight="false" outlineLevel="0" collapsed="false">
      <c r="A2527" s="4" t="s">
        <v>1689</v>
      </c>
      <c r="B2527" s="4" t="n">
        <v>1966</v>
      </c>
      <c r="C2527" s="4" t="str">
        <f aca="false">FLOOR(B2527,10)&amp;"s"</f>
        <v>1960s</v>
      </c>
      <c r="D2527" s="4" t="s">
        <v>1035</v>
      </c>
      <c r="E2527" s="25" t="str">
        <f aca="false">IF(G2527=1,"✓","")</f>
        <v/>
      </c>
      <c r="F2527" s="4" t="n">
        <v>1</v>
      </c>
      <c r="G2527" s="4" t="n">
        <f aca="false">IF(COUNTIF('Letterboxd Watched'!$E$2:$E$3000,M2527)&gt;0,1,0)</f>
        <v>0</v>
      </c>
      <c r="H2527" s="4" t="n">
        <v>1</v>
      </c>
      <c r="I2527" s="4" t="s">
        <v>1327</v>
      </c>
      <c r="J2527" s="4" t="s">
        <v>51</v>
      </c>
      <c r="K2527" s="4" t="s">
        <v>3990</v>
      </c>
      <c r="L2527" s="48" t="str">
        <f aca="false">HYPERLINK("https://boxd.it/EDw","open")</f>
        <v>open</v>
      </c>
      <c r="M2527" s="4" t="str">
        <f aca="false">LOWER(A2527)&amp;"|"&amp;B2527</f>
        <v>wings|1966</v>
      </c>
      <c r="N2527" s="4" t="n">
        <v>0</v>
      </c>
      <c r="O2527" s="4" t="n">
        <v>0</v>
      </c>
      <c r="P2527" s="4" t="n">
        <v>1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</row>
    <row r="2528" customFormat="false" ht="15" hidden="false" customHeight="false" outlineLevel="0" collapsed="false">
      <c r="A2528" s="4" t="s">
        <v>1081</v>
      </c>
      <c r="B2528" s="4" t="n">
        <v>1987</v>
      </c>
      <c r="C2528" s="4" t="str">
        <f aca="false">FLOOR(B2528,10)&amp;"s"</f>
        <v>1980s</v>
      </c>
      <c r="D2528" s="4" t="s">
        <v>365</v>
      </c>
      <c r="E2528" s="25" t="str">
        <f aca="false">IF(G2528=1,"✓","")</f>
        <v/>
      </c>
      <c r="F2528" s="4" t="n">
        <v>2</v>
      </c>
      <c r="G2528" s="4" t="n">
        <f aca="false">IF(COUNTIF('Letterboxd Watched'!$E$2:$E$3000,M2528)&gt;0,1,0)</f>
        <v>0</v>
      </c>
      <c r="H2528" s="4" t="n">
        <v>4</v>
      </c>
      <c r="I2528" s="4" t="s">
        <v>213</v>
      </c>
      <c r="J2528" s="4" t="s">
        <v>51</v>
      </c>
      <c r="K2528" s="4" t="s">
        <v>5922</v>
      </c>
      <c r="L2528" s="48" t="str">
        <f aca="false">HYPERLINK("https://boxd.it/2b26","open")</f>
        <v>open</v>
      </c>
      <c r="M2528" s="4" t="str">
        <f aca="false">LOWER(A2528)&amp;"|"&amp;B2528</f>
        <v>wings of desire|1987</v>
      </c>
      <c r="N2528" s="4" t="n">
        <v>0</v>
      </c>
      <c r="O2528" s="4" t="n">
        <v>0</v>
      </c>
      <c r="P2528" s="4" t="n">
        <v>1</v>
      </c>
      <c r="Q2528" s="4" t="n">
        <v>0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1</v>
      </c>
      <c r="W2528" s="4" t="n">
        <v>0</v>
      </c>
    </row>
    <row r="2529" customFormat="false" ht="15" hidden="false" customHeight="false" outlineLevel="0" collapsed="false">
      <c r="A2529" s="4" t="s">
        <v>3577</v>
      </c>
      <c r="B2529" s="4" t="n">
        <v>1979</v>
      </c>
      <c r="C2529" s="4" t="str">
        <f aca="false">FLOOR(B2529,10)&amp;"s"</f>
        <v>1970s</v>
      </c>
      <c r="D2529" s="4" t="s">
        <v>3578</v>
      </c>
      <c r="E2529" s="25" t="str">
        <f aca="false">IF(G2529=1,"✓","")</f>
        <v/>
      </c>
      <c r="F2529" s="4" t="n">
        <v>1</v>
      </c>
      <c r="G2529" s="4" t="n">
        <f aca="false">IF(COUNTIF('Letterboxd Watched'!$E$2:$E$3000,M2529)&gt;0,1,0)</f>
        <v>0</v>
      </c>
      <c r="H2529" s="4" t="n">
        <v>1</v>
      </c>
      <c r="I2529" s="4" t="s">
        <v>1327</v>
      </c>
      <c r="J2529" s="4" t="s">
        <v>52</v>
      </c>
      <c r="K2529" s="4" t="s">
        <v>4126</v>
      </c>
      <c r="L2529" s="48" t="str">
        <f aca="false">HYPERLINK("https://boxd.it/XxC","open")</f>
        <v>open</v>
      </c>
      <c r="M2529" s="4" t="str">
        <f aca="false">LOWER(A2529)&amp;"|"&amp;B2529</f>
        <v>winter kills|1979</v>
      </c>
      <c r="N2529" s="4" t="n">
        <v>0</v>
      </c>
      <c r="O2529" s="4" t="n">
        <v>0</v>
      </c>
      <c r="P2529" s="4" t="n">
        <v>0</v>
      </c>
      <c r="Q2529" s="4" t="n">
        <v>1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</row>
    <row r="2530" customFormat="false" ht="15" hidden="false" customHeight="false" outlineLevel="0" collapsed="false">
      <c r="A2530" s="4" t="s">
        <v>288</v>
      </c>
      <c r="B2530" s="4" t="n">
        <v>1963</v>
      </c>
      <c r="C2530" s="4" t="str">
        <f aca="false">FLOOR(B2530,10)&amp;"s"</f>
        <v>1960s</v>
      </c>
      <c r="D2530" s="4" t="s">
        <v>170</v>
      </c>
      <c r="E2530" s="25" t="str">
        <f aca="false">IF(G2530=1,"✓","")</f>
        <v/>
      </c>
      <c r="F2530" s="4" t="n">
        <v>4</v>
      </c>
      <c r="G2530" s="4" t="n">
        <f aca="false">IF(COUNTIF('Letterboxd Watched'!$E$2:$E$3000,M2530)&gt;0,1,0)</f>
        <v>0</v>
      </c>
      <c r="H2530" s="4" t="n">
        <v>11</v>
      </c>
      <c r="I2530" s="4" t="s">
        <v>144</v>
      </c>
      <c r="J2530" s="4" t="s">
        <v>53</v>
      </c>
      <c r="K2530" s="4" t="s">
        <v>5923</v>
      </c>
      <c r="L2530" s="48" t="str">
        <f aca="false">HYPERLINK("https://boxd.it/1nrU","open")</f>
        <v>open</v>
      </c>
      <c r="M2530" s="4" t="str">
        <f aca="false">LOWER(A2530)&amp;"|"&amp;B2530</f>
        <v>winter light|1963</v>
      </c>
      <c r="N2530" s="4" t="n">
        <v>0</v>
      </c>
      <c r="O2530" s="4" t="n">
        <v>0</v>
      </c>
      <c r="P2530" s="4" t="n">
        <v>0</v>
      </c>
      <c r="Q2530" s="4" t="n">
        <v>0</v>
      </c>
      <c r="R2530" s="4" t="n">
        <v>1</v>
      </c>
      <c r="S2530" s="4" t="n">
        <v>0</v>
      </c>
      <c r="T2530" s="4" t="n">
        <v>1</v>
      </c>
      <c r="U2530" s="4" t="n">
        <v>0</v>
      </c>
      <c r="V2530" s="4" t="n">
        <v>1</v>
      </c>
      <c r="W2530" s="4" t="n">
        <v>1</v>
      </c>
    </row>
    <row r="2531" customFormat="false" ht="15" hidden="false" customHeight="false" outlineLevel="0" collapsed="false">
      <c r="A2531" s="4" t="s">
        <v>2952</v>
      </c>
      <c r="B2531" s="4" t="n">
        <v>2010</v>
      </c>
      <c r="C2531" s="4" t="str">
        <f aca="false">FLOOR(B2531,10)&amp;"s"</f>
        <v>2010s</v>
      </c>
      <c r="D2531" s="4" t="s">
        <v>1420</v>
      </c>
      <c r="E2531" s="25" t="str">
        <f aca="false">IF(G2531=1,"✓","")</f>
        <v/>
      </c>
      <c r="F2531" s="4" t="n">
        <v>1</v>
      </c>
      <c r="G2531" s="4" t="n">
        <f aca="false">IF(COUNTIF('Letterboxd Watched'!$E$2:$E$3000,M2531)&gt;0,1,0)</f>
        <v>0</v>
      </c>
      <c r="H2531" s="4" t="n">
        <v>2</v>
      </c>
      <c r="I2531" s="4" t="s">
        <v>213</v>
      </c>
      <c r="J2531" s="4" t="s">
        <v>53</v>
      </c>
      <c r="K2531" s="4" t="s">
        <v>4219</v>
      </c>
      <c r="L2531" s="48" t="str">
        <f aca="false">HYPERLINK("https://boxd.it/14FI","open")</f>
        <v>open</v>
      </c>
      <c r="M2531" s="4" t="str">
        <f aca="false">LOWER(A2531)&amp;"|"&amp;B2531</f>
        <v>winter's bone|2010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1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</row>
    <row r="2532" customFormat="false" ht="15" hidden="false" customHeight="false" outlineLevel="0" collapsed="false">
      <c r="A2532" s="4" t="s">
        <v>1212</v>
      </c>
      <c r="B2532" s="4" t="n">
        <v>2014</v>
      </c>
      <c r="C2532" s="4" t="str">
        <f aca="false">FLOOR(B2532,10)&amp;"s"</f>
        <v>2010s</v>
      </c>
      <c r="D2532" s="4" t="s">
        <v>1213</v>
      </c>
      <c r="E2532" s="25" t="str">
        <f aca="false">IF(G2532=1,"✓","")</f>
        <v/>
      </c>
      <c r="F2532" s="4" t="n">
        <v>2</v>
      </c>
      <c r="G2532" s="4" t="n">
        <f aca="false">IF(COUNTIF('Letterboxd Watched'!$E$2:$E$3000,M2532)&gt;0,1,0)</f>
        <v>0</v>
      </c>
      <c r="H2532" s="4" t="n">
        <v>4</v>
      </c>
      <c r="I2532" s="4" t="s">
        <v>213</v>
      </c>
      <c r="J2532" s="4" t="s">
        <v>51</v>
      </c>
      <c r="K2532" s="4" t="s">
        <v>5924</v>
      </c>
      <c r="L2532" s="48" t="str">
        <f aca="false">HYPERLINK("https://boxd.it/7Ua0","open")</f>
        <v>open</v>
      </c>
      <c r="M2532" s="4" t="str">
        <f aca="false">LOWER(A2532)&amp;"|"&amp;B2532</f>
        <v>winter sleep|2014</v>
      </c>
      <c r="N2532" s="4" t="n">
        <v>0</v>
      </c>
      <c r="O2532" s="4" t="n">
        <v>0</v>
      </c>
      <c r="P2532" s="4" t="n">
        <v>1</v>
      </c>
      <c r="Q2532" s="4" t="n">
        <v>0</v>
      </c>
      <c r="R2532" s="4" t="n">
        <v>0</v>
      </c>
      <c r="S2532" s="4" t="n">
        <v>0</v>
      </c>
      <c r="T2532" s="4" t="n">
        <v>0</v>
      </c>
      <c r="U2532" s="4" t="n">
        <v>1</v>
      </c>
      <c r="V2532" s="4" t="n">
        <v>0</v>
      </c>
      <c r="W2532" s="4" t="n">
        <v>0</v>
      </c>
    </row>
    <row r="2533" customFormat="false" ht="15" hidden="false" customHeight="false" outlineLevel="0" collapsed="false">
      <c r="A2533" s="4" t="s">
        <v>1363</v>
      </c>
      <c r="B2533" s="4" t="n">
        <v>1979</v>
      </c>
      <c r="C2533" s="4" t="str">
        <f aca="false">FLOOR(B2533,10)&amp;"s"</f>
        <v>1970s</v>
      </c>
      <c r="D2533" s="4" t="s">
        <v>283</v>
      </c>
      <c r="E2533" s="25" t="str">
        <f aca="false">IF(G2533=1,"✓","")</f>
        <v/>
      </c>
      <c r="F2533" s="4" t="n">
        <v>2</v>
      </c>
      <c r="G2533" s="4" t="n">
        <f aca="false">IF(COUNTIF('Letterboxd Watched'!$E$2:$E$3000,M2533)&gt;0,1,0)</f>
        <v>0</v>
      </c>
      <c r="H2533" s="4" t="n">
        <v>3</v>
      </c>
      <c r="I2533" s="4" t="s">
        <v>213</v>
      </c>
      <c r="J2533" s="4" t="s">
        <v>55</v>
      </c>
      <c r="K2533" s="4" t="s">
        <v>5925</v>
      </c>
      <c r="L2533" s="48" t="str">
        <f aca="false">HYPERLINK("https://boxd.it/Xxs","open")</f>
        <v>open</v>
      </c>
      <c r="M2533" s="4" t="str">
        <f aca="false">LOWER(A2533)&amp;"|"&amp;B2533</f>
        <v>wise blood|1979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1</v>
      </c>
      <c r="U2533" s="4" t="n">
        <v>1</v>
      </c>
      <c r="V2533" s="4" t="n">
        <v>0</v>
      </c>
      <c r="W2533" s="4" t="n">
        <v>0</v>
      </c>
    </row>
    <row r="2534" customFormat="false" ht="15" hidden="false" customHeight="false" outlineLevel="0" collapsed="false">
      <c r="A2534" s="4" t="s">
        <v>691</v>
      </c>
      <c r="B2534" s="4" t="n">
        <v>2015</v>
      </c>
      <c r="C2534" s="4" t="str">
        <f aca="false">FLOOR(B2534,10)&amp;"s"</f>
        <v>2010s</v>
      </c>
      <c r="D2534" s="4" t="s">
        <v>692</v>
      </c>
      <c r="E2534" s="25" t="str">
        <f aca="false">IF(G2534=1,"✓","")</f>
        <v/>
      </c>
      <c r="F2534" s="4" t="n">
        <v>3</v>
      </c>
      <c r="G2534" s="4" t="n">
        <f aca="false">IF(COUNTIF('Letterboxd Watched'!$E$2:$E$3000,M2534)&gt;0,1,0)</f>
        <v>0</v>
      </c>
      <c r="H2534" s="4" t="n">
        <v>6</v>
      </c>
      <c r="I2534" s="4" t="s">
        <v>213</v>
      </c>
      <c r="J2534" s="4" t="s">
        <v>52</v>
      </c>
      <c r="K2534" s="4" t="s">
        <v>5926</v>
      </c>
      <c r="L2534" s="48" t="str">
        <f aca="false">HYPERLINK("https://boxd.it/9X0m","open")</f>
        <v>open</v>
      </c>
      <c r="M2534" s="4" t="str">
        <f aca="false">LOWER(A2534)&amp;"|"&amp;B2534</f>
        <v>the witch|2015</v>
      </c>
      <c r="N2534" s="4" t="n">
        <v>0</v>
      </c>
      <c r="O2534" s="4" t="n">
        <v>0</v>
      </c>
      <c r="P2534" s="4" t="n">
        <v>0</v>
      </c>
      <c r="Q2534" s="4" t="n">
        <v>1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1</v>
      </c>
      <c r="W2534" s="4" t="n">
        <v>0</v>
      </c>
    </row>
    <row r="2535" customFormat="false" ht="15" hidden="false" customHeight="false" outlineLevel="0" collapsed="false">
      <c r="A2535" s="4" t="s">
        <v>886</v>
      </c>
      <c r="B2535" s="4" t="n">
        <v>1968</v>
      </c>
      <c r="C2535" s="4" t="str">
        <f aca="false">FLOOR(B2535,10)&amp;"s"</f>
        <v>1960s</v>
      </c>
      <c r="D2535" s="4" t="s">
        <v>887</v>
      </c>
      <c r="E2535" s="25" t="str">
        <f aca="false">IF(G2535=1,"✓","")</f>
        <v/>
      </c>
      <c r="F2535" s="4" t="n">
        <v>2</v>
      </c>
      <c r="G2535" s="4" t="n">
        <f aca="false">IF(COUNTIF('Letterboxd Watched'!$E$2:$E$3000,M2535)&gt;0,1,0)</f>
        <v>0</v>
      </c>
      <c r="H2535" s="4" t="n">
        <v>5</v>
      </c>
      <c r="I2535" s="4" t="s">
        <v>144</v>
      </c>
      <c r="J2535" s="4" t="s">
        <v>52</v>
      </c>
      <c r="K2535" s="4" t="s">
        <v>5927</v>
      </c>
      <c r="L2535" s="48" t="str">
        <f aca="false">HYPERLINK("https://letterboxd.com/search/films/Witchfinder+General+1968/","open")</f>
        <v>open</v>
      </c>
      <c r="M2535" s="4" t="str">
        <f aca="false">LOWER(A2535)&amp;"|"&amp;B2535</f>
        <v>witchfinder general|1968</v>
      </c>
      <c r="N2535" s="4" t="n">
        <v>0</v>
      </c>
      <c r="O2535" s="4" t="n">
        <v>0</v>
      </c>
      <c r="P2535" s="4" t="n">
        <v>0</v>
      </c>
      <c r="Q2535" s="4" t="n">
        <v>1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</row>
    <row r="2536" customFormat="false" ht="15" hidden="false" customHeight="false" outlineLevel="0" collapsed="false">
      <c r="A2536" s="4" t="s">
        <v>721</v>
      </c>
      <c r="B2536" s="4" t="n">
        <v>1920</v>
      </c>
      <c r="C2536" s="4" t="str">
        <f aca="false">FLOOR(B2536,10)&amp;"s"</f>
        <v>1920s</v>
      </c>
      <c r="D2536" s="4" t="s">
        <v>722</v>
      </c>
      <c r="E2536" s="25" t="str">
        <f aca="false">IF(G2536=1,"✓","")</f>
        <v/>
      </c>
      <c r="F2536" s="4" t="n">
        <v>2</v>
      </c>
      <c r="G2536" s="4" t="n">
        <f aca="false">IF(COUNTIF('Letterboxd Watched'!$E$2:$E$3000,M2536)&gt;0,1,0)</f>
        <v>0</v>
      </c>
      <c r="H2536" s="4" t="n">
        <v>5</v>
      </c>
      <c r="I2536" s="4" t="s">
        <v>144</v>
      </c>
      <c r="J2536" s="4" t="s">
        <v>50</v>
      </c>
      <c r="K2536" s="4" t="s">
        <v>5928</v>
      </c>
      <c r="L2536" s="48" t="str">
        <f aca="false">HYPERLINK("https://letterboxd.com/search/films/Within+Our+Gates+1920/","open")</f>
        <v>open</v>
      </c>
      <c r="M2536" s="4" t="str">
        <f aca="false">LOWER(A2536)&amp;"|"&amp;B2536</f>
        <v>within our gates|1920</v>
      </c>
      <c r="N2536" s="4" t="n">
        <v>0</v>
      </c>
      <c r="O2536" s="4" t="n">
        <v>1</v>
      </c>
      <c r="P2536" s="4" t="n">
        <v>0</v>
      </c>
      <c r="Q2536" s="4" t="n">
        <v>0</v>
      </c>
      <c r="R2536" s="4" t="n">
        <v>0</v>
      </c>
      <c r="S2536" s="4" t="n">
        <v>1</v>
      </c>
      <c r="T2536" s="4" t="n">
        <v>0</v>
      </c>
      <c r="U2536" s="4" t="n">
        <v>0</v>
      </c>
      <c r="V2536" s="4" t="n">
        <v>0</v>
      </c>
      <c r="W2536" s="4" t="n">
        <v>0</v>
      </c>
    </row>
    <row r="2537" customFormat="false" ht="15" hidden="false" customHeight="false" outlineLevel="0" collapsed="false">
      <c r="A2537" s="4" t="s">
        <v>2463</v>
      </c>
      <c r="B2537" s="4" t="n">
        <v>1987</v>
      </c>
      <c r="C2537" s="4" t="str">
        <f aca="false">FLOOR(B2537,10)&amp;"s"</f>
        <v>1980s</v>
      </c>
      <c r="D2537" s="4" t="s">
        <v>2464</v>
      </c>
      <c r="E2537" s="25" t="str">
        <f aca="false">IF(G2537=1,"✓","")</f>
        <v/>
      </c>
      <c r="F2537" s="4" t="n">
        <v>1</v>
      </c>
      <c r="G2537" s="4" t="n">
        <f aca="false">IF(COUNTIF('Letterboxd Watched'!$E$2:$E$3000,M2537)&gt;0,1,0)</f>
        <v>0</v>
      </c>
      <c r="H2537" s="4" t="n">
        <v>2</v>
      </c>
      <c r="I2537" s="4" t="s">
        <v>213</v>
      </c>
      <c r="J2537" s="4" t="s">
        <v>57</v>
      </c>
      <c r="K2537" s="4" t="s">
        <v>4430</v>
      </c>
      <c r="L2537" s="48" t="str">
        <f aca="false">HYPERLINK("https://boxd.it/1Qa4","open")</f>
        <v>open</v>
      </c>
      <c r="M2537" s="4" t="str">
        <f aca="false">LOWER(A2537)&amp;"|"&amp;B2537</f>
        <v>withnail &amp; i|1987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1</v>
      </c>
      <c r="W2537" s="4" t="n">
        <v>0</v>
      </c>
    </row>
    <row r="2538" customFormat="false" ht="15" hidden="false" customHeight="false" outlineLevel="0" collapsed="false">
      <c r="A2538" s="4" t="s">
        <v>2410</v>
      </c>
      <c r="B2538" s="4" t="n">
        <v>1985</v>
      </c>
      <c r="C2538" s="4" t="str">
        <f aca="false">FLOOR(B2538,10)&amp;"s"</f>
        <v>1980s</v>
      </c>
      <c r="D2538" s="4" t="s">
        <v>439</v>
      </c>
      <c r="E2538" s="25" t="str">
        <f aca="false">IF(G2538=1,"✓","")</f>
        <v>✓</v>
      </c>
      <c r="F2538" s="4" t="n">
        <v>1</v>
      </c>
      <c r="G2538" s="4" t="n">
        <f aca="false">IF(COUNTIF('Letterboxd Watched'!$E$2:$E$3000,M2538)&gt;0,1,0)</f>
        <v>1</v>
      </c>
      <c r="H2538" s="4" t="n">
        <v>2</v>
      </c>
      <c r="I2538" s="4" t="s">
        <v>213</v>
      </c>
      <c r="J2538" s="4" t="s">
        <v>49</v>
      </c>
      <c r="K2538" s="4" t="s">
        <v>3890</v>
      </c>
      <c r="L2538" s="48" t="str">
        <f aca="false">HYPERLINK("https://boxd.it/1Z4O","open")</f>
        <v>open</v>
      </c>
      <c r="M2538" s="4" t="str">
        <f aca="false">LOWER(A2538)&amp;"|"&amp;B2538</f>
        <v>witness|1985</v>
      </c>
      <c r="N2538" s="4" t="n">
        <v>1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</row>
    <row r="2539" customFormat="false" ht="15" hidden="false" customHeight="false" outlineLevel="0" collapsed="false">
      <c r="A2539" s="4" t="s">
        <v>947</v>
      </c>
      <c r="B2539" s="4" t="n">
        <v>1957</v>
      </c>
      <c r="C2539" s="4" t="str">
        <f aca="false">FLOOR(B2539,10)&amp;"s"</f>
        <v>1950s</v>
      </c>
      <c r="D2539" s="4" t="s">
        <v>200</v>
      </c>
      <c r="E2539" s="25" t="str">
        <f aca="false">IF(G2539=1,"✓","")</f>
        <v/>
      </c>
      <c r="F2539" s="4" t="n">
        <v>2</v>
      </c>
      <c r="G2539" s="4" t="n">
        <f aca="false">IF(COUNTIF('Letterboxd Watched'!$E$2:$E$3000,M2539)&gt;0,1,0)</f>
        <v>0</v>
      </c>
      <c r="H2539" s="4" t="n">
        <v>4</v>
      </c>
      <c r="I2539" s="4" t="s">
        <v>213</v>
      </c>
      <c r="J2539" s="4" t="s">
        <v>53</v>
      </c>
      <c r="K2539" s="4" t="s">
        <v>5929</v>
      </c>
      <c r="L2539" s="48" t="str">
        <f aca="false">HYPERLINK("https://boxd.it/18H4","open")</f>
        <v>open</v>
      </c>
      <c r="M2539" s="4" t="str">
        <f aca="false">LOWER(A2539)&amp;"|"&amp;B2539</f>
        <v>witness for the prosecution|1957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1</v>
      </c>
      <c r="S2539" s="4" t="n">
        <v>0</v>
      </c>
      <c r="T2539" s="4" t="n">
        <v>1</v>
      </c>
      <c r="U2539" s="4" t="n">
        <v>0</v>
      </c>
      <c r="V2539" s="4" t="n">
        <v>0</v>
      </c>
      <c r="W2539" s="4" t="n">
        <v>0</v>
      </c>
    </row>
    <row r="2540" customFormat="false" ht="15" hidden="false" customHeight="false" outlineLevel="0" collapsed="false">
      <c r="A2540" s="4" t="s">
        <v>3677</v>
      </c>
      <c r="B2540" s="4" t="n">
        <v>1993</v>
      </c>
      <c r="C2540" s="4" t="str">
        <f aca="false">FLOOR(B2540,10)&amp;"s"</f>
        <v>1990s</v>
      </c>
      <c r="D2540" s="4" t="s">
        <v>3668</v>
      </c>
      <c r="E2540" s="25" t="str">
        <f aca="false">IF(G2540=1,"✓","")</f>
        <v/>
      </c>
      <c r="F2540" s="4" t="n">
        <v>1</v>
      </c>
      <c r="G2540" s="4" t="n">
        <f aca="false">IF(COUNTIF('Letterboxd Watched'!$E$2:$E$3000,M2540)&gt;0,1,0)</f>
        <v>0</v>
      </c>
      <c r="H2540" s="4" t="n">
        <v>1</v>
      </c>
      <c r="I2540" s="4" t="s">
        <v>1327</v>
      </c>
      <c r="J2540" s="4" t="s">
        <v>55</v>
      </c>
      <c r="K2540" s="4" t="s">
        <v>4328</v>
      </c>
      <c r="L2540" s="48" t="str">
        <f aca="false">HYPERLINK("https://letterboxd.com/search/films/Wittgenstein+1993/","open")</f>
        <v>open</v>
      </c>
      <c r="M2540" s="4" t="str">
        <f aca="false">LOWER(A2540)&amp;"|"&amp;B2540</f>
        <v>wittgenstein|1993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0</v>
      </c>
      <c r="T2540" s="4" t="n">
        <v>1</v>
      </c>
      <c r="U2540" s="4" t="n">
        <v>0</v>
      </c>
      <c r="V2540" s="4" t="n">
        <v>0</v>
      </c>
      <c r="W2540" s="4" t="n">
        <v>0</v>
      </c>
    </row>
    <row r="2541" customFormat="false" ht="15" hidden="false" customHeight="false" outlineLevel="0" collapsed="false">
      <c r="A2541" s="4" t="s">
        <v>345</v>
      </c>
      <c r="B2541" s="4" t="n">
        <v>1939</v>
      </c>
      <c r="C2541" s="4" t="str">
        <f aca="false">FLOOR(B2541,10)&amp;"s"</f>
        <v>1930s</v>
      </c>
      <c r="D2541" s="4" t="s">
        <v>346</v>
      </c>
      <c r="E2541" s="25" t="str">
        <f aca="false">IF(G2541=1,"✓","")</f>
        <v/>
      </c>
      <c r="F2541" s="4" t="n">
        <v>4</v>
      </c>
      <c r="G2541" s="4" t="n">
        <f aca="false">IF(COUNTIF('Letterboxd Watched'!$E$2:$E$3000,M2541)&gt;0,1,0)</f>
        <v>0</v>
      </c>
      <c r="H2541" s="4" t="n">
        <v>9</v>
      </c>
      <c r="I2541" s="4" t="s">
        <v>144</v>
      </c>
      <c r="J2541" s="4" t="s">
        <v>50</v>
      </c>
      <c r="K2541" s="4" t="s">
        <v>5930</v>
      </c>
      <c r="L2541" s="48" t="str">
        <f aca="false">HYPERLINK("https://boxd.it/29Xu","open")</f>
        <v>open</v>
      </c>
      <c r="M2541" s="4" t="str">
        <f aca="false">LOWER(A2541)&amp;"|"&amp;B2541</f>
        <v>the wizard of oz|1939</v>
      </c>
      <c r="N2541" s="4" t="n">
        <v>0</v>
      </c>
      <c r="O2541" s="4" t="n">
        <v>1</v>
      </c>
      <c r="P2541" s="4" t="n">
        <v>0</v>
      </c>
      <c r="Q2541" s="4" t="n">
        <v>1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1</v>
      </c>
      <c r="W2541" s="4" t="n">
        <v>1</v>
      </c>
    </row>
    <row r="2542" customFormat="false" ht="15" hidden="false" customHeight="false" outlineLevel="0" collapsed="false">
      <c r="A2542" s="4" t="s">
        <v>1792</v>
      </c>
      <c r="B2542" s="4" t="n">
        <v>1941</v>
      </c>
      <c r="C2542" s="4" t="str">
        <f aca="false">FLOOR(B2542,10)&amp;"s"</f>
        <v>1940s</v>
      </c>
      <c r="D2542" s="4" t="s">
        <v>1793</v>
      </c>
      <c r="E2542" s="25" t="str">
        <f aca="false">IF(G2542=1,"✓","")</f>
        <v/>
      </c>
      <c r="F2542" s="4" t="n">
        <v>1</v>
      </c>
      <c r="G2542" s="4" t="n">
        <f aca="false">IF(COUNTIF('Letterboxd Watched'!$E$2:$E$3000,M2542)&gt;0,1,0)</f>
        <v>0</v>
      </c>
      <c r="H2542" s="4" t="n">
        <v>2</v>
      </c>
      <c r="I2542" s="4" t="s">
        <v>213</v>
      </c>
      <c r="J2542" s="4" t="s">
        <v>52</v>
      </c>
      <c r="K2542" s="4" t="s">
        <v>4058</v>
      </c>
      <c r="L2542" s="48" t="str">
        <f aca="false">HYPERLINK("https://boxd.it/1PG4","open")</f>
        <v>open</v>
      </c>
      <c r="M2542" s="4" t="str">
        <f aca="false">LOWER(A2542)&amp;"|"&amp;B2542</f>
        <v>the wolf man|1941</v>
      </c>
      <c r="N2542" s="4" t="n">
        <v>0</v>
      </c>
      <c r="O2542" s="4" t="n">
        <v>0</v>
      </c>
      <c r="P2542" s="4" t="n">
        <v>0</v>
      </c>
      <c r="Q2542" s="4" t="n">
        <v>1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</row>
    <row r="2543" customFormat="false" ht="15" hidden="false" customHeight="false" outlineLevel="0" collapsed="false">
      <c r="A2543" s="4" t="s">
        <v>3032</v>
      </c>
      <c r="B2543" s="4" t="n">
        <v>2013</v>
      </c>
      <c r="C2543" s="4" t="str">
        <f aca="false">FLOOR(B2543,10)&amp;"s"</f>
        <v>2010s</v>
      </c>
      <c r="D2543" s="4" t="s">
        <v>164</v>
      </c>
      <c r="E2543" s="25" t="str">
        <f aca="false">IF(G2543=1,"✓","")</f>
        <v>✓</v>
      </c>
      <c r="F2543" s="4" t="n">
        <v>1</v>
      </c>
      <c r="G2543" s="4" t="n">
        <f aca="false">IF(COUNTIF('Letterboxd Watched'!$E$2:$E$3000,M2543)&gt;0,1,0)</f>
        <v>1</v>
      </c>
      <c r="H2543" s="4" t="n">
        <v>2</v>
      </c>
      <c r="I2543" s="4" t="s">
        <v>213</v>
      </c>
      <c r="J2543" s="4" t="s">
        <v>53</v>
      </c>
      <c r="K2543" s="4" t="s">
        <v>164</v>
      </c>
      <c r="L2543" s="48" t="str">
        <f aca="false">HYPERLINK("https://boxd.it/3C1m","open")</f>
        <v>open</v>
      </c>
      <c r="M2543" s="4" t="str">
        <f aca="false">LOWER(A2543)&amp;"|"&amp;B2543</f>
        <v>the wolf of wall street|2013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1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</row>
    <row r="2544" customFormat="false" ht="15" hidden="false" customHeight="false" outlineLevel="0" collapsed="false">
      <c r="A2544" s="4" t="s">
        <v>465</v>
      </c>
      <c r="B2544" s="4" t="n">
        <v>1964</v>
      </c>
      <c r="C2544" s="4" t="str">
        <f aca="false">FLOOR(B2544,10)&amp;"s"</f>
        <v>1960s</v>
      </c>
      <c r="D2544" s="4" t="s">
        <v>466</v>
      </c>
      <c r="E2544" s="25" t="str">
        <f aca="false">IF(G2544=1,"✓","")</f>
        <v/>
      </c>
      <c r="F2544" s="4" t="n">
        <v>3</v>
      </c>
      <c r="G2544" s="4" t="n">
        <f aca="false">IF(COUNTIF('Letterboxd Watched'!$E$2:$E$3000,M2544)&gt;0,1,0)</f>
        <v>0</v>
      </c>
      <c r="H2544" s="4" t="n">
        <v>7</v>
      </c>
      <c r="I2544" s="4" t="s">
        <v>144</v>
      </c>
      <c r="J2544" s="4" t="s">
        <v>51</v>
      </c>
      <c r="K2544" s="4" t="s">
        <v>5931</v>
      </c>
      <c r="L2544" s="48" t="str">
        <f aca="false">HYPERLINK("https://boxd.it/1JNS","open")</f>
        <v>open</v>
      </c>
      <c r="M2544" s="4" t="str">
        <f aca="false">LOWER(A2544)&amp;"|"&amp;B2544</f>
        <v>woman in the dunes|1964</v>
      </c>
      <c r="N2544" s="4" t="n">
        <v>0</v>
      </c>
      <c r="O2544" s="4" t="n">
        <v>0</v>
      </c>
      <c r="P2544" s="4" t="n">
        <v>1</v>
      </c>
      <c r="Q2544" s="4" t="n">
        <v>0</v>
      </c>
      <c r="R2544" s="4" t="n">
        <v>0</v>
      </c>
      <c r="S2544" s="4" t="n">
        <v>0</v>
      </c>
      <c r="T2544" s="4" t="n">
        <v>1</v>
      </c>
      <c r="U2544" s="4" t="n">
        <v>0</v>
      </c>
      <c r="V2544" s="4" t="n">
        <v>1</v>
      </c>
      <c r="W2544" s="4" t="n">
        <v>0</v>
      </c>
    </row>
    <row r="2545" customFormat="false" ht="15" hidden="false" customHeight="false" outlineLevel="0" collapsed="false">
      <c r="A2545" s="4" t="s">
        <v>2826</v>
      </c>
      <c r="B2545" s="4" t="n">
        <v>2004</v>
      </c>
      <c r="C2545" s="4" t="str">
        <f aca="false">FLOOR(B2545,10)&amp;"s"</f>
        <v>2000s</v>
      </c>
      <c r="D2545" s="4" t="s">
        <v>1628</v>
      </c>
      <c r="E2545" s="25" t="str">
        <f aca="false">IF(G2545=1,"✓","")</f>
        <v/>
      </c>
      <c r="F2545" s="4" t="n">
        <v>1</v>
      </c>
      <c r="G2545" s="4" t="n">
        <f aca="false">IF(COUNTIF('Letterboxd Watched'!$E$2:$E$3000,M2545)&gt;0,1,0)</f>
        <v>0</v>
      </c>
      <c r="H2545" s="4" t="n">
        <v>2</v>
      </c>
      <c r="I2545" s="4" t="s">
        <v>213</v>
      </c>
      <c r="J2545" s="4" t="s">
        <v>53</v>
      </c>
      <c r="K2545" s="4" t="s">
        <v>1628</v>
      </c>
      <c r="L2545" s="48" t="str">
        <f aca="false">HYPERLINK("https://letterboxd.com/search/films/Woman+Is+the+Future+of+Man+2004/","open")</f>
        <v>open</v>
      </c>
      <c r="M2545" s="4" t="str">
        <f aca="false">LOWER(A2545)&amp;"|"&amp;B2545</f>
        <v>woman is the future of man|2004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1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</row>
    <row r="2546" customFormat="false" ht="15" hidden="false" customHeight="false" outlineLevel="0" collapsed="false">
      <c r="A2546" s="4" t="s">
        <v>2861</v>
      </c>
      <c r="B2546" s="4" t="n">
        <v>2006</v>
      </c>
      <c r="C2546" s="4" t="str">
        <f aca="false">FLOOR(B2546,10)&amp;"s"</f>
        <v>2000s</v>
      </c>
      <c r="D2546" s="4" t="s">
        <v>1628</v>
      </c>
      <c r="E2546" s="25" t="str">
        <f aca="false">IF(G2546=1,"✓","")</f>
        <v/>
      </c>
      <c r="F2546" s="4" t="n">
        <v>1</v>
      </c>
      <c r="G2546" s="4" t="n">
        <f aca="false">IF(COUNTIF('Letterboxd Watched'!$E$2:$E$3000,M2546)&gt;0,1,0)</f>
        <v>0</v>
      </c>
      <c r="H2546" s="4" t="n">
        <v>2</v>
      </c>
      <c r="I2546" s="4" t="s">
        <v>213</v>
      </c>
      <c r="J2546" s="4" t="s">
        <v>53</v>
      </c>
      <c r="K2546" s="4" t="s">
        <v>1628</v>
      </c>
      <c r="L2546" s="48" t="str">
        <f aca="false">HYPERLINK("https://letterboxd.com/search/films/Woman+on+the+Beach+2006/","open")</f>
        <v>open</v>
      </c>
      <c r="M2546" s="4" t="str">
        <f aca="false">LOWER(A2546)&amp;"|"&amp;B2546</f>
        <v>woman on the beach|2006</v>
      </c>
      <c r="N2546" s="4" t="n">
        <v>0</v>
      </c>
      <c r="O2546" s="4" t="n">
        <v>0</v>
      </c>
      <c r="P2546" s="4" t="n">
        <v>0</v>
      </c>
      <c r="Q2546" s="4" t="n">
        <v>0</v>
      </c>
      <c r="R2546" s="4" t="n">
        <v>1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</row>
    <row r="2547" customFormat="false" ht="15" hidden="false" customHeight="false" outlineLevel="0" collapsed="false">
      <c r="A2547" s="4" t="s">
        <v>800</v>
      </c>
      <c r="B2547" s="4" t="n">
        <v>1974</v>
      </c>
      <c r="C2547" s="4" t="str">
        <f aca="false">FLOOR(B2547,10)&amp;"s"</f>
        <v>1970s</v>
      </c>
      <c r="D2547" s="4" t="s">
        <v>801</v>
      </c>
      <c r="E2547" s="25" t="str">
        <f aca="false">IF(G2547=1,"✓","")</f>
        <v/>
      </c>
      <c r="F2547" s="4" t="n">
        <v>2</v>
      </c>
      <c r="G2547" s="4" t="n">
        <f aca="false">IF(COUNTIF('Letterboxd Watched'!$E$2:$E$3000,M2547)&gt;0,1,0)</f>
        <v>0</v>
      </c>
      <c r="H2547" s="4" t="n">
        <v>5</v>
      </c>
      <c r="I2547" s="4" t="s">
        <v>144</v>
      </c>
      <c r="J2547" s="4" t="s">
        <v>53</v>
      </c>
      <c r="K2547" s="4" t="s">
        <v>5932</v>
      </c>
      <c r="L2547" s="48" t="str">
        <f aca="false">HYPERLINK("https://boxd.it/1myg","open")</f>
        <v>open</v>
      </c>
      <c r="M2547" s="4" t="str">
        <f aca="false">LOWER(A2547)&amp;"|"&amp;B2547</f>
        <v>a woman under the influence|1974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1</v>
      </c>
      <c r="S2547" s="4" t="n">
        <v>0</v>
      </c>
      <c r="T2547" s="4" t="n">
        <v>1</v>
      </c>
      <c r="U2547" s="4" t="n">
        <v>0</v>
      </c>
      <c r="V2547" s="4" t="n">
        <v>0</v>
      </c>
      <c r="W2547" s="4" t="n">
        <v>0</v>
      </c>
    </row>
    <row r="2548" customFormat="false" ht="15" hidden="false" customHeight="false" outlineLevel="0" collapsed="false">
      <c r="A2548" s="4" t="s">
        <v>3196</v>
      </c>
      <c r="B2548" s="4" t="n">
        <v>2020</v>
      </c>
      <c r="C2548" s="4" t="str">
        <f aca="false">FLOOR(B2548,10)&amp;"s"</f>
        <v>2020s</v>
      </c>
      <c r="D2548" s="4" t="s">
        <v>1628</v>
      </c>
      <c r="E2548" s="25" t="str">
        <f aca="false">IF(G2548=1,"✓","")</f>
        <v/>
      </c>
      <c r="F2548" s="4" t="n">
        <v>1</v>
      </c>
      <c r="G2548" s="4" t="n">
        <f aca="false">IF(COUNTIF('Letterboxd Watched'!$E$2:$E$3000,M2548)&gt;0,1,0)</f>
        <v>0</v>
      </c>
      <c r="H2548" s="4" t="n">
        <v>2</v>
      </c>
      <c r="I2548" s="4" t="s">
        <v>213</v>
      </c>
      <c r="J2548" s="4" t="s">
        <v>53</v>
      </c>
      <c r="K2548" s="4" t="s">
        <v>1628</v>
      </c>
      <c r="L2548" s="48" t="str">
        <f aca="false">HYPERLINK("https://letterboxd.com/search/films/The+Woman+Who+Ran+2020/","open")</f>
        <v>open</v>
      </c>
      <c r="M2548" s="4" t="str">
        <f aca="false">LOWER(A2548)&amp;"|"&amp;B2548</f>
        <v>the woman who ran|2020</v>
      </c>
      <c r="N2548" s="4" t="n">
        <v>0</v>
      </c>
      <c r="O2548" s="4" t="n">
        <v>0</v>
      </c>
      <c r="P2548" s="4" t="n">
        <v>0</v>
      </c>
      <c r="Q2548" s="4" t="n">
        <v>0</v>
      </c>
      <c r="R2548" s="4" t="n">
        <v>1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</row>
    <row r="2549" customFormat="false" ht="15" hidden="false" customHeight="false" outlineLevel="0" collapsed="false">
      <c r="A2549" s="4" t="s">
        <v>1086</v>
      </c>
      <c r="B2549" s="4" t="n">
        <v>1988</v>
      </c>
      <c r="C2549" s="4" t="str">
        <f aca="false">FLOOR(B2549,10)&amp;"s"</f>
        <v>1980s</v>
      </c>
      <c r="D2549" s="4" t="s">
        <v>1087</v>
      </c>
      <c r="E2549" s="25" t="str">
        <f aca="false">IF(G2549=1,"✓","")</f>
        <v/>
      </c>
      <c r="F2549" s="4" t="n">
        <v>2</v>
      </c>
      <c r="G2549" s="4" t="n">
        <f aca="false">IF(COUNTIF('Letterboxd Watched'!$E$2:$E$3000,M2549)&gt;0,1,0)</f>
        <v>0</v>
      </c>
      <c r="H2549" s="4" t="n">
        <v>4</v>
      </c>
      <c r="I2549" s="4" t="s">
        <v>213</v>
      </c>
      <c r="J2549" s="4" t="s">
        <v>51</v>
      </c>
      <c r="K2549" s="4" t="s">
        <v>5933</v>
      </c>
      <c r="L2549" s="48" t="str">
        <f aca="false">HYPERLINK("https://boxd.it/24GI","open")</f>
        <v>open</v>
      </c>
      <c r="M2549" s="4" t="str">
        <f aca="false">LOWER(A2549)&amp;"|"&amp;B2549</f>
        <v>women on the verge of a nervous breakdown|1988</v>
      </c>
      <c r="N2549" s="4" t="n">
        <v>0</v>
      </c>
      <c r="O2549" s="4" t="n">
        <v>0</v>
      </c>
      <c r="P2549" s="4" t="n">
        <v>1</v>
      </c>
      <c r="Q2549" s="4" t="n">
        <v>0</v>
      </c>
      <c r="R2549" s="4" t="n">
        <v>1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</row>
    <row r="2550" customFormat="false" ht="15" hidden="false" customHeight="false" outlineLevel="0" collapsed="false">
      <c r="A2550" s="4" t="s">
        <v>3148</v>
      </c>
      <c r="B2550" s="4" t="n">
        <v>2018</v>
      </c>
      <c r="C2550" s="4" t="str">
        <f aca="false">FLOOR(B2550,10)&amp;"s"</f>
        <v>2010s</v>
      </c>
      <c r="D2550" s="4" t="s">
        <v>3149</v>
      </c>
      <c r="E2550" s="25" t="str">
        <f aca="false">IF(G2550=1,"✓","")</f>
        <v/>
      </c>
      <c r="F2550" s="4" t="n">
        <v>1</v>
      </c>
      <c r="G2550" s="4" t="n">
        <f aca="false">IF(COUNTIF('Letterboxd Watched'!$E$2:$E$3000,M2550)&gt;0,1,0)</f>
        <v>0</v>
      </c>
      <c r="H2550" s="4" t="n">
        <v>2</v>
      </c>
      <c r="I2550" s="4" t="s">
        <v>213</v>
      </c>
      <c r="J2550" s="4" t="s">
        <v>52</v>
      </c>
      <c r="K2550" s="4" t="s">
        <v>4176</v>
      </c>
      <c r="L2550" s="48" t="str">
        <f aca="false">HYPERLINK("https://boxd.it/hDPU","open")</f>
        <v>open</v>
      </c>
      <c r="M2550" s="4" t="str">
        <f aca="false">LOWER(A2550)&amp;"|"&amp;B2550</f>
        <v>won't you be my neighbor?|2018</v>
      </c>
      <c r="N2550" s="4" t="n">
        <v>0</v>
      </c>
      <c r="O2550" s="4" t="n">
        <v>0</v>
      </c>
      <c r="P2550" s="4" t="n">
        <v>0</v>
      </c>
      <c r="Q2550" s="4" t="n">
        <v>1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</row>
    <row r="2551" customFormat="false" ht="15" hidden="false" customHeight="false" outlineLevel="0" collapsed="false">
      <c r="A2551" s="4" t="s">
        <v>2157</v>
      </c>
      <c r="B2551" s="4" t="n">
        <v>1970</v>
      </c>
      <c r="C2551" s="4" t="str">
        <f aca="false">FLOOR(B2551,10)&amp;"s"</f>
        <v>1970s</v>
      </c>
      <c r="D2551" s="4" t="s">
        <v>2158</v>
      </c>
      <c r="E2551" s="25" t="str">
        <f aca="false">IF(G2551=1,"✓","")</f>
        <v/>
      </c>
      <c r="F2551" s="4" t="n">
        <v>1</v>
      </c>
      <c r="G2551" s="4" t="n">
        <f aca="false">IF(COUNTIF('Letterboxd Watched'!$E$2:$E$3000,M2551)&gt;0,1,0)</f>
        <v>0</v>
      </c>
      <c r="H2551" s="4" t="n">
        <v>2</v>
      </c>
      <c r="I2551" s="4" t="s">
        <v>213</v>
      </c>
      <c r="J2551" s="4" t="s">
        <v>52</v>
      </c>
      <c r="K2551" s="4" t="s">
        <v>4178</v>
      </c>
      <c r="L2551" s="48" t="str">
        <f aca="false">HYPERLINK("https://boxd.it/1YCU","open")</f>
        <v>open</v>
      </c>
      <c r="M2551" s="4" t="str">
        <f aca="false">LOWER(A2551)&amp;"|"&amp;B2551</f>
        <v>woodstock|1970</v>
      </c>
      <c r="N2551" s="4" t="n">
        <v>0</v>
      </c>
      <c r="O2551" s="4" t="n">
        <v>0</v>
      </c>
      <c r="P2551" s="4" t="n">
        <v>0</v>
      </c>
      <c r="Q2551" s="4" t="n">
        <v>1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</row>
    <row r="2552" customFormat="false" ht="15" hidden="false" customHeight="false" outlineLevel="0" collapsed="false">
      <c r="A2552" s="4" t="s">
        <v>1425</v>
      </c>
      <c r="B2552" s="4" t="n">
        <v>1895</v>
      </c>
      <c r="C2552" s="4" t="str">
        <f aca="false">FLOOR(B2552,10)&amp;"s"</f>
        <v>1890s</v>
      </c>
      <c r="D2552" s="4" t="s">
        <v>1426</v>
      </c>
      <c r="E2552" s="25" t="str">
        <f aca="false">IF(G2552=1,"✓","")</f>
        <v/>
      </c>
      <c r="F2552" s="4" t="n">
        <v>1</v>
      </c>
      <c r="G2552" s="4" t="n">
        <f aca="false">IF(COUNTIF('Letterboxd Watched'!$E$2:$E$3000,M2552)&gt;0,1,0)</f>
        <v>0</v>
      </c>
      <c r="H2552" s="4" t="n">
        <v>3</v>
      </c>
      <c r="I2552" s="4" t="s">
        <v>144</v>
      </c>
      <c r="J2552" s="4" t="s">
        <v>50</v>
      </c>
      <c r="K2552" s="4" t="s">
        <v>3892</v>
      </c>
      <c r="L2552" s="48" t="str">
        <f aca="false">HYPERLINK("https://boxd.it/29EM","open")</f>
        <v>open</v>
      </c>
      <c r="M2552" s="4" t="str">
        <f aca="false">LOWER(A2552)&amp;"|"&amp;B2552</f>
        <v>workers leaving the lumière factory|1895</v>
      </c>
      <c r="N2552" s="4" t="n">
        <v>0</v>
      </c>
      <c r="O2552" s="4" t="n">
        <v>1</v>
      </c>
      <c r="P2552" s="4" t="n">
        <v>0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</row>
    <row r="2553" customFormat="false" ht="15" hidden="false" customHeight="false" outlineLevel="0" collapsed="false">
      <c r="A2553" s="4" t="s">
        <v>2479</v>
      </c>
      <c r="B2553" s="4" t="n">
        <v>1988</v>
      </c>
      <c r="C2553" s="4" t="str">
        <f aca="false">FLOOR(B2553,10)&amp;"s"</f>
        <v>1980s</v>
      </c>
      <c r="D2553" s="4" t="s">
        <v>357</v>
      </c>
      <c r="E2553" s="25" t="str">
        <f aca="false">IF(G2553=1,"✓","")</f>
        <v/>
      </c>
      <c r="F2553" s="4" t="n">
        <v>1</v>
      </c>
      <c r="G2553" s="4" t="n">
        <f aca="false">IF(COUNTIF('Letterboxd Watched'!$E$2:$E$3000,M2553)&gt;0,1,0)</f>
        <v>0</v>
      </c>
      <c r="H2553" s="4" t="n">
        <v>2</v>
      </c>
      <c r="I2553" s="4" t="s">
        <v>213</v>
      </c>
      <c r="J2553" s="4" t="s">
        <v>53</v>
      </c>
      <c r="K2553" s="4" t="s">
        <v>4267</v>
      </c>
      <c r="L2553" s="48" t="str">
        <f aca="false">HYPERLINK("https://boxd.it/25ha","open")</f>
        <v>open</v>
      </c>
      <c r="M2553" s="4" t="str">
        <f aca="false">LOWER(A2553)&amp;"|"&amp;B2553</f>
        <v>working girl|1988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1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</row>
    <row r="2554" customFormat="false" ht="15" hidden="false" customHeight="false" outlineLevel="0" collapsed="false">
      <c r="A2554" s="4" t="s">
        <v>2827</v>
      </c>
      <c r="B2554" s="4" t="n">
        <v>2004</v>
      </c>
      <c r="C2554" s="4" t="str">
        <f aca="false">FLOOR(B2554,10)&amp;"s"</f>
        <v>2000s</v>
      </c>
      <c r="D2554" s="4" t="s">
        <v>859</v>
      </c>
      <c r="E2554" s="25" t="str">
        <f aca="false">IF(G2554=1,"✓","")</f>
        <v/>
      </c>
      <c r="F2554" s="4" t="n">
        <v>1</v>
      </c>
      <c r="G2554" s="4" t="n">
        <f aca="false">IF(COUNTIF('Letterboxd Watched'!$E$2:$E$3000,M2554)&gt;0,1,0)</f>
        <v>0</v>
      </c>
      <c r="H2554" s="4" t="n">
        <v>2</v>
      </c>
      <c r="I2554" s="4" t="s">
        <v>213</v>
      </c>
      <c r="J2554" s="4" t="s">
        <v>53</v>
      </c>
      <c r="K2554" s="4" t="s">
        <v>4258</v>
      </c>
      <c r="L2554" s="48" t="str">
        <f aca="false">HYPERLINK("https://letterboxd.com/search/films/The+World+2004/","open")</f>
        <v>open</v>
      </c>
      <c r="M2554" s="4" t="str">
        <f aca="false">LOWER(A2554)&amp;"|"&amp;B2554</f>
        <v>the world|2004</v>
      </c>
      <c r="N2554" s="4" t="n">
        <v>0</v>
      </c>
      <c r="O2554" s="4" t="n">
        <v>0</v>
      </c>
      <c r="P2554" s="4" t="n">
        <v>0</v>
      </c>
      <c r="Q2554" s="4" t="n">
        <v>0</v>
      </c>
      <c r="R2554" s="4" t="n">
        <v>1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0</v>
      </c>
    </row>
    <row r="2555" customFormat="false" ht="15" hidden="false" customHeight="false" outlineLevel="0" collapsed="false">
      <c r="A2555" s="4" t="s">
        <v>756</v>
      </c>
      <c r="B2555" s="4" t="n">
        <v>1959</v>
      </c>
      <c r="C2555" s="4" t="str">
        <f aca="false">FLOOR(B2555,10)&amp;"s"</f>
        <v>1950s</v>
      </c>
      <c r="D2555" s="4" t="s">
        <v>253</v>
      </c>
      <c r="E2555" s="25" t="str">
        <f aca="false">IF(G2555=1,"✓","")</f>
        <v/>
      </c>
      <c r="F2555" s="4" t="n">
        <v>2</v>
      </c>
      <c r="G2555" s="4" t="n">
        <f aca="false">IF(COUNTIF('Letterboxd Watched'!$E$2:$E$3000,M2555)&gt;0,1,0)</f>
        <v>0</v>
      </c>
      <c r="H2555" s="4" t="n">
        <v>5</v>
      </c>
      <c r="I2555" s="4" t="s">
        <v>144</v>
      </c>
      <c r="J2555" s="4" t="s">
        <v>51</v>
      </c>
      <c r="K2555" s="4" t="s">
        <v>5188</v>
      </c>
      <c r="L2555" s="48" t="str">
        <f aca="false">HYPERLINK("https://letterboxd.com/search/films/The+World+of+Apu+1959/","open")</f>
        <v>open</v>
      </c>
      <c r="M2555" s="4" t="str">
        <f aca="false">LOWER(A2555)&amp;"|"&amp;B2555</f>
        <v>the world of apu|1959</v>
      </c>
      <c r="N2555" s="4" t="n">
        <v>0</v>
      </c>
      <c r="O2555" s="4" t="n">
        <v>0</v>
      </c>
      <c r="P2555" s="4" t="n">
        <v>1</v>
      </c>
      <c r="Q2555" s="4" t="n">
        <v>0</v>
      </c>
      <c r="R2555" s="4" t="n">
        <v>1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</row>
    <row r="2556" customFormat="false" ht="15" hidden="false" customHeight="false" outlineLevel="0" collapsed="false">
      <c r="A2556" s="4" t="s">
        <v>3521</v>
      </c>
      <c r="B2556" s="4" t="n">
        <v>1973</v>
      </c>
      <c r="C2556" s="4" t="str">
        <f aca="false">FLOOR(B2556,10)&amp;"s"</f>
        <v>1970s</v>
      </c>
      <c r="D2556" s="4" t="s">
        <v>312</v>
      </c>
      <c r="E2556" s="25" t="str">
        <f aca="false">IF(G2556=1,"✓","")</f>
        <v/>
      </c>
      <c r="F2556" s="4" t="n">
        <v>1</v>
      </c>
      <c r="G2556" s="4" t="n">
        <f aca="false">IF(COUNTIF('Letterboxd Watched'!$E$2:$E$3000,M2556)&gt;0,1,0)</f>
        <v>0</v>
      </c>
      <c r="H2556" s="4" t="n">
        <v>1</v>
      </c>
      <c r="I2556" s="4" t="s">
        <v>1327</v>
      </c>
      <c r="J2556" s="4" t="s">
        <v>53</v>
      </c>
      <c r="K2556" s="4" t="s">
        <v>312</v>
      </c>
      <c r="L2556" s="48" t="str">
        <f aca="false">HYPERLINK("https://boxd.it/B9me","open")</f>
        <v>open</v>
      </c>
      <c r="M2556" s="4" t="str">
        <f aca="false">LOWER(A2556)&amp;"|"&amp;B2556</f>
        <v>world on a wire|1973</v>
      </c>
      <c r="N2556" s="4" t="n">
        <v>0</v>
      </c>
      <c r="O2556" s="4" t="n">
        <v>0</v>
      </c>
      <c r="P2556" s="4" t="n">
        <v>0</v>
      </c>
      <c r="Q2556" s="4" t="n">
        <v>0</v>
      </c>
      <c r="R2556" s="4" t="n">
        <v>1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</row>
    <row r="2557" customFormat="false" ht="15" hidden="false" customHeight="false" outlineLevel="0" collapsed="false">
      <c r="A2557" s="4" t="s">
        <v>3202</v>
      </c>
      <c r="B2557" s="4" t="n">
        <v>2021</v>
      </c>
      <c r="C2557" s="4" t="str">
        <f aca="false">FLOOR(B2557,10)&amp;"s"</f>
        <v>2020s</v>
      </c>
      <c r="D2557" s="4" t="s">
        <v>3203</v>
      </c>
      <c r="E2557" s="25" t="str">
        <f aca="false">IF(G2557=1,"✓","")</f>
        <v/>
      </c>
      <c r="F2557" s="4" t="n">
        <v>1</v>
      </c>
      <c r="G2557" s="4" t="n">
        <f aca="false">IF(COUNTIF('Letterboxd Watched'!$E$2:$E$3000,M2557)&gt;0,1,0)</f>
        <v>0</v>
      </c>
      <c r="H2557" s="4" t="n">
        <v>2</v>
      </c>
      <c r="I2557" s="4" t="s">
        <v>213</v>
      </c>
      <c r="J2557" s="4" t="s">
        <v>51</v>
      </c>
      <c r="K2557" s="4" t="s">
        <v>3988</v>
      </c>
      <c r="L2557" s="48" t="str">
        <f aca="false">HYPERLINK("https://boxd.it/oyws","open")</f>
        <v>open</v>
      </c>
      <c r="M2557" s="4" t="str">
        <f aca="false">LOWER(A2557)&amp;"|"&amp;B2557</f>
        <v>the worst person in the world|2021</v>
      </c>
      <c r="N2557" s="4" t="n">
        <v>0</v>
      </c>
      <c r="O2557" s="4" t="n">
        <v>0</v>
      </c>
      <c r="P2557" s="4" t="n">
        <v>1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</row>
    <row r="2558" customFormat="false" ht="15" hidden="false" customHeight="false" outlineLevel="0" collapsed="false">
      <c r="A2558" s="4" t="s">
        <v>2916</v>
      </c>
      <c r="B2558" s="4" t="n">
        <v>2008</v>
      </c>
      <c r="C2558" s="4" t="str">
        <f aca="false">FLOOR(B2558,10)&amp;"s"</f>
        <v>2000s</v>
      </c>
      <c r="D2558" s="4" t="s">
        <v>2917</v>
      </c>
      <c r="E2558" s="25" t="str">
        <f aca="false">IF(G2558=1,"✓","")</f>
        <v>✓</v>
      </c>
      <c r="F2558" s="4" t="n">
        <v>1</v>
      </c>
      <c r="G2558" s="4" t="n">
        <f aca="false">IF(COUNTIF('Letterboxd Watched'!$E$2:$E$3000,M2558)&gt;0,1,0)</f>
        <v>1</v>
      </c>
      <c r="H2558" s="4" t="n">
        <v>2</v>
      </c>
      <c r="I2558" s="4" t="s">
        <v>213</v>
      </c>
      <c r="J2558" s="4" t="s">
        <v>55</v>
      </c>
      <c r="K2558" s="4" t="s">
        <v>4364</v>
      </c>
      <c r="L2558" s="48" t="str">
        <f aca="false">HYPERLINK("https://boxd.it/1So8","open")</f>
        <v>open</v>
      </c>
      <c r="M2558" s="4" t="str">
        <f aca="false">LOWER(A2558)&amp;"|"&amp;B2558</f>
        <v>the wrestler|2008</v>
      </c>
      <c r="N2558" s="4" t="n">
        <v>0</v>
      </c>
      <c r="O2558" s="4" t="n">
        <v>0</v>
      </c>
      <c r="P2558" s="4" t="n">
        <v>0</v>
      </c>
      <c r="Q2558" s="4" t="n">
        <v>0</v>
      </c>
      <c r="R2558" s="4" t="n">
        <v>0</v>
      </c>
      <c r="S2558" s="4" t="n">
        <v>0</v>
      </c>
      <c r="T2558" s="4" t="n">
        <v>1</v>
      </c>
      <c r="U2558" s="4" t="n">
        <v>0</v>
      </c>
      <c r="V2558" s="4" t="n">
        <v>0</v>
      </c>
      <c r="W2558" s="4" t="n">
        <v>0</v>
      </c>
    </row>
    <row r="2559" customFormat="false" ht="15" hidden="false" customHeight="false" outlineLevel="0" collapsed="false">
      <c r="A2559" s="4" t="s">
        <v>1934</v>
      </c>
      <c r="B2559" s="4" t="n">
        <v>1956</v>
      </c>
      <c r="C2559" s="4" t="str">
        <f aca="false">FLOOR(B2559,10)&amp;"s"</f>
        <v>1950s</v>
      </c>
      <c r="D2559" s="4" t="s">
        <v>1447</v>
      </c>
      <c r="E2559" s="25" t="str">
        <f aca="false">IF(G2559=1,"✓","")</f>
        <v/>
      </c>
      <c r="F2559" s="4" t="n">
        <v>1</v>
      </c>
      <c r="G2559" s="4" t="n">
        <f aca="false">IF(COUNTIF('Letterboxd Watched'!$E$2:$E$3000,M2559)&gt;0,1,0)</f>
        <v>0</v>
      </c>
      <c r="H2559" s="4" t="n">
        <v>2</v>
      </c>
      <c r="I2559" s="4" t="s">
        <v>213</v>
      </c>
      <c r="J2559" s="4" t="s">
        <v>52</v>
      </c>
      <c r="K2559" s="4" t="s">
        <v>4146</v>
      </c>
      <c r="L2559" s="48" t="str">
        <f aca="false">HYPERLINK("https://boxd.it/2hNM","open")</f>
        <v>open</v>
      </c>
      <c r="M2559" s="4" t="str">
        <f aca="false">LOWER(A2559)&amp;"|"&amp;B2559</f>
        <v>written on the wind|1956</v>
      </c>
      <c r="N2559" s="4" t="n">
        <v>0</v>
      </c>
      <c r="O2559" s="4" t="n">
        <v>0</v>
      </c>
      <c r="P2559" s="4" t="n">
        <v>0</v>
      </c>
      <c r="Q2559" s="4" t="n">
        <v>1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</row>
    <row r="2560" customFormat="false" ht="15" hidden="false" customHeight="false" outlineLevel="0" collapsed="false">
      <c r="A2560" s="4" t="s">
        <v>3385</v>
      </c>
      <c r="B2560" s="4" t="n">
        <v>1956</v>
      </c>
      <c r="C2560" s="4" t="str">
        <f aca="false">FLOOR(B2560,10)&amp;"s"</f>
        <v>1950s</v>
      </c>
      <c r="D2560" s="4" t="s">
        <v>162</v>
      </c>
      <c r="E2560" s="25" t="str">
        <f aca="false">IF(G2560=1,"✓","")</f>
        <v/>
      </c>
      <c r="F2560" s="4" t="n">
        <v>1</v>
      </c>
      <c r="G2560" s="4" t="n">
        <f aca="false">IF(COUNTIF('Letterboxd Watched'!$E$2:$E$3000,M2560)&gt;0,1,0)</f>
        <v>0</v>
      </c>
      <c r="H2560" s="4" t="n">
        <v>1</v>
      </c>
      <c r="I2560" s="4" t="s">
        <v>1327</v>
      </c>
      <c r="J2560" s="4" t="s">
        <v>53</v>
      </c>
      <c r="K2560" s="4" t="s">
        <v>162</v>
      </c>
      <c r="L2560" s="48" t="str">
        <f aca="false">HYPERLINK("https://boxd.it/1AqK","open")</f>
        <v>open</v>
      </c>
      <c r="M2560" s="4" t="str">
        <f aca="false">LOWER(A2560)&amp;"|"&amp;B2560</f>
        <v>the wrong man|1956</v>
      </c>
      <c r="N2560" s="4" t="n">
        <v>0</v>
      </c>
      <c r="O2560" s="4" t="n">
        <v>0</v>
      </c>
      <c r="P2560" s="4" t="n">
        <v>0</v>
      </c>
      <c r="Q2560" s="4" t="n">
        <v>0</v>
      </c>
      <c r="R2560" s="4" t="n">
        <v>1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0</v>
      </c>
    </row>
    <row r="2561" customFormat="false" ht="15" hidden="false" customHeight="false" outlineLevel="0" collapsed="false">
      <c r="A2561" s="4" t="s">
        <v>3221</v>
      </c>
      <c r="B2561" s="4" t="n">
        <v>2022</v>
      </c>
      <c r="C2561" s="4" t="str">
        <f aca="false">FLOOR(B2561,10)&amp;"s"</f>
        <v>2020s</v>
      </c>
      <c r="D2561" s="4" t="s">
        <v>3222</v>
      </c>
      <c r="E2561" s="25" t="str">
        <f aca="false">IF(G2561=1,"✓","")</f>
        <v/>
      </c>
      <c r="F2561" s="4" t="n">
        <v>1</v>
      </c>
      <c r="G2561" s="4" t="n">
        <f aca="false">IF(COUNTIF('Letterboxd Watched'!$E$2:$E$3000,M2561)&gt;0,1,0)</f>
        <v>0</v>
      </c>
      <c r="H2561" s="4" t="n">
        <v>2</v>
      </c>
      <c r="I2561" s="4" t="s">
        <v>213</v>
      </c>
      <c r="J2561" s="4" t="s">
        <v>52</v>
      </c>
      <c r="K2561" s="4" t="s">
        <v>4070</v>
      </c>
      <c r="L2561" s="48" t="str">
        <f aca="false">HYPERLINK("https://boxd.it/sxVa","open")</f>
        <v>open</v>
      </c>
      <c r="M2561" s="4" t="str">
        <f aca="false">LOWER(A2561)&amp;"|"&amp;B2561</f>
        <v>x|2022</v>
      </c>
      <c r="N2561" s="4" t="n">
        <v>0</v>
      </c>
      <c r="O2561" s="4" t="n">
        <v>0</v>
      </c>
      <c r="P2561" s="4" t="n">
        <v>0</v>
      </c>
      <c r="Q2561" s="4" t="n">
        <v>1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</row>
    <row r="2562" customFormat="false" ht="15" hidden="false" customHeight="false" outlineLevel="0" collapsed="false">
      <c r="A2562" s="4" t="s">
        <v>2262</v>
      </c>
      <c r="B2562" s="4" t="n">
        <v>1975</v>
      </c>
      <c r="C2562" s="4" t="str">
        <f aca="false">FLOOR(B2562,10)&amp;"s"</f>
        <v>1970s</v>
      </c>
      <c r="D2562" s="4" t="s">
        <v>470</v>
      </c>
      <c r="E2562" s="25" t="str">
        <f aca="false">IF(G2562=1,"✓","")</f>
        <v/>
      </c>
      <c r="F2562" s="4" t="n">
        <v>1</v>
      </c>
      <c r="G2562" s="4" t="n">
        <f aca="false">IF(COUNTIF('Letterboxd Watched'!$E$2:$E$3000,M2562)&gt;0,1,0)</f>
        <v>0</v>
      </c>
      <c r="H2562" s="4" t="n">
        <v>2</v>
      </c>
      <c r="I2562" s="4" t="s">
        <v>213</v>
      </c>
      <c r="J2562" s="4" t="s">
        <v>51</v>
      </c>
      <c r="K2562" s="4" t="s">
        <v>4036</v>
      </c>
      <c r="L2562" s="48" t="str">
        <f aca="false">HYPERLINK("https://letterboxd.com/search/films/Xala+1975/","open")</f>
        <v>open</v>
      </c>
      <c r="M2562" s="4" t="str">
        <f aca="false">LOWER(A2562)&amp;"|"&amp;B2562</f>
        <v>xala|1975</v>
      </c>
      <c r="N2562" s="4" t="n">
        <v>0</v>
      </c>
      <c r="O2562" s="4" t="n">
        <v>0</v>
      </c>
      <c r="P2562" s="4" t="n">
        <v>1</v>
      </c>
      <c r="Q2562" s="4" t="n">
        <v>0</v>
      </c>
      <c r="R2562" s="4" t="n">
        <v>0</v>
      </c>
      <c r="S2562" s="4" t="n">
        <v>0</v>
      </c>
      <c r="T2562" s="4" t="n">
        <v>0</v>
      </c>
      <c r="U2562" s="4" t="n">
        <v>0</v>
      </c>
      <c r="V2562" s="4" t="n">
        <v>0</v>
      </c>
      <c r="W2562" s="4" t="n">
        <v>0</v>
      </c>
    </row>
    <row r="2563" customFormat="false" ht="15" hidden="false" customHeight="false" outlineLevel="0" collapsed="false">
      <c r="A2563" s="4" t="s">
        <v>2678</v>
      </c>
      <c r="B2563" s="4" t="n">
        <v>1997</v>
      </c>
      <c r="C2563" s="4" t="str">
        <f aca="false">FLOOR(B2563,10)&amp;"s"</f>
        <v>1990s</v>
      </c>
      <c r="D2563" s="4" t="s">
        <v>859</v>
      </c>
      <c r="E2563" s="25" t="str">
        <f aca="false">IF(G2563=1,"✓","")</f>
        <v/>
      </c>
      <c r="F2563" s="4" t="n">
        <v>1</v>
      </c>
      <c r="G2563" s="4" t="n">
        <f aca="false">IF(COUNTIF('Letterboxd Watched'!$E$2:$E$3000,M2563)&gt;0,1,0)</f>
        <v>0</v>
      </c>
      <c r="H2563" s="4" t="n">
        <v>2</v>
      </c>
      <c r="I2563" s="4" t="s">
        <v>213</v>
      </c>
      <c r="J2563" s="4" t="s">
        <v>53</v>
      </c>
      <c r="K2563" s="4" t="s">
        <v>4258</v>
      </c>
      <c r="L2563" s="48" t="str">
        <f aca="false">HYPERLINK("https://letterboxd.com/search/films/Xiao+Wu+1997/","open")</f>
        <v>open</v>
      </c>
      <c r="M2563" s="4" t="str">
        <f aca="false">LOWER(A2563)&amp;"|"&amp;B2563</f>
        <v>xiao wu|1997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1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</row>
    <row r="2564" customFormat="false" ht="15" hidden="false" customHeight="false" outlineLevel="0" collapsed="false">
      <c r="A2564" s="4" t="s">
        <v>851</v>
      </c>
      <c r="B2564" s="4" t="n">
        <v>2001</v>
      </c>
      <c r="C2564" s="4" t="str">
        <f aca="false">FLOOR(B2564,10)&amp;"s"</f>
        <v>2000s</v>
      </c>
      <c r="D2564" s="4" t="s">
        <v>384</v>
      </c>
      <c r="E2564" s="25" t="str">
        <f aca="false">IF(G2564=1,"✓","")</f>
        <v/>
      </c>
      <c r="F2564" s="4" t="n">
        <v>2</v>
      </c>
      <c r="G2564" s="4" t="n">
        <f aca="false">IF(COUNTIF('Letterboxd Watched'!$E$2:$E$3000,M2564)&gt;0,1,0)</f>
        <v>0</v>
      </c>
      <c r="H2564" s="4" t="n">
        <v>5</v>
      </c>
      <c r="I2564" s="4" t="s">
        <v>144</v>
      </c>
      <c r="J2564" s="4" t="s">
        <v>51</v>
      </c>
      <c r="K2564" s="4" t="s">
        <v>5934</v>
      </c>
      <c r="L2564" s="48" t="str">
        <f aca="false">HYPERLINK("https://boxd.it/28QM","open")</f>
        <v>open</v>
      </c>
      <c r="M2564" s="4" t="str">
        <f aca="false">LOWER(A2564)&amp;"|"&amp;B2564</f>
        <v>y tu mamá también|2001</v>
      </c>
      <c r="N2564" s="4" t="n">
        <v>0</v>
      </c>
      <c r="O2564" s="4" t="n">
        <v>0</v>
      </c>
      <c r="P2564" s="4" t="n">
        <v>1</v>
      </c>
      <c r="Q2564" s="4" t="n">
        <v>0</v>
      </c>
      <c r="R2564" s="4" t="n">
        <v>0</v>
      </c>
      <c r="S2564" s="4" t="n">
        <v>0</v>
      </c>
      <c r="T2564" s="4" t="n">
        <v>1</v>
      </c>
      <c r="U2564" s="4" t="n">
        <v>0</v>
      </c>
      <c r="V2564" s="4" t="n">
        <v>0</v>
      </c>
      <c r="W2564" s="4" t="n">
        <v>0</v>
      </c>
    </row>
    <row r="2565" customFormat="false" ht="15" hidden="false" customHeight="false" outlineLevel="0" collapsed="false">
      <c r="A2565" s="4" t="s">
        <v>1801</v>
      </c>
      <c r="B2565" s="4" t="n">
        <v>1942</v>
      </c>
      <c r="C2565" s="4" t="str">
        <f aca="false">FLOOR(B2565,10)&amp;"s"</f>
        <v>1940s</v>
      </c>
      <c r="D2565" s="4" t="s">
        <v>335</v>
      </c>
      <c r="E2565" s="25" t="str">
        <f aca="false">IF(G2565=1,"✓","")</f>
        <v/>
      </c>
      <c r="F2565" s="4" t="n">
        <v>1</v>
      </c>
      <c r="G2565" s="4" t="n">
        <f aca="false">IF(COUNTIF('Letterboxd Watched'!$E$2:$E$3000,M2565)&gt;0,1,0)</f>
        <v>0</v>
      </c>
      <c r="H2565" s="4" t="n">
        <v>2</v>
      </c>
      <c r="I2565" s="4" t="s">
        <v>213</v>
      </c>
      <c r="J2565" s="4" t="s">
        <v>57</v>
      </c>
      <c r="K2565" s="4" t="s">
        <v>4428</v>
      </c>
      <c r="L2565" s="48" t="str">
        <f aca="false">HYPERLINK("https://boxd.it/25LO","open")</f>
        <v>open</v>
      </c>
      <c r="M2565" s="4" t="str">
        <f aca="false">LOWER(A2565)&amp;"|"&amp;B2565</f>
        <v>yankee doodle dandy|1942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1</v>
      </c>
      <c r="W2565" s="4" t="n">
        <v>0</v>
      </c>
    </row>
    <row r="2566" customFormat="false" ht="15" hidden="false" customHeight="false" outlineLevel="0" collapsed="false">
      <c r="A2566" s="4" t="s">
        <v>2448</v>
      </c>
      <c r="B2566" s="4" t="n">
        <v>1987</v>
      </c>
      <c r="C2566" s="4" t="str">
        <f aca="false">FLOOR(B2566,10)&amp;"s"</f>
        <v>1980s</v>
      </c>
      <c r="D2566" s="4" t="s">
        <v>2449</v>
      </c>
      <c r="E2566" s="25" t="str">
        <f aca="false">IF(G2566=1,"✓","")</f>
        <v/>
      </c>
      <c r="F2566" s="4" t="n">
        <v>1</v>
      </c>
      <c r="G2566" s="4" t="n">
        <f aca="false">IF(COUNTIF('Letterboxd Watched'!$E$2:$E$3000,M2566)&gt;0,1,0)</f>
        <v>0</v>
      </c>
      <c r="H2566" s="4" t="n">
        <v>2</v>
      </c>
      <c r="I2566" s="4" t="s">
        <v>213</v>
      </c>
      <c r="J2566" s="4" t="s">
        <v>51</v>
      </c>
      <c r="K2566" s="4" t="s">
        <v>4036</v>
      </c>
      <c r="L2566" s="48" t="str">
        <f aca="false">HYPERLINK("https://letterboxd.com/search/films/Yeelen+1987/","open")</f>
        <v>open</v>
      </c>
      <c r="M2566" s="4" t="str">
        <f aca="false">LOWER(A2566)&amp;"|"&amp;B2566</f>
        <v>yeelen|1987</v>
      </c>
      <c r="N2566" s="4" t="n">
        <v>0</v>
      </c>
      <c r="O2566" s="4" t="n">
        <v>0</v>
      </c>
      <c r="P2566" s="4" t="n">
        <v>1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0</v>
      </c>
    </row>
    <row r="2567" customFormat="false" ht="15" hidden="false" customHeight="false" outlineLevel="0" collapsed="false">
      <c r="A2567" s="4" t="s">
        <v>2400</v>
      </c>
      <c r="B2567" s="4" t="n">
        <v>1984</v>
      </c>
      <c r="C2567" s="4" t="str">
        <f aca="false">FLOOR(B2567,10)&amp;"s"</f>
        <v>1980s</v>
      </c>
      <c r="D2567" s="4" t="s">
        <v>1551</v>
      </c>
      <c r="E2567" s="25" t="str">
        <f aca="false">IF(G2567=1,"✓","")</f>
        <v/>
      </c>
      <c r="F2567" s="4" t="n">
        <v>1</v>
      </c>
      <c r="G2567" s="4" t="n">
        <f aca="false">IF(COUNTIF('Letterboxd Watched'!$E$2:$E$3000,M2567)&gt;0,1,0)</f>
        <v>0</v>
      </c>
      <c r="H2567" s="4" t="n">
        <v>2</v>
      </c>
      <c r="I2567" s="4" t="s">
        <v>213</v>
      </c>
      <c r="J2567" s="4" t="s">
        <v>51</v>
      </c>
      <c r="K2567" s="4" t="s">
        <v>4020</v>
      </c>
      <c r="L2567" s="48" t="str">
        <f aca="false">HYPERLINK("https://boxd.it/3fGG","open")</f>
        <v>open</v>
      </c>
      <c r="M2567" s="4" t="str">
        <f aca="false">LOWER(A2567)&amp;"|"&amp;B2567</f>
        <v>yellow earth|1984</v>
      </c>
      <c r="N2567" s="4" t="n">
        <v>0</v>
      </c>
      <c r="O2567" s="4" t="n">
        <v>0</v>
      </c>
      <c r="P2567" s="4" t="n">
        <v>1</v>
      </c>
      <c r="Q2567" s="4" t="n">
        <v>0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</row>
    <row r="2568" customFormat="false" ht="15" hidden="false" customHeight="false" outlineLevel="0" collapsed="false">
      <c r="A2568" s="4" t="s">
        <v>2944</v>
      </c>
      <c r="B2568" s="4" t="n">
        <v>2010</v>
      </c>
      <c r="C2568" s="4" t="str">
        <f aca="false">FLOOR(B2568,10)&amp;"s"</f>
        <v>2010s</v>
      </c>
      <c r="D2568" s="4" t="s">
        <v>861</v>
      </c>
      <c r="E2568" s="25" t="str">
        <f aca="false">IF(G2568=1,"✓","")</f>
        <v/>
      </c>
      <c r="F2568" s="4" t="n">
        <v>1</v>
      </c>
      <c r="G2568" s="4" t="n">
        <f aca="false">IF(COUNTIF('Letterboxd Watched'!$E$2:$E$3000,M2568)&gt;0,1,0)</f>
        <v>0</v>
      </c>
      <c r="H2568" s="4" t="n">
        <v>2</v>
      </c>
      <c r="I2568" s="4" t="s">
        <v>213</v>
      </c>
      <c r="J2568" s="4" t="s">
        <v>51</v>
      </c>
      <c r="K2568" s="4" t="s">
        <v>4024</v>
      </c>
      <c r="L2568" s="48" t="str">
        <f aca="false">HYPERLINK("https://letterboxd.com/search/films/The+Yellow+Sea+2010/","open")</f>
        <v>open</v>
      </c>
      <c r="M2568" s="4" t="str">
        <f aca="false">LOWER(A2568)&amp;"|"&amp;B2568</f>
        <v>the yellow sea|2010</v>
      </c>
      <c r="N2568" s="4" t="n">
        <v>0</v>
      </c>
      <c r="O2568" s="4" t="n">
        <v>0</v>
      </c>
      <c r="P2568" s="4" t="n">
        <v>1</v>
      </c>
      <c r="Q2568" s="4" t="n">
        <v>0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0</v>
      </c>
    </row>
    <row r="2569" customFormat="false" ht="15" hidden="false" customHeight="false" outlineLevel="0" collapsed="false">
      <c r="A2569" s="4" t="s">
        <v>2123</v>
      </c>
      <c r="B2569" s="4" t="n">
        <v>1968</v>
      </c>
      <c r="C2569" s="4" t="str">
        <f aca="false">FLOOR(B2569,10)&amp;"s"</f>
        <v>1960s</v>
      </c>
      <c r="D2569" s="4" t="s">
        <v>2124</v>
      </c>
      <c r="E2569" s="25" t="str">
        <f aca="false">IF(G2569=1,"✓","")</f>
        <v/>
      </c>
      <c r="F2569" s="4" t="n">
        <v>1</v>
      </c>
      <c r="G2569" s="4" t="n">
        <f aca="false">IF(COUNTIF('Letterboxd Watched'!$E$2:$E$3000,M2569)&gt;0,1,0)</f>
        <v>0</v>
      </c>
      <c r="H2569" s="4" t="n">
        <v>2</v>
      </c>
      <c r="I2569" s="4" t="s">
        <v>213</v>
      </c>
      <c r="J2569" s="4" t="s">
        <v>52</v>
      </c>
      <c r="K2569" s="4" t="s">
        <v>4166</v>
      </c>
      <c r="L2569" s="48" t="str">
        <f aca="false">HYPERLINK("https://boxd.it/1Sxa","open")</f>
        <v>open</v>
      </c>
      <c r="M2569" s="4" t="str">
        <f aca="false">LOWER(A2569)&amp;"|"&amp;B2569</f>
        <v>yellow submarine|1968</v>
      </c>
      <c r="N2569" s="4" t="n">
        <v>0</v>
      </c>
      <c r="O2569" s="4" t="n">
        <v>0</v>
      </c>
      <c r="P2569" s="4" t="n">
        <v>0</v>
      </c>
      <c r="Q2569" s="4" t="n">
        <v>1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</row>
    <row r="2570" customFormat="false" ht="15" hidden="false" customHeight="false" outlineLevel="0" collapsed="false">
      <c r="A2570" s="4" t="s">
        <v>222</v>
      </c>
      <c r="B2570" s="4" t="n">
        <v>2000</v>
      </c>
      <c r="C2570" s="4" t="str">
        <f aca="false">FLOOR(B2570,10)&amp;"s"</f>
        <v>2000s</v>
      </c>
      <c r="D2570" s="4" t="s">
        <v>223</v>
      </c>
      <c r="E2570" s="25" t="str">
        <f aca="false">IF(G2570=1,"✓","")</f>
        <v/>
      </c>
      <c r="F2570" s="4" t="n">
        <v>6</v>
      </c>
      <c r="G2570" s="4" t="n">
        <f aca="false">IF(COUNTIF('Letterboxd Watched'!$E$2:$E$3000,M2570)&gt;0,1,0)</f>
        <v>0</v>
      </c>
      <c r="H2570" s="4" t="n">
        <v>14</v>
      </c>
      <c r="I2570" s="4" t="s">
        <v>144</v>
      </c>
      <c r="J2570" s="4" t="s">
        <v>50</v>
      </c>
      <c r="K2570" s="4" t="s">
        <v>5935</v>
      </c>
      <c r="L2570" s="48" t="str">
        <f aca="false">HYPERLINK("https://boxd.it/1vCw","open")</f>
        <v>open</v>
      </c>
      <c r="M2570" s="4" t="str">
        <f aca="false">LOWER(A2570)&amp;"|"&amp;B2570</f>
        <v>yi yi|2000</v>
      </c>
      <c r="N2570" s="4" t="n">
        <v>0</v>
      </c>
      <c r="O2570" s="4" t="n">
        <v>1</v>
      </c>
      <c r="P2570" s="4" t="n">
        <v>1</v>
      </c>
      <c r="Q2570" s="4" t="n">
        <v>0</v>
      </c>
      <c r="R2570" s="4" t="n">
        <v>1</v>
      </c>
      <c r="S2570" s="4" t="n">
        <v>0</v>
      </c>
      <c r="T2570" s="4" t="n">
        <v>0</v>
      </c>
      <c r="U2570" s="4" t="n">
        <v>0</v>
      </c>
      <c r="V2570" s="4" t="n">
        <v>1</v>
      </c>
      <c r="W2570" s="4" t="n">
        <v>0</v>
      </c>
    </row>
    <row r="2571" customFormat="false" ht="15" hidden="false" customHeight="false" outlineLevel="0" collapsed="false">
      <c r="A2571" s="4" t="s">
        <v>459</v>
      </c>
      <c r="B2571" s="4" t="n">
        <v>1961</v>
      </c>
      <c r="C2571" s="4" t="str">
        <f aca="false">FLOOR(B2571,10)&amp;"s"</f>
        <v>1960s</v>
      </c>
      <c r="D2571" s="4" t="s">
        <v>156</v>
      </c>
      <c r="E2571" s="25" t="str">
        <f aca="false">IF(G2571=1,"✓","")</f>
        <v/>
      </c>
      <c r="F2571" s="4" t="n">
        <v>3</v>
      </c>
      <c r="G2571" s="4" t="n">
        <f aca="false">IF(COUNTIF('Letterboxd Watched'!$E$2:$E$3000,M2571)&gt;0,1,0)</f>
        <v>0</v>
      </c>
      <c r="H2571" s="4" t="n">
        <v>7</v>
      </c>
      <c r="I2571" s="4" t="s">
        <v>144</v>
      </c>
      <c r="J2571" s="4" t="s">
        <v>51</v>
      </c>
      <c r="K2571" s="4" t="s">
        <v>5861</v>
      </c>
      <c r="L2571" s="48" t="str">
        <f aca="false">HYPERLINK("https://boxd.it/1SRY","open")</f>
        <v>open</v>
      </c>
      <c r="M2571" s="4" t="str">
        <f aca="false">LOWER(A2571)&amp;"|"&amp;B2571</f>
        <v>yojimbo|1961</v>
      </c>
      <c r="N2571" s="4" t="n">
        <v>0</v>
      </c>
      <c r="O2571" s="4" t="n">
        <v>0</v>
      </c>
      <c r="P2571" s="4" t="n">
        <v>1</v>
      </c>
      <c r="Q2571" s="4" t="n">
        <v>0</v>
      </c>
      <c r="R2571" s="4" t="n">
        <v>1</v>
      </c>
      <c r="S2571" s="4" t="n">
        <v>0</v>
      </c>
      <c r="T2571" s="4" t="n">
        <v>0</v>
      </c>
      <c r="U2571" s="4" t="n">
        <v>1</v>
      </c>
      <c r="V2571" s="4" t="n">
        <v>0</v>
      </c>
      <c r="W2571" s="4" t="n">
        <v>0</v>
      </c>
    </row>
    <row r="2572" customFormat="false" ht="15" hidden="false" customHeight="false" outlineLevel="0" collapsed="false">
      <c r="A2572" s="4" t="s">
        <v>1779</v>
      </c>
      <c r="B2572" s="4" t="n">
        <v>1938</v>
      </c>
      <c r="C2572" s="4" t="str">
        <f aca="false">FLOOR(B2572,10)&amp;"s"</f>
        <v>1930s</v>
      </c>
      <c r="D2572" s="4" t="s">
        <v>176</v>
      </c>
      <c r="E2572" s="25" t="str">
        <f aca="false">IF(G2572=1,"✓","")</f>
        <v/>
      </c>
      <c r="F2572" s="4" t="n">
        <v>1</v>
      </c>
      <c r="G2572" s="4" t="n">
        <f aca="false">IF(COUNTIF('Letterboxd Watched'!$E$2:$E$3000,M2572)&gt;0,1,0)</f>
        <v>0</v>
      </c>
      <c r="H2572" s="4" t="n">
        <v>2</v>
      </c>
      <c r="I2572" s="4" t="s">
        <v>213</v>
      </c>
      <c r="J2572" s="4" t="s">
        <v>53</v>
      </c>
      <c r="K2572" s="4" t="s">
        <v>176</v>
      </c>
      <c r="L2572" s="48" t="str">
        <f aca="false">HYPERLINK("https://boxd.it/1ejM","open")</f>
        <v>open</v>
      </c>
      <c r="M2572" s="4" t="str">
        <f aca="false">LOWER(A2572)&amp;"|"&amp;B2572</f>
        <v>you can't take it with you|1938</v>
      </c>
      <c r="N2572" s="4" t="n">
        <v>0</v>
      </c>
      <c r="O2572" s="4" t="n">
        <v>0</v>
      </c>
      <c r="P2572" s="4" t="n">
        <v>0</v>
      </c>
      <c r="Q2572" s="4" t="n">
        <v>0</v>
      </c>
      <c r="R2572" s="4" t="n">
        <v>1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0</v>
      </c>
    </row>
    <row r="2573" customFormat="false" ht="15" hidden="false" customHeight="false" outlineLevel="0" collapsed="false">
      <c r="A2573" s="4" t="s">
        <v>1404</v>
      </c>
      <c r="B2573" s="4" t="n">
        <v>2007</v>
      </c>
      <c r="C2573" s="4" t="str">
        <f aca="false">FLOOR(B2573,10)&amp;"s"</f>
        <v>2000s</v>
      </c>
      <c r="D2573" s="4" t="s">
        <v>631</v>
      </c>
      <c r="E2573" s="25" t="str">
        <f aca="false">IF(G2573=1,"✓","")</f>
        <v/>
      </c>
      <c r="F2573" s="4" t="n">
        <v>2</v>
      </c>
      <c r="G2573" s="4" t="n">
        <f aca="false">IF(COUNTIF('Letterboxd Watched'!$E$2:$E$3000,M2573)&gt;0,1,0)</f>
        <v>0</v>
      </c>
      <c r="H2573" s="4" t="n">
        <v>3</v>
      </c>
      <c r="I2573" s="4" t="s">
        <v>213</v>
      </c>
      <c r="J2573" s="4" t="s">
        <v>52</v>
      </c>
      <c r="K2573" s="4" t="s">
        <v>5397</v>
      </c>
      <c r="L2573" s="48" t="str">
        <f aca="false">HYPERLINK("https://boxd.it/22xO","open")</f>
        <v>open</v>
      </c>
      <c r="M2573" s="4" t="str">
        <f aca="false">LOWER(A2573)&amp;"|"&amp;B2573</f>
        <v>you, the living|2007</v>
      </c>
      <c r="N2573" s="4" t="n">
        <v>0</v>
      </c>
      <c r="O2573" s="4" t="n">
        <v>0</v>
      </c>
      <c r="P2573" s="4" t="n">
        <v>0</v>
      </c>
      <c r="Q2573" s="4" t="n">
        <v>1</v>
      </c>
      <c r="R2573" s="4" t="n">
        <v>1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</row>
    <row r="2574" customFormat="false" ht="15" hidden="false" customHeight="false" outlineLevel="0" collapsed="false">
      <c r="A2574" s="4" t="s">
        <v>2684</v>
      </c>
      <c r="B2574" s="4" t="n">
        <v>1998</v>
      </c>
      <c r="C2574" s="4" t="str">
        <f aca="false">FLOOR(B2574,10)&amp;"s"</f>
        <v>1990s</v>
      </c>
      <c r="D2574" s="4" t="s">
        <v>2567</v>
      </c>
      <c r="E2574" s="25" t="str">
        <f aca="false">IF(G2574=1,"✓","")</f>
        <v>✓</v>
      </c>
      <c r="F2574" s="4" t="n">
        <v>1</v>
      </c>
      <c r="G2574" s="4" t="n">
        <f aca="false">IF(COUNTIF('Letterboxd Watched'!$E$2:$E$3000,M2574)&gt;0,1,0)</f>
        <v>1</v>
      </c>
      <c r="H2574" s="4" t="n">
        <v>2</v>
      </c>
      <c r="I2574" s="4" t="s">
        <v>213</v>
      </c>
      <c r="J2574" s="4" t="s">
        <v>52</v>
      </c>
      <c r="K2574" s="4" t="s">
        <v>4152</v>
      </c>
      <c r="L2574" s="48" t="str">
        <f aca="false">HYPERLINK("https://boxd.it/1Yye","open")</f>
        <v>open</v>
      </c>
      <c r="M2574" s="4" t="str">
        <f aca="false">LOWER(A2574)&amp;"|"&amp;B2574</f>
        <v>you've got mail|1998</v>
      </c>
      <c r="N2574" s="4" t="n">
        <v>0</v>
      </c>
      <c r="O2574" s="4" t="n">
        <v>0</v>
      </c>
      <c r="P2574" s="4" t="n">
        <v>0</v>
      </c>
      <c r="Q2574" s="4" t="n">
        <v>1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</row>
    <row r="2575" customFormat="false" ht="15" hidden="false" customHeight="false" outlineLevel="0" collapsed="false">
      <c r="A2575" s="4" t="s">
        <v>1499</v>
      </c>
      <c r="B2575" s="4" t="n">
        <v>1974</v>
      </c>
      <c r="C2575" s="4" t="str">
        <f aca="false">FLOOR(B2575,10)&amp;"s"</f>
        <v>1970s</v>
      </c>
      <c r="D2575" s="4" t="s">
        <v>1500</v>
      </c>
      <c r="E2575" s="25" t="str">
        <f aca="false">IF(G2575=1,"✓","")</f>
        <v/>
      </c>
      <c r="F2575" s="4" t="n">
        <v>1</v>
      </c>
      <c r="G2575" s="4" t="n">
        <f aca="false">IF(COUNTIF('Letterboxd Watched'!$E$2:$E$3000,M2575)&gt;0,1,0)</f>
        <v>0</v>
      </c>
      <c r="H2575" s="4" t="n">
        <v>3</v>
      </c>
      <c r="I2575" s="4" t="s">
        <v>144</v>
      </c>
      <c r="J2575" s="4" t="s">
        <v>52</v>
      </c>
      <c r="K2575" s="4" t="s">
        <v>4102</v>
      </c>
      <c r="L2575" s="48" t="str">
        <f aca="false">HYPERLINK("https://boxd.it/25To","open")</f>
        <v>open</v>
      </c>
      <c r="M2575" s="4" t="str">
        <f aca="false">LOWER(A2575)&amp;"|"&amp;B2575</f>
        <v>young frankenstein|1974</v>
      </c>
      <c r="N2575" s="4" t="n">
        <v>0</v>
      </c>
      <c r="O2575" s="4" t="n">
        <v>0</v>
      </c>
      <c r="P2575" s="4" t="n">
        <v>0</v>
      </c>
      <c r="Q2575" s="4" t="n">
        <v>1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</row>
    <row r="2576" customFormat="false" ht="15" hidden="false" customHeight="false" outlineLevel="0" collapsed="false">
      <c r="A2576" s="4" t="s">
        <v>776</v>
      </c>
      <c r="B2576" s="4" t="n">
        <v>1967</v>
      </c>
      <c r="C2576" s="4" t="str">
        <f aca="false">FLOOR(B2576,10)&amp;"s"</f>
        <v>1960s</v>
      </c>
      <c r="D2576" s="4" t="s">
        <v>777</v>
      </c>
      <c r="E2576" s="25" t="str">
        <f aca="false">IF(G2576=1,"✓","")</f>
        <v/>
      </c>
      <c r="F2576" s="4" t="n">
        <v>2</v>
      </c>
      <c r="G2576" s="4" t="n">
        <f aca="false">IF(COUNTIF('Letterboxd Watched'!$E$2:$E$3000,M2576)&gt;0,1,0)</f>
        <v>0</v>
      </c>
      <c r="H2576" s="4" t="n">
        <v>5</v>
      </c>
      <c r="I2576" s="4" t="s">
        <v>144</v>
      </c>
      <c r="J2576" s="4" t="s">
        <v>52</v>
      </c>
      <c r="K2576" s="4" t="s">
        <v>5893</v>
      </c>
      <c r="L2576" s="48" t="str">
        <f aca="false">HYPERLINK("https://boxd.it/26K8","open")</f>
        <v>open</v>
      </c>
      <c r="M2576" s="4" t="str">
        <f aca="false">LOWER(A2576)&amp;"|"&amp;B2576</f>
        <v>the young girls of rochefort|1967</v>
      </c>
      <c r="N2576" s="4" t="n">
        <v>0</v>
      </c>
      <c r="O2576" s="4" t="n">
        <v>0</v>
      </c>
      <c r="P2576" s="4" t="n">
        <v>0</v>
      </c>
      <c r="Q2576" s="4" t="n">
        <v>1</v>
      </c>
      <c r="R2576" s="4" t="n">
        <v>0</v>
      </c>
      <c r="S2576" s="4" t="n">
        <v>0</v>
      </c>
      <c r="T2576" s="4" t="n">
        <v>0</v>
      </c>
      <c r="U2576" s="4" t="n">
        <v>0</v>
      </c>
      <c r="V2576" s="4" t="n">
        <v>0</v>
      </c>
      <c r="W2576" s="4" t="n">
        <v>1</v>
      </c>
    </row>
    <row r="2577" customFormat="false" ht="15" hidden="false" customHeight="false" outlineLevel="0" collapsed="false">
      <c r="A2577" s="4" t="s">
        <v>1782</v>
      </c>
      <c r="B2577" s="4" t="n">
        <v>1939</v>
      </c>
      <c r="C2577" s="4" t="str">
        <f aca="false">FLOOR(B2577,10)&amp;"s"</f>
        <v>1930s</v>
      </c>
      <c r="D2577" s="4" t="s">
        <v>205</v>
      </c>
      <c r="E2577" s="25" t="str">
        <f aca="false">IF(G2577=1,"✓","")</f>
        <v/>
      </c>
      <c r="F2577" s="4" t="n">
        <v>1</v>
      </c>
      <c r="G2577" s="4" t="n">
        <f aca="false">IF(COUNTIF('Letterboxd Watched'!$E$2:$E$3000,M2577)&gt;0,1,0)</f>
        <v>0</v>
      </c>
      <c r="H2577" s="4" t="n">
        <v>2</v>
      </c>
      <c r="I2577" s="4" t="s">
        <v>213</v>
      </c>
      <c r="J2577" s="4" t="s">
        <v>53</v>
      </c>
      <c r="K2577" s="4" t="s">
        <v>205</v>
      </c>
      <c r="L2577" s="48" t="str">
        <f aca="false">HYPERLINK("https://boxd.it/Tsy","open")</f>
        <v>open</v>
      </c>
      <c r="M2577" s="4" t="str">
        <f aca="false">LOWER(A2577)&amp;"|"&amp;B2577</f>
        <v>young mr. lincoln|1939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1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</row>
    <row r="2578" customFormat="false" ht="15" hidden="false" customHeight="false" outlineLevel="0" collapsed="false">
      <c r="A2578" s="4" t="s">
        <v>3088</v>
      </c>
      <c r="B2578" s="4" t="n">
        <v>2016</v>
      </c>
      <c r="C2578" s="4" t="str">
        <f aca="false">FLOOR(B2578,10)&amp;"s"</f>
        <v>2010s</v>
      </c>
      <c r="D2578" s="4" t="s">
        <v>3089</v>
      </c>
      <c r="E2578" s="25" t="str">
        <f aca="false">IF(G2578=1,"✓","")</f>
        <v/>
      </c>
      <c r="F2578" s="4" t="n">
        <v>1</v>
      </c>
      <c r="G2578" s="4" t="n">
        <f aca="false">IF(COUNTIF('Letterboxd Watched'!$E$2:$E$3000,M2578)&gt;0,1,0)</f>
        <v>0</v>
      </c>
      <c r="H2578" s="4" t="n">
        <v>2</v>
      </c>
      <c r="I2578" s="4" t="s">
        <v>213</v>
      </c>
      <c r="J2578" s="4" t="s">
        <v>51</v>
      </c>
      <c r="K2578" s="4" t="s">
        <v>3938</v>
      </c>
      <c r="L2578" s="48" t="str">
        <f aca="false">HYPERLINK("https://boxd.it/cUqs","open")</f>
        <v>open</v>
      </c>
      <c r="M2578" s="4" t="str">
        <f aca="false">LOWER(A2578)&amp;"|"&amp;B2578</f>
        <v>your name.|2016</v>
      </c>
      <c r="N2578" s="4" t="n">
        <v>0</v>
      </c>
      <c r="O2578" s="4" t="n">
        <v>0</v>
      </c>
      <c r="P2578" s="4" t="n">
        <v>1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</row>
    <row r="2579" customFormat="false" ht="15" hidden="false" customHeight="false" outlineLevel="0" collapsed="false">
      <c r="A2579" s="4" t="s">
        <v>3496</v>
      </c>
      <c r="B2579" s="4" t="n">
        <v>1972</v>
      </c>
      <c r="C2579" s="4" t="str">
        <f aca="false">FLOOR(B2579,10)&amp;"s"</f>
        <v>1970s</v>
      </c>
      <c r="D2579" s="4" t="s">
        <v>1346</v>
      </c>
      <c r="E2579" s="25" t="str">
        <f aca="false">IF(G2579=1,"✓","")</f>
        <v/>
      </c>
      <c r="F2579" s="4" t="n">
        <v>1</v>
      </c>
      <c r="G2579" s="4" t="n">
        <f aca="false">IF(COUNTIF('Letterboxd Watched'!$E$2:$E$3000,M2579)&gt;0,1,0)</f>
        <v>0</v>
      </c>
      <c r="H2579" s="4" t="n">
        <v>1</v>
      </c>
      <c r="I2579" s="4" t="s">
        <v>1327</v>
      </c>
      <c r="J2579" s="4" t="s">
        <v>51</v>
      </c>
      <c r="K2579" s="4" t="s">
        <v>3950</v>
      </c>
      <c r="L2579" s="48" t="str">
        <f aca="false">HYPERLINK("https://letterboxd.com/search/films/Your+Vice+Is+a+Locked+Room+and+Only+I+Have+the+Key+1972/","open")</f>
        <v>open</v>
      </c>
      <c r="M2579" s="4" t="str">
        <f aca="false">LOWER(A2579)&amp;"|"&amp;B2579</f>
        <v>your vice is a locked room and only i have the key|1972</v>
      </c>
      <c r="N2579" s="4" t="n">
        <v>0</v>
      </c>
      <c r="O2579" s="4" t="n">
        <v>0</v>
      </c>
      <c r="P2579" s="4" t="n">
        <v>1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</row>
    <row r="2580" customFormat="false" ht="15" hidden="false" customHeight="false" outlineLevel="0" collapsed="false">
      <c r="A2580" s="4" t="s">
        <v>3419</v>
      </c>
      <c r="B2580" s="4" t="n">
        <v>1963</v>
      </c>
      <c r="C2580" s="4" t="str">
        <f aca="false">FLOOR(B2580,10)&amp;"s"</f>
        <v>1960s</v>
      </c>
      <c r="D2580" s="4" t="s">
        <v>472</v>
      </c>
      <c r="E2580" s="25" t="str">
        <f aca="false">IF(G2580=1,"✓","")</f>
        <v/>
      </c>
      <c r="F2580" s="4" t="n">
        <v>1</v>
      </c>
      <c r="G2580" s="4" t="n">
        <f aca="false">IF(COUNTIF('Letterboxd Watched'!$E$2:$E$3000,M2580)&gt;0,1,0)</f>
        <v>0</v>
      </c>
      <c r="H2580" s="4" t="n">
        <v>1</v>
      </c>
      <c r="I2580" s="4" t="s">
        <v>1327</v>
      </c>
      <c r="J2580" s="4" t="s">
        <v>51</v>
      </c>
      <c r="K2580" s="4" t="s">
        <v>3936</v>
      </c>
      <c r="L2580" s="48" t="str">
        <f aca="false">HYPERLINK("https://letterboxd.com/search/films/Youth+of+the+Beast+1963/","open")</f>
        <v>open</v>
      </c>
      <c r="M2580" s="4" t="str">
        <f aca="false">LOWER(A2580)&amp;"|"&amp;B2580</f>
        <v>youth of the beast|1963</v>
      </c>
      <c r="N2580" s="4" t="n">
        <v>0</v>
      </c>
      <c r="O2580" s="4" t="n">
        <v>0</v>
      </c>
      <c r="P2580" s="4" t="n">
        <v>1</v>
      </c>
      <c r="Q2580" s="4" t="n">
        <v>0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0</v>
      </c>
    </row>
    <row r="2581" customFormat="false" ht="15" hidden="false" customHeight="false" outlineLevel="0" collapsed="false">
      <c r="A2581" s="4" t="s">
        <v>3477</v>
      </c>
      <c r="B2581" s="4" t="n">
        <v>1970</v>
      </c>
      <c r="C2581" s="4" t="str">
        <f aca="false">FLOOR(B2581,10)&amp;"s"</f>
        <v>1970s</v>
      </c>
      <c r="D2581" s="4" t="s">
        <v>217</v>
      </c>
      <c r="E2581" s="25" t="str">
        <f aca="false">IF(G2581=1,"✓","")</f>
        <v/>
      </c>
      <c r="F2581" s="4" t="n">
        <v>1</v>
      </c>
      <c r="G2581" s="4" t="n">
        <f aca="false">IF(COUNTIF('Letterboxd Watched'!$E$2:$E$3000,M2581)&gt;0,1,0)</f>
        <v>0</v>
      </c>
      <c r="H2581" s="4" t="n">
        <v>1</v>
      </c>
      <c r="I2581" s="4" t="s">
        <v>1327</v>
      </c>
      <c r="J2581" s="4" t="s">
        <v>53</v>
      </c>
      <c r="K2581" s="4" t="s">
        <v>217</v>
      </c>
      <c r="L2581" s="48" t="str">
        <f aca="false">HYPERLINK("https://boxd.it/25Yy","open")</f>
        <v>open</v>
      </c>
      <c r="M2581" s="4" t="str">
        <f aca="false">LOWER(A2581)&amp;"|"&amp;B2581</f>
        <v>zabriskie point|1970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1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</row>
    <row r="2582" customFormat="false" ht="15" hidden="false" customHeight="false" outlineLevel="0" collapsed="false">
      <c r="A2582" s="4" t="s">
        <v>2171</v>
      </c>
      <c r="B2582" s="4" t="n">
        <v>1971</v>
      </c>
      <c r="C2582" s="4" t="str">
        <f aca="false">FLOOR(B2582,10)&amp;"s"</f>
        <v>1970s</v>
      </c>
      <c r="D2582" s="4" t="s">
        <v>2172</v>
      </c>
      <c r="E2582" s="25" t="str">
        <f aca="false">IF(G2582=1,"✓","")</f>
        <v/>
      </c>
      <c r="F2582" s="4" t="n">
        <v>1</v>
      </c>
      <c r="G2582" s="4" t="n">
        <f aca="false">IF(COUNTIF('Letterboxd Watched'!$E$2:$E$3000,M2582)&gt;0,1,0)</f>
        <v>0</v>
      </c>
      <c r="H2582" s="4" t="n">
        <v>2</v>
      </c>
      <c r="I2582" s="4" t="s">
        <v>213</v>
      </c>
      <c r="J2582" s="4" t="s">
        <v>52</v>
      </c>
      <c r="K2582" s="4" t="s">
        <v>4054</v>
      </c>
      <c r="L2582" s="48" t="str">
        <f aca="false">HYPERLINK("https://letterboxd.com/search/films/Zachariah+1971/","open")</f>
        <v>open</v>
      </c>
      <c r="M2582" s="4" t="str">
        <f aca="false">LOWER(A2582)&amp;"|"&amp;B2582</f>
        <v>zachariah|1971</v>
      </c>
      <c r="N2582" s="4" t="n">
        <v>0</v>
      </c>
      <c r="O2582" s="4" t="n">
        <v>0</v>
      </c>
      <c r="P2582" s="4" t="n">
        <v>0</v>
      </c>
      <c r="Q2582" s="4" t="n">
        <v>1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</row>
    <row r="2583" customFormat="false" ht="15" hidden="false" customHeight="false" outlineLevel="0" collapsed="false">
      <c r="A2583" s="4" t="s">
        <v>3116</v>
      </c>
      <c r="B2583" s="4" t="n">
        <v>2017</v>
      </c>
      <c r="C2583" s="4" t="str">
        <f aca="false">FLOOR(B2583,10)&amp;"s"</f>
        <v>2010s</v>
      </c>
      <c r="D2583" s="4" t="s">
        <v>1579</v>
      </c>
      <c r="E2583" s="25" t="str">
        <f aca="false">IF(G2583=1,"✓","")</f>
        <v/>
      </c>
      <c r="F2583" s="4" t="n">
        <v>1</v>
      </c>
      <c r="G2583" s="4" t="n">
        <f aca="false">IF(COUNTIF('Letterboxd Watched'!$E$2:$E$3000,M2583)&gt;0,1,0)</f>
        <v>0</v>
      </c>
      <c r="H2583" s="4" t="n">
        <v>2</v>
      </c>
      <c r="I2583" s="4" t="s">
        <v>213</v>
      </c>
      <c r="J2583" s="4" t="s">
        <v>51</v>
      </c>
      <c r="K2583" s="4" t="s">
        <v>4010</v>
      </c>
      <c r="L2583" s="48" t="str">
        <f aca="false">HYPERLINK("https://boxd.it/aDDq","open")</f>
        <v>open</v>
      </c>
      <c r="M2583" s="4" t="str">
        <f aca="false">LOWER(A2583)&amp;"|"&amp;B2583</f>
        <v>zama|2017</v>
      </c>
      <c r="N2583" s="4" t="n">
        <v>0</v>
      </c>
      <c r="O2583" s="4" t="n">
        <v>0</v>
      </c>
      <c r="P2583" s="4" t="n">
        <v>1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</row>
    <row r="2584" customFormat="false" ht="15" hidden="false" customHeight="false" outlineLevel="0" collapsed="false">
      <c r="A2584" s="4" t="s">
        <v>3535</v>
      </c>
      <c r="B2584" s="4" t="n">
        <v>1974</v>
      </c>
      <c r="C2584" s="4" t="str">
        <f aca="false">FLOOR(B2584,10)&amp;"s"</f>
        <v>1970s</v>
      </c>
      <c r="D2584" s="4" t="s">
        <v>775</v>
      </c>
      <c r="E2584" s="25" t="str">
        <f aca="false">IF(G2584=1,"✓","")</f>
        <v/>
      </c>
      <c r="F2584" s="4" t="n">
        <v>1</v>
      </c>
      <c r="G2584" s="4" t="n">
        <f aca="false">IF(COUNTIF('Letterboxd Watched'!$E$2:$E$3000,M2584)&gt;0,1,0)</f>
        <v>0</v>
      </c>
      <c r="H2584" s="4" t="n">
        <v>1</v>
      </c>
      <c r="I2584" s="4" t="s">
        <v>1327</v>
      </c>
      <c r="J2584" s="4" t="s">
        <v>52</v>
      </c>
      <c r="K2584" s="4" t="s">
        <v>4086</v>
      </c>
      <c r="L2584" s="48" t="str">
        <f aca="false">HYPERLINK("https://boxd.it/23Fa","open")</f>
        <v>open</v>
      </c>
      <c r="M2584" s="4" t="str">
        <f aca="false">LOWER(A2584)&amp;"|"&amp;B2584</f>
        <v>zardoz|1974</v>
      </c>
      <c r="N2584" s="4" t="n">
        <v>0</v>
      </c>
      <c r="O2584" s="4" t="n">
        <v>0</v>
      </c>
      <c r="P2584" s="4" t="n">
        <v>0</v>
      </c>
      <c r="Q2584" s="4" t="n">
        <v>1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</row>
    <row r="2585" customFormat="false" ht="15" hidden="false" customHeight="false" outlineLevel="0" collapsed="false">
      <c r="A2585" s="4" t="s">
        <v>3733</v>
      </c>
      <c r="B2585" s="4" t="n">
        <v>2003</v>
      </c>
      <c r="C2585" s="4" t="str">
        <f aca="false">FLOOR(B2585,10)&amp;"s"</f>
        <v>2000s</v>
      </c>
      <c r="D2585" s="4" t="s">
        <v>831</v>
      </c>
      <c r="E2585" s="25" t="str">
        <f aca="false">IF(G2585=1,"✓","")</f>
        <v/>
      </c>
      <c r="F2585" s="4" t="n">
        <v>1</v>
      </c>
      <c r="G2585" s="4" t="n">
        <f aca="false">IF(COUNTIF('Letterboxd Watched'!$E$2:$E$3000,M2585)&gt;0,1,0)</f>
        <v>0</v>
      </c>
      <c r="H2585" s="4" t="n">
        <v>1</v>
      </c>
      <c r="I2585" s="4" t="s">
        <v>1327</v>
      </c>
      <c r="J2585" s="4" t="s">
        <v>51</v>
      </c>
      <c r="K2585" s="4" t="s">
        <v>3934</v>
      </c>
      <c r="L2585" s="48" t="str">
        <f aca="false">HYPERLINK("https://boxd.it/2aMs","open")</f>
        <v>open</v>
      </c>
      <c r="M2585" s="4" t="str">
        <f aca="false">LOWER(A2585)&amp;"|"&amp;B2585</f>
        <v>zatoichi|2003</v>
      </c>
      <c r="N2585" s="4" t="n">
        <v>0</v>
      </c>
      <c r="O2585" s="4" t="n">
        <v>0</v>
      </c>
      <c r="P2585" s="4" t="n">
        <v>1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</row>
    <row r="2586" customFormat="false" ht="15" hidden="false" customHeight="false" outlineLevel="0" collapsed="false">
      <c r="A2586" s="4" t="s">
        <v>2382</v>
      </c>
      <c r="B2586" s="4" t="n">
        <v>1983</v>
      </c>
      <c r="C2586" s="4" t="str">
        <f aca="false">FLOOR(B2586,10)&amp;"s"</f>
        <v>1980s</v>
      </c>
      <c r="D2586" s="4" t="s">
        <v>604</v>
      </c>
      <c r="E2586" s="25" t="str">
        <f aca="false">IF(G2586=1,"✓","")</f>
        <v>✓</v>
      </c>
      <c r="F2586" s="4" t="n">
        <v>1</v>
      </c>
      <c r="G2586" s="4" t="n">
        <f aca="false">IF(COUNTIF('Letterboxd Watched'!$E$2:$E$3000,M2586)&gt;0,1,0)</f>
        <v>1</v>
      </c>
      <c r="H2586" s="4" t="n">
        <v>2</v>
      </c>
      <c r="I2586" s="4" t="s">
        <v>213</v>
      </c>
      <c r="J2586" s="4" t="s">
        <v>52</v>
      </c>
      <c r="K2586" s="4" t="s">
        <v>4104</v>
      </c>
      <c r="L2586" s="48" t="str">
        <f aca="false">HYPERLINK("https://boxd.it/1UOC","open")</f>
        <v>open</v>
      </c>
      <c r="M2586" s="4" t="str">
        <f aca="false">LOWER(A2586)&amp;"|"&amp;B2586</f>
        <v>zelig|1983</v>
      </c>
      <c r="N2586" s="4" t="n">
        <v>0</v>
      </c>
      <c r="O2586" s="4" t="n">
        <v>0</v>
      </c>
      <c r="P2586" s="4" t="n">
        <v>0</v>
      </c>
      <c r="Q2586" s="4" t="n">
        <v>1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</row>
    <row r="2587" customFormat="false" ht="15" hidden="false" customHeight="false" outlineLevel="0" collapsed="false">
      <c r="A2587" s="4" t="s">
        <v>1616</v>
      </c>
      <c r="B2587" s="4" t="n">
        <v>2012</v>
      </c>
      <c r="C2587" s="4" t="str">
        <f aca="false">FLOOR(B2587,10)&amp;"s"</f>
        <v>2010s</v>
      </c>
      <c r="D2587" s="4" t="s">
        <v>865</v>
      </c>
      <c r="E2587" s="25" t="str">
        <f aca="false">IF(G2587=1,"✓","")</f>
        <v/>
      </c>
      <c r="F2587" s="4" t="n">
        <v>1</v>
      </c>
      <c r="G2587" s="4" t="n">
        <f aca="false">IF(COUNTIF('Letterboxd Watched'!$E$2:$E$3000,M2587)&gt;0,1,0)</f>
        <v>0</v>
      </c>
      <c r="H2587" s="4" t="n">
        <v>3</v>
      </c>
      <c r="I2587" s="4" t="s">
        <v>144</v>
      </c>
      <c r="J2587" s="4" t="s">
        <v>52</v>
      </c>
      <c r="K2587" s="4" t="s">
        <v>4144</v>
      </c>
      <c r="L2587" s="48" t="str">
        <f aca="false">HYPERLINK("https://boxd.it/3n1w","open")</f>
        <v>open</v>
      </c>
      <c r="M2587" s="4" t="str">
        <f aca="false">LOWER(A2587)&amp;"|"&amp;B2587</f>
        <v>zero dark thirty|2012</v>
      </c>
      <c r="N2587" s="4" t="n">
        <v>0</v>
      </c>
      <c r="O2587" s="4" t="n">
        <v>0</v>
      </c>
      <c r="P2587" s="4" t="n">
        <v>0</v>
      </c>
      <c r="Q2587" s="4" t="n">
        <v>1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</row>
    <row r="2588" customFormat="false" ht="15" hidden="false" customHeight="false" outlineLevel="0" collapsed="false">
      <c r="A2588" s="4" t="s">
        <v>1744</v>
      </c>
      <c r="B2588" s="4" t="n">
        <v>1933</v>
      </c>
      <c r="C2588" s="4" t="str">
        <f aca="false">FLOOR(B2588,10)&amp;"s"</f>
        <v>1930s</v>
      </c>
      <c r="D2588" s="4" t="s">
        <v>732</v>
      </c>
      <c r="E2588" s="25" t="str">
        <f aca="false">IF(G2588=1,"✓","")</f>
        <v/>
      </c>
      <c r="F2588" s="4" t="n">
        <v>1</v>
      </c>
      <c r="G2588" s="4" t="n">
        <f aca="false">IF(COUNTIF('Letterboxd Watched'!$E$2:$E$3000,M2588)&gt;0,1,0)</f>
        <v>0</v>
      </c>
      <c r="H2588" s="4" t="n">
        <v>2</v>
      </c>
      <c r="I2588" s="4" t="s">
        <v>213</v>
      </c>
      <c r="J2588" s="4" t="s">
        <v>51</v>
      </c>
      <c r="K2588" s="4" t="s">
        <v>3958</v>
      </c>
      <c r="L2588" s="48" t="str">
        <f aca="false">HYPERLINK("https://letterboxd.com/search/films/Zero+for+Conduct+1933/","open")</f>
        <v>open</v>
      </c>
      <c r="M2588" s="4" t="str">
        <f aca="false">LOWER(A2588)&amp;"|"&amp;B2588</f>
        <v>zero for conduct|1933</v>
      </c>
      <c r="N2588" s="4" t="n">
        <v>0</v>
      </c>
      <c r="O2588" s="4" t="n">
        <v>0</v>
      </c>
      <c r="P2588" s="4" t="n">
        <v>1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0</v>
      </c>
    </row>
    <row r="2589" customFormat="false" ht="15" hidden="false" customHeight="false" outlineLevel="0" collapsed="false">
      <c r="A2589" s="4" t="s">
        <v>324</v>
      </c>
      <c r="B2589" s="4" t="n">
        <v>2007</v>
      </c>
      <c r="C2589" s="4" t="str">
        <f aca="false">FLOOR(B2589,10)&amp;"s"</f>
        <v>2000s</v>
      </c>
      <c r="D2589" s="4" t="s">
        <v>325</v>
      </c>
      <c r="E2589" s="25" t="str">
        <f aca="false">IF(G2589=1,"✓","")</f>
        <v/>
      </c>
      <c r="F2589" s="4" t="n">
        <v>4</v>
      </c>
      <c r="G2589" s="4" t="n">
        <f aca="false">IF(COUNTIF('Letterboxd Watched'!$E$2:$E$3000,M2589)&gt;0,1,0)</f>
        <v>0</v>
      </c>
      <c r="H2589" s="4" t="n">
        <v>10</v>
      </c>
      <c r="I2589" s="4" t="s">
        <v>144</v>
      </c>
      <c r="J2589" s="4" t="s">
        <v>50</v>
      </c>
      <c r="K2589" s="4" t="s">
        <v>5936</v>
      </c>
      <c r="L2589" s="48" t="str">
        <f aca="false">HYPERLINK("https://boxd.it/27MO","open")</f>
        <v>open</v>
      </c>
      <c r="M2589" s="4" t="str">
        <f aca="false">LOWER(A2589)&amp;"|"&amp;B2589</f>
        <v>zodiac|2007</v>
      </c>
      <c r="N2589" s="4" t="n">
        <v>0</v>
      </c>
      <c r="O2589" s="4" t="n">
        <v>1</v>
      </c>
      <c r="P2589" s="4" t="n">
        <v>0</v>
      </c>
      <c r="Q2589" s="4" t="n">
        <v>1</v>
      </c>
      <c r="R2589" s="4" t="n">
        <v>1</v>
      </c>
      <c r="S2589" s="4" t="n">
        <v>0</v>
      </c>
      <c r="T2589" s="4" t="n">
        <v>1</v>
      </c>
      <c r="U2589" s="4" t="n">
        <v>0</v>
      </c>
      <c r="V2589" s="4" t="n">
        <v>0</v>
      </c>
      <c r="W2589" s="4" t="n">
        <v>0</v>
      </c>
    </row>
    <row r="2590" customFormat="false" ht="15" hidden="false" customHeight="false" outlineLevel="0" collapsed="false">
      <c r="A2590" s="4" t="s">
        <v>1362</v>
      </c>
      <c r="B2590" s="4" t="n">
        <v>1979</v>
      </c>
      <c r="C2590" s="4" t="str">
        <f aca="false">FLOOR(B2590,10)&amp;"s"</f>
        <v>1970s</v>
      </c>
      <c r="D2590" s="4" t="s">
        <v>709</v>
      </c>
      <c r="E2590" s="25" t="str">
        <f aca="false">IF(G2590=1,"✓","")</f>
        <v/>
      </c>
      <c r="F2590" s="4" t="n">
        <v>2</v>
      </c>
      <c r="G2590" s="4" t="n">
        <f aca="false">IF(COUNTIF('Letterboxd Watched'!$E$2:$E$3000,M2590)&gt;0,1,0)</f>
        <v>0</v>
      </c>
      <c r="H2590" s="4" t="n">
        <v>3</v>
      </c>
      <c r="I2590" s="4" t="s">
        <v>213</v>
      </c>
      <c r="J2590" s="4" t="s">
        <v>51</v>
      </c>
      <c r="K2590" s="4" t="s">
        <v>5937</v>
      </c>
      <c r="L2590" s="48" t="str">
        <f aca="false">HYPERLINK("https://letterboxd.com/search/films/Zombie+1979/","open")</f>
        <v>open</v>
      </c>
      <c r="M2590" s="4" t="str">
        <f aca="false">LOWER(A2590)&amp;"|"&amp;B2590</f>
        <v>zombie|1979</v>
      </c>
      <c r="N2590" s="4" t="n">
        <v>0</v>
      </c>
      <c r="O2590" s="4" t="n">
        <v>0</v>
      </c>
      <c r="P2590" s="4" t="n">
        <v>1</v>
      </c>
      <c r="Q2590" s="4" t="n">
        <v>1</v>
      </c>
      <c r="R2590" s="4" t="n">
        <v>0</v>
      </c>
      <c r="S2590" s="4" t="n">
        <v>0</v>
      </c>
      <c r="T2590" s="4" t="n">
        <v>0</v>
      </c>
      <c r="U2590" s="4" t="n">
        <v>0</v>
      </c>
      <c r="V2590" s="4" t="n">
        <v>0</v>
      </c>
      <c r="W2590" s="4" t="n">
        <v>0</v>
      </c>
    </row>
    <row r="2591" customFormat="false" ht="15" hidden="false" customHeight="false" outlineLevel="0" collapsed="false">
      <c r="A2591" s="4" t="s">
        <v>1046</v>
      </c>
      <c r="B2591" s="4" t="n">
        <v>1979</v>
      </c>
      <c r="C2591" s="4" t="str">
        <f aca="false">FLOOR(B2591,10)&amp;"s"</f>
        <v>1970s</v>
      </c>
      <c r="D2591" s="4" t="s">
        <v>709</v>
      </c>
      <c r="E2591" s="25" t="str">
        <f aca="false">IF(G2591=1,"✓","")</f>
        <v/>
      </c>
      <c r="F2591" s="4" t="n">
        <v>2</v>
      </c>
      <c r="G2591" s="4" t="n">
        <f aca="false">IF(COUNTIF('Letterboxd Watched'!$E$2:$E$3000,M2591)&gt;0,1,0)</f>
        <v>0</v>
      </c>
      <c r="H2591" s="4" t="n">
        <v>4</v>
      </c>
      <c r="I2591" s="4" t="s">
        <v>213</v>
      </c>
      <c r="J2591" s="4" t="s">
        <v>56</v>
      </c>
      <c r="K2591" s="4" t="s">
        <v>5938</v>
      </c>
      <c r="L2591" s="48" t="str">
        <f aca="false">HYPERLINK("https://letterboxd.com/search/films/Zombie+Flesh+Eaters+1979/","open")</f>
        <v>open</v>
      </c>
      <c r="M2591" s="4" t="str">
        <f aca="false">LOWER(A2591)&amp;"|"&amp;B2591</f>
        <v>zombie flesh eaters|1979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1</v>
      </c>
      <c r="V2591" s="4" t="n">
        <v>1</v>
      </c>
      <c r="W2591" s="4" t="n">
        <v>0</v>
      </c>
    </row>
    <row r="2592" customFormat="false" ht="15" hidden="false" customHeight="false" outlineLevel="0" collapsed="false">
      <c r="A2592" s="4" t="s">
        <v>399</v>
      </c>
      <c r="B2592" s="4" t="n">
        <v>2023</v>
      </c>
      <c r="C2592" s="4" t="str">
        <f aca="false">FLOOR(B2592,10)&amp;"s"</f>
        <v>2020s</v>
      </c>
      <c r="D2592" s="4" t="s">
        <v>400</v>
      </c>
      <c r="E2592" s="25" t="str">
        <f aca="false">IF(G2592=1,"✓","")</f>
        <v/>
      </c>
      <c r="F2592" s="4" t="n">
        <v>4</v>
      </c>
      <c r="G2592" s="4" t="n">
        <f aca="false">IF(COUNTIF('Letterboxd Watched'!$E$2:$E$3000,M2592)&gt;0,1,0)</f>
        <v>0</v>
      </c>
      <c r="H2592" s="4" t="n">
        <v>8</v>
      </c>
      <c r="I2592" s="4" t="s">
        <v>213</v>
      </c>
      <c r="J2592" s="4" t="s">
        <v>49</v>
      </c>
      <c r="K2592" s="4" t="s">
        <v>5939</v>
      </c>
      <c r="L2592" s="48" t="str">
        <f aca="false">HYPERLINK("https://boxd.it/gJsA","open")</f>
        <v>open</v>
      </c>
      <c r="M2592" s="4" t="str">
        <f aca="false">LOWER(A2592)&amp;"|"&amp;B2592</f>
        <v>the zone of interest|2023</v>
      </c>
      <c r="N2592" s="4" t="n">
        <v>1</v>
      </c>
      <c r="O2592" s="4" t="n">
        <v>1</v>
      </c>
      <c r="P2592" s="4" t="n">
        <v>0</v>
      </c>
      <c r="Q2592" s="4" t="n">
        <v>1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1</v>
      </c>
      <c r="W2592" s="4" t="n">
        <v>0</v>
      </c>
    </row>
    <row r="2593" customFormat="false" ht="15" hidden="false" customHeight="false" outlineLevel="0" collapsed="false">
      <c r="A2593" s="4" t="s">
        <v>2743</v>
      </c>
      <c r="B2593" s="4" t="n">
        <v>2001</v>
      </c>
      <c r="C2593" s="4" t="str">
        <f aca="false">FLOOR(B2593,10)&amp;"s"</f>
        <v>2000s</v>
      </c>
      <c r="D2593" s="4" t="s">
        <v>2744</v>
      </c>
      <c r="E2593" s="25" t="str">
        <f aca="false">IF(G2593=1,"✓","")</f>
        <v>✓</v>
      </c>
      <c r="F2593" s="4" t="n">
        <v>1</v>
      </c>
      <c r="G2593" s="4" t="n">
        <f aca="false">IF(COUNTIF('Letterboxd Watched'!$E$2:$E$3000,M2593)&gt;0,1,0)</f>
        <v>1</v>
      </c>
      <c r="H2593" s="4" t="n">
        <v>2</v>
      </c>
      <c r="I2593" s="4" t="s">
        <v>213</v>
      </c>
      <c r="J2593" s="4" t="s">
        <v>52</v>
      </c>
      <c r="K2593" s="4" t="s">
        <v>4108</v>
      </c>
      <c r="L2593" s="48" t="str">
        <f aca="false">HYPERLINK("https://boxd.it/1YMA","open")</f>
        <v>open</v>
      </c>
      <c r="M2593" s="4" t="str">
        <f aca="false">LOWER(A2593)&amp;"|"&amp;B2593</f>
        <v>zoolander|2001</v>
      </c>
      <c r="N2593" s="4" t="n">
        <v>0</v>
      </c>
      <c r="O2593" s="4" t="n">
        <v>0</v>
      </c>
      <c r="P2593" s="4" t="n">
        <v>0</v>
      </c>
      <c r="Q2593" s="4" t="n">
        <v>1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</row>
    <row r="2594" customFormat="false" ht="15" hidden="false" customHeight="false" outlineLevel="0" collapsed="false">
      <c r="A2594" s="4" t="s">
        <v>2159</v>
      </c>
      <c r="B2594" s="4" t="n">
        <v>1970</v>
      </c>
      <c r="C2594" s="4" t="str">
        <f aca="false">FLOOR(B2594,10)&amp;"s"</f>
        <v>1970s</v>
      </c>
      <c r="D2594" s="4" t="s">
        <v>2160</v>
      </c>
      <c r="E2594" s="25" t="str">
        <f aca="false">IF(G2594=1,"✓","")</f>
        <v/>
      </c>
      <c r="F2594" s="4" t="n">
        <v>1</v>
      </c>
      <c r="G2594" s="4" t="n">
        <f aca="false">IF(COUNTIF('Letterboxd Watched'!$E$2:$E$3000,M2594)&gt;0,1,0)</f>
        <v>0</v>
      </c>
      <c r="H2594" s="4" t="n">
        <v>2</v>
      </c>
      <c r="I2594" s="4" t="s">
        <v>213</v>
      </c>
      <c r="J2594" s="4" t="s">
        <v>52</v>
      </c>
      <c r="K2594" s="4" t="s">
        <v>4182</v>
      </c>
      <c r="L2594" s="48" t="str">
        <f aca="false">HYPERLINK("https://letterboxd.com/search/films/Zorns+Lemma+1970/","open")</f>
        <v>open</v>
      </c>
      <c r="M2594" s="4" t="str">
        <f aca="false">LOWER(A2594)&amp;"|"&amp;B2594</f>
        <v>zorns lemma|1970</v>
      </c>
      <c r="N2594" s="4" t="n">
        <v>0</v>
      </c>
      <c r="O2594" s="4" t="n">
        <v>0</v>
      </c>
      <c r="P2594" s="4" t="n">
        <v>0</v>
      </c>
      <c r="Q2594" s="4" t="n">
        <v>1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0</v>
      </c>
    </row>
  </sheetData>
  <autoFilter ref="A1:W2594"/>
  <conditionalFormatting sqref="A2:L2594">
    <cfRule type="expression" priority="2" aboveAverage="0" equalAverage="0" bottom="0" percent="0" rank="0" text="" dxfId="4">
      <formula>$G2=1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C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90"/>
    <col collapsed="false" customWidth="true" hidden="false" outlineLevel="0" max="3" min="3" style="0" width="9"/>
  </cols>
  <sheetData>
    <row r="1" customFormat="false" ht="30" hidden="false" customHeight="true" outlineLevel="0" collapsed="false">
      <c r="A1" s="24" t="s">
        <v>5940</v>
      </c>
      <c r="B1" s="24" t="s">
        <v>5941</v>
      </c>
      <c r="C1" s="24" t="s">
        <v>5942</v>
      </c>
    </row>
    <row r="2" customFormat="false" ht="15" hidden="false" customHeight="false" outlineLevel="0" collapsed="false">
      <c r="A2" s="8" t="s">
        <v>5943</v>
      </c>
      <c r="B2" s="8" t="s">
        <v>4219</v>
      </c>
      <c r="C2" s="4" t="n">
        <v>1</v>
      </c>
    </row>
    <row r="3" customFormat="false" ht="15" hidden="false" customHeight="false" outlineLevel="0" collapsed="false">
      <c r="A3" s="8" t="s">
        <v>5944</v>
      </c>
      <c r="B3" s="8" t="s">
        <v>4450</v>
      </c>
      <c r="C3" s="4" t="n">
        <v>1</v>
      </c>
    </row>
    <row r="4" customFormat="false" ht="15" hidden="false" customHeight="false" outlineLevel="0" collapsed="false">
      <c r="A4" s="8" t="s">
        <v>5945</v>
      </c>
      <c r="B4" s="8" t="s">
        <v>4324</v>
      </c>
      <c r="C4" s="4" t="n">
        <v>1</v>
      </c>
    </row>
    <row r="5" customFormat="false" ht="15" hidden="false" customHeight="false" outlineLevel="0" collapsed="false">
      <c r="A5" s="8" t="s">
        <v>5946</v>
      </c>
      <c r="B5" s="8" t="s">
        <v>4016</v>
      </c>
      <c r="C5" s="4" t="n">
        <v>1</v>
      </c>
    </row>
    <row r="6" customFormat="false" ht="15" hidden="false" customHeight="false" outlineLevel="0" collapsed="false">
      <c r="A6" s="8" t="s">
        <v>5947</v>
      </c>
      <c r="B6" s="8" t="s">
        <v>3902</v>
      </c>
      <c r="C6" s="4" t="n">
        <v>1</v>
      </c>
    </row>
    <row r="7" customFormat="false" ht="15" hidden="false" customHeight="false" outlineLevel="0" collapsed="false">
      <c r="A7" s="8" t="s">
        <v>4587</v>
      </c>
      <c r="B7" s="8" t="s">
        <v>3974</v>
      </c>
      <c r="C7" s="4" t="n">
        <v>1</v>
      </c>
    </row>
    <row r="8" customFormat="false" ht="15" hidden="false" customHeight="false" outlineLevel="0" collapsed="false">
      <c r="A8" s="8" t="s">
        <v>5948</v>
      </c>
      <c r="B8" s="8" t="s">
        <v>3896</v>
      </c>
      <c r="C8" s="4" t="n">
        <v>1</v>
      </c>
    </row>
    <row r="9" customFormat="false" ht="15" hidden="false" customHeight="false" outlineLevel="0" collapsed="false">
      <c r="A9" s="8" t="s">
        <v>5949</v>
      </c>
      <c r="B9" s="8" t="s">
        <v>4112</v>
      </c>
      <c r="C9" s="4" t="n">
        <v>1</v>
      </c>
    </row>
    <row r="10" customFormat="false" ht="15" hidden="false" customHeight="false" outlineLevel="0" collapsed="false">
      <c r="A10" s="8" t="s">
        <v>5950</v>
      </c>
      <c r="B10" s="8" t="s">
        <v>4110</v>
      </c>
      <c r="C10" s="4" t="n">
        <v>1</v>
      </c>
    </row>
    <row r="11" customFormat="false" ht="15" hidden="false" customHeight="false" outlineLevel="0" collapsed="false">
      <c r="A11" s="8" t="s">
        <v>5087</v>
      </c>
      <c r="B11" s="8" t="s">
        <v>4428</v>
      </c>
      <c r="C11" s="4" t="n">
        <v>1</v>
      </c>
    </row>
    <row r="12" customFormat="false" ht="15" hidden="false" customHeight="false" outlineLevel="0" collapsed="false">
      <c r="A12" s="8" t="s">
        <v>5951</v>
      </c>
      <c r="B12" s="8" t="s">
        <v>4308</v>
      </c>
      <c r="C12" s="4" t="n">
        <v>1</v>
      </c>
    </row>
    <row r="13" customFormat="false" ht="15" hidden="false" customHeight="false" outlineLevel="0" collapsed="false">
      <c r="A13" s="8" t="s">
        <v>5952</v>
      </c>
      <c r="B13" s="8" t="s">
        <v>4370</v>
      </c>
      <c r="C13" s="4" t="n">
        <v>1</v>
      </c>
    </row>
    <row r="14" customFormat="false" ht="15" hidden="false" customHeight="false" outlineLevel="0" collapsed="false">
      <c r="A14" s="8" t="s">
        <v>5953</v>
      </c>
      <c r="B14" s="8" t="s">
        <v>4358</v>
      </c>
      <c r="C14" s="4" t="n">
        <v>1</v>
      </c>
    </row>
    <row r="15" customFormat="false" ht="15" hidden="false" customHeight="false" outlineLevel="0" collapsed="false">
      <c r="A15" s="8" t="s">
        <v>5954</v>
      </c>
      <c r="B15" s="8" t="s">
        <v>4255</v>
      </c>
      <c r="C15" s="4" t="n">
        <v>1</v>
      </c>
    </row>
    <row r="16" customFormat="false" ht="15" hidden="false" customHeight="false" outlineLevel="0" collapsed="false">
      <c r="A16" s="8" t="s">
        <v>5955</v>
      </c>
      <c r="B16" s="8" t="s">
        <v>4018</v>
      </c>
      <c r="C16" s="4" t="n">
        <v>1</v>
      </c>
    </row>
    <row r="17" customFormat="false" ht="15" hidden="false" customHeight="false" outlineLevel="0" collapsed="false">
      <c r="A17" s="8" t="s">
        <v>5956</v>
      </c>
      <c r="B17" s="8" t="s">
        <v>4246</v>
      </c>
      <c r="C17" s="4" t="n">
        <v>1</v>
      </c>
    </row>
    <row r="18" customFormat="false" ht="15" hidden="false" customHeight="false" outlineLevel="0" collapsed="false">
      <c r="A18" s="8" t="s">
        <v>4571</v>
      </c>
      <c r="B18" s="8" t="s">
        <v>3958</v>
      </c>
      <c r="C18" s="4" t="n">
        <v>1</v>
      </c>
    </row>
    <row r="19" customFormat="false" ht="23.85" hidden="false" customHeight="false" outlineLevel="0" collapsed="false">
      <c r="A19" s="8" t="s">
        <v>5957</v>
      </c>
      <c r="B19" s="8" t="s">
        <v>4440</v>
      </c>
      <c r="C19" s="4" t="n">
        <v>1</v>
      </c>
    </row>
    <row r="20" customFormat="false" ht="15" hidden="false" customHeight="false" outlineLevel="0" collapsed="false">
      <c r="A20" s="8" t="s">
        <v>5958</v>
      </c>
      <c r="B20" s="8" t="s">
        <v>3936</v>
      </c>
      <c r="C20" s="4" t="n">
        <v>1</v>
      </c>
    </row>
    <row r="21" customFormat="false" ht="15" hidden="false" customHeight="false" outlineLevel="0" collapsed="false">
      <c r="A21" s="8" t="s">
        <v>5959</v>
      </c>
      <c r="B21" s="8" t="s">
        <v>3880</v>
      </c>
      <c r="C21" s="4" t="n">
        <v>1</v>
      </c>
    </row>
    <row r="22" customFormat="false" ht="15" hidden="false" customHeight="false" outlineLevel="0" collapsed="false">
      <c r="A22" s="8" t="s">
        <v>5960</v>
      </c>
      <c r="B22" s="8" t="s">
        <v>4324</v>
      </c>
      <c r="C22" s="4" t="n">
        <v>1</v>
      </c>
    </row>
    <row r="23" customFormat="false" ht="15" hidden="false" customHeight="false" outlineLevel="0" collapsed="false">
      <c r="A23" s="8" t="s">
        <v>5961</v>
      </c>
      <c r="B23" s="8" t="s">
        <v>3966</v>
      </c>
      <c r="C23" s="4" t="n">
        <v>1</v>
      </c>
    </row>
    <row r="24" customFormat="false" ht="15" hidden="false" customHeight="false" outlineLevel="0" collapsed="false">
      <c r="A24" s="8" t="s">
        <v>5962</v>
      </c>
      <c r="B24" s="8" t="s">
        <v>490</v>
      </c>
      <c r="C24" s="4" t="n">
        <v>1</v>
      </c>
    </row>
    <row r="25" customFormat="false" ht="15" hidden="false" customHeight="false" outlineLevel="0" collapsed="false">
      <c r="A25" s="8" t="s">
        <v>5963</v>
      </c>
      <c r="B25" s="8" t="s">
        <v>4060</v>
      </c>
      <c r="C25" s="4" t="n">
        <v>1</v>
      </c>
    </row>
    <row r="26" customFormat="false" ht="15" hidden="false" customHeight="false" outlineLevel="0" collapsed="false">
      <c r="A26" s="8" t="s">
        <v>4754</v>
      </c>
      <c r="B26" s="8" t="s">
        <v>4144</v>
      </c>
      <c r="C26" s="4" t="n">
        <v>1</v>
      </c>
    </row>
    <row r="27" customFormat="false" ht="15" hidden="false" customHeight="false" outlineLevel="0" collapsed="false">
      <c r="A27" s="8" t="s">
        <v>5964</v>
      </c>
      <c r="B27" s="8" t="s">
        <v>5965</v>
      </c>
      <c r="C27" s="4" t="n">
        <v>4</v>
      </c>
    </row>
    <row r="28" customFormat="false" ht="15" hidden="false" customHeight="false" outlineLevel="0" collapsed="false">
      <c r="A28" s="8" t="s">
        <v>5966</v>
      </c>
      <c r="B28" s="8" t="s">
        <v>3978</v>
      </c>
      <c r="C28" s="4" t="n">
        <v>1</v>
      </c>
    </row>
    <row r="29" customFormat="false" ht="15" hidden="false" customHeight="false" outlineLevel="0" collapsed="false">
      <c r="A29" s="8" t="s">
        <v>5967</v>
      </c>
      <c r="B29" s="8" t="s">
        <v>4148</v>
      </c>
      <c r="C29" s="4" t="n">
        <v>1</v>
      </c>
    </row>
    <row r="30" customFormat="false" ht="15" hidden="false" customHeight="false" outlineLevel="0" collapsed="false">
      <c r="A30" s="8" t="s">
        <v>5968</v>
      </c>
      <c r="B30" s="8" t="s">
        <v>4138</v>
      </c>
      <c r="C30" s="4" t="n">
        <v>1</v>
      </c>
    </row>
    <row r="31" customFormat="false" ht="15" hidden="false" customHeight="false" outlineLevel="0" collapsed="false">
      <c r="A31" s="8" t="s">
        <v>5969</v>
      </c>
      <c r="B31" s="8" t="s">
        <v>3966</v>
      </c>
      <c r="C31" s="4" t="n">
        <v>1</v>
      </c>
    </row>
    <row r="32" customFormat="false" ht="15" hidden="false" customHeight="false" outlineLevel="0" collapsed="false">
      <c r="A32" s="8" t="s">
        <v>5970</v>
      </c>
      <c r="B32" s="8" t="s">
        <v>3914</v>
      </c>
      <c r="C32" s="4" t="n">
        <v>1</v>
      </c>
    </row>
    <row r="33" customFormat="false" ht="15" hidden="false" customHeight="false" outlineLevel="0" collapsed="false">
      <c r="A33" s="8" t="s">
        <v>5971</v>
      </c>
      <c r="B33" s="8" t="s">
        <v>3942</v>
      </c>
      <c r="C33" s="4" t="n">
        <v>1</v>
      </c>
    </row>
    <row r="34" customFormat="false" ht="15" hidden="false" customHeight="false" outlineLevel="0" collapsed="false">
      <c r="A34" s="8" t="s">
        <v>5972</v>
      </c>
      <c r="B34" s="8" t="s">
        <v>3886</v>
      </c>
      <c r="C34" s="4" t="n">
        <v>1</v>
      </c>
    </row>
    <row r="35" customFormat="false" ht="15" hidden="false" customHeight="false" outlineLevel="0" collapsed="false">
      <c r="A35" s="8" t="s">
        <v>5973</v>
      </c>
      <c r="B35" s="8" t="s">
        <v>4048</v>
      </c>
      <c r="C35" s="4" t="n">
        <v>1</v>
      </c>
    </row>
    <row r="36" customFormat="false" ht="15" hidden="false" customHeight="false" outlineLevel="0" collapsed="false">
      <c r="A36" s="8" t="s">
        <v>5974</v>
      </c>
      <c r="B36" s="8" t="s">
        <v>234</v>
      </c>
      <c r="C36" s="4" t="n">
        <v>1</v>
      </c>
    </row>
    <row r="37" customFormat="false" ht="15" hidden="false" customHeight="false" outlineLevel="0" collapsed="false">
      <c r="A37" s="8" t="s">
        <v>5975</v>
      </c>
      <c r="B37" s="8" t="s">
        <v>5976</v>
      </c>
      <c r="C37" s="4" t="n">
        <v>2</v>
      </c>
    </row>
    <row r="38" customFormat="false" ht="15" hidden="false" customHeight="false" outlineLevel="0" collapsed="false">
      <c r="A38" s="8" t="s">
        <v>4539</v>
      </c>
      <c r="B38" s="8" t="s">
        <v>3926</v>
      </c>
      <c r="C38" s="4" t="n">
        <v>1</v>
      </c>
    </row>
    <row r="39" customFormat="false" ht="15" hidden="false" customHeight="false" outlineLevel="0" collapsed="false">
      <c r="A39" s="8" t="s">
        <v>5977</v>
      </c>
      <c r="B39" s="8" t="s">
        <v>316</v>
      </c>
      <c r="C39" s="4" t="n">
        <v>1</v>
      </c>
    </row>
    <row r="40" customFormat="false" ht="15" hidden="false" customHeight="false" outlineLevel="0" collapsed="false">
      <c r="A40" s="8" t="s">
        <v>5978</v>
      </c>
      <c r="B40" s="8" t="s">
        <v>4072</v>
      </c>
      <c r="C40" s="4" t="n">
        <v>1</v>
      </c>
    </row>
    <row r="41" customFormat="false" ht="15" hidden="false" customHeight="false" outlineLevel="0" collapsed="false">
      <c r="A41" s="8" t="s">
        <v>5979</v>
      </c>
      <c r="B41" s="8" t="s">
        <v>4456</v>
      </c>
      <c r="C41" s="4" t="n">
        <v>1</v>
      </c>
    </row>
    <row r="42" customFormat="false" ht="15" hidden="false" customHeight="false" outlineLevel="0" collapsed="false">
      <c r="A42" s="8" t="s">
        <v>5980</v>
      </c>
      <c r="B42" s="8" t="s">
        <v>4334</v>
      </c>
      <c r="C42" s="4" t="n">
        <v>1</v>
      </c>
    </row>
    <row r="43" customFormat="false" ht="15" hidden="false" customHeight="false" outlineLevel="0" collapsed="false">
      <c r="A43" s="8" t="s">
        <v>5981</v>
      </c>
      <c r="B43" s="8" t="s">
        <v>4324</v>
      </c>
      <c r="C43" s="4" t="n">
        <v>1</v>
      </c>
    </row>
    <row r="44" customFormat="false" ht="15" hidden="false" customHeight="false" outlineLevel="0" collapsed="false">
      <c r="A44" s="8" t="s">
        <v>5982</v>
      </c>
      <c r="B44" s="8" t="s">
        <v>170</v>
      </c>
      <c r="C44" s="4" t="n">
        <v>1</v>
      </c>
    </row>
    <row r="45" customFormat="false" ht="15" hidden="false" customHeight="false" outlineLevel="0" collapsed="false">
      <c r="A45" s="8" t="s">
        <v>5983</v>
      </c>
      <c r="B45" s="8" t="s">
        <v>4020</v>
      </c>
      <c r="C45" s="4" t="n">
        <v>1</v>
      </c>
    </row>
    <row r="46" customFormat="false" ht="15" hidden="false" customHeight="false" outlineLevel="0" collapsed="false">
      <c r="A46" s="8" t="s">
        <v>5984</v>
      </c>
      <c r="B46" s="8" t="s">
        <v>262</v>
      </c>
      <c r="C46" s="4" t="n">
        <v>1</v>
      </c>
    </row>
    <row r="47" customFormat="false" ht="15" hidden="false" customHeight="false" outlineLevel="0" collapsed="false">
      <c r="A47" s="8" t="s">
        <v>5985</v>
      </c>
      <c r="B47" s="8" t="s">
        <v>3982</v>
      </c>
      <c r="C47" s="4" t="n">
        <v>1</v>
      </c>
    </row>
    <row r="48" customFormat="false" ht="15" hidden="false" customHeight="false" outlineLevel="0" collapsed="false">
      <c r="A48" s="8" t="s">
        <v>5101</v>
      </c>
      <c r="B48" s="8" t="s">
        <v>4442</v>
      </c>
      <c r="C48" s="4" t="n">
        <v>1</v>
      </c>
    </row>
    <row r="49" customFormat="false" ht="15" hidden="false" customHeight="false" outlineLevel="0" collapsed="false">
      <c r="A49" s="8" t="s">
        <v>5986</v>
      </c>
      <c r="B49" s="8" t="s">
        <v>3978</v>
      </c>
      <c r="C49" s="4" t="n">
        <v>1</v>
      </c>
    </row>
    <row r="50" customFormat="false" ht="15" hidden="false" customHeight="false" outlineLevel="0" collapsed="false">
      <c r="A50" s="8" t="s">
        <v>5085</v>
      </c>
      <c r="B50" s="8" t="s">
        <v>4426</v>
      </c>
      <c r="C50" s="4" t="n">
        <v>1</v>
      </c>
    </row>
    <row r="51" customFormat="false" ht="15" hidden="false" customHeight="false" outlineLevel="0" collapsed="false">
      <c r="A51" s="8" t="s">
        <v>5987</v>
      </c>
      <c r="B51" s="8" t="s">
        <v>3924</v>
      </c>
      <c r="C51" s="4" t="n">
        <v>1</v>
      </c>
    </row>
    <row r="52" customFormat="false" ht="15" hidden="false" customHeight="false" outlineLevel="0" collapsed="false">
      <c r="A52" s="8" t="s">
        <v>5988</v>
      </c>
      <c r="B52" s="8" t="s">
        <v>4200</v>
      </c>
      <c r="C52" s="4" t="n">
        <v>1</v>
      </c>
    </row>
    <row r="53" customFormat="false" ht="15" hidden="false" customHeight="false" outlineLevel="0" collapsed="false">
      <c r="A53" s="8" t="s">
        <v>5989</v>
      </c>
      <c r="B53" s="8" t="s">
        <v>3918</v>
      </c>
      <c r="C53" s="4" t="n">
        <v>1</v>
      </c>
    </row>
    <row r="54" customFormat="false" ht="15" hidden="false" customHeight="false" outlineLevel="0" collapsed="false">
      <c r="A54" s="8" t="s">
        <v>5990</v>
      </c>
      <c r="B54" s="8" t="s">
        <v>3912</v>
      </c>
      <c r="C54" s="4" t="n">
        <v>1</v>
      </c>
    </row>
    <row r="55" customFormat="false" ht="15" hidden="false" customHeight="false" outlineLevel="0" collapsed="false">
      <c r="A55" s="8" t="s">
        <v>5991</v>
      </c>
      <c r="B55" s="8" t="s">
        <v>488</v>
      </c>
      <c r="C55" s="4" t="n">
        <v>1</v>
      </c>
    </row>
    <row r="56" customFormat="false" ht="15" hidden="false" customHeight="false" outlineLevel="0" collapsed="false">
      <c r="A56" s="8" t="s">
        <v>5992</v>
      </c>
      <c r="B56" s="8" t="s">
        <v>205</v>
      </c>
      <c r="C56" s="4" t="n">
        <v>1</v>
      </c>
    </row>
    <row r="57" customFormat="false" ht="15" hidden="false" customHeight="false" outlineLevel="0" collapsed="false">
      <c r="A57" s="8" t="s">
        <v>5993</v>
      </c>
      <c r="B57" s="8" t="s">
        <v>4284</v>
      </c>
      <c r="C57" s="4" t="n">
        <v>1</v>
      </c>
    </row>
    <row r="58" customFormat="false" ht="15" hidden="false" customHeight="false" outlineLevel="0" collapsed="false">
      <c r="A58" s="8" t="s">
        <v>4559</v>
      </c>
      <c r="B58" s="8" t="s">
        <v>3946</v>
      </c>
      <c r="C58" s="4" t="n">
        <v>1</v>
      </c>
    </row>
    <row r="59" customFormat="false" ht="15" hidden="false" customHeight="false" outlineLevel="0" collapsed="false">
      <c r="A59" s="8" t="s">
        <v>4857</v>
      </c>
      <c r="B59" s="8" t="s">
        <v>179</v>
      </c>
      <c r="C59" s="4" t="n">
        <v>1</v>
      </c>
    </row>
    <row r="60" customFormat="false" ht="15" hidden="false" customHeight="false" outlineLevel="0" collapsed="false">
      <c r="A60" s="8" t="s">
        <v>4704</v>
      </c>
      <c r="B60" s="8" t="s">
        <v>4092</v>
      </c>
      <c r="C60" s="4" t="n">
        <v>1</v>
      </c>
    </row>
    <row r="61" customFormat="false" ht="15" hidden="false" customHeight="false" outlineLevel="0" collapsed="false">
      <c r="A61" s="8" t="s">
        <v>5994</v>
      </c>
      <c r="B61" s="8" t="s">
        <v>4042</v>
      </c>
      <c r="C61" s="4" t="n">
        <v>1</v>
      </c>
    </row>
    <row r="62" customFormat="false" ht="15" hidden="false" customHeight="false" outlineLevel="0" collapsed="false">
      <c r="A62" s="8" t="s">
        <v>4770</v>
      </c>
      <c r="B62" s="8" t="s">
        <v>4160</v>
      </c>
      <c r="C62" s="4" t="n">
        <v>1</v>
      </c>
    </row>
    <row r="63" customFormat="false" ht="15" hidden="false" customHeight="false" outlineLevel="0" collapsed="false">
      <c r="A63" s="8" t="s">
        <v>5995</v>
      </c>
      <c r="B63" s="8" t="s">
        <v>3888</v>
      </c>
      <c r="C63" s="4" t="n">
        <v>1</v>
      </c>
    </row>
    <row r="64" customFormat="false" ht="15" hidden="false" customHeight="false" outlineLevel="0" collapsed="false">
      <c r="A64" s="8" t="s">
        <v>5996</v>
      </c>
      <c r="B64" s="8" t="s">
        <v>146</v>
      </c>
      <c r="C64" s="4" t="n">
        <v>1</v>
      </c>
    </row>
    <row r="65" customFormat="false" ht="15" hidden="false" customHeight="false" outlineLevel="0" collapsed="false">
      <c r="A65" s="8" t="s">
        <v>5997</v>
      </c>
      <c r="B65" s="8" t="s">
        <v>4012</v>
      </c>
      <c r="C65" s="4" t="n">
        <v>1</v>
      </c>
    </row>
    <row r="66" customFormat="false" ht="15" hidden="false" customHeight="false" outlineLevel="0" collapsed="false">
      <c r="A66" s="8" t="s">
        <v>5998</v>
      </c>
      <c r="B66" s="8" t="s">
        <v>3910</v>
      </c>
      <c r="C66" s="4" t="n">
        <v>1</v>
      </c>
    </row>
    <row r="67" customFormat="false" ht="15" hidden="false" customHeight="false" outlineLevel="0" collapsed="false">
      <c r="A67" s="8" t="s">
        <v>5999</v>
      </c>
      <c r="B67" s="8" t="s">
        <v>4272</v>
      </c>
      <c r="C67" s="4" t="n">
        <v>1</v>
      </c>
    </row>
    <row r="68" customFormat="false" ht="15" hidden="false" customHeight="false" outlineLevel="0" collapsed="false">
      <c r="A68" s="8" t="s">
        <v>6000</v>
      </c>
      <c r="B68" s="8" t="s">
        <v>3986</v>
      </c>
      <c r="C68" s="4" t="n">
        <v>1</v>
      </c>
    </row>
    <row r="69" customFormat="false" ht="15" hidden="false" customHeight="false" outlineLevel="0" collapsed="false">
      <c r="A69" s="8" t="s">
        <v>6001</v>
      </c>
      <c r="B69" s="8" t="s">
        <v>4304</v>
      </c>
      <c r="C69" s="4" t="n">
        <v>1</v>
      </c>
    </row>
    <row r="70" customFormat="false" ht="15" hidden="false" customHeight="false" outlineLevel="0" collapsed="false">
      <c r="A70" s="8" t="s">
        <v>5035</v>
      </c>
      <c r="B70" s="8" t="s">
        <v>4376</v>
      </c>
      <c r="C70" s="4" t="n">
        <v>1</v>
      </c>
    </row>
    <row r="71" customFormat="false" ht="23.85" hidden="false" customHeight="false" outlineLevel="0" collapsed="false">
      <c r="A71" s="8" t="s">
        <v>4489</v>
      </c>
      <c r="B71" s="8" t="s">
        <v>3876</v>
      </c>
      <c r="C71" s="4" t="n">
        <v>1</v>
      </c>
    </row>
    <row r="72" customFormat="false" ht="15" hidden="false" customHeight="false" outlineLevel="0" collapsed="false">
      <c r="A72" s="8" t="s">
        <v>5027</v>
      </c>
      <c r="B72" s="8" t="s">
        <v>4368</v>
      </c>
      <c r="C72" s="4" t="n">
        <v>1</v>
      </c>
    </row>
    <row r="73" customFormat="false" ht="15" hidden="false" customHeight="false" outlineLevel="0" collapsed="false">
      <c r="A73" s="8" t="s">
        <v>6002</v>
      </c>
      <c r="B73" s="8" t="s">
        <v>4284</v>
      </c>
      <c r="C73" s="4" t="n">
        <v>1</v>
      </c>
    </row>
    <row r="74" customFormat="false" ht="15" hidden="false" customHeight="false" outlineLevel="0" collapsed="false">
      <c r="A74" s="8" t="s">
        <v>6003</v>
      </c>
      <c r="B74" s="8" t="s">
        <v>215</v>
      </c>
      <c r="C74" s="4" t="n">
        <v>1</v>
      </c>
    </row>
    <row r="75" customFormat="false" ht="15" hidden="false" customHeight="false" outlineLevel="0" collapsed="false">
      <c r="A75" s="8" t="s">
        <v>5089</v>
      </c>
      <c r="B75" s="8" t="s">
        <v>4430</v>
      </c>
      <c r="C75" s="4" t="n">
        <v>1</v>
      </c>
    </row>
    <row r="76" customFormat="false" ht="15" hidden="false" customHeight="false" outlineLevel="0" collapsed="false">
      <c r="A76" s="8" t="s">
        <v>6004</v>
      </c>
      <c r="B76" s="8" t="s">
        <v>4132</v>
      </c>
      <c r="C76" s="4" t="n">
        <v>1</v>
      </c>
    </row>
    <row r="77" customFormat="false" ht="15" hidden="false" customHeight="false" outlineLevel="0" collapsed="false">
      <c r="A77" s="8" t="s">
        <v>6005</v>
      </c>
      <c r="B77" s="8" t="s">
        <v>152</v>
      </c>
      <c r="C77" s="4" t="n">
        <v>1</v>
      </c>
    </row>
    <row r="78" customFormat="false" ht="15" hidden="false" customHeight="false" outlineLevel="0" collapsed="false">
      <c r="A78" s="8" t="s">
        <v>6006</v>
      </c>
      <c r="B78" s="8" t="s">
        <v>255</v>
      </c>
      <c r="C78" s="4" t="n">
        <v>1</v>
      </c>
    </row>
    <row r="79" customFormat="false" ht="15" hidden="false" customHeight="false" outlineLevel="0" collapsed="false">
      <c r="A79" s="8" t="s">
        <v>6007</v>
      </c>
      <c r="B79" s="8" t="s">
        <v>3894</v>
      </c>
      <c r="C79" s="4" t="n">
        <v>1</v>
      </c>
    </row>
    <row r="80" customFormat="false" ht="15" hidden="false" customHeight="false" outlineLevel="0" collapsed="false">
      <c r="A80" s="8" t="s">
        <v>6008</v>
      </c>
      <c r="B80" s="8" t="s">
        <v>217</v>
      </c>
      <c r="C80" s="4" t="n">
        <v>1</v>
      </c>
    </row>
    <row r="81" customFormat="false" ht="15" hidden="false" customHeight="false" outlineLevel="0" collapsed="false">
      <c r="A81" s="8" t="s">
        <v>6009</v>
      </c>
      <c r="B81" s="8" t="s">
        <v>193</v>
      </c>
      <c r="C81" s="4" t="n">
        <v>1</v>
      </c>
    </row>
    <row r="82" customFormat="false" ht="15" hidden="false" customHeight="false" outlineLevel="0" collapsed="false">
      <c r="A82" s="8" t="s">
        <v>6010</v>
      </c>
      <c r="B82" s="8" t="s">
        <v>3888</v>
      </c>
      <c r="C82" s="4" t="n">
        <v>1</v>
      </c>
    </row>
    <row r="83" customFormat="false" ht="15" hidden="false" customHeight="false" outlineLevel="0" collapsed="false">
      <c r="A83" s="8" t="s">
        <v>6011</v>
      </c>
      <c r="B83" s="8" t="s">
        <v>183</v>
      </c>
      <c r="C83" s="4" t="n">
        <v>1</v>
      </c>
    </row>
    <row r="84" customFormat="false" ht="79.85" hidden="false" customHeight="false" outlineLevel="0" collapsed="false">
      <c r="A84" s="8" t="s">
        <v>5117</v>
      </c>
      <c r="B84" s="8" t="s">
        <v>6012</v>
      </c>
      <c r="C84" s="4" t="n">
        <v>14</v>
      </c>
    </row>
    <row r="85" customFormat="false" ht="15" hidden="false" customHeight="false" outlineLevel="0" collapsed="false">
      <c r="A85" s="8" t="s">
        <v>6013</v>
      </c>
      <c r="B85" s="8" t="s">
        <v>4340</v>
      </c>
      <c r="C85" s="4" t="n">
        <v>1</v>
      </c>
    </row>
    <row r="86" customFormat="false" ht="15" hidden="false" customHeight="false" outlineLevel="0" collapsed="false">
      <c r="A86" s="8" t="s">
        <v>6014</v>
      </c>
      <c r="B86" s="8" t="s">
        <v>5824</v>
      </c>
      <c r="C86" s="4" t="n">
        <v>2</v>
      </c>
    </row>
    <row r="87" customFormat="false" ht="15" hidden="false" customHeight="false" outlineLevel="0" collapsed="false">
      <c r="A87" s="8" t="s">
        <v>6015</v>
      </c>
      <c r="B87" s="8" t="s">
        <v>3930</v>
      </c>
      <c r="C87" s="4" t="n">
        <v>1</v>
      </c>
    </row>
    <row r="88" customFormat="false" ht="15" hidden="false" customHeight="false" outlineLevel="0" collapsed="false">
      <c r="A88" s="8" t="s">
        <v>6016</v>
      </c>
      <c r="B88" s="8" t="s">
        <v>402</v>
      </c>
      <c r="C88" s="4" t="n">
        <v>1</v>
      </c>
    </row>
    <row r="89" customFormat="false" ht="15" hidden="false" customHeight="false" outlineLevel="0" collapsed="false">
      <c r="A89" s="8" t="s">
        <v>6017</v>
      </c>
      <c r="B89" s="8" t="s">
        <v>3970</v>
      </c>
      <c r="C89" s="4" t="n">
        <v>1</v>
      </c>
    </row>
    <row r="90" customFormat="false" ht="15" hidden="false" customHeight="false" outlineLevel="0" collapsed="false">
      <c r="A90" s="8" t="s">
        <v>6018</v>
      </c>
      <c r="B90" s="8" t="s">
        <v>4194</v>
      </c>
      <c r="C90" s="4" t="n">
        <v>1</v>
      </c>
    </row>
    <row r="91" customFormat="false" ht="15" hidden="false" customHeight="false" outlineLevel="0" collapsed="false">
      <c r="A91" s="8" t="s">
        <v>6019</v>
      </c>
      <c r="B91" s="8" t="s">
        <v>4336</v>
      </c>
      <c r="C91" s="4" t="n">
        <v>1</v>
      </c>
    </row>
    <row r="92" customFormat="false" ht="15" hidden="false" customHeight="false" outlineLevel="0" collapsed="false">
      <c r="A92" s="8" t="s">
        <v>4669</v>
      </c>
      <c r="B92" s="8" t="s">
        <v>4056</v>
      </c>
      <c r="C92" s="4" t="n">
        <v>1</v>
      </c>
    </row>
    <row r="93" customFormat="false" ht="15" hidden="false" customHeight="false" outlineLevel="0" collapsed="false">
      <c r="A93" s="8" t="s">
        <v>6020</v>
      </c>
      <c r="B93" s="8" t="s">
        <v>6021</v>
      </c>
      <c r="C93" s="4" t="n">
        <v>2</v>
      </c>
    </row>
    <row r="94" customFormat="false" ht="15" hidden="false" customHeight="false" outlineLevel="0" collapsed="false">
      <c r="A94" s="8" t="s">
        <v>6022</v>
      </c>
      <c r="B94" s="8" t="s">
        <v>4034</v>
      </c>
      <c r="C94" s="4" t="n">
        <v>1</v>
      </c>
    </row>
    <row r="95" customFormat="false" ht="15" hidden="false" customHeight="false" outlineLevel="0" collapsed="false">
      <c r="A95" s="8" t="s">
        <v>6023</v>
      </c>
      <c r="B95" s="8" t="s">
        <v>3956</v>
      </c>
      <c r="C95" s="4" t="n">
        <v>1</v>
      </c>
    </row>
    <row r="96" customFormat="false" ht="15" hidden="false" customHeight="false" outlineLevel="0" collapsed="false">
      <c r="A96" s="8" t="s">
        <v>6024</v>
      </c>
      <c r="B96" s="8" t="s">
        <v>3928</v>
      </c>
      <c r="C96" s="4" t="n">
        <v>1</v>
      </c>
    </row>
    <row r="97" customFormat="false" ht="15" hidden="false" customHeight="false" outlineLevel="0" collapsed="false">
      <c r="A97" s="8" t="s">
        <v>6025</v>
      </c>
      <c r="B97" s="8" t="s">
        <v>4374</v>
      </c>
      <c r="C97" s="4" t="n">
        <v>1</v>
      </c>
    </row>
    <row r="98" customFormat="false" ht="15" hidden="false" customHeight="false" outlineLevel="0" collapsed="false">
      <c r="A98" s="8" t="s">
        <v>4807</v>
      </c>
      <c r="B98" s="8" t="s">
        <v>176</v>
      </c>
      <c r="C98" s="4" t="n">
        <v>1</v>
      </c>
    </row>
    <row r="99" customFormat="false" ht="15" hidden="false" customHeight="false" outlineLevel="0" collapsed="false">
      <c r="A99" s="8" t="s">
        <v>4927</v>
      </c>
      <c r="B99" s="8" t="s">
        <v>801</v>
      </c>
      <c r="C99" s="4" t="n">
        <v>1</v>
      </c>
    </row>
    <row r="100" customFormat="false" ht="15" hidden="false" customHeight="false" outlineLevel="0" collapsed="false">
      <c r="A100" s="8" t="s">
        <v>6026</v>
      </c>
      <c r="B100" s="8" t="s">
        <v>4134</v>
      </c>
      <c r="C100" s="4" t="n">
        <v>1</v>
      </c>
    </row>
    <row r="101" customFormat="false" ht="15" hidden="false" customHeight="false" outlineLevel="0" collapsed="false">
      <c r="A101" s="8" t="s">
        <v>6027</v>
      </c>
      <c r="B101" s="8" t="s">
        <v>4058</v>
      </c>
      <c r="C101" s="4" t="n">
        <v>1</v>
      </c>
    </row>
    <row r="102" customFormat="false" ht="15" hidden="false" customHeight="false" outlineLevel="0" collapsed="false">
      <c r="A102" s="8" t="s">
        <v>6028</v>
      </c>
      <c r="B102" s="8" t="s">
        <v>4088</v>
      </c>
      <c r="C102" s="4" t="n">
        <v>1</v>
      </c>
    </row>
    <row r="103" customFormat="false" ht="15" hidden="false" customHeight="false" outlineLevel="0" collapsed="false">
      <c r="A103" s="8" t="s">
        <v>6029</v>
      </c>
      <c r="B103" s="8" t="s">
        <v>4148</v>
      </c>
      <c r="C103" s="4" t="n">
        <v>1</v>
      </c>
    </row>
    <row r="104" customFormat="false" ht="15" hidden="false" customHeight="false" outlineLevel="0" collapsed="false">
      <c r="A104" s="8" t="s">
        <v>6030</v>
      </c>
      <c r="B104" s="8" t="s">
        <v>4348</v>
      </c>
      <c r="C104" s="4" t="n">
        <v>1</v>
      </c>
    </row>
    <row r="105" customFormat="false" ht="15" hidden="false" customHeight="false" outlineLevel="0" collapsed="false">
      <c r="A105" s="8" t="s">
        <v>6031</v>
      </c>
      <c r="B105" s="8" t="s">
        <v>4096</v>
      </c>
      <c r="C105" s="4" t="n">
        <v>1</v>
      </c>
    </row>
    <row r="106" customFormat="false" ht="15" hidden="false" customHeight="false" outlineLevel="0" collapsed="false">
      <c r="A106" s="8" t="s">
        <v>4760</v>
      </c>
      <c r="B106" s="8" t="s">
        <v>4150</v>
      </c>
      <c r="C106" s="4" t="n">
        <v>1</v>
      </c>
    </row>
    <row r="107" customFormat="false" ht="15" hidden="false" customHeight="false" outlineLevel="0" collapsed="false">
      <c r="A107" s="8" t="s">
        <v>6032</v>
      </c>
      <c r="B107" s="8" t="s">
        <v>4008</v>
      </c>
      <c r="C107" s="4" t="n">
        <v>1</v>
      </c>
    </row>
    <row r="108" customFormat="false" ht="15" hidden="false" customHeight="false" outlineLevel="0" collapsed="false">
      <c r="A108" s="8" t="s">
        <v>6033</v>
      </c>
      <c r="B108" s="8" t="s">
        <v>4132</v>
      </c>
      <c r="C108" s="4" t="n">
        <v>1</v>
      </c>
    </row>
    <row r="109" customFormat="false" ht="15" hidden="false" customHeight="false" outlineLevel="0" collapsed="false">
      <c r="A109" s="8" t="s">
        <v>6034</v>
      </c>
      <c r="B109" s="8" t="s">
        <v>217</v>
      </c>
      <c r="C109" s="4" t="n">
        <v>1</v>
      </c>
    </row>
    <row r="110" customFormat="false" ht="15" hidden="false" customHeight="false" outlineLevel="0" collapsed="false">
      <c r="A110" s="8" t="s">
        <v>6035</v>
      </c>
      <c r="B110" s="8" t="s">
        <v>3944</v>
      </c>
      <c r="C110" s="4" t="n">
        <v>1</v>
      </c>
    </row>
    <row r="111" customFormat="false" ht="15" hidden="false" customHeight="false" outlineLevel="0" collapsed="false">
      <c r="A111" s="8" t="s">
        <v>6036</v>
      </c>
      <c r="B111" s="8" t="s">
        <v>3884</v>
      </c>
      <c r="C111" s="4" t="n">
        <v>1</v>
      </c>
    </row>
    <row r="112" customFormat="false" ht="15" hidden="false" customHeight="false" outlineLevel="0" collapsed="false">
      <c r="A112" s="8" t="s">
        <v>6037</v>
      </c>
      <c r="B112" s="8" t="s">
        <v>154</v>
      </c>
      <c r="C112" s="4" t="n">
        <v>1</v>
      </c>
    </row>
    <row r="113" customFormat="false" ht="15" hidden="false" customHeight="false" outlineLevel="0" collapsed="false">
      <c r="A113" s="8" t="s">
        <v>5009</v>
      </c>
      <c r="B113" s="8" t="s">
        <v>4350</v>
      </c>
      <c r="C113" s="4" t="n">
        <v>1</v>
      </c>
    </row>
    <row r="114" customFormat="false" ht="15" hidden="false" customHeight="false" outlineLevel="0" collapsed="false">
      <c r="A114" s="8" t="s">
        <v>6038</v>
      </c>
      <c r="B114" s="8" t="s">
        <v>4024</v>
      </c>
      <c r="C114" s="4" t="n">
        <v>1</v>
      </c>
    </row>
    <row r="115" customFormat="false" ht="15" hidden="false" customHeight="false" outlineLevel="0" collapsed="false">
      <c r="A115" s="8" t="s">
        <v>6039</v>
      </c>
      <c r="B115" s="8" t="s">
        <v>4318</v>
      </c>
      <c r="C115" s="4" t="n">
        <v>1</v>
      </c>
    </row>
    <row r="116" customFormat="false" ht="15" hidden="false" customHeight="false" outlineLevel="0" collapsed="false">
      <c r="A116" s="8" t="s">
        <v>6040</v>
      </c>
      <c r="B116" s="8" t="s">
        <v>3976</v>
      </c>
      <c r="C116" s="4" t="n">
        <v>1</v>
      </c>
    </row>
    <row r="117" customFormat="false" ht="15" hidden="false" customHeight="false" outlineLevel="0" collapsed="false">
      <c r="A117" s="8" t="s">
        <v>4905</v>
      </c>
      <c r="B117" s="8" t="s">
        <v>1628</v>
      </c>
      <c r="C117" s="4" t="n">
        <v>1</v>
      </c>
    </row>
    <row r="118" customFormat="false" ht="15" hidden="false" customHeight="false" outlineLevel="0" collapsed="false">
      <c r="A118" s="8" t="s">
        <v>4691</v>
      </c>
      <c r="B118" s="8" t="s">
        <v>4078</v>
      </c>
      <c r="C118" s="4" t="n">
        <v>1</v>
      </c>
    </row>
    <row r="119" customFormat="false" ht="15" hidden="false" customHeight="false" outlineLevel="0" collapsed="false">
      <c r="A119" s="8" t="s">
        <v>6041</v>
      </c>
      <c r="B119" s="8" t="s">
        <v>187</v>
      </c>
      <c r="C119" s="4" t="n">
        <v>1</v>
      </c>
    </row>
    <row r="120" customFormat="false" ht="15" hidden="false" customHeight="false" outlineLevel="0" collapsed="false">
      <c r="A120" s="8" t="s">
        <v>6042</v>
      </c>
      <c r="B120" s="8" t="s">
        <v>4314</v>
      </c>
      <c r="C120" s="4" t="n">
        <v>1</v>
      </c>
    </row>
    <row r="121" customFormat="false" ht="15" hidden="false" customHeight="false" outlineLevel="0" collapsed="false">
      <c r="A121" s="8" t="s">
        <v>6043</v>
      </c>
      <c r="B121" s="8" t="s">
        <v>3938</v>
      </c>
      <c r="C121" s="4" t="n">
        <v>1</v>
      </c>
    </row>
    <row r="122" customFormat="false" ht="15" hidden="false" customHeight="false" outlineLevel="0" collapsed="false">
      <c r="A122" s="8" t="s">
        <v>6044</v>
      </c>
      <c r="B122" s="8" t="s">
        <v>4282</v>
      </c>
      <c r="C122" s="4" t="n">
        <v>1</v>
      </c>
    </row>
    <row r="123" customFormat="false" ht="15" hidden="false" customHeight="false" outlineLevel="0" collapsed="false">
      <c r="A123" s="8" t="s">
        <v>6045</v>
      </c>
      <c r="B123" s="8" t="s">
        <v>4070</v>
      </c>
      <c r="C123" s="4" t="n">
        <v>1</v>
      </c>
    </row>
    <row r="124" customFormat="false" ht="15" hidden="false" customHeight="false" outlineLevel="0" collapsed="false">
      <c r="A124" s="8" t="s">
        <v>6046</v>
      </c>
      <c r="B124" s="8" t="s">
        <v>4354</v>
      </c>
      <c r="C124" s="4" t="n">
        <v>1</v>
      </c>
    </row>
    <row r="125" customFormat="false" ht="15" hidden="false" customHeight="false" outlineLevel="0" collapsed="false">
      <c r="A125" s="8" t="s">
        <v>6047</v>
      </c>
      <c r="B125" s="8" t="s">
        <v>4178</v>
      </c>
      <c r="C125" s="4" t="n">
        <v>1</v>
      </c>
    </row>
    <row r="126" customFormat="false" ht="15" hidden="false" customHeight="false" outlineLevel="0" collapsed="false">
      <c r="A126" s="8" t="s">
        <v>6048</v>
      </c>
      <c r="B126" s="8" t="s">
        <v>4456</v>
      </c>
      <c r="C126" s="4" t="n">
        <v>1</v>
      </c>
    </row>
    <row r="127" customFormat="false" ht="23.85" hidden="false" customHeight="false" outlineLevel="0" collapsed="false">
      <c r="A127" s="8" t="s">
        <v>6049</v>
      </c>
      <c r="B127" s="8" t="s">
        <v>4454</v>
      </c>
      <c r="C127" s="4" t="n">
        <v>1</v>
      </c>
    </row>
    <row r="128" customFormat="false" ht="23.85" hidden="false" customHeight="false" outlineLevel="0" collapsed="false">
      <c r="A128" s="8" t="s">
        <v>6050</v>
      </c>
      <c r="B128" s="8" t="s">
        <v>4452</v>
      </c>
      <c r="C128" s="4" t="n">
        <v>1</v>
      </c>
    </row>
    <row r="129" customFormat="false" ht="15" hidden="false" customHeight="false" outlineLevel="0" collapsed="false">
      <c r="A129" s="8" t="s">
        <v>6051</v>
      </c>
      <c r="B129" s="8" t="s">
        <v>4040</v>
      </c>
      <c r="C129" s="4" t="n">
        <v>1</v>
      </c>
    </row>
    <row r="130" customFormat="false" ht="15" hidden="false" customHeight="false" outlineLevel="0" collapsed="false">
      <c r="A130" s="8" t="s">
        <v>4827</v>
      </c>
      <c r="B130" s="8" t="s">
        <v>266</v>
      </c>
      <c r="C130" s="4" t="n">
        <v>1</v>
      </c>
    </row>
    <row r="131" customFormat="false" ht="15" hidden="false" customHeight="false" outlineLevel="0" collapsed="false">
      <c r="A131" s="8" t="s">
        <v>6052</v>
      </c>
      <c r="B131" s="8" t="s">
        <v>253</v>
      </c>
      <c r="C131" s="4" t="n">
        <v>1</v>
      </c>
    </row>
    <row r="132" customFormat="false" ht="15" hidden="false" customHeight="false" outlineLevel="0" collapsed="false">
      <c r="A132" s="8" t="s">
        <v>6053</v>
      </c>
      <c r="B132" s="8" t="s">
        <v>4184</v>
      </c>
      <c r="C132" s="4" t="n">
        <v>1</v>
      </c>
    </row>
    <row r="133" customFormat="false" ht="35.05" hidden="false" customHeight="false" outlineLevel="0" collapsed="false">
      <c r="A133" s="8" t="s">
        <v>6054</v>
      </c>
      <c r="B133" s="8" t="s">
        <v>6055</v>
      </c>
      <c r="C133" s="4" t="n">
        <v>10</v>
      </c>
    </row>
    <row r="134" customFormat="false" ht="15" hidden="false" customHeight="false" outlineLevel="0" collapsed="false">
      <c r="A134" s="8" t="s">
        <v>6056</v>
      </c>
      <c r="B134" s="8" t="s">
        <v>4280</v>
      </c>
      <c r="C134" s="4" t="n">
        <v>1</v>
      </c>
    </row>
    <row r="135" customFormat="false" ht="15" hidden="false" customHeight="false" outlineLevel="0" collapsed="false">
      <c r="A135" s="8" t="s">
        <v>6057</v>
      </c>
      <c r="B135" s="8" t="s">
        <v>170</v>
      </c>
      <c r="C135" s="4" t="n">
        <v>1</v>
      </c>
    </row>
    <row r="136" customFormat="false" ht="15" hidden="false" customHeight="false" outlineLevel="0" collapsed="false">
      <c r="A136" s="8" t="s">
        <v>6058</v>
      </c>
      <c r="B136" s="8" t="s">
        <v>172</v>
      </c>
      <c r="C136" s="4" t="n">
        <v>1</v>
      </c>
    </row>
    <row r="137" customFormat="false" ht="15" hidden="false" customHeight="false" outlineLevel="0" collapsed="false">
      <c r="A137" s="8" t="s">
        <v>6059</v>
      </c>
      <c r="B137" s="8" t="s">
        <v>3986</v>
      </c>
      <c r="C137" s="4" t="n">
        <v>1</v>
      </c>
    </row>
    <row r="138" customFormat="false" ht="15" hidden="false" customHeight="false" outlineLevel="0" collapsed="false">
      <c r="A138" s="8" t="s">
        <v>6060</v>
      </c>
      <c r="B138" s="8" t="s">
        <v>3906</v>
      </c>
      <c r="C138" s="4" t="n">
        <v>1</v>
      </c>
    </row>
    <row r="139" customFormat="false" ht="15" hidden="false" customHeight="false" outlineLevel="0" collapsed="false">
      <c r="A139" s="8" t="s">
        <v>6061</v>
      </c>
      <c r="B139" s="8" t="s">
        <v>4282</v>
      </c>
      <c r="C139" s="4" t="n">
        <v>1</v>
      </c>
    </row>
    <row r="140" customFormat="false" ht="15" hidden="false" customHeight="false" outlineLevel="0" collapsed="false">
      <c r="A140" s="8" t="s">
        <v>6062</v>
      </c>
      <c r="B140" s="8" t="s">
        <v>4226</v>
      </c>
      <c r="C140" s="4" t="n">
        <v>1</v>
      </c>
    </row>
    <row r="141" customFormat="false" ht="15" hidden="false" customHeight="false" outlineLevel="0" collapsed="false">
      <c r="A141" s="8" t="s">
        <v>6063</v>
      </c>
      <c r="B141" s="8" t="s">
        <v>361</v>
      </c>
      <c r="C141" s="4" t="n">
        <v>1</v>
      </c>
    </row>
    <row r="142" customFormat="false" ht="15" hidden="false" customHeight="false" outlineLevel="0" collapsed="false">
      <c r="A142" s="8" t="s">
        <v>6064</v>
      </c>
      <c r="B142" s="8" t="s">
        <v>158</v>
      </c>
      <c r="C142" s="4" t="n">
        <v>1</v>
      </c>
    </row>
    <row r="143" customFormat="false" ht="15" hidden="false" customHeight="false" outlineLevel="0" collapsed="false">
      <c r="A143" s="8" t="s">
        <v>6065</v>
      </c>
      <c r="B143" s="8" t="s">
        <v>3932</v>
      </c>
      <c r="C143" s="4" t="n">
        <v>1</v>
      </c>
    </row>
    <row r="144" customFormat="false" ht="15" hidden="false" customHeight="false" outlineLevel="0" collapsed="false">
      <c r="A144" s="8" t="s">
        <v>6066</v>
      </c>
      <c r="B144" s="8" t="s">
        <v>4448</v>
      </c>
      <c r="C144" s="4" t="n">
        <v>1</v>
      </c>
    </row>
    <row r="145" customFormat="false" ht="15" hidden="false" customHeight="false" outlineLevel="0" collapsed="false">
      <c r="A145" s="8" t="s">
        <v>4847</v>
      </c>
      <c r="B145" s="8" t="s">
        <v>4216</v>
      </c>
      <c r="C145" s="4" t="n">
        <v>1</v>
      </c>
    </row>
    <row r="146" customFormat="false" ht="15" hidden="false" customHeight="false" outlineLevel="0" collapsed="false">
      <c r="A146" s="8" t="s">
        <v>5041</v>
      </c>
      <c r="B146" s="8" t="s">
        <v>4382</v>
      </c>
      <c r="C146" s="4" t="n">
        <v>1</v>
      </c>
    </row>
    <row r="147" customFormat="false" ht="15" hidden="false" customHeight="false" outlineLevel="0" collapsed="false">
      <c r="A147" s="8" t="s">
        <v>6067</v>
      </c>
      <c r="B147" s="8" t="s">
        <v>4352</v>
      </c>
      <c r="C147" s="4" t="n">
        <v>1</v>
      </c>
    </row>
    <row r="148" customFormat="false" ht="15" hidden="false" customHeight="false" outlineLevel="0" collapsed="false">
      <c r="A148" s="8" t="s">
        <v>6068</v>
      </c>
      <c r="B148" s="8" t="s">
        <v>4154</v>
      </c>
      <c r="C148" s="4" t="n">
        <v>1</v>
      </c>
    </row>
    <row r="149" customFormat="false" ht="15" hidden="false" customHeight="false" outlineLevel="0" collapsed="false">
      <c r="A149" s="8" t="s">
        <v>5061</v>
      </c>
      <c r="B149" s="8" t="s">
        <v>4402</v>
      </c>
      <c r="C149" s="4" t="n">
        <v>1</v>
      </c>
    </row>
    <row r="150" customFormat="false" ht="15" hidden="false" customHeight="false" outlineLevel="0" collapsed="false">
      <c r="A150" s="8" t="s">
        <v>6069</v>
      </c>
      <c r="B150" s="8" t="s">
        <v>292</v>
      </c>
      <c r="C150" s="4" t="n">
        <v>1</v>
      </c>
    </row>
    <row r="151" customFormat="false" ht="15" hidden="false" customHeight="false" outlineLevel="0" collapsed="false">
      <c r="A151" s="8" t="s">
        <v>6070</v>
      </c>
      <c r="B151" s="8" t="s">
        <v>4364</v>
      </c>
      <c r="C151" s="4" t="n">
        <v>1</v>
      </c>
    </row>
    <row r="152" customFormat="false" ht="15" hidden="false" customHeight="false" outlineLevel="0" collapsed="false">
      <c r="A152" s="8" t="s">
        <v>6071</v>
      </c>
      <c r="B152" s="8" t="s">
        <v>4072</v>
      </c>
      <c r="C152" s="4" t="n">
        <v>1</v>
      </c>
    </row>
    <row r="153" customFormat="false" ht="15" hidden="false" customHeight="false" outlineLevel="0" collapsed="false">
      <c r="A153" s="8" t="s">
        <v>4611</v>
      </c>
      <c r="B153" s="8" t="s">
        <v>3998</v>
      </c>
      <c r="C153" s="4" t="n">
        <v>1</v>
      </c>
    </row>
    <row r="154" customFormat="false" ht="15" hidden="false" customHeight="false" outlineLevel="0" collapsed="false">
      <c r="A154" s="8" t="s">
        <v>6072</v>
      </c>
      <c r="B154" s="8" t="s">
        <v>189</v>
      </c>
      <c r="C154" s="4" t="n">
        <v>1</v>
      </c>
    </row>
    <row r="155" customFormat="false" ht="15" hidden="false" customHeight="false" outlineLevel="0" collapsed="false">
      <c r="A155" s="8" t="s">
        <v>4567</v>
      </c>
      <c r="B155" s="8" t="s">
        <v>3954</v>
      </c>
      <c r="C155" s="4" t="n">
        <v>1</v>
      </c>
    </row>
    <row r="156" customFormat="false" ht="15" hidden="false" customHeight="false" outlineLevel="0" collapsed="false">
      <c r="A156" s="8" t="s">
        <v>6073</v>
      </c>
      <c r="B156" s="8" t="s">
        <v>3952</v>
      </c>
      <c r="C156" s="4" t="n">
        <v>1</v>
      </c>
    </row>
    <row r="157" customFormat="false" ht="15" hidden="false" customHeight="false" outlineLevel="0" collapsed="false">
      <c r="A157" s="8" t="s">
        <v>4695</v>
      </c>
      <c r="B157" s="8" t="s">
        <v>4082</v>
      </c>
      <c r="C157" s="4" t="n">
        <v>1</v>
      </c>
    </row>
    <row r="158" customFormat="false" ht="15" hidden="false" customHeight="false" outlineLevel="0" collapsed="false">
      <c r="A158" s="8" t="s">
        <v>6074</v>
      </c>
      <c r="B158" s="8" t="s">
        <v>1087</v>
      </c>
      <c r="C158" s="4" t="n">
        <v>1</v>
      </c>
    </row>
    <row r="159" customFormat="false" ht="15" hidden="false" customHeight="false" outlineLevel="0" collapsed="false">
      <c r="A159" s="8" t="s">
        <v>6075</v>
      </c>
      <c r="B159" s="8" t="s">
        <v>4032</v>
      </c>
      <c r="C159" s="4" t="n">
        <v>1</v>
      </c>
    </row>
    <row r="160" customFormat="false" ht="15" hidden="false" customHeight="false" outlineLevel="0" collapsed="false">
      <c r="A160" s="8" t="s">
        <v>5005</v>
      </c>
      <c r="B160" s="8" t="s">
        <v>4346</v>
      </c>
      <c r="C160" s="4" t="n">
        <v>1</v>
      </c>
    </row>
    <row r="161" customFormat="false" ht="15" hidden="false" customHeight="false" outlineLevel="0" collapsed="false">
      <c r="A161" s="8" t="s">
        <v>6076</v>
      </c>
      <c r="B161" s="8" t="s">
        <v>4358</v>
      </c>
      <c r="C161" s="4" t="n">
        <v>1</v>
      </c>
    </row>
    <row r="162" customFormat="false" ht="15" hidden="false" customHeight="false" outlineLevel="0" collapsed="false">
      <c r="A162" s="8" t="s">
        <v>6077</v>
      </c>
      <c r="B162" s="8" t="s">
        <v>4200</v>
      </c>
      <c r="C162" s="4" t="n">
        <v>1</v>
      </c>
    </row>
    <row r="163" customFormat="false" ht="15" hidden="false" customHeight="false" outlineLevel="0" collapsed="false">
      <c r="A163" s="8" t="s">
        <v>6078</v>
      </c>
      <c r="B163" s="8" t="s">
        <v>208</v>
      </c>
      <c r="C163" s="4" t="n">
        <v>1</v>
      </c>
    </row>
    <row r="164" customFormat="false" ht="15" hidden="false" customHeight="false" outlineLevel="0" collapsed="false">
      <c r="A164" s="8" t="s">
        <v>6079</v>
      </c>
      <c r="B164" s="8" t="s">
        <v>4276</v>
      </c>
      <c r="C164" s="4" t="n">
        <v>1</v>
      </c>
    </row>
    <row r="165" customFormat="false" ht="15" hidden="false" customHeight="false" outlineLevel="0" collapsed="false">
      <c r="A165" s="8" t="s">
        <v>6080</v>
      </c>
      <c r="B165" s="8" t="s">
        <v>4330</v>
      </c>
      <c r="C165" s="4" t="n">
        <v>1</v>
      </c>
    </row>
    <row r="166" customFormat="false" ht="15" hidden="false" customHeight="false" outlineLevel="0" collapsed="false">
      <c r="A166" s="8" t="s">
        <v>4933</v>
      </c>
      <c r="B166" s="8" t="s">
        <v>4274</v>
      </c>
      <c r="C166" s="4" t="n">
        <v>1</v>
      </c>
    </row>
    <row r="167" customFormat="false" ht="15" hidden="false" customHeight="false" outlineLevel="0" collapsed="false">
      <c r="A167" s="8" t="s">
        <v>6081</v>
      </c>
      <c r="B167" s="8" t="s">
        <v>3932</v>
      </c>
      <c r="C167" s="4" t="n">
        <v>1</v>
      </c>
    </row>
    <row r="168" customFormat="false" ht="15" hidden="false" customHeight="false" outlineLevel="0" collapsed="false">
      <c r="A168" s="8" t="s">
        <v>6082</v>
      </c>
      <c r="B168" s="8" t="s">
        <v>4290</v>
      </c>
      <c r="C168" s="4" t="n">
        <v>1</v>
      </c>
    </row>
    <row r="169" customFormat="false" ht="15" hidden="false" customHeight="false" outlineLevel="0" collapsed="false">
      <c r="A169" s="8" t="s">
        <v>6083</v>
      </c>
      <c r="B169" s="8" t="s">
        <v>4036</v>
      </c>
      <c r="C169" s="4" t="n">
        <v>1</v>
      </c>
    </row>
    <row r="170" customFormat="false" ht="15" hidden="false" customHeight="false" outlineLevel="0" collapsed="false">
      <c r="A170" s="8" t="s">
        <v>6084</v>
      </c>
      <c r="B170" s="8" t="s">
        <v>4070</v>
      </c>
      <c r="C170" s="4" t="n">
        <v>1</v>
      </c>
    </row>
    <row r="171" customFormat="false" ht="15" hidden="false" customHeight="false" outlineLevel="0" collapsed="false">
      <c r="A171" s="8" t="s">
        <v>6085</v>
      </c>
      <c r="B171" s="8" t="s">
        <v>4140</v>
      </c>
      <c r="C171" s="4" t="n">
        <v>1</v>
      </c>
    </row>
    <row r="172" customFormat="false" ht="15" hidden="false" customHeight="false" outlineLevel="0" collapsed="false">
      <c r="A172" s="8" t="s">
        <v>6086</v>
      </c>
      <c r="B172" s="8" t="s">
        <v>4148</v>
      </c>
      <c r="C172" s="4" t="n">
        <v>1</v>
      </c>
    </row>
    <row r="173" customFormat="false" ht="15" hidden="false" customHeight="false" outlineLevel="0" collapsed="false">
      <c r="A173" s="8" t="s">
        <v>6087</v>
      </c>
      <c r="B173" s="8" t="s">
        <v>3908</v>
      </c>
      <c r="C173" s="4" t="n">
        <v>1</v>
      </c>
    </row>
    <row r="174" customFormat="false" ht="15" hidden="false" customHeight="false" outlineLevel="0" collapsed="false">
      <c r="A174" s="8" t="s">
        <v>6088</v>
      </c>
      <c r="B174" s="8" t="s">
        <v>4028</v>
      </c>
      <c r="C174" s="4" t="n">
        <v>1</v>
      </c>
    </row>
    <row r="175" customFormat="false" ht="15" hidden="false" customHeight="false" outlineLevel="0" collapsed="false">
      <c r="A175" s="8" t="s">
        <v>6089</v>
      </c>
      <c r="B175" s="8" t="s">
        <v>4110</v>
      </c>
      <c r="C175" s="4" t="n">
        <v>1</v>
      </c>
    </row>
    <row r="176" customFormat="false" ht="15" hidden="false" customHeight="false" outlineLevel="0" collapsed="false">
      <c r="A176" s="8" t="s">
        <v>6090</v>
      </c>
      <c r="B176" s="8" t="s">
        <v>4296</v>
      </c>
      <c r="C176" s="4" t="n">
        <v>1</v>
      </c>
    </row>
    <row r="177" customFormat="false" ht="15" hidden="false" customHeight="false" outlineLevel="0" collapsed="false">
      <c r="A177" s="8" t="s">
        <v>5091</v>
      </c>
      <c r="B177" s="8" t="s">
        <v>4432</v>
      </c>
      <c r="C177" s="4" t="n">
        <v>1</v>
      </c>
    </row>
    <row r="178" customFormat="false" ht="15" hidden="false" customHeight="false" outlineLevel="0" collapsed="false">
      <c r="A178" s="8" t="s">
        <v>6091</v>
      </c>
      <c r="B178" s="8" t="s">
        <v>4406</v>
      </c>
      <c r="C178" s="4" t="n">
        <v>1</v>
      </c>
    </row>
    <row r="179" customFormat="false" ht="15" hidden="false" customHeight="false" outlineLevel="0" collapsed="false">
      <c r="A179" s="8" t="s">
        <v>6092</v>
      </c>
      <c r="B179" s="8" t="s">
        <v>4320</v>
      </c>
      <c r="C179" s="4" t="n">
        <v>1</v>
      </c>
    </row>
    <row r="180" customFormat="false" ht="15" hidden="false" customHeight="false" outlineLevel="0" collapsed="false">
      <c r="A180" s="8" t="s">
        <v>6093</v>
      </c>
      <c r="B180" s="8" t="s">
        <v>4194</v>
      </c>
      <c r="C180" s="4" t="n">
        <v>1</v>
      </c>
    </row>
    <row r="181" customFormat="false" ht="15" hidden="false" customHeight="false" outlineLevel="0" collapsed="false">
      <c r="A181" s="8" t="s">
        <v>6094</v>
      </c>
      <c r="B181" s="8" t="s">
        <v>3900</v>
      </c>
      <c r="C181" s="4" t="n">
        <v>1</v>
      </c>
    </row>
    <row r="182" customFormat="false" ht="15" hidden="false" customHeight="false" outlineLevel="0" collapsed="false">
      <c r="A182" s="8" t="s">
        <v>6095</v>
      </c>
      <c r="B182" s="8" t="s">
        <v>4272</v>
      </c>
      <c r="C182" s="4" t="n">
        <v>1</v>
      </c>
    </row>
    <row r="183" customFormat="false" ht="15" hidden="false" customHeight="false" outlineLevel="0" collapsed="false">
      <c r="A183" s="8" t="s">
        <v>6096</v>
      </c>
      <c r="B183" s="8" t="s">
        <v>3882</v>
      </c>
      <c r="C183" s="4" t="n">
        <v>1</v>
      </c>
    </row>
    <row r="184" customFormat="false" ht="15" hidden="false" customHeight="false" outlineLevel="0" collapsed="false">
      <c r="A184" s="8" t="s">
        <v>6097</v>
      </c>
      <c r="B184" s="8" t="s">
        <v>3898</v>
      </c>
      <c r="C184" s="4" t="n">
        <v>1</v>
      </c>
    </row>
    <row r="185" customFormat="false" ht="15" hidden="false" customHeight="false" outlineLevel="0" collapsed="false">
      <c r="A185" s="8" t="s">
        <v>6098</v>
      </c>
      <c r="B185" s="8" t="s">
        <v>4146</v>
      </c>
      <c r="C185" s="4" t="n">
        <v>1</v>
      </c>
    </row>
    <row r="186" customFormat="false" ht="15" hidden="false" customHeight="false" outlineLevel="0" collapsed="false">
      <c r="A186" s="8" t="s">
        <v>4959</v>
      </c>
      <c r="B186" s="8" t="s">
        <v>4300</v>
      </c>
      <c r="C186" s="4" t="n">
        <v>1</v>
      </c>
    </row>
    <row r="187" customFormat="false" ht="15" hidden="false" customHeight="false" outlineLevel="0" collapsed="false">
      <c r="A187" s="8" t="s">
        <v>4877</v>
      </c>
      <c r="B187" s="8" t="s">
        <v>312</v>
      </c>
      <c r="C187" s="4" t="n">
        <v>1</v>
      </c>
    </row>
    <row r="188" customFormat="false" ht="15" hidden="false" customHeight="false" outlineLevel="0" collapsed="false">
      <c r="A188" s="8" t="s">
        <v>6099</v>
      </c>
      <c r="B188" s="8" t="s">
        <v>3972</v>
      </c>
      <c r="C188" s="4" t="n">
        <v>1</v>
      </c>
    </row>
    <row r="189" customFormat="false" ht="15" hidden="false" customHeight="false" outlineLevel="0" collapsed="false">
      <c r="A189" s="8" t="s">
        <v>6100</v>
      </c>
      <c r="B189" s="8" t="s">
        <v>4008</v>
      </c>
      <c r="C189" s="4" t="n">
        <v>1</v>
      </c>
    </row>
    <row r="190" customFormat="false" ht="23.85" hidden="false" customHeight="false" outlineLevel="0" collapsed="false">
      <c r="A190" s="8" t="s">
        <v>5103</v>
      </c>
      <c r="B190" s="8" t="s">
        <v>4444</v>
      </c>
      <c r="C190" s="4" t="n">
        <v>1</v>
      </c>
    </row>
    <row r="191" customFormat="false" ht="15" hidden="false" customHeight="false" outlineLevel="0" collapsed="false">
      <c r="A191" s="8" t="s">
        <v>6101</v>
      </c>
      <c r="B191" s="8" t="s">
        <v>4342</v>
      </c>
      <c r="C191" s="4" t="n">
        <v>1</v>
      </c>
    </row>
    <row r="192" customFormat="false" ht="15" hidden="false" customHeight="false" outlineLevel="0" collapsed="false">
      <c r="A192" s="8" t="s">
        <v>6102</v>
      </c>
      <c r="B192" s="8" t="s">
        <v>402</v>
      </c>
      <c r="C192" s="4" t="n">
        <v>1</v>
      </c>
    </row>
    <row r="193" customFormat="false" ht="15" hidden="false" customHeight="false" outlineLevel="0" collapsed="false">
      <c r="A193" s="8" t="s">
        <v>6103</v>
      </c>
      <c r="B193" s="8" t="s">
        <v>4191</v>
      </c>
      <c r="C193" s="4" t="n">
        <v>1</v>
      </c>
    </row>
    <row r="194" customFormat="false" ht="15" hidden="false" customHeight="false" outlineLevel="0" collapsed="false">
      <c r="A194" s="8" t="s">
        <v>6104</v>
      </c>
      <c r="B194" s="8" t="s">
        <v>4328</v>
      </c>
      <c r="C194" s="4" t="n">
        <v>1</v>
      </c>
    </row>
    <row r="195" customFormat="false" ht="15" hidden="false" customHeight="false" outlineLevel="0" collapsed="false">
      <c r="A195" s="8" t="s">
        <v>6105</v>
      </c>
      <c r="B195" s="8" t="s">
        <v>4036</v>
      </c>
      <c r="C195" s="4" t="n">
        <v>1</v>
      </c>
    </row>
    <row r="196" customFormat="false" ht="15" hidden="false" customHeight="false" outlineLevel="0" collapsed="false">
      <c r="A196" s="8" t="s">
        <v>6106</v>
      </c>
      <c r="B196" s="8" t="s">
        <v>4112</v>
      </c>
      <c r="C196" s="4" t="n">
        <v>1</v>
      </c>
    </row>
    <row r="197" customFormat="false" ht="15" hidden="false" customHeight="false" outlineLevel="0" collapsed="false">
      <c r="A197" s="8" t="s">
        <v>6107</v>
      </c>
      <c r="B197" s="8" t="s">
        <v>4110</v>
      </c>
      <c r="C197" s="4" t="n">
        <v>1</v>
      </c>
    </row>
    <row r="198" customFormat="false" ht="15" hidden="false" customHeight="false" outlineLevel="0" collapsed="false">
      <c r="A198" s="8" t="s">
        <v>6108</v>
      </c>
      <c r="B198" s="8" t="s">
        <v>4286</v>
      </c>
      <c r="C198" s="4" t="n">
        <v>1</v>
      </c>
    </row>
    <row r="199" customFormat="false" ht="15" hidden="false" customHeight="false" outlineLevel="0" collapsed="false">
      <c r="A199" s="8" t="s">
        <v>6109</v>
      </c>
      <c r="B199" s="8" t="s">
        <v>3890</v>
      </c>
      <c r="C199" s="4" t="n">
        <v>1</v>
      </c>
    </row>
    <row r="200" customFormat="false" ht="15" hidden="false" customHeight="false" outlineLevel="0" collapsed="false">
      <c r="A200" s="8" t="s">
        <v>6110</v>
      </c>
      <c r="B200" s="8" t="s">
        <v>3878</v>
      </c>
      <c r="C200" s="4" t="n">
        <v>1</v>
      </c>
    </row>
    <row r="201" customFormat="false" ht="15" hidden="false" customHeight="false" outlineLevel="0" collapsed="false">
      <c r="A201" s="8" t="s">
        <v>6111</v>
      </c>
      <c r="B201" s="8" t="s">
        <v>3880</v>
      </c>
      <c r="C201" s="4" t="n">
        <v>1</v>
      </c>
    </row>
    <row r="202" customFormat="false" ht="15" hidden="false" customHeight="false" outlineLevel="0" collapsed="false">
      <c r="A202" s="8" t="s">
        <v>6112</v>
      </c>
      <c r="B202" s="8" t="s">
        <v>3882</v>
      </c>
      <c r="C202" s="4" t="n">
        <v>1</v>
      </c>
    </row>
    <row r="203" customFormat="false" ht="15" hidden="false" customHeight="false" outlineLevel="0" collapsed="false">
      <c r="A203" s="8" t="s">
        <v>6113</v>
      </c>
      <c r="B203" s="8" t="s">
        <v>3884</v>
      </c>
      <c r="C203" s="4" t="n">
        <v>1</v>
      </c>
    </row>
    <row r="204" customFormat="false" ht="15" hidden="false" customHeight="false" outlineLevel="0" collapsed="false">
      <c r="A204" s="8" t="s">
        <v>6114</v>
      </c>
      <c r="B204" s="8" t="s">
        <v>4310</v>
      </c>
      <c r="C204" s="4" t="n">
        <v>1</v>
      </c>
    </row>
    <row r="205" customFormat="false" ht="15" hidden="false" customHeight="false" outlineLevel="0" collapsed="false">
      <c r="A205" s="8" t="s">
        <v>6115</v>
      </c>
      <c r="B205" s="8" t="s">
        <v>4398</v>
      </c>
      <c r="C205" s="4" t="n">
        <v>1</v>
      </c>
    </row>
    <row r="206" customFormat="false" ht="15" hidden="false" customHeight="false" outlineLevel="0" collapsed="false">
      <c r="A206" s="8" t="s">
        <v>6116</v>
      </c>
      <c r="B206" s="8" t="s">
        <v>4276</v>
      </c>
      <c r="C206" s="4" t="n">
        <v>1</v>
      </c>
    </row>
    <row r="207" customFormat="false" ht="15" hidden="false" customHeight="false" outlineLevel="0" collapsed="false">
      <c r="A207" s="8" t="s">
        <v>4915</v>
      </c>
      <c r="B207" s="8" t="s">
        <v>395</v>
      </c>
      <c r="C207" s="4" t="n">
        <v>1</v>
      </c>
    </row>
    <row r="208" customFormat="false" ht="15" hidden="false" customHeight="false" outlineLevel="0" collapsed="false">
      <c r="A208" s="8" t="s">
        <v>4561</v>
      </c>
      <c r="B208" s="8" t="s">
        <v>3948</v>
      </c>
      <c r="C208" s="4" t="n">
        <v>1</v>
      </c>
    </row>
    <row r="209" customFormat="false" ht="15" hidden="false" customHeight="false" outlineLevel="0" collapsed="false">
      <c r="A209" s="8" t="s">
        <v>6117</v>
      </c>
      <c r="B209" s="8" t="s">
        <v>3980</v>
      </c>
      <c r="C209" s="4" t="n">
        <v>1</v>
      </c>
    </row>
    <row r="210" customFormat="false" ht="15" hidden="false" customHeight="false" outlineLevel="0" collapsed="false">
      <c r="A210" s="8" t="s">
        <v>4776</v>
      </c>
      <c r="B210" s="8" t="s">
        <v>4166</v>
      </c>
      <c r="C210" s="4" t="n">
        <v>1</v>
      </c>
    </row>
    <row r="211" customFormat="false" ht="15" hidden="false" customHeight="false" outlineLevel="0" collapsed="false">
      <c r="A211" s="8" t="s">
        <v>6118</v>
      </c>
      <c r="B211" s="8" t="s">
        <v>205</v>
      </c>
      <c r="C211" s="4" t="n">
        <v>1</v>
      </c>
    </row>
    <row r="212" customFormat="false" ht="15" hidden="false" customHeight="false" outlineLevel="0" collapsed="false">
      <c r="A212" s="8" t="s">
        <v>6119</v>
      </c>
      <c r="B212" s="8" t="s">
        <v>3934</v>
      </c>
      <c r="C212" s="4" t="n">
        <v>1</v>
      </c>
    </row>
    <row r="213" customFormat="false" ht="15" hidden="false" customHeight="false" outlineLevel="0" collapsed="false">
      <c r="A213" s="8" t="s">
        <v>6120</v>
      </c>
      <c r="B213" s="8" t="s">
        <v>4028</v>
      </c>
      <c r="C213" s="4" t="n">
        <v>1</v>
      </c>
    </row>
    <row r="214" customFormat="false" ht="15" hidden="false" customHeight="false" outlineLevel="0" collapsed="false">
      <c r="A214" s="8" t="s">
        <v>5043</v>
      </c>
      <c r="B214" s="8" t="s">
        <v>6121</v>
      </c>
      <c r="C214" s="4" t="n">
        <v>2</v>
      </c>
    </row>
    <row r="215" customFormat="false" ht="15" hidden="false" customHeight="false" outlineLevel="0" collapsed="false">
      <c r="A215" s="8" t="s">
        <v>5039</v>
      </c>
      <c r="B215" s="8" t="s">
        <v>4380</v>
      </c>
      <c r="C215" s="4" t="n">
        <v>1</v>
      </c>
    </row>
    <row r="216" customFormat="false" ht="15" hidden="false" customHeight="false" outlineLevel="0" collapsed="false">
      <c r="A216" s="8" t="s">
        <v>6122</v>
      </c>
      <c r="B216" s="8" t="s">
        <v>3940</v>
      </c>
      <c r="C216" s="4" t="n">
        <v>1</v>
      </c>
    </row>
    <row r="217" customFormat="false" ht="15" hidden="false" customHeight="false" outlineLevel="0" collapsed="false">
      <c r="A217" s="8" t="s">
        <v>6123</v>
      </c>
      <c r="B217" s="8" t="s">
        <v>4320</v>
      </c>
      <c r="C217" s="4" t="n">
        <v>1</v>
      </c>
    </row>
    <row r="218" customFormat="false" ht="15" hidden="false" customHeight="false" outlineLevel="0" collapsed="false">
      <c r="A218" s="8" t="s">
        <v>4609</v>
      </c>
      <c r="B218" s="8" t="s">
        <v>3996</v>
      </c>
      <c r="C218" s="4" t="n">
        <v>1</v>
      </c>
    </row>
    <row r="219" customFormat="false" ht="15" hidden="false" customHeight="false" outlineLevel="0" collapsed="false">
      <c r="A219" s="8" t="s">
        <v>5051</v>
      </c>
      <c r="B219" s="8" t="s">
        <v>4392</v>
      </c>
      <c r="C219" s="4" t="n">
        <v>1</v>
      </c>
    </row>
    <row r="220" customFormat="false" ht="15" hidden="false" customHeight="false" outlineLevel="0" collapsed="false">
      <c r="A220" s="8" t="s">
        <v>6124</v>
      </c>
      <c r="B220" s="8" t="s">
        <v>148</v>
      </c>
      <c r="C220" s="4" t="n">
        <v>1</v>
      </c>
    </row>
    <row r="221" customFormat="false" ht="15" hidden="false" customHeight="false" outlineLevel="0" collapsed="false">
      <c r="A221" s="8" t="s">
        <v>6125</v>
      </c>
      <c r="B221" s="8" t="s">
        <v>4288</v>
      </c>
      <c r="C221" s="4" t="n">
        <v>1</v>
      </c>
    </row>
    <row r="222" customFormat="false" ht="15" hidden="false" customHeight="false" outlineLevel="0" collapsed="false">
      <c r="A222" s="8" t="s">
        <v>6126</v>
      </c>
      <c r="B222" s="8" t="s">
        <v>3892</v>
      </c>
      <c r="C222" s="4" t="n">
        <v>1</v>
      </c>
    </row>
    <row r="223" customFormat="false" ht="15" hidden="false" customHeight="false" outlineLevel="0" collapsed="false">
      <c r="A223" s="8" t="s">
        <v>6127</v>
      </c>
      <c r="B223" s="8" t="s">
        <v>4146</v>
      </c>
      <c r="C223" s="4" t="n">
        <v>1</v>
      </c>
    </row>
    <row r="224" customFormat="false" ht="15" hidden="false" customHeight="false" outlineLevel="0" collapsed="false">
      <c r="A224" s="8" t="s">
        <v>4607</v>
      </c>
      <c r="B224" s="8" t="s">
        <v>3994</v>
      </c>
      <c r="C224" s="4" t="n">
        <v>1</v>
      </c>
    </row>
    <row r="225" customFormat="false" ht="15" hidden="false" customHeight="false" outlineLevel="0" collapsed="false">
      <c r="A225" s="8" t="s">
        <v>6128</v>
      </c>
      <c r="B225" s="8" t="s">
        <v>3992</v>
      </c>
      <c r="C225" s="4" t="n">
        <v>1</v>
      </c>
    </row>
    <row r="226" customFormat="false" ht="15" hidden="false" customHeight="false" outlineLevel="0" collapsed="false">
      <c r="A226" s="8" t="s">
        <v>4711</v>
      </c>
      <c r="B226" s="8" t="s">
        <v>6129</v>
      </c>
      <c r="C226" s="4" t="n">
        <v>2</v>
      </c>
    </row>
    <row r="227" customFormat="false" ht="15" hidden="false" customHeight="false" outlineLevel="0" collapsed="false">
      <c r="A227" s="8" t="s">
        <v>4925</v>
      </c>
      <c r="B227" s="8" t="s">
        <v>4267</v>
      </c>
      <c r="C227" s="4" t="n">
        <v>1</v>
      </c>
    </row>
    <row r="228" customFormat="false" ht="15" hidden="false" customHeight="false" outlineLevel="0" collapsed="false">
      <c r="A228" s="8" t="s">
        <v>6130</v>
      </c>
      <c r="B228" s="8" t="s">
        <v>3918</v>
      </c>
      <c r="C228" s="4" t="n">
        <v>1</v>
      </c>
    </row>
    <row r="229" customFormat="false" ht="15" hidden="false" customHeight="false" outlineLevel="0" collapsed="false">
      <c r="A229" s="8" t="s">
        <v>6131</v>
      </c>
      <c r="B229" s="8" t="s">
        <v>4362</v>
      </c>
      <c r="C229" s="4" t="n">
        <v>1</v>
      </c>
    </row>
    <row r="230" customFormat="false" ht="15" hidden="false" customHeight="false" outlineLevel="0" collapsed="false">
      <c r="A230" s="8" t="s">
        <v>4689</v>
      </c>
      <c r="B230" s="8" t="s">
        <v>4076</v>
      </c>
      <c r="C230" s="4" t="n">
        <v>1</v>
      </c>
    </row>
    <row r="231" customFormat="false" ht="15" hidden="false" customHeight="false" outlineLevel="0" collapsed="false">
      <c r="A231" s="8" t="s">
        <v>6132</v>
      </c>
      <c r="B231" s="8" t="s">
        <v>3886</v>
      </c>
      <c r="C231" s="4" t="n">
        <v>1</v>
      </c>
    </row>
    <row r="232" customFormat="false" ht="15" hidden="false" customHeight="false" outlineLevel="0" collapsed="false">
      <c r="A232" s="8" t="s">
        <v>6133</v>
      </c>
      <c r="B232" s="8" t="s">
        <v>615</v>
      </c>
      <c r="C232" s="4" t="n">
        <v>1</v>
      </c>
    </row>
    <row r="233" customFormat="false" ht="15" hidden="false" customHeight="false" outlineLevel="0" collapsed="false">
      <c r="A233" s="8" t="s">
        <v>4724</v>
      </c>
      <c r="B233" s="8" t="s">
        <v>4114</v>
      </c>
      <c r="C233" s="4" t="n">
        <v>1</v>
      </c>
    </row>
    <row r="234" customFormat="false" ht="15" hidden="false" customHeight="false" outlineLevel="0" collapsed="false">
      <c r="A234" s="8" t="s">
        <v>6134</v>
      </c>
      <c r="B234" s="8" t="s">
        <v>3980</v>
      </c>
      <c r="C234" s="4" t="n">
        <v>1</v>
      </c>
    </row>
    <row r="235" customFormat="false" ht="15" hidden="false" customHeight="false" outlineLevel="0" collapsed="false">
      <c r="A235" s="8" t="s">
        <v>4601</v>
      </c>
      <c r="B235" s="8" t="s">
        <v>3988</v>
      </c>
      <c r="C235" s="4" t="n">
        <v>1</v>
      </c>
    </row>
    <row r="236" customFormat="false" ht="15" hidden="false" customHeight="false" outlineLevel="0" collapsed="false">
      <c r="A236" s="8" t="s">
        <v>5063</v>
      </c>
      <c r="B236" s="8" t="s">
        <v>5466</v>
      </c>
      <c r="C236" s="4" t="n">
        <v>2</v>
      </c>
    </row>
    <row r="237" customFormat="false" ht="15" hidden="false" customHeight="false" outlineLevel="0" collapsed="false">
      <c r="A237" s="8" t="s">
        <v>6135</v>
      </c>
      <c r="B237" s="8" t="s">
        <v>4066</v>
      </c>
      <c r="C237" s="4" t="n">
        <v>1</v>
      </c>
    </row>
    <row r="238" customFormat="false" ht="15" hidden="false" customHeight="false" outlineLevel="0" collapsed="false">
      <c r="A238" s="8" t="s">
        <v>6136</v>
      </c>
      <c r="B238" s="8" t="s">
        <v>4314</v>
      </c>
      <c r="C238" s="4" t="n">
        <v>1</v>
      </c>
    </row>
    <row r="239" customFormat="false" ht="15" hidden="false" customHeight="false" outlineLevel="0" collapsed="false">
      <c r="A239" s="8" t="s">
        <v>6137</v>
      </c>
      <c r="B239" s="8" t="s">
        <v>3922</v>
      </c>
      <c r="C239" s="4" t="n">
        <v>1</v>
      </c>
    </row>
    <row r="240" customFormat="false" ht="15" hidden="false" customHeight="false" outlineLevel="0" collapsed="false">
      <c r="A240" s="8" t="s">
        <v>6138</v>
      </c>
      <c r="B240" s="8" t="s">
        <v>4302</v>
      </c>
      <c r="C240" s="4" t="n">
        <v>1</v>
      </c>
    </row>
    <row r="241" customFormat="false" ht="15" hidden="false" customHeight="false" outlineLevel="0" collapsed="false">
      <c r="A241" s="8" t="s">
        <v>6139</v>
      </c>
      <c r="B241" s="8" t="s">
        <v>4062</v>
      </c>
      <c r="C241" s="4" t="n">
        <v>1</v>
      </c>
    </row>
    <row r="242" customFormat="false" ht="15" hidden="false" customHeight="false" outlineLevel="0" collapsed="false">
      <c r="A242" s="8" t="s">
        <v>6140</v>
      </c>
      <c r="B242" s="8" t="s">
        <v>4106</v>
      </c>
      <c r="C242" s="4" t="n">
        <v>1</v>
      </c>
    </row>
    <row r="243" customFormat="false" ht="15" hidden="false" customHeight="false" outlineLevel="0" collapsed="false">
      <c r="A243" s="8" t="s">
        <v>4643</v>
      </c>
      <c r="B243" s="8" t="s">
        <v>4030</v>
      </c>
      <c r="C243" s="4" t="n">
        <v>1</v>
      </c>
    </row>
    <row r="244" customFormat="false" ht="15" hidden="false" customHeight="false" outlineLevel="0" collapsed="false">
      <c r="A244" s="8" t="s">
        <v>4873</v>
      </c>
      <c r="B244" s="8" t="s">
        <v>1042</v>
      </c>
      <c r="C244" s="4" t="n">
        <v>1</v>
      </c>
    </row>
    <row r="245" customFormat="false" ht="15" hidden="false" customHeight="false" outlineLevel="0" collapsed="false">
      <c r="A245" s="8" t="s">
        <v>6141</v>
      </c>
      <c r="B245" s="8" t="s">
        <v>4226</v>
      </c>
      <c r="C245" s="4" t="n">
        <v>1</v>
      </c>
    </row>
    <row r="246" customFormat="false" ht="15" hidden="false" customHeight="false" outlineLevel="0" collapsed="false">
      <c r="A246" s="8" t="s">
        <v>6142</v>
      </c>
      <c r="B246" s="8" t="s">
        <v>4138</v>
      </c>
      <c r="C246" s="4" t="n">
        <v>1</v>
      </c>
    </row>
    <row r="247" customFormat="false" ht="15" hidden="false" customHeight="false" outlineLevel="0" collapsed="false">
      <c r="A247" s="8" t="s">
        <v>6143</v>
      </c>
      <c r="B247" s="8" t="s">
        <v>4414</v>
      </c>
      <c r="C247" s="4" t="n">
        <v>1</v>
      </c>
    </row>
    <row r="248" customFormat="false" ht="15" hidden="false" customHeight="false" outlineLevel="0" collapsed="false">
      <c r="A248" s="8" t="s">
        <v>6144</v>
      </c>
      <c r="B248" s="8" t="s">
        <v>4191</v>
      </c>
      <c r="C248" s="4" t="n">
        <v>1</v>
      </c>
    </row>
    <row r="249" customFormat="false" ht="15" hidden="false" customHeight="false" outlineLevel="0" collapsed="false">
      <c r="A249" s="8" t="s">
        <v>6145</v>
      </c>
      <c r="B249" s="8" t="s">
        <v>4182</v>
      </c>
      <c r="C249" s="4" t="n">
        <v>1</v>
      </c>
    </row>
    <row r="250" customFormat="false" ht="15" hidden="false" customHeight="false" outlineLevel="0" collapsed="false">
      <c r="A250" s="8" t="s">
        <v>6146</v>
      </c>
      <c r="B250" s="8" t="s">
        <v>4302</v>
      </c>
      <c r="C250" s="4" t="n">
        <v>1</v>
      </c>
    </row>
    <row r="251" customFormat="false" ht="15" hidden="false" customHeight="false" outlineLevel="0" collapsed="false">
      <c r="A251" s="8" t="s">
        <v>6147</v>
      </c>
      <c r="B251" s="8" t="s">
        <v>4126</v>
      </c>
      <c r="C251" s="4" t="n">
        <v>1</v>
      </c>
    </row>
    <row r="252" customFormat="false" ht="15" hidden="false" customHeight="false" outlineLevel="0" collapsed="false">
      <c r="A252" s="8" t="s">
        <v>4740</v>
      </c>
      <c r="B252" s="8" t="s">
        <v>4130</v>
      </c>
      <c r="C252" s="4" t="n">
        <v>1</v>
      </c>
    </row>
    <row r="253" customFormat="false" ht="15" hidden="false" customHeight="false" outlineLevel="0" collapsed="false">
      <c r="A253" s="8" t="s">
        <v>4762</v>
      </c>
      <c r="B253" s="8" t="s">
        <v>4152</v>
      </c>
      <c r="C253" s="4" t="n">
        <v>1</v>
      </c>
    </row>
    <row r="254" customFormat="false" ht="15" hidden="false" customHeight="false" outlineLevel="0" collapsed="false">
      <c r="A254" s="8" t="s">
        <v>6148</v>
      </c>
      <c r="B254" s="8" t="s">
        <v>4158</v>
      </c>
      <c r="C254" s="4" t="n">
        <v>1</v>
      </c>
    </row>
    <row r="255" customFormat="false" ht="15" hidden="false" customHeight="false" outlineLevel="0" collapsed="false">
      <c r="A255" s="8" t="s">
        <v>4709</v>
      </c>
      <c r="B255" s="8" t="s">
        <v>4098</v>
      </c>
      <c r="C255" s="4" t="n">
        <v>1</v>
      </c>
    </row>
    <row r="256" customFormat="false" ht="15" hidden="false" customHeight="false" outlineLevel="0" collapsed="false">
      <c r="A256" s="8" t="s">
        <v>6149</v>
      </c>
      <c r="B256" s="8" t="s">
        <v>4251</v>
      </c>
      <c r="C256" s="4" t="n">
        <v>1</v>
      </c>
    </row>
    <row r="257" customFormat="false" ht="15" hidden="false" customHeight="false" outlineLevel="0" collapsed="false">
      <c r="A257" s="8" t="s">
        <v>6150</v>
      </c>
      <c r="B257" s="8" t="s">
        <v>210</v>
      </c>
      <c r="C257" s="4" t="n">
        <v>1</v>
      </c>
    </row>
    <row r="258" customFormat="false" ht="15" hidden="false" customHeight="false" outlineLevel="0" collapsed="false">
      <c r="A258" s="8" t="s">
        <v>6151</v>
      </c>
      <c r="B258" s="8" t="s">
        <v>4006</v>
      </c>
      <c r="C258" s="4" t="n">
        <v>1</v>
      </c>
    </row>
    <row r="259" customFormat="false" ht="15" hidden="false" customHeight="false" outlineLevel="0" collapsed="false">
      <c r="A259" s="8" t="s">
        <v>6152</v>
      </c>
      <c r="B259" s="8" t="s">
        <v>320</v>
      </c>
      <c r="C259" s="4" t="n">
        <v>1</v>
      </c>
    </row>
    <row r="260" customFormat="false" ht="15" hidden="false" customHeight="false" outlineLevel="0" collapsed="false">
      <c r="A260" s="8" t="s">
        <v>6153</v>
      </c>
      <c r="B260" s="8" t="s">
        <v>4080</v>
      </c>
      <c r="C260" s="4" t="n">
        <v>1</v>
      </c>
    </row>
    <row r="261" customFormat="false" ht="15" hidden="false" customHeight="false" outlineLevel="0" collapsed="false">
      <c r="A261" s="8" t="s">
        <v>6154</v>
      </c>
      <c r="B261" s="8" t="s">
        <v>4262</v>
      </c>
      <c r="C261" s="4" t="n">
        <v>1</v>
      </c>
    </row>
    <row r="262" customFormat="false" ht="15" hidden="false" customHeight="false" outlineLevel="0" collapsed="false">
      <c r="A262" s="8" t="s">
        <v>6155</v>
      </c>
      <c r="B262" s="8" t="s">
        <v>4074</v>
      </c>
      <c r="C262" s="4" t="n">
        <v>1</v>
      </c>
    </row>
    <row r="263" customFormat="false" ht="15" hidden="false" customHeight="false" outlineLevel="0" collapsed="false">
      <c r="A263" s="8" t="s">
        <v>6156</v>
      </c>
      <c r="B263" s="8" t="s">
        <v>4106</v>
      </c>
      <c r="C263" s="4" t="n">
        <v>1</v>
      </c>
    </row>
    <row r="264" customFormat="false" ht="15" hidden="false" customHeight="false" outlineLevel="0" collapsed="false">
      <c r="A264" s="8" t="s">
        <v>5047</v>
      </c>
      <c r="B264" s="8" t="s">
        <v>4388</v>
      </c>
      <c r="C264" s="4" t="n">
        <v>1</v>
      </c>
    </row>
    <row r="265" customFormat="false" ht="15" hidden="false" customHeight="false" outlineLevel="0" collapsed="false">
      <c r="A265" s="8" t="s">
        <v>4746</v>
      </c>
      <c r="B265" s="8" t="s">
        <v>4136</v>
      </c>
      <c r="C265" s="4" t="n">
        <v>1</v>
      </c>
    </row>
    <row r="266" customFormat="false" ht="15" hidden="false" customHeight="false" outlineLevel="0" collapsed="false">
      <c r="A266" s="8" t="s">
        <v>6157</v>
      </c>
      <c r="B266" s="8" t="s">
        <v>3896</v>
      </c>
      <c r="C266" s="4" t="n">
        <v>1</v>
      </c>
    </row>
    <row r="267" customFormat="false" ht="15" hidden="false" customHeight="false" outlineLevel="0" collapsed="false">
      <c r="A267" s="8" t="s">
        <v>6158</v>
      </c>
      <c r="B267" s="8" t="s">
        <v>4022</v>
      </c>
      <c r="C267" s="4" t="n">
        <v>1</v>
      </c>
    </row>
    <row r="268" customFormat="false" ht="15" hidden="false" customHeight="false" outlineLevel="0" collapsed="false">
      <c r="A268" s="8" t="s">
        <v>6159</v>
      </c>
      <c r="B268" s="8" t="s">
        <v>4002</v>
      </c>
      <c r="C268" s="4" t="n">
        <v>1</v>
      </c>
    </row>
    <row r="269" customFormat="false" ht="15" hidden="false" customHeight="false" outlineLevel="0" collapsed="false">
      <c r="A269" s="8" t="s">
        <v>6160</v>
      </c>
      <c r="B269" s="8" t="s">
        <v>3924</v>
      </c>
      <c r="C269" s="4" t="n">
        <v>1</v>
      </c>
    </row>
    <row r="270" customFormat="false" ht="15" hidden="false" customHeight="false" outlineLevel="0" collapsed="false">
      <c r="A270" s="8" t="s">
        <v>6161</v>
      </c>
      <c r="B270" s="8" t="s">
        <v>4142</v>
      </c>
      <c r="C270" s="4" t="n">
        <v>1</v>
      </c>
    </row>
    <row r="271" customFormat="false" ht="15" hidden="false" customHeight="false" outlineLevel="0" collapsed="false">
      <c r="A271" s="8" t="s">
        <v>6162</v>
      </c>
      <c r="B271" s="8" t="s">
        <v>4338</v>
      </c>
      <c r="C271" s="4" t="n">
        <v>1</v>
      </c>
    </row>
    <row r="272" customFormat="false" ht="15" hidden="false" customHeight="false" outlineLevel="0" collapsed="false">
      <c r="A272" s="8" t="s">
        <v>6163</v>
      </c>
      <c r="B272" s="8" t="s">
        <v>4050</v>
      </c>
      <c r="C272" s="4" t="n">
        <v>1</v>
      </c>
    </row>
    <row r="273" customFormat="false" ht="15" hidden="false" customHeight="false" outlineLevel="0" collapsed="false">
      <c r="A273" s="8" t="s">
        <v>6164</v>
      </c>
      <c r="B273" s="8" t="s">
        <v>4048</v>
      </c>
      <c r="C273" s="4" t="n">
        <v>1</v>
      </c>
    </row>
    <row r="274" customFormat="false" ht="15" hidden="false" customHeight="false" outlineLevel="0" collapsed="false">
      <c r="A274" s="8" t="s">
        <v>6165</v>
      </c>
      <c r="B274" s="8" t="s">
        <v>164</v>
      </c>
      <c r="C274" s="4" t="n">
        <v>1</v>
      </c>
    </row>
    <row r="275" customFormat="false" ht="15" hidden="false" customHeight="false" outlineLevel="0" collapsed="false">
      <c r="A275" s="8" t="s">
        <v>6166</v>
      </c>
      <c r="B275" s="8" t="s">
        <v>187</v>
      </c>
      <c r="C275" s="4" t="n">
        <v>1</v>
      </c>
    </row>
    <row r="276" customFormat="false" ht="15" hidden="false" customHeight="false" outlineLevel="0" collapsed="false">
      <c r="A276" s="8" t="s">
        <v>6167</v>
      </c>
      <c r="B276" s="8" t="s">
        <v>4352</v>
      </c>
      <c r="C276" s="4" t="n">
        <v>1</v>
      </c>
    </row>
    <row r="277" customFormat="false" ht="15" hidden="false" customHeight="false" outlineLevel="0" collapsed="false">
      <c r="A277" s="8" t="s">
        <v>6168</v>
      </c>
      <c r="B277" s="8" t="s">
        <v>3950</v>
      </c>
      <c r="C277" s="4" t="n">
        <v>1</v>
      </c>
    </row>
    <row r="278" customFormat="false" ht="15" hidden="false" customHeight="false" outlineLevel="0" collapsed="false">
      <c r="A278" s="8" t="s">
        <v>6169</v>
      </c>
      <c r="B278" s="8" t="s">
        <v>3944</v>
      </c>
      <c r="C278" s="4" t="n">
        <v>1</v>
      </c>
    </row>
    <row r="279" customFormat="false" ht="15" hidden="false" customHeight="false" outlineLevel="0" collapsed="false">
      <c r="A279" s="8" t="s">
        <v>6170</v>
      </c>
      <c r="B279" s="8" t="s">
        <v>3914</v>
      </c>
      <c r="C279" s="4" t="n">
        <v>1</v>
      </c>
    </row>
    <row r="280" customFormat="false" ht="15" hidden="false" customHeight="false" outlineLevel="0" collapsed="false">
      <c r="A280" s="8" t="s">
        <v>6171</v>
      </c>
      <c r="B280" s="8" t="s">
        <v>3898</v>
      </c>
      <c r="C280" s="4" t="n">
        <v>1</v>
      </c>
    </row>
    <row r="281" customFormat="false" ht="15" hidden="false" customHeight="false" outlineLevel="0" collapsed="false">
      <c r="A281" s="8" t="s">
        <v>6172</v>
      </c>
      <c r="B281" s="8" t="s">
        <v>4270</v>
      </c>
      <c r="C281" s="4" t="n">
        <v>1</v>
      </c>
    </row>
    <row r="282" customFormat="false" ht="15" hidden="false" customHeight="false" outlineLevel="0" collapsed="false">
      <c r="A282" s="8" t="s">
        <v>6173</v>
      </c>
      <c r="B282" s="8" t="s">
        <v>4108</v>
      </c>
      <c r="C282" s="4" t="n">
        <v>1</v>
      </c>
    </row>
    <row r="283" customFormat="false" ht="15" hidden="false" customHeight="false" outlineLevel="0" collapsed="false">
      <c r="A283" s="8" t="s">
        <v>5093</v>
      </c>
      <c r="B283" s="8" t="s">
        <v>4434</v>
      </c>
      <c r="C283" s="4" t="n">
        <v>1</v>
      </c>
    </row>
    <row r="284" customFormat="false" ht="15" hidden="false" customHeight="false" outlineLevel="0" collapsed="false">
      <c r="A284" s="8" t="s">
        <v>6174</v>
      </c>
      <c r="B284" s="8" t="s">
        <v>4180</v>
      </c>
      <c r="C284" s="4" t="n">
        <v>1</v>
      </c>
    </row>
    <row r="285" customFormat="false" ht="15" hidden="false" customHeight="false" outlineLevel="0" collapsed="false">
      <c r="A285" s="8" t="s">
        <v>6175</v>
      </c>
      <c r="B285" s="8" t="s">
        <v>6176</v>
      </c>
      <c r="C285" s="4" t="n">
        <v>4</v>
      </c>
    </row>
    <row r="286" customFormat="false" ht="15" hidden="false" customHeight="false" outlineLevel="0" collapsed="false">
      <c r="A286" s="8" t="s">
        <v>6177</v>
      </c>
      <c r="B286" s="8" t="s">
        <v>4280</v>
      </c>
      <c r="C286" s="4" t="n">
        <v>1</v>
      </c>
    </row>
    <row r="287" customFormat="false" ht="15" hidden="false" customHeight="false" outlineLevel="0" collapsed="false">
      <c r="A287" s="8" t="s">
        <v>6178</v>
      </c>
      <c r="B287" s="8" t="s">
        <v>3900</v>
      </c>
      <c r="C287" s="4" t="n">
        <v>1</v>
      </c>
    </row>
    <row r="288" customFormat="false" ht="15" hidden="false" customHeight="false" outlineLevel="0" collapsed="false">
      <c r="A288" s="8" t="s">
        <v>6179</v>
      </c>
      <c r="B288" s="8" t="s">
        <v>4354</v>
      </c>
      <c r="C288" s="4" t="n">
        <v>1</v>
      </c>
    </row>
    <row r="289" customFormat="false" ht="15" hidden="false" customHeight="false" outlineLevel="0" collapsed="false">
      <c r="A289" s="8" t="s">
        <v>6180</v>
      </c>
      <c r="B289" s="8" t="s">
        <v>4288</v>
      </c>
      <c r="C289" s="4" t="n">
        <v>1</v>
      </c>
    </row>
    <row r="290" customFormat="false" ht="15" hidden="false" customHeight="false" outlineLevel="0" collapsed="false">
      <c r="A290" s="8" t="s">
        <v>6181</v>
      </c>
      <c r="B290" s="8" t="s">
        <v>3982</v>
      </c>
      <c r="C290" s="4" t="n">
        <v>1</v>
      </c>
    </row>
    <row r="291" customFormat="false" ht="15" hidden="false" customHeight="false" outlineLevel="0" collapsed="false">
      <c r="A291" s="8" t="s">
        <v>4728</v>
      </c>
      <c r="B291" s="8" t="s">
        <v>4118</v>
      </c>
      <c r="C291" s="4" t="n">
        <v>1</v>
      </c>
    </row>
    <row r="292" customFormat="false" ht="15" hidden="false" customHeight="false" outlineLevel="0" collapsed="false">
      <c r="A292" s="8" t="s">
        <v>6182</v>
      </c>
      <c r="B292" s="8" t="s">
        <v>4412</v>
      </c>
      <c r="C292" s="4" t="n">
        <v>1</v>
      </c>
    </row>
    <row r="293" customFormat="false" ht="15" hidden="false" customHeight="false" outlineLevel="0" collapsed="false">
      <c r="A293" s="8" t="s">
        <v>4732</v>
      </c>
      <c r="B293" s="8" t="s">
        <v>4122</v>
      </c>
      <c r="C293" s="4" t="n">
        <v>1</v>
      </c>
    </row>
    <row r="294" customFormat="false" ht="15" hidden="false" customHeight="false" outlineLevel="0" collapsed="false">
      <c r="A294" s="8" t="s">
        <v>6183</v>
      </c>
      <c r="B294" s="8" t="s">
        <v>4120</v>
      </c>
      <c r="C294" s="4" t="n">
        <v>1</v>
      </c>
    </row>
    <row r="295" customFormat="false" ht="15" hidden="false" customHeight="false" outlineLevel="0" collapsed="false">
      <c r="A295" s="8" t="s">
        <v>6184</v>
      </c>
      <c r="B295" s="8" t="s">
        <v>4372</v>
      </c>
      <c r="C295" s="4" t="n">
        <v>1</v>
      </c>
    </row>
    <row r="296" customFormat="false" ht="15" hidden="false" customHeight="false" outlineLevel="0" collapsed="false">
      <c r="A296" s="8" t="s">
        <v>6185</v>
      </c>
      <c r="B296" s="8" t="s">
        <v>3928</v>
      </c>
      <c r="C296" s="4" t="n">
        <v>1</v>
      </c>
    </row>
    <row r="297" customFormat="false" ht="15" hidden="false" customHeight="false" outlineLevel="0" collapsed="false">
      <c r="A297" s="8" t="s">
        <v>6186</v>
      </c>
      <c r="B297" s="8" t="s">
        <v>3924</v>
      </c>
      <c r="C297" s="4" t="n">
        <v>1</v>
      </c>
    </row>
    <row r="298" customFormat="false" ht="15" hidden="false" customHeight="false" outlineLevel="0" collapsed="false">
      <c r="A298" s="8" t="s">
        <v>6187</v>
      </c>
      <c r="B298" s="8" t="s">
        <v>172</v>
      </c>
      <c r="C298" s="4" t="n">
        <v>1</v>
      </c>
    </row>
    <row r="299" customFormat="false" ht="15" hidden="false" customHeight="false" outlineLevel="0" collapsed="false">
      <c r="A299" s="8" t="s">
        <v>6188</v>
      </c>
      <c r="B299" s="8" t="s">
        <v>4255</v>
      </c>
      <c r="C299" s="4" t="n">
        <v>1</v>
      </c>
    </row>
    <row r="300" customFormat="false" ht="15" hidden="false" customHeight="false" outlineLevel="0" collapsed="false">
      <c r="A300" s="8" t="s">
        <v>5095</v>
      </c>
      <c r="B300" s="8" t="s">
        <v>4436</v>
      </c>
      <c r="C300" s="4" t="n">
        <v>1</v>
      </c>
    </row>
    <row r="301" customFormat="false" ht="15" hidden="false" customHeight="false" outlineLevel="0" collapsed="false">
      <c r="A301" s="8" t="s">
        <v>6189</v>
      </c>
      <c r="B301" s="8" t="s">
        <v>3952</v>
      </c>
      <c r="C301" s="4" t="n">
        <v>1</v>
      </c>
    </row>
    <row r="302" customFormat="false" ht="15" hidden="false" customHeight="false" outlineLevel="0" collapsed="false">
      <c r="A302" s="8" t="s">
        <v>6190</v>
      </c>
      <c r="B302" s="8" t="s">
        <v>3950</v>
      </c>
      <c r="C302" s="4" t="n">
        <v>1</v>
      </c>
    </row>
    <row r="303" customFormat="false" ht="15" hidden="false" customHeight="false" outlineLevel="0" collapsed="false">
      <c r="A303" s="8" t="s">
        <v>6191</v>
      </c>
      <c r="B303" s="8" t="s">
        <v>189</v>
      </c>
      <c r="C303" s="4" t="n">
        <v>1</v>
      </c>
    </row>
    <row r="304" customFormat="false" ht="15" hidden="false" customHeight="false" outlineLevel="0" collapsed="false">
      <c r="A304" s="8" t="s">
        <v>6192</v>
      </c>
      <c r="B304" s="8" t="s">
        <v>3962</v>
      </c>
      <c r="C304" s="4" t="n">
        <v>1</v>
      </c>
    </row>
    <row r="305" customFormat="false" ht="15" hidden="false" customHeight="false" outlineLevel="0" collapsed="false">
      <c r="A305" s="8" t="s">
        <v>6193</v>
      </c>
      <c r="B305" s="8" t="s">
        <v>152</v>
      </c>
      <c r="C305" s="4" t="n">
        <v>1</v>
      </c>
    </row>
    <row r="306" customFormat="false" ht="15" hidden="false" customHeight="false" outlineLevel="0" collapsed="false">
      <c r="A306" s="8" t="s">
        <v>6194</v>
      </c>
      <c r="B306" s="8" t="s">
        <v>4410</v>
      </c>
      <c r="C306" s="4" t="n">
        <v>1</v>
      </c>
    </row>
    <row r="307" customFormat="false" ht="15" hidden="false" customHeight="false" outlineLevel="0" collapsed="false">
      <c r="A307" s="8" t="s">
        <v>6195</v>
      </c>
      <c r="B307" s="8" t="s">
        <v>4172</v>
      </c>
      <c r="C307" s="4" t="n">
        <v>1</v>
      </c>
    </row>
    <row r="308" customFormat="false" ht="15" hidden="false" customHeight="false" outlineLevel="0" collapsed="false">
      <c r="A308" s="8" t="s">
        <v>6196</v>
      </c>
      <c r="B308" s="8" t="s">
        <v>3942</v>
      </c>
      <c r="C308" s="4" t="n">
        <v>1</v>
      </c>
    </row>
    <row r="309" customFormat="false" ht="15" hidden="false" customHeight="false" outlineLevel="0" collapsed="false">
      <c r="A309" s="8" t="s">
        <v>4883</v>
      </c>
      <c r="B309" s="8" t="s">
        <v>185</v>
      </c>
      <c r="C309" s="4" t="n">
        <v>1</v>
      </c>
    </row>
    <row r="310" customFormat="false" ht="15" hidden="false" customHeight="false" outlineLevel="0" collapsed="false">
      <c r="A310" s="8" t="s">
        <v>6197</v>
      </c>
      <c r="B310" s="8" t="s">
        <v>3960</v>
      </c>
      <c r="C310" s="4" t="n">
        <v>1</v>
      </c>
    </row>
    <row r="311" customFormat="false" ht="15" hidden="false" customHeight="false" outlineLevel="0" collapsed="false">
      <c r="A311" s="8" t="s">
        <v>6198</v>
      </c>
      <c r="B311" s="8" t="s">
        <v>4292</v>
      </c>
      <c r="C311" s="4" t="n">
        <v>1</v>
      </c>
    </row>
    <row r="312" customFormat="false" ht="15" hidden="false" customHeight="false" outlineLevel="0" collapsed="false">
      <c r="A312" s="8" t="s">
        <v>6199</v>
      </c>
      <c r="B312" s="8" t="s">
        <v>6200</v>
      </c>
      <c r="C312" s="4" t="n">
        <v>3</v>
      </c>
    </row>
    <row r="313" customFormat="false" ht="15" hidden="false" customHeight="false" outlineLevel="0" collapsed="false">
      <c r="A313" s="8" t="s">
        <v>6201</v>
      </c>
      <c r="B313" s="8" t="s">
        <v>262</v>
      </c>
      <c r="C313" s="4" t="n">
        <v>1</v>
      </c>
    </row>
    <row r="314" customFormat="false" ht="15" hidden="false" customHeight="false" outlineLevel="0" collapsed="false">
      <c r="A314" s="8" t="s">
        <v>6202</v>
      </c>
      <c r="B314" s="8" t="s">
        <v>4280</v>
      </c>
      <c r="C314" s="4" t="n">
        <v>1</v>
      </c>
    </row>
    <row r="315" customFormat="false" ht="15" hidden="false" customHeight="false" outlineLevel="0" collapsed="false">
      <c r="A315" s="8" t="s">
        <v>6203</v>
      </c>
      <c r="B315" s="8" t="s">
        <v>4248</v>
      </c>
      <c r="C315" s="4" t="n">
        <v>1</v>
      </c>
    </row>
    <row r="316" customFormat="false" ht="15" hidden="false" customHeight="false" outlineLevel="0" collapsed="false">
      <c r="A316" s="8" t="s">
        <v>6204</v>
      </c>
      <c r="B316" s="8" t="s">
        <v>168</v>
      </c>
      <c r="C316" s="4" t="n">
        <v>1</v>
      </c>
    </row>
    <row r="317" customFormat="false" ht="15" hidden="false" customHeight="false" outlineLevel="0" collapsed="false">
      <c r="A317" s="8" t="s">
        <v>6205</v>
      </c>
      <c r="B317" s="8" t="s">
        <v>4262</v>
      </c>
      <c r="C317" s="4" t="n">
        <v>1</v>
      </c>
    </row>
    <row r="318" customFormat="false" ht="15" hidden="false" customHeight="false" outlineLevel="0" collapsed="false">
      <c r="A318" s="8" t="s">
        <v>6206</v>
      </c>
      <c r="B318" s="8" t="s">
        <v>4258</v>
      </c>
      <c r="C318" s="4" t="n">
        <v>1</v>
      </c>
    </row>
    <row r="319" customFormat="false" ht="15" hidden="false" customHeight="false" outlineLevel="0" collapsed="false">
      <c r="A319" s="8" t="s">
        <v>6207</v>
      </c>
      <c r="B319" s="8" t="s">
        <v>4074</v>
      </c>
      <c r="C319" s="4" t="n">
        <v>1</v>
      </c>
    </row>
    <row r="320" customFormat="false" ht="15" hidden="false" customHeight="false" outlineLevel="0" collapsed="false">
      <c r="A320" s="8" t="s">
        <v>6208</v>
      </c>
      <c r="B320" s="8" t="s">
        <v>4040</v>
      </c>
      <c r="C320" s="4" t="n">
        <v>1</v>
      </c>
    </row>
    <row r="321" customFormat="false" ht="15" hidden="false" customHeight="false" outlineLevel="0" collapsed="false">
      <c r="A321" s="8" t="s">
        <v>6209</v>
      </c>
      <c r="B321" s="8" t="s">
        <v>4278</v>
      </c>
      <c r="C321" s="4" t="n">
        <v>1</v>
      </c>
    </row>
    <row r="322" customFormat="false" ht="15" hidden="false" customHeight="false" outlineLevel="0" collapsed="false">
      <c r="A322" s="8" t="s">
        <v>6210</v>
      </c>
      <c r="B322" s="8" t="s">
        <v>183</v>
      </c>
      <c r="C322" s="4" t="n">
        <v>1</v>
      </c>
    </row>
    <row r="323" customFormat="false" ht="15" hidden="false" customHeight="false" outlineLevel="0" collapsed="false">
      <c r="A323" s="8" t="s">
        <v>6211</v>
      </c>
      <c r="B323" s="8" t="s">
        <v>361</v>
      </c>
      <c r="C323" s="4" t="n">
        <v>1</v>
      </c>
    </row>
    <row r="324" customFormat="false" ht="15" hidden="false" customHeight="false" outlineLevel="0" collapsed="false">
      <c r="A324" s="8" t="s">
        <v>6212</v>
      </c>
      <c r="B324" s="8" t="s">
        <v>4328</v>
      </c>
      <c r="C324" s="4" t="n">
        <v>1</v>
      </c>
    </row>
    <row r="325" customFormat="false" ht="15" hidden="false" customHeight="false" outlineLevel="0" collapsed="false">
      <c r="A325" s="8" t="s">
        <v>6213</v>
      </c>
      <c r="B325" s="8" t="s">
        <v>4146</v>
      </c>
      <c r="C325" s="4" t="n">
        <v>1</v>
      </c>
    </row>
    <row r="326" customFormat="false" ht="15" hidden="false" customHeight="false" outlineLevel="0" collapsed="false">
      <c r="A326" s="8" t="s">
        <v>6214</v>
      </c>
      <c r="B326" s="8" t="s">
        <v>4278</v>
      </c>
      <c r="C326" s="4" t="n">
        <v>1</v>
      </c>
    </row>
    <row r="327" customFormat="false" ht="15" hidden="false" customHeight="false" outlineLevel="0" collapsed="false">
      <c r="A327" s="8" t="s">
        <v>6215</v>
      </c>
      <c r="B327" s="8" t="s">
        <v>4116</v>
      </c>
      <c r="C327" s="4" t="n">
        <v>1</v>
      </c>
    </row>
    <row r="328" customFormat="false" ht="15" hidden="false" customHeight="false" outlineLevel="0" collapsed="false">
      <c r="A328" s="8" t="s">
        <v>6216</v>
      </c>
      <c r="B328" s="8" t="s">
        <v>3882</v>
      </c>
      <c r="C328" s="4" t="n">
        <v>1</v>
      </c>
    </row>
    <row r="329" customFormat="false" ht="15" hidden="false" customHeight="false" outlineLevel="0" collapsed="false">
      <c r="A329" s="8" t="s">
        <v>4597</v>
      </c>
      <c r="B329" s="8" t="s">
        <v>3984</v>
      </c>
      <c r="C329" s="4" t="n">
        <v>1</v>
      </c>
    </row>
    <row r="330" customFormat="false" ht="15" hidden="false" customHeight="false" outlineLevel="0" collapsed="false">
      <c r="A330" s="8" t="s">
        <v>6217</v>
      </c>
      <c r="B330" s="8" t="s">
        <v>4032</v>
      </c>
      <c r="C330" s="4" t="n">
        <v>1</v>
      </c>
    </row>
    <row r="331" customFormat="false" ht="15" hidden="false" customHeight="false" outlineLevel="0" collapsed="false">
      <c r="A331" s="8" t="s">
        <v>6218</v>
      </c>
      <c r="B331" s="8" t="s">
        <v>4034</v>
      </c>
      <c r="C331" s="4" t="n">
        <v>1</v>
      </c>
    </row>
    <row r="332" customFormat="false" ht="15" hidden="false" customHeight="false" outlineLevel="0" collapsed="false">
      <c r="A332" s="8" t="s">
        <v>6219</v>
      </c>
      <c r="B332" s="8" t="s">
        <v>4292</v>
      </c>
      <c r="C332" s="4" t="n">
        <v>1</v>
      </c>
    </row>
    <row r="333" customFormat="false" ht="15" hidden="false" customHeight="false" outlineLevel="0" collapsed="false">
      <c r="A333" s="8" t="s">
        <v>6220</v>
      </c>
      <c r="B333" s="8" t="s">
        <v>203</v>
      </c>
      <c r="C333" s="4" t="n">
        <v>1</v>
      </c>
    </row>
    <row r="334" customFormat="false" ht="15" hidden="false" customHeight="false" outlineLevel="0" collapsed="false">
      <c r="A334" s="8" t="s">
        <v>6221</v>
      </c>
      <c r="B334" s="8" t="s">
        <v>3938</v>
      </c>
      <c r="C334" s="4" t="n">
        <v>1</v>
      </c>
    </row>
    <row r="335" customFormat="false" ht="15" hidden="false" customHeight="false" outlineLevel="0" collapsed="false">
      <c r="A335" s="8" t="s">
        <v>6222</v>
      </c>
      <c r="B335" s="8" t="s">
        <v>4248</v>
      </c>
      <c r="C335" s="4" t="n">
        <v>1</v>
      </c>
    </row>
    <row r="336" customFormat="false" ht="15" hidden="false" customHeight="false" outlineLevel="0" collapsed="false">
      <c r="A336" s="8" t="s">
        <v>6223</v>
      </c>
      <c r="B336" s="8" t="s">
        <v>4044</v>
      </c>
      <c r="C336" s="4" t="n">
        <v>1</v>
      </c>
    </row>
    <row r="337" customFormat="false" ht="15" hidden="false" customHeight="false" outlineLevel="0" collapsed="false">
      <c r="A337" s="8" t="s">
        <v>6224</v>
      </c>
      <c r="B337" s="8" t="s">
        <v>143</v>
      </c>
      <c r="C337" s="4" t="n">
        <v>1</v>
      </c>
    </row>
    <row r="338" customFormat="false" ht="15" hidden="false" customHeight="false" outlineLevel="0" collapsed="false">
      <c r="A338" s="8" t="s">
        <v>4613</v>
      </c>
      <c r="B338" s="8" t="s">
        <v>4000</v>
      </c>
      <c r="C338" s="4" t="n">
        <v>1</v>
      </c>
    </row>
    <row r="339" customFormat="false" ht="15" hidden="false" customHeight="false" outlineLevel="0" collapsed="false">
      <c r="A339" s="8" t="s">
        <v>6225</v>
      </c>
      <c r="B339" s="8" t="s">
        <v>3962</v>
      </c>
      <c r="C339" s="4" t="n">
        <v>1</v>
      </c>
    </row>
    <row r="340" customFormat="false" ht="15" hidden="false" customHeight="false" outlineLevel="0" collapsed="false">
      <c r="A340" s="8" t="s">
        <v>6226</v>
      </c>
      <c r="B340" s="8" t="s">
        <v>6227</v>
      </c>
      <c r="C340" s="4" t="n">
        <v>2</v>
      </c>
    </row>
    <row r="341" customFormat="false" ht="15" hidden="false" customHeight="false" outlineLevel="0" collapsed="false">
      <c r="A341" s="8" t="s">
        <v>6228</v>
      </c>
      <c r="B341" s="8" t="s">
        <v>6229</v>
      </c>
      <c r="C341" s="4" t="n">
        <v>3</v>
      </c>
    </row>
    <row r="342" customFormat="false" ht="15" hidden="false" customHeight="false" outlineLevel="0" collapsed="false">
      <c r="A342" s="8" t="s">
        <v>6230</v>
      </c>
      <c r="B342" s="8" t="s">
        <v>4058</v>
      </c>
      <c r="C342" s="4" t="n">
        <v>1</v>
      </c>
    </row>
    <row r="343" customFormat="false" ht="23.85" hidden="false" customHeight="false" outlineLevel="0" collapsed="false">
      <c r="A343" s="8" t="s">
        <v>6231</v>
      </c>
      <c r="B343" s="8" t="s">
        <v>5965</v>
      </c>
      <c r="C343" s="4" t="n">
        <v>4</v>
      </c>
    </row>
    <row r="344" customFormat="false" ht="15" hidden="false" customHeight="false" outlineLevel="0" collapsed="false">
      <c r="A344" s="8" t="s">
        <v>4617</v>
      </c>
      <c r="B344" s="8" t="s">
        <v>4004</v>
      </c>
      <c r="C344" s="4" t="n">
        <v>1</v>
      </c>
    </row>
    <row r="345" customFormat="false" ht="15" hidden="false" customHeight="false" outlineLevel="0" collapsed="false">
      <c r="A345" s="8" t="s">
        <v>6232</v>
      </c>
      <c r="B345" s="8" t="s">
        <v>4038</v>
      </c>
      <c r="C345" s="4" t="n">
        <v>1</v>
      </c>
    </row>
    <row r="346" customFormat="false" ht="15" hidden="false" customHeight="false" outlineLevel="0" collapsed="false">
      <c r="A346" s="8" t="s">
        <v>6233</v>
      </c>
      <c r="B346" s="8" t="s">
        <v>3972</v>
      </c>
      <c r="C346" s="4" t="n">
        <v>1</v>
      </c>
    </row>
    <row r="347" customFormat="false" ht="15" hidden="false" customHeight="false" outlineLevel="0" collapsed="false">
      <c r="A347" s="8" t="s">
        <v>4623</v>
      </c>
      <c r="B347" s="8" t="s">
        <v>4010</v>
      </c>
      <c r="C347" s="4" t="n">
        <v>1</v>
      </c>
    </row>
    <row r="348" customFormat="false" ht="15" hidden="false" customHeight="false" outlineLevel="0" collapsed="false">
      <c r="A348" s="8" t="s">
        <v>6234</v>
      </c>
      <c r="B348" s="8" t="s">
        <v>4208</v>
      </c>
      <c r="C348" s="4" t="n">
        <v>1</v>
      </c>
    </row>
    <row r="349" customFormat="false" ht="15" hidden="false" customHeight="false" outlineLevel="0" collapsed="false">
      <c r="A349" s="8" t="s">
        <v>6235</v>
      </c>
      <c r="B349" s="8" t="s">
        <v>5347</v>
      </c>
      <c r="C349" s="4" t="n">
        <v>2</v>
      </c>
    </row>
    <row r="350" customFormat="false" ht="15" hidden="false" customHeight="false" outlineLevel="0" collapsed="false">
      <c r="A350" s="8" t="s">
        <v>6236</v>
      </c>
      <c r="B350" s="8" t="s">
        <v>4022</v>
      </c>
      <c r="C350" s="4" t="n">
        <v>1</v>
      </c>
    </row>
    <row r="351" customFormat="false" ht="15" hidden="false" customHeight="false" outlineLevel="0" collapsed="false">
      <c r="A351" s="8" t="s">
        <v>5059</v>
      </c>
      <c r="B351" s="8" t="s">
        <v>4400</v>
      </c>
      <c r="C351" s="4" t="n">
        <v>1</v>
      </c>
    </row>
    <row r="352" customFormat="false" ht="15" hidden="false" customHeight="false" outlineLevel="0" collapsed="false">
      <c r="A352" s="8" t="s">
        <v>6237</v>
      </c>
      <c r="B352" s="8" t="s">
        <v>4322</v>
      </c>
      <c r="C352" s="4" t="n">
        <v>1</v>
      </c>
    </row>
    <row r="353" customFormat="false" ht="15" hidden="false" customHeight="false" outlineLevel="0" collapsed="false">
      <c r="A353" s="8" t="s">
        <v>6238</v>
      </c>
      <c r="B353" s="8" t="s">
        <v>292</v>
      </c>
      <c r="C353" s="4" t="n">
        <v>1</v>
      </c>
    </row>
    <row r="354" customFormat="false" ht="15" hidden="false" customHeight="false" outlineLevel="0" collapsed="false">
      <c r="A354" s="8" t="s">
        <v>6239</v>
      </c>
      <c r="B354" s="8" t="s">
        <v>4126</v>
      </c>
      <c r="C354" s="4" t="n">
        <v>1</v>
      </c>
    </row>
    <row r="355" customFormat="false" ht="15" hidden="false" customHeight="false" outlineLevel="0" collapsed="false">
      <c r="A355" s="8" t="s">
        <v>6240</v>
      </c>
      <c r="B355" s="8" t="s">
        <v>516</v>
      </c>
      <c r="C355" s="4" t="n">
        <v>1</v>
      </c>
    </row>
    <row r="356" customFormat="false" ht="15" hidden="false" customHeight="false" outlineLevel="0" collapsed="false">
      <c r="A356" s="8" t="s">
        <v>6241</v>
      </c>
      <c r="B356" s="8" t="s">
        <v>4168</v>
      </c>
      <c r="C356" s="4" t="n">
        <v>1</v>
      </c>
    </row>
    <row r="357" customFormat="false" ht="15" hidden="false" customHeight="false" outlineLevel="0" collapsed="false">
      <c r="A357" s="8" t="s">
        <v>6242</v>
      </c>
      <c r="B357" s="8" t="s">
        <v>4164</v>
      </c>
      <c r="C357" s="4" t="n">
        <v>1</v>
      </c>
    </row>
    <row r="358" customFormat="false" ht="15" hidden="false" customHeight="false" outlineLevel="0" collapsed="false">
      <c r="A358" s="8" t="s">
        <v>6243</v>
      </c>
      <c r="B358" s="8" t="s">
        <v>156</v>
      </c>
      <c r="C358" s="4" t="n">
        <v>1</v>
      </c>
    </row>
    <row r="359" customFormat="false" ht="15" hidden="false" customHeight="false" outlineLevel="0" collapsed="false">
      <c r="A359" s="8" t="s">
        <v>6244</v>
      </c>
      <c r="B359" s="8" t="s">
        <v>4258</v>
      </c>
      <c r="C359" s="4" t="n">
        <v>1</v>
      </c>
    </row>
    <row r="360" customFormat="false" ht="15" hidden="false" customHeight="false" outlineLevel="0" collapsed="false">
      <c r="A360" s="8" t="s">
        <v>4581</v>
      </c>
      <c r="B360" s="8" t="s">
        <v>3968</v>
      </c>
      <c r="C360" s="4" t="n">
        <v>1</v>
      </c>
    </row>
    <row r="361" customFormat="false" ht="15" hidden="false" customHeight="false" outlineLevel="0" collapsed="false">
      <c r="A361" s="8" t="s">
        <v>6245</v>
      </c>
      <c r="B361" s="8" t="s">
        <v>4304</v>
      </c>
      <c r="C361" s="4" t="n">
        <v>1</v>
      </c>
    </row>
    <row r="362" customFormat="false" ht="15" hidden="false" customHeight="false" outlineLevel="0" collapsed="false">
      <c r="A362" s="8" t="s">
        <v>4985</v>
      </c>
      <c r="B362" s="8" t="s">
        <v>4326</v>
      </c>
      <c r="C362" s="4" t="n">
        <v>1</v>
      </c>
    </row>
    <row r="363" customFormat="false" ht="15" hidden="false" customHeight="false" outlineLevel="0" collapsed="false">
      <c r="A363" s="8" t="s">
        <v>6246</v>
      </c>
      <c r="B363" s="8" t="s">
        <v>4390</v>
      </c>
      <c r="C363" s="4" t="n">
        <v>1</v>
      </c>
    </row>
    <row r="364" customFormat="false" ht="15" hidden="false" customHeight="false" outlineLevel="0" collapsed="false">
      <c r="A364" s="8" t="s">
        <v>6247</v>
      </c>
      <c r="B364" s="8" t="s">
        <v>4294</v>
      </c>
      <c r="C364" s="4" t="n">
        <v>1</v>
      </c>
    </row>
    <row r="365" customFormat="false" ht="15" hidden="false" customHeight="false" outlineLevel="0" collapsed="false">
      <c r="A365" s="8" t="s">
        <v>6248</v>
      </c>
      <c r="B365" s="8" t="s">
        <v>4026</v>
      </c>
      <c r="C365" s="4" t="n">
        <v>1</v>
      </c>
    </row>
    <row r="366" customFormat="false" ht="15" hidden="false" customHeight="false" outlineLevel="0" collapsed="false">
      <c r="A366" s="8" t="s">
        <v>6249</v>
      </c>
      <c r="B366" s="8" t="s">
        <v>6250</v>
      </c>
      <c r="C366" s="4" t="n">
        <v>2</v>
      </c>
    </row>
    <row r="367" customFormat="false" ht="15" hidden="false" customHeight="false" outlineLevel="0" collapsed="false">
      <c r="A367" s="8" t="s">
        <v>5045</v>
      </c>
      <c r="B367" s="8" t="s">
        <v>4386</v>
      </c>
      <c r="C367" s="4" t="n">
        <v>1</v>
      </c>
    </row>
    <row r="368" customFormat="false" ht="15" hidden="false" customHeight="false" outlineLevel="0" collapsed="false">
      <c r="A368" s="8" t="s">
        <v>6251</v>
      </c>
      <c r="B368" s="8" t="s">
        <v>4360</v>
      </c>
      <c r="C368" s="4" t="n">
        <v>1</v>
      </c>
    </row>
    <row r="369" customFormat="false" ht="15" hidden="false" customHeight="false" outlineLevel="0" collapsed="false">
      <c r="A369" s="8" t="s">
        <v>6252</v>
      </c>
      <c r="B369" s="8" t="s">
        <v>4298</v>
      </c>
      <c r="C369" s="4" t="n">
        <v>1</v>
      </c>
    </row>
    <row r="370" customFormat="false" ht="15" hidden="false" customHeight="false" outlineLevel="0" collapsed="false">
      <c r="A370" s="8" t="s">
        <v>6253</v>
      </c>
      <c r="B370" s="8" t="s">
        <v>4298</v>
      </c>
      <c r="C370" s="4" t="n">
        <v>1</v>
      </c>
    </row>
    <row r="371" customFormat="false" ht="15" hidden="false" customHeight="false" outlineLevel="0" collapsed="false">
      <c r="A371" s="8" t="s">
        <v>4766</v>
      </c>
      <c r="B371" s="8" t="s">
        <v>4156</v>
      </c>
      <c r="C371" s="4" t="n">
        <v>1</v>
      </c>
    </row>
    <row r="372" customFormat="false" ht="15" hidden="false" customHeight="false" outlineLevel="0" collapsed="false">
      <c r="A372" s="8" t="s">
        <v>6254</v>
      </c>
      <c r="B372" s="8" t="s">
        <v>3930</v>
      </c>
      <c r="C372" s="4" t="n">
        <v>1</v>
      </c>
    </row>
    <row r="373" customFormat="false" ht="15" hidden="false" customHeight="false" outlineLevel="0" collapsed="false">
      <c r="A373" s="8" t="s">
        <v>6255</v>
      </c>
      <c r="B373" s="8" t="s">
        <v>146</v>
      </c>
      <c r="C373" s="4" t="n">
        <v>1</v>
      </c>
    </row>
    <row r="374" customFormat="false" ht="15" hidden="false" customHeight="false" outlineLevel="0" collapsed="false">
      <c r="A374" s="8" t="s">
        <v>6256</v>
      </c>
      <c r="B374" s="8" t="s">
        <v>156</v>
      </c>
      <c r="C374" s="4" t="n">
        <v>1</v>
      </c>
    </row>
    <row r="375" customFormat="false" ht="15" hidden="false" customHeight="false" outlineLevel="0" collapsed="false">
      <c r="A375" s="8" t="s">
        <v>6257</v>
      </c>
      <c r="B375" s="8" t="s">
        <v>4062</v>
      </c>
      <c r="C375" s="4" t="n">
        <v>1</v>
      </c>
    </row>
    <row r="376" customFormat="false" ht="15" hidden="false" customHeight="false" outlineLevel="0" collapsed="false">
      <c r="A376" s="8" t="s">
        <v>6258</v>
      </c>
      <c r="B376" s="8" t="s">
        <v>4219</v>
      </c>
      <c r="C376" s="4" t="n">
        <v>1</v>
      </c>
    </row>
    <row r="377" customFormat="false" ht="15" hidden="false" customHeight="false" outlineLevel="0" collapsed="false">
      <c r="A377" s="8" t="s">
        <v>6259</v>
      </c>
      <c r="B377" s="8" t="s">
        <v>253</v>
      </c>
      <c r="C377" s="4" t="n">
        <v>1</v>
      </c>
    </row>
    <row r="378" customFormat="false" ht="15" hidden="false" customHeight="false" outlineLevel="0" collapsed="false">
      <c r="A378" s="8" t="s">
        <v>6260</v>
      </c>
      <c r="B378" s="8" t="s">
        <v>4026</v>
      </c>
      <c r="C378" s="4" t="n">
        <v>1</v>
      </c>
    </row>
    <row r="379" customFormat="false" ht="15" hidden="false" customHeight="false" outlineLevel="0" collapsed="false">
      <c r="A379" s="8" t="s">
        <v>6261</v>
      </c>
      <c r="B379" s="8" t="s">
        <v>4006</v>
      </c>
      <c r="C379" s="4" t="n">
        <v>1</v>
      </c>
    </row>
    <row r="380" customFormat="false" ht="15" hidden="false" customHeight="false" outlineLevel="0" collapsed="false">
      <c r="A380" s="8" t="s">
        <v>6262</v>
      </c>
      <c r="B380" s="8" t="s">
        <v>316</v>
      </c>
      <c r="C380" s="4" t="n">
        <v>1</v>
      </c>
    </row>
    <row r="381" customFormat="false" ht="15" hidden="false" customHeight="false" outlineLevel="0" collapsed="false">
      <c r="A381" s="8" t="s">
        <v>6263</v>
      </c>
      <c r="B381" s="8" t="s">
        <v>154</v>
      </c>
      <c r="C381" s="4" t="n">
        <v>1</v>
      </c>
    </row>
    <row r="382" customFormat="false" ht="15" hidden="false" customHeight="false" outlineLevel="0" collapsed="false">
      <c r="A382" s="8" t="s">
        <v>6264</v>
      </c>
      <c r="B382" s="8" t="s">
        <v>4154</v>
      </c>
      <c r="C382" s="4" t="n">
        <v>1</v>
      </c>
    </row>
    <row r="383" customFormat="false" ht="15" hidden="false" customHeight="false" outlineLevel="0" collapsed="false">
      <c r="A383" s="8" t="s">
        <v>6265</v>
      </c>
      <c r="B383" s="8" t="s">
        <v>4178</v>
      </c>
      <c r="C383" s="4" t="n">
        <v>1</v>
      </c>
    </row>
    <row r="384" customFormat="false" ht="15" hidden="false" customHeight="false" outlineLevel="0" collapsed="false">
      <c r="A384" s="8" t="s">
        <v>4714</v>
      </c>
      <c r="B384" s="8" t="s">
        <v>4104</v>
      </c>
      <c r="C384" s="4" t="n">
        <v>1</v>
      </c>
    </row>
    <row r="385" customFormat="false" ht="15" hidden="false" customHeight="false" outlineLevel="0" collapsed="false">
      <c r="A385" s="8" t="s">
        <v>4891</v>
      </c>
      <c r="B385" s="8" t="s">
        <v>4242</v>
      </c>
      <c r="C385" s="4" t="n">
        <v>1</v>
      </c>
    </row>
    <row r="386" customFormat="false" ht="15" hidden="false" customHeight="false" outlineLevel="0" collapsed="false">
      <c r="A386" s="8" t="s">
        <v>6266</v>
      </c>
      <c r="B386" s="8" t="s">
        <v>203</v>
      </c>
      <c r="C386" s="4" t="n">
        <v>1</v>
      </c>
    </row>
    <row r="387" customFormat="false" ht="15" hidden="false" customHeight="false" outlineLevel="0" collapsed="false">
      <c r="A387" s="8" t="s">
        <v>4667</v>
      </c>
      <c r="B387" s="8" t="s">
        <v>4054</v>
      </c>
      <c r="C387" s="4" t="n">
        <v>1</v>
      </c>
    </row>
    <row r="388" customFormat="false" ht="15" hidden="false" customHeight="false" outlineLevel="0" collapsed="false">
      <c r="A388" s="8" t="s">
        <v>6267</v>
      </c>
      <c r="B388" s="8" t="s">
        <v>143</v>
      </c>
      <c r="C388" s="4" t="n">
        <v>1</v>
      </c>
    </row>
    <row r="389" customFormat="false" ht="15" hidden="false" customHeight="false" outlineLevel="0" collapsed="false">
      <c r="A389" s="8" t="s">
        <v>6268</v>
      </c>
      <c r="B389" s="8" t="s">
        <v>4374</v>
      </c>
      <c r="C389" s="4" t="n">
        <v>1</v>
      </c>
    </row>
    <row r="390" customFormat="false" ht="15" hidden="false" customHeight="false" outlineLevel="0" collapsed="false">
      <c r="A390" s="8" t="s">
        <v>6269</v>
      </c>
      <c r="B390" s="8" t="s">
        <v>4208</v>
      </c>
      <c r="C390" s="4" t="n">
        <v>1</v>
      </c>
    </row>
    <row r="391" customFormat="false" ht="15" hidden="false" customHeight="false" outlineLevel="0" collapsed="false">
      <c r="A391" s="8" t="s">
        <v>4681</v>
      </c>
      <c r="B391" s="8" t="s">
        <v>4068</v>
      </c>
      <c r="C391" s="4" t="n">
        <v>1</v>
      </c>
    </row>
    <row r="392" customFormat="false" ht="15" hidden="false" customHeight="false" outlineLevel="0" collapsed="false">
      <c r="A392" s="8" t="s">
        <v>6270</v>
      </c>
      <c r="B392" s="8" t="s">
        <v>4362</v>
      </c>
      <c r="C392" s="4" t="n">
        <v>1</v>
      </c>
    </row>
    <row r="393" customFormat="false" ht="15" hidden="false" customHeight="false" outlineLevel="0" collapsed="false">
      <c r="A393" s="8" t="s">
        <v>6271</v>
      </c>
      <c r="B393" s="8" t="s">
        <v>4246</v>
      </c>
      <c r="C393" s="4" t="n">
        <v>1</v>
      </c>
    </row>
    <row r="394" customFormat="false" ht="15" hidden="false" customHeight="false" outlineLevel="0" collapsed="false">
      <c r="A394" s="8" t="s">
        <v>6272</v>
      </c>
      <c r="B394" s="8" t="s">
        <v>4296</v>
      </c>
      <c r="C394" s="4" t="n">
        <v>1</v>
      </c>
    </row>
    <row r="395" customFormat="false" ht="15" hidden="false" customHeight="false" outlineLevel="0" collapsed="false">
      <c r="A395" s="8" t="s">
        <v>6273</v>
      </c>
      <c r="B395" s="8" t="s">
        <v>4265</v>
      </c>
      <c r="C395" s="4" t="n">
        <v>1</v>
      </c>
    </row>
    <row r="396" customFormat="false" ht="15" hidden="false" customHeight="false" outlineLevel="0" collapsed="false">
      <c r="A396" s="8" t="s">
        <v>5015</v>
      </c>
      <c r="B396" s="8" t="s">
        <v>4356</v>
      </c>
      <c r="C396" s="4" t="n">
        <v>1</v>
      </c>
    </row>
    <row r="397" customFormat="false" ht="15" hidden="false" customHeight="false" outlineLevel="0" collapsed="false">
      <c r="A397" s="8" t="s">
        <v>6274</v>
      </c>
      <c r="B397" s="8" t="s">
        <v>4050</v>
      </c>
      <c r="C397" s="4" t="n">
        <v>1</v>
      </c>
    </row>
    <row r="398" customFormat="false" ht="15" hidden="false" customHeight="false" outlineLevel="0" collapsed="false">
      <c r="A398" s="8" t="s">
        <v>6275</v>
      </c>
      <c r="B398" s="8" t="s">
        <v>200</v>
      </c>
      <c r="C398" s="4" t="n">
        <v>1</v>
      </c>
    </row>
    <row r="399" customFormat="false" ht="15" hidden="false" customHeight="false" outlineLevel="0" collapsed="false">
      <c r="A399" s="8" t="s">
        <v>6276</v>
      </c>
      <c r="B399" s="8" t="s">
        <v>4308</v>
      </c>
      <c r="C399" s="4" t="n">
        <v>1</v>
      </c>
    </row>
    <row r="400" customFormat="false" ht="15" hidden="false" customHeight="false" outlineLevel="0" collapsed="false">
      <c r="A400" s="8" t="s">
        <v>6277</v>
      </c>
      <c r="B400" s="8" t="s">
        <v>4048</v>
      </c>
      <c r="C400" s="4" t="n">
        <v>1</v>
      </c>
    </row>
    <row r="401" customFormat="false" ht="15" hidden="false" customHeight="false" outlineLevel="0" collapsed="false">
      <c r="A401" s="8" t="s">
        <v>6278</v>
      </c>
      <c r="B401" s="8" t="s">
        <v>3910</v>
      </c>
      <c r="C401" s="4" t="n">
        <v>1</v>
      </c>
    </row>
    <row r="402" customFormat="false" ht="15" hidden="false" customHeight="false" outlineLevel="0" collapsed="false">
      <c r="A402" s="8" t="s">
        <v>6279</v>
      </c>
      <c r="B402" s="8" t="s">
        <v>4456</v>
      </c>
      <c r="C402" s="4" t="n">
        <v>1</v>
      </c>
    </row>
    <row r="403" customFormat="false" ht="15" hidden="false" customHeight="false" outlineLevel="0" collapsed="false">
      <c r="A403" s="8" t="s">
        <v>6280</v>
      </c>
      <c r="B403" s="8" t="s">
        <v>3936</v>
      </c>
      <c r="C403" s="4" t="n">
        <v>1</v>
      </c>
    </row>
    <row r="404" customFormat="false" ht="15" hidden="false" customHeight="false" outlineLevel="0" collapsed="false">
      <c r="A404" s="8" t="s">
        <v>6281</v>
      </c>
      <c r="B404" s="8" t="s">
        <v>4042</v>
      </c>
      <c r="C404" s="4" t="n">
        <v>1</v>
      </c>
    </row>
    <row r="405" customFormat="false" ht="15" hidden="false" customHeight="false" outlineLevel="0" collapsed="false">
      <c r="A405" s="8" t="s">
        <v>6282</v>
      </c>
      <c r="B405" s="8" t="s">
        <v>4330</v>
      </c>
      <c r="C405" s="4" t="n">
        <v>1</v>
      </c>
    </row>
    <row r="406" customFormat="false" ht="15" hidden="false" customHeight="false" outlineLevel="0" collapsed="false">
      <c r="A406" s="8" t="s">
        <v>6283</v>
      </c>
      <c r="B406" s="8" t="s">
        <v>6284</v>
      </c>
      <c r="C406" s="4" t="n">
        <v>2</v>
      </c>
    </row>
    <row r="407" customFormat="false" ht="15" hidden="false" customHeight="false" outlineLevel="0" collapsed="false">
      <c r="A407" s="8" t="s">
        <v>6285</v>
      </c>
      <c r="B407" s="8" t="s">
        <v>4276</v>
      </c>
      <c r="C407" s="4" t="n">
        <v>1</v>
      </c>
    </row>
    <row r="408" customFormat="false" ht="15" hidden="false" customHeight="false" outlineLevel="0" collapsed="false">
      <c r="A408" s="8" t="s">
        <v>6286</v>
      </c>
      <c r="B408" s="8" t="s">
        <v>4306</v>
      </c>
      <c r="C408" s="4" t="n">
        <v>1</v>
      </c>
    </row>
    <row r="409" customFormat="false" ht="15" hidden="false" customHeight="false" outlineLevel="0" collapsed="false">
      <c r="A409" s="8" t="s">
        <v>6287</v>
      </c>
      <c r="B409" s="8" t="s">
        <v>3976</v>
      </c>
      <c r="C409" s="4" t="n">
        <v>1</v>
      </c>
    </row>
    <row r="410" customFormat="false" ht="15" hidden="false" customHeight="false" outlineLevel="0" collapsed="false">
      <c r="A410" s="8" t="s">
        <v>6288</v>
      </c>
      <c r="B410" s="8" t="s">
        <v>4064</v>
      </c>
      <c r="C410" s="4" t="n">
        <v>1</v>
      </c>
    </row>
    <row r="411" customFormat="false" ht="15" hidden="false" customHeight="false" outlineLevel="0" collapsed="false">
      <c r="A411" s="8" t="s">
        <v>6289</v>
      </c>
      <c r="B411" s="8" t="s">
        <v>3992</v>
      </c>
      <c r="C411" s="4" t="n">
        <v>1</v>
      </c>
    </row>
    <row r="412" customFormat="false" ht="15" hidden="false" customHeight="false" outlineLevel="0" collapsed="false">
      <c r="A412" s="8" t="s">
        <v>5105</v>
      </c>
      <c r="B412" s="8" t="s">
        <v>4446</v>
      </c>
      <c r="C412" s="4" t="n">
        <v>1</v>
      </c>
    </row>
    <row r="413" customFormat="false" ht="15" hidden="false" customHeight="false" outlineLevel="0" collapsed="false">
      <c r="A413" s="8" t="s">
        <v>4853</v>
      </c>
      <c r="B413" s="8" t="s">
        <v>274</v>
      </c>
      <c r="C413" s="4" t="n">
        <v>1</v>
      </c>
    </row>
    <row r="414" customFormat="false" ht="15" hidden="false" customHeight="false" outlineLevel="0" collapsed="false">
      <c r="A414" s="8" t="s">
        <v>6290</v>
      </c>
      <c r="B414" s="8" t="s">
        <v>197</v>
      </c>
      <c r="C414" s="4" t="n">
        <v>1</v>
      </c>
    </row>
    <row r="415" customFormat="false" ht="15" hidden="false" customHeight="false" outlineLevel="0" collapsed="false">
      <c r="A415" s="8" t="s">
        <v>6291</v>
      </c>
      <c r="B415" s="8" t="s">
        <v>234</v>
      </c>
      <c r="C415" s="4" t="n">
        <v>1</v>
      </c>
    </row>
    <row r="416" customFormat="false" ht="15" hidden="false" customHeight="false" outlineLevel="0" collapsed="false">
      <c r="A416" s="8" t="s">
        <v>6292</v>
      </c>
      <c r="B416" s="8" t="s">
        <v>4120</v>
      </c>
      <c r="C416" s="4" t="n">
        <v>1</v>
      </c>
    </row>
    <row r="417" customFormat="false" ht="15" hidden="false" customHeight="false" outlineLevel="0" collapsed="false">
      <c r="A417" s="8" t="s">
        <v>6293</v>
      </c>
      <c r="B417" s="8" t="s">
        <v>4342</v>
      </c>
      <c r="C417" s="4" t="n">
        <v>1</v>
      </c>
    </row>
    <row r="418" customFormat="false" ht="15" hidden="false" customHeight="false" outlineLevel="0" collapsed="false">
      <c r="A418" s="8" t="s">
        <v>6294</v>
      </c>
      <c r="B418" s="8" t="s">
        <v>4410</v>
      </c>
      <c r="C418" s="4" t="n">
        <v>1</v>
      </c>
    </row>
    <row r="419" customFormat="false" ht="15" hidden="false" customHeight="false" outlineLevel="0" collapsed="false">
      <c r="A419" s="8" t="s">
        <v>5003</v>
      </c>
      <c r="B419" s="8" t="s">
        <v>4344</v>
      </c>
      <c r="C419" s="4" t="n">
        <v>1</v>
      </c>
    </row>
    <row r="420" customFormat="false" ht="15" hidden="false" customHeight="false" outlineLevel="0" collapsed="false">
      <c r="A420" s="8" t="s">
        <v>6295</v>
      </c>
      <c r="B420" s="8" t="s">
        <v>4340</v>
      </c>
      <c r="C420" s="4" t="n">
        <v>1</v>
      </c>
    </row>
    <row r="421" customFormat="false" ht="15" hidden="false" customHeight="false" outlineLevel="0" collapsed="false">
      <c r="A421" s="8" t="s">
        <v>6296</v>
      </c>
      <c r="B421" s="8" t="s">
        <v>3920</v>
      </c>
      <c r="C421" s="4" t="n">
        <v>1</v>
      </c>
    </row>
    <row r="422" customFormat="false" ht="15" hidden="false" customHeight="false" outlineLevel="0" collapsed="false">
      <c r="A422" s="8" t="s">
        <v>6297</v>
      </c>
      <c r="B422" s="8" t="s">
        <v>4348</v>
      </c>
      <c r="C422" s="4" t="n">
        <v>1</v>
      </c>
    </row>
    <row r="423" customFormat="false" ht="15" hidden="false" customHeight="false" outlineLevel="0" collapsed="false">
      <c r="A423" s="8" t="s">
        <v>6298</v>
      </c>
      <c r="B423" s="8" t="s">
        <v>6299</v>
      </c>
      <c r="C423" s="4" t="n">
        <v>2</v>
      </c>
    </row>
    <row r="424" customFormat="false" ht="15" hidden="false" customHeight="false" outlineLevel="0" collapsed="false">
      <c r="A424" s="8" t="s">
        <v>6300</v>
      </c>
      <c r="B424" s="8" t="s">
        <v>3904</v>
      </c>
      <c r="C424" s="4" t="n">
        <v>1</v>
      </c>
    </row>
    <row r="425" customFormat="false" ht="15" hidden="false" customHeight="false" outlineLevel="0" collapsed="false">
      <c r="A425" s="8" t="s">
        <v>6301</v>
      </c>
      <c r="B425" s="8" t="s">
        <v>3928</v>
      </c>
      <c r="C425" s="4" t="n">
        <v>1</v>
      </c>
    </row>
    <row r="426" customFormat="false" ht="15" hidden="false" customHeight="false" outlineLevel="0" collapsed="false">
      <c r="A426" s="8" t="s">
        <v>6302</v>
      </c>
      <c r="B426" s="8" t="s">
        <v>200</v>
      </c>
      <c r="C426" s="4" t="n">
        <v>1</v>
      </c>
    </row>
    <row r="427" customFormat="false" ht="15" hidden="false" customHeight="false" outlineLevel="0" collapsed="false">
      <c r="A427" s="8" t="s">
        <v>6303</v>
      </c>
      <c r="B427" s="8" t="s">
        <v>4096</v>
      </c>
      <c r="C427" s="4" t="n">
        <v>1</v>
      </c>
    </row>
    <row r="428" customFormat="false" ht="15" hidden="false" customHeight="false" outlineLevel="0" collapsed="false">
      <c r="A428" s="8" t="s">
        <v>6304</v>
      </c>
      <c r="B428" s="8" t="s">
        <v>255</v>
      </c>
      <c r="C428" s="4" t="n">
        <v>1</v>
      </c>
    </row>
    <row r="429" customFormat="false" ht="15" hidden="false" customHeight="false" outlineLevel="0" collapsed="false">
      <c r="A429" s="8" t="s">
        <v>6305</v>
      </c>
      <c r="B429" s="8" t="s">
        <v>4044</v>
      </c>
      <c r="C429" s="4" t="n">
        <v>1</v>
      </c>
    </row>
    <row r="430" customFormat="false" ht="15" hidden="false" customHeight="false" outlineLevel="0" collapsed="false">
      <c r="A430" s="8" t="s">
        <v>6306</v>
      </c>
      <c r="B430" s="8" t="s">
        <v>4042</v>
      </c>
      <c r="C430" s="4" t="n">
        <v>1</v>
      </c>
    </row>
    <row r="431" customFormat="false" ht="15" hidden="false" customHeight="false" outlineLevel="0" collapsed="false">
      <c r="A431" s="8" t="s">
        <v>6307</v>
      </c>
      <c r="B431" s="8" t="s">
        <v>3934</v>
      </c>
      <c r="C431" s="4" t="n">
        <v>1</v>
      </c>
    </row>
    <row r="432" customFormat="false" ht="15" hidden="false" customHeight="false" outlineLevel="0" collapsed="false">
      <c r="A432" s="8" t="s">
        <v>6308</v>
      </c>
      <c r="B432" s="8" t="s">
        <v>4180</v>
      </c>
      <c r="C432" s="4" t="n">
        <v>1</v>
      </c>
    </row>
    <row r="433" customFormat="false" ht="15" hidden="false" customHeight="false" outlineLevel="0" collapsed="false">
      <c r="A433" s="8" t="s">
        <v>6309</v>
      </c>
      <c r="B433" s="8" t="s">
        <v>4182</v>
      </c>
      <c r="C433" s="4" t="n">
        <v>1</v>
      </c>
    </row>
    <row r="434" customFormat="false" ht="15" hidden="false" customHeight="false" outlineLevel="0" collapsed="false">
      <c r="A434" s="8" t="s">
        <v>6310</v>
      </c>
      <c r="B434" s="8" t="s">
        <v>4058</v>
      </c>
      <c r="C434" s="4" t="n">
        <v>1</v>
      </c>
    </row>
    <row r="435" customFormat="false" ht="15" hidden="false" customHeight="false" outlineLevel="0" collapsed="false">
      <c r="A435" s="8" t="s">
        <v>6311</v>
      </c>
      <c r="B435" s="8" t="s">
        <v>3912</v>
      </c>
      <c r="C435" s="4" t="n">
        <v>1</v>
      </c>
    </row>
    <row r="436" customFormat="false" ht="15" hidden="false" customHeight="false" outlineLevel="0" collapsed="false">
      <c r="A436" s="8" t="s">
        <v>6312</v>
      </c>
      <c r="B436" s="8" t="s">
        <v>4052</v>
      </c>
      <c r="C436" s="4" t="n">
        <v>1</v>
      </c>
    </row>
    <row r="437" customFormat="false" ht="15" hidden="false" customHeight="false" outlineLevel="0" collapsed="false">
      <c r="A437" s="8" t="s">
        <v>6313</v>
      </c>
      <c r="B437" s="8" t="s">
        <v>158</v>
      </c>
      <c r="C437" s="4" t="n">
        <v>1</v>
      </c>
    </row>
    <row r="438" customFormat="false" ht="15" hidden="false" customHeight="false" outlineLevel="0" collapsed="false">
      <c r="A438" s="8" t="s">
        <v>6314</v>
      </c>
      <c r="B438" s="8" t="s">
        <v>1087</v>
      </c>
      <c r="C438" s="4" t="n">
        <v>1</v>
      </c>
    </row>
    <row r="439" customFormat="false" ht="15" hidden="false" customHeight="false" outlineLevel="0" collapsed="false">
      <c r="A439" s="8" t="s">
        <v>6315</v>
      </c>
      <c r="B439" s="8" t="s">
        <v>4002</v>
      </c>
      <c r="C439" s="4" t="n">
        <v>1</v>
      </c>
    </row>
    <row r="440" customFormat="false" ht="15" hidden="false" customHeight="false" outlineLevel="0" collapsed="false">
      <c r="A440" s="8" t="s">
        <v>6316</v>
      </c>
      <c r="B440" s="8" t="s">
        <v>6317</v>
      </c>
      <c r="C440" s="4" t="n">
        <v>5</v>
      </c>
    </row>
    <row r="441" customFormat="false" ht="15" hidden="false" customHeight="false" outlineLevel="0" collapsed="false">
      <c r="A441" s="8" t="s">
        <v>6318</v>
      </c>
      <c r="B441" s="8" t="s">
        <v>4008</v>
      </c>
      <c r="C441" s="4" t="n">
        <v>1</v>
      </c>
    </row>
    <row r="442" customFormat="false" ht="15" hidden="false" customHeight="false" outlineLevel="0" collapsed="false">
      <c r="A442" s="8" t="s">
        <v>6319</v>
      </c>
      <c r="B442" s="8" t="s">
        <v>170</v>
      </c>
      <c r="C442" s="4" t="n">
        <v>1</v>
      </c>
    </row>
    <row r="443" customFormat="false" ht="15" hidden="false" customHeight="false" outlineLevel="0" collapsed="false">
      <c r="A443" s="8" t="s">
        <v>6320</v>
      </c>
      <c r="B443" s="8" t="s">
        <v>4084</v>
      </c>
      <c r="C443" s="4" t="n">
        <v>1</v>
      </c>
    </row>
    <row r="444" customFormat="false" ht="15" hidden="false" customHeight="false" outlineLevel="0" collapsed="false">
      <c r="A444" s="8" t="s">
        <v>6321</v>
      </c>
      <c r="B444" s="8" t="s">
        <v>4142</v>
      </c>
      <c r="C444" s="4" t="n">
        <v>1</v>
      </c>
    </row>
    <row r="445" customFormat="false" ht="15" hidden="false" customHeight="false" outlineLevel="0" collapsed="false">
      <c r="A445" s="8" t="s">
        <v>6322</v>
      </c>
      <c r="B445" s="8" t="s">
        <v>278</v>
      </c>
      <c r="C445" s="4" t="n">
        <v>1</v>
      </c>
    </row>
    <row r="446" customFormat="false" ht="15" hidden="false" customHeight="false" outlineLevel="0" collapsed="false">
      <c r="A446" s="8" t="s">
        <v>6323</v>
      </c>
      <c r="B446" s="8" t="s">
        <v>162</v>
      </c>
      <c r="C446" s="4" t="n">
        <v>1</v>
      </c>
    </row>
    <row r="447" customFormat="false" ht="15" hidden="false" customHeight="false" outlineLevel="0" collapsed="false">
      <c r="A447" s="8" t="s">
        <v>6324</v>
      </c>
      <c r="B447" s="8" t="s">
        <v>4378</v>
      </c>
      <c r="C447" s="4" t="n">
        <v>1</v>
      </c>
    </row>
    <row r="448" customFormat="false" ht="15" hidden="false" customHeight="false" outlineLevel="0" collapsed="false">
      <c r="A448" s="8" t="s">
        <v>6325</v>
      </c>
      <c r="B448" s="8" t="s">
        <v>4370</v>
      </c>
      <c r="C448" s="4" t="n">
        <v>1</v>
      </c>
    </row>
    <row r="449" customFormat="false" ht="15" hidden="false" customHeight="false" outlineLevel="0" collapsed="false">
      <c r="A449" s="8" t="s">
        <v>6326</v>
      </c>
      <c r="B449" s="8" t="s">
        <v>4284</v>
      </c>
      <c r="C449" s="4" t="n">
        <v>1</v>
      </c>
    </row>
    <row r="450" customFormat="false" ht="15" hidden="false" customHeight="false" outlineLevel="0" collapsed="false">
      <c r="A450" s="8" t="s">
        <v>6327</v>
      </c>
      <c r="B450" s="8" t="s">
        <v>4038</v>
      </c>
      <c r="C450" s="4" t="n">
        <v>1</v>
      </c>
    </row>
    <row r="451" customFormat="false" ht="15" hidden="false" customHeight="false" outlineLevel="0" collapsed="false">
      <c r="A451" s="8" t="s">
        <v>6328</v>
      </c>
      <c r="B451" s="8" t="s">
        <v>4332</v>
      </c>
      <c r="C451" s="4" t="n">
        <v>1</v>
      </c>
    </row>
    <row r="452" customFormat="false" ht="15" hidden="false" customHeight="false" outlineLevel="0" collapsed="false">
      <c r="A452" s="8" t="s">
        <v>5055</v>
      </c>
      <c r="B452" s="8" t="s">
        <v>4396</v>
      </c>
      <c r="C452" s="4" t="n">
        <v>1</v>
      </c>
    </row>
    <row r="453" customFormat="false" ht="15" hidden="false" customHeight="false" outlineLevel="0" collapsed="false">
      <c r="A453" s="8" t="s">
        <v>6329</v>
      </c>
      <c r="B453" s="8" t="s">
        <v>615</v>
      </c>
      <c r="C453" s="4" t="n">
        <v>1</v>
      </c>
    </row>
    <row r="454" customFormat="false" ht="15" hidden="false" customHeight="false" outlineLevel="0" collapsed="false">
      <c r="A454" s="8" t="s">
        <v>4849</v>
      </c>
      <c r="B454" s="8" t="s">
        <v>325</v>
      </c>
      <c r="C454" s="4" t="n">
        <v>1</v>
      </c>
    </row>
    <row r="455" customFormat="false" ht="15" hidden="false" customHeight="false" outlineLevel="0" collapsed="false">
      <c r="A455" s="8" t="s">
        <v>6330</v>
      </c>
      <c r="B455" s="8" t="s">
        <v>4398</v>
      </c>
      <c r="C455" s="4" t="n">
        <v>1</v>
      </c>
    </row>
    <row r="456" customFormat="false" ht="15" hidden="false" customHeight="false" outlineLevel="0" collapsed="false">
      <c r="A456" s="8" t="s">
        <v>6331</v>
      </c>
      <c r="B456" s="8" t="s">
        <v>4414</v>
      </c>
      <c r="C456" s="4" t="n">
        <v>1</v>
      </c>
    </row>
    <row r="457" customFormat="false" ht="15" hidden="false" customHeight="false" outlineLevel="0" collapsed="false">
      <c r="A457" s="8" t="s">
        <v>6332</v>
      </c>
      <c r="B457" s="8" t="s">
        <v>5524</v>
      </c>
      <c r="C457" s="4" t="n">
        <v>2</v>
      </c>
    </row>
    <row r="458" customFormat="false" ht="15" hidden="false" customHeight="false" outlineLevel="0" collapsed="false">
      <c r="A458" s="8" t="s">
        <v>6333</v>
      </c>
      <c r="B458" s="8" t="s">
        <v>4158</v>
      </c>
      <c r="C458" s="4" t="n">
        <v>1</v>
      </c>
    </row>
    <row r="459" customFormat="false" ht="15" hidden="false" customHeight="false" outlineLevel="0" collapsed="false">
      <c r="A459" s="8" t="s">
        <v>4971</v>
      </c>
      <c r="B459" s="8" t="s">
        <v>4312</v>
      </c>
      <c r="C459" s="4" t="n">
        <v>1</v>
      </c>
    </row>
    <row r="460" customFormat="false" ht="15" hidden="false" customHeight="false" outlineLevel="0" collapsed="false">
      <c r="A460" s="8" t="s">
        <v>6334</v>
      </c>
      <c r="B460" s="8" t="s">
        <v>6176</v>
      </c>
      <c r="C460" s="4" t="n">
        <v>4</v>
      </c>
    </row>
    <row r="461" customFormat="false" ht="15" hidden="false" customHeight="false" outlineLevel="0" collapsed="false">
      <c r="A461" s="8" t="s">
        <v>6335</v>
      </c>
      <c r="B461" s="8" t="s">
        <v>4016</v>
      </c>
      <c r="C461" s="4" t="n">
        <v>1</v>
      </c>
    </row>
    <row r="462" customFormat="false" ht="15" hidden="false" customHeight="false" outlineLevel="0" collapsed="false">
      <c r="A462" s="8" t="s">
        <v>4627</v>
      </c>
      <c r="B462" s="8" t="s">
        <v>4014</v>
      </c>
      <c r="C462" s="4" t="n">
        <v>1</v>
      </c>
    </row>
    <row r="463" customFormat="false" ht="15" hidden="false" customHeight="false" outlineLevel="0" collapsed="false">
      <c r="A463" s="8" t="s">
        <v>6336</v>
      </c>
      <c r="B463" s="8" t="s">
        <v>4012</v>
      </c>
      <c r="C463" s="4" t="n">
        <v>1</v>
      </c>
    </row>
    <row r="464" customFormat="false" ht="15" hidden="false" customHeight="false" outlineLevel="0" collapsed="false">
      <c r="A464" s="8" t="s">
        <v>6337</v>
      </c>
      <c r="B464" s="8" t="s">
        <v>193</v>
      </c>
      <c r="C464" s="4" t="n">
        <v>1</v>
      </c>
    </row>
    <row r="465" customFormat="false" ht="23.85" hidden="false" customHeight="false" outlineLevel="0" collapsed="false">
      <c r="A465" s="8" t="s">
        <v>6338</v>
      </c>
      <c r="B465" s="8" t="s">
        <v>4438</v>
      </c>
      <c r="C465" s="4" t="n">
        <v>1</v>
      </c>
    </row>
    <row r="466" customFormat="false" ht="15" hidden="false" customHeight="false" outlineLevel="0" collapsed="false">
      <c r="A466" s="8" t="s">
        <v>6339</v>
      </c>
      <c r="B466" s="8" t="s">
        <v>4448</v>
      </c>
      <c r="C466" s="4" t="n">
        <v>1</v>
      </c>
    </row>
    <row r="467" customFormat="false" ht="15" hidden="false" customHeight="false" outlineLevel="0" collapsed="false">
      <c r="A467" s="8" t="s">
        <v>6340</v>
      </c>
      <c r="B467" s="8" t="s">
        <v>4162</v>
      </c>
      <c r="C467" s="4" t="n">
        <v>1</v>
      </c>
    </row>
    <row r="468" customFormat="false" ht="35.05" hidden="false" customHeight="false" outlineLevel="0" collapsed="false">
      <c r="A468" s="8" t="s">
        <v>6341</v>
      </c>
      <c r="B468" s="8" t="s">
        <v>6055</v>
      </c>
      <c r="C468" s="4" t="n">
        <v>10</v>
      </c>
    </row>
    <row r="469" customFormat="false" ht="15" hidden="false" customHeight="false" outlineLevel="0" collapsed="false">
      <c r="A469" s="8" t="s">
        <v>6342</v>
      </c>
      <c r="B469" s="8" t="s">
        <v>164</v>
      </c>
      <c r="C469" s="4" t="n">
        <v>1</v>
      </c>
    </row>
    <row r="470" customFormat="false" ht="15" hidden="false" customHeight="false" outlineLevel="0" collapsed="false">
      <c r="A470" s="8" t="s">
        <v>6343</v>
      </c>
      <c r="B470" s="8" t="s">
        <v>3890</v>
      </c>
      <c r="C470" s="4" t="n">
        <v>1</v>
      </c>
    </row>
    <row r="471" customFormat="false" ht="15" hidden="false" customHeight="false" outlineLevel="0" collapsed="false">
      <c r="A471" s="8" t="s">
        <v>6344</v>
      </c>
      <c r="B471" s="8" t="s">
        <v>200</v>
      </c>
      <c r="C471" s="4" t="n">
        <v>1</v>
      </c>
    </row>
    <row r="472" customFormat="false" ht="15" hidden="false" customHeight="false" outlineLevel="0" collapsed="false">
      <c r="A472" s="8" t="s">
        <v>6345</v>
      </c>
      <c r="B472" s="8" t="s">
        <v>3960</v>
      </c>
      <c r="C472" s="4" t="n">
        <v>1</v>
      </c>
    </row>
    <row r="473" customFormat="false" ht="15" hidden="false" customHeight="false" outlineLevel="0" collapsed="false">
      <c r="A473" s="8" t="s">
        <v>6346</v>
      </c>
      <c r="B473" s="8" t="s">
        <v>6347</v>
      </c>
      <c r="C473" s="4" t="n">
        <v>2</v>
      </c>
    </row>
    <row r="474" customFormat="false" ht="15" hidden="false" customHeight="false" outlineLevel="0" collapsed="false">
      <c r="A474" s="8" t="s">
        <v>6348</v>
      </c>
      <c r="B474" s="8" t="s">
        <v>4390</v>
      </c>
      <c r="C474" s="4" t="n">
        <v>1</v>
      </c>
    </row>
    <row r="475" customFormat="false" ht="15" hidden="false" customHeight="false" outlineLevel="0" collapsed="false">
      <c r="A475" s="8" t="s">
        <v>6349</v>
      </c>
      <c r="B475" s="8" t="s">
        <v>4286</v>
      </c>
      <c r="C475" s="4" t="n">
        <v>1</v>
      </c>
    </row>
    <row r="476" customFormat="false" ht="15" hidden="false" customHeight="false" outlineLevel="0" collapsed="false">
      <c r="A476" s="8" t="s">
        <v>6350</v>
      </c>
      <c r="B476" s="8" t="s">
        <v>4255</v>
      </c>
      <c r="C476" s="4" t="n">
        <v>1</v>
      </c>
    </row>
    <row r="477" customFormat="false" ht="15" hidden="false" customHeight="false" outlineLevel="0" collapsed="false">
      <c r="A477" s="8" t="s">
        <v>6351</v>
      </c>
      <c r="B477" s="8" t="s">
        <v>4018</v>
      </c>
      <c r="C477" s="4" t="n">
        <v>1</v>
      </c>
    </row>
    <row r="478" customFormat="false" ht="15" hidden="false" customHeight="false" outlineLevel="0" collapsed="false">
      <c r="A478" s="8" t="s">
        <v>6352</v>
      </c>
      <c r="B478" s="8" t="s">
        <v>4036</v>
      </c>
      <c r="C478" s="4" t="n">
        <v>1</v>
      </c>
    </row>
    <row r="479" customFormat="false" ht="15" hidden="false" customHeight="false" outlineLevel="0" collapsed="false">
      <c r="A479" s="8" t="s">
        <v>5067</v>
      </c>
      <c r="B479" s="8" t="s">
        <v>4408</v>
      </c>
      <c r="C479" s="4" t="n">
        <v>1</v>
      </c>
    </row>
    <row r="480" customFormat="false" ht="15" hidden="false" customHeight="false" outlineLevel="0" collapsed="false">
      <c r="A480" s="8" t="s">
        <v>6353</v>
      </c>
      <c r="B480" s="8" t="s">
        <v>4412</v>
      </c>
      <c r="C480" s="4" t="n">
        <v>1</v>
      </c>
    </row>
    <row r="481" customFormat="false" ht="15" hidden="false" customHeight="false" outlineLevel="0" collapsed="false">
      <c r="A481" s="8" t="s">
        <v>6354</v>
      </c>
      <c r="B481" s="8" t="s">
        <v>4272</v>
      </c>
      <c r="C481" s="4" t="n">
        <v>1</v>
      </c>
    </row>
    <row r="482" customFormat="false" ht="15" hidden="false" customHeight="false" outlineLevel="0" collapsed="false">
      <c r="A482" s="8" t="s">
        <v>6355</v>
      </c>
      <c r="B482" s="8" t="s">
        <v>4406</v>
      </c>
      <c r="C482" s="4" t="n">
        <v>1</v>
      </c>
    </row>
    <row r="483" customFormat="false" ht="15" hidden="false" customHeight="false" outlineLevel="0" collapsed="false">
      <c r="A483" s="8" t="s">
        <v>6356</v>
      </c>
      <c r="B483" s="8" t="s">
        <v>3908</v>
      </c>
      <c r="C483" s="4" t="n">
        <v>1</v>
      </c>
    </row>
    <row r="484" customFormat="false" ht="15" hidden="false" customHeight="false" outlineLevel="0" collapsed="false">
      <c r="A484" s="8" t="s">
        <v>6357</v>
      </c>
      <c r="B484" s="8" t="s">
        <v>4265</v>
      </c>
      <c r="C484" s="4" t="n">
        <v>1</v>
      </c>
    </row>
    <row r="485" customFormat="false" ht="15" hidden="false" customHeight="false" outlineLevel="0" collapsed="false">
      <c r="A485" s="8" t="s">
        <v>4577</v>
      </c>
      <c r="B485" s="8" t="s">
        <v>3964</v>
      </c>
      <c r="C485" s="4" t="n">
        <v>1</v>
      </c>
    </row>
    <row r="486" customFormat="false" ht="15" hidden="false" customHeight="false" outlineLevel="0" collapsed="false">
      <c r="A486" s="8" t="s">
        <v>4889</v>
      </c>
      <c r="B486" s="8" t="s">
        <v>4240</v>
      </c>
      <c r="C486" s="4" t="n">
        <v>1</v>
      </c>
    </row>
    <row r="487" customFormat="false" ht="15" hidden="false" customHeight="false" outlineLevel="0" collapsed="false">
      <c r="A487" s="8" t="s">
        <v>6358</v>
      </c>
      <c r="B487" s="8" t="s">
        <v>4310</v>
      </c>
      <c r="C487" s="4" t="n">
        <v>1</v>
      </c>
    </row>
    <row r="488" customFormat="false" ht="15" hidden="false" customHeight="false" outlineLevel="0" collapsed="false">
      <c r="A488" s="8" t="s">
        <v>6359</v>
      </c>
      <c r="B488" s="8" t="s">
        <v>4116</v>
      </c>
      <c r="C488" s="4" t="n">
        <v>1</v>
      </c>
    </row>
    <row r="489" customFormat="false" ht="15" hidden="false" customHeight="false" outlineLevel="0" collapsed="false">
      <c r="A489" s="8" t="s">
        <v>6360</v>
      </c>
      <c r="B489" s="8" t="s">
        <v>4328</v>
      </c>
      <c r="C489" s="4" t="n">
        <v>1</v>
      </c>
    </row>
    <row r="490" customFormat="false" ht="15" hidden="false" customHeight="false" outlineLevel="0" collapsed="false">
      <c r="A490" s="8" t="s">
        <v>6361</v>
      </c>
      <c r="B490" s="8" t="s">
        <v>4394</v>
      </c>
      <c r="C490" s="4" t="n">
        <v>1</v>
      </c>
    </row>
    <row r="491" customFormat="false" ht="15" hidden="false" customHeight="false" outlineLevel="0" collapsed="false">
      <c r="A491" s="8" t="s">
        <v>6362</v>
      </c>
      <c r="B491" s="8" t="s">
        <v>4332</v>
      </c>
      <c r="C491" s="4" t="n">
        <v>1</v>
      </c>
    </row>
    <row r="492" customFormat="false" ht="15" hidden="false" customHeight="false" outlineLevel="0" collapsed="false">
      <c r="A492" s="8" t="s">
        <v>6363</v>
      </c>
      <c r="B492" s="8" t="s">
        <v>4162</v>
      </c>
      <c r="C492" s="4" t="n">
        <v>1</v>
      </c>
    </row>
    <row r="493" customFormat="false" ht="15" hidden="false" customHeight="false" outlineLevel="0" collapsed="false">
      <c r="A493" s="8" t="s">
        <v>6364</v>
      </c>
      <c r="B493" s="8" t="s">
        <v>516</v>
      </c>
      <c r="C493" s="4" t="n">
        <v>1</v>
      </c>
    </row>
    <row r="494" customFormat="false" ht="15" hidden="false" customHeight="false" outlineLevel="0" collapsed="false">
      <c r="A494" s="8" t="s">
        <v>6365</v>
      </c>
      <c r="B494" s="8" t="s">
        <v>4282</v>
      </c>
      <c r="C494" s="4" t="n">
        <v>1</v>
      </c>
    </row>
    <row r="495" customFormat="false" ht="15" hidden="false" customHeight="false" outlineLevel="0" collapsed="false">
      <c r="A495" s="8" t="s">
        <v>4738</v>
      </c>
      <c r="B495" s="8" t="s">
        <v>4128</v>
      </c>
      <c r="C495" s="4" t="n">
        <v>1</v>
      </c>
    </row>
    <row r="496" customFormat="false" ht="15" hidden="false" customHeight="false" outlineLevel="0" collapsed="false">
      <c r="A496" s="8" t="s">
        <v>6366</v>
      </c>
      <c r="B496" s="8" t="s">
        <v>3990</v>
      </c>
      <c r="C496" s="4" t="n">
        <v>1</v>
      </c>
    </row>
    <row r="497" customFormat="false" ht="15" hidden="false" customHeight="false" outlineLevel="0" collapsed="false">
      <c r="A497" s="8" t="s">
        <v>6367</v>
      </c>
      <c r="B497" s="8" t="s">
        <v>4066</v>
      </c>
      <c r="C497" s="4" t="n">
        <v>1</v>
      </c>
    </row>
    <row r="498" customFormat="false" ht="15" hidden="false" customHeight="false" outlineLevel="0" collapsed="false">
      <c r="A498" s="8" t="s">
        <v>6368</v>
      </c>
      <c r="B498" s="8" t="s">
        <v>4058</v>
      </c>
      <c r="C498" s="4" t="n">
        <v>1</v>
      </c>
    </row>
    <row r="499" customFormat="false" ht="15" hidden="false" customHeight="false" outlineLevel="0" collapsed="false">
      <c r="A499" s="8" t="s">
        <v>6369</v>
      </c>
      <c r="B499" s="8" t="s">
        <v>3920</v>
      </c>
      <c r="C499" s="4" t="n">
        <v>1</v>
      </c>
    </row>
    <row r="500" customFormat="false" ht="15" hidden="false" customHeight="false" outlineLevel="0" collapsed="false">
      <c r="A500" s="8" t="s">
        <v>6370</v>
      </c>
      <c r="B500" s="8" t="s">
        <v>6347</v>
      </c>
      <c r="C500" s="4" t="n">
        <v>2</v>
      </c>
    </row>
    <row r="501" customFormat="false" ht="15" hidden="false" customHeight="false" outlineLevel="0" collapsed="false">
      <c r="A501" s="8" t="s">
        <v>6371</v>
      </c>
      <c r="B501" s="8" t="s">
        <v>3922</v>
      </c>
      <c r="C501" s="4" t="n">
        <v>1</v>
      </c>
    </row>
    <row r="502" customFormat="false" ht="15" hidden="false" customHeight="false" outlineLevel="0" collapsed="false">
      <c r="A502" s="8" t="s">
        <v>6372</v>
      </c>
      <c r="B502" s="8" t="s">
        <v>3918</v>
      </c>
      <c r="C502" s="4" t="n">
        <v>1</v>
      </c>
    </row>
    <row r="503" customFormat="false" ht="15" hidden="false" customHeight="false" outlineLevel="0" collapsed="false">
      <c r="A503" s="8" t="s">
        <v>6373</v>
      </c>
      <c r="B503" s="8" t="s">
        <v>168</v>
      </c>
      <c r="C503" s="4" t="n">
        <v>1</v>
      </c>
    </row>
    <row r="504" customFormat="false" ht="15" hidden="false" customHeight="false" outlineLevel="0" collapsed="false">
      <c r="A504" s="8" t="s">
        <v>6374</v>
      </c>
      <c r="B504" s="8" t="s">
        <v>4294</v>
      </c>
      <c r="C504" s="4" t="n">
        <v>1</v>
      </c>
    </row>
    <row r="505" customFormat="false" ht="15" hidden="false" customHeight="false" outlineLevel="0" collapsed="false">
      <c r="A505" s="8" t="s">
        <v>6375</v>
      </c>
      <c r="B505" s="8" t="s">
        <v>4064</v>
      </c>
      <c r="C505" s="4" t="n">
        <v>1</v>
      </c>
    </row>
    <row r="506" customFormat="false" ht="15" hidden="false" customHeight="false" outlineLevel="0" collapsed="false">
      <c r="A506" s="8" t="s">
        <v>6376</v>
      </c>
      <c r="B506" s="8" t="s">
        <v>4052</v>
      </c>
      <c r="C506" s="4" t="n">
        <v>1</v>
      </c>
    </row>
    <row r="507" customFormat="false" ht="15" hidden="false" customHeight="false" outlineLevel="0" collapsed="false">
      <c r="A507" s="8" t="s">
        <v>6377</v>
      </c>
      <c r="B507" s="8" t="s">
        <v>3920</v>
      </c>
      <c r="C507" s="4" t="n">
        <v>1</v>
      </c>
    </row>
    <row r="508" customFormat="false" ht="15" hidden="false" customHeight="false" outlineLevel="0" collapsed="false">
      <c r="A508" s="8" t="s">
        <v>6378</v>
      </c>
      <c r="B508" s="8" t="s">
        <v>4450</v>
      </c>
      <c r="C508" s="4" t="n">
        <v>1</v>
      </c>
    </row>
    <row r="509" customFormat="false" ht="15" hidden="false" customHeight="false" outlineLevel="0" collapsed="false">
      <c r="A509" s="8" t="s">
        <v>6379</v>
      </c>
      <c r="B509" s="8" t="s">
        <v>4374</v>
      </c>
      <c r="C509" s="4" t="n">
        <v>1</v>
      </c>
    </row>
    <row r="510" customFormat="false" ht="15" hidden="false" customHeight="false" outlineLevel="0" collapsed="false">
      <c r="A510" s="8" t="s">
        <v>6380</v>
      </c>
      <c r="B510" s="8" t="s">
        <v>4372</v>
      </c>
      <c r="C510" s="4" t="n">
        <v>1</v>
      </c>
    </row>
    <row r="511" customFormat="false" ht="15" hidden="false" customHeight="false" outlineLevel="0" collapsed="false">
      <c r="A511" s="8" t="s">
        <v>6381</v>
      </c>
      <c r="B511" s="8" t="s">
        <v>4338</v>
      </c>
      <c r="C511" s="4" t="n">
        <v>1</v>
      </c>
    </row>
    <row r="512" customFormat="false" ht="15" hidden="false" customHeight="false" outlineLevel="0" collapsed="false">
      <c r="A512" s="8" t="s">
        <v>5081</v>
      </c>
      <c r="B512" s="8" t="s">
        <v>4422</v>
      </c>
      <c r="C512" s="4" t="n">
        <v>1</v>
      </c>
    </row>
    <row r="513" customFormat="false" ht="15" hidden="false" customHeight="false" outlineLevel="0" collapsed="false">
      <c r="A513" s="8" t="s">
        <v>5075</v>
      </c>
      <c r="B513" s="8" t="s">
        <v>4416</v>
      </c>
      <c r="C513" s="4" t="n">
        <v>1</v>
      </c>
    </row>
    <row r="514" customFormat="false" ht="15" hidden="false" customHeight="false" outlineLevel="0" collapsed="false">
      <c r="A514" s="8" t="s">
        <v>6382</v>
      </c>
      <c r="B514" s="8" t="s">
        <v>4314</v>
      </c>
      <c r="C514" s="4" t="n">
        <v>1</v>
      </c>
    </row>
    <row r="515" customFormat="false" ht="15" hidden="false" customHeight="false" outlineLevel="0" collapsed="false">
      <c r="A515" s="8" t="s">
        <v>6383</v>
      </c>
      <c r="B515" s="8" t="s">
        <v>488</v>
      </c>
      <c r="C515" s="4" t="n">
        <v>1</v>
      </c>
    </row>
    <row r="516" customFormat="false" ht="15" hidden="false" customHeight="false" outlineLevel="0" collapsed="false">
      <c r="A516" s="8" t="s">
        <v>5077</v>
      </c>
      <c r="B516" s="8" t="s">
        <v>4418</v>
      </c>
      <c r="C516" s="4" t="n">
        <v>1</v>
      </c>
    </row>
    <row r="517" customFormat="false" ht="15" hidden="false" customHeight="false" outlineLevel="0" collapsed="false">
      <c r="A517" s="8" t="s">
        <v>6384</v>
      </c>
      <c r="B517" s="8" t="s">
        <v>4378</v>
      </c>
      <c r="C517" s="4" t="n">
        <v>1</v>
      </c>
    </row>
    <row r="518" customFormat="false" ht="15" hidden="false" customHeight="false" outlineLevel="0" collapsed="false">
      <c r="A518" s="8" t="s">
        <v>6385</v>
      </c>
      <c r="B518" s="8" t="s">
        <v>4334</v>
      </c>
      <c r="C518" s="4" t="n">
        <v>1</v>
      </c>
    </row>
    <row r="519" customFormat="false" ht="15" hidden="false" customHeight="false" outlineLevel="0" collapsed="false">
      <c r="A519" s="8" t="s">
        <v>5079</v>
      </c>
      <c r="B519" s="8" t="s">
        <v>4420</v>
      </c>
      <c r="C519" s="4" t="n">
        <v>1</v>
      </c>
    </row>
    <row r="520" customFormat="false" ht="15" hidden="false" customHeight="false" outlineLevel="0" collapsed="false">
      <c r="A520" s="8" t="s">
        <v>6386</v>
      </c>
      <c r="B520" s="8" t="s">
        <v>4322</v>
      </c>
      <c r="C520" s="4" t="n">
        <v>1</v>
      </c>
    </row>
    <row r="521" customFormat="false" ht="15" hidden="false" customHeight="false" outlineLevel="0" collapsed="false">
      <c r="A521" s="8" t="s">
        <v>6387</v>
      </c>
      <c r="B521" s="8" t="s">
        <v>320</v>
      </c>
      <c r="C521" s="4" t="n">
        <v>1</v>
      </c>
    </row>
    <row r="522" customFormat="false" ht="15" hidden="false" customHeight="false" outlineLevel="0" collapsed="false">
      <c r="A522" s="8" t="s">
        <v>6388</v>
      </c>
      <c r="B522" s="8" t="s">
        <v>4336</v>
      </c>
      <c r="C522" s="4" t="n">
        <v>1</v>
      </c>
    </row>
    <row r="523" customFormat="false" ht="15" hidden="false" customHeight="false" outlineLevel="0" collapsed="false">
      <c r="A523" s="8" t="s">
        <v>5025</v>
      </c>
      <c r="B523" s="8" t="s">
        <v>4366</v>
      </c>
      <c r="C523" s="4" t="n">
        <v>1</v>
      </c>
    </row>
    <row r="524" customFormat="false" ht="15" hidden="false" customHeight="false" outlineLevel="0" collapsed="false">
      <c r="A524" s="8" t="s">
        <v>5083</v>
      </c>
      <c r="B524" s="8" t="s">
        <v>4424</v>
      </c>
      <c r="C524" s="4" t="n">
        <v>1</v>
      </c>
    </row>
    <row r="525" customFormat="false" ht="15" hidden="false" customHeight="false" outlineLevel="0" collapsed="false">
      <c r="A525" s="8" t="s">
        <v>6389</v>
      </c>
      <c r="B525" s="8" t="s">
        <v>4168</v>
      </c>
      <c r="C525" s="4" t="n">
        <v>1</v>
      </c>
    </row>
    <row r="526" customFormat="false" ht="15" hidden="false" customHeight="false" outlineLevel="0" collapsed="false">
      <c r="A526" s="8" t="s">
        <v>6390</v>
      </c>
      <c r="B526" s="8" t="s">
        <v>4318</v>
      </c>
      <c r="C526" s="4" t="n">
        <v>1</v>
      </c>
    </row>
    <row r="527" customFormat="false" ht="15" hidden="false" customHeight="false" outlineLevel="0" collapsed="false">
      <c r="A527" s="8" t="s">
        <v>6391</v>
      </c>
      <c r="B527" s="8" t="s">
        <v>4328</v>
      </c>
      <c r="C527" s="4" t="n">
        <v>1</v>
      </c>
    </row>
    <row r="528" customFormat="false" ht="15" hidden="false" customHeight="false" outlineLevel="0" collapsed="false">
      <c r="A528" s="8" t="s">
        <v>6392</v>
      </c>
      <c r="B528" s="8" t="s">
        <v>4360</v>
      </c>
      <c r="C528" s="4" t="n">
        <v>1</v>
      </c>
    </row>
    <row r="529" customFormat="false" ht="15" hidden="false" customHeight="false" outlineLevel="0" collapsed="false">
      <c r="A529" s="8" t="s">
        <v>6393</v>
      </c>
      <c r="B529" s="8" t="s">
        <v>490</v>
      </c>
      <c r="C529" s="4" t="n">
        <v>1</v>
      </c>
    </row>
    <row r="530" customFormat="false" ht="15" hidden="false" customHeight="false" outlineLevel="0" collapsed="false">
      <c r="A530" s="8" t="s">
        <v>6394</v>
      </c>
      <c r="B530" s="8" t="s">
        <v>4364</v>
      </c>
      <c r="C530" s="4" t="n">
        <v>1</v>
      </c>
    </row>
    <row r="531" customFormat="false" ht="15" hidden="false" customHeight="false" outlineLevel="0" collapsed="false">
      <c r="A531" s="8" t="s">
        <v>6395</v>
      </c>
      <c r="B531" s="8" t="s">
        <v>4164</v>
      </c>
      <c r="C531" s="4" t="n">
        <v>1</v>
      </c>
    </row>
    <row r="532" customFormat="false" ht="15" hidden="false" customHeight="false" outlineLevel="0" collapsed="false">
      <c r="A532" s="8" t="s">
        <v>6396</v>
      </c>
      <c r="B532" s="8" t="s">
        <v>208</v>
      </c>
      <c r="C532" s="4" t="n">
        <v>1</v>
      </c>
    </row>
    <row r="533" customFormat="false" ht="15" hidden="false" customHeight="false" outlineLevel="0" collapsed="false">
      <c r="A533" s="8" t="s">
        <v>6397</v>
      </c>
      <c r="B533" s="8" t="s">
        <v>4108</v>
      </c>
      <c r="C533" s="4" t="n">
        <v>1</v>
      </c>
    </row>
    <row r="534" customFormat="false" ht="15" hidden="false" customHeight="false" outlineLevel="0" collapsed="false">
      <c r="A534" s="8" t="s">
        <v>6398</v>
      </c>
      <c r="B534" s="8" t="s">
        <v>4140</v>
      </c>
      <c r="C534" s="4" t="n">
        <v>1</v>
      </c>
    </row>
    <row r="535" customFormat="false" ht="15" hidden="false" customHeight="false" outlineLevel="0" collapsed="false">
      <c r="A535" s="8" t="s">
        <v>6399</v>
      </c>
      <c r="B535" s="8" t="s">
        <v>278</v>
      </c>
      <c r="C535" s="4" t="n">
        <v>1</v>
      </c>
    </row>
    <row r="536" customFormat="false" ht="15" hidden="false" customHeight="false" outlineLevel="0" collapsed="false">
      <c r="A536" s="8" t="s">
        <v>4975</v>
      </c>
      <c r="B536" s="8" t="s">
        <v>4316</v>
      </c>
      <c r="C536" s="4" t="n">
        <v>1</v>
      </c>
    </row>
    <row r="537" customFormat="false" ht="15" hidden="false" customHeight="false" outlineLevel="0" collapsed="false">
      <c r="A537" s="8" t="s">
        <v>6400</v>
      </c>
      <c r="B537" s="8" t="s">
        <v>3942</v>
      </c>
      <c r="C537" s="4" t="n">
        <v>1</v>
      </c>
    </row>
    <row r="538" customFormat="false" ht="15" hidden="false" customHeight="false" outlineLevel="0" collapsed="false">
      <c r="A538" s="8" t="s">
        <v>6401</v>
      </c>
      <c r="B538" s="8" t="s">
        <v>4020</v>
      </c>
      <c r="C538" s="4" t="n">
        <v>1</v>
      </c>
    </row>
    <row r="539" customFormat="false" ht="15" hidden="false" customHeight="false" outlineLevel="0" collapsed="false">
      <c r="A539" s="8" t="s">
        <v>6402</v>
      </c>
      <c r="B539" s="8" t="s">
        <v>197</v>
      </c>
      <c r="C539" s="4" t="n">
        <v>1</v>
      </c>
    </row>
  </sheetData>
  <autoFilter ref="A1:C5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E3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30" hidden="false" customHeight="true" outlineLevel="0" collapsed="false">
      <c r="A1" s="24" t="s">
        <v>6403</v>
      </c>
      <c r="B1" s="24" t="s">
        <v>6404</v>
      </c>
      <c r="C1" s="24" t="s">
        <v>133</v>
      </c>
      <c r="D1" s="24" t="s">
        <v>6405</v>
      </c>
      <c r="E1" s="24" t="s">
        <v>6406</v>
      </c>
    </row>
    <row r="2" customFormat="false" ht="15" hidden="false" customHeight="false" outlineLevel="0" collapsed="false">
      <c r="A2" s="4" t="s">
        <v>6407</v>
      </c>
      <c r="B2" s="4" t="s">
        <v>297</v>
      </c>
      <c r="C2" s="4" t="n">
        <v>2019</v>
      </c>
      <c r="D2" s="4" t="s">
        <v>6408</v>
      </c>
      <c r="E2" s="4" t="str">
        <f aca="false">IF(B2="","",LOWER(B2)&amp;"|"&amp;C2)</f>
        <v>parasite|2019</v>
      </c>
    </row>
    <row r="3" customFormat="false" ht="15" hidden="false" customHeight="false" outlineLevel="0" collapsed="false">
      <c r="A3" s="4" t="s">
        <v>6407</v>
      </c>
      <c r="B3" s="4" t="s">
        <v>6409</v>
      </c>
      <c r="C3" s="4" t="n">
        <v>2019</v>
      </c>
      <c r="D3" s="4" t="s">
        <v>6410</v>
      </c>
      <c r="E3" s="4" t="str">
        <f aca="false">IF(B3="","",LOWER(B3)&amp;"|"&amp;C3)</f>
        <v>joker|2019</v>
      </c>
    </row>
    <row r="4" customFormat="false" ht="15" hidden="false" customHeight="false" outlineLevel="0" collapsed="false">
      <c r="A4" s="4" t="s">
        <v>6407</v>
      </c>
      <c r="B4" s="4" t="s">
        <v>6411</v>
      </c>
      <c r="C4" s="4" t="n">
        <v>2019</v>
      </c>
      <c r="D4" s="4" t="s">
        <v>6412</v>
      </c>
      <c r="E4" s="4" t="str">
        <f aca="false">IF(B4="","",LOWER(B4)&amp;"|"&amp;C4)</f>
        <v>knives out|2019</v>
      </c>
    </row>
    <row r="5" customFormat="false" ht="15" hidden="false" customHeight="false" outlineLevel="0" collapsed="false">
      <c r="A5" s="4" t="s">
        <v>6407</v>
      </c>
      <c r="B5" s="4" t="s">
        <v>279</v>
      </c>
      <c r="C5" s="4" t="n">
        <v>2017</v>
      </c>
      <c r="D5" s="4" t="s">
        <v>6413</v>
      </c>
      <c r="E5" s="4" t="str">
        <f aca="false">IF(B5="","",LOWER(B5)&amp;"|"&amp;C5)</f>
        <v>get out|2017</v>
      </c>
    </row>
    <row r="6" customFormat="false" ht="15" hidden="false" customHeight="false" outlineLevel="0" collapsed="false">
      <c r="A6" s="4" t="s">
        <v>6407</v>
      </c>
      <c r="B6" s="4" t="s">
        <v>1197</v>
      </c>
      <c r="C6" s="4" t="n">
        <v>2010</v>
      </c>
      <c r="D6" s="4" t="s">
        <v>6414</v>
      </c>
      <c r="E6" s="4" t="str">
        <f aca="false">IF(B6="","",LOWER(B6)&amp;"|"&amp;C6)</f>
        <v>inception|2010</v>
      </c>
    </row>
    <row r="7" customFormat="false" ht="15" hidden="false" customHeight="false" outlineLevel="0" collapsed="false">
      <c r="A7" s="4" t="s">
        <v>6407</v>
      </c>
      <c r="B7" s="4" t="s">
        <v>849</v>
      </c>
      <c r="C7" s="4" t="n">
        <v>1999</v>
      </c>
      <c r="D7" s="4" t="s">
        <v>6415</v>
      </c>
      <c r="E7" s="4" t="str">
        <f aca="false">IF(B7="","",LOWER(B7)&amp;"|"&amp;C7)</f>
        <v>fight club|1999</v>
      </c>
    </row>
    <row r="8" customFormat="false" ht="15" hidden="false" customHeight="false" outlineLevel="0" collapsed="false">
      <c r="A8" s="4" t="s">
        <v>6407</v>
      </c>
      <c r="B8" s="4" t="s">
        <v>313</v>
      </c>
      <c r="C8" s="4" t="n">
        <v>1980</v>
      </c>
      <c r="D8" s="4" t="s">
        <v>6416</v>
      </c>
      <c r="E8" s="4" t="str">
        <f aca="false">IF(B8="","",LOWER(B8)&amp;"|"&amp;C8)</f>
        <v>the shining|1980</v>
      </c>
    </row>
    <row r="9" customFormat="false" ht="15" hidden="false" customHeight="false" outlineLevel="0" collapsed="false">
      <c r="A9" s="4" t="s">
        <v>6407</v>
      </c>
      <c r="B9" s="4" t="s">
        <v>510</v>
      </c>
      <c r="C9" s="4" t="n">
        <v>2004</v>
      </c>
      <c r="D9" s="4" t="s">
        <v>6417</v>
      </c>
      <c r="E9" s="4" t="str">
        <f aca="false">IF(B9="","",LOWER(B9)&amp;"|"&amp;C9)</f>
        <v>eternal sunshine of the spotless mind|2004</v>
      </c>
    </row>
    <row r="10" customFormat="false" ht="15" hidden="false" customHeight="false" outlineLevel="0" collapsed="false">
      <c r="A10" s="4" t="s">
        <v>6407</v>
      </c>
      <c r="B10" s="4" t="s">
        <v>438</v>
      </c>
      <c r="C10" s="4" t="n">
        <v>1998</v>
      </c>
      <c r="D10" s="4" t="s">
        <v>6418</v>
      </c>
      <c r="E10" s="4" t="str">
        <f aca="false">IF(B10="","",LOWER(B10)&amp;"|"&amp;C10)</f>
        <v>the truman show|1998</v>
      </c>
    </row>
    <row r="11" customFormat="false" ht="15" hidden="false" customHeight="false" outlineLevel="0" collapsed="false">
      <c r="A11" s="4" t="s">
        <v>6407</v>
      </c>
      <c r="B11" s="4" t="s">
        <v>3006</v>
      </c>
      <c r="C11" s="4" t="n">
        <v>2012</v>
      </c>
      <c r="D11" s="4" t="s">
        <v>6419</v>
      </c>
      <c r="E11" s="4" t="str">
        <f aca="false">IF(B11="","",LOWER(B11)&amp;"|"&amp;C11)</f>
        <v>django unchained|2012</v>
      </c>
    </row>
    <row r="12" customFormat="false" ht="15" hidden="false" customHeight="false" outlineLevel="0" collapsed="false">
      <c r="A12" s="4" t="s">
        <v>6407</v>
      </c>
      <c r="B12" s="4" t="s">
        <v>177</v>
      </c>
      <c r="C12" s="4" t="n">
        <v>1960</v>
      </c>
      <c r="D12" s="4" t="s">
        <v>6420</v>
      </c>
      <c r="E12" s="4" t="str">
        <f aca="false">IF(B12="","",LOWER(B12)&amp;"|"&amp;C12)</f>
        <v>psycho|1960</v>
      </c>
    </row>
    <row r="13" customFormat="false" ht="15" hidden="false" customHeight="false" outlineLevel="0" collapsed="false">
      <c r="A13" s="4" t="s">
        <v>6407</v>
      </c>
      <c r="B13" s="4" t="s">
        <v>6421</v>
      </c>
      <c r="C13" s="4" t="n">
        <v>1983</v>
      </c>
      <c r="D13" s="4" t="s">
        <v>6422</v>
      </c>
      <c r="E13" s="4" t="str">
        <f aca="false">IF(B13="","",LOWER(B13)&amp;"|"&amp;C13)</f>
        <v>psycho ii|1983</v>
      </c>
    </row>
    <row r="14" customFormat="false" ht="15" hidden="false" customHeight="false" outlineLevel="0" collapsed="false">
      <c r="A14" s="4" t="s">
        <v>6407</v>
      </c>
      <c r="B14" s="4" t="s">
        <v>6423</v>
      </c>
      <c r="C14" s="4" t="n">
        <v>2020</v>
      </c>
      <c r="D14" s="4" t="s">
        <v>6424</v>
      </c>
      <c r="E14" s="4" t="str">
        <f aca="false">IF(B14="","",LOWER(B14)&amp;"|"&amp;C14)</f>
        <v>the trial of the chicago 7|2020</v>
      </c>
    </row>
    <row r="15" customFormat="false" ht="15" hidden="false" customHeight="false" outlineLevel="0" collapsed="false">
      <c r="A15" s="4" t="s">
        <v>6407</v>
      </c>
      <c r="B15" s="4" t="s">
        <v>318</v>
      </c>
      <c r="C15" s="4" t="n">
        <v>1990</v>
      </c>
      <c r="D15" s="4" t="s">
        <v>6425</v>
      </c>
      <c r="E15" s="4" t="str">
        <f aca="false">IF(B15="","",LOWER(B15)&amp;"|"&amp;C15)</f>
        <v>goodfellas|1990</v>
      </c>
    </row>
    <row r="16" customFormat="false" ht="15" hidden="false" customHeight="false" outlineLevel="0" collapsed="false">
      <c r="A16" s="4" t="s">
        <v>6407</v>
      </c>
      <c r="B16" s="4" t="s">
        <v>600</v>
      </c>
      <c r="C16" s="4" t="n">
        <v>1973</v>
      </c>
      <c r="D16" s="4" t="s">
        <v>6426</v>
      </c>
      <c r="E16" s="4" t="str">
        <f aca="false">IF(B16="","",LOWER(B16)&amp;"|"&amp;C16)</f>
        <v>mean streets|1973</v>
      </c>
    </row>
    <row r="17" customFormat="false" ht="15" hidden="false" customHeight="false" outlineLevel="0" collapsed="false">
      <c r="A17" s="4" t="s">
        <v>6407</v>
      </c>
      <c r="B17" s="4" t="s">
        <v>6427</v>
      </c>
      <c r="C17" s="4" t="n">
        <v>2018</v>
      </c>
      <c r="D17" s="4" t="s">
        <v>6428</v>
      </c>
      <c r="E17" s="4" t="str">
        <f aca="false">IF(B17="","",LOWER(B17)&amp;"|"&amp;C17)</f>
        <v>beautiful boy|2018</v>
      </c>
    </row>
    <row r="18" customFormat="false" ht="15" hidden="false" customHeight="false" outlineLevel="0" collapsed="false">
      <c r="A18" s="4" t="s">
        <v>6407</v>
      </c>
      <c r="B18" s="4" t="s">
        <v>2600</v>
      </c>
      <c r="C18" s="4" t="n">
        <v>1994</v>
      </c>
      <c r="D18" s="4" t="s">
        <v>6429</v>
      </c>
      <c r="E18" s="4" t="str">
        <f aca="false">IF(B18="","",LOWER(B18)&amp;"|"&amp;C18)</f>
        <v>forrest gump|1994</v>
      </c>
    </row>
    <row r="19" customFormat="false" ht="15" hidden="false" customHeight="false" outlineLevel="0" collapsed="false">
      <c r="A19" s="4" t="s">
        <v>6407</v>
      </c>
      <c r="B19" s="4" t="s">
        <v>524</v>
      </c>
      <c r="C19" s="4" t="n">
        <v>2014</v>
      </c>
      <c r="D19" s="4" t="s">
        <v>6430</v>
      </c>
      <c r="E19" s="4" t="str">
        <f aca="false">IF(B19="","",LOWER(B19)&amp;"|"&amp;C19)</f>
        <v>the grand budapest hotel|2014</v>
      </c>
    </row>
    <row r="20" customFormat="false" ht="15" hidden="false" customHeight="false" outlineLevel="0" collapsed="false">
      <c r="A20" s="4" t="s">
        <v>6407</v>
      </c>
      <c r="B20" s="4" t="s">
        <v>3004</v>
      </c>
      <c r="C20" s="4" t="n">
        <v>2012</v>
      </c>
      <c r="D20" s="4" t="s">
        <v>6431</v>
      </c>
      <c r="E20" s="4" t="str">
        <f aca="false">IF(B20="","",LOWER(B20)&amp;"|"&amp;C20)</f>
        <v>moonrise kingdom|2012</v>
      </c>
    </row>
    <row r="21" customFormat="false" ht="15" hidden="false" customHeight="false" outlineLevel="0" collapsed="false">
      <c r="A21" s="4" t="s">
        <v>6407</v>
      </c>
      <c r="B21" s="4" t="s">
        <v>2822</v>
      </c>
      <c r="C21" s="4" t="n">
        <v>2004</v>
      </c>
      <c r="D21" s="4" t="s">
        <v>6432</v>
      </c>
      <c r="E21" s="4" t="str">
        <f aca="false">IF(B21="","",LOWER(B21)&amp;"|"&amp;C21)</f>
        <v>the life aquatic with steve zissou|2004</v>
      </c>
    </row>
    <row r="22" customFormat="false" ht="15" hidden="false" customHeight="false" outlineLevel="0" collapsed="false">
      <c r="A22" s="4" t="s">
        <v>6407</v>
      </c>
      <c r="B22" s="4" t="s">
        <v>3153</v>
      </c>
      <c r="C22" s="4" t="n">
        <v>2018</v>
      </c>
      <c r="D22" s="4" t="s">
        <v>6433</v>
      </c>
      <c r="E22" s="4" t="str">
        <f aca="false">IF(B22="","",LOWER(B22)&amp;"|"&amp;C22)</f>
        <v>isle of dogs|2018</v>
      </c>
    </row>
    <row r="23" customFormat="false" ht="15" hidden="false" customHeight="false" outlineLevel="0" collapsed="false">
      <c r="A23" s="4" t="s">
        <v>6407</v>
      </c>
      <c r="B23" s="4" t="s">
        <v>430</v>
      </c>
      <c r="C23" s="4" t="n">
        <v>2009</v>
      </c>
      <c r="D23" s="4" t="s">
        <v>6434</v>
      </c>
      <c r="E23" s="4" t="str">
        <f aca="false">IF(B23="","",LOWER(B23)&amp;"|"&amp;C23)</f>
        <v>fantastic mr. fox|2009</v>
      </c>
    </row>
    <row r="24" customFormat="false" ht="15" hidden="false" customHeight="false" outlineLevel="0" collapsed="false">
      <c r="A24" s="4" t="s">
        <v>6407</v>
      </c>
      <c r="B24" s="4" t="s">
        <v>425</v>
      </c>
      <c r="C24" s="4" t="n">
        <v>1995</v>
      </c>
      <c r="D24" s="4" t="s">
        <v>6435</v>
      </c>
      <c r="E24" s="4" t="str">
        <f aca="false">IF(B24="","",LOWER(B24)&amp;"|"&amp;C24)</f>
        <v>la haine|1995</v>
      </c>
    </row>
    <row r="25" customFormat="false" ht="15" hidden="false" customHeight="false" outlineLevel="0" collapsed="false">
      <c r="A25" s="4" t="s">
        <v>6407</v>
      </c>
      <c r="B25" s="4" t="s">
        <v>2709</v>
      </c>
      <c r="C25" s="4" t="n">
        <v>1999</v>
      </c>
      <c r="D25" s="4" t="s">
        <v>6436</v>
      </c>
      <c r="E25" s="4" t="str">
        <f aca="false">IF(B25="","",LOWER(B25)&amp;"|"&amp;C25)</f>
        <v>man on the moon|1999</v>
      </c>
    </row>
    <row r="26" customFormat="false" ht="15" hidden="false" customHeight="false" outlineLevel="0" collapsed="false">
      <c r="A26" s="4" t="s">
        <v>6407</v>
      </c>
      <c r="B26" s="4" t="s">
        <v>445</v>
      </c>
      <c r="C26" s="4" t="n">
        <v>2013</v>
      </c>
      <c r="D26" s="4" t="s">
        <v>6437</v>
      </c>
      <c r="E26" s="4" t="str">
        <f aca="false">IF(B26="","",LOWER(B26)&amp;"|"&amp;C26)</f>
        <v>enemy|2013</v>
      </c>
    </row>
    <row r="27" customFormat="false" ht="15" hidden="false" customHeight="false" outlineLevel="0" collapsed="false">
      <c r="A27" s="4" t="s">
        <v>6407</v>
      </c>
      <c r="B27" s="4" t="s">
        <v>1209</v>
      </c>
      <c r="C27" s="4" t="n">
        <v>2013</v>
      </c>
      <c r="D27" s="4" t="s">
        <v>6438</v>
      </c>
      <c r="E27" s="4" t="str">
        <f aca="false">IF(B27="","",LOWER(B27)&amp;"|"&amp;C27)</f>
        <v>prisoners|2013</v>
      </c>
    </row>
    <row r="28" customFormat="false" ht="15" hidden="false" customHeight="false" outlineLevel="0" collapsed="false">
      <c r="A28" s="4" t="s">
        <v>6407</v>
      </c>
      <c r="B28" s="4" t="s">
        <v>1176</v>
      </c>
      <c r="C28" s="4" t="n">
        <v>2006</v>
      </c>
      <c r="D28" s="4" t="s">
        <v>6439</v>
      </c>
      <c r="E28" s="4" t="str">
        <f aca="false">IF(B28="","",LOWER(B28)&amp;"|"&amp;C28)</f>
        <v>the prestige|2006</v>
      </c>
    </row>
    <row r="29" customFormat="false" ht="15" hidden="false" customHeight="false" outlineLevel="0" collapsed="false">
      <c r="A29" s="4" t="s">
        <v>6407</v>
      </c>
      <c r="B29" s="4" t="s">
        <v>6440</v>
      </c>
      <c r="C29" s="4" t="n">
        <v>2000</v>
      </c>
      <c r="D29" s="4" t="s">
        <v>6441</v>
      </c>
      <c r="E29" s="4" t="str">
        <f aca="false">IF(B29="","",LOWER(B29)&amp;"|"&amp;C29)</f>
        <v>american psycho|2000</v>
      </c>
    </row>
    <row r="30" customFormat="false" ht="15" hidden="false" customHeight="false" outlineLevel="0" collapsed="false">
      <c r="A30" s="4" t="s">
        <v>6407</v>
      </c>
      <c r="B30" s="4" t="s">
        <v>6442</v>
      </c>
      <c r="C30" s="4" t="n">
        <v>2004</v>
      </c>
      <c r="D30" s="4" t="s">
        <v>6443</v>
      </c>
      <c r="E30" s="4" t="str">
        <f aca="false">IF(B30="","",LOWER(B30)&amp;"|"&amp;C30)</f>
        <v>the machinist|2004</v>
      </c>
    </row>
    <row r="31" customFormat="false" ht="15" hidden="false" customHeight="false" outlineLevel="0" collapsed="false">
      <c r="A31" s="4" t="s">
        <v>6407</v>
      </c>
      <c r="B31" s="4" t="s">
        <v>3124</v>
      </c>
      <c r="C31" s="4" t="n">
        <v>2017</v>
      </c>
      <c r="D31" s="4" t="s">
        <v>6444</v>
      </c>
      <c r="E31" s="4" t="str">
        <f aca="false">IF(B31="","",LOWER(B31)&amp;"|"&amp;C31)</f>
        <v>the death of stalin|2017</v>
      </c>
    </row>
    <row r="32" customFormat="false" ht="15" hidden="false" customHeight="false" outlineLevel="0" collapsed="false">
      <c r="A32" s="4" t="s">
        <v>6407</v>
      </c>
      <c r="B32" s="4" t="s">
        <v>6445</v>
      </c>
      <c r="C32" s="4" t="n">
        <v>2006</v>
      </c>
      <c r="D32" s="4" t="s">
        <v>6446</v>
      </c>
      <c r="E32" s="4" t="str">
        <f aca="false">IF(B32="","",LOWER(B32)&amp;"|"&amp;C32)</f>
        <v>borat: cultural learnings of america for make benefit glorious nation of kazakhstan|2006</v>
      </c>
    </row>
    <row r="33" customFormat="false" ht="15" hidden="false" customHeight="false" outlineLevel="0" collapsed="false">
      <c r="A33" s="4" t="s">
        <v>6407</v>
      </c>
      <c r="B33" s="4" t="s">
        <v>6447</v>
      </c>
      <c r="C33" s="4" t="n">
        <v>2020</v>
      </c>
      <c r="D33" s="4" t="s">
        <v>6448</v>
      </c>
      <c r="E33" s="4" t="str">
        <f aca="false">IF(B33="","",LOWER(B33)&amp;"|"&amp;C33)</f>
        <v>borat subsequent moviefilm: delivery of prodigious bribe to american regime for make benefit once glorious nation of kazakhstan|2020</v>
      </c>
    </row>
    <row r="34" customFormat="false" ht="15" hidden="false" customHeight="false" outlineLevel="0" collapsed="false">
      <c r="A34" s="4" t="s">
        <v>6407</v>
      </c>
      <c r="B34" s="4" t="s">
        <v>6449</v>
      </c>
      <c r="C34" s="4" t="n">
        <v>2005</v>
      </c>
      <c r="D34" s="4" t="s">
        <v>6450</v>
      </c>
      <c r="E34" s="4" t="str">
        <f aca="false">IF(B34="","",LOWER(B34)&amp;"|"&amp;C34)</f>
        <v>v for vendetta|2005</v>
      </c>
    </row>
    <row r="35" customFormat="false" ht="15" hidden="false" customHeight="false" outlineLevel="0" collapsed="false">
      <c r="A35" s="4" t="s">
        <v>6407</v>
      </c>
      <c r="B35" s="4" t="s">
        <v>839</v>
      </c>
      <c r="C35" s="4" t="n">
        <v>1995</v>
      </c>
      <c r="D35" s="4" t="s">
        <v>6451</v>
      </c>
      <c r="E35" s="4" t="str">
        <f aca="false">IF(B35="","",LOWER(B35)&amp;"|"&amp;C35)</f>
        <v>se7en|1995</v>
      </c>
    </row>
    <row r="36" customFormat="false" ht="15" hidden="false" customHeight="false" outlineLevel="0" collapsed="false">
      <c r="A36" s="4" t="s">
        <v>6407</v>
      </c>
      <c r="B36" s="4" t="s">
        <v>1253</v>
      </c>
      <c r="C36" s="4" t="n">
        <v>2019</v>
      </c>
      <c r="D36" s="4" t="s">
        <v>6452</v>
      </c>
      <c r="E36" s="4" t="str">
        <f aca="false">IF(B36="","",LOWER(B36)&amp;"|"&amp;C36)</f>
        <v>the lighthouse|2019</v>
      </c>
    </row>
    <row r="37" customFormat="false" ht="15" hidden="false" customHeight="false" outlineLevel="0" collapsed="false">
      <c r="A37" s="4" t="s">
        <v>6407</v>
      </c>
      <c r="B37" s="4" t="s">
        <v>1238</v>
      </c>
      <c r="C37" s="4" t="n">
        <v>2017</v>
      </c>
      <c r="D37" s="4" t="s">
        <v>6453</v>
      </c>
      <c r="E37" s="4" t="str">
        <f aca="false">IF(B37="","",LOWER(B37)&amp;"|"&amp;C37)</f>
        <v>the florida project|2017</v>
      </c>
    </row>
    <row r="38" customFormat="false" ht="15" hidden="false" customHeight="false" outlineLevel="0" collapsed="false">
      <c r="A38" s="4" t="s">
        <v>6407</v>
      </c>
      <c r="B38" s="4" t="s">
        <v>6454</v>
      </c>
      <c r="C38" s="4" t="n">
        <v>2019</v>
      </c>
      <c r="D38" s="4" t="s">
        <v>6455</v>
      </c>
      <c r="E38" s="4" t="str">
        <f aca="false">IF(B38="","",LOWER(B38)&amp;"|"&amp;C38)</f>
        <v>el camino: a breaking bad movie|2019</v>
      </c>
    </row>
    <row r="39" customFormat="false" ht="15" hidden="false" customHeight="false" outlineLevel="0" collapsed="false">
      <c r="A39" s="4" t="s">
        <v>6407</v>
      </c>
      <c r="B39" s="4" t="s">
        <v>695</v>
      </c>
      <c r="C39" s="4" t="n">
        <v>2018</v>
      </c>
      <c r="D39" s="4" t="s">
        <v>6456</v>
      </c>
      <c r="E39" s="4" t="str">
        <f aca="false">IF(B39="","",LOWER(B39)&amp;"|"&amp;C39)</f>
        <v>hereditary|2018</v>
      </c>
    </row>
    <row r="40" customFormat="false" ht="15" hidden="false" customHeight="false" outlineLevel="0" collapsed="false">
      <c r="A40" s="4" t="s">
        <v>6407</v>
      </c>
      <c r="B40" s="4" t="s">
        <v>1241</v>
      </c>
      <c r="C40" s="4" t="n">
        <v>2017</v>
      </c>
      <c r="D40" s="4" t="s">
        <v>6457</v>
      </c>
      <c r="E40" s="4" t="str">
        <f aca="false">IF(B40="","",LOWER(B40)&amp;"|"&amp;C40)</f>
        <v>good time|2017</v>
      </c>
    </row>
    <row r="41" customFormat="false" ht="15" hidden="false" customHeight="false" outlineLevel="0" collapsed="false">
      <c r="A41" s="4" t="s">
        <v>6407</v>
      </c>
      <c r="B41" s="4" t="s">
        <v>322</v>
      </c>
      <c r="C41" s="4" t="n">
        <v>2007</v>
      </c>
      <c r="D41" s="4" t="s">
        <v>6458</v>
      </c>
      <c r="E41" s="4" t="str">
        <f aca="false">IF(B41="","",LOWER(B41)&amp;"|"&amp;C41)</f>
        <v>no country for old men|2007</v>
      </c>
    </row>
    <row r="42" customFormat="false" ht="15" hidden="false" customHeight="false" outlineLevel="0" collapsed="false">
      <c r="A42" s="4" t="s">
        <v>6459</v>
      </c>
      <c r="B42" s="4" t="s">
        <v>2662</v>
      </c>
      <c r="C42" s="4" t="n">
        <v>1996</v>
      </c>
      <c r="D42" s="4" t="s">
        <v>6460</v>
      </c>
      <c r="E42" s="4" t="str">
        <f aca="false">IF(B42="","",LOWER(B42)&amp;"|"&amp;C42)</f>
        <v>trainspotting|1996</v>
      </c>
    </row>
    <row r="43" customFormat="false" ht="15" hidden="false" customHeight="false" outlineLevel="0" collapsed="false">
      <c r="A43" s="4" t="s">
        <v>6461</v>
      </c>
      <c r="B43" s="4" t="s">
        <v>3179</v>
      </c>
      <c r="C43" s="4" t="n">
        <v>2019</v>
      </c>
      <c r="D43" s="4" t="s">
        <v>6462</v>
      </c>
      <c r="E43" s="4" t="str">
        <f aca="false">IF(B43="","",LOWER(B43)&amp;"|"&amp;C43)</f>
        <v>once upon a time... in hollywood|2019</v>
      </c>
    </row>
    <row r="44" customFormat="false" ht="15" hidden="false" customHeight="false" outlineLevel="0" collapsed="false">
      <c r="A44" s="4" t="s">
        <v>6461</v>
      </c>
      <c r="B44" s="4" t="s">
        <v>218</v>
      </c>
      <c r="C44" s="4" t="n">
        <v>1977</v>
      </c>
      <c r="D44" s="4" t="s">
        <v>6463</v>
      </c>
      <c r="E44" s="4" t="str">
        <f aca="false">IF(B44="","",LOWER(B44)&amp;"|"&amp;C44)</f>
        <v>eraserhead|1977</v>
      </c>
    </row>
    <row r="45" customFormat="false" ht="15" hidden="false" customHeight="false" outlineLevel="0" collapsed="false">
      <c r="A45" s="4" t="s">
        <v>6464</v>
      </c>
      <c r="B45" s="4" t="s">
        <v>1292</v>
      </c>
      <c r="C45" s="4" t="n">
        <v>2014</v>
      </c>
      <c r="D45" s="4" t="s">
        <v>6465</v>
      </c>
      <c r="E45" s="4" t="str">
        <f aca="false">IF(B45="","",LOWER(B45)&amp;"|"&amp;C45)</f>
        <v>whiplash|2014</v>
      </c>
    </row>
    <row r="46" customFormat="false" ht="15" hidden="false" customHeight="false" outlineLevel="0" collapsed="false">
      <c r="A46" s="4" t="s">
        <v>6464</v>
      </c>
      <c r="B46" s="4" t="s">
        <v>237</v>
      </c>
      <c r="C46" s="4" t="n">
        <v>1964</v>
      </c>
      <c r="D46" s="4" t="s">
        <v>6466</v>
      </c>
      <c r="E46" s="4" t="str">
        <f aca="false">IF(B46="","",LOWER(B46)&amp;"|"&amp;C46)</f>
        <v>dr. strangelove or: how i learned to stop worrying and love the bomb|1964</v>
      </c>
    </row>
    <row r="47" customFormat="false" ht="15" hidden="false" customHeight="false" outlineLevel="0" collapsed="false">
      <c r="A47" s="4" t="s">
        <v>6467</v>
      </c>
      <c r="B47" s="4" t="s">
        <v>597</v>
      </c>
      <c r="C47" s="4" t="n">
        <v>1971</v>
      </c>
      <c r="D47" s="4" t="s">
        <v>6468</v>
      </c>
      <c r="E47" s="4" t="str">
        <f aca="false">IF(B47="","",LOWER(B47)&amp;"|"&amp;C47)</f>
        <v>a clockwork orange|1971</v>
      </c>
    </row>
    <row r="48" customFormat="false" ht="15" hidden="false" customHeight="false" outlineLevel="0" collapsed="false">
      <c r="A48" s="4" t="s">
        <v>6467</v>
      </c>
      <c r="B48" s="4" t="s">
        <v>3841</v>
      </c>
      <c r="C48" s="4" t="n">
        <v>2017</v>
      </c>
      <c r="D48" s="4" t="s">
        <v>6469</v>
      </c>
      <c r="E48" s="4" t="str">
        <f aca="false">IF(B48="","",LOWER(B48)&amp;"|"&amp;C48)</f>
        <v>okja|2017</v>
      </c>
    </row>
    <row r="49" customFormat="false" ht="15" hidden="false" customHeight="false" outlineLevel="0" collapsed="false">
      <c r="A49" s="4" t="s">
        <v>6467</v>
      </c>
      <c r="B49" s="4" t="s">
        <v>1239</v>
      </c>
      <c r="C49" s="4" t="n">
        <v>2017</v>
      </c>
      <c r="D49" s="4" t="s">
        <v>6470</v>
      </c>
      <c r="E49" s="4" t="str">
        <f aca="false">IF(B49="","",LOWER(B49)&amp;"|"&amp;C49)</f>
        <v>lady bird|2017</v>
      </c>
    </row>
    <row r="50" customFormat="false" ht="15" hidden="false" customHeight="false" outlineLevel="0" collapsed="false">
      <c r="A50" s="4" t="s">
        <v>6467</v>
      </c>
      <c r="B50" s="4" t="s">
        <v>3130</v>
      </c>
      <c r="C50" s="4" t="n">
        <v>2017</v>
      </c>
      <c r="D50" s="4" t="s">
        <v>6471</v>
      </c>
      <c r="E50" s="4" t="str">
        <f aca="false">IF(B50="","",LOWER(B50)&amp;"|"&amp;C50)</f>
        <v>the disaster artist|2017</v>
      </c>
    </row>
    <row r="51" customFormat="false" ht="15" hidden="false" customHeight="false" outlineLevel="0" collapsed="false">
      <c r="A51" s="4" t="s">
        <v>6467</v>
      </c>
      <c r="B51" s="4" t="s">
        <v>652</v>
      </c>
      <c r="C51" s="4" t="n">
        <v>2019</v>
      </c>
      <c r="D51" s="4" t="s">
        <v>6472</v>
      </c>
      <c r="E51" s="4" t="str">
        <f aca="false">IF(B51="","",LOWER(B51)&amp;"|"&amp;C51)</f>
        <v>uncut gems|2019</v>
      </c>
    </row>
    <row r="52" customFormat="false" ht="15" hidden="false" customHeight="false" outlineLevel="0" collapsed="false">
      <c r="A52" s="4" t="s">
        <v>6473</v>
      </c>
      <c r="B52" s="4" t="s">
        <v>1084</v>
      </c>
      <c r="C52" s="4" t="n">
        <v>1987</v>
      </c>
      <c r="D52" s="4" t="s">
        <v>6474</v>
      </c>
      <c r="E52" s="4" t="str">
        <f aca="false">IF(B52="","",LOWER(B52)&amp;"|"&amp;C52)</f>
        <v>full metal jacket|1987</v>
      </c>
    </row>
    <row r="53" customFormat="false" ht="15" hidden="false" customHeight="false" outlineLevel="0" collapsed="false">
      <c r="A53" s="4" t="s">
        <v>6473</v>
      </c>
      <c r="B53" s="4" t="s">
        <v>163</v>
      </c>
      <c r="C53" s="4" t="n">
        <v>1976</v>
      </c>
      <c r="D53" s="4" t="s">
        <v>6475</v>
      </c>
      <c r="E53" s="4" t="str">
        <f aca="false">IF(B53="","",LOWER(B53)&amp;"|"&amp;C53)</f>
        <v>taxi driver|1976</v>
      </c>
    </row>
    <row r="54" customFormat="false" ht="15" hidden="false" customHeight="false" outlineLevel="0" collapsed="false">
      <c r="A54" s="4" t="s">
        <v>6473</v>
      </c>
      <c r="B54" s="4" t="s">
        <v>1214</v>
      </c>
      <c r="C54" s="4" t="n">
        <v>2014</v>
      </c>
      <c r="D54" s="4" t="s">
        <v>6476</v>
      </c>
      <c r="E54" s="4" t="str">
        <f aca="false">IF(B54="","",LOWER(B54)&amp;"|"&amp;C54)</f>
        <v>nightcrawler|2014</v>
      </c>
    </row>
    <row r="55" customFormat="false" ht="15" hidden="false" customHeight="false" outlineLevel="0" collapsed="false">
      <c r="A55" s="4" t="s">
        <v>6473</v>
      </c>
      <c r="B55" s="4" t="s">
        <v>2982</v>
      </c>
      <c r="C55" s="4" t="n">
        <v>2011</v>
      </c>
      <c r="D55" s="4" t="s">
        <v>6477</v>
      </c>
      <c r="E55" s="4" t="str">
        <f aca="false">IF(B55="","",LOWER(B55)&amp;"|"&amp;C55)</f>
        <v>moneyball|2011</v>
      </c>
    </row>
    <row r="56" customFormat="false" ht="15" hidden="false" customHeight="false" outlineLevel="0" collapsed="false">
      <c r="A56" s="4" t="s">
        <v>6473</v>
      </c>
      <c r="B56" s="4" t="s">
        <v>507</v>
      </c>
      <c r="C56" s="4" t="n">
        <v>1999</v>
      </c>
      <c r="D56" s="4" t="s">
        <v>6478</v>
      </c>
      <c r="E56" s="4" t="str">
        <f aca="false">IF(B56="","",LOWER(B56)&amp;"|"&amp;C56)</f>
        <v>being john malkovich|1999</v>
      </c>
    </row>
    <row r="57" customFormat="false" ht="15" hidden="false" customHeight="false" outlineLevel="0" collapsed="false">
      <c r="A57" s="4" t="s">
        <v>6473</v>
      </c>
      <c r="B57" s="4" t="s">
        <v>6479</v>
      </c>
      <c r="C57" s="4" t="n">
        <v>2013</v>
      </c>
      <c r="D57" s="4" t="s">
        <v>6480</v>
      </c>
      <c r="E57" s="4" t="str">
        <f aca="false">IF(B57="","",LOWER(B57)&amp;"|"&amp;C57)</f>
        <v>dallas buyers club|2013</v>
      </c>
    </row>
    <row r="58" customFormat="false" ht="15" hidden="false" customHeight="false" outlineLevel="0" collapsed="false">
      <c r="A58" s="4" t="s">
        <v>6481</v>
      </c>
      <c r="B58" s="4" t="s">
        <v>165</v>
      </c>
      <c r="C58" s="4" t="n">
        <v>2016</v>
      </c>
      <c r="D58" s="4" t="s">
        <v>6482</v>
      </c>
      <c r="E58" s="4" t="str">
        <f aca="false">IF(B58="","",LOWER(B58)&amp;"|"&amp;C58)</f>
        <v>moonlight|2016</v>
      </c>
    </row>
    <row r="59" customFormat="false" ht="15" hidden="false" customHeight="false" outlineLevel="0" collapsed="false">
      <c r="A59" s="4" t="s">
        <v>6481</v>
      </c>
      <c r="B59" s="4" t="s">
        <v>6483</v>
      </c>
      <c r="C59" s="4" t="n">
        <v>2019</v>
      </c>
      <c r="D59" s="4" t="s">
        <v>6484</v>
      </c>
      <c r="E59" s="4" t="str">
        <f aca="false">IF(B59="","",LOWER(B59)&amp;"|"&amp;C59)</f>
        <v>paddleton|2019</v>
      </c>
    </row>
    <row r="60" customFormat="false" ht="15" hidden="false" customHeight="false" outlineLevel="0" collapsed="false">
      <c r="A60" s="4" t="s">
        <v>6485</v>
      </c>
      <c r="B60" s="4" t="s">
        <v>236</v>
      </c>
      <c r="C60" s="4" t="n">
        <v>1957</v>
      </c>
      <c r="D60" s="4" t="s">
        <v>6486</v>
      </c>
      <c r="E60" s="4" t="str">
        <f aca="false">IF(B60="","",LOWER(B60)&amp;"|"&amp;C60)</f>
        <v>12 angry men|1957</v>
      </c>
    </row>
    <row r="61" customFormat="false" ht="15" hidden="false" customHeight="false" outlineLevel="0" collapsed="false">
      <c r="A61" s="4" t="s">
        <v>6487</v>
      </c>
      <c r="B61" s="4" t="s">
        <v>186</v>
      </c>
      <c r="C61" s="4" t="n">
        <v>1968</v>
      </c>
      <c r="D61" s="4" t="s">
        <v>6488</v>
      </c>
      <c r="E61" s="4" t="str">
        <f aca="false">IF(B61="","",LOWER(B61)&amp;"|"&amp;C61)</f>
        <v>2001: a space odyssey|1968</v>
      </c>
    </row>
    <row r="62" customFormat="false" ht="15" hidden="false" customHeight="false" outlineLevel="0" collapsed="false">
      <c r="A62" s="4" t="s">
        <v>6487</v>
      </c>
      <c r="B62" s="4" t="s">
        <v>207</v>
      </c>
      <c r="C62" s="4" t="n">
        <v>1994</v>
      </c>
      <c r="D62" s="4" t="s">
        <v>6489</v>
      </c>
      <c r="E62" s="4" t="str">
        <f aca="false">IF(B62="","",LOWER(B62)&amp;"|"&amp;C62)</f>
        <v>pulp fiction|1994</v>
      </c>
    </row>
    <row r="63" customFormat="false" ht="15" hidden="false" customHeight="false" outlineLevel="0" collapsed="false">
      <c r="A63" s="4" t="s">
        <v>6490</v>
      </c>
      <c r="B63" s="4" t="s">
        <v>2808</v>
      </c>
      <c r="C63" s="4" t="n">
        <v>2003</v>
      </c>
      <c r="D63" s="4" t="s">
        <v>6491</v>
      </c>
      <c r="E63" s="4" t="str">
        <f aca="false">IF(B63="","",LOWER(B63)&amp;"|"&amp;C63)</f>
        <v>kill bill: vol. 1|2003</v>
      </c>
    </row>
    <row r="64" customFormat="false" ht="15" hidden="false" customHeight="false" outlineLevel="0" collapsed="false">
      <c r="A64" s="4" t="s">
        <v>6492</v>
      </c>
      <c r="B64" s="4" t="s">
        <v>2878</v>
      </c>
      <c r="C64" s="4" t="n">
        <v>2007</v>
      </c>
      <c r="D64" s="4" t="s">
        <v>6493</v>
      </c>
      <c r="E64" s="4" t="str">
        <f aca="false">IF(B64="","",LOWER(B64)&amp;"|"&amp;C64)</f>
        <v>hot fuzz|2007</v>
      </c>
    </row>
    <row r="65" customFormat="false" ht="15" hidden="false" customHeight="false" outlineLevel="0" collapsed="false">
      <c r="A65" s="4" t="s">
        <v>6492</v>
      </c>
      <c r="B65" s="4" t="s">
        <v>3045</v>
      </c>
      <c r="C65" s="4" t="n">
        <v>2014</v>
      </c>
      <c r="D65" s="4" t="s">
        <v>6494</v>
      </c>
      <c r="E65" s="4" t="str">
        <f aca="false">IF(B65="","",LOWER(B65)&amp;"|"&amp;C65)</f>
        <v>birdman or (the unexpected virtue of ignorance)|2014</v>
      </c>
    </row>
    <row r="66" customFormat="false" ht="15" hidden="false" customHeight="false" outlineLevel="0" collapsed="false">
      <c r="A66" s="4" t="s">
        <v>6495</v>
      </c>
      <c r="B66" s="4" t="s">
        <v>314</v>
      </c>
      <c r="C66" s="4" t="n">
        <v>1982</v>
      </c>
      <c r="D66" s="4" t="s">
        <v>6496</v>
      </c>
      <c r="E66" s="4" t="str">
        <f aca="false">IF(B66="","",LOWER(B66)&amp;"|"&amp;C66)</f>
        <v>the king of comedy|1982</v>
      </c>
    </row>
    <row r="67" customFormat="false" ht="15" hidden="false" customHeight="false" outlineLevel="0" collapsed="false">
      <c r="A67" s="4" t="s">
        <v>6495</v>
      </c>
      <c r="B67" s="4" t="s">
        <v>1248</v>
      </c>
      <c r="C67" s="4" t="n">
        <v>2019</v>
      </c>
      <c r="D67" s="4" t="s">
        <v>6497</v>
      </c>
      <c r="E67" s="4" t="str">
        <f aca="false">IF(B67="","",LOWER(B67)&amp;"|"&amp;C67)</f>
        <v>sound of metal|2019</v>
      </c>
    </row>
    <row r="68" customFormat="false" ht="15" hidden="false" customHeight="false" outlineLevel="0" collapsed="false">
      <c r="A68" s="4" t="s">
        <v>6498</v>
      </c>
      <c r="B68" s="4" t="s">
        <v>244</v>
      </c>
      <c r="C68" s="4" t="n">
        <v>1980</v>
      </c>
      <c r="D68" s="4" t="s">
        <v>6499</v>
      </c>
      <c r="E68" s="4" t="str">
        <f aca="false">IF(B68="","",LOWER(B68)&amp;"|"&amp;C68)</f>
        <v>raging bull|1980</v>
      </c>
    </row>
    <row r="69" customFormat="false" ht="15" hidden="false" customHeight="false" outlineLevel="0" collapsed="false">
      <c r="A69" s="4" t="s">
        <v>6500</v>
      </c>
      <c r="B69" s="4" t="s">
        <v>626</v>
      </c>
      <c r="C69" s="4" t="n">
        <v>1998</v>
      </c>
      <c r="D69" s="4" t="s">
        <v>6501</v>
      </c>
      <c r="E69" s="4" t="str">
        <f aca="false">IF(B69="","",LOWER(B69)&amp;"|"&amp;C69)</f>
        <v>the big lebowski|1998</v>
      </c>
    </row>
    <row r="70" customFormat="false" ht="15" hidden="false" customHeight="false" outlineLevel="0" collapsed="false">
      <c r="A70" s="4" t="s">
        <v>6500</v>
      </c>
      <c r="B70" s="4" t="s">
        <v>2884</v>
      </c>
      <c r="C70" s="4" t="n">
        <v>2007</v>
      </c>
      <c r="D70" s="4" t="s">
        <v>6502</v>
      </c>
      <c r="E70" s="4" t="str">
        <f aca="false">IF(B70="","",LOWER(B70)&amp;"|"&amp;C70)</f>
        <v>the darjeeling limited|2007</v>
      </c>
    </row>
    <row r="71" customFormat="false" ht="15" hidden="false" customHeight="false" outlineLevel="0" collapsed="false">
      <c r="A71" s="4" t="s">
        <v>6500</v>
      </c>
      <c r="B71" s="4" t="s">
        <v>6503</v>
      </c>
      <c r="C71" s="4" t="n">
        <v>2007</v>
      </c>
      <c r="D71" s="4" t="s">
        <v>6504</v>
      </c>
      <c r="E71" s="4" t="str">
        <f aca="false">IF(B71="","",LOWER(B71)&amp;"|"&amp;C71)</f>
        <v>hotel chevalier|2007</v>
      </c>
    </row>
    <row r="72" customFormat="false" ht="15" hidden="false" customHeight="false" outlineLevel="0" collapsed="false">
      <c r="A72" s="4" t="s">
        <v>6500</v>
      </c>
      <c r="B72" s="4" t="s">
        <v>1421</v>
      </c>
      <c r="C72" s="4" t="n">
        <v>2019</v>
      </c>
      <c r="D72" s="4" t="s">
        <v>6505</v>
      </c>
      <c r="E72" s="4" t="str">
        <f aca="false">IF(B72="","",LOWER(B72)&amp;"|"&amp;C72)</f>
        <v>marriage story|2019</v>
      </c>
    </row>
    <row r="73" customFormat="false" ht="15" hidden="false" customHeight="false" outlineLevel="0" collapsed="false">
      <c r="A73" s="4" t="s">
        <v>6506</v>
      </c>
      <c r="B73" s="4" t="s">
        <v>640</v>
      </c>
      <c r="C73" s="4" t="n">
        <v>2010</v>
      </c>
      <c r="D73" s="4" t="s">
        <v>6507</v>
      </c>
      <c r="E73" s="4" t="str">
        <f aca="false">IF(B73="","",LOWER(B73)&amp;"|"&amp;C73)</f>
        <v>the social network|2010</v>
      </c>
    </row>
    <row r="74" customFormat="false" ht="15" hidden="false" customHeight="false" outlineLevel="0" collapsed="false">
      <c r="A74" s="4" t="s">
        <v>6508</v>
      </c>
      <c r="B74" s="4" t="s">
        <v>2754</v>
      </c>
      <c r="C74" s="4" t="n">
        <v>2001</v>
      </c>
      <c r="D74" s="4" t="s">
        <v>6509</v>
      </c>
      <c r="E74" s="4" t="str">
        <f aca="false">IF(B74="","",LOWER(B74)&amp;"|"&amp;C74)</f>
        <v>the royal tenenbaums|2001</v>
      </c>
    </row>
    <row r="75" customFormat="false" ht="15" hidden="false" customHeight="false" outlineLevel="0" collapsed="false">
      <c r="A75" s="4" t="s">
        <v>6508</v>
      </c>
      <c r="B75" s="4" t="s">
        <v>307</v>
      </c>
      <c r="C75" s="4" t="n">
        <v>1957</v>
      </c>
      <c r="D75" s="4" t="s">
        <v>6510</v>
      </c>
      <c r="E75" s="4" t="str">
        <f aca="false">IF(B75="","",LOWER(B75)&amp;"|"&amp;C75)</f>
        <v>paths of glory|1957</v>
      </c>
    </row>
    <row r="76" customFormat="false" ht="15" hidden="false" customHeight="false" outlineLevel="0" collapsed="false">
      <c r="A76" s="4" t="s">
        <v>6511</v>
      </c>
      <c r="B76" s="4" t="s">
        <v>852</v>
      </c>
      <c r="C76" s="4" t="n">
        <v>2002</v>
      </c>
      <c r="D76" s="4" t="s">
        <v>6512</v>
      </c>
      <c r="E76" s="4" t="str">
        <f aca="false">IF(B76="","",LOWER(B76)&amp;"|"&amp;C76)</f>
        <v>punch-drunk love|2002</v>
      </c>
    </row>
    <row r="77" customFormat="false" ht="15" hidden="false" customHeight="false" outlineLevel="0" collapsed="false">
      <c r="A77" s="4" t="s">
        <v>6513</v>
      </c>
      <c r="B77" s="4" t="s">
        <v>300</v>
      </c>
      <c r="C77" s="4" t="n">
        <v>1967</v>
      </c>
      <c r="D77" s="4" t="s">
        <v>6514</v>
      </c>
      <c r="E77" s="4" t="str">
        <f aca="false">IF(B77="","",LOWER(B77)&amp;"|"&amp;C77)</f>
        <v>bonnie and clyde|1967</v>
      </c>
    </row>
    <row r="78" customFormat="false" ht="15" hidden="false" customHeight="false" outlineLevel="0" collapsed="false">
      <c r="A78" s="4" t="s">
        <v>6515</v>
      </c>
      <c r="B78" s="4" t="s">
        <v>2791</v>
      </c>
      <c r="C78" s="4" t="n">
        <v>2002</v>
      </c>
      <c r="D78" s="4" t="s">
        <v>6516</v>
      </c>
      <c r="E78" s="4" t="str">
        <f aca="false">IF(B78="","",LOWER(B78)&amp;"|"&amp;C78)</f>
        <v>gangs of new york|2002</v>
      </c>
    </row>
    <row r="79" customFormat="false" ht="15" hidden="false" customHeight="false" outlineLevel="0" collapsed="false">
      <c r="A79" s="4" t="s">
        <v>6515</v>
      </c>
      <c r="B79" s="4" t="s">
        <v>398</v>
      </c>
      <c r="C79" s="4" t="n">
        <v>1985</v>
      </c>
      <c r="D79" s="4" t="s">
        <v>6517</v>
      </c>
      <c r="E79" s="4" t="str">
        <f aca="false">IF(B79="","",LOWER(B79)&amp;"|"&amp;C79)</f>
        <v>after hours|1985</v>
      </c>
    </row>
    <row r="80" customFormat="false" ht="15" hidden="false" customHeight="false" outlineLevel="0" collapsed="false">
      <c r="A80" s="4" t="s">
        <v>6518</v>
      </c>
      <c r="B80" s="4" t="s">
        <v>1175</v>
      </c>
      <c r="C80" s="4" t="n">
        <v>2006</v>
      </c>
      <c r="D80" s="4" t="s">
        <v>6519</v>
      </c>
      <c r="E80" s="4" t="str">
        <f aca="false">IF(B80="","",LOWER(B80)&amp;"|"&amp;C80)</f>
        <v>the departed|2006</v>
      </c>
    </row>
    <row r="81" customFormat="false" ht="15" hidden="false" customHeight="false" outlineLevel="0" collapsed="false">
      <c r="A81" s="4" t="s">
        <v>6518</v>
      </c>
      <c r="B81" s="4" t="s">
        <v>258</v>
      </c>
      <c r="C81" s="4" t="n">
        <v>1992</v>
      </c>
      <c r="D81" s="4" t="s">
        <v>6520</v>
      </c>
      <c r="E81" s="4" t="str">
        <f aca="false">IF(B81="","",LOWER(B81)&amp;"|"&amp;C81)</f>
        <v>reservoir dogs|1992</v>
      </c>
    </row>
    <row r="82" customFormat="false" ht="15" hidden="false" customHeight="false" outlineLevel="0" collapsed="false">
      <c r="A82" s="4" t="s">
        <v>6518</v>
      </c>
      <c r="B82" s="4" t="s">
        <v>2930</v>
      </c>
      <c r="C82" s="4" t="n">
        <v>2009</v>
      </c>
      <c r="D82" s="4" t="s">
        <v>6521</v>
      </c>
      <c r="E82" s="4" t="str">
        <f aca="false">IF(B82="","",LOWER(B82)&amp;"|"&amp;C82)</f>
        <v>inglourious basterds|2009</v>
      </c>
    </row>
    <row r="83" customFormat="false" ht="15" hidden="false" customHeight="false" outlineLevel="0" collapsed="false">
      <c r="A83" s="4" t="s">
        <v>6522</v>
      </c>
      <c r="B83" s="4" t="s">
        <v>601</v>
      </c>
      <c r="C83" s="4" t="n">
        <v>1975</v>
      </c>
      <c r="D83" s="4" t="s">
        <v>6523</v>
      </c>
      <c r="E83" s="4" t="str">
        <f aca="false">IF(B83="","",LOWER(B83)&amp;"|"&amp;C83)</f>
        <v>barry lyndon|1975</v>
      </c>
    </row>
    <row r="84" customFormat="false" ht="15" hidden="false" customHeight="false" outlineLevel="0" collapsed="false">
      <c r="A84" s="4" t="s">
        <v>6524</v>
      </c>
      <c r="B84" s="4" t="s">
        <v>194</v>
      </c>
      <c r="C84" s="4" t="n">
        <v>1974</v>
      </c>
      <c r="D84" s="4" t="s">
        <v>6525</v>
      </c>
      <c r="E84" s="4" t="str">
        <f aca="false">IF(B84="","",LOWER(B84)&amp;"|"&amp;C84)</f>
        <v>chinatown|1974</v>
      </c>
    </row>
    <row r="85" customFormat="false" ht="15" hidden="false" customHeight="false" outlineLevel="0" collapsed="false">
      <c r="A85" s="4" t="s">
        <v>6524</v>
      </c>
      <c r="B85" s="4" t="s">
        <v>6526</v>
      </c>
      <c r="C85" s="4" t="n">
        <v>1998</v>
      </c>
      <c r="D85" s="4" t="s">
        <v>6527</v>
      </c>
      <c r="E85" s="4" t="str">
        <f aca="false">IF(B85="","",LOWER(B85)&amp;"|"&amp;C85)</f>
        <v>american history x|1998</v>
      </c>
    </row>
    <row r="86" customFormat="false" ht="15" hidden="false" customHeight="false" outlineLevel="0" collapsed="false">
      <c r="A86" s="4" t="s">
        <v>6524</v>
      </c>
      <c r="B86" s="4" t="s">
        <v>3038</v>
      </c>
      <c r="C86" s="4" t="n">
        <v>2013</v>
      </c>
      <c r="D86" s="4" t="s">
        <v>6528</v>
      </c>
      <c r="E86" s="4" t="str">
        <f aca="false">IF(B86="","",LOWER(B86)&amp;"|"&amp;C86)</f>
        <v>fruitvale station|2013</v>
      </c>
    </row>
    <row r="87" customFormat="false" ht="15" hidden="false" customHeight="false" outlineLevel="0" collapsed="false">
      <c r="A87" s="4" t="s">
        <v>6529</v>
      </c>
      <c r="B87" s="4" t="s">
        <v>6530</v>
      </c>
      <c r="C87" s="4" t="n">
        <v>2010</v>
      </c>
      <c r="D87" s="4" t="s">
        <v>6531</v>
      </c>
      <c r="E87" s="4" t="str">
        <f aca="false">IF(B87="","",LOWER(B87)&amp;"|"&amp;C87)</f>
        <v>shutter island|2010</v>
      </c>
    </row>
    <row r="88" customFormat="false" ht="15" hidden="false" customHeight="false" outlineLevel="0" collapsed="false">
      <c r="A88" s="4" t="s">
        <v>6532</v>
      </c>
      <c r="B88" s="4" t="s">
        <v>6533</v>
      </c>
      <c r="C88" s="4" t="n">
        <v>2014</v>
      </c>
      <c r="D88" s="4" t="s">
        <v>6534</v>
      </c>
      <c r="E88" s="4" t="str">
        <f aca="false">IF(B88="","",LOWER(B88)&amp;"|"&amp;C88)</f>
        <v>the interview|2014</v>
      </c>
    </row>
    <row r="89" customFormat="false" ht="15" hidden="false" customHeight="false" outlineLevel="0" collapsed="false">
      <c r="A89" s="4" t="s">
        <v>6535</v>
      </c>
      <c r="B89" s="4" t="s">
        <v>629</v>
      </c>
      <c r="C89" s="4" t="n">
        <v>1999</v>
      </c>
      <c r="D89" s="4" t="s">
        <v>6536</v>
      </c>
      <c r="E89" s="4" t="str">
        <f aca="false">IF(B89="","",LOWER(B89)&amp;"|"&amp;C89)</f>
        <v>eyes wide shut|1999</v>
      </c>
    </row>
    <row r="90" customFormat="false" ht="15" hidden="false" customHeight="false" outlineLevel="0" collapsed="false">
      <c r="A90" s="4" t="s">
        <v>6537</v>
      </c>
      <c r="B90" s="4" t="s">
        <v>153</v>
      </c>
      <c r="C90" s="4" t="n">
        <v>2001</v>
      </c>
      <c r="D90" s="4" t="s">
        <v>6538</v>
      </c>
      <c r="E90" s="4" t="str">
        <f aca="false">IF(B90="","",LOWER(B90)&amp;"|"&amp;C90)</f>
        <v>mulholland drive|2001</v>
      </c>
    </row>
    <row r="91" customFormat="false" ht="15" hidden="false" customHeight="false" outlineLevel="0" collapsed="false">
      <c r="A91" s="4" t="s">
        <v>6537</v>
      </c>
      <c r="B91" s="4" t="s">
        <v>1640</v>
      </c>
      <c r="C91" s="4" t="n">
        <v>2018</v>
      </c>
      <c r="D91" s="4" t="s">
        <v>6539</v>
      </c>
      <c r="E91" s="4" t="str">
        <f aca="false">IF(B91="","",LOWER(B91)&amp;"|"&amp;C91)</f>
        <v>mid90s|2018</v>
      </c>
    </row>
    <row r="92" customFormat="false" ht="15" hidden="false" customHeight="false" outlineLevel="0" collapsed="false">
      <c r="A92" s="4" t="s">
        <v>6540</v>
      </c>
      <c r="B92" s="4" t="s">
        <v>6541</v>
      </c>
      <c r="C92" s="4" t="n">
        <v>2020</v>
      </c>
      <c r="D92" s="4" t="s">
        <v>6542</v>
      </c>
      <c r="E92" s="4" t="str">
        <f aca="false">IF(B92="","",LOWER(B92)&amp;"|"&amp;C92)</f>
        <v>the devil all the time|2020</v>
      </c>
    </row>
    <row r="93" customFormat="false" ht="15" hidden="false" customHeight="false" outlineLevel="0" collapsed="false">
      <c r="A93" s="4" t="s">
        <v>6543</v>
      </c>
      <c r="B93" s="4" t="s">
        <v>3838</v>
      </c>
      <c r="C93" s="4" t="n">
        <v>2017</v>
      </c>
      <c r="D93" s="4" t="s">
        <v>6544</v>
      </c>
      <c r="E93" s="4" t="str">
        <f aca="false">IF(B93="","",LOWER(B93)&amp;"|"&amp;C93)</f>
        <v>a ghost story|2017</v>
      </c>
    </row>
    <row r="94" customFormat="false" ht="15" hidden="false" customHeight="false" outlineLevel="0" collapsed="false">
      <c r="A94" s="4" t="s">
        <v>6543</v>
      </c>
      <c r="B94" s="4" t="s">
        <v>1221</v>
      </c>
      <c r="C94" s="4" t="n">
        <v>2014</v>
      </c>
      <c r="D94" s="4" t="s">
        <v>6545</v>
      </c>
      <c r="E94" s="4" t="str">
        <f aca="false">IF(B94="","",LOWER(B94)&amp;"|"&amp;C94)</f>
        <v>chef|2014</v>
      </c>
    </row>
    <row r="95" customFormat="false" ht="15" hidden="false" customHeight="false" outlineLevel="0" collapsed="false">
      <c r="A95" s="4" t="s">
        <v>6546</v>
      </c>
      <c r="B95" s="4" t="s">
        <v>3101</v>
      </c>
      <c r="C95" s="4" t="n">
        <v>2016</v>
      </c>
      <c r="D95" s="4" t="s">
        <v>6547</v>
      </c>
      <c r="E95" s="4" t="str">
        <f aca="false">IF(B95="","",LOWER(B95)&amp;"|"&amp;C95)</f>
        <v>la la land|2016</v>
      </c>
    </row>
    <row r="96" customFormat="false" ht="15" hidden="false" customHeight="false" outlineLevel="0" collapsed="false">
      <c r="A96" s="4" t="s">
        <v>6548</v>
      </c>
      <c r="B96" s="4" t="s">
        <v>6549</v>
      </c>
      <c r="C96" s="4" t="n">
        <v>2009</v>
      </c>
      <c r="D96" s="4" t="s">
        <v>6550</v>
      </c>
      <c r="E96" s="4" t="str">
        <f aca="false">IF(B96="","",LOWER(B96)&amp;"|"&amp;C96)</f>
        <v>zombieland|2009</v>
      </c>
    </row>
    <row r="97" customFormat="false" ht="15" hidden="false" customHeight="false" outlineLevel="0" collapsed="false">
      <c r="A97" s="4" t="s">
        <v>6551</v>
      </c>
      <c r="B97" s="4" t="s">
        <v>6552</v>
      </c>
      <c r="C97" s="4" t="n">
        <v>2012</v>
      </c>
      <c r="D97" s="4" t="s">
        <v>6553</v>
      </c>
      <c r="E97" s="4" t="str">
        <f aca="false">IF(B97="","",LOWER(B97)&amp;"|"&amp;C97)</f>
        <v>cousin ben troop screening|2012</v>
      </c>
    </row>
    <row r="98" customFormat="false" ht="15" hidden="false" customHeight="false" outlineLevel="0" collapsed="false">
      <c r="A98" s="4" t="s">
        <v>6554</v>
      </c>
      <c r="B98" s="4" t="s">
        <v>3032</v>
      </c>
      <c r="C98" s="4" t="n">
        <v>2013</v>
      </c>
      <c r="D98" s="4" t="s">
        <v>6555</v>
      </c>
      <c r="E98" s="4" t="str">
        <f aca="false">IF(B98="","",LOWER(B98)&amp;"|"&amp;C98)</f>
        <v>the wolf of wall street|2013</v>
      </c>
    </row>
    <row r="99" customFormat="false" ht="15" hidden="false" customHeight="false" outlineLevel="0" collapsed="false">
      <c r="A99" s="4" t="s">
        <v>6556</v>
      </c>
      <c r="B99" s="4" t="s">
        <v>1217</v>
      </c>
      <c r="C99" s="4" t="n">
        <v>2014</v>
      </c>
      <c r="D99" s="4" t="s">
        <v>6557</v>
      </c>
      <c r="E99" s="4" t="str">
        <f aca="false">IF(B99="","",LOWER(B99)&amp;"|"&amp;C99)</f>
        <v>gone girl|2014</v>
      </c>
    </row>
    <row r="100" customFormat="false" ht="15" hidden="false" customHeight="false" outlineLevel="0" collapsed="false">
      <c r="A100" s="4" t="s">
        <v>6556</v>
      </c>
      <c r="B100" s="4" t="s">
        <v>1069</v>
      </c>
      <c r="C100" s="4" t="n">
        <v>1985</v>
      </c>
      <c r="D100" s="4" t="s">
        <v>6558</v>
      </c>
      <c r="E100" s="4" t="str">
        <f aca="false">IF(B100="","",LOWER(B100)&amp;"|"&amp;C100)</f>
        <v>back to the future|1985</v>
      </c>
    </row>
    <row r="101" customFormat="false" ht="15" hidden="false" customHeight="false" outlineLevel="0" collapsed="false">
      <c r="A101" s="4" t="s">
        <v>6556</v>
      </c>
      <c r="B101" s="4" t="s">
        <v>1168</v>
      </c>
      <c r="C101" s="4" t="n">
        <v>2005</v>
      </c>
      <c r="D101" s="4" t="s">
        <v>6559</v>
      </c>
      <c r="E101" s="4" t="str">
        <f aca="false">IF(B101="","",LOWER(B101)&amp;"|"&amp;C101)</f>
        <v>brokeback mountain|2005</v>
      </c>
    </row>
    <row r="102" customFormat="false" ht="15" hidden="false" customHeight="false" outlineLevel="0" collapsed="false">
      <c r="A102" s="4" t="s">
        <v>6560</v>
      </c>
      <c r="B102" s="4" t="s">
        <v>1257</v>
      </c>
      <c r="C102" s="4" t="n">
        <v>2020</v>
      </c>
      <c r="D102" s="4" t="s">
        <v>6561</v>
      </c>
      <c r="E102" s="4" t="str">
        <f aca="false">IF(B102="","",LOWER(B102)&amp;"|"&amp;C102)</f>
        <v>nomadland|2020</v>
      </c>
    </row>
    <row r="103" customFormat="false" ht="15" hidden="false" customHeight="false" outlineLevel="0" collapsed="false">
      <c r="A103" s="4" t="s">
        <v>6562</v>
      </c>
      <c r="B103" s="4" t="s">
        <v>6563</v>
      </c>
      <c r="C103" s="4" t="n">
        <v>2017</v>
      </c>
      <c r="D103" s="4" t="s">
        <v>6564</v>
      </c>
      <c r="E103" s="4" t="str">
        <f aca="false">IF(B103="","",LOWER(B103)&amp;"|"&amp;C103)</f>
        <v>baby driver|2017</v>
      </c>
    </row>
    <row r="104" customFormat="false" ht="15" hidden="false" customHeight="false" outlineLevel="0" collapsed="false">
      <c r="A104" s="4" t="s">
        <v>6565</v>
      </c>
      <c r="B104" s="4" t="s">
        <v>277</v>
      </c>
      <c r="C104" s="4" t="n">
        <v>2007</v>
      </c>
      <c r="D104" s="4" t="s">
        <v>6566</v>
      </c>
      <c r="E104" s="4" t="str">
        <f aca="false">IF(B104="","",LOWER(B104)&amp;"|"&amp;C104)</f>
        <v>there will be blood|2007</v>
      </c>
    </row>
    <row r="105" customFormat="false" ht="15" hidden="false" customHeight="false" outlineLevel="0" collapsed="false">
      <c r="A105" s="4" t="s">
        <v>6567</v>
      </c>
      <c r="B105" s="4" t="s">
        <v>3637</v>
      </c>
      <c r="C105" s="4" t="n">
        <v>1986</v>
      </c>
      <c r="D105" s="4" t="s">
        <v>6568</v>
      </c>
      <c r="E105" s="4" t="str">
        <f aca="false">IF(B105="","",LOWER(B105)&amp;"|"&amp;C105)</f>
        <v>henry: portrait of a serial killer|1986</v>
      </c>
    </row>
    <row r="106" customFormat="false" ht="15" hidden="false" customHeight="false" outlineLevel="0" collapsed="false">
      <c r="A106" s="4" t="s">
        <v>6567</v>
      </c>
      <c r="B106" s="4" t="s">
        <v>6569</v>
      </c>
      <c r="C106" s="4" t="n">
        <v>2018</v>
      </c>
      <c r="D106" s="4" t="s">
        <v>6570</v>
      </c>
      <c r="E106" s="4" t="str">
        <f aca="false">IF(B106="","",LOWER(B106)&amp;"|"&amp;C106)</f>
        <v>green book|2018</v>
      </c>
    </row>
    <row r="107" customFormat="false" ht="15" hidden="false" customHeight="false" outlineLevel="0" collapsed="false">
      <c r="A107" s="4" t="s">
        <v>6567</v>
      </c>
      <c r="B107" s="4" t="s">
        <v>273</v>
      </c>
      <c r="C107" s="4" t="n">
        <v>1998</v>
      </c>
      <c r="D107" s="4" t="s">
        <v>6571</v>
      </c>
      <c r="E107" s="4" t="str">
        <f aca="false">IF(B107="","",LOWER(B107)&amp;"|"&amp;C107)</f>
        <v>rushmore|1998</v>
      </c>
    </row>
    <row r="108" customFormat="false" ht="15" hidden="false" customHeight="false" outlineLevel="0" collapsed="false">
      <c r="A108" s="4" t="s">
        <v>6567</v>
      </c>
      <c r="B108" s="4" t="s">
        <v>1593</v>
      </c>
      <c r="C108" s="4" t="n">
        <v>2005</v>
      </c>
      <c r="D108" s="4" t="s">
        <v>6572</v>
      </c>
      <c r="E108" s="4" t="str">
        <f aca="false">IF(B108="","",LOWER(B108)&amp;"|"&amp;C108)</f>
        <v>the squid and the whale|2005</v>
      </c>
    </row>
    <row r="109" customFormat="false" ht="15" hidden="false" customHeight="false" outlineLevel="0" collapsed="false">
      <c r="A109" s="4" t="s">
        <v>6573</v>
      </c>
      <c r="B109" s="4" t="s">
        <v>147</v>
      </c>
      <c r="C109" s="4" t="n">
        <v>1989</v>
      </c>
      <c r="D109" s="4" t="s">
        <v>6574</v>
      </c>
      <c r="E109" s="4" t="str">
        <f aca="false">IF(B109="","",LOWER(B109)&amp;"|"&amp;C109)</f>
        <v>do the right thing|1989</v>
      </c>
    </row>
    <row r="110" customFormat="false" ht="15" hidden="false" customHeight="false" outlineLevel="0" collapsed="false">
      <c r="A110" s="4" t="s">
        <v>6575</v>
      </c>
      <c r="B110" s="4" t="s">
        <v>6576</v>
      </c>
      <c r="C110" s="4" t="n">
        <v>2016</v>
      </c>
      <c r="D110" s="4" t="s">
        <v>6577</v>
      </c>
      <c r="E110" s="4" t="str">
        <f aca="false">IF(B110="","",LOWER(B110)&amp;"|"&amp;C110)</f>
        <v>deadpool|2016</v>
      </c>
    </row>
    <row r="111" customFormat="false" ht="15" hidden="false" customHeight="false" outlineLevel="0" collapsed="false">
      <c r="A111" s="4" t="s">
        <v>6578</v>
      </c>
      <c r="B111" s="4" t="s">
        <v>6579</v>
      </c>
      <c r="C111" s="4" t="n">
        <v>2009</v>
      </c>
      <c r="D111" s="4" t="s">
        <v>6580</v>
      </c>
      <c r="E111" s="4" t="str">
        <f aca="false">IF(B111="","",LOWER(B111)&amp;"|"&amp;C111)</f>
        <v>adventureland|2009</v>
      </c>
    </row>
    <row r="112" customFormat="false" ht="15" hidden="false" customHeight="false" outlineLevel="0" collapsed="false">
      <c r="A112" s="4" t="s">
        <v>6581</v>
      </c>
      <c r="B112" s="4" t="s">
        <v>6582</v>
      </c>
      <c r="C112" s="4" t="n">
        <v>1985</v>
      </c>
      <c r="D112" s="4" t="s">
        <v>6583</v>
      </c>
      <c r="E112" s="4" t="str">
        <f aca="false">IF(B112="","",LOWER(B112)&amp;"|"&amp;C112)</f>
        <v>the breakfast club|1985</v>
      </c>
    </row>
    <row r="113" customFormat="false" ht="15" hidden="false" customHeight="false" outlineLevel="0" collapsed="false">
      <c r="A113" s="4" t="s">
        <v>6584</v>
      </c>
      <c r="B113" s="4" t="s">
        <v>3114</v>
      </c>
      <c r="C113" s="4" t="n">
        <v>2017</v>
      </c>
      <c r="D113" s="4" t="s">
        <v>6585</v>
      </c>
      <c r="E113" s="4" t="str">
        <f aca="false">IF(B113="","",LOWER(B113)&amp;"|"&amp;C113)</f>
        <v>call me by your name|2017</v>
      </c>
    </row>
    <row r="114" customFormat="false" ht="15" hidden="false" customHeight="false" outlineLevel="0" collapsed="false">
      <c r="A114" s="4" t="s">
        <v>6584</v>
      </c>
      <c r="B114" s="4" t="s">
        <v>6586</v>
      </c>
      <c r="C114" s="4" t="n">
        <v>2020</v>
      </c>
      <c r="D114" s="4" t="s">
        <v>6587</v>
      </c>
      <c r="E114" s="4" t="str">
        <f aca="false">IF(B114="","",LOWER(B114)&amp;"|"&amp;C114)</f>
        <v>spree|2020</v>
      </c>
    </row>
    <row r="115" customFormat="false" ht="15" hidden="false" customHeight="false" outlineLevel="0" collapsed="false">
      <c r="A115" s="4" t="s">
        <v>6588</v>
      </c>
      <c r="B115" s="4" t="s">
        <v>555</v>
      </c>
      <c r="C115" s="4" t="n">
        <v>2013</v>
      </c>
      <c r="D115" s="4" t="s">
        <v>6589</v>
      </c>
      <c r="E115" s="4" t="str">
        <f aca="false">IF(B115="","",LOWER(B115)&amp;"|"&amp;C115)</f>
        <v>her|2013</v>
      </c>
    </row>
    <row r="116" customFormat="false" ht="15" hidden="false" customHeight="false" outlineLevel="0" collapsed="false">
      <c r="A116" s="4" t="s">
        <v>6590</v>
      </c>
      <c r="B116" s="4" t="s">
        <v>6591</v>
      </c>
      <c r="C116" s="4" t="n">
        <v>2008</v>
      </c>
      <c r="D116" s="4" t="s">
        <v>6592</v>
      </c>
      <c r="E116" s="4" t="str">
        <f aca="false">IF(B116="","",LOWER(B116)&amp;"|"&amp;C116)</f>
        <v>burn after reading|2008</v>
      </c>
    </row>
    <row r="117" customFormat="false" ht="15" hidden="false" customHeight="false" outlineLevel="0" collapsed="false">
      <c r="A117" s="4" t="s">
        <v>6590</v>
      </c>
      <c r="B117" s="4" t="s">
        <v>6593</v>
      </c>
      <c r="C117" s="4" t="n">
        <v>2017</v>
      </c>
      <c r="D117" s="4" t="s">
        <v>6594</v>
      </c>
      <c r="E117" s="4" t="str">
        <f aca="false">IF(B117="","",LOWER(B117)&amp;"|"&amp;C117)</f>
        <v>history of the entire world, i guess|2017</v>
      </c>
    </row>
    <row r="118" customFormat="false" ht="15" hidden="false" customHeight="false" outlineLevel="0" collapsed="false">
      <c r="A118" s="4" t="s">
        <v>6595</v>
      </c>
      <c r="B118" s="4" t="s">
        <v>2458</v>
      </c>
      <c r="C118" s="4" t="n">
        <v>1987</v>
      </c>
      <c r="D118" s="4" t="s">
        <v>6596</v>
      </c>
      <c r="E118" s="4" t="str">
        <f aca="false">IF(B118="","",LOWER(B118)&amp;"|"&amp;C118)</f>
        <v>raising arizona|1987</v>
      </c>
    </row>
    <row r="119" customFormat="false" ht="15" hidden="false" customHeight="false" outlineLevel="0" collapsed="false">
      <c r="A119" s="4" t="s">
        <v>6595</v>
      </c>
      <c r="B119" s="4" t="s">
        <v>396</v>
      </c>
      <c r="C119" s="4" t="n">
        <v>1984</v>
      </c>
      <c r="D119" s="4" t="s">
        <v>6597</v>
      </c>
      <c r="E119" s="4" t="str">
        <f aca="false">IF(B119="","",LOWER(B119)&amp;"|"&amp;C119)</f>
        <v>blood simple|1984</v>
      </c>
    </row>
    <row r="120" customFormat="false" ht="15" hidden="false" customHeight="false" outlineLevel="0" collapsed="false">
      <c r="A120" s="4" t="s">
        <v>6598</v>
      </c>
      <c r="B120" s="4" t="s">
        <v>522</v>
      </c>
      <c r="C120" s="4" t="n">
        <v>2013</v>
      </c>
      <c r="D120" s="4" t="s">
        <v>6599</v>
      </c>
      <c r="E120" s="4" t="str">
        <f aca="false">IF(B120="","",LOWER(B120)&amp;"|"&amp;C120)</f>
        <v>inside llewyn davis|2013</v>
      </c>
    </row>
    <row r="121" customFormat="false" ht="15" hidden="false" customHeight="false" outlineLevel="0" collapsed="false">
      <c r="A121" s="4" t="s">
        <v>6600</v>
      </c>
      <c r="B121" s="4" t="s">
        <v>1660</v>
      </c>
      <c r="C121" s="4" t="n">
        <v>2016</v>
      </c>
      <c r="D121" s="4" t="s">
        <v>6601</v>
      </c>
      <c r="E121" s="4" t="str">
        <f aca="false">IF(B121="","",LOWER(B121)&amp;"|"&amp;C121)</f>
        <v>hail, caesar!|2016</v>
      </c>
    </row>
    <row r="122" customFormat="false" ht="15" hidden="false" customHeight="false" outlineLevel="0" collapsed="false">
      <c r="A122" s="4" t="s">
        <v>6600</v>
      </c>
      <c r="B122" s="4" t="s">
        <v>869</v>
      </c>
      <c r="C122" s="4" t="n">
        <v>2012</v>
      </c>
      <c r="D122" s="4" t="s">
        <v>6602</v>
      </c>
      <c r="E122" s="4" t="str">
        <f aca="false">IF(B122="","",LOWER(B122)&amp;"|"&amp;C122)</f>
        <v>frances ha|2012</v>
      </c>
    </row>
    <row r="123" customFormat="false" ht="15" hidden="false" customHeight="false" outlineLevel="0" collapsed="false">
      <c r="A123" s="4" t="s">
        <v>6603</v>
      </c>
      <c r="B123" s="4" t="s">
        <v>6604</v>
      </c>
      <c r="C123" s="4" t="n">
        <v>2003</v>
      </c>
      <c r="D123" s="4" t="s">
        <v>6605</v>
      </c>
      <c r="E123" s="4" t="str">
        <f aca="false">IF(B123="","",LOWER(B123)&amp;"|"&amp;C123)</f>
        <v>intolerable cruelty|2003</v>
      </c>
    </row>
    <row r="124" customFormat="false" ht="15" hidden="false" customHeight="false" outlineLevel="0" collapsed="false">
      <c r="A124" s="4" t="s">
        <v>6603</v>
      </c>
      <c r="B124" s="4" t="s">
        <v>612</v>
      </c>
      <c r="C124" s="4" t="n">
        <v>1990</v>
      </c>
      <c r="D124" s="4" t="s">
        <v>6606</v>
      </c>
      <c r="E124" s="4" t="str">
        <f aca="false">IF(B124="","",LOWER(B124)&amp;"|"&amp;C124)</f>
        <v>miller's crossing|1990</v>
      </c>
    </row>
    <row r="125" customFormat="false" ht="15" hidden="false" customHeight="false" outlineLevel="0" collapsed="false">
      <c r="A125" s="4" t="s">
        <v>6603</v>
      </c>
      <c r="B125" s="4" t="s">
        <v>547</v>
      </c>
      <c r="C125" s="4" t="n">
        <v>1975</v>
      </c>
      <c r="D125" s="4" t="s">
        <v>6607</v>
      </c>
      <c r="E125" s="4" t="str">
        <f aca="false">IF(B125="","",LOWER(B125)&amp;"|"&amp;C125)</f>
        <v>one flew over the cuckoo's nest|1975</v>
      </c>
    </row>
    <row r="126" customFormat="false" ht="15" hidden="false" customHeight="false" outlineLevel="0" collapsed="false">
      <c r="A126" s="4" t="s">
        <v>6608</v>
      </c>
      <c r="B126" s="4" t="s">
        <v>503</v>
      </c>
      <c r="C126" s="4" t="n">
        <v>1997</v>
      </c>
      <c r="D126" s="4" t="s">
        <v>6609</v>
      </c>
      <c r="E126" s="4" t="str">
        <f aca="false">IF(B126="","",LOWER(B126)&amp;"|"&amp;C126)</f>
        <v>boogie nights|1997</v>
      </c>
    </row>
    <row r="127" customFormat="false" ht="15" hidden="false" customHeight="false" outlineLevel="0" collapsed="false">
      <c r="A127" s="4" t="s">
        <v>6610</v>
      </c>
      <c r="B127" s="4" t="s">
        <v>2815</v>
      </c>
      <c r="C127" s="4" t="n">
        <v>2004</v>
      </c>
      <c r="D127" s="4" t="s">
        <v>6611</v>
      </c>
      <c r="E127" s="4" t="str">
        <f aca="false">IF(B127="","",LOWER(B127)&amp;"|"&amp;C127)</f>
        <v>shaun of the dead|2004</v>
      </c>
    </row>
    <row r="128" customFormat="false" ht="15" hidden="false" customHeight="false" outlineLevel="0" collapsed="false">
      <c r="A128" s="4" t="s">
        <v>6610</v>
      </c>
      <c r="B128" s="4" t="s">
        <v>6612</v>
      </c>
      <c r="C128" s="4" t="n">
        <v>2017</v>
      </c>
      <c r="D128" s="4" t="s">
        <v>6613</v>
      </c>
      <c r="E128" s="4" t="str">
        <f aca="false">IF(B128="","",LOWER(B128)&amp;"|"&amp;C128)</f>
        <v>the meyerowitz stories (new and selected)|2017</v>
      </c>
    </row>
    <row r="129" customFormat="false" ht="15" hidden="false" customHeight="false" outlineLevel="0" collapsed="false">
      <c r="A129" s="4" t="s">
        <v>6610</v>
      </c>
      <c r="B129" s="4" t="s">
        <v>3096</v>
      </c>
      <c r="C129" s="4" t="n">
        <v>2016</v>
      </c>
      <c r="D129" s="4" t="s">
        <v>6614</v>
      </c>
      <c r="E129" s="4" t="str">
        <f aca="false">IF(B129="","",LOWER(B129)&amp;"|"&amp;C129)</f>
        <v>hunt for the wilderpeople|2016</v>
      </c>
    </row>
    <row r="130" customFormat="false" ht="15" hidden="false" customHeight="false" outlineLevel="0" collapsed="false">
      <c r="A130" s="4" t="s">
        <v>6615</v>
      </c>
      <c r="B130" s="4" t="s">
        <v>3194</v>
      </c>
      <c r="C130" s="4" t="n">
        <v>2020</v>
      </c>
      <c r="D130" s="4" t="s">
        <v>6616</v>
      </c>
      <c r="E130" s="4" t="str">
        <f aca="false">IF(B130="","",LOWER(B130)&amp;"|"&amp;C130)</f>
        <v>i'm thinking of ending things|2020</v>
      </c>
    </row>
    <row r="131" customFormat="false" ht="15" hidden="false" customHeight="false" outlineLevel="0" collapsed="false">
      <c r="A131" s="4" t="s">
        <v>6615</v>
      </c>
      <c r="B131" s="4" t="s">
        <v>6617</v>
      </c>
      <c r="C131" s="4" t="n">
        <v>2006</v>
      </c>
      <c r="D131" s="4" t="s">
        <v>6618</v>
      </c>
      <c r="E131" s="4" t="str">
        <f aca="false">IF(B131="","",LOWER(B131)&amp;"|"&amp;C131)</f>
        <v>stranger than fiction|2006</v>
      </c>
    </row>
    <row r="132" customFormat="false" ht="15" hidden="false" customHeight="false" outlineLevel="0" collapsed="false">
      <c r="A132" s="4" t="s">
        <v>6619</v>
      </c>
      <c r="B132" s="4" t="s">
        <v>6620</v>
      </c>
      <c r="C132" s="4" t="n">
        <v>1999</v>
      </c>
      <c r="D132" s="4" t="s">
        <v>6621</v>
      </c>
      <c r="E132" s="4" t="str">
        <f aca="false">IF(B132="","",LOWER(B132)&amp;"|"&amp;C132)</f>
        <v>american beauty|1999</v>
      </c>
    </row>
    <row r="133" customFormat="false" ht="15" hidden="false" customHeight="false" outlineLevel="0" collapsed="false">
      <c r="A133" s="4" t="s">
        <v>6619</v>
      </c>
      <c r="B133" s="4" t="s">
        <v>6622</v>
      </c>
      <c r="C133" s="4" t="n">
        <v>2000</v>
      </c>
      <c r="D133" s="4" t="s">
        <v>6623</v>
      </c>
      <c r="E133" s="4" t="str">
        <f aca="false">IF(B133="","",LOWER(B133)&amp;"|"&amp;C133)</f>
        <v>requiem for a dream|2000</v>
      </c>
    </row>
    <row r="134" customFormat="false" ht="15" hidden="false" customHeight="false" outlineLevel="0" collapsed="false">
      <c r="A134" s="4" t="s">
        <v>6624</v>
      </c>
      <c r="B134" s="4" t="s">
        <v>482</v>
      </c>
      <c r="C134" s="4" t="n">
        <v>1975</v>
      </c>
      <c r="D134" s="4" t="s">
        <v>6625</v>
      </c>
      <c r="E134" s="4" t="str">
        <f aca="false">IF(B134="","",LOWER(B134)&amp;"|"&amp;C134)</f>
        <v>dog day afternoon|1975</v>
      </c>
    </row>
    <row r="135" customFormat="false" ht="15" hidden="false" customHeight="false" outlineLevel="0" collapsed="false">
      <c r="A135" s="4" t="s">
        <v>6626</v>
      </c>
      <c r="B135" s="4" t="s">
        <v>6627</v>
      </c>
      <c r="C135" s="4" t="n">
        <v>1986</v>
      </c>
      <c r="D135" s="4" t="s">
        <v>6628</v>
      </c>
      <c r="E135" s="4" t="str">
        <f aca="false">IF(B135="","",LOWER(B135)&amp;"|"&amp;C135)</f>
        <v>psycho iii|1986</v>
      </c>
    </row>
    <row r="136" customFormat="false" ht="15" hidden="false" customHeight="false" outlineLevel="0" collapsed="false">
      <c r="A136" s="4" t="s">
        <v>6626</v>
      </c>
      <c r="B136" s="4" t="s">
        <v>1250</v>
      </c>
      <c r="C136" s="4" t="n">
        <v>2019</v>
      </c>
      <c r="D136" s="4" t="s">
        <v>6629</v>
      </c>
      <c r="E136" s="4" t="str">
        <f aca="false">IF(B136="","",LOWER(B136)&amp;"|"&amp;C136)</f>
        <v>1917|2019</v>
      </c>
    </row>
    <row r="137" customFormat="false" ht="15" hidden="false" customHeight="false" outlineLevel="0" collapsed="false">
      <c r="A137" s="4" t="s">
        <v>6630</v>
      </c>
      <c r="B137" s="4" t="s">
        <v>3185</v>
      </c>
      <c r="C137" s="4" t="n">
        <v>2019</v>
      </c>
      <c r="D137" s="4" t="s">
        <v>6631</v>
      </c>
      <c r="E137" s="4" t="str">
        <f aca="false">IF(B137="","",LOWER(B137)&amp;"|"&amp;C137)</f>
        <v>little women|2019</v>
      </c>
    </row>
    <row r="138" customFormat="false" ht="15" hidden="false" customHeight="false" outlineLevel="0" collapsed="false">
      <c r="A138" s="4" t="s">
        <v>6630</v>
      </c>
      <c r="B138" s="4" t="s">
        <v>6632</v>
      </c>
      <c r="C138" s="4" t="n">
        <v>2011</v>
      </c>
      <c r="D138" s="4" t="s">
        <v>6633</v>
      </c>
      <c r="E138" s="4" t="str">
        <f aca="false">IF(B138="","",LOWER(B138)&amp;"|"&amp;C138)</f>
        <v>crazy, stupid, love.|2011</v>
      </c>
    </row>
    <row r="139" customFormat="false" ht="15" hidden="false" customHeight="false" outlineLevel="0" collapsed="false">
      <c r="A139" s="4" t="s">
        <v>6634</v>
      </c>
      <c r="B139" s="4" t="s">
        <v>641</v>
      </c>
      <c r="C139" s="4" t="n">
        <v>2012</v>
      </c>
      <c r="D139" s="4" t="s">
        <v>6635</v>
      </c>
      <c r="E139" s="4" t="str">
        <f aca="false">IF(B139="","",LOWER(B139)&amp;"|"&amp;C139)</f>
        <v>the master|2012</v>
      </c>
    </row>
    <row r="140" customFormat="false" ht="15" hidden="false" customHeight="false" outlineLevel="0" collapsed="false">
      <c r="A140" s="4" t="s">
        <v>6636</v>
      </c>
      <c r="B140" s="4" t="s">
        <v>6637</v>
      </c>
      <c r="C140" s="4" t="n">
        <v>2021</v>
      </c>
      <c r="D140" s="4" t="s">
        <v>6638</v>
      </c>
      <c r="E140" s="4" t="str">
        <f aca="false">IF(B140="","",LOWER(B140)&amp;"|"&amp;C140)</f>
        <v>bad trip|2021</v>
      </c>
    </row>
    <row r="141" customFormat="false" ht="15" hidden="false" customHeight="false" outlineLevel="0" collapsed="false">
      <c r="A141" s="4" t="s">
        <v>6636</v>
      </c>
      <c r="B141" s="4" t="s">
        <v>6639</v>
      </c>
      <c r="C141" s="4" t="n">
        <v>1987</v>
      </c>
      <c r="D141" s="4" t="s">
        <v>6640</v>
      </c>
      <c r="E141" s="4" t="str">
        <f aca="false">IF(B141="","",LOWER(B141)&amp;"|"&amp;C141)</f>
        <v>evil dead ii|1987</v>
      </c>
    </row>
    <row r="142" customFormat="false" ht="15" hidden="false" customHeight="false" outlineLevel="0" collapsed="false">
      <c r="A142" s="4" t="s">
        <v>6641</v>
      </c>
      <c r="B142" s="4" t="s">
        <v>3074</v>
      </c>
      <c r="C142" s="4" t="n">
        <v>2015</v>
      </c>
      <c r="D142" s="4" t="s">
        <v>6642</v>
      </c>
      <c r="E142" s="4" t="str">
        <f aca="false">IF(B142="","",LOWER(B142)&amp;"|"&amp;C142)</f>
        <v>the revenant|2015</v>
      </c>
    </row>
    <row r="143" customFormat="false" ht="15" hidden="false" customHeight="false" outlineLevel="0" collapsed="false">
      <c r="A143" s="4" t="s">
        <v>6643</v>
      </c>
      <c r="B143" s="4" t="s">
        <v>206</v>
      </c>
      <c r="C143" s="4" t="n">
        <v>1972</v>
      </c>
      <c r="D143" s="4" t="s">
        <v>6644</v>
      </c>
      <c r="E143" s="4" t="str">
        <f aca="false">IF(B143="","",LOWER(B143)&amp;"|"&amp;C143)</f>
        <v>the godfather|1972</v>
      </c>
    </row>
    <row r="144" customFormat="false" ht="15" hidden="false" customHeight="false" outlineLevel="0" collapsed="false">
      <c r="A144" s="4" t="s">
        <v>6643</v>
      </c>
      <c r="B144" s="4" t="s">
        <v>6645</v>
      </c>
      <c r="C144" s="4" t="n">
        <v>2019</v>
      </c>
      <c r="D144" s="4" t="s">
        <v>6646</v>
      </c>
      <c r="E144" s="4" t="str">
        <f aca="false">IF(B144="","",LOWER(B144)&amp;"|"&amp;C144)</f>
        <v>bombshell|2019</v>
      </c>
    </row>
    <row r="145" customFormat="false" ht="15" hidden="false" customHeight="false" outlineLevel="0" collapsed="false">
      <c r="A145" s="4" t="s">
        <v>6647</v>
      </c>
      <c r="B145" s="4" t="s">
        <v>440</v>
      </c>
      <c r="C145" s="4" t="n">
        <v>2003</v>
      </c>
      <c r="D145" s="4" t="s">
        <v>6648</v>
      </c>
      <c r="E145" s="4" t="str">
        <f aca="false">IF(B145="","",LOWER(B145)&amp;"|"&amp;C145)</f>
        <v>lost in translation|2003</v>
      </c>
    </row>
    <row r="146" customFormat="false" ht="15" hidden="false" customHeight="false" outlineLevel="0" collapsed="false">
      <c r="A146" s="4" t="s">
        <v>6647</v>
      </c>
      <c r="B146" s="4" t="s">
        <v>6649</v>
      </c>
      <c r="C146" s="4" t="n">
        <v>2012</v>
      </c>
      <c r="D146" s="4" t="s">
        <v>6650</v>
      </c>
      <c r="E146" s="4" t="str">
        <f aca="false">IF(B146="","",LOWER(B146)&amp;"|"&amp;C146)</f>
        <v>hitchcock|2012</v>
      </c>
    </row>
    <row r="147" customFormat="false" ht="15" hidden="false" customHeight="false" outlineLevel="0" collapsed="false">
      <c r="A147" s="4" t="s">
        <v>6647</v>
      </c>
      <c r="B147" s="4" t="s">
        <v>3177</v>
      </c>
      <c r="C147" s="4" t="n">
        <v>2019</v>
      </c>
      <c r="D147" s="4" t="s">
        <v>6651</v>
      </c>
      <c r="E147" s="4" t="str">
        <f aca="false">IF(B147="","",LOWER(B147)&amp;"|"&amp;C147)</f>
        <v>jojo rabbit|2019</v>
      </c>
    </row>
    <row r="148" customFormat="false" ht="15" hidden="false" customHeight="false" outlineLevel="0" collapsed="false">
      <c r="A148" s="4" t="s">
        <v>6652</v>
      </c>
      <c r="B148" s="4" t="s">
        <v>6653</v>
      </c>
      <c r="C148" s="4" t="n">
        <v>2010</v>
      </c>
      <c r="D148" s="4" t="s">
        <v>6654</v>
      </c>
      <c r="E148" s="4" t="str">
        <f aca="false">IF(B148="","",LOWER(B148)&amp;"|"&amp;C148)</f>
        <v>black swan|2010</v>
      </c>
    </row>
    <row r="149" customFormat="false" ht="15" hidden="false" customHeight="false" outlineLevel="0" collapsed="false">
      <c r="A149" s="4" t="s">
        <v>6655</v>
      </c>
      <c r="B149" s="4" t="s">
        <v>509</v>
      </c>
      <c r="C149" s="4" t="n">
        <v>1999</v>
      </c>
      <c r="D149" s="4" t="s">
        <v>6656</v>
      </c>
      <c r="E149" s="4" t="str">
        <f aca="false">IF(B149="","",LOWER(B149)&amp;"|"&amp;C149)</f>
        <v>magnolia|1999</v>
      </c>
    </row>
    <row r="150" customFormat="false" ht="15" hidden="false" customHeight="false" outlineLevel="0" collapsed="false">
      <c r="A150" s="4" t="s">
        <v>6655</v>
      </c>
      <c r="B150" s="4" t="s">
        <v>1381</v>
      </c>
      <c r="C150" s="4" t="n">
        <v>1991</v>
      </c>
      <c r="D150" s="4" t="s">
        <v>6657</v>
      </c>
      <c r="E150" s="4" t="str">
        <f aca="false">IF(B150="","",LOWER(B150)&amp;"|"&amp;C150)</f>
        <v>barton fink|1991</v>
      </c>
    </row>
    <row r="151" customFormat="false" ht="15" hidden="false" customHeight="false" outlineLevel="0" collapsed="false">
      <c r="A151" s="4" t="s">
        <v>6658</v>
      </c>
      <c r="B151" s="4" t="s">
        <v>6659</v>
      </c>
      <c r="C151" s="4" t="n">
        <v>2019</v>
      </c>
      <c r="D151" s="4" t="s">
        <v>6660</v>
      </c>
      <c r="E151" s="4" t="str">
        <f aca="false">IF(B151="","",LOWER(B151)&amp;"|"&amp;C151)</f>
        <v>vivarium|2019</v>
      </c>
    </row>
    <row r="152" customFormat="false" ht="15" hidden="false" customHeight="false" outlineLevel="0" collapsed="false">
      <c r="A152" s="4" t="s">
        <v>6661</v>
      </c>
      <c r="B152" s="4" t="s">
        <v>3171</v>
      </c>
      <c r="C152" s="4" t="n">
        <v>2019</v>
      </c>
      <c r="D152" s="4" t="s">
        <v>6662</v>
      </c>
      <c r="E152" s="4" t="str">
        <f aca="false">IF(B152="","",LOWER(B152)&amp;"|"&amp;C152)</f>
        <v>midsommar|2019</v>
      </c>
    </row>
    <row r="153" customFormat="false" ht="15" hidden="false" customHeight="false" outlineLevel="0" collapsed="false">
      <c r="A153" s="4" t="s">
        <v>6663</v>
      </c>
      <c r="B153" s="4" t="s">
        <v>427</v>
      </c>
      <c r="C153" s="4" t="n">
        <v>1996</v>
      </c>
      <c r="D153" s="4" t="s">
        <v>6664</v>
      </c>
      <c r="E153" s="4" t="str">
        <f aca="false">IF(B153="","",LOWER(B153)&amp;"|"&amp;C153)</f>
        <v>fargo|1996</v>
      </c>
    </row>
    <row r="154" customFormat="false" ht="15" hidden="false" customHeight="false" outlineLevel="0" collapsed="false">
      <c r="A154" s="4" t="s">
        <v>6665</v>
      </c>
      <c r="B154" s="4" t="s">
        <v>1122</v>
      </c>
      <c r="C154" s="4" t="n">
        <v>1997</v>
      </c>
      <c r="D154" s="4" t="s">
        <v>6666</v>
      </c>
      <c r="E154" s="4" t="str">
        <f aca="false">IF(B154="","",LOWER(B154)&amp;"|"&amp;C154)</f>
        <v>good will hunting|1997</v>
      </c>
    </row>
    <row r="155" customFormat="false" ht="15" hidden="false" customHeight="false" outlineLevel="0" collapsed="false">
      <c r="A155" s="4" t="s">
        <v>6667</v>
      </c>
      <c r="B155" s="4" t="s">
        <v>6668</v>
      </c>
      <c r="C155" s="4" t="n">
        <v>2019</v>
      </c>
      <c r="D155" s="4" t="s">
        <v>6669</v>
      </c>
      <c r="E155" s="4" t="str">
        <f aca="false">IF(B155="","",LOWER(B155)&amp;"|"&amp;C155)</f>
        <v>the platform|2019</v>
      </c>
    </row>
    <row r="156" customFormat="false" ht="15" hidden="false" customHeight="false" outlineLevel="0" collapsed="false">
      <c r="A156" s="4" t="s">
        <v>6670</v>
      </c>
      <c r="B156" s="4" t="s">
        <v>6671</v>
      </c>
      <c r="C156" s="4" t="n">
        <v>2017</v>
      </c>
      <c r="D156" s="4" t="s">
        <v>6672</v>
      </c>
      <c r="E156" s="4" t="str">
        <f aca="false">IF(B156="","",LOWER(B156)&amp;"|"&amp;C156)</f>
        <v>i, tonya|2017</v>
      </c>
    </row>
    <row r="157" customFormat="false" ht="15" hidden="false" customHeight="false" outlineLevel="0" collapsed="false">
      <c r="A157" s="4" t="s">
        <v>6673</v>
      </c>
      <c r="B157" s="4" t="s">
        <v>6674</v>
      </c>
      <c r="C157" s="4" t="n">
        <v>2019</v>
      </c>
      <c r="D157" s="4" t="s">
        <v>6675</v>
      </c>
      <c r="E157" s="4" t="str">
        <f aca="false">IF(B157="","",LOWER(B157)&amp;"|"&amp;C157)</f>
        <v>yesterday|2019</v>
      </c>
    </row>
    <row r="158" customFormat="false" ht="15" hidden="false" customHeight="false" outlineLevel="0" collapsed="false">
      <c r="A158" s="4" t="s">
        <v>6673</v>
      </c>
      <c r="B158" s="4" t="s">
        <v>620</v>
      </c>
      <c r="C158" s="4" t="n">
        <v>1996</v>
      </c>
      <c r="D158" s="4" t="s">
        <v>6676</v>
      </c>
      <c r="E158" s="4" t="str">
        <f aca="false">IF(B158="","",LOWER(B158)&amp;"|"&amp;C158)</f>
        <v>hard eight|1996</v>
      </c>
    </row>
    <row r="159" customFormat="false" ht="15" hidden="false" customHeight="false" outlineLevel="0" collapsed="false">
      <c r="A159" s="4" t="s">
        <v>6677</v>
      </c>
      <c r="B159" s="4" t="s">
        <v>6678</v>
      </c>
      <c r="C159" s="4" t="n">
        <v>1998</v>
      </c>
      <c r="D159" s="4" t="s">
        <v>6679</v>
      </c>
      <c r="E159" s="4" t="str">
        <f aca="false">IF(B159="","",LOWER(B159)&amp;"|"&amp;C159)</f>
        <v>fear and loathing in las vegas|1998</v>
      </c>
    </row>
    <row r="160" customFormat="false" ht="15" hidden="false" customHeight="false" outlineLevel="0" collapsed="false">
      <c r="A160" s="4" t="s">
        <v>6677</v>
      </c>
      <c r="B160" s="4" t="s">
        <v>6680</v>
      </c>
      <c r="C160" s="4" t="n">
        <v>1989</v>
      </c>
      <c r="D160" s="4" t="s">
        <v>6681</v>
      </c>
      <c r="E160" s="4" t="str">
        <f aca="false">IF(B160="","",LOWER(B160)&amp;"|"&amp;C160)</f>
        <v>back to the future part ii|1989</v>
      </c>
    </row>
    <row r="161" customFormat="false" ht="15" hidden="false" customHeight="false" outlineLevel="0" collapsed="false">
      <c r="A161" s="4" t="s">
        <v>6682</v>
      </c>
      <c r="B161" s="4" t="s">
        <v>190</v>
      </c>
      <c r="C161" s="4" t="n">
        <v>1954</v>
      </c>
      <c r="D161" s="4" t="s">
        <v>6683</v>
      </c>
      <c r="E161" s="4" t="str">
        <f aca="false">IF(B161="","",LOWER(B161)&amp;"|"&amp;C161)</f>
        <v>rear window|1954</v>
      </c>
    </row>
    <row r="162" customFormat="false" ht="15" hidden="false" customHeight="false" outlineLevel="0" collapsed="false">
      <c r="A162" s="4" t="s">
        <v>6684</v>
      </c>
      <c r="B162" s="4" t="s">
        <v>6685</v>
      </c>
      <c r="C162" s="4" t="n">
        <v>2008</v>
      </c>
      <c r="D162" s="4" t="s">
        <v>6686</v>
      </c>
      <c r="E162" s="4" t="str">
        <f aca="false">IF(B162="","",LOWER(B162)&amp;"|"&amp;C162)</f>
        <v>bronson|2008</v>
      </c>
    </row>
    <row r="163" customFormat="false" ht="15" hidden="false" customHeight="false" outlineLevel="0" collapsed="false">
      <c r="A163" s="4" t="s">
        <v>6684</v>
      </c>
      <c r="B163" s="4" t="s">
        <v>6687</v>
      </c>
      <c r="C163" s="4" t="n">
        <v>1990</v>
      </c>
      <c r="D163" s="4" t="s">
        <v>6688</v>
      </c>
      <c r="E163" s="4" t="str">
        <f aca="false">IF(B163="","",LOWER(B163)&amp;"|"&amp;C163)</f>
        <v>back to the future part iii|1990</v>
      </c>
    </row>
    <row r="164" customFormat="false" ht="15" hidden="false" customHeight="false" outlineLevel="0" collapsed="false">
      <c r="A164" s="4" t="s">
        <v>6689</v>
      </c>
      <c r="B164" s="4" t="s">
        <v>644</v>
      </c>
      <c r="C164" s="4" t="n">
        <v>2014</v>
      </c>
      <c r="D164" s="4" t="s">
        <v>6690</v>
      </c>
      <c r="E164" s="4" t="str">
        <f aca="false">IF(B164="","",LOWER(B164)&amp;"|"&amp;C164)</f>
        <v>inherent vice|2014</v>
      </c>
    </row>
    <row r="165" customFormat="false" ht="15" hidden="false" customHeight="false" outlineLevel="0" collapsed="false">
      <c r="A165" s="4" t="s">
        <v>6691</v>
      </c>
      <c r="B165" s="4" t="s">
        <v>321</v>
      </c>
      <c r="C165" s="4" t="n">
        <v>1997</v>
      </c>
      <c r="D165" s="4" t="s">
        <v>6692</v>
      </c>
      <c r="E165" s="4" t="str">
        <f aca="false">IF(B165="","",LOWER(B165)&amp;"|"&amp;C165)</f>
        <v>taste of cherry|1997</v>
      </c>
    </row>
    <row r="166" customFormat="false" ht="15" hidden="false" customHeight="false" outlineLevel="0" collapsed="false">
      <c r="A166" s="4" t="s">
        <v>6693</v>
      </c>
      <c r="B166" s="4" t="s">
        <v>6694</v>
      </c>
      <c r="C166" s="4" t="n">
        <v>1990</v>
      </c>
      <c r="D166" s="4" t="s">
        <v>6695</v>
      </c>
      <c r="E166" s="4" t="str">
        <f aca="false">IF(B166="","",LOWER(B166)&amp;"|"&amp;C166)</f>
        <v>misery|1990</v>
      </c>
    </row>
    <row r="167" customFormat="false" ht="15" hidden="false" customHeight="false" outlineLevel="0" collapsed="false">
      <c r="A167" s="4" t="s">
        <v>6696</v>
      </c>
      <c r="B167" s="4" t="s">
        <v>2352</v>
      </c>
      <c r="C167" s="4" t="n">
        <v>1981</v>
      </c>
      <c r="D167" s="4" t="s">
        <v>6697</v>
      </c>
      <c r="E167" s="4" t="str">
        <f aca="false">IF(B167="","",LOWER(B167)&amp;"|"&amp;C167)</f>
        <v>escape from new york|1981</v>
      </c>
    </row>
    <row r="168" customFormat="false" ht="15" hidden="false" customHeight="false" outlineLevel="0" collapsed="false">
      <c r="A168" s="4" t="s">
        <v>6698</v>
      </c>
      <c r="B168" s="4" t="s">
        <v>6699</v>
      </c>
      <c r="C168" s="4" t="n">
        <v>2011</v>
      </c>
      <c r="D168" s="4" t="s">
        <v>6700</v>
      </c>
      <c r="E168" s="4" t="str">
        <f aca="false">IF(B168="","",LOWER(B168)&amp;"|"&amp;C168)</f>
        <v>hugo|2011</v>
      </c>
    </row>
    <row r="169" customFormat="false" ht="15" hidden="false" customHeight="false" outlineLevel="0" collapsed="false">
      <c r="A169" s="4" t="s">
        <v>6701</v>
      </c>
      <c r="B169" s="4" t="s">
        <v>220</v>
      </c>
      <c r="C169" s="4" t="n">
        <v>1950</v>
      </c>
      <c r="D169" s="4" t="s">
        <v>6702</v>
      </c>
      <c r="E169" s="4" t="str">
        <f aca="false">IF(B169="","",LOWER(B169)&amp;"|"&amp;C169)</f>
        <v>rashomon|1950</v>
      </c>
    </row>
    <row r="170" customFormat="false" ht="15" hidden="false" customHeight="false" outlineLevel="0" collapsed="false">
      <c r="A170" s="4" t="s">
        <v>6703</v>
      </c>
      <c r="B170" s="4" t="s">
        <v>6704</v>
      </c>
      <c r="C170" s="4" t="n">
        <v>2006</v>
      </c>
      <c r="D170" s="4" t="s">
        <v>6705</v>
      </c>
      <c r="E170" s="4" t="str">
        <f aca="false">IF(B170="","",LOWER(B170)&amp;"|"&amp;C170)</f>
        <v>the pursuit of happyness|2006</v>
      </c>
    </row>
    <row r="171" customFormat="false" ht="15" hidden="false" customHeight="false" outlineLevel="0" collapsed="false">
      <c r="A171" s="4" t="s">
        <v>6706</v>
      </c>
      <c r="B171" s="4" t="s">
        <v>6707</v>
      </c>
      <c r="C171" s="4" t="n">
        <v>2019</v>
      </c>
      <c r="D171" s="4" t="s">
        <v>6708</v>
      </c>
      <c r="E171" s="4" t="str">
        <f aca="false">IF(B171="","",LOWER(B171)&amp;"|"&amp;C171)</f>
        <v>zombieland: double tap|2019</v>
      </c>
    </row>
    <row r="172" customFormat="false" ht="15" hidden="false" customHeight="false" outlineLevel="0" collapsed="false">
      <c r="A172" s="4" t="s">
        <v>6706</v>
      </c>
      <c r="B172" s="4" t="s">
        <v>6709</v>
      </c>
      <c r="C172" s="4" t="n">
        <v>2017</v>
      </c>
      <c r="D172" s="4" t="s">
        <v>6710</v>
      </c>
      <c r="E172" s="4" t="str">
        <f aca="false">IF(B172="","",LOWER(B172)&amp;"|"&amp;C172)</f>
        <v>you were never really here|2017</v>
      </c>
    </row>
    <row r="173" customFormat="false" ht="15" hidden="false" customHeight="false" outlineLevel="0" collapsed="false">
      <c r="A173" s="4" t="s">
        <v>6711</v>
      </c>
      <c r="B173" s="4" t="s">
        <v>6712</v>
      </c>
      <c r="C173" s="4" t="n">
        <v>2012</v>
      </c>
      <c r="D173" s="4" t="s">
        <v>6713</v>
      </c>
      <c r="E173" s="4" t="str">
        <f aca="false">IF(B173="","",LOWER(B173)&amp;"|"&amp;C173)</f>
        <v>end of watch|2012</v>
      </c>
    </row>
    <row r="174" customFormat="false" ht="15" hidden="false" customHeight="false" outlineLevel="0" collapsed="false">
      <c r="A174" s="4" t="s">
        <v>6714</v>
      </c>
      <c r="B174" s="4" t="s">
        <v>417</v>
      </c>
      <c r="C174" s="4" t="n">
        <v>1967</v>
      </c>
      <c r="D174" s="4" t="s">
        <v>6715</v>
      </c>
      <c r="E174" s="4" t="str">
        <f aca="false">IF(B174="","",LOWER(B174)&amp;"|"&amp;C174)</f>
        <v>the graduate|1967</v>
      </c>
    </row>
    <row r="175" customFormat="false" ht="15" hidden="false" customHeight="false" outlineLevel="0" collapsed="false">
      <c r="A175" s="4" t="s">
        <v>6716</v>
      </c>
      <c r="B175" s="4" t="s">
        <v>341</v>
      </c>
      <c r="C175" s="4" t="n">
        <v>2000</v>
      </c>
      <c r="D175" s="4" t="s">
        <v>6717</v>
      </c>
      <c r="E175" s="4" t="str">
        <f aca="false">IF(B175="","",LOWER(B175)&amp;"|"&amp;C175)</f>
        <v>memento|2000</v>
      </c>
    </row>
    <row r="176" customFormat="false" ht="15" hidden="false" customHeight="false" outlineLevel="0" collapsed="false">
      <c r="A176" s="4" t="s">
        <v>6718</v>
      </c>
      <c r="B176" s="4" t="s">
        <v>6719</v>
      </c>
      <c r="C176" s="4" t="n">
        <v>1992</v>
      </c>
      <c r="D176" s="4" t="s">
        <v>6720</v>
      </c>
      <c r="E176" s="4" t="str">
        <f aca="false">IF(B176="","",LOWER(B176)&amp;"|"&amp;C176)</f>
        <v>a few good men|1992</v>
      </c>
    </row>
    <row r="177" customFormat="false" ht="15" hidden="false" customHeight="false" outlineLevel="0" collapsed="false">
      <c r="A177" s="4" t="s">
        <v>6721</v>
      </c>
      <c r="B177" s="4" t="s">
        <v>378</v>
      </c>
      <c r="C177" s="4" t="n">
        <v>1995</v>
      </c>
      <c r="D177" s="4" t="s">
        <v>6722</v>
      </c>
      <c r="E177" s="4" t="str">
        <f aca="false">IF(B177="","",LOWER(B177)&amp;"|"&amp;C177)</f>
        <v>toy story|1995</v>
      </c>
    </row>
    <row r="178" customFormat="false" ht="15" hidden="false" customHeight="false" outlineLevel="0" collapsed="false">
      <c r="A178" s="4" t="s">
        <v>6721</v>
      </c>
      <c r="B178" s="4" t="s">
        <v>1229</v>
      </c>
      <c r="C178" s="4" t="n">
        <v>2016</v>
      </c>
      <c r="D178" s="4" t="s">
        <v>6723</v>
      </c>
      <c r="E178" s="4" t="str">
        <f aca="false">IF(B178="","",LOWER(B178)&amp;"|"&amp;C178)</f>
        <v>silence|2016</v>
      </c>
    </row>
    <row r="179" customFormat="false" ht="15" hidden="false" customHeight="false" outlineLevel="0" collapsed="false">
      <c r="A179" s="4" t="s">
        <v>6724</v>
      </c>
      <c r="B179" s="4" t="s">
        <v>2705</v>
      </c>
      <c r="C179" s="4" t="n">
        <v>1999</v>
      </c>
      <c r="D179" s="4" t="s">
        <v>6725</v>
      </c>
      <c r="E179" s="4" t="str">
        <f aca="false">IF(B179="","",LOWER(B179)&amp;"|"&amp;C179)</f>
        <v>toy story 2|1999</v>
      </c>
    </row>
    <row r="180" customFormat="false" ht="15" hidden="false" customHeight="false" outlineLevel="0" collapsed="false">
      <c r="A180" s="4" t="s">
        <v>6726</v>
      </c>
      <c r="B180" s="4" t="s">
        <v>6727</v>
      </c>
      <c r="C180" s="4" t="n">
        <v>2010</v>
      </c>
      <c r="D180" s="4" t="s">
        <v>6728</v>
      </c>
      <c r="E180" s="4" t="str">
        <f aca="false">IF(B180="","",LOWER(B180)&amp;"|"&amp;C180)</f>
        <v>toy story 3|2010</v>
      </c>
    </row>
    <row r="181" customFormat="false" ht="15" hidden="false" customHeight="false" outlineLevel="0" collapsed="false">
      <c r="A181" s="4" t="s">
        <v>6726</v>
      </c>
      <c r="B181" s="4" t="s">
        <v>6729</v>
      </c>
      <c r="C181" s="4" t="n">
        <v>2006</v>
      </c>
      <c r="D181" s="4" t="s">
        <v>6730</v>
      </c>
      <c r="E181" s="4" t="str">
        <f aca="false">IF(B181="","",LOWER(B181)&amp;"|"&amp;C181)</f>
        <v>cars|2006</v>
      </c>
    </row>
    <row r="182" customFormat="false" ht="15" hidden="false" customHeight="false" outlineLevel="0" collapsed="false">
      <c r="A182" s="4" t="s">
        <v>6731</v>
      </c>
      <c r="B182" s="4" t="s">
        <v>6732</v>
      </c>
      <c r="C182" s="4" t="n">
        <v>2017</v>
      </c>
      <c r="D182" s="4" t="s">
        <v>6733</v>
      </c>
      <c r="E182" s="4" t="str">
        <f aca="false">IF(B182="","",LOWER(B182)&amp;"|"&amp;C182)</f>
        <v>wonder|2017</v>
      </c>
    </row>
    <row r="183" customFormat="false" ht="15" hidden="false" customHeight="false" outlineLevel="0" collapsed="false">
      <c r="A183" s="4" t="s">
        <v>6734</v>
      </c>
      <c r="B183" s="4" t="s">
        <v>2660</v>
      </c>
      <c r="C183" s="4" t="n">
        <v>1996</v>
      </c>
      <c r="D183" s="4" t="s">
        <v>6735</v>
      </c>
      <c r="E183" s="4" t="str">
        <f aca="false">IF(B183="","",LOWER(B183)&amp;"|"&amp;C183)</f>
        <v>the daytrippers|1996</v>
      </c>
    </row>
    <row r="184" customFormat="false" ht="15" hidden="false" customHeight="false" outlineLevel="0" collapsed="false">
      <c r="A184" s="4" t="s">
        <v>6734</v>
      </c>
      <c r="B184" s="4" t="s">
        <v>609</v>
      </c>
      <c r="C184" s="4" t="n">
        <v>1982</v>
      </c>
      <c r="D184" s="4" t="s">
        <v>6736</v>
      </c>
      <c r="E184" s="4" t="str">
        <f aca="false">IF(B184="","",LOWER(B184)&amp;"|"&amp;C184)</f>
        <v>e.t. the extra-terrestrial|1982</v>
      </c>
    </row>
    <row r="185" customFormat="false" ht="15" hidden="false" customHeight="false" outlineLevel="0" collapsed="false">
      <c r="A185" s="4" t="s">
        <v>6737</v>
      </c>
      <c r="B185" s="4" t="s">
        <v>6738</v>
      </c>
      <c r="C185" s="4" t="n">
        <v>2009</v>
      </c>
      <c r="D185" s="4" t="s">
        <v>6739</v>
      </c>
      <c r="E185" s="4" t="str">
        <f aca="false">IF(B185="","",LOWER(B185)&amp;"|"&amp;C185)</f>
        <v>the hangover|2009</v>
      </c>
    </row>
    <row r="186" customFormat="false" ht="15" hidden="false" customHeight="false" outlineLevel="0" collapsed="false">
      <c r="A186" s="4" t="s">
        <v>6740</v>
      </c>
      <c r="B186" s="4" t="s">
        <v>1198</v>
      </c>
      <c r="C186" s="4" t="n">
        <v>2011</v>
      </c>
      <c r="D186" s="4" t="s">
        <v>6741</v>
      </c>
      <c r="E186" s="4" t="str">
        <f aca="false">IF(B186="","",LOWER(B186)&amp;"|"&amp;C186)</f>
        <v>the tree of life|2011</v>
      </c>
    </row>
    <row r="187" customFormat="false" ht="15" hidden="false" customHeight="false" outlineLevel="0" collapsed="false">
      <c r="A187" s="4" t="s">
        <v>6740</v>
      </c>
      <c r="B187" s="4" t="s">
        <v>6742</v>
      </c>
      <c r="C187" s="4" t="n">
        <v>2011</v>
      </c>
      <c r="D187" s="4" t="s">
        <v>6743</v>
      </c>
      <c r="E187" s="4" t="str">
        <f aca="false">IF(B187="","",LOWER(B187)&amp;"|"&amp;C187)</f>
        <v>the hangover part ii|2011</v>
      </c>
    </row>
    <row r="188" customFormat="false" ht="15" hidden="false" customHeight="false" outlineLevel="0" collapsed="false">
      <c r="A188" s="4" t="s">
        <v>6744</v>
      </c>
      <c r="B188" s="4" t="s">
        <v>6745</v>
      </c>
      <c r="C188" s="4" t="n">
        <v>2004</v>
      </c>
      <c r="D188" s="4" t="s">
        <v>6746</v>
      </c>
      <c r="E188" s="4" t="str">
        <f aca="false">IF(B188="","",LOWER(B188)&amp;"|"&amp;C188)</f>
        <v>the aviator|2004</v>
      </c>
    </row>
    <row r="189" customFormat="false" ht="15" hidden="false" customHeight="false" outlineLevel="0" collapsed="false">
      <c r="A189" s="4" t="s">
        <v>6747</v>
      </c>
      <c r="B189" s="4" t="s">
        <v>363</v>
      </c>
      <c r="C189" s="4" t="n">
        <v>1981</v>
      </c>
      <c r="D189" s="4" t="s">
        <v>6748</v>
      </c>
      <c r="E189" s="4" t="str">
        <f aca="false">IF(B189="","",LOWER(B189)&amp;"|"&amp;C189)</f>
        <v>raiders of the lost ark|1981</v>
      </c>
    </row>
    <row r="190" customFormat="false" ht="15" hidden="false" customHeight="false" outlineLevel="0" collapsed="false">
      <c r="A190" s="4" t="s">
        <v>6749</v>
      </c>
      <c r="B190" s="4" t="s">
        <v>2582</v>
      </c>
      <c r="C190" s="4" t="n">
        <v>1994</v>
      </c>
      <c r="D190" s="4" t="s">
        <v>6750</v>
      </c>
      <c r="E190" s="4" t="str">
        <f aca="false">IF(B190="","",LOWER(B190)&amp;"|"&amp;C190)</f>
        <v>dumb and dumber|1994</v>
      </c>
    </row>
    <row r="191" customFormat="false" ht="15" hidden="false" customHeight="false" outlineLevel="0" collapsed="false">
      <c r="A191" s="4" t="s">
        <v>6751</v>
      </c>
      <c r="B191" s="4" t="s">
        <v>6752</v>
      </c>
      <c r="C191" s="4" t="n">
        <v>2019</v>
      </c>
      <c r="D191" s="4" t="s">
        <v>6753</v>
      </c>
      <c r="E191" s="4" t="str">
        <f aca="false">IF(B191="","",LOWER(B191)&amp;"|"&amp;C191)</f>
        <v>toy story 4|2019</v>
      </c>
    </row>
    <row r="192" customFormat="false" ht="15" hidden="false" customHeight="false" outlineLevel="0" collapsed="false">
      <c r="A192" s="4" t="s">
        <v>6754</v>
      </c>
      <c r="B192" s="4" t="s">
        <v>284</v>
      </c>
      <c r="C192" s="4" t="n">
        <v>1950</v>
      </c>
      <c r="D192" s="4" t="s">
        <v>6755</v>
      </c>
      <c r="E192" s="4" t="str">
        <f aca="false">IF(B192="","",LOWER(B192)&amp;"|"&amp;C192)</f>
        <v>sunset boulevard|1950</v>
      </c>
    </row>
    <row r="193" customFormat="false" ht="15" hidden="false" customHeight="false" outlineLevel="0" collapsed="false">
      <c r="A193" s="4" t="s">
        <v>6756</v>
      </c>
      <c r="B193" s="4" t="s">
        <v>6757</v>
      </c>
      <c r="C193" s="4" t="n">
        <v>1986</v>
      </c>
      <c r="D193" s="4" t="s">
        <v>6758</v>
      </c>
      <c r="E193" s="4" t="str">
        <f aca="false">IF(B193="","",LOWER(B193)&amp;"|"&amp;C193)</f>
        <v>ferris bueller's day off|1986</v>
      </c>
    </row>
    <row r="194" customFormat="false" ht="15" hidden="false" customHeight="false" outlineLevel="0" collapsed="false">
      <c r="A194" s="4" t="s">
        <v>6756</v>
      </c>
      <c r="B194" s="4" t="s">
        <v>6759</v>
      </c>
      <c r="C194" s="4" t="n">
        <v>2013</v>
      </c>
      <c r="D194" s="4" t="s">
        <v>6760</v>
      </c>
      <c r="E194" s="4" t="str">
        <f aca="false">IF(B194="","",LOWER(B194)&amp;"|"&amp;C194)</f>
        <v>the hangover part iii|2013</v>
      </c>
    </row>
    <row r="195" customFormat="false" ht="15" hidden="false" customHeight="false" outlineLevel="0" collapsed="false">
      <c r="A195" s="4" t="s">
        <v>6761</v>
      </c>
      <c r="B195" s="4" t="s">
        <v>2701</v>
      </c>
      <c r="C195" s="4" t="n">
        <v>1999</v>
      </c>
      <c r="D195" s="4" t="s">
        <v>6762</v>
      </c>
      <c r="E195" s="4" t="str">
        <f aca="false">IF(B195="","",LOWER(B195)&amp;"|"&amp;C195)</f>
        <v>office space|1999</v>
      </c>
    </row>
    <row r="196" customFormat="false" ht="15" hidden="false" customHeight="false" outlineLevel="0" collapsed="false">
      <c r="A196" s="4" t="s">
        <v>6763</v>
      </c>
      <c r="B196" s="4" t="s">
        <v>649</v>
      </c>
      <c r="C196" s="4" t="n">
        <v>2017</v>
      </c>
      <c r="D196" s="4" t="s">
        <v>6764</v>
      </c>
      <c r="E196" s="4" t="str">
        <f aca="false">IF(B196="","",LOWER(B196)&amp;"|"&amp;C196)</f>
        <v>phantom thread|2017</v>
      </c>
    </row>
    <row r="197" customFormat="false" ht="15" hidden="false" customHeight="false" outlineLevel="0" collapsed="false">
      <c r="A197" s="4" t="s">
        <v>6763</v>
      </c>
      <c r="B197" s="4" t="s">
        <v>6765</v>
      </c>
      <c r="C197" s="4" t="n">
        <v>2000</v>
      </c>
      <c r="D197" s="4" t="s">
        <v>6766</v>
      </c>
      <c r="E197" s="4" t="str">
        <f aca="false">IF(B197="","",LOWER(B197)&amp;"|"&amp;C197)</f>
        <v>remember the titans|2000</v>
      </c>
    </row>
    <row r="198" customFormat="false" ht="15" hidden="false" customHeight="false" outlineLevel="0" collapsed="false">
      <c r="A198" s="4" t="s">
        <v>6763</v>
      </c>
      <c r="B198" s="4" t="s">
        <v>6767</v>
      </c>
      <c r="C198" s="4" t="n">
        <v>2013</v>
      </c>
      <c r="D198" s="4" t="s">
        <v>6768</v>
      </c>
      <c r="E198" s="4" t="str">
        <f aca="false">IF(B198="","",LOWER(B198)&amp;"|"&amp;C198)</f>
        <v>the world's end|2013</v>
      </c>
    </row>
    <row r="199" customFormat="false" ht="15" hidden="false" customHeight="false" outlineLevel="0" collapsed="false">
      <c r="A199" s="4" t="s">
        <v>6769</v>
      </c>
      <c r="B199" s="4" t="s">
        <v>201</v>
      </c>
      <c r="C199" s="4" t="n">
        <v>1979</v>
      </c>
      <c r="D199" s="4" t="s">
        <v>6770</v>
      </c>
      <c r="E199" s="4" t="str">
        <f aca="false">IF(B199="","",LOWER(B199)&amp;"|"&amp;C199)</f>
        <v>apocalypse now|1979</v>
      </c>
    </row>
    <row r="200" customFormat="false" ht="15" hidden="false" customHeight="false" outlineLevel="0" collapsed="false">
      <c r="A200" s="4" t="s">
        <v>6771</v>
      </c>
      <c r="B200" s="4" t="s">
        <v>6772</v>
      </c>
      <c r="C200" s="4" t="n">
        <v>1984</v>
      </c>
      <c r="D200" s="4" t="s">
        <v>6773</v>
      </c>
      <c r="E200" s="4" t="str">
        <f aca="false">IF(B200="","",LOWER(B200)&amp;"|"&amp;C200)</f>
        <v>indiana jones and the temple of doom|1984</v>
      </c>
    </row>
    <row r="201" customFormat="false" ht="15" hidden="false" customHeight="false" outlineLevel="0" collapsed="false">
      <c r="A201" s="4" t="s">
        <v>6771</v>
      </c>
      <c r="B201" s="4" t="s">
        <v>6774</v>
      </c>
      <c r="C201" s="4" t="n">
        <v>1999</v>
      </c>
      <c r="D201" s="4" t="s">
        <v>6775</v>
      </c>
      <c r="E201" s="4" t="str">
        <f aca="false">IF(B201="","",LOWER(B201)&amp;"|"&amp;C201)</f>
        <v>10 things i hate about you|1999</v>
      </c>
    </row>
    <row r="202" customFormat="false" ht="15" hidden="false" customHeight="false" outlineLevel="0" collapsed="false">
      <c r="A202" s="4" t="s">
        <v>6771</v>
      </c>
      <c r="B202" s="4" t="s">
        <v>6776</v>
      </c>
      <c r="C202" s="4" t="n">
        <v>2018</v>
      </c>
      <c r="D202" s="4" t="s">
        <v>6777</v>
      </c>
      <c r="E202" s="4" t="str">
        <f aca="false">IF(B202="","",LOWER(B202)&amp;"|"&amp;C202)</f>
        <v>wildlife|2018</v>
      </c>
    </row>
    <row r="203" customFormat="false" ht="15" hidden="false" customHeight="false" outlineLevel="0" collapsed="false">
      <c r="A203" s="4" t="s">
        <v>6778</v>
      </c>
      <c r="B203" s="4" t="s">
        <v>2641</v>
      </c>
      <c r="C203" s="4" t="n">
        <v>1996</v>
      </c>
      <c r="D203" s="4" t="s">
        <v>6779</v>
      </c>
      <c r="E203" s="4" t="str">
        <f aca="false">IF(B203="","",LOWER(B203)&amp;"|"&amp;C203)</f>
        <v>bottle rocket|1996</v>
      </c>
    </row>
    <row r="204" customFormat="false" ht="15" hidden="false" customHeight="false" outlineLevel="0" collapsed="false">
      <c r="A204" s="4" t="s">
        <v>6780</v>
      </c>
      <c r="B204" s="4" t="s">
        <v>6781</v>
      </c>
      <c r="C204" s="4" t="n">
        <v>1973</v>
      </c>
      <c r="D204" s="4" t="s">
        <v>6782</v>
      </c>
      <c r="E204" s="4" t="str">
        <f aca="false">IF(B204="","",LOWER(B204)&amp;"|"&amp;C204)</f>
        <v>enter the dragon|1973</v>
      </c>
    </row>
    <row r="205" customFormat="false" ht="15" hidden="false" customHeight="false" outlineLevel="0" collapsed="false">
      <c r="A205" s="4" t="s">
        <v>6783</v>
      </c>
      <c r="B205" s="4" t="s">
        <v>6784</v>
      </c>
      <c r="C205" s="4" t="n">
        <v>1989</v>
      </c>
      <c r="D205" s="4" t="s">
        <v>6785</v>
      </c>
      <c r="E205" s="4" t="str">
        <f aca="false">IF(B205="","",LOWER(B205)&amp;"|"&amp;C205)</f>
        <v>indiana jones and the last crusade|1989</v>
      </c>
    </row>
    <row r="206" customFormat="false" ht="15" hidden="false" customHeight="false" outlineLevel="0" collapsed="false">
      <c r="A206" s="4" t="s">
        <v>6786</v>
      </c>
      <c r="B206" s="4" t="s">
        <v>6787</v>
      </c>
      <c r="C206" s="4" t="n">
        <v>2008</v>
      </c>
      <c r="D206" s="4" t="s">
        <v>6788</v>
      </c>
      <c r="E206" s="4" t="str">
        <f aca="false">IF(B206="","",LOWER(B206)&amp;"|"&amp;C206)</f>
        <v>indiana jones and the kingdom of the crystal skull|2008</v>
      </c>
    </row>
    <row r="207" customFormat="false" ht="15" hidden="false" customHeight="false" outlineLevel="0" collapsed="false">
      <c r="A207" s="4" t="s">
        <v>6789</v>
      </c>
      <c r="B207" s="4" t="s">
        <v>6790</v>
      </c>
      <c r="C207" s="4" t="n">
        <v>2011</v>
      </c>
      <c r="D207" s="4" t="s">
        <v>6791</v>
      </c>
      <c r="E207" s="4" t="str">
        <f aca="false">IF(B207="","",LOWER(B207)&amp;"|"&amp;C207)</f>
        <v>hawaiian vacation|2011</v>
      </c>
    </row>
    <row r="208" customFormat="false" ht="15" hidden="false" customHeight="false" outlineLevel="0" collapsed="false">
      <c r="A208" s="4" t="s">
        <v>6792</v>
      </c>
      <c r="B208" s="4" t="s">
        <v>1178</v>
      </c>
      <c r="C208" s="4" t="n">
        <v>2007</v>
      </c>
      <c r="D208" s="4" t="s">
        <v>6793</v>
      </c>
      <c r="E208" s="4" t="str">
        <f aca="false">IF(B208="","",LOWER(B208)&amp;"|"&amp;C208)</f>
        <v>ratatouille|2007</v>
      </c>
    </row>
    <row r="209" customFormat="false" ht="15" hidden="false" customHeight="false" outlineLevel="0" collapsed="false">
      <c r="A209" s="4" t="s">
        <v>6794</v>
      </c>
      <c r="B209" s="4" t="s">
        <v>6795</v>
      </c>
      <c r="C209" s="4" t="n">
        <v>2011</v>
      </c>
      <c r="D209" s="4" t="s">
        <v>6796</v>
      </c>
      <c r="E209" s="4" t="str">
        <f aca="false">IF(B209="","",LOWER(B209)&amp;"|"&amp;C209)</f>
        <v>cars 2|2011</v>
      </c>
    </row>
    <row r="210" customFormat="false" ht="15" hidden="false" customHeight="false" outlineLevel="0" collapsed="false">
      <c r="A210" s="4" t="s">
        <v>6794</v>
      </c>
      <c r="B210" s="4" t="s">
        <v>873</v>
      </c>
      <c r="C210" s="4" t="n">
        <v>2015</v>
      </c>
      <c r="D210" s="4" t="s">
        <v>6797</v>
      </c>
      <c r="E210" s="4" t="str">
        <f aca="false">IF(B210="","",LOWER(B210)&amp;"|"&amp;C210)</f>
        <v>the lobster|2015</v>
      </c>
    </row>
    <row r="211" customFormat="false" ht="15" hidden="false" customHeight="false" outlineLevel="0" collapsed="false">
      <c r="A211" s="4" t="s">
        <v>6798</v>
      </c>
      <c r="B211" s="4" t="s">
        <v>636</v>
      </c>
      <c r="C211" s="4" t="n">
        <v>2003</v>
      </c>
      <c r="D211" s="4" t="s">
        <v>6799</v>
      </c>
      <c r="E211" s="4" t="str">
        <f aca="false">IF(B211="","",LOWER(B211)&amp;"|"&amp;C211)</f>
        <v>coffee and cigarettes|2003</v>
      </c>
    </row>
    <row r="212" customFormat="false" ht="15" hidden="false" customHeight="false" outlineLevel="0" collapsed="false">
      <c r="A212" s="4" t="s">
        <v>6798</v>
      </c>
      <c r="B212" s="4" t="s">
        <v>481</v>
      </c>
      <c r="C212" s="4" t="n">
        <v>1973</v>
      </c>
      <c r="D212" s="4" t="s">
        <v>6800</v>
      </c>
      <c r="E212" s="4" t="str">
        <f aca="false">IF(B212="","",LOWER(B212)&amp;"|"&amp;C212)</f>
        <v>badlands|1973</v>
      </c>
    </row>
    <row r="213" customFormat="false" ht="15" hidden="false" customHeight="false" outlineLevel="0" collapsed="false">
      <c r="A213" s="4" t="s">
        <v>6798</v>
      </c>
      <c r="B213" s="4" t="s">
        <v>1604</v>
      </c>
      <c r="C213" s="4" t="n">
        <v>2008</v>
      </c>
      <c r="D213" s="4" t="s">
        <v>6801</v>
      </c>
      <c r="E213" s="4" t="str">
        <f aca="false">IF(B213="","",LOWER(B213)&amp;"|"&amp;C213)</f>
        <v>wall·e|2008</v>
      </c>
    </row>
    <row r="214" customFormat="false" ht="15" hidden="false" customHeight="false" outlineLevel="0" collapsed="false">
      <c r="A214" s="4" t="s">
        <v>6802</v>
      </c>
      <c r="B214" s="4" t="s">
        <v>6803</v>
      </c>
      <c r="C214" s="4" t="n">
        <v>2017</v>
      </c>
      <c r="D214" s="4" t="s">
        <v>6804</v>
      </c>
      <c r="E214" s="4" t="str">
        <f aca="false">IF(B214="","",LOWER(B214)&amp;"|"&amp;C214)</f>
        <v>cars 3|2017</v>
      </c>
    </row>
    <row r="215" customFormat="false" ht="15" hidden="false" customHeight="false" outlineLevel="0" collapsed="false">
      <c r="A215" s="4" t="s">
        <v>6805</v>
      </c>
      <c r="B215" s="4" t="s">
        <v>6806</v>
      </c>
      <c r="C215" s="4" t="n">
        <v>2008</v>
      </c>
      <c r="D215" s="4" t="s">
        <v>6807</v>
      </c>
      <c r="E215" s="4" t="str">
        <f aca="false">IF(B215="","",LOWER(B215)&amp;"|"&amp;C215)</f>
        <v>iron man|2008</v>
      </c>
    </row>
    <row r="216" customFormat="false" ht="15" hidden="false" customHeight="false" outlineLevel="0" collapsed="false">
      <c r="A216" s="4" t="s">
        <v>6805</v>
      </c>
      <c r="B216" s="4" t="s">
        <v>247</v>
      </c>
      <c r="C216" s="4" t="n">
        <v>1931</v>
      </c>
      <c r="D216" s="4" t="s">
        <v>6808</v>
      </c>
      <c r="E216" s="4" t="str">
        <f aca="false">IF(B216="","",LOWER(B216)&amp;"|"&amp;C216)</f>
        <v>m|1931</v>
      </c>
    </row>
    <row r="217" customFormat="false" ht="15" hidden="false" customHeight="false" outlineLevel="0" collapsed="false">
      <c r="A217" s="4" t="s">
        <v>6809</v>
      </c>
      <c r="B217" s="4" t="s">
        <v>1163</v>
      </c>
      <c r="C217" s="4" t="n">
        <v>2002</v>
      </c>
      <c r="D217" s="4" t="s">
        <v>6810</v>
      </c>
      <c r="E217" s="4" t="str">
        <f aca="false">IF(B217="","",LOWER(B217)&amp;"|"&amp;C217)</f>
        <v>adaptation.|2002</v>
      </c>
    </row>
    <row r="218" customFormat="false" ht="15" hidden="false" customHeight="false" outlineLevel="0" collapsed="false">
      <c r="A218" s="4" t="s">
        <v>6809</v>
      </c>
      <c r="B218" s="4" t="s">
        <v>6811</v>
      </c>
      <c r="C218" s="4" t="n">
        <v>1997</v>
      </c>
      <c r="D218" s="4" t="s">
        <v>6812</v>
      </c>
      <c r="E218" s="4" t="str">
        <f aca="false">IF(B218="","",LOWER(B218)&amp;"|"&amp;C218)</f>
        <v>austin powers: international man of mystery|1997</v>
      </c>
    </row>
    <row r="219" customFormat="false" ht="15" hidden="false" customHeight="false" outlineLevel="0" collapsed="false">
      <c r="A219" s="4" t="s">
        <v>6813</v>
      </c>
      <c r="B219" s="4" t="s">
        <v>6814</v>
      </c>
      <c r="C219" s="4" t="n">
        <v>1999</v>
      </c>
      <c r="D219" s="4" t="s">
        <v>6815</v>
      </c>
      <c r="E219" s="4" t="str">
        <f aca="false">IF(B219="","",LOWER(B219)&amp;"|"&amp;C219)</f>
        <v>austin powers: the spy who shagged me|1999</v>
      </c>
    </row>
    <row r="220" customFormat="false" ht="15" hidden="false" customHeight="false" outlineLevel="0" collapsed="false">
      <c r="A220" s="4" t="s">
        <v>6816</v>
      </c>
      <c r="B220" s="4" t="s">
        <v>6817</v>
      </c>
      <c r="C220" s="4" t="n">
        <v>2018</v>
      </c>
      <c r="D220" s="4" t="s">
        <v>6818</v>
      </c>
      <c r="E220" s="4" t="str">
        <f aca="false">IF(B220="","",LOWER(B220)&amp;"|"&amp;C220)</f>
        <v>climax|2018</v>
      </c>
    </row>
    <row r="221" customFormat="false" ht="15" hidden="false" customHeight="false" outlineLevel="0" collapsed="false">
      <c r="A221" s="4" t="s">
        <v>6816</v>
      </c>
      <c r="B221" s="4" t="s">
        <v>6819</v>
      </c>
      <c r="C221" s="4" t="n">
        <v>2021</v>
      </c>
      <c r="D221" s="4" t="s">
        <v>6820</v>
      </c>
      <c r="E221" s="4" t="str">
        <f aca="false">IF(B221="","",LOWER(B221)&amp;"|"&amp;C221)</f>
        <v>black widow|2021</v>
      </c>
    </row>
    <row r="222" customFormat="false" ht="15" hidden="false" customHeight="false" outlineLevel="0" collapsed="false">
      <c r="A222" s="4" t="s">
        <v>6821</v>
      </c>
      <c r="B222" s="4" t="s">
        <v>198</v>
      </c>
      <c r="C222" s="4" t="n">
        <v>1957</v>
      </c>
      <c r="D222" s="4" t="s">
        <v>6822</v>
      </c>
      <c r="E222" s="4" t="str">
        <f aca="false">IF(B222="","",LOWER(B222)&amp;"|"&amp;C222)</f>
        <v>the seventh seal|1957</v>
      </c>
    </row>
    <row r="223" customFormat="false" ht="15" hidden="false" customHeight="false" outlineLevel="0" collapsed="false">
      <c r="A223" s="4" t="s">
        <v>6823</v>
      </c>
      <c r="B223" s="4" t="s">
        <v>6824</v>
      </c>
      <c r="C223" s="4" t="n">
        <v>2004</v>
      </c>
      <c r="D223" s="4" t="s">
        <v>6825</v>
      </c>
      <c r="E223" s="4" t="str">
        <f aca="false">IF(B223="","",LOWER(B223)&amp;"|"&amp;C223)</f>
        <v>layer cake|2004</v>
      </c>
    </row>
    <row r="224" customFormat="false" ht="15" hidden="false" customHeight="false" outlineLevel="0" collapsed="false">
      <c r="A224" s="4" t="s">
        <v>6826</v>
      </c>
      <c r="B224" s="4" t="s">
        <v>6827</v>
      </c>
      <c r="C224" s="4" t="n">
        <v>2002</v>
      </c>
      <c r="D224" s="4" t="s">
        <v>6828</v>
      </c>
      <c r="E224" s="4" t="str">
        <f aca="false">IF(B224="","",LOWER(B224)&amp;"|"&amp;C224)</f>
        <v>austin powers in goldmember|2002</v>
      </c>
    </row>
    <row r="225" customFormat="false" ht="15" hidden="false" customHeight="false" outlineLevel="0" collapsed="false">
      <c r="A225" s="4" t="s">
        <v>6826</v>
      </c>
      <c r="B225" s="4" t="s">
        <v>2927</v>
      </c>
      <c r="C225" s="4" t="n">
        <v>2009</v>
      </c>
      <c r="D225" s="4" t="s">
        <v>6829</v>
      </c>
      <c r="E225" s="4" t="str">
        <f aca="false">IF(B225="","",LOWER(B225)&amp;"|"&amp;C225)</f>
        <v>up|2009</v>
      </c>
    </row>
    <row r="226" customFormat="false" ht="15" hidden="false" customHeight="false" outlineLevel="0" collapsed="false">
      <c r="A226" s="4" t="s">
        <v>6830</v>
      </c>
      <c r="B226" s="4" t="s">
        <v>6831</v>
      </c>
      <c r="C226" s="4" t="n">
        <v>2021</v>
      </c>
      <c r="D226" s="4" t="s">
        <v>6832</v>
      </c>
      <c r="E226" s="4" t="str">
        <f aca="false">IF(B226="","",LOWER(B226)&amp;"|"&amp;C226)</f>
        <v>luca|2021</v>
      </c>
    </row>
    <row r="227" customFormat="false" ht="15" hidden="false" customHeight="false" outlineLevel="0" collapsed="false">
      <c r="A227" s="4" t="s">
        <v>6830</v>
      </c>
      <c r="B227" s="4" t="s">
        <v>383</v>
      </c>
      <c r="C227" s="4" t="n">
        <v>2006</v>
      </c>
      <c r="D227" s="4" t="s">
        <v>6833</v>
      </c>
      <c r="E227" s="4" t="str">
        <f aca="false">IF(B227="","",LOWER(B227)&amp;"|"&amp;C227)</f>
        <v>children of men|2006</v>
      </c>
    </row>
    <row r="228" customFormat="false" ht="15" hidden="false" customHeight="false" outlineLevel="0" collapsed="false">
      <c r="A228" s="4" t="s">
        <v>6834</v>
      </c>
      <c r="B228" s="4" t="s">
        <v>6835</v>
      </c>
      <c r="C228" s="4" t="n">
        <v>1989</v>
      </c>
      <c r="D228" s="4" t="s">
        <v>6836</v>
      </c>
      <c r="E228" s="4" t="str">
        <f aca="false">IF(B228="","",LOWER(B228)&amp;"|"&amp;C228)</f>
        <v>twin peaks|1989</v>
      </c>
    </row>
    <row r="229" customFormat="false" ht="15" hidden="false" customHeight="false" outlineLevel="0" collapsed="false">
      <c r="A229" s="4" t="s">
        <v>6834</v>
      </c>
      <c r="B229" s="4" t="s">
        <v>3012</v>
      </c>
      <c r="C229" s="4" t="n">
        <v>2012</v>
      </c>
      <c r="D229" s="4" t="s">
        <v>6837</v>
      </c>
      <c r="E229" s="4" t="str">
        <f aca="false">IF(B229="","",LOWER(B229)&amp;"|"&amp;C229)</f>
        <v>silver linings playbook|2012</v>
      </c>
    </row>
    <row r="230" customFormat="false" ht="15" hidden="false" customHeight="false" outlineLevel="0" collapsed="false">
      <c r="A230" s="4" t="s">
        <v>6834</v>
      </c>
      <c r="B230" s="4" t="s">
        <v>6838</v>
      </c>
      <c r="C230" s="4" t="n">
        <v>1998</v>
      </c>
      <c r="D230" s="4" t="s">
        <v>6839</v>
      </c>
      <c r="E230" s="4" t="str">
        <f aca="false">IF(B230="","",LOWER(B230)&amp;"|"&amp;C230)</f>
        <v>a bug's life|1998</v>
      </c>
    </row>
    <row r="231" customFormat="false" ht="15" hidden="false" customHeight="false" outlineLevel="0" collapsed="false">
      <c r="A231" s="4" t="s">
        <v>6840</v>
      </c>
      <c r="B231" s="4" t="s">
        <v>265</v>
      </c>
      <c r="C231" s="4" t="n">
        <v>1982</v>
      </c>
      <c r="D231" s="4" t="s">
        <v>6841</v>
      </c>
      <c r="E231" s="4" t="str">
        <f aca="false">IF(B231="","",LOWER(B231)&amp;"|"&amp;C231)</f>
        <v>the thing|1982</v>
      </c>
    </row>
    <row r="232" customFormat="false" ht="15" hidden="false" customHeight="false" outlineLevel="0" collapsed="false">
      <c r="A232" s="4" t="s">
        <v>6842</v>
      </c>
      <c r="B232" s="4" t="s">
        <v>3711</v>
      </c>
      <c r="C232" s="4" t="n">
        <v>1999</v>
      </c>
      <c r="D232" s="4" t="s">
        <v>6843</v>
      </c>
      <c r="E232" s="4" t="str">
        <f aca="false">IF(B232="","",LOWER(B232)&amp;"|"&amp;C232)</f>
        <v>bringing out the dead|1999</v>
      </c>
    </row>
    <row r="233" customFormat="false" ht="15" hidden="false" customHeight="false" outlineLevel="0" collapsed="false">
      <c r="A233" s="4" t="s">
        <v>6844</v>
      </c>
      <c r="B233" s="4" t="s">
        <v>6845</v>
      </c>
      <c r="C233" s="4" t="n">
        <v>2003</v>
      </c>
      <c r="D233" s="4" t="s">
        <v>6846</v>
      </c>
      <c r="E233" s="4" t="str">
        <f aca="false">IF(B233="","",LOWER(B233)&amp;"|"&amp;C233)</f>
        <v>the cat in the hat|2003</v>
      </c>
    </row>
    <row r="234" customFormat="false" ht="15" hidden="false" customHeight="false" outlineLevel="0" collapsed="false">
      <c r="A234" s="4" t="s">
        <v>6847</v>
      </c>
      <c r="B234" s="4" t="s">
        <v>2821</v>
      </c>
      <c r="C234" s="4" t="n">
        <v>2004</v>
      </c>
      <c r="D234" s="4" t="s">
        <v>6848</v>
      </c>
      <c r="E234" s="4" t="str">
        <f aca="false">IF(B234="","",LOWER(B234)&amp;"|"&amp;C234)</f>
        <v>the incredibles|2004</v>
      </c>
    </row>
    <row r="235" customFormat="false" ht="15" hidden="false" customHeight="false" outlineLevel="0" collapsed="false">
      <c r="A235" s="4" t="s">
        <v>6849</v>
      </c>
      <c r="B235" s="4" t="s">
        <v>6850</v>
      </c>
      <c r="C235" s="4" t="n">
        <v>2004</v>
      </c>
      <c r="D235" s="4" t="s">
        <v>6851</v>
      </c>
      <c r="E235" s="4" t="str">
        <f aca="false">IF(B235="","",LOWER(B235)&amp;"|"&amp;C235)</f>
        <v>the terminal|2004</v>
      </c>
    </row>
    <row r="236" customFormat="false" ht="15" hidden="false" customHeight="false" outlineLevel="0" collapsed="false">
      <c r="A236" s="4" t="s">
        <v>6849</v>
      </c>
      <c r="B236" s="4" t="s">
        <v>1166</v>
      </c>
      <c r="C236" s="4" t="n">
        <v>2003</v>
      </c>
      <c r="D236" s="4" t="s">
        <v>6852</v>
      </c>
      <c r="E236" s="4" t="str">
        <f aca="false">IF(B236="","",LOWER(B236)&amp;"|"&amp;C236)</f>
        <v>school of rock|2003</v>
      </c>
    </row>
    <row r="237" customFormat="false" ht="15" hidden="false" customHeight="false" outlineLevel="0" collapsed="false">
      <c r="A237" s="4" t="s">
        <v>6853</v>
      </c>
      <c r="B237" s="4" t="s">
        <v>6854</v>
      </c>
      <c r="C237" s="4" t="n">
        <v>2021</v>
      </c>
      <c r="D237" s="4" t="s">
        <v>6855</v>
      </c>
      <c r="E237" s="4" t="str">
        <f aca="false">IF(B237="","",LOWER(B237)&amp;"|"&amp;C237)</f>
        <v>old|2021</v>
      </c>
    </row>
    <row r="238" customFormat="false" ht="15" hidden="false" customHeight="false" outlineLevel="0" collapsed="false">
      <c r="A238" s="4" t="s">
        <v>6856</v>
      </c>
      <c r="B238" s="4" t="s">
        <v>6857</v>
      </c>
      <c r="C238" s="4" t="n">
        <v>2018</v>
      </c>
      <c r="D238" s="4" t="s">
        <v>6858</v>
      </c>
      <c r="E238" s="4" t="str">
        <f aca="false">IF(B238="","",LOWER(B238)&amp;"|"&amp;C238)</f>
        <v>the house that jack built|2018</v>
      </c>
    </row>
    <row r="239" customFormat="false" ht="15" hidden="false" customHeight="false" outlineLevel="0" collapsed="false">
      <c r="A239" s="4" t="s">
        <v>6856</v>
      </c>
      <c r="B239" s="4" t="s">
        <v>2342</v>
      </c>
      <c r="C239" s="4" t="n">
        <v>1980</v>
      </c>
      <c r="D239" s="4" t="s">
        <v>6859</v>
      </c>
      <c r="E239" s="4" t="str">
        <f aca="false">IF(B239="","",LOWER(B239)&amp;"|"&amp;C239)</f>
        <v>the elephant man|1980</v>
      </c>
    </row>
    <row r="240" customFormat="false" ht="15" hidden="false" customHeight="false" outlineLevel="0" collapsed="false">
      <c r="A240" s="4" t="s">
        <v>6860</v>
      </c>
      <c r="B240" s="4" t="s">
        <v>847</v>
      </c>
      <c r="C240" s="4" t="n">
        <v>1999</v>
      </c>
      <c r="D240" s="4" t="s">
        <v>6861</v>
      </c>
      <c r="E240" s="4" t="str">
        <f aca="false">IF(B240="","",LOWER(B240)&amp;"|"&amp;C240)</f>
        <v>the matrix|1999</v>
      </c>
    </row>
    <row r="241" customFormat="false" ht="15" hidden="false" customHeight="false" outlineLevel="0" collapsed="false">
      <c r="A241" s="4" t="s">
        <v>6862</v>
      </c>
      <c r="B241" s="4" t="s">
        <v>6863</v>
      </c>
      <c r="C241" s="4" t="n">
        <v>2007</v>
      </c>
      <c r="D241" s="4" t="s">
        <v>6864</v>
      </c>
      <c r="E241" s="4" t="str">
        <f aca="false">IF(B241="","",LOWER(B241)&amp;"|"&amp;C241)</f>
        <v>the simpsons movie|2007</v>
      </c>
    </row>
    <row r="242" customFormat="false" ht="15" hidden="false" customHeight="false" outlineLevel="0" collapsed="false">
      <c r="A242" s="4" t="s">
        <v>6865</v>
      </c>
      <c r="B242" s="4" t="s">
        <v>467</v>
      </c>
      <c r="C242" s="4" t="n">
        <v>1964</v>
      </c>
      <c r="D242" s="4" t="s">
        <v>6866</v>
      </c>
      <c r="E242" s="4" t="str">
        <f aca="false">IF(B242="","",LOWER(B242)&amp;"|"&amp;C242)</f>
        <v>a fistful of dollars|1964</v>
      </c>
    </row>
    <row r="243" customFormat="false" ht="15" hidden="false" customHeight="false" outlineLevel="0" collapsed="false">
      <c r="A243" s="4" t="s">
        <v>6865</v>
      </c>
      <c r="B243" s="4" t="s">
        <v>1416</v>
      </c>
      <c r="C243" s="4" t="n">
        <v>2017</v>
      </c>
      <c r="D243" s="4" t="s">
        <v>6867</v>
      </c>
      <c r="E243" s="4" t="str">
        <f aca="false">IF(B243="","",LOWER(B243)&amp;"|"&amp;C243)</f>
        <v>first reformed|2017</v>
      </c>
    </row>
    <row r="244" customFormat="false" ht="15" hidden="false" customHeight="false" outlineLevel="0" collapsed="false">
      <c r="A244" s="4" t="s">
        <v>6868</v>
      </c>
      <c r="B244" s="4" t="s">
        <v>746</v>
      </c>
      <c r="C244" s="4" t="n">
        <v>2004</v>
      </c>
      <c r="D244" s="4" t="s">
        <v>6869</v>
      </c>
      <c r="E244" s="4" t="str">
        <f aca="false">IF(B244="","",LOWER(B244)&amp;"|"&amp;C244)</f>
        <v>the ladykillers|2004</v>
      </c>
    </row>
    <row r="245" customFormat="false" ht="15" hidden="false" customHeight="false" outlineLevel="0" collapsed="false">
      <c r="A245" s="4" t="s">
        <v>6870</v>
      </c>
      <c r="B245" s="4" t="s">
        <v>2722</v>
      </c>
      <c r="C245" s="4" t="n">
        <v>2000</v>
      </c>
      <c r="D245" s="4" t="s">
        <v>6871</v>
      </c>
      <c r="E245" s="4" t="str">
        <f aca="false">IF(B245="","",LOWER(B245)&amp;"|"&amp;C245)</f>
        <v>o brother, where art thou?|2000</v>
      </c>
    </row>
    <row r="246" customFormat="false" ht="15" hidden="false" customHeight="false" outlineLevel="0" collapsed="false">
      <c r="A246" s="4" t="s">
        <v>6872</v>
      </c>
      <c r="B246" s="4" t="s">
        <v>6873</v>
      </c>
      <c r="C246" s="4" t="n">
        <v>1996</v>
      </c>
      <c r="D246" s="4" t="s">
        <v>6874</v>
      </c>
      <c r="E246" s="4" t="str">
        <f aca="false">IF(B246="","",LOWER(B246)&amp;"|"&amp;C246)</f>
        <v>escape from l.a.|1996</v>
      </c>
    </row>
    <row r="247" customFormat="false" ht="15" hidden="false" customHeight="false" outlineLevel="0" collapsed="false">
      <c r="A247" s="4" t="s">
        <v>6872</v>
      </c>
      <c r="B247" s="4" t="s">
        <v>1186</v>
      </c>
      <c r="C247" s="4" t="n">
        <v>2008</v>
      </c>
      <c r="D247" s="4" t="s">
        <v>6875</v>
      </c>
      <c r="E247" s="4" t="str">
        <f aca="false">IF(B247="","",LOWER(B247)&amp;"|"&amp;C247)</f>
        <v>synecdoche, new york|2008</v>
      </c>
    </row>
    <row r="248" customFormat="false" ht="15" hidden="false" customHeight="false" outlineLevel="0" collapsed="false">
      <c r="A248" s="4" t="s">
        <v>6876</v>
      </c>
      <c r="B248" s="4" t="s">
        <v>1356</v>
      </c>
      <c r="C248" s="4" t="n">
        <v>1976</v>
      </c>
      <c r="D248" s="4" t="s">
        <v>6877</v>
      </c>
      <c r="E248" s="4" t="str">
        <f aca="false">IF(B248="","",LOWER(B248)&amp;"|"&amp;C248)</f>
        <v>mikey and nicky|1976</v>
      </c>
    </row>
    <row r="249" customFormat="false" ht="15" hidden="false" customHeight="false" outlineLevel="0" collapsed="false">
      <c r="A249" s="4" t="s">
        <v>6878</v>
      </c>
      <c r="B249" s="4" t="s">
        <v>2576</v>
      </c>
      <c r="C249" s="4" t="n">
        <v>1993</v>
      </c>
      <c r="D249" s="4" t="s">
        <v>6879</v>
      </c>
      <c r="E249" s="4" t="str">
        <f aca="false">IF(B249="","",LOWER(B249)&amp;"|"&amp;C249)</f>
        <v>tombstone|1993</v>
      </c>
    </row>
    <row r="250" customFormat="false" ht="15" hidden="false" customHeight="false" outlineLevel="0" collapsed="false">
      <c r="A250" s="4" t="s">
        <v>6880</v>
      </c>
      <c r="B250" s="4" t="s">
        <v>1121</v>
      </c>
      <c r="C250" s="4" t="n">
        <v>1997</v>
      </c>
      <c r="D250" s="4" t="s">
        <v>6881</v>
      </c>
      <c r="E250" s="4" t="str">
        <f aca="false">IF(B250="","",LOWER(B250)&amp;"|"&amp;C250)</f>
        <v>jackie brown|1997</v>
      </c>
    </row>
    <row r="251" customFormat="false" ht="15" hidden="false" customHeight="false" outlineLevel="0" collapsed="false">
      <c r="A251" s="4" t="s">
        <v>6880</v>
      </c>
      <c r="B251" s="4" t="s">
        <v>317</v>
      </c>
      <c r="C251" s="4" t="n">
        <v>1986</v>
      </c>
      <c r="D251" s="4" t="s">
        <v>6882</v>
      </c>
      <c r="E251" s="4" t="str">
        <f aca="false">IF(B251="","",LOWER(B251)&amp;"|"&amp;C251)</f>
        <v>blue velvet|1986</v>
      </c>
    </row>
    <row r="252" customFormat="false" ht="15" hidden="false" customHeight="false" outlineLevel="0" collapsed="false">
      <c r="A252" s="4" t="s">
        <v>6883</v>
      </c>
      <c r="B252" s="4" t="s">
        <v>6884</v>
      </c>
      <c r="C252" s="4" t="n">
        <v>1985</v>
      </c>
      <c r="D252" s="4" t="s">
        <v>6885</v>
      </c>
      <c r="E252" s="4" t="str">
        <f aca="false">IF(B252="","",LOWER(B252)&amp;"|"&amp;C252)</f>
        <v>mishima: a life in four chapters|1985</v>
      </c>
    </row>
    <row r="253" customFormat="false" ht="15" hidden="false" customHeight="false" outlineLevel="0" collapsed="false">
      <c r="A253" s="4" t="s">
        <v>6886</v>
      </c>
      <c r="B253" s="4" t="s">
        <v>6887</v>
      </c>
      <c r="C253" s="4" t="n">
        <v>1995</v>
      </c>
      <c r="D253" s="4" t="s">
        <v>6888</v>
      </c>
      <c r="E253" s="4" t="str">
        <f aca="false">IF(B253="","",LOWER(B253)&amp;"|"&amp;C253)</f>
        <v>twelve monkeys|1995</v>
      </c>
    </row>
    <row r="254" customFormat="false" ht="15" hidden="false" customHeight="false" outlineLevel="0" collapsed="false">
      <c r="A254" s="4" t="s">
        <v>6886</v>
      </c>
      <c r="B254" s="4" t="s">
        <v>2980</v>
      </c>
      <c r="C254" s="4" t="n">
        <v>2011</v>
      </c>
      <c r="D254" s="4" t="s">
        <v>6889</v>
      </c>
      <c r="E254" s="4" t="str">
        <f aca="false">IF(B254="","",LOWER(B254)&amp;"|"&amp;C254)</f>
        <v>detachment|2011</v>
      </c>
    </row>
    <row r="255" customFormat="false" ht="15" hidden="false" customHeight="false" outlineLevel="0" collapsed="false">
      <c r="A255" s="4" t="s">
        <v>6886</v>
      </c>
      <c r="B255" s="4" t="s">
        <v>2017</v>
      </c>
      <c r="C255" s="4" t="n">
        <v>1991</v>
      </c>
      <c r="D255" s="4" t="s">
        <v>6890</v>
      </c>
      <c r="E255" s="4" t="str">
        <f aca="false">IF(B255="","",LOWER(B255)&amp;"|"&amp;C255)</f>
        <v>cape fear|1991</v>
      </c>
    </row>
    <row r="256" customFormat="false" ht="15" hidden="false" customHeight="false" outlineLevel="0" collapsed="false">
      <c r="A256" s="4" t="s">
        <v>6891</v>
      </c>
      <c r="B256" s="4" t="s">
        <v>6892</v>
      </c>
      <c r="C256" s="4" t="n">
        <v>2008</v>
      </c>
      <c r="D256" s="4" t="s">
        <v>6893</v>
      </c>
      <c r="E256" s="4" t="str">
        <f aca="false">IF(B256="","",LOWER(B256)&amp;"|"&amp;C256)</f>
        <v>kung fu panda|2008</v>
      </c>
    </row>
    <row r="257" customFormat="false" ht="15" hidden="false" customHeight="false" outlineLevel="0" collapsed="false">
      <c r="A257" s="4" t="s">
        <v>6894</v>
      </c>
      <c r="B257" s="4" t="s">
        <v>815</v>
      </c>
      <c r="C257" s="4" t="n">
        <v>1986</v>
      </c>
      <c r="D257" s="4" t="s">
        <v>6895</v>
      </c>
      <c r="E257" s="4" t="str">
        <f aca="false">IF(B257="","",LOWER(B257)&amp;"|"&amp;C257)</f>
        <v>platoon|1986</v>
      </c>
    </row>
    <row r="258" customFormat="false" ht="15" hidden="false" customHeight="false" outlineLevel="0" collapsed="false">
      <c r="A258" s="4" t="s">
        <v>6896</v>
      </c>
      <c r="B258" s="4" t="s">
        <v>625</v>
      </c>
      <c r="C258" s="4" t="n">
        <v>1998</v>
      </c>
      <c r="D258" s="4" t="s">
        <v>6897</v>
      </c>
      <c r="E258" s="4" t="str">
        <f aca="false">IF(B258="","",LOWER(B258)&amp;"|"&amp;C258)</f>
        <v>the thin red line|1998</v>
      </c>
    </row>
    <row r="259" customFormat="false" ht="15" hidden="false" customHeight="false" outlineLevel="0" collapsed="false">
      <c r="A259" s="4" t="s">
        <v>6896</v>
      </c>
      <c r="B259" s="4" t="s">
        <v>373</v>
      </c>
      <c r="C259" s="4" t="n">
        <v>1995</v>
      </c>
      <c r="D259" s="4" t="s">
        <v>6898</v>
      </c>
      <c r="E259" s="4" t="str">
        <f aca="false">IF(B259="","",LOWER(B259)&amp;"|"&amp;C259)</f>
        <v>before sunrise|1995</v>
      </c>
    </row>
    <row r="260" customFormat="false" ht="15" hidden="false" customHeight="false" outlineLevel="0" collapsed="false">
      <c r="A260" s="4" t="s">
        <v>6899</v>
      </c>
      <c r="B260" s="4" t="s">
        <v>622</v>
      </c>
      <c r="C260" s="4" t="n">
        <v>1997</v>
      </c>
      <c r="D260" s="4" t="s">
        <v>6900</v>
      </c>
      <c r="E260" s="4" t="str">
        <f aca="false">IF(B260="","",LOWER(B260)&amp;"|"&amp;C260)</f>
        <v>the game|1997</v>
      </c>
    </row>
    <row r="261" customFormat="false" ht="15" hidden="false" customHeight="false" outlineLevel="0" collapsed="false">
      <c r="A261" s="4" t="s">
        <v>6901</v>
      </c>
      <c r="B261" s="4" t="s">
        <v>983</v>
      </c>
      <c r="C261" s="4" t="n">
        <v>1965</v>
      </c>
      <c r="D261" s="4" t="s">
        <v>6902</v>
      </c>
      <c r="E261" s="4" t="str">
        <f aca="false">IF(B261="","",LOWER(B261)&amp;"|"&amp;C261)</f>
        <v>for a few dollars more|1965</v>
      </c>
    </row>
    <row r="262" customFormat="false" ht="15" hidden="false" customHeight="false" outlineLevel="0" collapsed="false">
      <c r="A262" s="4" t="s">
        <v>6901</v>
      </c>
      <c r="B262" s="4" t="s">
        <v>6903</v>
      </c>
      <c r="C262" s="4" t="n">
        <v>2013</v>
      </c>
      <c r="D262" s="4" t="s">
        <v>6904</v>
      </c>
      <c r="E262" s="4" t="str">
        <f aca="false">IF(B262="","",LOWER(B262)&amp;"|"&amp;C262)</f>
        <v>this is the end|2013</v>
      </c>
    </row>
    <row r="263" customFormat="false" ht="15" hidden="false" customHeight="false" outlineLevel="0" collapsed="false">
      <c r="A263" s="4" t="s">
        <v>6905</v>
      </c>
      <c r="B263" s="4" t="s">
        <v>3127</v>
      </c>
      <c r="C263" s="4" t="n">
        <v>2017</v>
      </c>
      <c r="D263" s="4" t="s">
        <v>6906</v>
      </c>
      <c r="E263" s="4" t="str">
        <f aca="false">IF(B263="","",LOWER(B263)&amp;"|"&amp;C263)</f>
        <v>the killing of a sacred deer|2017</v>
      </c>
    </row>
    <row r="264" customFormat="false" ht="15" hidden="false" customHeight="false" outlineLevel="0" collapsed="false">
      <c r="A264" s="4" t="s">
        <v>6905</v>
      </c>
      <c r="B264" s="4" t="s">
        <v>6907</v>
      </c>
      <c r="C264" s="4" t="n">
        <v>2011</v>
      </c>
      <c r="D264" s="4" t="s">
        <v>6908</v>
      </c>
      <c r="E264" s="4" t="str">
        <f aca="false">IF(B264="","",LOWER(B264)&amp;"|"&amp;C264)</f>
        <v>warrior|2011</v>
      </c>
    </row>
    <row r="265" customFormat="false" ht="15" hidden="false" customHeight="false" outlineLevel="0" collapsed="false">
      <c r="A265" s="4" t="s">
        <v>6905</v>
      </c>
      <c r="B265" s="4" t="s">
        <v>6909</v>
      </c>
      <c r="C265" s="4" t="n">
        <v>2008</v>
      </c>
      <c r="D265" s="4" t="s">
        <v>6910</v>
      </c>
      <c r="E265" s="4" t="str">
        <f aca="false">IF(B265="","",LOWER(B265)&amp;"|"&amp;C265)</f>
        <v>tropic thunder|2008</v>
      </c>
    </row>
    <row r="266" customFormat="false" ht="15" hidden="false" customHeight="false" outlineLevel="0" collapsed="false">
      <c r="A266" s="4" t="s">
        <v>6905</v>
      </c>
      <c r="B266" s="4" t="s">
        <v>637</v>
      </c>
      <c r="C266" s="4" t="n">
        <v>2004</v>
      </c>
      <c r="D266" s="4" t="s">
        <v>6911</v>
      </c>
      <c r="E266" s="4" t="str">
        <f aca="false">IF(B266="","",LOWER(B266)&amp;"|"&amp;C266)</f>
        <v>before sunset|2004</v>
      </c>
    </row>
    <row r="267" customFormat="false" ht="15" hidden="false" customHeight="false" outlineLevel="0" collapsed="false">
      <c r="A267" s="4" t="s">
        <v>6912</v>
      </c>
      <c r="B267" s="4" t="s">
        <v>1208</v>
      </c>
      <c r="C267" s="4" t="n">
        <v>2013</v>
      </c>
      <c r="D267" s="4" t="s">
        <v>6913</v>
      </c>
      <c r="E267" s="4" t="str">
        <f aca="false">IF(B267="","",LOWER(B267)&amp;"|"&amp;C267)</f>
        <v>snowpiercer|2013</v>
      </c>
    </row>
    <row r="268" customFormat="false" ht="15" hidden="false" customHeight="false" outlineLevel="0" collapsed="false">
      <c r="A268" s="4" t="s">
        <v>6914</v>
      </c>
      <c r="B268" s="4" t="s">
        <v>473</v>
      </c>
      <c r="C268" s="4" t="n">
        <v>1968</v>
      </c>
      <c r="D268" s="4" t="s">
        <v>6915</v>
      </c>
      <c r="E268" s="4" t="str">
        <f aca="false">IF(B268="","",LOWER(B268)&amp;"|"&amp;C268)</f>
        <v>once upon a time in the west|1968</v>
      </c>
    </row>
    <row r="269" customFormat="false" ht="15" hidden="false" customHeight="false" outlineLevel="0" collapsed="false">
      <c r="A269" s="4" t="s">
        <v>6916</v>
      </c>
      <c r="B269" s="4" t="s">
        <v>6917</v>
      </c>
      <c r="C269" s="4" t="n">
        <v>2002</v>
      </c>
      <c r="D269" s="4" t="s">
        <v>6918</v>
      </c>
      <c r="E269" s="4" t="str">
        <f aca="false">IF(B269="","",LOWER(B269)&amp;"|"&amp;C269)</f>
        <v>spider-man|2002</v>
      </c>
    </row>
    <row r="270" customFormat="false" ht="15" hidden="false" customHeight="false" outlineLevel="0" collapsed="false">
      <c r="A270" s="4" t="s">
        <v>6916</v>
      </c>
      <c r="B270" s="4" t="s">
        <v>3155</v>
      </c>
      <c r="C270" s="4" t="n">
        <v>2018</v>
      </c>
      <c r="D270" s="4" t="s">
        <v>6919</v>
      </c>
      <c r="E270" s="4" t="str">
        <f aca="false">IF(B270="","",LOWER(B270)&amp;"|"&amp;C270)</f>
        <v>vice|2018</v>
      </c>
    </row>
    <row r="271" customFormat="false" ht="15" hidden="false" customHeight="false" outlineLevel="0" collapsed="false">
      <c r="A271" s="4" t="s">
        <v>6920</v>
      </c>
      <c r="B271" s="4" t="s">
        <v>523</v>
      </c>
      <c r="C271" s="4" t="n">
        <v>2013</v>
      </c>
      <c r="D271" s="4" t="s">
        <v>6921</v>
      </c>
      <c r="E271" s="4" t="str">
        <f aca="false">IF(B271="","",LOWER(B271)&amp;"|"&amp;C271)</f>
        <v>before midnight|2013</v>
      </c>
    </row>
    <row r="272" customFormat="false" ht="15" hidden="false" customHeight="false" outlineLevel="0" collapsed="false">
      <c r="A272" s="4" t="s">
        <v>6922</v>
      </c>
      <c r="B272" s="4" t="s">
        <v>514</v>
      </c>
      <c r="C272" s="4" t="n">
        <v>2004</v>
      </c>
      <c r="D272" s="4" t="s">
        <v>6923</v>
      </c>
      <c r="E272" s="4" t="str">
        <f aca="false">IF(B272="","",LOWER(B272)&amp;"|"&amp;C272)</f>
        <v>collateral|2004</v>
      </c>
    </row>
    <row r="273" customFormat="false" ht="15" hidden="false" customHeight="false" outlineLevel="0" collapsed="false">
      <c r="A273" s="4" t="s">
        <v>6922</v>
      </c>
      <c r="B273" s="4" t="s">
        <v>6924</v>
      </c>
      <c r="C273" s="4" t="n">
        <v>2002</v>
      </c>
      <c r="D273" s="4" t="s">
        <v>6925</v>
      </c>
      <c r="E273" s="4" t="str">
        <f aca="false">IF(B273="","",LOWER(B273)&amp;"|"&amp;C273)</f>
        <v>rabbits|2002</v>
      </c>
    </row>
    <row r="274" customFormat="false" ht="15" hidden="false" customHeight="false" outlineLevel="0" collapsed="false">
      <c r="A274" s="4" t="s">
        <v>6926</v>
      </c>
      <c r="B274" s="4" t="s">
        <v>6927</v>
      </c>
      <c r="C274" s="4" t="n">
        <v>1992</v>
      </c>
      <c r="D274" s="4" t="s">
        <v>6928</v>
      </c>
      <c r="E274" s="4" t="str">
        <f aca="false">IF(B274="","",LOWER(B274)&amp;"|"&amp;C274)</f>
        <v>army of darkness|1992</v>
      </c>
    </row>
    <row r="275" customFormat="false" ht="15" hidden="false" customHeight="false" outlineLevel="0" collapsed="false">
      <c r="A275" s="4" t="s">
        <v>6929</v>
      </c>
      <c r="B275" s="4" t="s">
        <v>6930</v>
      </c>
      <c r="C275" s="4" t="n">
        <v>2010</v>
      </c>
      <c r="D275" s="4" t="s">
        <v>6931</v>
      </c>
      <c r="E275" s="4" t="str">
        <f aca="false">IF(B275="","",LOWER(B275)&amp;"|"&amp;C275)</f>
        <v>greenberg|2010</v>
      </c>
    </row>
    <row r="276" customFormat="false" ht="15" hidden="false" customHeight="false" outlineLevel="0" collapsed="false">
      <c r="A276" s="4" t="s">
        <v>6932</v>
      </c>
      <c r="B276" s="4" t="s">
        <v>1128</v>
      </c>
      <c r="C276" s="4" t="n">
        <v>1999</v>
      </c>
      <c r="D276" s="4" t="s">
        <v>6933</v>
      </c>
      <c r="E276" s="4" t="str">
        <f aca="false">IF(B276="","",LOWER(B276)&amp;"|"&amp;C276)</f>
        <v>the straight story|1999</v>
      </c>
    </row>
    <row r="277" customFormat="false" ht="15" hidden="false" customHeight="false" outlineLevel="0" collapsed="false">
      <c r="A277" s="4" t="s">
        <v>6934</v>
      </c>
      <c r="B277" s="4" t="s">
        <v>6935</v>
      </c>
      <c r="C277" s="4" t="n">
        <v>2017</v>
      </c>
      <c r="D277" s="4" t="s">
        <v>6936</v>
      </c>
      <c r="E277" s="4" t="str">
        <f aca="false">IF(B277="","",LOWER(B277)&amp;"|"&amp;C277)</f>
        <v>creep 2|2017</v>
      </c>
    </row>
    <row r="278" customFormat="false" ht="15" hidden="false" customHeight="false" outlineLevel="0" collapsed="false">
      <c r="A278" s="4" t="s">
        <v>6934</v>
      </c>
      <c r="B278" s="4" t="s">
        <v>3457</v>
      </c>
      <c r="C278" s="4" t="n">
        <v>2011</v>
      </c>
      <c r="D278" s="4" t="s">
        <v>6937</v>
      </c>
      <c r="E278" s="4" t="str">
        <f aca="false">IF(B278="","",LOWER(B278)&amp;"|"&amp;C278)</f>
        <v>shame|2011</v>
      </c>
    </row>
    <row r="279" customFormat="false" ht="15" hidden="false" customHeight="false" outlineLevel="0" collapsed="false">
      <c r="A279" s="4" t="s">
        <v>6938</v>
      </c>
      <c r="B279" s="4" t="s">
        <v>6939</v>
      </c>
      <c r="C279" s="4" t="n">
        <v>2010</v>
      </c>
      <c r="D279" s="4" t="s">
        <v>6940</v>
      </c>
      <c r="E279" s="4" t="str">
        <f aca="false">IF(B279="","",LOWER(B279)&amp;"|"&amp;C279)</f>
        <v>the town|2010</v>
      </c>
    </row>
    <row r="280" customFormat="false" ht="15" hidden="false" customHeight="false" outlineLevel="0" collapsed="false">
      <c r="A280" s="4" t="s">
        <v>6938</v>
      </c>
      <c r="B280" s="4" t="s">
        <v>6941</v>
      </c>
      <c r="C280" s="4" t="n">
        <v>2018</v>
      </c>
      <c r="D280" s="4" t="s">
        <v>6942</v>
      </c>
      <c r="E280" s="4" t="str">
        <f aca="false">IF(B280="","",LOWER(B280)&amp;"|"&amp;C280)</f>
        <v>at eternity's gate|2018</v>
      </c>
    </row>
    <row r="281" customFormat="false" ht="15" hidden="false" customHeight="false" outlineLevel="0" collapsed="false">
      <c r="A281" s="4" t="s">
        <v>6943</v>
      </c>
      <c r="B281" s="4" t="s">
        <v>6944</v>
      </c>
      <c r="C281" s="4" t="n">
        <v>2021</v>
      </c>
      <c r="D281" s="4" t="s">
        <v>6945</v>
      </c>
      <c r="E281" s="4" t="str">
        <f aca="false">IF(B281="","",LOWER(B281)&amp;"|"&amp;C281)</f>
        <v>jungle cruise|2021</v>
      </c>
    </row>
    <row r="282" customFormat="false" ht="15" hidden="false" customHeight="false" outlineLevel="0" collapsed="false">
      <c r="A282" s="4" t="s">
        <v>6943</v>
      </c>
      <c r="B282" s="4" t="s">
        <v>6946</v>
      </c>
      <c r="C282" s="4" t="n">
        <v>2019</v>
      </c>
      <c r="D282" s="4" t="s">
        <v>6947</v>
      </c>
      <c r="E282" s="4" t="str">
        <f aca="false">IF(B282="","",LOWER(B282)&amp;"|"&amp;C282)</f>
        <v>booksmart|2019</v>
      </c>
    </row>
    <row r="283" customFormat="false" ht="15" hidden="false" customHeight="false" outlineLevel="0" collapsed="false">
      <c r="A283" s="4" t="s">
        <v>6948</v>
      </c>
      <c r="B283" s="4" t="s">
        <v>655</v>
      </c>
      <c r="C283" s="4" t="n">
        <v>1925</v>
      </c>
      <c r="D283" s="4" t="s">
        <v>6949</v>
      </c>
      <c r="E283" s="4" t="str">
        <f aca="false">IF(B283="","",LOWER(B283)&amp;"|"&amp;C283)</f>
        <v>the gold rush|1925</v>
      </c>
    </row>
    <row r="284" customFormat="false" ht="15" hidden="false" customHeight="false" outlineLevel="0" collapsed="false">
      <c r="A284" s="4" t="s">
        <v>6950</v>
      </c>
      <c r="B284" s="4" t="s">
        <v>360</v>
      </c>
      <c r="C284" s="4" t="n">
        <v>1978</v>
      </c>
      <c r="D284" s="4" t="s">
        <v>6951</v>
      </c>
      <c r="E284" s="4" t="str">
        <f aca="false">IF(B284="","",LOWER(B284)&amp;"|"&amp;C284)</f>
        <v>days of heaven|1978</v>
      </c>
    </row>
    <row r="285" customFormat="false" ht="15" hidden="false" customHeight="false" outlineLevel="0" collapsed="false">
      <c r="A285" s="4" t="s">
        <v>6952</v>
      </c>
      <c r="B285" s="4" t="s">
        <v>6953</v>
      </c>
      <c r="C285" s="4" t="n">
        <v>2010</v>
      </c>
      <c r="D285" s="4" t="s">
        <v>6954</v>
      </c>
      <c r="E285" s="4" t="str">
        <f aca="false">IF(B285="","",LOWER(B285)&amp;"|"&amp;C285)</f>
        <v>i'm still here|2010</v>
      </c>
    </row>
    <row r="286" customFormat="false" ht="15" hidden="false" customHeight="false" outlineLevel="0" collapsed="false">
      <c r="A286" s="4" t="s">
        <v>6952</v>
      </c>
      <c r="B286" s="4" t="s">
        <v>6955</v>
      </c>
      <c r="C286" s="4" t="n">
        <v>2017</v>
      </c>
      <c r="D286" s="4" t="s">
        <v>6956</v>
      </c>
      <c r="E286" s="4" t="str">
        <f aca="false">IF(B286="","",LOWER(B286)&amp;"|"&amp;C286)</f>
        <v>song to song|2017</v>
      </c>
    </row>
    <row r="287" customFormat="false" ht="15" hidden="false" customHeight="false" outlineLevel="0" collapsed="false">
      <c r="A287" s="4" t="s">
        <v>6957</v>
      </c>
      <c r="B287" s="4" t="s">
        <v>6958</v>
      </c>
      <c r="C287" s="4" t="n">
        <v>2003</v>
      </c>
      <c r="D287" s="4" t="s">
        <v>6959</v>
      </c>
      <c r="E287" s="4" t="str">
        <f aca="false">IF(B287="","",LOWER(B287)&amp;"|"&amp;C287)</f>
        <v>harvie krumpet|2003</v>
      </c>
    </row>
    <row r="288" customFormat="false" ht="15" hidden="false" customHeight="false" outlineLevel="0" collapsed="false">
      <c r="A288" s="4" t="s">
        <v>6957</v>
      </c>
      <c r="B288" s="4" t="s">
        <v>293</v>
      </c>
      <c r="C288" s="4" t="n">
        <v>1978</v>
      </c>
      <c r="D288" s="4" t="s">
        <v>6960</v>
      </c>
      <c r="E288" s="4" t="str">
        <f aca="false">IF(B288="","",LOWER(B288)&amp;"|"&amp;C288)</f>
        <v>halloween|1978</v>
      </c>
    </row>
    <row r="289" customFormat="false" ht="15" hidden="false" customHeight="false" outlineLevel="0" collapsed="false">
      <c r="A289" s="4" t="s">
        <v>6961</v>
      </c>
      <c r="B289" s="4" t="s">
        <v>6962</v>
      </c>
      <c r="C289" s="4" t="n">
        <v>2003</v>
      </c>
      <c r="D289" s="4" t="s">
        <v>6963</v>
      </c>
      <c r="E289" s="4" t="str">
        <f aca="false">IF(B289="","",LOWER(B289)&amp;"|"&amp;C289)</f>
        <v>21 grams|2003</v>
      </c>
    </row>
    <row r="290" customFormat="false" ht="15" hidden="false" customHeight="false" outlineLevel="0" collapsed="false">
      <c r="A290" s="4" t="s">
        <v>6961</v>
      </c>
      <c r="B290" s="4" t="s">
        <v>6964</v>
      </c>
      <c r="C290" s="4" t="n">
        <v>2004</v>
      </c>
      <c r="D290" s="4" t="s">
        <v>6965</v>
      </c>
      <c r="E290" s="4" t="str">
        <f aca="false">IF(B290="","",LOWER(B290)&amp;"|"&amp;C290)</f>
        <v>team america: world police|2004</v>
      </c>
    </row>
    <row r="291" customFormat="false" ht="15" hidden="false" customHeight="false" outlineLevel="0" collapsed="false">
      <c r="A291" s="4" t="s">
        <v>6961</v>
      </c>
      <c r="B291" s="4" t="s">
        <v>230</v>
      </c>
      <c r="C291" s="4" t="n">
        <v>2000</v>
      </c>
      <c r="D291" s="4" t="s">
        <v>6966</v>
      </c>
      <c r="E291" s="4" t="str">
        <f aca="false">IF(B291="","",LOWER(B291)&amp;"|"&amp;C291)</f>
        <v>in the mood for love|2000</v>
      </c>
    </row>
    <row r="292" customFormat="false" ht="15" hidden="false" customHeight="false" outlineLevel="0" collapsed="false">
      <c r="A292" s="4" t="s">
        <v>6967</v>
      </c>
      <c r="B292" s="4" t="s">
        <v>6968</v>
      </c>
      <c r="C292" s="4" t="n">
        <v>1986</v>
      </c>
      <c r="D292" s="4" t="s">
        <v>6969</v>
      </c>
      <c r="E292" s="4" t="str">
        <f aca="false">IF(B292="","",LOWER(B292)&amp;"|"&amp;C292)</f>
        <v>the hitcher|1986</v>
      </c>
    </row>
    <row r="293" customFormat="false" ht="15" hidden="false" customHeight="false" outlineLevel="0" collapsed="false">
      <c r="A293" s="4" t="s">
        <v>6970</v>
      </c>
      <c r="B293" s="4" t="s">
        <v>2012</v>
      </c>
      <c r="C293" s="4" t="n">
        <v>1962</v>
      </c>
      <c r="D293" s="4" t="s">
        <v>6971</v>
      </c>
      <c r="E293" s="4" t="str">
        <f aca="false">IF(B293="","",LOWER(B293)&amp;"|"&amp;C293)</f>
        <v>the trial|1962</v>
      </c>
    </row>
    <row r="294" customFormat="false" ht="15" hidden="false" customHeight="false" outlineLevel="0" collapsed="false">
      <c r="A294" s="4" t="s">
        <v>6970</v>
      </c>
      <c r="B294" s="4" t="s">
        <v>1088</v>
      </c>
      <c r="C294" s="4" t="n">
        <v>1988</v>
      </c>
      <c r="D294" s="4" t="s">
        <v>6972</v>
      </c>
      <c r="E294" s="4" t="str">
        <f aca="false">IF(B294="","",LOWER(B294)&amp;"|"&amp;C294)</f>
        <v>they live|1988</v>
      </c>
    </row>
    <row r="295" customFormat="false" ht="15" hidden="false" customHeight="false" outlineLevel="0" collapsed="false">
      <c r="A295" s="4" t="s">
        <v>6970</v>
      </c>
      <c r="B295" s="4" t="s">
        <v>6973</v>
      </c>
      <c r="C295" s="4" t="n">
        <v>1997</v>
      </c>
      <c r="D295" s="4" t="s">
        <v>6974</v>
      </c>
      <c r="E295" s="4" t="str">
        <f aca="false">IF(B295="","",LOWER(B295)&amp;"|"&amp;C295)</f>
        <v>uncle|1997</v>
      </c>
    </row>
    <row r="296" customFormat="false" ht="15" hidden="false" customHeight="false" outlineLevel="0" collapsed="false">
      <c r="A296" s="4" t="s">
        <v>6970</v>
      </c>
      <c r="B296" s="4" t="s">
        <v>6975</v>
      </c>
      <c r="C296" s="4" t="n">
        <v>2018</v>
      </c>
      <c r="D296" s="4" t="s">
        <v>6976</v>
      </c>
      <c r="E296" s="4" t="str">
        <f aca="false">IF(B296="","",LOWER(B296)&amp;"|"&amp;C296)</f>
        <v>evil genius|2018</v>
      </c>
    </row>
    <row r="297" customFormat="false" ht="15" hidden="false" customHeight="false" outlineLevel="0" collapsed="false">
      <c r="A297" s="4" t="s">
        <v>6977</v>
      </c>
      <c r="B297" s="4" t="s">
        <v>1032</v>
      </c>
      <c r="C297" s="4" t="n">
        <v>1976</v>
      </c>
      <c r="D297" s="4" t="s">
        <v>6978</v>
      </c>
      <c r="E297" s="4" t="str">
        <f aca="false">IF(B297="","",LOWER(B297)&amp;"|"&amp;C297)</f>
        <v>rocky|1976</v>
      </c>
    </row>
    <row r="298" customFormat="false" ht="15" hidden="false" customHeight="false" outlineLevel="0" collapsed="false">
      <c r="A298" s="4" t="s">
        <v>6979</v>
      </c>
      <c r="B298" s="4" t="s">
        <v>6980</v>
      </c>
      <c r="C298" s="4" t="n">
        <v>1999</v>
      </c>
      <c r="D298" s="4" t="s">
        <v>6981</v>
      </c>
      <c r="E298" s="4" t="str">
        <f aca="false">IF(B298="","",LOWER(B298)&amp;"|"&amp;C298)</f>
        <v>cousin|1999</v>
      </c>
    </row>
    <row r="299" customFormat="false" ht="15" hidden="false" customHeight="false" outlineLevel="0" collapsed="false">
      <c r="A299" s="4" t="s">
        <v>6979</v>
      </c>
      <c r="B299" s="4" t="s">
        <v>6982</v>
      </c>
      <c r="C299" s="4" t="n">
        <v>2015</v>
      </c>
      <c r="D299" s="4" t="s">
        <v>6983</v>
      </c>
      <c r="E299" s="4" t="str">
        <f aca="false">IF(B299="","",LOWER(B299)&amp;"|"&amp;C299)</f>
        <v>steve jobs|2015</v>
      </c>
    </row>
    <row r="300" customFormat="false" ht="15" hidden="false" customHeight="false" outlineLevel="0" collapsed="false">
      <c r="A300" s="4" t="s">
        <v>6979</v>
      </c>
      <c r="B300" s="4" t="s">
        <v>6984</v>
      </c>
      <c r="C300" s="4" t="n">
        <v>2015</v>
      </c>
      <c r="D300" s="4" t="s">
        <v>6985</v>
      </c>
      <c r="E300" s="4" t="str">
        <f aca="false">IF(B300="","",LOWER(B300)&amp;"|"&amp;C300)</f>
        <v>shaun the sheep movie|2015</v>
      </c>
    </row>
    <row r="301" customFormat="false" ht="15" hidden="false" customHeight="false" outlineLevel="0" collapsed="false">
      <c r="A301" s="4" t="s">
        <v>6986</v>
      </c>
      <c r="B301" s="4" t="s">
        <v>678</v>
      </c>
      <c r="C301" s="4" t="n">
        <v>1976</v>
      </c>
      <c r="D301" s="4" t="s">
        <v>6987</v>
      </c>
      <c r="E301" s="4" t="str">
        <f aca="false">IF(B301="","",LOWER(B301)&amp;"|"&amp;C301)</f>
        <v>carrie|1976</v>
      </c>
    </row>
    <row r="302" customFormat="false" ht="15" hidden="false" customHeight="false" outlineLevel="0" collapsed="false">
      <c r="A302" s="4" t="s">
        <v>6988</v>
      </c>
      <c r="B302" s="4" t="s">
        <v>6989</v>
      </c>
      <c r="C302" s="4" t="n">
        <v>2012</v>
      </c>
      <c r="D302" s="4" t="s">
        <v>6990</v>
      </c>
      <c r="E302" s="4" t="str">
        <f aca="false">IF(B302="","",LOWER(B302)&amp;"|"&amp;C302)</f>
        <v>life of pi|2012</v>
      </c>
    </row>
    <row r="303" customFormat="false" ht="15" hidden="false" customHeight="false" outlineLevel="0" collapsed="false">
      <c r="A303" s="4" t="s">
        <v>6991</v>
      </c>
      <c r="B303" s="4" t="s">
        <v>6992</v>
      </c>
      <c r="C303" s="4" t="n">
        <v>2002</v>
      </c>
      <c r="D303" s="4" t="s">
        <v>6993</v>
      </c>
      <c r="E303" s="4" t="str">
        <f aca="false">IF(B303="","",LOWER(B303)&amp;"|"&amp;C303)</f>
        <v>one hour photo|2002</v>
      </c>
    </row>
    <row r="304" customFormat="false" ht="15" hidden="false" customHeight="false" outlineLevel="0" collapsed="false">
      <c r="A304" s="4" t="s">
        <v>6994</v>
      </c>
      <c r="B304" s="4" t="s">
        <v>2925</v>
      </c>
      <c r="C304" s="4" t="n">
        <v>2009</v>
      </c>
      <c r="D304" s="4" t="s">
        <v>6995</v>
      </c>
      <c r="E304" s="4" t="str">
        <f aca="false">IF(B304="","",LOWER(B304)&amp;"|"&amp;C304)</f>
        <v>mary and max|2009</v>
      </c>
    </row>
    <row r="305" customFormat="false" ht="15" hidden="false" customHeight="false" outlineLevel="0" collapsed="false">
      <c r="A305" s="4" t="s">
        <v>6996</v>
      </c>
      <c r="B305" s="4" t="s">
        <v>6997</v>
      </c>
      <c r="C305" s="4" t="n">
        <v>2021</v>
      </c>
      <c r="D305" s="4" t="s">
        <v>6998</v>
      </c>
      <c r="E305" s="4" t="str">
        <f aca="false">IF(B305="","",LOWER(B305)&amp;"|"&amp;C305)</f>
        <v>the loud house movie|2021</v>
      </c>
    </row>
    <row r="306" customFormat="false" ht="15" hidden="false" customHeight="false" outlineLevel="0" collapsed="false">
      <c r="A306" s="4" t="s">
        <v>6999</v>
      </c>
      <c r="B306" s="4" t="s">
        <v>7000</v>
      </c>
      <c r="C306" s="4" t="n">
        <v>1997</v>
      </c>
      <c r="D306" s="4" t="s">
        <v>7001</v>
      </c>
      <c r="E306" s="4" t="str">
        <f aca="false">IF(B306="","",LOWER(B306)&amp;"|"&amp;C306)</f>
        <v>liar liar|1997</v>
      </c>
    </row>
    <row r="307" customFormat="false" ht="15" hidden="false" customHeight="false" outlineLevel="0" collapsed="false">
      <c r="A307" s="4" t="s">
        <v>7002</v>
      </c>
      <c r="B307" s="4" t="s">
        <v>287</v>
      </c>
      <c r="C307" s="4" t="n">
        <v>1960</v>
      </c>
      <c r="D307" s="4" t="s">
        <v>7003</v>
      </c>
      <c r="E307" s="4" t="str">
        <f aca="false">IF(B307="","",LOWER(B307)&amp;"|"&amp;C307)</f>
        <v>la dolce vita|1960</v>
      </c>
    </row>
    <row r="308" customFormat="false" ht="15" hidden="false" customHeight="false" outlineLevel="0" collapsed="false">
      <c r="A308" s="4" t="s">
        <v>7002</v>
      </c>
      <c r="B308" s="4" t="s">
        <v>1557</v>
      </c>
      <c r="C308" s="4" t="n">
        <v>1994</v>
      </c>
      <c r="D308" s="4" t="s">
        <v>7004</v>
      </c>
      <c r="E308" s="4" t="str">
        <f aca="false">IF(B308="","",LOWER(B308)&amp;"|"&amp;C308)</f>
        <v>léon: the professional|1994</v>
      </c>
    </row>
    <row r="309" customFormat="false" ht="15" hidden="false" customHeight="false" outlineLevel="0" collapsed="false">
      <c r="A309" s="4" t="s">
        <v>7005</v>
      </c>
      <c r="B309" s="4" t="s">
        <v>7006</v>
      </c>
      <c r="C309" s="4" t="n">
        <v>1996</v>
      </c>
      <c r="D309" s="4" t="s">
        <v>7007</v>
      </c>
      <c r="E309" s="4" t="str">
        <f aca="false">IF(B309="","",LOWER(B309)&amp;"|"&amp;C309)</f>
        <v>human behavioural case studies. series one.|1996</v>
      </c>
    </row>
    <row r="310" customFormat="false" ht="15" hidden="false" customHeight="false" outlineLevel="0" collapsed="false">
      <c r="A310" s="4" t="s">
        <v>7005</v>
      </c>
      <c r="B310" s="4" t="s">
        <v>7008</v>
      </c>
      <c r="C310" s="4" t="n">
        <v>2000</v>
      </c>
      <c r="D310" s="4" t="s">
        <v>7009</v>
      </c>
      <c r="E310" s="4" t="str">
        <f aca="false">IF(B310="","",LOWER(B310)&amp;"|"&amp;C310)</f>
        <v>brother|2000</v>
      </c>
    </row>
    <row r="311" customFormat="false" ht="15" hidden="false" customHeight="false" outlineLevel="0" collapsed="false">
      <c r="A311" s="4" t="s">
        <v>7010</v>
      </c>
      <c r="B311" s="4" t="s">
        <v>7011</v>
      </c>
      <c r="C311" s="4" t="n">
        <v>2015</v>
      </c>
      <c r="D311" s="4" t="s">
        <v>7012</v>
      </c>
      <c r="E311" s="4" t="str">
        <f aca="false">IF(B311="","",LOWER(B311)&amp;"|"&amp;C311)</f>
        <v>ernie biscuit|2015</v>
      </c>
    </row>
    <row r="312" customFormat="false" ht="15" hidden="false" customHeight="false" outlineLevel="0" collapsed="false">
      <c r="A312" s="4" t="s">
        <v>7010</v>
      </c>
      <c r="B312" s="4" t="s">
        <v>7013</v>
      </c>
      <c r="C312" s="4" t="n">
        <v>1984</v>
      </c>
      <c r="D312" s="4" t="s">
        <v>7014</v>
      </c>
      <c r="E312" s="4" t="str">
        <f aca="false">IF(B312="","",LOWER(B312)&amp;"|"&amp;C312)</f>
        <v>the adventures of andré and wally b.|1984</v>
      </c>
    </row>
    <row r="313" customFormat="false" ht="15" hidden="false" customHeight="false" outlineLevel="0" collapsed="false">
      <c r="A313" s="4" t="s">
        <v>7010</v>
      </c>
      <c r="B313" s="4" t="s">
        <v>7015</v>
      </c>
      <c r="C313" s="4" t="n">
        <v>1987</v>
      </c>
      <c r="D313" s="4" t="s">
        <v>7016</v>
      </c>
      <c r="E313" s="4" t="str">
        <f aca="false">IF(B313="","",LOWER(B313)&amp;"|"&amp;C313)</f>
        <v>red's dream|1987</v>
      </c>
    </row>
    <row r="314" customFormat="false" ht="15" hidden="false" customHeight="false" outlineLevel="0" collapsed="false">
      <c r="A314" s="4" t="s">
        <v>7010</v>
      </c>
      <c r="B314" s="4" t="s">
        <v>1552</v>
      </c>
      <c r="C314" s="4" t="n">
        <v>1993</v>
      </c>
      <c r="D314" s="4" t="s">
        <v>7017</v>
      </c>
      <c r="E314" s="4" t="str">
        <f aca="false">IF(B314="","",LOWER(B314)&amp;"|"&amp;C314)</f>
        <v>the nightmare before christmas|1993</v>
      </c>
    </row>
    <row r="315" customFormat="false" ht="15" hidden="false" customHeight="false" outlineLevel="0" collapsed="false">
      <c r="A315" s="4" t="s">
        <v>7010</v>
      </c>
      <c r="B315" s="4" t="s">
        <v>7018</v>
      </c>
      <c r="C315" s="4" t="n">
        <v>1988</v>
      </c>
      <c r="D315" s="4" t="s">
        <v>7019</v>
      </c>
      <c r="E315" s="4" t="str">
        <f aca="false">IF(B315="","",LOWER(B315)&amp;"|"&amp;C315)</f>
        <v>tin toy|1988</v>
      </c>
    </row>
    <row r="316" customFormat="false" ht="15" hidden="false" customHeight="false" outlineLevel="0" collapsed="false">
      <c r="A316" s="4" t="s">
        <v>7010</v>
      </c>
      <c r="B316" s="4" t="s">
        <v>7020</v>
      </c>
      <c r="C316" s="4" t="n">
        <v>1997</v>
      </c>
      <c r="D316" s="4" t="s">
        <v>7021</v>
      </c>
      <c r="E316" s="4" t="str">
        <f aca="false">IF(B316="","",LOWER(B316)&amp;"|"&amp;C316)</f>
        <v>geri's game|1997</v>
      </c>
    </row>
    <row r="317" customFormat="false" ht="15" hidden="false" customHeight="false" outlineLevel="0" collapsed="false">
      <c r="A317" s="4" t="s">
        <v>7010</v>
      </c>
      <c r="B317" s="4" t="s">
        <v>7022</v>
      </c>
      <c r="C317" s="4" t="n">
        <v>1986</v>
      </c>
      <c r="D317" s="4" t="s">
        <v>7023</v>
      </c>
      <c r="E317" s="4" t="str">
        <f aca="false">IF(B317="","",LOWER(B317)&amp;"|"&amp;C317)</f>
        <v>luxo jr.|1986</v>
      </c>
    </row>
    <row r="318" customFormat="false" ht="15" hidden="false" customHeight="false" outlineLevel="0" collapsed="false">
      <c r="A318" s="4" t="s">
        <v>7024</v>
      </c>
      <c r="B318" s="4" t="s">
        <v>7025</v>
      </c>
      <c r="C318" s="4" t="n">
        <v>2000</v>
      </c>
      <c r="D318" s="4" t="s">
        <v>7026</v>
      </c>
      <c r="E318" s="4" t="str">
        <f aca="false">IF(B318="","",LOWER(B318)&amp;"|"&amp;C318)</f>
        <v>for the birds|2000</v>
      </c>
    </row>
    <row r="319" customFormat="false" ht="15" hidden="false" customHeight="false" outlineLevel="0" collapsed="false">
      <c r="A319" s="4" t="s">
        <v>7024</v>
      </c>
      <c r="B319" s="4" t="s">
        <v>7027</v>
      </c>
      <c r="C319" s="4" t="n">
        <v>2002</v>
      </c>
      <c r="D319" s="4" t="s">
        <v>7028</v>
      </c>
      <c r="E319" s="4" t="str">
        <f aca="false">IF(B319="","",LOWER(B319)&amp;"|"&amp;C319)</f>
        <v>mike's new car|2002</v>
      </c>
    </row>
    <row r="320" customFormat="false" ht="15" hidden="false" customHeight="false" outlineLevel="0" collapsed="false">
      <c r="A320" s="4" t="s">
        <v>7024</v>
      </c>
      <c r="B320" s="4" t="s">
        <v>7029</v>
      </c>
      <c r="C320" s="4" t="n">
        <v>1989</v>
      </c>
      <c r="D320" s="4" t="s">
        <v>7030</v>
      </c>
      <c r="E320" s="4" t="str">
        <f aca="false">IF(B320="","",LOWER(B320)&amp;"|"&amp;C320)</f>
        <v>knick knack|1989</v>
      </c>
    </row>
    <row r="321" customFormat="false" ht="15" hidden="false" customHeight="false" outlineLevel="0" collapsed="false">
      <c r="A321" s="4" t="s">
        <v>7024</v>
      </c>
      <c r="B321" s="4" t="s">
        <v>7031</v>
      </c>
      <c r="C321" s="4" t="n">
        <v>2003</v>
      </c>
      <c r="D321" s="4" t="s">
        <v>7032</v>
      </c>
      <c r="E321" s="4" t="str">
        <f aca="false">IF(B321="","",LOWER(B321)&amp;"|"&amp;C321)</f>
        <v>boundin'|2003</v>
      </c>
    </row>
    <row r="322" customFormat="false" ht="15" hidden="false" customHeight="false" outlineLevel="0" collapsed="false">
      <c r="A322" s="4" t="s">
        <v>7024</v>
      </c>
      <c r="B322" s="4" t="s">
        <v>7033</v>
      </c>
      <c r="C322" s="4" t="n">
        <v>2005</v>
      </c>
      <c r="D322" s="4" t="s">
        <v>7034</v>
      </c>
      <c r="E322" s="4" t="str">
        <f aca="false">IF(B322="","",LOWER(B322)&amp;"|"&amp;C322)</f>
        <v>jack-jack attack|2005</v>
      </c>
    </row>
    <row r="323" customFormat="false" ht="15" hidden="false" customHeight="false" outlineLevel="0" collapsed="false">
      <c r="A323" s="4" t="s">
        <v>7024</v>
      </c>
      <c r="B323" s="4" t="s">
        <v>7035</v>
      </c>
      <c r="C323" s="4" t="n">
        <v>2005</v>
      </c>
      <c r="D323" s="4" t="s">
        <v>7036</v>
      </c>
      <c r="E323" s="4" t="str">
        <f aca="false">IF(B323="","",LOWER(B323)&amp;"|"&amp;C323)</f>
        <v>one man band|2005</v>
      </c>
    </row>
    <row r="324" customFormat="false" ht="15" hidden="false" customHeight="false" outlineLevel="0" collapsed="false">
      <c r="A324" s="4" t="s">
        <v>7024</v>
      </c>
      <c r="B324" s="4" t="s">
        <v>7037</v>
      </c>
      <c r="C324" s="4" t="n">
        <v>1981</v>
      </c>
      <c r="D324" s="4" t="s">
        <v>7038</v>
      </c>
      <c r="E324" s="4" t="str">
        <f aca="false">IF(B324="","",LOWER(B324)&amp;"|"&amp;C324)</f>
        <v>halloween ii|1981</v>
      </c>
    </row>
    <row r="325" customFormat="false" ht="15" hidden="false" customHeight="false" outlineLevel="0" collapsed="false">
      <c r="A325" s="4" t="s">
        <v>7024</v>
      </c>
      <c r="B325" s="4" t="s">
        <v>7039</v>
      </c>
      <c r="C325" s="4" t="n">
        <v>2006</v>
      </c>
      <c r="D325" s="4" t="s">
        <v>7040</v>
      </c>
      <c r="E325" s="4" t="str">
        <f aca="false">IF(B325="","",LOWER(B325)&amp;"|"&amp;C325)</f>
        <v>mater and the ghostlight|2006</v>
      </c>
    </row>
    <row r="326" customFormat="false" ht="15" hidden="false" customHeight="false" outlineLevel="0" collapsed="false">
      <c r="A326" s="4" t="s">
        <v>7024</v>
      </c>
      <c r="B326" s="4" t="s">
        <v>7041</v>
      </c>
      <c r="C326" s="4" t="n">
        <v>2006</v>
      </c>
      <c r="D326" s="4" t="s">
        <v>7042</v>
      </c>
      <c r="E326" s="4" t="str">
        <f aca="false">IF(B326="","",LOWER(B326)&amp;"|"&amp;C326)</f>
        <v>lifted|2006</v>
      </c>
    </row>
    <row r="327" customFormat="false" ht="15" hidden="false" customHeight="false" outlineLevel="0" collapsed="false">
      <c r="A327" s="4" t="s">
        <v>7024</v>
      </c>
      <c r="B327" s="4" t="s">
        <v>7043</v>
      </c>
      <c r="C327" s="4" t="n">
        <v>2007</v>
      </c>
      <c r="D327" s="4" t="s">
        <v>7044</v>
      </c>
      <c r="E327" s="4" t="str">
        <f aca="false">IF(B327="","",LOWER(B327)&amp;"|"&amp;C327)</f>
        <v>your friend the rat|2007</v>
      </c>
    </row>
    <row r="328" customFormat="false" ht="15" hidden="false" customHeight="false" outlineLevel="0" collapsed="false">
      <c r="A328" s="4" t="s">
        <v>7024</v>
      </c>
      <c r="B328" s="4" t="s">
        <v>7045</v>
      </c>
      <c r="C328" s="4" t="n">
        <v>2008</v>
      </c>
      <c r="D328" s="4" t="s">
        <v>7046</v>
      </c>
      <c r="E328" s="4" t="str">
        <f aca="false">IF(B328="","",LOWER(B328)&amp;"|"&amp;C328)</f>
        <v>rescue squad mater|2008</v>
      </c>
    </row>
    <row r="329" customFormat="false" ht="15" hidden="false" customHeight="false" outlineLevel="0" collapsed="false">
      <c r="A329" s="4" t="s">
        <v>7024</v>
      </c>
      <c r="B329" s="4" t="s">
        <v>7047</v>
      </c>
      <c r="C329" s="4" t="n">
        <v>2008</v>
      </c>
      <c r="D329" s="4" t="s">
        <v>7048</v>
      </c>
      <c r="E329" s="4" t="str">
        <f aca="false">IF(B329="","",LOWER(B329)&amp;"|"&amp;C329)</f>
        <v>tokyo mater|2008</v>
      </c>
    </row>
    <row r="330" customFormat="false" ht="15" hidden="false" customHeight="false" outlineLevel="0" collapsed="false">
      <c r="A330" s="4" t="s">
        <v>7024</v>
      </c>
      <c r="B330" s="4" t="s">
        <v>7049</v>
      </c>
      <c r="C330" s="4" t="n">
        <v>2008</v>
      </c>
      <c r="D330" s="4" t="s">
        <v>7050</v>
      </c>
      <c r="E330" s="4" t="str">
        <f aca="false">IF(B330="","",LOWER(B330)&amp;"|"&amp;C330)</f>
        <v>el materdor|2008</v>
      </c>
    </row>
    <row r="331" customFormat="false" ht="15" hidden="false" customHeight="false" outlineLevel="0" collapsed="false">
      <c r="A331" s="4" t="s">
        <v>7024</v>
      </c>
      <c r="B331" s="4" t="s">
        <v>7051</v>
      </c>
      <c r="C331" s="4" t="n">
        <v>2008</v>
      </c>
      <c r="D331" s="4" t="s">
        <v>7052</v>
      </c>
      <c r="E331" s="4" t="str">
        <f aca="false">IF(B331="","",LOWER(B331)&amp;"|"&amp;C331)</f>
        <v>presto|2008</v>
      </c>
    </row>
    <row r="332" customFormat="false" ht="15" hidden="false" customHeight="false" outlineLevel="0" collapsed="false">
      <c r="A332" s="4" t="s">
        <v>7053</v>
      </c>
      <c r="B332" s="4" t="s">
        <v>7054</v>
      </c>
      <c r="C332" s="4" t="n">
        <v>2008</v>
      </c>
      <c r="D332" s="4" t="s">
        <v>7055</v>
      </c>
      <c r="E332" s="4" t="str">
        <f aca="false">IF(B332="","",LOWER(B332)&amp;"|"&amp;C332)</f>
        <v>mater the greater|2008</v>
      </c>
    </row>
    <row r="333" customFormat="false" ht="15" hidden="false" customHeight="false" outlineLevel="0" collapsed="false">
      <c r="A333" s="4" t="s">
        <v>7053</v>
      </c>
      <c r="B333" s="4" t="s">
        <v>7056</v>
      </c>
      <c r="C333" s="4" t="n">
        <v>2008</v>
      </c>
      <c r="D333" s="4" t="s">
        <v>7057</v>
      </c>
      <c r="E333" s="4" t="str">
        <f aca="false">IF(B333="","",LOWER(B333)&amp;"|"&amp;C333)</f>
        <v>burn·e|2008</v>
      </c>
    </row>
    <row r="334" customFormat="false" ht="15" hidden="false" customHeight="false" outlineLevel="0" collapsed="false">
      <c r="A334" s="4" t="s">
        <v>7053</v>
      </c>
      <c r="B334" s="4" t="s">
        <v>7058</v>
      </c>
      <c r="C334" s="4" t="n">
        <v>2012</v>
      </c>
      <c r="D334" s="4" t="s">
        <v>7059</v>
      </c>
      <c r="E334" s="4" t="str">
        <f aca="false">IF(B334="","",LOWER(B334)&amp;"|"&amp;C334)</f>
        <v>the campaign|2012</v>
      </c>
    </row>
    <row r="335" customFormat="false" ht="15" hidden="false" customHeight="false" outlineLevel="0" collapsed="false">
      <c r="A335" s="4" t="s">
        <v>7053</v>
      </c>
      <c r="B335" s="4" t="s">
        <v>7060</v>
      </c>
      <c r="C335" s="4" t="n">
        <v>2019</v>
      </c>
      <c r="D335" s="4" t="s">
        <v>7061</v>
      </c>
      <c r="E335" s="4" t="str">
        <f aca="false">IF(B335="","",LOWER(B335)&amp;"|"&amp;C335)</f>
        <v>the peanut butter falcon|2019</v>
      </c>
    </row>
    <row r="336" customFormat="false" ht="15" hidden="false" customHeight="false" outlineLevel="0" collapsed="false">
      <c r="A336" s="4" t="s">
        <v>7062</v>
      </c>
      <c r="B336" s="4" t="s">
        <v>2341</v>
      </c>
      <c r="C336" s="4" t="n">
        <v>1980</v>
      </c>
      <c r="D336" s="4" t="s">
        <v>7063</v>
      </c>
      <c r="E336" s="4" t="str">
        <f aca="false">IF(B336="","",LOWER(B336)&amp;"|"&amp;C336)</f>
        <v>the fog|1980</v>
      </c>
    </row>
    <row r="337" customFormat="false" ht="15" hidden="false" customHeight="false" outlineLevel="0" collapsed="false">
      <c r="A337" s="4" t="s">
        <v>7064</v>
      </c>
      <c r="B337" s="4" t="s">
        <v>428</v>
      </c>
      <c r="C337" s="4" t="n">
        <v>1999</v>
      </c>
      <c r="D337" s="4" t="s">
        <v>7065</v>
      </c>
      <c r="E337" s="4" t="str">
        <f aca="false">IF(B337="","",LOWER(B337)&amp;"|"&amp;C337)</f>
        <v>election|1999</v>
      </c>
    </row>
    <row r="338" customFormat="false" ht="15" hidden="false" customHeight="false" outlineLevel="0" collapsed="false">
      <c r="A338" s="4" t="s">
        <v>7066</v>
      </c>
      <c r="B338" s="4" t="s">
        <v>315</v>
      </c>
      <c r="C338" s="4" t="n">
        <v>1983</v>
      </c>
      <c r="D338" s="4" t="s">
        <v>7067</v>
      </c>
      <c r="E338" s="4" t="str">
        <f aca="false">IF(B338="","",LOWER(B338)&amp;"|"&amp;C338)</f>
        <v>videodrome|1983</v>
      </c>
    </row>
    <row r="339" customFormat="false" ht="15" hidden="false" customHeight="false" outlineLevel="0" collapsed="false">
      <c r="A339" s="4" t="s">
        <v>7068</v>
      </c>
      <c r="B339" s="4" t="s">
        <v>7069</v>
      </c>
      <c r="C339" s="4" t="n">
        <v>2001</v>
      </c>
      <c r="D339" s="4" t="s">
        <v>7070</v>
      </c>
      <c r="E339" s="4" t="str">
        <f aca="false">IF(B339="","",LOWER(B339)&amp;"|"&amp;C339)</f>
        <v>harry potter and the philosopher's stone|2001</v>
      </c>
    </row>
    <row r="340" customFormat="false" ht="15" hidden="false" customHeight="false" outlineLevel="0" collapsed="false">
      <c r="A340" s="4" t="s">
        <v>7071</v>
      </c>
      <c r="B340" s="4" t="s">
        <v>7072</v>
      </c>
      <c r="C340" s="4" t="n">
        <v>2005</v>
      </c>
      <c r="D340" s="4" t="s">
        <v>7073</v>
      </c>
      <c r="E340" s="4" t="str">
        <f aca="false">IF(B340="","",LOWER(B340)&amp;"|"&amp;C340)</f>
        <v>corpse bride|2005</v>
      </c>
    </row>
    <row r="341" customFormat="false" ht="15" hidden="false" customHeight="false" outlineLevel="0" collapsed="false">
      <c r="A341" s="4" t="s">
        <v>7074</v>
      </c>
      <c r="B341" s="4" t="s">
        <v>7075</v>
      </c>
      <c r="C341" s="4" t="n">
        <v>2001</v>
      </c>
      <c r="D341" s="4" t="s">
        <v>7076</v>
      </c>
      <c r="E341" s="4" t="str">
        <f aca="false">IF(B341="","",LOWER(B341)&amp;"|"&amp;C341)</f>
        <v>ghost world|2001</v>
      </c>
    </row>
    <row r="342" customFormat="false" ht="15" hidden="false" customHeight="false" outlineLevel="0" collapsed="false">
      <c r="A342" s="4" t="s">
        <v>7077</v>
      </c>
      <c r="B342" s="4" t="s">
        <v>7078</v>
      </c>
      <c r="C342" s="4" t="n">
        <v>1979</v>
      </c>
      <c r="D342" s="4" t="s">
        <v>7079</v>
      </c>
      <c r="E342" s="4" t="str">
        <f aca="false">IF(B342="","",LOWER(B342)&amp;"|"&amp;C342)</f>
        <v>rocky ii|1979</v>
      </c>
    </row>
    <row r="343" customFormat="false" ht="15" hidden="false" customHeight="false" outlineLevel="0" collapsed="false">
      <c r="A343" s="4" t="s">
        <v>7080</v>
      </c>
      <c r="B343" s="4" t="s">
        <v>7081</v>
      </c>
      <c r="C343" s="4" t="n">
        <v>1996</v>
      </c>
      <c r="D343" s="4" t="s">
        <v>7082</v>
      </c>
      <c r="E343" s="4" t="str">
        <f aca="false">IF(B343="","",LOWER(B343)&amp;"|"&amp;C343)</f>
        <v>the cable guy|1996</v>
      </c>
    </row>
    <row r="344" customFormat="false" ht="15" hidden="false" customHeight="false" outlineLevel="0" collapsed="false">
      <c r="A344" s="4" t="s">
        <v>7080</v>
      </c>
      <c r="B344" s="4" t="s">
        <v>408</v>
      </c>
      <c r="C344" s="4" t="n">
        <v>1978</v>
      </c>
      <c r="D344" s="4" t="s">
        <v>7083</v>
      </c>
      <c r="E344" s="4" t="str">
        <f aca="false">IF(B344="","",LOWER(B344)&amp;"|"&amp;C344)</f>
        <v>invasion of the body snatchers|1978</v>
      </c>
    </row>
    <row r="345" customFormat="false" ht="15" hidden="false" customHeight="false" outlineLevel="0" collapsed="false">
      <c r="A345" s="4" t="s">
        <v>7084</v>
      </c>
      <c r="B345" s="4" t="s">
        <v>7085</v>
      </c>
      <c r="C345" s="4" t="n">
        <v>1982</v>
      </c>
      <c r="D345" s="4" t="s">
        <v>7086</v>
      </c>
      <c r="E345" s="4" t="str">
        <f aca="false">IF(B345="","",LOWER(B345)&amp;"|"&amp;C345)</f>
        <v>rocky iii|1982</v>
      </c>
    </row>
    <row r="346" customFormat="false" ht="15" hidden="false" customHeight="false" outlineLevel="0" collapsed="false">
      <c r="A346" s="4" t="s">
        <v>7087</v>
      </c>
      <c r="B346" s="4" t="s">
        <v>3802</v>
      </c>
      <c r="C346" s="4" t="n">
        <v>2012</v>
      </c>
      <c r="D346" s="4" t="s">
        <v>7088</v>
      </c>
      <c r="E346" s="4" t="str">
        <f aca="false">IF(B346="","",LOWER(B346)&amp;"|"&amp;C346)</f>
        <v>it's such a beautiful day|2012</v>
      </c>
    </row>
    <row r="347" customFormat="false" ht="15" hidden="false" customHeight="false" outlineLevel="0" collapsed="false">
      <c r="A347" s="4" t="s">
        <v>7089</v>
      </c>
      <c r="B347" s="4" t="s">
        <v>7090</v>
      </c>
      <c r="C347" s="4" t="n">
        <v>2012</v>
      </c>
      <c r="D347" s="4" t="s">
        <v>7091</v>
      </c>
      <c r="E347" s="4" t="str">
        <f aca="false">IF(B347="","",LOWER(B347)&amp;"|"&amp;C347)</f>
        <v>do you like to read?|2012</v>
      </c>
    </row>
    <row r="348" customFormat="false" ht="15" hidden="false" customHeight="false" outlineLevel="0" collapsed="false">
      <c r="A348" s="4" t="s">
        <v>7092</v>
      </c>
      <c r="B348" s="4" t="s">
        <v>3052</v>
      </c>
      <c r="C348" s="4" t="n">
        <v>2014</v>
      </c>
      <c r="D348" s="4" t="s">
        <v>7093</v>
      </c>
      <c r="E348" s="4" t="str">
        <f aca="false">IF(B348="","",LOWER(B348)&amp;"|"&amp;C348)</f>
        <v>creep|2014</v>
      </c>
    </row>
    <row r="349" customFormat="false" ht="15" hidden="false" customHeight="false" outlineLevel="0" collapsed="false">
      <c r="A349" s="4" t="s">
        <v>7094</v>
      </c>
      <c r="B349" s="4" t="s">
        <v>1083</v>
      </c>
      <c r="C349" s="4" t="n">
        <v>1987</v>
      </c>
      <c r="D349" s="4" t="s">
        <v>7095</v>
      </c>
      <c r="E349" s="4" t="str">
        <f aca="false">IF(B349="","",LOWER(B349)&amp;"|"&amp;C349)</f>
        <v>prince of darkness|1987</v>
      </c>
    </row>
    <row r="350" customFormat="false" ht="15" hidden="false" customHeight="false" outlineLevel="0" collapsed="false">
      <c r="A350" s="4" t="s">
        <v>7096</v>
      </c>
      <c r="B350" s="4" t="s">
        <v>682</v>
      </c>
      <c r="C350" s="4" t="n">
        <v>1989</v>
      </c>
      <c r="D350" s="4" t="s">
        <v>7097</v>
      </c>
      <c r="E350" s="4" t="str">
        <f aca="false">IF(B350="","",LOWER(B350)&amp;"|"&amp;C350)</f>
        <v>dead poets society|1989</v>
      </c>
    </row>
    <row r="351" customFormat="false" ht="15" hidden="false" customHeight="false" outlineLevel="0" collapsed="false">
      <c r="A351" s="4" t="s">
        <v>7098</v>
      </c>
      <c r="B351" s="4" t="s">
        <v>7099</v>
      </c>
      <c r="C351" s="4" t="n">
        <v>1993</v>
      </c>
      <c r="D351" s="4" t="s">
        <v>7100</v>
      </c>
      <c r="E351" s="4" t="str">
        <f aca="false">IF(B351="","",LOWER(B351)&amp;"|"&amp;C351)</f>
        <v>true romance|1993</v>
      </c>
    </row>
    <row r="352" customFormat="false" ht="15" hidden="false" customHeight="false" outlineLevel="0" collapsed="false">
      <c r="A352" s="4" t="s">
        <v>7101</v>
      </c>
      <c r="B352" s="4" t="s">
        <v>7102</v>
      </c>
      <c r="C352" s="4" t="n">
        <v>2018</v>
      </c>
      <c r="D352" s="4" t="s">
        <v>7103</v>
      </c>
      <c r="E352" s="4" t="str">
        <f aca="false">IF(B352="","",LOWER(B352)&amp;"|"&amp;C352)</f>
        <v>skyscraper|2018</v>
      </c>
    </row>
    <row r="353" customFormat="false" ht="15" hidden="false" customHeight="false" outlineLevel="0" collapsed="false">
      <c r="A353" s="4" t="s">
        <v>7104</v>
      </c>
      <c r="B353" s="4" t="s">
        <v>2865</v>
      </c>
      <c r="C353" s="4" t="n">
        <v>2006</v>
      </c>
      <c r="D353" s="4" t="s">
        <v>7105</v>
      </c>
      <c r="E353" s="4" t="str">
        <f aca="false">IF(B353="","",LOWER(B353)&amp;"|"&amp;C353)</f>
        <v>little miss sunshine|2006</v>
      </c>
    </row>
    <row r="354" customFormat="false" ht="15" hidden="false" customHeight="false" outlineLevel="0" collapsed="false">
      <c r="A354" s="4" t="s">
        <v>7104</v>
      </c>
      <c r="B354" s="4" t="s">
        <v>2992</v>
      </c>
      <c r="C354" s="4" t="n">
        <v>2012</v>
      </c>
      <c r="D354" s="4" t="s">
        <v>7106</v>
      </c>
      <c r="E354" s="4" t="str">
        <f aca="false">IF(B354="","",LOWER(B354)&amp;"|"&amp;C354)</f>
        <v>the hunt|2012</v>
      </c>
    </row>
    <row r="355" customFormat="false" ht="15" hidden="false" customHeight="false" outlineLevel="0" collapsed="false">
      <c r="A355" s="4" t="s">
        <v>7107</v>
      </c>
      <c r="B355" s="4" t="s">
        <v>7108</v>
      </c>
      <c r="C355" s="4" t="n">
        <v>2021</v>
      </c>
      <c r="D355" s="4" t="s">
        <v>7109</v>
      </c>
      <c r="E355" s="4" t="str">
        <f aca="false">IF(B355="","",LOWER(B355)&amp;"|"&amp;C355)</f>
        <v>all too well: the short film|2021</v>
      </c>
    </row>
    <row r="356" customFormat="false" ht="15" hidden="false" customHeight="false" outlineLevel="0" collapsed="false">
      <c r="A356" s="4" t="s">
        <v>7110</v>
      </c>
      <c r="B356" s="4" t="s">
        <v>1177</v>
      </c>
      <c r="C356" s="4" t="n">
        <v>2006</v>
      </c>
      <c r="D356" s="4" t="s">
        <v>7111</v>
      </c>
      <c r="E356" s="4" t="str">
        <f aca="false">IF(B356="","",LOWER(B356)&amp;"|"&amp;C356)</f>
        <v>miami vice|2006</v>
      </c>
    </row>
    <row r="357" customFormat="false" ht="15" hidden="false" customHeight="false" outlineLevel="0" collapsed="false">
      <c r="A357" s="4" t="s">
        <v>7112</v>
      </c>
      <c r="B357" s="4" t="s">
        <v>2974</v>
      </c>
      <c r="C357" s="4" t="n">
        <v>2011</v>
      </c>
      <c r="D357" s="4" t="s">
        <v>7113</v>
      </c>
      <c r="E357" s="4" t="str">
        <f aca="false">IF(B357="","",LOWER(B357)&amp;"|"&amp;C357)</f>
        <v>bernie|2011</v>
      </c>
    </row>
    <row r="358" customFormat="false" ht="15" hidden="false" customHeight="false" outlineLevel="0" collapsed="false">
      <c r="A358" s="4" t="s">
        <v>7114</v>
      </c>
      <c r="B358" s="4" t="s">
        <v>7115</v>
      </c>
      <c r="C358" s="4" t="n">
        <v>2004</v>
      </c>
      <c r="D358" s="4" t="s">
        <v>7116</v>
      </c>
      <c r="E358" s="4" t="str">
        <f aca="false">IF(B358="","",LOWER(B358)&amp;"|"&amp;C358)</f>
        <v>miracle|2004</v>
      </c>
    </row>
    <row r="359" customFormat="false" ht="15" hidden="false" customHeight="false" outlineLevel="0" collapsed="false">
      <c r="A359" s="4" t="s">
        <v>7117</v>
      </c>
      <c r="B359" s="4" t="s">
        <v>1372</v>
      </c>
      <c r="C359" s="4" t="n">
        <v>1987</v>
      </c>
      <c r="D359" s="4" t="s">
        <v>7118</v>
      </c>
      <c r="E359" s="4" t="str">
        <f aca="false">IF(B359="","",LOWER(B359)&amp;"|"&amp;C359)</f>
        <v>planes, trains and automobiles|1987</v>
      </c>
    </row>
    <row r="360" customFormat="false" ht="15" hidden="false" customHeight="false" outlineLevel="0" collapsed="false">
      <c r="A360" s="4" t="s">
        <v>7119</v>
      </c>
      <c r="B360" s="4" t="s">
        <v>3141</v>
      </c>
      <c r="C360" s="4" t="n">
        <v>2018</v>
      </c>
      <c r="D360" s="4" t="s">
        <v>7120</v>
      </c>
      <c r="E360" s="4" t="str">
        <f aca="false">IF(B360="","",LOWER(B360)&amp;"|"&amp;C360)</f>
        <v>they shall not grow old|2018</v>
      </c>
    </row>
    <row r="361" customFormat="false" ht="15" hidden="false" customHeight="false" outlineLevel="0" collapsed="false">
      <c r="A361" s="4" t="s">
        <v>7121</v>
      </c>
      <c r="B361" s="4" t="s">
        <v>7122</v>
      </c>
      <c r="C361" s="4" t="n">
        <v>2009</v>
      </c>
      <c r="D361" s="4" t="s">
        <v>7123</v>
      </c>
      <c r="E361" s="4" t="str">
        <f aca="false">IF(B361="","",LOWER(B361)&amp;"|"&amp;C361)</f>
        <v>unidentified flying mater|2009</v>
      </c>
    </row>
    <row r="362" customFormat="false" ht="15" hidden="false" customHeight="false" outlineLevel="0" collapsed="false">
      <c r="A362" s="4" t="s">
        <v>7124</v>
      </c>
      <c r="B362" s="4" t="s">
        <v>2832</v>
      </c>
      <c r="C362" s="4" t="n">
        <v>2005</v>
      </c>
      <c r="D362" s="4" t="s">
        <v>7125</v>
      </c>
      <c r="E362" s="4" t="str">
        <f aca="false">IF(B362="","",LOWER(B362)&amp;"|"&amp;C362)</f>
        <v>brick|2005</v>
      </c>
    </row>
    <row r="363" customFormat="false" ht="15" hidden="false" customHeight="false" outlineLevel="0" collapsed="false">
      <c r="A363" s="4" t="s">
        <v>7126</v>
      </c>
      <c r="B363" s="4" t="s">
        <v>188</v>
      </c>
      <c r="C363" s="4" t="n">
        <v>1976</v>
      </c>
      <c r="D363" s="4" t="s">
        <v>7127</v>
      </c>
      <c r="E363" s="4" t="str">
        <f aca="false">IF(B363="","",LOWER(B363)&amp;"|"&amp;C363)</f>
        <v>network|1976</v>
      </c>
    </row>
    <row r="364" customFormat="false" ht="15" hidden="false" customHeight="false" outlineLevel="0" collapsed="false">
      <c r="A364" s="4" t="s">
        <v>7128</v>
      </c>
      <c r="B364" s="4" t="s">
        <v>681</v>
      </c>
      <c r="C364" s="4" t="n">
        <v>1986</v>
      </c>
      <c r="D364" s="4" t="s">
        <v>7129</v>
      </c>
      <c r="E364" s="4" t="str">
        <f aca="false">IF(B364="","",LOWER(B364)&amp;"|"&amp;C364)</f>
        <v>the fly|1986</v>
      </c>
    </row>
    <row r="365" customFormat="false" ht="15" hidden="false" customHeight="false" outlineLevel="0" collapsed="false">
      <c r="A365" s="4" t="s">
        <v>7130</v>
      </c>
      <c r="B365" s="4" t="s">
        <v>7131</v>
      </c>
      <c r="C365" s="4" t="n">
        <v>2003</v>
      </c>
      <c r="D365" s="4" t="s">
        <v>7132</v>
      </c>
      <c r="E365" s="4" t="str">
        <f aca="false">IF(B365="","",LOWER(B365)&amp;"|"&amp;C365)</f>
        <v>elf|2003</v>
      </c>
    </row>
    <row r="366" customFormat="false" ht="15" hidden="false" customHeight="false" outlineLevel="0" collapsed="false">
      <c r="A366" s="4" t="s">
        <v>7133</v>
      </c>
      <c r="B366" s="4" t="s">
        <v>7134</v>
      </c>
      <c r="C366" s="4" t="n">
        <v>1990</v>
      </c>
      <c r="D366" s="4" t="s">
        <v>7135</v>
      </c>
      <c r="E366" s="4" t="str">
        <f aca="false">IF(B366="","",LOWER(B366)&amp;"|"&amp;C366)</f>
        <v>edward scissorhands|1990</v>
      </c>
    </row>
    <row r="367" customFormat="false" ht="15" hidden="false" customHeight="false" outlineLevel="0" collapsed="false">
      <c r="A367" s="4" t="s">
        <v>7136</v>
      </c>
      <c r="B367" s="4" t="s">
        <v>7137</v>
      </c>
      <c r="C367" s="4" t="n">
        <v>2017</v>
      </c>
      <c r="D367" s="4" t="s">
        <v>7138</v>
      </c>
      <c r="E367" s="4" t="str">
        <f aca="false">IF(B367="","",LOWER(B367)&amp;"|"&amp;C367)</f>
        <v>last flag flying|2017</v>
      </c>
    </row>
    <row r="368" customFormat="false" ht="15" hidden="false" customHeight="false" outlineLevel="0" collapsed="false">
      <c r="A368" s="4" t="s">
        <v>7139</v>
      </c>
      <c r="B368" s="4" t="s">
        <v>1117</v>
      </c>
      <c r="C368" s="4" t="n">
        <v>1997</v>
      </c>
      <c r="D368" s="4" t="s">
        <v>7140</v>
      </c>
      <c r="E368" s="4" t="str">
        <f aca="false">IF(B368="","",LOWER(B368)&amp;"|"&amp;C368)</f>
        <v>funny games|1997</v>
      </c>
    </row>
    <row r="369" customFormat="false" ht="15" hidden="false" customHeight="false" outlineLevel="0" collapsed="false">
      <c r="A369" s="4" t="s">
        <v>7141</v>
      </c>
      <c r="B369" s="4" t="s">
        <v>7142</v>
      </c>
      <c r="C369" s="4" t="n">
        <v>2006</v>
      </c>
      <c r="D369" s="4" t="s">
        <v>7143</v>
      </c>
      <c r="E369" s="4" t="str">
        <f aca="false">IF(B369="","",LOWER(B369)&amp;"|"&amp;C369)</f>
        <v>talladega nights: the ballad of ricky bobby|2006</v>
      </c>
    </row>
    <row r="370" customFormat="false" ht="15" hidden="false" customHeight="false" outlineLevel="0" collapsed="false">
      <c r="A370" s="4" t="s">
        <v>7144</v>
      </c>
      <c r="B370" s="4" t="s">
        <v>7145</v>
      </c>
      <c r="C370" s="4" t="n">
        <v>1996</v>
      </c>
      <c r="D370" s="4" t="s">
        <v>7146</v>
      </c>
      <c r="E370" s="4" t="str">
        <f aca="false">IF(B370="","",LOWER(B370)&amp;"|"&amp;C370)</f>
        <v>mars attacks!|1996</v>
      </c>
    </row>
    <row r="371" customFormat="false" ht="15" hidden="false" customHeight="false" outlineLevel="0" collapsed="false">
      <c r="A371" s="4" t="s">
        <v>7147</v>
      </c>
      <c r="B371" s="4" t="s">
        <v>2828</v>
      </c>
      <c r="C371" s="4" t="n">
        <v>2004</v>
      </c>
      <c r="D371" s="4" t="s">
        <v>7148</v>
      </c>
      <c r="E371" s="4" t="str">
        <f aca="false">IF(B371="","",LOWER(B371)&amp;"|"&amp;C371)</f>
        <v>kill bill: vol. 2|2004</v>
      </c>
    </row>
    <row r="372" customFormat="false" ht="15" hidden="false" customHeight="false" outlineLevel="0" collapsed="false">
      <c r="A372" s="4" t="s">
        <v>7149</v>
      </c>
      <c r="B372" s="4" t="s">
        <v>7150</v>
      </c>
      <c r="C372" s="4" t="n">
        <v>1989</v>
      </c>
      <c r="D372" s="4" t="s">
        <v>7151</v>
      </c>
      <c r="E372" s="4" t="str">
        <f aca="false">IF(B372="","",LOWER(B372)&amp;"|"&amp;C372)</f>
        <v>national lampoon's christmas vacation|1989</v>
      </c>
    </row>
    <row r="373" customFormat="false" ht="15" hidden="false" customHeight="false" outlineLevel="0" collapsed="false">
      <c r="A373" s="4" t="s">
        <v>7152</v>
      </c>
      <c r="B373" s="4" t="s">
        <v>7153</v>
      </c>
      <c r="C373" s="4"/>
      <c r="D373" s="4" t="s">
        <v>7154</v>
      </c>
      <c r="E373" s="4" t="str">
        <f aca="false">IF(B373="","",LOWER(B373)&amp;"|"&amp;C373)</f>
        <v>all night|</v>
      </c>
    </row>
    <row r="374" customFormat="false" ht="15" hidden="false" customHeight="false" outlineLevel="0" collapsed="false">
      <c r="A374" s="4" t="s">
        <v>7152</v>
      </c>
      <c r="B374" s="4" t="s">
        <v>7155</v>
      </c>
      <c r="C374" s="4" t="n">
        <v>1993</v>
      </c>
      <c r="D374" s="4" t="s">
        <v>7156</v>
      </c>
      <c r="E374" s="4" t="str">
        <f aca="false">IF(B374="","",LOWER(B374)&amp;"|"&amp;C374)</f>
        <v>falling down|1993</v>
      </c>
    </row>
    <row r="375" customFormat="false" ht="15" hidden="false" customHeight="false" outlineLevel="0" collapsed="false">
      <c r="A375" s="4" t="s">
        <v>7152</v>
      </c>
      <c r="B375" s="4" t="s">
        <v>7157</v>
      </c>
      <c r="C375" s="4" t="n">
        <v>2004</v>
      </c>
      <c r="D375" s="4" t="s">
        <v>7158</v>
      </c>
      <c r="E375" s="4" t="str">
        <f aca="false">IF(B375="","",LOWER(B375)&amp;"|"&amp;C375)</f>
        <v>the polar express|2004</v>
      </c>
    </row>
    <row r="376" customFormat="false" ht="15" hidden="false" customHeight="false" outlineLevel="0" collapsed="false">
      <c r="A376" s="4" t="s">
        <v>7159</v>
      </c>
      <c r="B376" s="4" t="s">
        <v>182</v>
      </c>
      <c r="C376" s="4" t="n">
        <v>1975</v>
      </c>
      <c r="D376" s="4" t="s">
        <v>7160</v>
      </c>
      <c r="E376" s="4" t="str">
        <f aca="false">IF(B376="","",LOWER(B376)&amp;"|"&amp;C376)</f>
        <v>jaws|1975</v>
      </c>
    </row>
    <row r="377" customFormat="false" ht="15" hidden="false" customHeight="false" outlineLevel="0" collapsed="false">
      <c r="A377" s="4" t="s">
        <v>7161</v>
      </c>
      <c r="B377" s="4" t="s">
        <v>7162</v>
      </c>
      <c r="C377" s="4" t="n">
        <v>2012</v>
      </c>
      <c r="D377" s="4" t="s">
        <v>7163</v>
      </c>
      <c r="E377" s="4" t="str">
        <f aca="false">IF(B377="","",LOWER(B377)&amp;"|"&amp;C377)</f>
        <v>frankenweenie|2012</v>
      </c>
    </row>
    <row r="378" customFormat="false" ht="15" hidden="false" customHeight="false" outlineLevel="0" collapsed="false">
      <c r="A378" s="4" t="s">
        <v>7164</v>
      </c>
      <c r="B378" s="4" t="s">
        <v>2516</v>
      </c>
      <c r="C378" s="4" t="n">
        <v>1990</v>
      </c>
      <c r="D378" s="4" t="s">
        <v>7165</v>
      </c>
      <c r="E378" s="4" t="str">
        <f aca="false">IF(B378="","",LOWER(B378)&amp;"|"&amp;C378)</f>
        <v>home alone|1990</v>
      </c>
    </row>
    <row r="379" customFormat="false" ht="15" hidden="false" customHeight="false" outlineLevel="0" collapsed="false">
      <c r="A379" s="4" t="s">
        <v>7166</v>
      </c>
      <c r="B379" s="4" t="s">
        <v>7167</v>
      </c>
      <c r="C379" s="4" t="n">
        <v>2005</v>
      </c>
      <c r="D379" s="4" t="s">
        <v>7168</v>
      </c>
      <c r="E379" s="4" t="str">
        <f aca="false">IF(B379="","",LOWER(B379)&amp;"|"&amp;C379)</f>
        <v>last days|2005</v>
      </c>
    </row>
    <row r="380" customFormat="false" ht="15" hidden="false" customHeight="false" outlineLevel="0" collapsed="false">
      <c r="A380" s="4" t="s">
        <v>7169</v>
      </c>
      <c r="B380" s="4" t="s">
        <v>362</v>
      </c>
      <c r="C380" s="4" t="n">
        <v>1979</v>
      </c>
      <c r="D380" s="4" t="s">
        <v>7170</v>
      </c>
      <c r="E380" s="4" t="str">
        <f aca="false">IF(B380="","",LOWER(B380)&amp;"|"&amp;C380)</f>
        <v>alien|1979</v>
      </c>
    </row>
    <row r="381" customFormat="false" ht="15" hidden="false" customHeight="false" outlineLevel="0" collapsed="false">
      <c r="A381" s="4" t="s">
        <v>7171</v>
      </c>
      <c r="B381" s="4" t="s">
        <v>2488</v>
      </c>
      <c r="C381" s="4" t="n">
        <v>1989</v>
      </c>
      <c r="D381" s="4" t="s">
        <v>7172</v>
      </c>
      <c r="E381" s="4" t="str">
        <f aca="false">IF(B381="","",LOWER(B381)&amp;"|"&amp;C381)</f>
        <v>batman|1989</v>
      </c>
    </row>
    <row r="382" customFormat="false" ht="15" hidden="false" customHeight="false" outlineLevel="0" collapsed="false">
      <c r="A382" s="4" t="s">
        <v>7173</v>
      </c>
      <c r="B382" s="4" t="s">
        <v>173</v>
      </c>
      <c r="C382" s="4" t="n">
        <v>1982</v>
      </c>
      <c r="D382" s="4" t="s">
        <v>7174</v>
      </c>
      <c r="E382" s="4" t="str">
        <f aca="false">IF(B382="","",LOWER(B382)&amp;"|"&amp;C382)</f>
        <v>blade runner|1982</v>
      </c>
    </row>
    <row r="383" customFormat="false" ht="15" hidden="false" customHeight="false" outlineLevel="0" collapsed="false">
      <c r="A383" s="4" t="s">
        <v>7175</v>
      </c>
      <c r="B383" s="4" t="s">
        <v>7176</v>
      </c>
      <c r="C383" s="4" t="n">
        <v>1985</v>
      </c>
      <c r="D383" s="4" t="s">
        <v>7177</v>
      </c>
      <c r="E383" s="4" t="str">
        <f aca="false">IF(B383="","",LOWER(B383)&amp;"|"&amp;C383)</f>
        <v>pee-wee's big adventure|1985</v>
      </c>
    </row>
    <row r="384" customFormat="false" ht="15" hidden="false" customHeight="false" outlineLevel="0" collapsed="false">
      <c r="A384" s="4" t="s">
        <v>7178</v>
      </c>
      <c r="B384" s="4" t="s">
        <v>7179</v>
      </c>
      <c r="C384" s="4" t="n">
        <v>2018</v>
      </c>
      <c r="D384" s="4" t="s">
        <v>7180</v>
      </c>
      <c r="E384" s="4" t="str">
        <f aca="false">IF(B384="","",LOWER(B384)&amp;"|"&amp;C384)</f>
        <v>thunder road|2018</v>
      </c>
    </row>
    <row r="385" customFormat="false" ht="15" hidden="false" customHeight="false" outlineLevel="0" collapsed="false">
      <c r="A385" s="4" t="s">
        <v>7181</v>
      </c>
      <c r="B385" s="4" t="s">
        <v>3767</v>
      </c>
      <c r="C385" s="4" t="n">
        <v>2007</v>
      </c>
      <c r="D385" s="4" t="s">
        <v>7182</v>
      </c>
      <c r="E385" s="4" t="str">
        <f aca="false">IF(B385="","",LOWER(B385)&amp;"|"&amp;C385)</f>
        <v>death proof|2007</v>
      </c>
    </row>
    <row r="386" customFormat="false" ht="15" hidden="false" customHeight="false" outlineLevel="0" collapsed="false">
      <c r="A386" s="4" t="s">
        <v>7183</v>
      </c>
      <c r="B386" s="4" t="s">
        <v>242</v>
      </c>
      <c r="C386" s="4" t="n">
        <v>1976</v>
      </c>
      <c r="D386" s="4" t="s">
        <v>7184</v>
      </c>
      <c r="E386" s="4" t="str">
        <f aca="false">IF(B386="","",LOWER(B386)&amp;"|"&amp;C386)</f>
        <v>all the president's men|1976</v>
      </c>
    </row>
    <row r="387" customFormat="false" ht="15" hidden="false" customHeight="false" outlineLevel="0" collapsed="false">
      <c r="A387" s="4" t="s">
        <v>7185</v>
      </c>
      <c r="B387" s="4" t="s">
        <v>7186</v>
      </c>
      <c r="C387" s="4" t="n">
        <v>2019</v>
      </c>
      <c r="D387" s="4" t="s">
        <v>7187</v>
      </c>
      <c r="E387" s="4" t="str">
        <f aca="false">IF(B387="","",LOWER(B387)&amp;"|"&amp;C387)</f>
        <v>guns akimbo|2019</v>
      </c>
    </row>
    <row r="388" customFormat="false" ht="15" hidden="false" customHeight="false" outlineLevel="0" collapsed="false">
      <c r="A388" s="4" t="s">
        <v>7185</v>
      </c>
      <c r="B388" s="4" t="s">
        <v>7188</v>
      </c>
      <c r="C388" s="4" t="n">
        <v>2002</v>
      </c>
      <c r="D388" s="4" t="s">
        <v>7189</v>
      </c>
      <c r="E388" s="4" t="str">
        <f aca="false">IF(B388="","",LOWER(B388)&amp;"|"&amp;C388)</f>
        <v>harry potter and the chamber of secrets|2002</v>
      </c>
    </row>
    <row r="389" customFormat="false" ht="15" hidden="false" customHeight="false" outlineLevel="0" collapsed="false">
      <c r="A389" s="4" t="s">
        <v>7190</v>
      </c>
      <c r="B389" s="4" t="s">
        <v>1262</v>
      </c>
      <c r="C389" s="4" t="n">
        <v>2021</v>
      </c>
      <c r="D389" s="4" t="s">
        <v>7191</v>
      </c>
      <c r="E389" s="4" t="str">
        <f aca="false">IF(B389="","",LOWER(B389)&amp;"|"&amp;C389)</f>
        <v>licorice pizza|2021</v>
      </c>
    </row>
    <row r="390" customFormat="false" ht="15" hidden="false" customHeight="false" outlineLevel="0" collapsed="false">
      <c r="A390" s="4" t="s">
        <v>7192</v>
      </c>
      <c r="B390" s="4" t="s">
        <v>2566</v>
      </c>
      <c r="C390" s="4" t="n">
        <v>1993</v>
      </c>
      <c r="D390" s="4" t="s">
        <v>7193</v>
      </c>
      <c r="E390" s="4" t="str">
        <f aca="false">IF(B390="","",LOWER(B390)&amp;"|"&amp;C390)</f>
        <v>sleepless in seattle|1993</v>
      </c>
    </row>
    <row r="391" customFormat="false" ht="15" hidden="false" customHeight="false" outlineLevel="0" collapsed="false">
      <c r="A391" s="4" t="s">
        <v>7194</v>
      </c>
      <c r="B391" s="4" t="s">
        <v>7195</v>
      </c>
      <c r="C391" s="4" t="n">
        <v>2002</v>
      </c>
      <c r="D391" s="4" t="s">
        <v>7196</v>
      </c>
      <c r="E391" s="4" t="str">
        <f aca="false">IF(B391="","",LOWER(B391)&amp;"|"&amp;C391)</f>
        <v>the pianist|2002</v>
      </c>
    </row>
    <row r="392" customFormat="false" ht="15" hidden="false" customHeight="false" outlineLevel="0" collapsed="false">
      <c r="A392" s="4" t="s">
        <v>7197</v>
      </c>
      <c r="B392" s="4" t="s">
        <v>319</v>
      </c>
      <c r="C392" s="4" t="n">
        <v>1993</v>
      </c>
      <c r="D392" s="4" t="s">
        <v>7198</v>
      </c>
      <c r="E392" s="4" t="str">
        <f aca="false">IF(B392="","",LOWER(B392)&amp;"|"&amp;C392)</f>
        <v>dazed and confused|1993</v>
      </c>
    </row>
    <row r="393" customFormat="false" ht="15" hidden="false" customHeight="false" outlineLevel="0" collapsed="false">
      <c r="A393" s="4" t="s">
        <v>7199</v>
      </c>
      <c r="B393" s="4" t="s">
        <v>209</v>
      </c>
      <c r="C393" s="4" t="n">
        <v>1979</v>
      </c>
      <c r="D393" s="4" t="s">
        <v>7200</v>
      </c>
      <c r="E393" s="4" t="str">
        <f aca="false">IF(B393="","",LOWER(B393)&amp;"|"&amp;C393)</f>
        <v>stalker|1979</v>
      </c>
    </row>
    <row r="394" customFormat="false" ht="15" hidden="false" customHeight="false" outlineLevel="0" collapsed="false">
      <c r="A394" s="4" t="s">
        <v>7201</v>
      </c>
      <c r="B394" s="4" t="s">
        <v>2838</v>
      </c>
      <c r="C394" s="4" t="n">
        <v>2005</v>
      </c>
      <c r="D394" s="4" t="s">
        <v>7202</v>
      </c>
      <c r="E394" s="4" t="str">
        <f aca="false">IF(B394="","",LOWER(B394)&amp;"|"&amp;C394)</f>
        <v>broken flowers|2005</v>
      </c>
    </row>
    <row r="395" customFormat="false" ht="15" hidden="false" customHeight="false" outlineLevel="0" collapsed="false">
      <c r="A395" s="4" t="s">
        <v>7201</v>
      </c>
      <c r="B395" s="4" t="s">
        <v>7203</v>
      </c>
      <c r="C395" s="4" t="n">
        <v>1992</v>
      </c>
      <c r="D395" s="4" t="s">
        <v>7204</v>
      </c>
      <c r="E395" s="4" t="str">
        <f aca="false">IF(B395="","",LOWER(B395)&amp;"|"&amp;C395)</f>
        <v>batman returns|1992</v>
      </c>
    </row>
    <row r="396" customFormat="false" ht="15" hidden="false" customHeight="false" outlineLevel="0" collapsed="false">
      <c r="A396" s="4" t="s">
        <v>7205</v>
      </c>
      <c r="B396" s="4" t="s">
        <v>7206</v>
      </c>
      <c r="C396" s="4" t="n">
        <v>1995</v>
      </c>
      <c r="D396" s="4" t="s">
        <v>7207</v>
      </c>
      <c r="E396" s="4" t="str">
        <f aca="false">IF(B396="","",LOWER(B396)&amp;"|"&amp;C396)</f>
        <v>batman forever|1995</v>
      </c>
    </row>
    <row r="397" customFormat="false" ht="15" hidden="false" customHeight="false" outlineLevel="0" collapsed="false">
      <c r="A397" s="4" t="s">
        <v>7205</v>
      </c>
      <c r="B397" s="4" t="s">
        <v>1231</v>
      </c>
      <c r="C397" s="4" t="n">
        <v>2017</v>
      </c>
      <c r="D397" s="4" t="s">
        <v>7208</v>
      </c>
      <c r="E397" s="4" t="str">
        <f aca="false">IF(B397="","",LOWER(B397)&amp;"|"&amp;C397)</f>
        <v>blade runner 2049|2017</v>
      </c>
    </row>
    <row r="398" customFormat="false" ht="15" hidden="false" customHeight="false" outlineLevel="0" collapsed="false">
      <c r="A398" s="4" t="s">
        <v>7205</v>
      </c>
      <c r="B398" s="4" t="s">
        <v>1013</v>
      </c>
      <c r="C398" s="4" t="n">
        <v>1971</v>
      </c>
      <c r="D398" s="4" t="s">
        <v>7209</v>
      </c>
      <c r="E398" s="4" t="str">
        <f aca="false">IF(B398="","",LOWER(B398)&amp;"|"&amp;C398)</f>
        <v>dirty harry|1971</v>
      </c>
    </row>
    <row r="399" customFormat="false" ht="15" hidden="false" customHeight="false" outlineLevel="0" collapsed="false">
      <c r="A399" s="4" t="s">
        <v>7210</v>
      </c>
      <c r="B399" s="4" t="s">
        <v>7211</v>
      </c>
      <c r="C399" s="4" t="n">
        <v>2021</v>
      </c>
      <c r="D399" s="4" t="s">
        <v>7212</v>
      </c>
      <c r="E399" s="4" t="str">
        <f aca="false">IF(B399="","",LOWER(B399)&amp;"|"&amp;C399)</f>
        <v>the french dispatch of the liberty, kansas evening sun|2021</v>
      </c>
    </row>
    <row r="400" customFormat="false" ht="15" hidden="false" customHeight="false" outlineLevel="0" collapsed="false">
      <c r="A400" s="4" t="s">
        <v>7213</v>
      </c>
      <c r="B400" s="4" t="s">
        <v>1612</v>
      </c>
      <c r="C400" s="4" t="n">
        <v>2011</v>
      </c>
      <c r="D400" s="4" t="s">
        <v>7214</v>
      </c>
      <c r="E400" s="4" t="str">
        <f aca="false">IF(B400="","",LOWER(B400)&amp;"|"&amp;C400)</f>
        <v>the raid|2011</v>
      </c>
    </row>
    <row r="401" customFormat="false" ht="15" hidden="false" customHeight="false" outlineLevel="0" collapsed="false">
      <c r="A401" s="4" t="s">
        <v>7215</v>
      </c>
      <c r="B401" s="4" t="s">
        <v>578</v>
      </c>
      <c r="C401" s="4" t="n">
        <v>1957</v>
      </c>
      <c r="D401" s="4" t="s">
        <v>7216</v>
      </c>
      <c r="E401" s="4" t="str">
        <f aca="false">IF(B401="","",LOWER(B401)&amp;"|"&amp;C401)</f>
        <v>throne of blood|1957</v>
      </c>
    </row>
    <row r="402" customFormat="false" ht="15" hidden="false" customHeight="false" outlineLevel="0" collapsed="false">
      <c r="A402" s="4" t="s">
        <v>7215</v>
      </c>
      <c r="B402" s="4" t="s">
        <v>3859</v>
      </c>
      <c r="C402" s="4" t="n">
        <v>2021</v>
      </c>
      <c r="D402" s="4" t="s">
        <v>7217</v>
      </c>
      <c r="E402" s="4" t="str">
        <f aca="false">IF(B402="","",LOWER(B402)&amp;"|"&amp;C402)</f>
        <v>pig|2021</v>
      </c>
    </row>
    <row r="403" customFormat="false" ht="15" hidden="false" customHeight="false" outlineLevel="0" collapsed="false">
      <c r="A403" s="4" t="s">
        <v>7218</v>
      </c>
      <c r="B403" s="4" t="s">
        <v>588</v>
      </c>
      <c r="C403" s="4" t="n">
        <v>1969</v>
      </c>
      <c r="D403" s="4" t="s">
        <v>7219</v>
      </c>
      <c r="E403" s="4" t="str">
        <f aca="false">IF(B403="","",LOWER(B403)&amp;"|"&amp;C403)</f>
        <v>midnight cowboy|1969</v>
      </c>
    </row>
    <row r="404" customFormat="false" ht="15" hidden="false" customHeight="false" outlineLevel="0" collapsed="false">
      <c r="A404" s="4" t="s">
        <v>7220</v>
      </c>
      <c r="B404" s="4" t="s">
        <v>2634</v>
      </c>
      <c r="C404" s="4" t="n">
        <v>2022</v>
      </c>
      <c r="D404" s="4" t="s">
        <v>7221</v>
      </c>
      <c r="E404" s="4" t="str">
        <f aca="false">IF(B404="","",LOWER(B404)&amp;"|"&amp;C404)</f>
        <v>scream|2022</v>
      </c>
    </row>
    <row r="405" customFormat="false" ht="15" hidden="false" customHeight="false" outlineLevel="0" collapsed="false">
      <c r="A405" s="4" t="s">
        <v>7220</v>
      </c>
      <c r="B405" s="4" t="s">
        <v>7222</v>
      </c>
      <c r="C405" s="4" t="n">
        <v>2022</v>
      </c>
      <c r="D405" s="4" t="s">
        <v>7223</v>
      </c>
      <c r="E405" s="4" t="str">
        <f aca="false">IF(B405="","",LOWER(B405)&amp;"|"&amp;C405)</f>
        <v>ray donovan: the movie|2022</v>
      </c>
    </row>
    <row r="406" customFormat="false" ht="15" hidden="false" customHeight="false" outlineLevel="0" collapsed="false">
      <c r="A406" s="4" t="s">
        <v>7224</v>
      </c>
      <c r="B406" s="4" t="s">
        <v>7225</v>
      </c>
      <c r="C406" s="4" t="n">
        <v>2009</v>
      </c>
      <c r="D406" s="4" t="s">
        <v>7226</v>
      </c>
      <c r="E406" s="4" t="str">
        <f aca="false">IF(B406="","",LOWER(B406)&amp;"|"&amp;C406)</f>
        <v>partly cloudy|2009</v>
      </c>
    </row>
    <row r="407" customFormat="false" ht="15" hidden="false" customHeight="false" outlineLevel="0" collapsed="false">
      <c r="A407" s="4" t="s">
        <v>7224</v>
      </c>
      <c r="B407" s="4" t="s">
        <v>2750</v>
      </c>
      <c r="C407" s="4" t="n">
        <v>2001</v>
      </c>
      <c r="D407" s="4" t="s">
        <v>7227</v>
      </c>
      <c r="E407" s="4" t="str">
        <f aca="false">IF(B407="","",LOWER(B407)&amp;"|"&amp;C407)</f>
        <v>monsters, inc.|2001</v>
      </c>
    </row>
    <row r="408" customFormat="false" ht="15" hidden="false" customHeight="false" outlineLevel="0" collapsed="false">
      <c r="A408" s="4" t="s">
        <v>7224</v>
      </c>
      <c r="B408" s="4" t="s">
        <v>7228</v>
      </c>
      <c r="C408" s="4" t="n">
        <v>1985</v>
      </c>
      <c r="D408" s="4" t="s">
        <v>7229</v>
      </c>
      <c r="E408" s="4" t="str">
        <f aca="false">IF(B408="","",LOWER(B408)&amp;"|"&amp;C408)</f>
        <v>rocky iv|1985</v>
      </c>
    </row>
    <row r="409" customFormat="false" ht="15" hidden="false" customHeight="false" outlineLevel="0" collapsed="false">
      <c r="A409" s="4" t="s">
        <v>7230</v>
      </c>
      <c r="B409" s="4" t="s">
        <v>855</v>
      </c>
      <c r="C409" s="4" t="n">
        <v>2004</v>
      </c>
      <c r="D409" s="4" t="s">
        <v>7231</v>
      </c>
      <c r="E409" s="4" t="str">
        <f aca="false">IF(B409="","",LOWER(B409)&amp;"|"&amp;C409)</f>
        <v>anchorman: the legend of ron burgundy|2004</v>
      </c>
    </row>
    <row r="410" customFormat="false" ht="15" hidden="false" customHeight="false" outlineLevel="0" collapsed="false">
      <c r="A410" s="4" t="s">
        <v>7232</v>
      </c>
      <c r="B410" s="4" t="s">
        <v>1787</v>
      </c>
      <c r="C410" s="4" t="n">
        <v>1940</v>
      </c>
      <c r="D410" s="4" t="s">
        <v>7233</v>
      </c>
      <c r="E410" s="4" t="str">
        <f aca="false">IF(B410="","",LOWER(B410)&amp;"|"&amp;C410)</f>
        <v>fantasia|1940</v>
      </c>
    </row>
    <row r="411" customFormat="false" ht="15" hidden="false" customHeight="false" outlineLevel="0" collapsed="false">
      <c r="A411" s="4" t="s">
        <v>7234</v>
      </c>
      <c r="B411" s="4" t="s">
        <v>7235</v>
      </c>
      <c r="C411" s="4" t="n">
        <v>2013</v>
      </c>
      <c r="D411" s="4" t="s">
        <v>7236</v>
      </c>
      <c r="E411" s="4" t="str">
        <f aca="false">IF(B411="","",LOWER(B411)&amp;"|"&amp;C411)</f>
        <v>belle and sebastian|2013</v>
      </c>
    </row>
    <row r="412" customFormat="false" ht="15" hidden="false" customHeight="false" outlineLevel="0" collapsed="false">
      <c r="A412" s="4" t="s">
        <v>7234</v>
      </c>
      <c r="B412" s="4" t="s">
        <v>811</v>
      </c>
      <c r="C412" s="4" t="n">
        <v>1981</v>
      </c>
      <c r="D412" s="4" t="s">
        <v>7237</v>
      </c>
      <c r="E412" s="4" t="str">
        <f aca="false">IF(B412="","",LOWER(B412)&amp;"|"&amp;C412)</f>
        <v>scanners|1981</v>
      </c>
    </row>
    <row r="413" customFormat="false" ht="15" hidden="false" customHeight="false" outlineLevel="0" collapsed="false">
      <c r="A413" s="4" t="s">
        <v>7238</v>
      </c>
      <c r="B413" s="4" t="s">
        <v>1245</v>
      </c>
      <c r="C413" s="4" t="n">
        <v>2018</v>
      </c>
      <c r="D413" s="4" t="s">
        <v>7239</v>
      </c>
      <c r="E413" s="4" t="str">
        <f aca="false">IF(B413="","",LOWER(B413)&amp;"|"&amp;C413)</f>
        <v>the ballad of buster scruggs|2018</v>
      </c>
    </row>
    <row r="414" customFormat="false" ht="15" hidden="false" customHeight="false" outlineLevel="0" collapsed="false">
      <c r="A414" s="4" t="s">
        <v>7240</v>
      </c>
      <c r="B414" s="4" t="s">
        <v>1278</v>
      </c>
      <c r="C414" s="4" t="n">
        <v>1986</v>
      </c>
      <c r="D414" s="4" t="s">
        <v>7241</v>
      </c>
      <c r="E414" s="4" t="str">
        <f aca="false">IF(B414="","",LOWER(B414)&amp;"|"&amp;C414)</f>
        <v>aliens|1986</v>
      </c>
    </row>
    <row r="415" customFormat="false" ht="15" hidden="false" customHeight="false" outlineLevel="0" collapsed="false">
      <c r="A415" s="4" t="s">
        <v>7242</v>
      </c>
      <c r="B415" s="4" t="s">
        <v>7243</v>
      </c>
      <c r="C415" s="4" t="n">
        <v>1993</v>
      </c>
      <c r="D415" s="4" t="s">
        <v>7244</v>
      </c>
      <c r="E415" s="4" t="str">
        <f aca="false">IF(B415="","",LOWER(B415)&amp;"|"&amp;C415)</f>
        <v>jurassic park|1993</v>
      </c>
    </row>
    <row r="416" customFormat="false" ht="15" hidden="false" customHeight="false" outlineLevel="0" collapsed="false">
      <c r="A416" s="4" t="s">
        <v>7245</v>
      </c>
      <c r="B416" s="4" t="s">
        <v>3623</v>
      </c>
      <c r="C416" s="4" t="n">
        <v>1984</v>
      </c>
      <c r="D416" s="4" t="s">
        <v>7246</v>
      </c>
      <c r="E416" s="4" t="str">
        <f aca="false">IF(B416="","",LOWER(B416)&amp;"|"&amp;C416)</f>
        <v>secret honor|1984</v>
      </c>
    </row>
    <row r="417" customFormat="false" ht="15" hidden="false" customHeight="false" outlineLevel="0" collapsed="false">
      <c r="A417" s="4" t="s">
        <v>7247</v>
      </c>
      <c r="B417" s="4" t="s">
        <v>7248</v>
      </c>
      <c r="C417" s="4" t="n">
        <v>1990</v>
      </c>
      <c r="D417" s="4" t="s">
        <v>7249</v>
      </c>
      <c r="E417" s="4" t="str">
        <f aca="false">IF(B417="","",LOWER(B417)&amp;"|"&amp;C417)</f>
        <v>awakenings|1990</v>
      </c>
    </row>
    <row r="418" customFormat="false" ht="15" hidden="false" customHeight="false" outlineLevel="0" collapsed="false">
      <c r="A418" s="4" t="s">
        <v>7250</v>
      </c>
      <c r="B418" s="4" t="s">
        <v>7251</v>
      </c>
      <c r="C418" s="4" t="n">
        <v>2007</v>
      </c>
      <c r="D418" s="4" t="s">
        <v>7252</v>
      </c>
      <c r="E418" s="4" t="str">
        <f aca="false">IF(B418="","",LOWER(B418)&amp;"|"&amp;C418)</f>
        <v>reservation road|2007</v>
      </c>
    </row>
    <row r="419" customFormat="false" ht="15" hidden="false" customHeight="false" outlineLevel="0" collapsed="false">
      <c r="A419" s="4" t="s">
        <v>7250</v>
      </c>
      <c r="B419" s="4" t="s">
        <v>616</v>
      </c>
      <c r="C419" s="4" t="n">
        <v>1992</v>
      </c>
      <c r="D419" s="4" t="s">
        <v>7253</v>
      </c>
      <c r="E419" s="4" t="str">
        <f aca="false">IF(B419="","",LOWER(B419)&amp;"|"&amp;C419)</f>
        <v>the player|1992</v>
      </c>
    </row>
    <row r="420" customFormat="false" ht="15" hidden="false" customHeight="false" outlineLevel="0" collapsed="false">
      <c r="A420" s="4" t="s">
        <v>7254</v>
      </c>
      <c r="B420" s="4" t="s">
        <v>7255</v>
      </c>
      <c r="C420" s="4" t="n">
        <v>2021</v>
      </c>
      <c r="D420" s="4" t="s">
        <v>7256</v>
      </c>
      <c r="E420" s="4" t="str">
        <f aca="false">IF(B420="","",LOWER(B420)&amp;"|"&amp;C420)</f>
        <v>spider-man: no way home|2021</v>
      </c>
    </row>
    <row r="421" customFormat="false" ht="15" hidden="false" customHeight="false" outlineLevel="0" collapsed="false">
      <c r="A421" s="4" t="s">
        <v>7257</v>
      </c>
      <c r="B421" s="4" t="s">
        <v>7258</v>
      </c>
      <c r="C421" s="4" t="n">
        <v>2004</v>
      </c>
      <c r="D421" s="4" t="s">
        <v>7259</v>
      </c>
      <c r="E421" s="4" t="str">
        <f aca="false">IF(B421="","",LOWER(B421)&amp;"|"&amp;C421)</f>
        <v>saw|2004</v>
      </c>
    </row>
    <row r="422" customFormat="false" ht="15" hidden="false" customHeight="false" outlineLevel="0" collapsed="false">
      <c r="A422" s="4" t="s">
        <v>7257</v>
      </c>
      <c r="B422" s="4" t="s">
        <v>7260</v>
      </c>
      <c r="C422" s="4" t="n">
        <v>2005</v>
      </c>
      <c r="D422" s="4" t="s">
        <v>7261</v>
      </c>
      <c r="E422" s="4" t="str">
        <f aca="false">IF(B422="","",LOWER(B422)&amp;"|"&amp;C422)</f>
        <v>capote|2005</v>
      </c>
    </row>
    <row r="423" customFormat="false" ht="15" hidden="false" customHeight="false" outlineLevel="0" collapsed="false">
      <c r="A423" s="4" t="s">
        <v>7262</v>
      </c>
      <c r="B423" s="4" t="s">
        <v>7263</v>
      </c>
      <c r="C423" s="4" t="n">
        <v>2003</v>
      </c>
      <c r="D423" s="4" t="s">
        <v>7264</v>
      </c>
      <c r="E423" s="4" t="str">
        <f aca="false">IF(B423="","",LOWER(B423)&amp;"|"&amp;C423)</f>
        <v>bruce almighty|2003</v>
      </c>
    </row>
    <row r="424" customFormat="false" ht="15" hidden="false" customHeight="false" outlineLevel="0" collapsed="false">
      <c r="A424" s="4" t="s">
        <v>7265</v>
      </c>
      <c r="B424" s="4" t="s">
        <v>7266</v>
      </c>
      <c r="C424" s="4" t="n">
        <v>2006</v>
      </c>
      <c r="D424" s="4" t="s">
        <v>7267</v>
      </c>
      <c r="E424" s="4" t="str">
        <f aca="false">IF(B424="","",LOWER(B424)&amp;"|"&amp;C424)</f>
        <v>jackass number two|2006</v>
      </c>
    </row>
    <row r="425" customFormat="false" ht="15" hidden="false" customHeight="false" outlineLevel="0" collapsed="false">
      <c r="A425" s="4" t="s">
        <v>7268</v>
      </c>
      <c r="B425" s="4" t="s">
        <v>7269</v>
      </c>
      <c r="C425" s="4" t="n">
        <v>1997</v>
      </c>
      <c r="D425" s="4" t="s">
        <v>7270</v>
      </c>
      <c r="E425" s="4" t="str">
        <f aca="false">IF(B425="","",LOWER(B425)&amp;"|"&amp;C425)</f>
        <v>the lost world: jurassic park|1997</v>
      </c>
    </row>
    <row r="426" customFormat="false" ht="15" hidden="false" customHeight="false" outlineLevel="0" collapsed="false">
      <c r="A426" s="4" t="s">
        <v>7268</v>
      </c>
      <c r="B426" s="4" t="s">
        <v>7271</v>
      </c>
      <c r="C426" s="4" t="n">
        <v>2020</v>
      </c>
      <c r="D426" s="4" t="s">
        <v>7272</v>
      </c>
      <c r="E426" s="4" t="str">
        <f aca="false">IF(B426="","",LOWER(B426)&amp;"|"&amp;C426)</f>
        <v>impractical jokers: the movie|2020</v>
      </c>
    </row>
    <row r="427" customFormat="false" ht="15" hidden="false" customHeight="false" outlineLevel="0" collapsed="false">
      <c r="A427" s="4" t="s">
        <v>7273</v>
      </c>
      <c r="B427" s="4" t="s">
        <v>7274</v>
      </c>
      <c r="C427" s="4" t="n">
        <v>2007</v>
      </c>
      <c r="D427" s="4" t="s">
        <v>7275</v>
      </c>
      <c r="E427" s="4" t="str">
        <f aca="false">IF(B427="","",LOWER(B427)&amp;"|"&amp;C427)</f>
        <v>jackass 2.5|2007</v>
      </c>
    </row>
    <row r="428" customFormat="false" ht="15" hidden="false" customHeight="false" outlineLevel="0" collapsed="false">
      <c r="A428" s="4" t="s">
        <v>7276</v>
      </c>
      <c r="B428" s="4" t="s">
        <v>826</v>
      </c>
      <c r="C428" s="4" t="n">
        <v>1991</v>
      </c>
      <c r="D428" s="4" t="s">
        <v>7277</v>
      </c>
      <c r="E428" s="4" t="str">
        <f aca="false">IF(B428="","",LOWER(B428)&amp;"|"&amp;C428)</f>
        <v>my own private idaho|1991</v>
      </c>
    </row>
    <row r="429" customFormat="false" ht="15" hidden="false" customHeight="false" outlineLevel="0" collapsed="false">
      <c r="A429" s="4" t="s">
        <v>7278</v>
      </c>
      <c r="B429" s="4" t="s">
        <v>1920</v>
      </c>
      <c r="C429" s="4" t="n">
        <v>1955</v>
      </c>
      <c r="D429" s="4" t="s">
        <v>7279</v>
      </c>
      <c r="E429" s="4" t="str">
        <f aca="false">IF(B429="","",LOWER(B429)&amp;"|"&amp;C429)</f>
        <v>bad day at black rock|1955</v>
      </c>
    </row>
    <row r="430" customFormat="false" ht="15" hidden="false" customHeight="false" outlineLevel="0" collapsed="false">
      <c r="A430" s="4" t="s">
        <v>7280</v>
      </c>
      <c r="B430" s="4" t="s">
        <v>3206</v>
      </c>
      <c r="C430" s="4" t="n">
        <v>2021</v>
      </c>
      <c r="D430" s="4" t="s">
        <v>7281</v>
      </c>
      <c r="E430" s="4" t="str">
        <f aca="false">IF(B430="","",LOWER(B430)&amp;"|"&amp;C430)</f>
        <v>the power of the dog|2021</v>
      </c>
    </row>
    <row r="431" customFormat="false" ht="15" hidden="false" customHeight="false" outlineLevel="0" collapsed="false">
      <c r="A431" s="4" t="s">
        <v>7282</v>
      </c>
      <c r="B431" s="4" t="s">
        <v>766</v>
      </c>
      <c r="C431" s="4" t="n">
        <v>2021</v>
      </c>
      <c r="D431" s="4" t="s">
        <v>7283</v>
      </c>
      <c r="E431" s="4" t="str">
        <f aca="false">IF(B431="","",LOWER(B431)&amp;"|"&amp;C431)</f>
        <v>west side story|2021</v>
      </c>
    </row>
    <row r="432" customFormat="false" ht="15" hidden="false" customHeight="false" outlineLevel="0" collapsed="false">
      <c r="A432" s="4" t="s">
        <v>7284</v>
      </c>
      <c r="B432" s="4" t="s">
        <v>7285</v>
      </c>
      <c r="C432" s="4" t="n">
        <v>2018</v>
      </c>
      <c r="D432" s="4" t="s">
        <v>7286</v>
      </c>
      <c r="E432" s="4" t="str">
        <f aca="false">IF(B432="","",LOWER(B432)&amp;"|"&amp;C432)</f>
        <v>ready player one|2018</v>
      </c>
    </row>
    <row r="433" customFormat="false" ht="15" hidden="false" customHeight="false" outlineLevel="0" collapsed="false">
      <c r="A433" s="4" t="s">
        <v>7287</v>
      </c>
      <c r="B433" s="4" t="s">
        <v>7288</v>
      </c>
      <c r="C433" s="4" t="n">
        <v>1998</v>
      </c>
      <c r="D433" s="4" t="s">
        <v>7289</v>
      </c>
      <c r="E433" s="4" t="str">
        <f aca="false">IF(B433="","",LOWER(B433)&amp;"|"&amp;C433)</f>
        <v>rush hour|1998</v>
      </c>
    </row>
    <row r="434" customFormat="false" ht="15" hidden="false" customHeight="false" outlineLevel="0" collapsed="false">
      <c r="A434" s="4" t="s">
        <v>7287</v>
      </c>
      <c r="B434" s="4" t="s">
        <v>2287</v>
      </c>
      <c r="C434" s="4" t="n">
        <v>1976</v>
      </c>
      <c r="D434" s="4" t="s">
        <v>7290</v>
      </c>
      <c r="E434" s="4" t="str">
        <f aca="false">IF(B434="","",LOWER(B434)&amp;"|"&amp;C434)</f>
        <v>marathon man|1976</v>
      </c>
    </row>
    <row r="435" customFormat="false" ht="15" hidden="false" customHeight="false" outlineLevel="0" collapsed="false">
      <c r="A435" s="4" t="s">
        <v>7291</v>
      </c>
      <c r="B435" s="4" t="s">
        <v>1534</v>
      </c>
      <c r="C435" s="4" t="n">
        <v>1986</v>
      </c>
      <c r="D435" s="4" t="s">
        <v>7292</v>
      </c>
      <c r="E435" s="4" t="str">
        <f aca="false">IF(B435="","",LOWER(B435)&amp;"|"&amp;C435)</f>
        <v>stand by me|1986</v>
      </c>
    </row>
    <row r="436" customFormat="false" ht="15" hidden="false" customHeight="false" outlineLevel="0" collapsed="false">
      <c r="A436" s="4" t="s">
        <v>7293</v>
      </c>
      <c r="B436" s="4" t="s">
        <v>2365</v>
      </c>
      <c r="C436" s="4" t="n">
        <v>1982</v>
      </c>
      <c r="D436" s="4" t="s">
        <v>7294</v>
      </c>
      <c r="E436" s="4" t="str">
        <f aca="false">IF(B436="","",LOWER(B436)&amp;"|"&amp;C436)</f>
        <v>one from the heart|1982</v>
      </c>
    </row>
    <row r="437" customFormat="false" ht="15" hidden="false" customHeight="false" outlineLevel="0" collapsed="false">
      <c r="A437" s="4" t="s">
        <v>7295</v>
      </c>
      <c r="B437" s="4" t="s">
        <v>256</v>
      </c>
      <c r="C437" s="4" t="n">
        <v>1977</v>
      </c>
      <c r="D437" s="4" t="s">
        <v>7296</v>
      </c>
      <c r="E437" s="4" t="str">
        <f aca="false">IF(B437="","",LOWER(B437)&amp;"|"&amp;C437)</f>
        <v>star wars|1977</v>
      </c>
    </row>
    <row r="438" customFormat="false" ht="15" hidden="false" customHeight="false" outlineLevel="0" collapsed="false">
      <c r="A438" s="4" t="s">
        <v>7295</v>
      </c>
      <c r="B438" s="4" t="s">
        <v>7297</v>
      </c>
      <c r="C438" s="4" t="n">
        <v>2002</v>
      </c>
      <c r="D438" s="4" t="s">
        <v>7298</v>
      </c>
      <c r="E438" s="4" t="str">
        <f aca="false">IF(B438="","",LOWER(B438)&amp;"|"&amp;C438)</f>
        <v>gerry|2002</v>
      </c>
    </row>
    <row r="439" customFormat="false" ht="15" hidden="false" customHeight="false" outlineLevel="0" collapsed="false">
      <c r="A439" s="4" t="s">
        <v>7299</v>
      </c>
      <c r="B439" s="4" t="s">
        <v>3065</v>
      </c>
      <c r="C439" s="4" t="n">
        <v>2014</v>
      </c>
      <c r="D439" s="4" t="s">
        <v>7300</v>
      </c>
      <c r="E439" s="4" t="str">
        <f aca="false">IF(B439="","",LOWER(B439)&amp;"|"&amp;C439)</f>
        <v>foxcatcher|2014</v>
      </c>
    </row>
    <row r="440" customFormat="false" ht="15" hidden="false" customHeight="false" outlineLevel="0" collapsed="false">
      <c r="A440" s="4" t="s">
        <v>7301</v>
      </c>
      <c r="B440" s="4" t="s">
        <v>7302</v>
      </c>
      <c r="C440" s="4" t="n">
        <v>2008</v>
      </c>
      <c r="D440" s="4" t="s">
        <v>7303</v>
      </c>
      <c r="E440" s="4" t="str">
        <f aca="false">IF(B440="","",LOWER(B440)&amp;"|"&amp;C440)</f>
        <v>gran torino|2008</v>
      </c>
    </row>
    <row r="441" customFormat="false" ht="15" hidden="false" customHeight="false" outlineLevel="0" collapsed="false">
      <c r="A441" s="4" t="s">
        <v>7301</v>
      </c>
      <c r="B441" s="4" t="s">
        <v>7304</v>
      </c>
      <c r="C441" s="4" t="n">
        <v>2021</v>
      </c>
      <c r="D441" s="4" t="s">
        <v>7305</v>
      </c>
      <c r="E441" s="4" t="str">
        <f aca="false">IF(B441="","",LOWER(B441)&amp;"|"&amp;C441)</f>
        <v>don't look up|2021</v>
      </c>
    </row>
    <row r="442" customFormat="false" ht="15" hidden="false" customHeight="false" outlineLevel="0" collapsed="false">
      <c r="A442" s="4" t="s">
        <v>7306</v>
      </c>
      <c r="B442" s="4" t="s">
        <v>7307</v>
      </c>
      <c r="C442" s="4" t="n">
        <v>1988</v>
      </c>
      <c r="D442" s="4" t="s">
        <v>7308</v>
      </c>
      <c r="E442" s="4" t="str">
        <f aca="false">IF(B442="","",LOWER(B442)&amp;"|"&amp;C442)</f>
        <v>rain man|1988</v>
      </c>
    </row>
    <row r="443" customFormat="false" ht="15" hidden="false" customHeight="false" outlineLevel="0" collapsed="false">
      <c r="A443" s="4" t="s">
        <v>7309</v>
      </c>
      <c r="B443" s="4" t="s">
        <v>2809</v>
      </c>
      <c r="C443" s="4" t="n">
        <v>2003</v>
      </c>
      <c r="D443" s="4" t="s">
        <v>7310</v>
      </c>
      <c r="E443" s="4" t="str">
        <f aca="false">IF(B443="","",LOWER(B443)&amp;"|"&amp;C443)</f>
        <v>big fish|2003</v>
      </c>
    </row>
    <row r="444" customFormat="false" ht="15" hidden="false" customHeight="false" outlineLevel="0" collapsed="false">
      <c r="A444" s="4" t="s">
        <v>7309</v>
      </c>
      <c r="B444" s="4" t="s">
        <v>2289</v>
      </c>
      <c r="C444" s="4" t="n">
        <v>1976</v>
      </c>
      <c r="D444" s="4" t="s">
        <v>7311</v>
      </c>
      <c r="E444" s="4" t="str">
        <f aca="false">IF(B444="","",LOWER(B444)&amp;"|"&amp;C444)</f>
        <v>assault on precinct 13|1976</v>
      </c>
    </row>
    <row r="445" customFormat="false" ht="15" hidden="false" customHeight="false" outlineLevel="0" collapsed="false">
      <c r="A445" s="4" t="s">
        <v>7309</v>
      </c>
      <c r="B445" s="4" t="s">
        <v>2753</v>
      </c>
      <c r="C445" s="4" t="n">
        <v>2001</v>
      </c>
      <c r="D445" s="4" t="s">
        <v>7312</v>
      </c>
      <c r="E445" s="4" t="str">
        <f aca="false">IF(B445="","",LOWER(B445)&amp;"|"&amp;C445)</f>
        <v>a.i. artificial intelligence|2001</v>
      </c>
    </row>
    <row r="446" customFormat="false" ht="15" hidden="false" customHeight="false" outlineLevel="0" collapsed="false">
      <c r="A446" s="4" t="s">
        <v>7313</v>
      </c>
      <c r="B446" s="4" t="s">
        <v>7314</v>
      </c>
      <c r="C446" s="4" t="n">
        <v>2007</v>
      </c>
      <c r="D446" s="4" t="s">
        <v>7315</v>
      </c>
      <c r="E446" s="4" t="str">
        <f aca="false">IF(B446="","",LOWER(B446)&amp;"|"&amp;C446)</f>
        <v>david lynch cooks quinoa|2007</v>
      </c>
    </row>
    <row r="447" customFormat="false" ht="15" hidden="false" customHeight="false" outlineLevel="0" collapsed="false">
      <c r="A447" s="4" t="s">
        <v>7313</v>
      </c>
      <c r="B447" s="4" t="s">
        <v>982</v>
      </c>
      <c r="C447" s="4" t="n">
        <v>1964</v>
      </c>
      <c r="D447" s="4" t="s">
        <v>7316</v>
      </c>
      <c r="E447" s="4" t="str">
        <f aca="false">IF(B447="","",LOWER(B447)&amp;"|"&amp;C447)</f>
        <v>fail safe|1964</v>
      </c>
    </row>
    <row r="448" customFormat="false" ht="15" hidden="false" customHeight="false" outlineLevel="0" collapsed="false">
      <c r="A448" s="4" t="s">
        <v>7317</v>
      </c>
      <c r="B448" s="4" t="s">
        <v>7318</v>
      </c>
      <c r="C448" s="4" t="n">
        <v>2011</v>
      </c>
      <c r="D448" s="4" t="s">
        <v>7319</v>
      </c>
      <c r="E448" s="4" t="str">
        <f aca="false">IF(B448="","",LOWER(B448)&amp;"|"&amp;C448)</f>
        <v>the adventures of tintin|2011</v>
      </c>
    </row>
    <row r="449" customFormat="false" ht="15" hidden="false" customHeight="false" outlineLevel="0" collapsed="false">
      <c r="A449" s="4" t="s">
        <v>7317</v>
      </c>
      <c r="B449" s="4" t="s">
        <v>806</v>
      </c>
      <c r="C449" s="4" t="n">
        <v>1977</v>
      </c>
      <c r="D449" s="4" t="s">
        <v>7320</v>
      </c>
      <c r="E449" s="4" t="str">
        <f aca="false">IF(B449="","",LOWER(B449)&amp;"|"&amp;C449)</f>
        <v>close encounters of the third kind|1977</v>
      </c>
    </row>
    <row r="450" customFormat="false" ht="15" hidden="false" customHeight="false" outlineLevel="0" collapsed="false">
      <c r="A450" s="4" t="s">
        <v>7321</v>
      </c>
      <c r="B450" s="4" t="s">
        <v>7322</v>
      </c>
      <c r="C450" s="4" t="n">
        <v>2004</v>
      </c>
      <c r="D450" s="4" t="s">
        <v>7323</v>
      </c>
      <c r="E450" s="4" t="str">
        <f aca="false">IF(B450="","",LOWER(B450)&amp;"|"&amp;C450)</f>
        <v>mysterious skin|2004</v>
      </c>
    </row>
    <row r="451" customFormat="false" ht="15" hidden="false" customHeight="false" outlineLevel="0" collapsed="false">
      <c r="A451" s="4" t="s">
        <v>7324</v>
      </c>
      <c r="B451" s="4" t="s">
        <v>3858</v>
      </c>
      <c r="C451" s="4" t="n">
        <v>2021</v>
      </c>
      <c r="D451" s="4" t="s">
        <v>7325</v>
      </c>
      <c r="E451" s="4" t="str">
        <f aca="false">IF(B451="","",LOWER(B451)&amp;"|"&amp;C451)</f>
        <v>the tragedy of macbeth|2021</v>
      </c>
    </row>
    <row r="452" customFormat="false" ht="15" hidden="false" customHeight="false" outlineLevel="0" collapsed="false">
      <c r="A452" s="4" t="s">
        <v>7326</v>
      </c>
      <c r="B452" s="4" t="s">
        <v>2362</v>
      </c>
      <c r="C452" s="4" t="n">
        <v>1982</v>
      </c>
      <c r="D452" s="4" t="s">
        <v>7327</v>
      </c>
      <c r="E452" s="4" t="str">
        <f aca="false">IF(B452="","",LOWER(B452)&amp;"|"&amp;C452)</f>
        <v>koyaanisqatsi|1982</v>
      </c>
    </row>
    <row r="453" customFormat="false" ht="15" hidden="false" customHeight="false" outlineLevel="0" collapsed="false">
      <c r="A453" s="4" t="s">
        <v>7328</v>
      </c>
      <c r="B453" s="4" t="s">
        <v>2435</v>
      </c>
      <c r="C453" s="4" t="n">
        <v>1986</v>
      </c>
      <c r="D453" s="4" t="s">
        <v>7329</v>
      </c>
      <c r="E453" s="4" t="str">
        <f aca="false">IF(B453="","",LOWER(B453)&amp;"|"&amp;C453)</f>
        <v>big trouble in little china|1986</v>
      </c>
    </row>
    <row r="454" customFormat="false" ht="15" hidden="false" customHeight="false" outlineLevel="0" collapsed="false">
      <c r="A454" s="4" t="s">
        <v>7328</v>
      </c>
      <c r="B454" s="4" t="s">
        <v>294</v>
      </c>
      <c r="C454" s="4" t="n">
        <v>1993</v>
      </c>
      <c r="D454" s="4" t="s">
        <v>7330</v>
      </c>
      <c r="E454" s="4" t="str">
        <f aca="false">IF(B454="","",LOWER(B454)&amp;"|"&amp;C454)</f>
        <v>short cuts|1993</v>
      </c>
    </row>
    <row r="455" customFormat="false" ht="15" hidden="false" customHeight="false" outlineLevel="0" collapsed="false">
      <c r="A455" s="4" t="s">
        <v>7331</v>
      </c>
      <c r="B455" s="4" t="s">
        <v>7332</v>
      </c>
      <c r="C455" s="4" t="n">
        <v>1993</v>
      </c>
      <c r="D455" s="4" t="s">
        <v>7333</v>
      </c>
      <c r="E455" s="4" t="str">
        <f aca="false">IF(B455="","",LOWER(B455)&amp;"|"&amp;C455)</f>
        <v>body bags|1993</v>
      </c>
    </row>
    <row r="456" customFormat="false" ht="15" hidden="false" customHeight="false" outlineLevel="0" collapsed="false">
      <c r="A456" s="4" t="s">
        <v>7334</v>
      </c>
      <c r="B456" s="4" t="s">
        <v>1415</v>
      </c>
      <c r="C456" s="4" t="n">
        <v>2017</v>
      </c>
      <c r="D456" s="4" t="s">
        <v>7335</v>
      </c>
      <c r="E456" s="4" t="str">
        <f aca="false">IF(B456="","",LOWER(B456)&amp;"|"&amp;C456)</f>
        <v>the post|2017</v>
      </c>
    </row>
    <row r="457" customFormat="false" ht="15" hidden="false" customHeight="false" outlineLevel="0" collapsed="false">
      <c r="A457" s="4" t="s">
        <v>7336</v>
      </c>
      <c r="B457" s="4" t="s">
        <v>2296</v>
      </c>
      <c r="C457" s="4" t="n">
        <v>1977</v>
      </c>
      <c r="D457" s="4" t="s">
        <v>7337</v>
      </c>
      <c r="E457" s="4" t="str">
        <f aca="false">IF(B457="","",LOWER(B457)&amp;"|"&amp;C457)</f>
        <v>capricorn one|1977</v>
      </c>
    </row>
    <row r="458" customFormat="false" ht="15" hidden="false" customHeight="false" outlineLevel="0" collapsed="false">
      <c r="A458" s="4" t="s">
        <v>7338</v>
      </c>
      <c r="B458" s="4" t="s">
        <v>7339</v>
      </c>
      <c r="C458" s="4" t="n">
        <v>1981</v>
      </c>
      <c r="D458" s="4" t="s">
        <v>7340</v>
      </c>
      <c r="E458" s="4" t="str">
        <f aca="false">IF(B458="","",LOWER(B458)&amp;"|"&amp;C458)</f>
        <v>an american werewolf in london|1981</v>
      </c>
    </row>
    <row r="459" customFormat="false" ht="15" hidden="false" customHeight="false" outlineLevel="0" collapsed="false">
      <c r="A459" s="4" t="s">
        <v>7341</v>
      </c>
      <c r="B459" s="4" t="s">
        <v>2386</v>
      </c>
      <c r="C459" s="4" t="n">
        <v>1983</v>
      </c>
      <c r="D459" s="4" t="s">
        <v>7342</v>
      </c>
      <c r="E459" s="4" t="str">
        <f aca="false">IF(B459="","",LOWER(B459)&amp;"|"&amp;C459)</f>
        <v>the dead zone|1983</v>
      </c>
    </row>
    <row r="460" customFormat="false" ht="15" hidden="false" customHeight="false" outlineLevel="0" collapsed="false">
      <c r="A460" s="4" t="s">
        <v>7343</v>
      </c>
      <c r="B460" s="4" t="s">
        <v>2916</v>
      </c>
      <c r="C460" s="4" t="n">
        <v>2008</v>
      </c>
      <c r="D460" s="4" t="s">
        <v>7344</v>
      </c>
      <c r="E460" s="4" t="str">
        <f aca="false">IF(B460="","",LOWER(B460)&amp;"|"&amp;C460)</f>
        <v>the wrestler|2008</v>
      </c>
    </row>
    <row r="461" customFormat="false" ht="15" hidden="false" customHeight="false" outlineLevel="0" collapsed="false">
      <c r="A461" s="4" t="s">
        <v>7345</v>
      </c>
      <c r="B461" s="4" t="s">
        <v>1288</v>
      </c>
      <c r="C461" s="4" t="n">
        <v>1997</v>
      </c>
      <c r="D461" s="4" t="s">
        <v>7346</v>
      </c>
      <c r="E461" s="4" t="str">
        <f aca="false">IF(B461="","",LOWER(B461)&amp;"|"&amp;C461)</f>
        <v>cube|1997</v>
      </c>
    </row>
    <row r="462" customFormat="false" ht="15" hidden="false" customHeight="false" outlineLevel="0" collapsed="false">
      <c r="A462" s="4" t="s">
        <v>7347</v>
      </c>
      <c r="B462" s="4" t="s">
        <v>7348</v>
      </c>
      <c r="C462" s="4" t="n">
        <v>2014</v>
      </c>
      <c r="D462" s="4" t="s">
        <v>7349</v>
      </c>
      <c r="E462" s="4" t="str">
        <f aca="false">IF(B462="","",LOWER(B462)&amp;"|"&amp;C462)</f>
        <v>the salt of the earth|2014</v>
      </c>
    </row>
    <row r="463" customFormat="false" ht="15" hidden="false" customHeight="false" outlineLevel="0" collapsed="false">
      <c r="A463" s="4" t="s">
        <v>7350</v>
      </c>
      <c r="B463" s="4" t="s">
        <v>812</v>
      </c>
      <c r="C463" s="4" t="n">
        <v>1981</v>
      </c>
      <c r="D463" s="4" t="s">
        <v>7351</v>
      </c>
      <c r="E463" s="4" t="str">
        <f aca="false">IF(B463="","",LOWER(B463)&amp;"|"&amp;C463)</f>
        <v>my dinner with andre|1981</v>
      </c>
    </row>
    <row r="464" customFormat="false" ht="15" hidden="false" customHeight="false" outlineLevel="0" collapsed="false">
      <c r="A464" s="4" t="s">
        <v>7352</v>
      </c>
      <c r="B464" s="4" t="s">
        <v>480</v>
      </c>
      <c r="C464" s="4" t="n">
        <v>1973</v>
      </c>
      <c r="D464" s="4" t="s">
        <v>7353</v>
      </c>
      <c r="E464" s="4" t="str">
        <f aca="false">IF(B464="","",LOWER(B464)&amp;"|"&amp;C464)</f>
        <v>the long goodbye|1973</v>
      </c>
    </row>
    <row r="465" customFormat="false" ht="15" hidden="false" customHeight="false" outlineLevel="0" collapsed="false">
      <c r="A465" s="4" t="s">
        <v>7352</v>
      </c>
      <c r="B465" s="4" t="s">
        <v>2384</v>
      </c>
      <c r="C465" s="4" t="n">
        <v>1983</v>
      </c>
      <c r="D465" s="4" t="s">
        <v>7354</v>
      </c>
      <c r="E465" s="4" t="str">
        <f aca="false">IF(B465="","",LOWER(B465)&amp;"|"&amp;C465)</f>
        <v>rumble fish|1983</v>
      </c>
    </row>
    <row r="466" customFormat="false" ht="15" hidden="false" customHeight="false" outlineLevel="0" collapsed="false">
      <c r="A466" s="4" t="s">
        <v>7355</v>
      </c>
      <c r="B466" s="4" t="s">
        <v>7356</v>
      </c>
      <c r="C466" s="4" t="n">
        <v>2014</v>
      </c>
      <c r="D466" s="4" t="s">
        <v>7357</v>
      </c>
      <c r="E466" s="4" t="str">
        <f aca="false">IF(B466="","",LOWER(B466)&amp;"|"&amp;C466)</f>
        <v>the lego movie|2014</v>
      </c>
    </row>
    <row r="467" customFormat="false" ht="15" hidden="false" customHeight="false" outlineLevel="0" collapsed="false">
      <c r="A467" s="4" t="s">
        <v>7355</v>
      </c>
      <c r="B467" s="4" t="s">
        <v>2776</v>
      </c>
      <c r="C467" s="4" t="n">
        <v>2002</v>
      </c>
      <c r="D467" s="4" t="s">
        <v>7358</v>
      </c>
      <c r="E467" s="4" t="str">
        <f aca="false">IF(B467="","",LOWER(B467)&amp;"|"&amp;C467)</f>
        <v>catch me if you can|2002</v>
      </c>
    </row>
    <row r="468" customFormat="false" ht="15" hidden="false" customHeight="false" outlineLevel="0" collapsed="false">
      <c r="A468" s="4" t="s">
        <v>7359</v>
      </c>
      <c r="B468" s="4" t="s">
        <v>7360</v>
      </c>
      <c r="C468" s="4" t="n">
        <v>2019</v>
      </c>
      <c r="D468" s="4" t="s">
        <v>7361</v>
      </c>
      <c r="E468" s="4" t="str">
        <f aca="false">IF(B468="","",LOWER(B468)&amp;"|"&amp;C468)</f>
        <v>the lego movie 2: the second part|2019</v>
      </c>
    </row>
    <row r="469" customFormat="false" ht="15" hidden="false" customHeight="false" outlineLevel="0" collapsed="false">
      <c r="A469" s="4" t="s">
        <v>7362</v>
      </c>
      <c r="B469" s="4" t="s">
        <v>1281</v>
      </c>
      <c r="C469" s="4" t="n">
        <v>1989</v>
      </c>
      <c r="D469" s="4" t="s">
        <v>7363</v>
      </c>
      <c r="E469" s="4" t="str">
        <f aca="false">IF(B469="","",LOWER(B469)&amp;"|"&amp;C469)</f>
        <v>field of dreams|1989</v>
      </c>
    </row>
    <row r="470" customFormat="false" ht="15" hidden="false" customHeight="false" outlineLevel="0" collapsed="false">
      <c r="A470" s="4" t="s">
        <v>7364</v>
      </c>
      <c r="B470" s="4" t="s">
        <v>2467</v>
      </c>
      <c r="C470" s="4" t="n">
        <v>1988</v>
      </c>
      <c r="D470" s="4" t="s">
        <v>7365</v>
      </c>
      <c r="E470" s="4" t="str">
        <f aca="false">IF(B470="","",LOWER(B470)&amp;"|"&amp;C470)</f>
        <v>the naked gun: from the files of police squad!|1988</v>
      </c>
    </row>
    <row r="471" customFormat="false" ht="15" hidden="false" customHeight="false" outlineLevel="0" collapsed="false">
      <c r="A471" s="4" t="s">
        <v>7366</v>
      </c>
      <c r="B471" s="4" t="s">
        <v>7367</v>
      </c>
      <c r="C471" s="4" t="n">
        <v>2022</v>
      </c>
      <c r="D471" s="4" t="s">
        <v>7368</v>
      </c>
      <c r="E471" s="4" t="str">
        <f aca="false">IF(B471="","",LOWER(B471)&amp;"|"&amp;C471)</f>
        <v>jackass forever|2022</v>
      </c>
    </row>
    <row r="472" customFormat="false" ht="15" hidden="false" customHeight="false" outlineLevel="0" collapsed="false">
      <c r="A472" s="4" t="s">
        <v>7366</v>
      </c>
      <c r="B472" s="4" t="s">
        <v>828</v>
      </c>
      <c r="C472" s="4" t="n">
        <v>1992</v>
      </c>
      <c r="D472" s="4" t="s">
        <v>7369</v>
      </c>
      <c r="E472" s="4" t="str">
        <f aca="false">IF(B472="","",LOWER(B472)&amp;"|"&amp;C472)</f>
        <v>unforgiven|1992</v>
      </c>
    </row>
    <row r="473" customFormat="false" ht="15" hidden="false" customHeight="false" outlineLevel="0" collapsed="false">
      <c r="A473" s="4" t="s">
        <v>7370</v>
      </c>
      <c r="B473" s="4" t="s">
        <v>3592</v>
      </c>
      <c r="C473" s="4" t="n">
        <v>1981</v>
      </c>
      <c r="D473" s="4" t="s">
        <v>7371</v>
      </c>
      <c r="E473" s="4" t="str">
        <f aca="false">IF(B473="","",LOWER(B473)&amp;"|"&amp;C473)</f>
        <v>stripes|1981</v>
      </c>
    </row>
    <row r="474" customFormat="false" ht="15" hidden="false" customHeight="false" outlineLevel="0" collapsed="false">
      <c r="A474" s="4" t="s">
        <v>7372</v>
      </c>
      <c r="B474" s="4" t="s">
        <v>7373</v>
      </c>
      <c r="C474" s="4" t="n">
        <v>1996</v>
      </c>
      <c r="D474" s="4" t="s">
        <v>7374</v>
      </c>
      <c r="E474" s="4" t="str">
        <f aca="false">IF(B474="","",LOWER(B474)&amp;"|"&amp;C474)</f>
        <v>the people vs. larry flynt|1996</v>
      </c>
    </row>
    <row r="475" customFormat="false" ht="15" hidden="false" customHeight="false" outlineLevel="0" collapsed="false">
      <c r="A475" s="4" t="s">
        <v>7372</v>
      </c>
      <c r="B475" s="4" t="s">
        <v>7375</v>
      </c>
      <c r="C475" s="4" t="n">
        <v>1983</v>
      </c>
      <c r="D475" s="4" t="s">
        <v>7376</v>
      </c>
      <c r="E475" s="4" t="str">
        <f aca="false">IF(B475="","",LOWER(B475)&amp;"|"&amp;C475)</f>
        <v>risky business|1983</v>
      </c>
    </row>
    <row r="476" customFormat="false" ht="15" hidden="false" customHeight="false" outlineLevel="0" collapsed="false">
      <c r="A476" s="4" t="s">
        <v>7377</v>
      </c>
      <c r="B476" s="4" t="s">
        <v>7378</v>
      </c>
      <c r="C476" s="4" t="n">
        <v>2016</v>
      </c>
      <c r="D476" s="4" t="s">
        <v>7379</v>
      </c>
      <c r="E476" s="4" t="str">
        <f aca="false">IF(B476="","",LOWER(B476)&amp;"|"&amp;C476)</f>
        <v>fantastic beasts and where to find them|2016</v>
      </c>
    </row>
    <row r="477" customFormat="false" ht="15" hidden="false" customHeight="false" outlineLevel="0" collapsed="false">
      <c r="A477" s="4" t="s">
        <v>7380</v>
      </c>
      <c r="B477" s="4" t="s">
        <v>7381</v>
      </c>
      <c r="C477" s="4" t="n">
        <v>2012</v>
      </c>
      <c r="D477" s="4" t="s">
        <v>7382</v>
      </c>
      <c r="E477" s="4" t="str">
        <f aca="false">IF(B477="","",LOWER(B477)&amp;"|"&amp;C477)</f>
        <v>cosmopolis|2012</v>
      </c>
    </row>
    <row r="478" customFormat="false" ht="15" hidden="false" customHeight="false" outlineLevel="0" collapsed="false">
      <c r="A478" s="4" t="s">
        <v>7383</v>
      </c>
      <c r="B478" s="4" t="s">
        <v>7384</v>
      </c>
      <c r="C478" s="4" t="n">
        <v>2021</v>
      </c>
      <c r="D478" s="4" t="s">
        <v>7385</v>
      </c>
      <c r="E478" s="4" t="str">
        <f aca="false">IF(B478="","",LOWER(B478)&amp;"|"&amp;C478)</f>
        <v>cry macho|2021</v>
      </c>
    </row>
    <row r="479" customFormat="false" ht="15" hidden="false" customHeight="false" outlineLevel="0" collapsed="false">
      <c r="A479" s="4" t="s">
        <v>7383</v>
      </c>
      <c r="B479" s="4" t="s">
        <v>607</v>
      </c>
      <c r="C479" s="4" t="n">
        <v>1979</v>
      </c>
      <c r="D479" s="4" t="s">
        <v>7386</v>
      </c>
      <c r="E479" s="4" t="str">
        <f aca="false">IF(B479="","",LOWER(B479)&amp;"|"&amp;C479)</f>
        <v>the brood|1979</v>
      </c>
    </row>
    <row r="480" customFormat="false" ht="15" hidden="false" customHeight="false" outlineLevel="0" collapsed="false">
      <c r="A480" s="4" t="s">
        <v>7383</v>
      </c>
      <c r="B480" s="4" t="s">
        <v>794</v>
      </c>
      <c r="C480" s="4" t="n">
        <v>1973</v>
      </c>
      <c r="D480" s="4" t="s">
        <v>7387</v>
      </c>
      <c r="E480" s="4" t="str">
        <f aca="false">IF(B480="","",LOWER(B480)&amp;"|"&amp;C480)</f>
        <v>the exorcist|1973</v>
      </c>
    </row>
    <row r="481" customFormat="false" ht="15" hidden="false" customHeight="false" outlineLevel="0" collapsed="false">
      <c r="A481" s="4" t="s">
        <v>7388</v>
      </c>
      <c r="B481" s="4" t="s">
        <v>7389</v>
      </c>
      <c r="C481" s="4" t="n">
        <v>2022</v>
      </c>
      <c r="D481" s="4" t="s">
        <v>7390</v>
      </c>
      <c r="E481" s="4" t="str">
        <f aca="false">IF(B481="","",LOWER(B481)&amp;"|"&amp;C481)</f>
        <v>the northman|2022</v>
      </c>
    </row>
    <row r="482" customFormat="false" ht="15" hidden="false" customHeight="false" outlineLevel="0" collapsed="false">
      <c r="A482" s="4" t="s">
        <v>7391</v>
      </c>
      <c r="B482" s="4" t="s">
        <v>1065</v>
      </c>
      <c r="C482" s="4" t="n">
        <v>1984</v>
      </c>
      <c r="D482" s="4" t="s">
        <v>7392</v>
      </c>
      <c r="E482" s="4" t="str">
        <f aca="false">IF(B482="","",LOWER(B482)&amp;"|"&amp;C482)</f>
        <v>threads|1984</v>
      </c>
    </row>
    <row r="483" customFormat="false" ht="15" hidden="false" customHeight="false" outlineLevel="0" collapsed="false">
      <c r="A483" s="4" t="s">
        <v>7393</v>
      </c>
      <c r="B483" s="4" t="s">
        <v>1642</v>
      </c>
      <c r="C483" s="4" t="n">
        <v>2022</v>
      </c>
      <c r="D483" s="4" t="s">
        <v>7394</v>
      </c>
      <c r="E483" s="4" t="str">
        <f aca="false">IF(B483="","",LOWER(B483)&amp;"|"&amp;C483)</f>
        <v>everything everywhere all at once|2022</v>
      </c>
    </row>
    <row r="484" customFormat="false" ht="15" hidden="false" customHeight="false" outlineLevel="0" collapsed="false">
      <c r="A484" s="4" t="s">
        <v>7395</v>
      </c>
      <c r="B484" s="4" t="s">
        <v>7396</v>
      </c>
      <c r="C484" s="4" t="n">
        <v>2022</v>
      </c>
      <c r="D484" s="4" t="s">
        <v>7397</v>
      </c>
      <c r="E484" s="4" t="str">
        <f aca="false">IF(B484="","",LOWER(B484)&amp;"|"&amp;C484)</f>
        <v>apollo 10½: a space age childhood|2022</v>
      </c>
    </row>
    <row r="485" customFormat="false" ht="15" hidden="false" customHeight="false" outlineLevel="0" collapsed="false">
      <c r="A485" s="4" t="s">
        <v>7395</v>
      </c>
      <c r="B485" s="4" t="s">
        <v>1246</v>
      </c>
      <c r="C485" s="4" t="n">
        <v>2018</v>
      </c>
      <c r="D485" s="4" t="s">
        <v>7398</v>
      </c>
      <c r="E485" s="4" t="str">
        <f aca="false">IF(B485="","",LOWER(B485)&amp;"|"&amp;C485)</f>
        <v>sorry to bother you|2018</v>
      </c>
    </row>
    <row r="486" customFormat="false" ht="15" hidden="false" customHeight="false" outlineLevel="0" collapsed="false">
      <c r="A486" s="4" t="s">
        <v>7399</v>
      </c>
      <c r="B486" s="4" t="s">
        <v>7400</v>
      </c>
      <c r="C486" s="4" t="n">
        <v>2022</v>
      </c>
      <c r="D486" s="4" t="s">
        <v>7401</v>
      </c>
      <c r="E486" s="4" t="str">
        <f aca="false">IF(B486="","",LOWER(B486)&amp;"|"&amp;C486)</f>
        <v>the unbearable weight of massive talent|2022</v>
      </c>
    </row>
    <row r="487" customFormat="false" ht="15" hidden="false" customHeight="false" outlineLevel="0" collapsed="false">
      <c r="A487" s="4" t="s">
        <v>7402</v>
      </c>
      <c r="B487" s="4" t="s">
        <v>364</v>
      </c>
      <c r="C487" s="4" t="n">
        <v>1984</v>
      </c>
      <c r="D487" s="4" t="s">
        <v>7403</v>
      </c>
      <c r="E487" s="4" t="str">
        <f aca="false">IF(B487="","",LOWER(B487)&amp;"|"&amp;C487)</f>
        <v>paris, texas|1984</v>
      </c>
    </row>
    <row r="488" customFormat="false" ht="15" hidden="false" customHeight="false" outlineLevel="0" collapsed="false">
      <c r="A488" s="4" t="s">
        <v>7404</v>
      </c>
      <c r="B488" s="4" t="s">
        <v>7405</v>
      </c>
      <c r="C488" s="4" t="n">
        <v>1991</v>
      </c>
      <c r="D488" s="4" t="s">
        <v>7406</v>
      </c>
      <c r="E488" s="4" t="str">
        <f aca="false">IF(B488="","",LOWER(B488)&amp;"|"&amp;C488)</f>
        <v>hook|1991</v>
      </c>
    </row>
    <row r="489" customFormat="false" ht="15" hidden="false" customHeight="false" outlineLevel="0" collapsed="false">
      <c r="A489" s="4" t="s">
        <v>7407</v>
      </c>
      <c r="B489" s="4" t="s">
        <v>7408</v>
      </c>
      <c r="C489" s="4" t="n">
        <v>2011</v>
      </c>
      <c r="D489" s="4" t="s">
        <v>7409</v>
      </c>
      <c r="E489" s="4" t="str">
        <f aca="false">IF(B489="","",LOWER(B489)&amp;"|"&amp;C489)</f>
        <v>war horse|2011</v>
      </c>
    </row>
    <row r="490" customFormat="false" ht="15" hidden="false" customHeight="false" outlineLevel="0" collapsed="false">
      <c r="A490" s="4" t="s">
        <v>7410</v>
      </c>
      <c r="B490" s="4" t="s">
        <v>7411</v>
      </c>
      <c r="C490" s="4" t="n">
        <v>1989</v>
      </c>
      <c r="D490" s="4" t="s">
        <v>7412</v>
      </c>
      <c r="E490" s="4" t="str">
        <f aca="false">IF(B490="","",LOWER(B490)&amp;"|"&amp;C490)</f>
        <v>always|1989</v>
      </c>
    </row>
    <row r="491" customFormat="false" ht="15" hidden="false" customHeight="false" outlineLevel="0" collapsed="false">
      <c r="A491" s="4" t="s">
        <v>7413</v>
      </c>
      <c r="B491" s="4" t="s">
        <v>3579</v>
      </c>
      <c r="C491" s="4" t="n">
        <v>1979</v>
      </c>
      <c r="D491" s="4" t="s">
        <v>7414</v>
      </c>
      <c r="E491" s="4" t="str">
        <f aca="false">IF(B491="","",LOWER(B491)&amp;"|"&amp;C491)</f>
        <v>1941|1979</v>
      </c>
    </row>
    <row r="492" customFormat="false" ht="15" hidden="false" customHeight="false" outlineLevel="0" collapsed="false">
      <c r="A492" s="4" t="s">
        <v>7413</v>
      </c>
      <c r="B492" s="4" t="s">
        <v>690</v>
      </c>
      <c r="C492" s="4" t="n">
        <v>2013</v>
      </c>
      <c r="D492" s="4" t="s">
        <v>7415</v>
      </c>
      <c r="E492" s="4" t="str">
        <f aca="false">IF(B492="","",LOWER(B492)&amp;"|"&amp;C492)</f>
        <v>nebraska|2013</v>
      </c>
    </row>
    <row r="493" customFormat="false" ht="15" hidden="false" customHeight="false" outlineLevel="0" collapsed="false">
      <c r="A493" s="4" t="s">
        <v>7416</v>
      </c>
      <c r="B493" s="4" t="s">
        <v>2247</v>
      </c>
      <c r="C493" s="4" t="n">
        <v>1974</v>
      </c>
      <c r="D493" s="4" t="s">
        <v>7417</v>
      </c>
      <c r="E493" s="4" t="str">
        <f aca="false">IF(B493="","",LOWER(B493)&amp;"|"&amp;C493)</f>
        <v>california split|1974</v>
      </c>
    </row>
    <row r="494" customFormat="false" ht="15" hidden="false" customHeight="false" outlineLevel="0" collapsed="false">
      <c r="A494" s="4" t="s">
        <v>7416</v>
      </c>
      <c r="B494" s="4" t="s">
        <v>7418</v>
      </c>
      <c r="C494" s="4" t="n">
        <v>1997</v>
      </c>
      <c r="D494" s="4" t="s">
        <v>7419</v>
      </c>
      <c r="E494" s="4" t="str">
        <f aca="false">IF(B494="","",LOWER(B494)&amp;"|"&amp;C494)</f>
        <v>amistad|1997</v>
      </c>
    </row>
    <row r="495" customFormat="false" ht="15" hidden="false" customHeight="false" outlineLevel="0" collapsed="false">
      <c r="A495" s="4" t="s">
        <v>7420</v>
      </c>
      <c r="B495" s="4" t="s">
        <v>7421</v>
      </c>
      <c r="C495" s="4" t="n">
        <v>1988</v>
      </c>
      <c r="D495" s="4" t="s">
        <v>7422</v>
      </c>
      <c r="E495" s="4" t="str">
        <f aca="false">IF(B495="","",LOWER(B495)&amp;"|"&amp;C495)</f>
        <v>who framed roger rabbit|1988</v>
      </c>
    </row>
    <row r="496" customFormat="false" ht="15" hidden="false" customHeight="false" outlineLevel="0" collapsed="false">
      <c r="A496" s="4" t="s">
        <v>7423</v>
      </c>
      <c r="B496" s="4" t="s">
        <v>1388</v>
      </c>
      <c r="C496" s="4" t="n">
        <v>1994</v>
      </c>
      <c r="D496" s="4" t="s">
        <v>7424</v>
      </c>
      <c r="E496" s="4" t="str">
        <f aca="false">IF(B496="","",LOWER(B496)&amp;"|"&amp;C496)</f>
        <v>the hudsucker proxy|1994</v>
      </c>
    </row>
    <row r="497" customFormat="false" ht="15" hidden="false" customHeight="false" outlineLevel="0" collapsed="false">
      <c r="A497" s="4" t="s">
        <v>7425</v>
      </c>
      <c r="B497" s="4" t="s">
        <v>2340</v>
      </c>
      <c r="C497" s="4" t="n">
        <v>1980</v>
      </c>
      <c r="D497" s="4" t="s">
        <v>7426</v>
      </c>
      <c r="E497" s="4" t="str">
        <f aca="false">IF(B497="","",LOWER(B497)&amp;"|"&amp;C497)</f>
        <v>caddyshack|1980</v>
      </c>
    </row>
    <row r="498" customFormat="false" ht="15" hidden="false" customHeight="false" outlineLevel="0" collapsed="false">
      <c r="A498" s="4" t="s">
        <v>7427</v>
      </c>
      <c r="B498" s="4" t="s">
        <v>2857</v>
      </c>
      <c r="C498" s="4" t="n">
        <v>2006</v>
      </c>
      <c r="D498" s="4" t="s">
        <v>7428</v>
      </c>
      <c r="E498" s="4" t="str">
        <f aca="false">IF(B498="","",LOWER(B498)&amp;"|"&amp;C498)</f>
        <v>inland empire|2006</v>
      </c>
    </row>
    <row r="499" customFormat="false" ht="15" hidden="false" customHeight="false" outlineLevel="0" collapsed="false">
      <c r="A499" s="4" t="s">
        <v>7429</v>
      </c>
      <c r="B499" s="4" t="s">
        <v>2425</v>
      </c>
      <c r="C499" s="4" t="n">
        <v>1986</v>
      </c>
      <c r="D499" s="4" t="s">
        <v>7430</v>
      </c>
      <c r="E499" s="4" t="str">
        <f aca="false">IF(B499="","",LOWER(B499)&amp;"|"&amp;C499)</f>
        <v>top gun|1986</v>
      </c>
    </row>
    <row r="500" customFormat="false" ht="15" hidden="false" customHeight="false" outlineLevel="0" collapsed="false">
      <c r="A500" s="4" t="s">
        <v>7431</v>
      </c>
      <c r="B500" s="4" t="s">
        <v>7432</v>
      </c>
      <c r="C500" s="4" t="n">
        <v>2022</v>
      </c>
      <c r="D500" s="4" t="s">
        <v>7433</v>
      </c>
      <c r="E500" s="4" t="str">
        <f aca="false">IF(B500="","",LOWER(B500)&amp;"|"&amp;C500)</f>
        <v>jackass 4.5|2022</v>
      </c>
    </row>
    <row r="501" customFormat="false" ht="15" hidden="false" customHeight="false" outlineLevel="0" collapsed="false">
      <c r="A501" s="4" t="s">
        <v>7431</v>
      </c>
      <c r="B501" s="4" t="s">
        <v>171</v>
      </c>
      <c r="C501" s="4" t="n">
        <v>1974</v>
      </c>
      <c r="D501" s="4" t="s">
        <v>7434</v>
      </c>
      <c r="E501" s="4" t="str">
        <f aca="false">IF(B501="","",LOWER(B501)&amp;"|"&amp;C501)</f>
        <v>the conversation|1974</v>
      </c>
    </row>
    <row r="502" customFormat="false" ht="15" hidden="false" customHeight="false" outlineLevel="0" collapsed="false">
      <c r="A502" s="4" t="s">
        <v>7435</v>
      </c>
      <c r="B502" s="4" t="s">
        <v>633</v>
      </c>
      <c r="C502" s="4" t="n">
        <v>2001</v>
      </c>
      <c r="D502" s="4" t="s">
        <v>7436</v>
      </c>
      <c r="E502" s="4" t="str">
        <f aca="false">IF(B502="","",LOWER(B502)&amp;"|"&amp;C502)</f>
        <v>waking life|2001</v>
      </c>
    </row>
    <row r="503" customFormat="false" ht="15" hidden="false" customHeight="false" outlineLevel="0" collapsed="false">
      <c r="A503" s="4" t="s">
        <v>7437</v>
      </c>
      <c r="B503" s="4" t="s">
        <v>2401</v>
      </c>
      <c r="C503" s="4" t="n">
        <v>1984</v>
      </c>
      <c r="D503" s="4" t="s">
        <v>7438</v>
      </c>
      <c r="E503" s="4" t="str">
        <f aca="false">IF(B503="","",LOWER(B503)&amp;"|"&amp;C503)</f>
        <v>a nightmare on elm street|1984</v>
      </c>
    </row>
    <row r="504" customFormat="false" ht="15" hidden="false" customHeight="false" outlineLevel="0" collapsed="false">
      <c r="A504" s="4" t="s">
        <v>7439</v>
      </c>
      <c r="B504" s="4" t="s">
        <v>7440</v>
      </c>
      <c r="C504" s="4" t="n">
        <v>1996</v>
      </c>
      <c r="D504" s="4" t="s">
        <v>7441</v>
      </c>
      <c r="E504" s="4" t="str">
        <f aca="false">IF(B504="","",LOWER(B504)&amp;"|"&amp;C504)</f>
        <v>happy gilmore|1996</v>
      </c>
    </row>
    <row r="505" customFormat="false" ht="15" hidden="false" customHeight="false" outlineLevel="0" collapsed="false">
      <c r="A505" s="4" t="s">
        <v>7439</v>
      </c>
      <c r="B505" s="4" t="s">
        <v>7442</v>
      </c>
      <c r="C505" s="4" t="n">
        <v>1991</v>
      </c>
      <c r="D505" s="4" t="s">
        <v>7443</v>
      </c>
      <c r="E505" s="4" t="str">
        <f aca="false">IF(B505="","",LOWER(B505)&amp;"|"&amp;C505)</f>
        <v>the naked gun 2½: the smell of fear|1991</v>
      </c>
    </row>
    <row r="506" customFormat="false" ht="15" hidden="false" customHeight="false" outlineLevel="0" collapsed="false">
      <c r="A506" s="4" t="s">
        <v>7444</v>
      </c>
      <c r="B506" s="4" t="s">
        <v>7445</v>
      </c>
      <c r="C506" s="4" t="n">
        <v>1994</v>
      </c>
      <c r="D506" s="4" t="s">
        <v>7446</v>
      </c>
      <c r="E506" s="4" t="str">
        <f aca="false">IF(B506="","",LOWER(B506)&amp;"|"&amp;C506)</f>
        <v>naked gun 33⅓: the final insult|1994</v>
      </c>
    </row>
    <row r="507" customFormat="false" ht="15" hidden="false" customHeight="false" outlineLevel="0" collapsed="false">
      <c r="A507" s="4" t="s">
        <v>7447</v>
      </c>
      <c r="B507" s="4" t="s">
        <v>2646</v>
      </c>
      <c r="C507" s="4" t="n">
        <v>1996</v>
      </c>
      <c r="D507" s="4" t="s">
        <v>7448</v>
      </c>
      <c r="E507" s="4" t="str">
        <f aca="false">IF(B507="","",LOWER(B507)&amp;"|"&amp;C507)</f>
        <v>the birdcage|1996</v>
      </c>
    </row>
    <row r="508" customFormat="false" ht="15" hidden="false" customHeight="false" outlineLevel="0" collapsed="false">
      <c r="A508" s="4" t="s">
        <v>7449</v>
      </c>
      <c r="B508" s="4" t="s">
        <v>3474</v>
      </c>
      <c r="C508" s="4" t="n">
        <v>1970</v>
      </c>
      <c r="D508" s="4" t="s">
        <v>7450</v>
      </c>
      <c r="E508" s="4" t="str">
        <f aca="false">IF(B508="","",LOWER(B508)&amp;"|"&amp;C508)</f>
        <v>brewster mccloud|1970</v>
      </c>
    </row>
    <row r="509" customFormat="false" ht="15" hidden="false" customHeight="false" outlineLevel="0" collapsed="false">
      <c r="A509" s="4" t="s">
        <v>7449</v>
      </c>
      <c r="B509" s="4" t="s">
        <v>7451</v>
      </c>
      <c r="C509" s="4" t="n">
        <v>1979</v>
      </c>
      <c r="D509" s="4" t="s">
        <v>7452</v>
      </c>
      <c r="E509" s="4" t="str">
        <f aca="false">IF(B509="","",LOWER(B509)&amp;"|"&amp;C509)</f>
        <v>the muppet movie|1979</v>
      </c>
    </row>
    <row r="510" customFormat="false" ht="15" hidden="false" customHeight="false" outlineLevel="0" collapsed="false">
      <c r="A510" s="4" t="s">
        <v>7453</v>
      </c>
      <c r="B510" s="4" t="s">
        <v>7454</v>
      </c>
      <c r="C510" s="4" t="n">
        <v>1979</v>
      </c>
      <c r="D510" s="4" t="s">
        <v>7455</v>
      </c>
      <c r="E510" s="4" t="str">
        <f aca="false">IF(B510="","",LOWER(B510)&amp;"|"&amp;C510)</f>
        <v>the jerk|1979</v>
      </c>
    </row>
    <row r="511" customFormat="false" ht="15" hidden="false" customHeight="false" outlineLevel="0" collapsed="false">
      <c r="A511" s="4" t="s">
        <v>7456</v>
      </c>
      <c r="B511" s="4" t="s">
        <v>2743</v>
      </c>
      <c r="C511" s="4" t="n">
        <v>2001</v>
      </c>
      <c r="D511" s="4" t="s">
        <v>7457</v>
      </c>
      <c r="E511" s="4" t="str">
        <f aca="false">IF(B511="","",LOWER(B511)&amp;"|"&amp;C511)</f>
        <v>zoolander|2001</v>
      </c>
    </row>
    <row r="512" customFormat="false" ht="15" hidden="false" customHeight="false" outlineLevel="0" collapsed="false">
      <c r="A512" s="4" t="s">
        <v>7458</v>
      </c>
      <c r="B512" s="4" t="s">
        <v>7459</v>
      </c>
      <c r="C512" s="4" t="n">
        <v>2022</v>
      </c>
      <c r="D512" s="4" t="s">
        <v>7460</v>
      </c>
      <c r="E512" s="4" t="str">
        <f aca="false">IF(B512="","",LOWER(B512)&amp;"|"&amp;C512)</f>
        <v>hustle|2022</v>
      </c>
    </row>
    <row r="513" customFormat="false" ht="15" hidden="false" customHeight="false" outlineLevel="0" collapsed="false">
      <c r="A513" s="4" t="s">
        <v>7461</v>
      </c>
      <c r="B513" s="4" t="s">
        <v>3234</v>
      </c>
      <c r="C513" s="4" t="n">
        <v>2022</v>
      </c>
      <c r="D513" s="4" t="s">
        <v>7462</v>
      </c>
      <c r="E513" s="4" t="str">
        <f aca="false">IF(B513="","",LOWER(B513)&amp;"|"&amp;C513)</f>
        <v>top gun: maverick|2022</v>
      </c>
    </row>
    <row r="514" customFormat="false" ht="15" hidden="false" customHeight="false" outlineLevel="0" collapsed="false">
      <c r="A514" s="4" t="s">
        <v>7463</v>
      </c>
      <c r="B514" s="4" t="s">
        <v>7464</v>
      </c>
      <c r="C514" s="4" t="n">
        <v>1981</v>
      </c>
      <c r="D514" s="4" t="s">
        <v>7465</v>
      </c>
      <c r="E514" s="4" t="str">
        <f aca="false">IF(B514="","",LOWER(B514)&amp;"|"&amp;C514)</f>
        <v>the great muppet caper|1981</v>
      </c>
    </row>
    <row r="515" customFormat="false" ht="15" hidden="false" customHeight="false" outlineLevel="0" collapsed="false">
      <c r="A515" s="4" t="s">
        <v>7466</v>
      </c>
      <c r="B515" s="4" t="s">
        <v>7467</v>
      </c>
      <c r="C515" s="4" t="n">
        <v>2013</v>
      </c>
      <c r="D515" s="4" t="s">
        <v>7468</v>
      </c>
      <c r="E515" s="4" t="str">
        <f aca="false">IF(B515="","",LOWER(B515)&amp;"|"&amp;C515)</f>
        <v>anchorman 2: the legend continues|2013</v>
      </c>
    </row>
    <row r="516" customFormat="false" ht="15" hidden="false" customHeight="false" outlineLevel="0" collapsed="false">
      <c r="A516" s="4" t="s">
        <v>7469</v>
      </c>
      <c r="B516" s="4" t="s">
        <v>1286</v>
      </c>
      <c r="C516" s="4" t="n">
        <v>1995</v>
      </c>
      <c r="D516" s="4" t="s">
        <v>7470</v>
      </c>
      <c r="E516" s="4" t="str">
        <f aca="false">IF(B516="","",LOWER(B516)&amp;"|"&amp;C516)</f>
        <v>friday|1995</v>
      </c>
    </row>
    <row r="517" customFormat="false" ht="15" hidden="false" customHeight="false" outlineLevel="0" collapsed="false">
      <c r="A517" s="4" t="s">
        <v>7469</v>
      </c>
      <c r="B517" s="4" t="s">
        <v>7471</v>
      </c>
      <c r="C517" s="4" t="n">
        <v>2022</v>
      </c>
      <c r="D517" s="4" t="s">
        <v>7472</v>
      </c>
      <c r="E517" s="4" t="str">
        <f aca="false">IF(B517="","",LOWER(B517)&amp;"|"&amp;C517)</f>
        <v>lightyear|2022</v>
      </c>
    </row>
    <row r="518" customFormat="false" ht="15" hidden="false" customHeight="false" outlineLevel="0" collapsed="false">
      <c r="A518" s="4" t="s">
        <v>7473</v>
      </c>
      <c r="B518" s="4" t="s">
        <v>7474</v>
      </c>
      <c r="C518" s="4" t="n">
        <v>1997</v>
      </c>
      <c r="D518" s="4" t="s">
        <v>7475</v>
      </c>
      <c r="E518" s="4" t="str">
        <f aca="false">IF(B518="","",LOWER(B518)&amp;"|"&amp;C518)</f>
        <v>as good as it gets|1997</v>
      </c>
    </row>
    <row r="519" customFormat="false" ht="15" hidden="false" customHeight="false" outlineLevel="0" collapsed="false">
      <c r="A519" s="4" t="s">
        <v>7476</v>
      </c>
      <c r="B519" s="4" t="s">
        <v>7477</v>
      </c>
      <c r="C519" s="4" t="n">
        <v>2022</v>
      </c>
      <c r="D519" s="4" t="s">
        <v>7478</v>
      </c>
      <c r="E519" s="4" t="str">
        <f aca="false">IF(B519="","",LOWER(B519)&amp;"|"&amp;C519)</f>
        <v>cha cha real smooth|2022</v>
      </c>
    </row>
    <row r="520" customFormat="false" ht="15" hidden="false" customHeight="false" outlineLevel="0" collapsed="false">
      <c r="A520" s="4" t="s">
        <v>7476</v>
      </c>
      <c r="B520" s="4" t="s">
        <v>632</v>
      </c>
      <c r="C520" s="4" t="n">
        <v>2001</v>
      </c>
      <c r="D520" s="4" t="s">
        <v>7479</v>
      </c>
      <c r="E520" s="4" t="str">
        <f aca="false">IF(B520="","",LOWER(B520)&amp;"|"&amp;C520)</f>
        <v>ocean's eleven|2001</v>
      </c>
    </row>
    <row r="521" customFormat="false" ht="15" hidden="false" customHeight="false" outlineLevel="0" collapsed="false">
      <c r="A521" s="4" t="s">
        <v>7480</v>
      </c>
      <c r="B521" s="4" t="s">
        <v>7481</v>
      </c>
      <c r="C521" s="4" t="n">
        <v>2022</v>
      </c>
      <c r="D521" s="4" t="s">
        <v>7482</v>
      </c>
      <c r="E521" s="4" t="str">
        <f aca="false">IF(B521="","",LOWER(B521)&amp;"|"&amp;C521)</f>
        <v>calendar girls|2022</v>
      </c>
    </row>
    <row r="522" customFormat="false" ht="15" hidden="false" customHeight="false" outlineLevel="0" collapsed="false">
      <c r="A522" s="4" t="s">
        <v>7480</v>
      </c>
      <c r="B522" s="4" t="s">
        <v>7483</v>
      </c>
      <c r="C522" s="4" t="n">
        <v>2004</v>
      </c>
      <c r="D522" s="4" t="s">
        <v>7484</v>
      </c>
      <c r="E522" s="4" t="str">
        <f aca="false">IF(B522="","",LOWER(B522)&amp;"|"&amp;C522)</f>
        <v>ocean's twelve|2004</v>
      </c>
    </row>
    <row r="523" customFormat="false" ht="15" hidden="false" customHeight="false" outlineLevel="0" collapsed="false">
      <c r="A523" s="4" t="s">
        <v>7480</v>
      </c>
      <c r="B523" s="4" t="s">
        <v>3209</v>
      </c>
      <c r="C523" s="4" t="n">
        <v>2021</v>
      </c>
      <c r="D523" s="4" t="s">
        <v>7485</v>
      </c>
      <c r="E523" s="4" t="str">
        <f aca="false">IF(B523="","",LOWER(B523)&amp;"|"&amp;C523)</f>
        <v>marcel the shell with shoes on|2021</v>
      </c>
    </row>
    <row r="524" customFormat="false" ht="15" hidden="false" customHeight="false" outlineLevel="0" collapsed="false">
      <c r="A524" s="4" t="s">
        <v>7486</v>
      </c>
      <c r="B524" s="4" t="s">
        <v>7487</v>
      </c>
      <c r="C524" s="4" t="n">
        <v>2007</v>
      </c>
      <c r="D524" s="4" t="s">
        <v>7488</v>
      </c>
      <c r="E524" s="4" t="str">
        <f aca="false">IF(B524="","",LOWER(B524)&amp;"|"&amp;C524)</f>
        <v>ocean's thirteen|2007</v>
      </c>
    </row>
    <row r="525" customFormat="false" ht="15" hidden="false" customHeight="false" outlineLevel="0" collapsed="false">
      <c r="A525" s="4" t="s">
        <v>7486</v>
      </c>
      <c r="B525" s="4" t="s">
        <v>1200</v>
      </c>
      <c r="C525" s="4" t="n">
        <v>2011</v>
      </c>
      <c r="D525" s="4" t="s">
        <v>7489</v>
      </c>
      <c r="E525" s="4" t="str">
        <f aca="false">IF(B525="","",LOWER(B525)&amp;"|"&amp;C525)</f>
        <v>contagion|2011</v>
      </c>
    </row>
    <row r="526" customFormat="false" ht="15" hidden="false" customHeight="false" outlineLevel="0" collapsed="false">
      <c r="A526" s="4" t="s">
        <v>7486</v>
      </c>
      <c r="B526" s="4" t="s">
        <v>3694</v>
      </c>
      <c r="C526" s="4" t="n">
        <v>1996</v>
      </c>
      <c r="D526" s="4" t="s">
        <v>7490</v>
      </c>
      <c r="E526" s="4" t="str">
        <f aca="false">IF(B526="","",LOWER(B526)&amp;"|"&amp;C526)</f>
        <v>schizopolis|1996</v>
      </c>
    </row>
    <row r="527" customFormat="false" ht="15" hidden="false" customHeight="false" outlineLevel="0" collapsed="false">
      <c r="A527" s="4" t="s">
        <v>7491</v>
      </c>
      <c r="B527" s="4" t="s">
        <v>2723</v>
      </c>
      <c r="C527" s="4" t="n">
        <v>2000</v>
      </c>
      <c r="D527" s="4" t="s">
        <v>7492</v>
      </c>
      <c r="E527" s="4" t="str">
        <f aca="false">IF(B527="","",LOWER(B527)&amp;"|"&amp;C527)</f>
        <v>erin brockovich|2000</v>
      </c>
    </row>
    <row r="528" customFormat="false" ht="15" hidden="false" customHeight="false" outlineLevel="0" collapsed="false">
      <c r="A528" s="4" t="s">
        <v>7491</v>
      </c>
      <c r="B528" s="4" t="s">
        <v>7493</v>
      </c>
      <c r="C528" s="4" t="n">
        <v>2022</v>
      </c>
      <c r="D528" s="4" t="s">
        <v>7494</v>
      </c>
      <c r="E528" s="4" t="str">
        <f aca="false">IF(B528="","",LOWER(B528)&amp;"|"&amp;C528)</f>
        <v>kimi|2022</v>
      </c>
    </row>
    <row r="529" customFormat="false" ht="15" hidden="false" customHeight="false" outlineLevel="0" collapsed="false">
      <c r="A529" s="4" t="s">
        <v>7491</v>
      </c>
      <c r="B529" s="4" t="s">
        <v>7495</v>
      </c>
      <c r="C529" s="4" t="n">
        <v>2019</v>
      </c>
      <c r="D529" s="4" t="s">
        <v>7496</v>
      </c>
      <c r="E529" s="4" t="str">
        <f aca="false">IF(B529="","",LOWER(B529)&amp;"|"&amp;C529)</f>
        <v>high flying bird|2019</v>
      </c>
    </row>
    <row r="530" customFormat="false" ht="15" hidden="false" customHeight="false" outlineLevel="0" collapsed="false">
      <c r="A530" s="4" t="s">
        <v>7497</v>
      </c>
      <c r="B530" s="4" t="s">
        <v>7498</v>
      </c>
      <c r="C530" s="4" t="n">
        <v>2019</v>
      </c>
      <c r="D530" s="4" t="s">
        <v>7499</v>
      </c>
      <c r="E530" s="4" t="str">
        <f aca="false">IF(B530="","",LOWER(B530)&amp;"|"&amp;C530)</f>
        <v>the laundromat|2019</v>
      </c>
    </row>
    <row r="531" customFormat="false" ht="15" hidden="false" customHeight="false" outlineLevel="0" collapsed="false">
      <c r="A531" s="4" t="s">
        <v>7497</v>
      </c>
      <c r="B531" s="4" t="s">
        <v>7500</v>
      </c>
      <c r="C531" s="4" t="n">
        <v>1996</v>
      </c>
      <c r="D531" s="4" t="s">
        <v>7501</v>
      </c>
      <c r="E531" s="4" t="str">
        <f aca="false">IF(B531="","",LOWER(B531)&amp;"|"&amp;C531)</f>
        <v>gray's anatomy|1996</v>
      </c>
    </row>
    <row r="532" customFormat="false" ht="15" hidden="false" customHeight="false" outlineLevel="0" collapsed="false">
      <c r="A532" s="4" t="s">
        <v>7502</v>
      </c>
      <c r="B532" s="4" t="s">
        <v>674</v>
      </c>
      <c r="C532" s="4" t="n">
        <v>1973</v>
      </c>
      <c r="D532" s="4" t="s">
        <v>7503</v>
      </c>
      <c r="E532" s="4" t="str">
        <f aca="false">IF(B532="","",LOWER(B532)&amp;"|"&amp;C532)</f>
        <v>f for fake|1973</v>
      </c>
    </row>
    <row r="533" customFormat="false" ht="15" hidden="false" customHeight="false" outlineLevel="0" collapsed="false">
      <c r="A533" s="4" t="s">
        <v>7504</v>
      </c>
      <c r="B533" s="4" t="s">
        <v>1234</v>
      </c>
      <c r="C533" s="4" t="n">
        <v>2017</v>
      </c>
      <c r="D533" s="4" t="s">
        <v>7505</v>
      </c>
      <c r="E533" s="4" t="str">
        <f aca="false">IF(B533="","",LOWER(B533)&amp;"|"&amp;C533)</f>
        <v>logan lucky|2017</v>
      </c>
    </row>
    <row r="534" customFormat="false" ht="15" hidden="false" customHeight="false" outlineLevel="0" collapsed="false">
      <c r="A534" s="4" t="s">
        <v>7504</v>
      </c>
      <c r="B534" s="4" t="s">
        <v>7506</v>
      </c>
      <c r="C534" s="4" t="n">
        <v>2005</v>
      </c>
      <c r="D534" s="4" t="s">
        <v>7507</v>
      </c>
      <c r="E534" s="4" t="str">
        <f aca="false">IF(B534="","",LOWER(B534)&amp;"|"&amp;C534)</f>
        <v>war of the worlds|2005</v>
      </c>
    </row>
    <row r="535" customFormat="false" ht="15" hidden="false" customHeight="false" outlineLevel="0" collapsed="false">
      <c r="A535" s="4" t="s">
        <v>7504</v>
      </c>
      <c r="B535" s="4" t="s">
        <v>2455</v>
      </c>
      <c r="C535" s="4" t="n">
        <v>1987</v>
      </c>
      <c r="D535" s="4" t="s">
        <v>7508</v>
      </c>
      <c r="E535" s="4" t="str">
        <f aca="false">IF(B535="","",LOWER(B535)&amp;"|"&amp;C535)</f>
        <v>lethal weapon|1987</v>
      </c>
    </row>
    <row r="536" customFormat="false" ht="15" hidden="false" customHeight="false" outlineLevel="0" collapsed="false">
      <c r="A536" s="4" t="s">
        <v>7509</v>
      </c>
      <c r="B536" s="4" t="s">
        <v>603</v>
      </c>
      <c r="C536" s="4" t="n">
        <v>1977</v>
      </c>
      <c r="D536" s="4" t="s">
        <v>7510</v>
      </c>
      <c r="E536" s="4" t="str">
        <f aca="false">IF(B536="","",LOWER(B536)&amp;"|"&amp;C536)</f>
        <v>annie hall|1977</v>
      </c>
    </row>
    <row r="537" customFormat="false" ht="15" hidden="false" customHeight="false" outlineLevel="0" collapsed="false">
      <c r="A537" s="4" t="s">
        <v>7511</v>
      </c>
      <c r="B537" s="4" t="s">
        <v>196</v>
      </c>
      <c r="C537" s="4" t="n">
        <v>1975</v>
      </c>
      <c r="D537" s="4" t="s">
        <v>7512</v>
      </c>
      <c r="E537" s="4" t="str">
        <f aca="false">IF(B537="","",LOWER(B537)&amp;"|"&amp;C537)</f>
        <v>nashville|1975</v>
      </c>
    </row>
    <row r="538" customFormat="false" ht="15" hidden="false" customHeight="false" outlineLevel="0" collapsed="false">
      <c r="A538" s="4" t="s">
        <v>7513</v>
      </c>
      <c r="B538" s="4" t="s">
        <v>7514</v>
      </c>
      <c r="C538" s="4" t="n">
        <v>1993</v>
      </c>
      <c r="D538" s="4" t="s">
        <v>7515</v>
      </c>
      <c r="E538" s="4" t="str">
        <f aca="false">IF(B538="","",LOWER(B538)&amp;"|"&amp;C538)</f>
        <v>the sandlot|1993</v>
      </c>
    </row>
    <row r="539" customFormat="false" ht="15" hidden="false" customHeight="false" outlineLevel="0" collapsed="false">
      <c r="A539" s="4" t="s">
        <v>7516</v>
      </c>
      <c r="B539" s="4" t="s">
        <v>2433</v>
      </c>
      <c r="C539" s="4" t="n">
        <v>1986</v>
      </c>
      <c r="D539" s="4" t="s">
        <v>7517</v>
      </c>
      <c r="E539" s="4" t="str">
        <f aca="false">IF(B539="","",LOWER(B539)&amp;"|"&amp;C539)</f>
        <v>little shop of horrors|1986</v>
      </c>
    </row>
    <row r="540" customFormat="false" ht="15" hidden="false" customHeight="false" outlineLevel="0" collapsed="false">
      <c r="A540" s="4" t="s">
        <v>7518</v>
      </c>
      <c r="B540" s="4" t="s">
        <v>1633</v>
      </c>
      <c r="C540" s="4" t="n">
        <v>2016</v>
      </c>
      <c r="D540" s="4" t="s">
        <v>7519</v>
      </c>
      <c r="E540" s="4" t="str">
        <f aca="false">IF(B540="","",LOWER(B540)&amp;"|"&amp;C540)</f>
        <v>paterson|2016</v>
      </c>
    </row>
    <row r="541" customFormat="false" ht="15" hidden="false" customHeight="false" outlineLevel="0" collapsed="false">
      <c r="A541" s="4" t="s">
        <v>7518</v>
      </c>
      <c r="B541" s="4" t="s">
        <v>7520</v>
      </c>
      <c r="C541" s="4" t="n">
        <v>2022</v>
      </c>
      <c r="D541" s="4" t="s">
        <v>7521</v>
      </c>
      <c r="E541" s="4" t="str">
        <f aca="false">IF(B541="","",LOWER(B541)&amp;"|"&amp;C541)</f>
        <v>chip 'n dale: rescue rangers|2022</v>
      </c>
    </row>
    <row r="542" customFormat="false" ht="15" hidden="false" customHeight="false" outlineLevel="0" collapsed="false">
      <c r="A542" s="4" t="s">
        <v>7518</v>
      </c>
      <c r="B542" s="4" t="s">
        <v>7522</v>
      </c>
      <c r="C542" s="4" t="n">
        <v>2023</v>
      </c>
      <c r="D542" s="4" t="s">
        <v>7523</v>
      </c>
      <c r="E542" s="4" t="str">
        <f aca="false">IF(B542="","",LOWER(B542)&amp;"|"&amp;C542)</f>
        <v>it ain't over|2023</v>
      </c>
    </row>
    <row r="543" customFormat="false" ht="15" hidden="false" customHeight="false" outlineLevel="0" collapsed="false">
      <c r="A543" s="4" t="s">
        <v>7518</v>
      </c>
      <c r="B543" s="4" t="s">
        <v>7524</v>
      </c>
      <c r="C543" s="4" t="n">
        <v>2019</v>
      </c>
      <c r="D543" s="4" t="s">
        <v>7525</v>
      </c>
      <c r="E543" s="4" t="str">
        <f aca="false">IF(B543="","",LOWER(B543)&amp;"|"&amp;C543)</f>
        <v>the farewell|2019</v>
      </c>
    </row>
    <row r="544" customFormat="false" ht="15" hidden="false" customHeight="false" outlineLevel="0" collapsed="false">
      <c r="A544" s="4" t="s">
        <v>7526</v>
      </c>
      <c r="B544" s="4" t="s">
        <v>2745</v>
      </c>
      <c r="C544" s="4" t="n">
        <v>2001</v>
      </c>
      <c r="D544" s="4" t="s">
        <v>7527</v>
      </c>
      <c r="E544" s="4" t="str">
        <f aca="false">IF(B544="","",LOWER(B544)&amp;"|"&amp;C544)</f>
        <v>moulin rouge!|2001</v>
      </c>
    </row>
    <row r="545" customFormat="false" ht="15" hidden="false" customHeight="false" outlineLevel="0" collapsed="false">
      <c r="A545" s="4" t="s">
        <v>7526</v>
      </c>
      <c r="B545" s="4" t="s">
        <v>326</v>
      </c>
      <c r="C545" s="4" t="n">
        <v>2016</v>
      </c>
      <c r="D545" s="4" t="s">
        <v>7528</v>
      </c>
      <c r="E545" s="4" t="str">
        <f aca="false">IF(B545="","",LOWER(B545)&amp;"|"&amp;C545)</f>
        <v>arrival|2016</v>
      </c>
    </row>
    <row r="546" customFormat="false" ht="15" hidden="false" customHeight="false" outlineLevel="0" collapsed="false">
      <c r="A546" s="4" t="s">
        <v>7526</v>
      </c>
      <c r="B546" s="4" t="s">
        <v>7529</v>
      </c>
      <c r="C546" s="4" t="n">
        <v>1937</v>
      </c>
      <c r="D546" s="4" t="s">
        <v>7530</v>
      </c>
      <c r="E546" s="4" t="str">
        <f aca="false">IF(B546="","",LOWER(B546)&amp;"|"&amp;C546)</f>
        <v>captains courageous|1937</v>
      </c>
    </row>
    <row r="547" customFormat="false" ht="15" hidden="false" customHeight="false" outlineLevel="0" collapsed="false">
      <c r="A547" s="4" t="s">
        <v>7531</v>
      </c>
      <c r="B547" s="4" t="s">
        <v>7532</v>
      </c>
      <c r="C547" s="4" t="n">
        <v>2013</v>
      </c>
      <c r="D547" s="4" t="s">
        <v>7533</v>
      </c>
      <c r="E547" s="4" t="str">
        <f aca="false">IF(B547="","",LOWER(B547)&amp;"|"&amp;C547)</f>
        <v>behind the candelabra|2013</v>
      </c>
    </row>
    <row r="548" customFormat="false" ht="15" hidden="false" customHeight="false" outlineLevel="0" collapsed="false">
      <c r="A548" s="4" t="s">
        <v>7531</v>
      </c>
      <c r="B548" s="4" t="s">
        <v>7534</v>
      </c>
      <c r="C548" s="4" t="n">
        <v>1998</v>
      </c>
      <c r="D548" s="4" t="s">
        <v>7535</v>
      </c>
      <c r="E548" s="4" t="str">
        <f aca="false">IF(B548="","",LOWER(B548)&amp;"|"&amp;C548)</f>
        <v>vampires|1998</v>
      </c>
    </row>
    <row r="549" customFormat="false" ht="15" hidden="false" customHeight="false" outlineLevel="0" collapsed="false">
      <c r="A549" s="4" t="s">
        <v>7536</v>
      </c>
      <c r="B549" s="4" t="s">
        <v>7537</v>
      </c>
      <c r="C549" s="4" t="n">
        <v>2002</v>
      </c>
      <c r="D549" s="4" t="s">
        <v>7538</v>
      </c>
      <c r="E549" s="4" t="str">
        <f aca="false">IF(B549="","",LOWER(B549)&amp;"|"&amp;C549)</f>
        <v>friday after next|2002</v>
      </c>
    </row>
    <row r="550" customFormat="false" ht="15" hidden="false" customHeight="false" outlineLevel="0" collapsed="false">
      <c r="A550" s="4" t="s">
        <v>7539</v>
      </c>
      <c r="B550" s="4" t="s">
        <v>7540</v>
      </c>
      <c r="C550" s="4" t="n">
        <v>2011</v>
      </c>
      <c r="D550" s="4" t="s">
        <v>7541</v>
      </c>
      <c r="E550" s="4" t="str">
        <f aca="false">IF(B550="","",LOWER(B550)&amp;"|"&amp;C550)</f>
        <v>rango|2011</v>
      </c>
    </row>
    <row r="551" customFormat="false" ht="15" hidden="false" customHeight="false" outlineLevel="0" collapsed="false">
      <c r="A551" s="4" t="s">
        <v>7542</v>
      </c>
      <c r="B551" s="4" t="s">
        <v>7543</v>
      </c>
      <c r="C551" s="4" t="n">
        <v>2009</v>
      </c>
      <c r="D551" s="4" t="s">
        <v>7544</v>
      </c>
      <c r="E551" s="4" t="str">
        <f aca="false">IF(B551="","",LOWER(B551)&amp;"|"&amp;C551)</f>
        <v>black dynamite|2009</v>
      </c>
    </row>
    <row r="552" customFormat="false" ht="15" hidden="false" customHeight="false" outlineLevel="0" collapsed="false">
      <c r="A552" s="4" t="s">
        <v>7542</v>
      </c>
      <c r="B552" s="4" t="s">
        <v>7545</v>
      </c>
      <c r="C552" s="4" t="n">
        <v>2007</v>
      </c>
      <c r="D552" s="4" t="s">
        <v>7546</v>
      </c>
      <c r="E552" s="4" t="str">
        <f aca="false">IF(B552="","",LOWER(B552)&amp;"|"&amp;C552)</f>
        <v>the bucket list|2007</v>
      </c>
    </row>
    <row r="553" customFormat="false" ht="15" hidden="false" customHeight="false" outlineLevel="0" collapsed="false">
      <c r="A553" s="4" t="s">
        <v>7547</v>
      </c>
      <c r="B553" s="4" t="s">
        <v>2684</v>
      </c>
      <c r="C553" s="4" t="n">
        <v>1998</v>
      </c>
      <c r="D553" s="4" t="s">
        <v>7548</v>
      </c>
      <c r="E553" s="4" t="str">
        <f aca="false">IF(B553="","",LOWER(B553)&amp;"|"&amp;C553)</f>
        <v>you've got mail|1998</v>
      </c>
    </row>
    <row r="554" customFormat="false" ht="15" hidden="false" customHeight="false" outlineLevel="0" collapsed="false">
      <c r="A554" s="4" t="s">
        <v>7549</v>
      </c>
      <c r="B554" s="4" t="s">
        <v>7550</v>
      </c>
      <c r="C554" s="4" t="n">
        <v>2003</v>
      </c>
      <c r="D554" s="4" t="s">
        <v>7551</v>
      </c>
      <c r="E554" s="4" t="str">
        <f aca="false">IF(B554="","",LOWER(B554)&amp;"|"&amp;C554)</f>
        <v>something's gotta give|2003</v>
      </c>
    </row>
    <row r="555" customFormat="false" ht="15" hidden="false" customHeight="false" outlineLevel="0" collapsed="false">
      <c r="A555" s="4" t="s">
        <v>7552</v>
      </c>
      <c r="B555" s="4" t="s">
        <v>7553</v>
      </c>
      <c r="C555" s="4" t="n">
        <v>1992</v>
      </c>
      <c r="D555" s="4" t="s">
        <v>7554</v>
      </c>
      <c r="E555" s="4" t="str">
        <f aca="false">IF(B555="","",LOWER(B555)&amp;"|"&amp;C555)</f>
        <v>a league of their own|1992</v>
      </c>
    </row>
    <row r="556" customFormat="false" ht="15" hidden="false" customHeight="false" outlineLevel="0" collapsed="false">
      <c r="A556" s="4" t="s">
        <v>7552</v>
      </c>
      <c r="B556" s="4" t="s">
        <v>7555</v>
      </c>
      <c r="C556" s="4" t="n">
        <v>2022</v>
      </c>
      <c r="D556" s="4" t="s">
        <v>7556</v>
      </c>
      <c r="E556" s="4" t="str">
        <f aca="false">IF(B556="","",LOWER(B556)&amp;"|"&amp;C556)</f>
        <v>the bob's burgers movie|2022</v>
      </c>
    </row>
    <row r="557" customFormat="false" ht="15" hidden="false" customHeight="false" outlineLevel="0" collapsed="false">
      <c r="A557" s="4" t="s">
        <v>7557</v>
      </c>
      <c r="B557" s="4" t="s">
        <v>7558</v>
      </c>
      <c r="C557" s="4" t="n">
        <v>1996</v>
      </c>
      <c r="D557" s="4" t="s">
        <v>7559</v>
      </c>
      <c r="E557" s="4" t="str">
        <f aca="false">IF(B557="","",LOWER(B557)&amp;"|"&amp;C557)</f>
        <v>kingpin|1996</v>
      </c>
    </row>
    <row r="558" customFormat="false" ht="15" hidden="false" customHeight="false" outlineLevel="0" collapsed="false">
      <c r="A558" s="4" t="s">
        <v>7557</v>
      </c>
      <c r="B558" s="4" t="s">
        <v>7560</v>
      </c>
      <c r="C558" s="4" t="n">
        <v>2022</v>
      </c>
      <c r="D558" s="4" t="s">
        <v>7561</v>
      </c>
      <c r="E558" s="4" t="str">
        <f aca="false">IF(B558="","",LOWER(B558)&amp;"|"&amp;C558)</f>
        <v>minions: the rise of gru|2022</v>
      </c>
    </row>
    <row r="559" customFormat="false" ht="15" hidden="false" customHeight="false" outlineLevel="0" collapsed="false">
      <c r="A559" s="4" t="s">
        <v>7562</v>
      </c>
      <c r="B559" s="4" t="s">
        <v>7563</v>
      </c>
      <c r="C559" s="4" t="n">
        <v>1986</v>
      </c>
      <c r="D559" s="4" t="s">
        <v>7564</v>
      </c>
      <c r="E559" s="4" t="str">
        <f aca="false">IF(B559="","",LOWER(B559)&amp;"|"&amp;C559)</f>
        <v>down and out in beverly hills|1986</v>
      </c>
    </row>
    <row r="560" customFormat="false" ht="15" hidden="false" customHeight="false" outlineLevel="0" collapsed="false">
      <c r="A560" s="4" t="s">
        <v>7565</v>
      </c>
      <c r="B560" s="4" t="s">
        <v>7566</v>
      </c>
      <c r="C560" s="4" t="n">
        <v>1928</v>
      </c>
      <c r="D560" s="4" t="s">
        <v>7567</v>
      </c>
      <c r="E560" s="4" t="str">
        <f aca="false">IF(B560="","",LOWER(B560)&amp;"|"&amp;C560)</f>
        <v>the circus|1928</v>
      </c>
    </row>
    <row r="561" customFormat="false" ht="15" hidden="false" customHeight="false" outlineLevel="0" collapsed="false">
      <c r="A561" s="4" t="s">
        <v>7568</v>
      </c>
      <c r="B561" s="4" t="s">
        <v>2584</v>
      </c>
      <c r="C561" s="4" t="n">
        <v>1994</v>
      </c>
      <c r="D561" s="4" t="s">
        <v>7569</v>
      </c>
      <c r="E561" s="4" t="str">
        <f aca="false">IF(B561="","",LOWER(B561)&amp;"|"&amp;C561)</f>
        <v>speed|1994</v>
      </c>
    </row>
    <row r="562" customFormat="false" ht="15" hidden="false" customHeight="false" outlineLevel="0" collapsed="false">
      <c r="A562" s="4" t="s">
        <v>7568</v>
      </c>
      <c r="B562" s="4" t="s">
        <v>7570</v>
      </c>
      <c r="C562" s="4" t="n">
        <v>2022</v>
      </c>
      <c r="D562" s="4" t="s">
        <v>7571</v>
      </c>
      <c r="E562" s="4" t="str">
        <f aca="false">IF(B562="","",LOWER(B562)&amp;"|"&amp;C562)</f>
        <v>d.b. cooper: where are you?!|2022</v>
      </c>
    </row>
    <row r="563" customFormat="false" ht="15" hidden="false" customHeight="false" outlineLevel="0" collapsed="false">
      <c r="A563" s="4" t="s">
        <v>7568</v>
      </c>
      <c r="B563" s="4" t="s">
        <v>7572</v>
      </c>
      <c r="C563" s="4" t="n">
        <v>2011</v>
      </c>
      <c r="D563" s="4" t="s">
        <v>7573</v>
      </c>
      <c r="E563" s="4" t="str">
        <f aca="false">IF(B563="","",LOWER(B563)&amp;"|"&amp;C563)</f>
        <v>midnight in paris|2011</v>
      </c>
    </row>
    <row r="564" customFormat="false" ht="15" hidden="false" customHeight="false" outlineLevel="0" collapsed="false">
      <c r="A564" s="4" t="s">
        <v>7574</v>
      </c>
      <c r="B564" s="4" t="s">
        <v>7575</v>
      </c>
      <c r="C564" s="4" t="n">
        <v>1989</v>
      </c>
      <c r="D564" s="4" t="s">
        <v>7576</v>
      </c>
      <c r="E564" s="4" t="str">
        <f aca="false">IF(B564="","",LOWER(B564)&amp;"|"&amp;C564)</f>
        <v>lethal weapon 2|1989</v>
      </c>
    </row>
    <row r="565" customFormat="false" ht="15" hidden="false" customHeight="false" outlineLevel="0" collapsed="false">
      <c r="A565" s="4" t="s">
        <v>7574</v>
      </c>
      <c r="B565" s="4" t="s">
        <v>7577</v>
      </c>
      <c r="C565" s="4" t="n">
        <v>1992</v>
      </c>
      <c r="D565" s="4" t="s">
        <v>7578</v>
      </c>
      <c r="E565" s="4" t="str">
        <f aca="false">IF(B565="","",LOWER(B565)&amp;"|"&amp;C565)</f>
        <v>lethal weapon 3|1992</v>
      </c>
    </row>
    <row r="566" customFormat="false" ht="15" hidden="false" customHeight="false" outlineLevel="0" collapsed="false">
      <c r="A566" s="4" t="s">
        <v>7574</v>
      </c>
      <c r="B566" s="4" t="s">
        <v>7579</v>
      </c>
      <c r="C566" s="4" t="n">
        <v>2000</v>
      </c>
      <c r="D566" s="4" t="s">
        <v>7580</v>
      </c>
      <c r="E566" s="4" t="str">
        <f aca="false">IF(B566="","",LOWER(B566)&amp;"|"&amp;C566)</f>
        <v>next friday|2000</v>
      </c>
    </row>
    <row r="567" customFormat="false" ht="15" hidden="false" customHeight="false" outlineLevel="0" collapsed="false">
      <c r="A567" s="4" t="s">
        <v>7581</v>
      </c>
      <c r="B567" s="4" t="s">
        <v>7582</v>
      </c>
      <c r="C567" s="4" t="n">
        <v>1998</v>
      </c>
      <c r="D567" s="4" t="s">
        <v>7583</v>
      </c>
      <c r="E567" s="4" t="str">
        <f aca="false">IF(B567="","",LOWER(B567)&amp;"|"&amp;C567)</f>
        <v>lethal weapon 4|1998</v>
      </c>
    </row>
    <row r="568" customFormat="false" ht="15" hidden="false" customHeight="false" outlineLevel="0" collapsed="false">
      <c r="A568" s="4" t="s">
        <v>7584</v>
      </c>
      <c r="B568" s="4" t="s">
        <v>1517</v>
      </c>
      <c r="C568" s="4" t="n">
        <v>1979</v>
      </c>
      <c r="D568" s="4" t="s">
        <v>7585</v>
      </c>
      <c r="E568" s="4" t="str">
        <f aca="false">IF(B568="","",LOWER(B568)&amp;"|"&amp;C568)</f>
        <v>manhattan|1979</v>
      </c>
    </row>
    <row r="569" customFormat="false" ht="15" hidden="false" customHeight="false" outlineLevel="0" collapsed="false">
      <c r="A569" s="4" t="s">
        <v>7584</v>
      </c>
      <c r="B569" s="4" t="s">
        <v>7586</v>
      </c>
      <c r="C569" s="4" t="n">
        <v>1986</v>
      </c>
      <c r="D569" s="4" t="s">
        <v>7587</v>
      </c>
      <c r="E569" s="4" t="str">
        <f aca="false">IF(B569="","",LOWER(B569)&amp;"|"&amp;C569)</f>
        <v>an american tail|1986</v>
      </c>
    </row>
    <row r="570" customFormat="false" ht="15" hidden="false" customHeight="false" outlineLevel="0" collapsed="false">
      <c r="A570" s="4" t="s">
        <v>7588</v>
      </c>
      <c r="B570" s="4" t="s">
        <v>7589</v>
      </c>
      <c r="C570" s="4" t="n">
        <v>1999</v>
      </c>
      <c r="D570" s="4" t="s">
        <v>7590</v>
      </c>
      <c r="E570" s="4" t="str">
        <f aca="false">IF(B570="","",LOWER(B570)&amp;"|"&amp;C570)</f>
        <v>the talented mr. ripley|1999</v>
      </c>
    </row>
    <row r="571" customFormat="false" ht="15" hidden="false" customHeight="false" outlineLevel="0" collapsed="false">
      <c r="A571" s="4" t="s">
        <v>7588</v>
      </c>
      <c r="B571" s="4" t="s">
        <v>7591</v>
      </c>
      <c r="C571" s="4" t="n">
        <v>2012</v>
      </c>
      <c r="D571" s="4" t="s">
        <v>7592</v>
      </c>
      <c r="E571" s="4" t="str">
        <f aca="false">IF(B571="","",LOWER(B571)&amp;"|"&amp;C571)</f>
        <v>the perks of being a wallflower|2012</v>
      </c>
    </row>
    <row r="572" customFormat="false" ht="15" hidden="false" customHeight="false" outlineLevel="0" collapsed="false">
      <c r="A572" s="4" t="s">
        <v>7593</v>
      </c>
      <c r="B572" s="4" t="s">
        <v>3223</v>
      </c>
      <c r="C572" s="4" t="n">
        <v>2022</v>
      </c>
      <c r="D572" s="4" t="s">
        <v>7594</v>
      </c>
      <c r="E572" s="4" t="str">
        <f aca="false">IF(B572="","",LOWER(B572)&amp;"|"&amp;C572)</f>
        <v>nope|2022</v>
      </c>
    </row>
    <row r="573" customFormat="false" ht="15" hidden="false" customHeight="false" outlineLevel="0" collapsed="false">
      <c r="A573" s="4" t="s">
        <v>7595</v>
      </c>
      <c r="B573" s="4" t="s">
        <v>422</v>
      </c>
      <c r="C573" s="4" t="n">
        <v>1970</v>
      </c>
      <c r="D573" s="4" t="s">
        <v>7596</v>
      </c>
      <c r="E573" s="4" t="str">
        <f aca="false">IF(B573="","",LOWER(B573)&amp;"|"&amp;C573)</f>
        <v>m*a*s*h|1970</v>
      </c>
    </row>
    <row r="574" customFormat="false" ht="15" hidden="false" customHeight="false" outlineLevel="0" collapsed="false">
      <c r="A574" s="4" t="s">
        <v>7595</v>
      </c>
      <c r="B574" s="4" t="s">
        <v>7597</v>
      </c>
      <c r="C574" s="4" t="n">
        <v>2022</v>
      </c>
      <c r="D574" s="4" t="s">
        <v>7598</v>
      </c>
      <c r="E574" s="4" t="str">
        <f aca="false">IF(B574="","",LOWER(B574)&amp;"|"&amp;C574)</f>
        <v>dc league of super-pets|2022</v>
      </c>
    </row>
    <row r="575" customFormat="false" ht="15" hidden="false" customHeight="false" outlineLevel="0" collapsed="false">
      <c r="A575" s="4" t="s">
        <v>7595</v>
      </c>
      <c r="B575" s="4" t="s">
        <v>7599</v>
      </c>
      <c r="C575" s="4" t="n">
        <v>1985</v>
      </c>
      <c r="D575" s="4" t="s">
        <v>7600</v>
      </c>
      <c r="E575" s="4" t="str">
        <f aca="false">IF(B575="","",LOWER(B575)&amp;"|"&amp;C575)</f>
        <v>the goonies|1985</v>
      </c>
    </row>
    <row r="576" customFormat="false" ht="15" hidden="false" customHeight="false" outlineLevel="0" collapsed="false">
      <c r="A576" s="4" t="s">
        <v>7601</v>
      </c>
      <c r="B576" s="4" t="s">
        <v>7602</v>
      </c>
      <c r="C576" s="4" t="n">
        <v>2004</v>
      </c>
      <c r="D576" s="4" t="s">
        <v>7603</v>
      </c>
      <c r="E576" s="4" t="str">
        <f aca="false">IF(B576="","",LOWER(B576)&amp;"|"&amp;C576)</f>
        <v>dodgeball: a true underdog story|2004</v>
      </c>
    </row>
    <row r="577" customFormat="false" ht="15" hidden="false" customHeight="false" outlineLevel="0" collapsed="false">
      <c r="A577" s="4" t="s">
        <v>7604</v>
      </c>
      <c r="B577" s="4" t="s">
        <v>7605</v>
      </c>
      <c r="C577" s="4" t="n">
        <v>2022</v>
      </c>
      <c r="D577" s="4" t="s">
        <v>7606</v>
      </c>
      <c r="E577" s="4" t="str">
        <f aca="false">IF(B577="","",LOWER(B577)&amp;"|"&amp;C577)</f>
        <v>jerry &amp; marge go large|2022</v>
      </c>
    </row>
    <row r="578" customFormat="false" ht="15" hidden="false" customHeight="false" outlineLevel="0" collapsed="false">
      <c r="A578" s="4" t="s">
        <v>7607</v>
      </c>
      <c r="B578" s="4" t="s">
        <v>3708</v>
      </c>
      <c r="C578" s="4" t="n">
        <v>1999</v>
      </c>
      <c r="D578" s="4" t="s">
        <v>7608</v>
      </c>
      <c r="E578" s="4" t="str">
        <f aca="false">IF(B578="","",LOWER(B578)&amp;"|"&amp;C578)</f>
        <v>the iron giant|1999</v>
      </c>
    </row>
    <row r="579" customFormat="false" ht="15" hidden="false" customHeight="false" outlineLevel="0" collapsed="false">
      <c r="A579" s="4" t="s">
        <v>7609</v>
      </c>
      <c r="B579" s="4" t="s">
        <v>1129</v>
      </c>
      <c r="C579" s="4" t="n">
        <v>1999</v>
      </c>
      <c r="D579" s="4" t="s">
        <v>7610</v>
      </c>
      <c r="E579" s="4" t="str">
        <f aca="false">IF(B579="","",LOWER(B579)&amp;"|"&amp;C579)</f>
        <v>ghost dog: the way of the samurai|1999</v>
      </c>
    </row>
    <row r="580" customFormat="false" ht="15" hidden="false" customHeight="false" outlineLevel="0" collapsed="false">
      <c r="A580" s="4" t="s">
        <v>7611</v>
      </c>
      <c r="B580" s="4" t="s">
        <v>7612</v>
      </c>
      <c r="C580" s="4" t="n">
        <v>2022</v>
      </c>
      <c r="D580" s="4" t="s">
        <v>7613</v>
      </c>
      <c r="E580" s="4" t="str">
        <f aca="false">IF(B580="","",LOWER(B580)&amp;"|"&amp;C580)</f>
        <v>bullet train|2022</v>
      </c>
    </row>
    <row r="581" customFormat="false" ht="15" hidden="false" customHeight="false" outlineLevel="0" collapsed="false">
      <c r="A581" s="4" t="s">
        <v>7614</v>
      </c>
      <c r="B581" s="4" t="s">
        <v>7615</v>
      </c>
      <c r="C581" s="4" t="n">
        <v>2022</v>
      </c>
      <c r="D581" s="4" t="s">
        <v>7616</v>
      </c>
      <c r="E581" s="4" t="str">
        <f aca="false">IF(B581="","",LOWER(B581)&amp;"|"&amp;C581)</f>
        <v>bodies bodies bodies|2022</v>
      </c>
    </row>
    <row r="582" customFormat="false" ht="15" hidden="false" customHeight="false" outlineLevel="0" collapsed="false">
      <c r="A582" s="4" t="s">
        <v>7617</v>
      </c>
      <c r="B582" s="4" t="s">
        <v>7618</v>
      </c>
      <c r="C582" s="4" t="n">
        <v>2016</v>
      </c>
      <c r="D582" s="4" t="s">
        <v>7619</v>
      </c>
      <c r="E582" s="4" t="str">
        <f aca="false">IF(B582="","",LOWER(B582)&amp;"|"&amp;C582)</f>
        <v>the nice guys|2016</v>
      </c>
    </row>
    <row r="583" customFormat="false" ht="15" hidden="false" customHeight="false" outlineLevel="0" collapsed="false">
      <c r="A583" s="4" t="s">
        <v>7620</v>
      </c>
      <c r="B583" s="4" t="s">
        <v>1609</v>
      </c>
      <c r="C583" s="4" t="n">
        <v>2009</v>
      </c>
      <c r="D583" s="4" t="s">
        <v>7621</v>
      </c>
      <c r="E583" s="4" t="str">
        <f aca="false">IF(B583="","",LOWER(B583)&amp;"|"&amp;C583)</f>
        <v>dogtooth|2009</v>
      </c>
    </row>
    <row r="584" customFormat="false" ht="15" hidden="false" customHeight="false" outlineLevel="0" collapsed="false">
      <c r="A584" s="4" t="s">
        <v>7622</v>
      </c>
      <c r="B584" s="4" t="s">
        <v>3073</v>
      </c>
      <c r="C584" s="4" t="n">
        <v>2015</v>
      </c>
      <c r="D584" s="4" t="s">
        <v>7623</v>
      </c>
      <c r="E584" s="4" t="str">
        <f aca="false">IF(B584="","",LOWER(B584)&amp;"|"&amp;C584)</f>
        <v>bridge of spies|2015</v>
      </c>
    </row>
    <row r="585" customFormat="false" ht="15" hidden="false" customHeight="false" outlineLevel="0" collapsed="false">
      <c r="A585" s="4" t="s">
        <v>7624</v>
      </c>
      <c r="B585" s="4" t="s">
        <v>2831</v>
      </c>
      <c r="C585" s="4" t="n">
        <v>2004</v>
      </c>
      <c r="D585" s="4" t="s">
        <v>7625</v>
      </c>
      <c r="E585" s="4" t="str">
        <f aca="false">IF(B585="","",LOWER(B585)&amp;"|"&amp;C585)</f>
        <v>sideways|2004</v>
      </c>
    </row>
    <row r="586" customFormat="false" ht="15" hidden="false" customHeight="false" outlineLevel="0" collapsed="false">
      <c r="A586" s="4" t="s">
        <v>7626</v>
      </c>
      <c r="B586" s="4" t="s">
        <v>698</v>
      </c>
      <c r="C586" s="4" t="n">
        <v>1987</v>
      </c>
      <c r="D586" s="4" t="s">
        <v>7627</v>
      </c>
      <c r="E586" s="4" t="str">
        <f aca="false">IF(B586="","",LOWER(B586)&amp;"|"&amp;C586)</f>
        <v>robocop|1987</v>
      </c>
    </row>
    <row r="587" customFormat="false" ht="15" hidden="false" customHeight="false" outlineLevel="0" collapsed="false">
      <c r="A587" s="4" t="s">
        <v>7626</v>
      </c>
      <c r="B587" s="4" t="s">
        <v>1520</v>
      </c>
      <c r="C587" s="4" t="n">
        <v>1980</v>
      </c>
      <c r="D587" s="4" t="s">
        <v>7628</v>
      </c>
      <c r="E587" s="4" t="str">
        <f aca="false">IF(B587="","",LOWER(B587)&amp;"|"&amp;C587)</f>
        <v>airplane!|1980</v>
      </c>
    </row>
    <row r="588" customFormat="false" ht="15" hidden="false" customHeight="false" outlineLevel="0" collapsed="false">
      <c r="A588" s="4" t="s">
        <v>7626</v>
      </c>
      <c r="B588" s="4" t="s">
        <v>846</v>
      </c>
      <c r="C588" s="4" t="n">
        <v>1998</v>
      </c>
      <c r="D588" s="4" t="s">
        <v>7629</v>
      </c>
      <c r="E588" s="4" t="str">
        <f aca="false">IF(B588="","",LOWER(B588)&amp;"|"&amp;C588)</f>
        <v>saving private ryan|1998</v>
      </c>
    </row>
    <row r="589" customFormat="false" ht="15" hidden="false" customHeight="false" outlineLevel="0" collapsed="false">
      <c r="A589" s="4" t="s">
        <v>7630</v>
      </c>
      <c r="B589" s="4" t="s">
        <v>675</v>
      </c>
      <c r="C589" s="4" t="n">
        <v>1973</v>
      </c>
      <c r="D589" s="4" t="s">
        <v>7631</v>
      </c>
      <c r="E589" s="4" t="str">
        <f aca="false">IF(B589="","",LOWER(B589)&amp;"|"&amp;C589)</f>
        <v>the last detail|1973</v>
      </c>
    </row>
    <row r="590" customFormat="false" ht="15" hidden="false" customHeight="false" outlineLevel="0" collapsed="false">
      <c r="A590" s="4" t="s">
        <v>7630</v>
      </c>
      <c r="B590" s="4" t="s">
        <v>7632</v>
      </c>
      <c r="C590" s="4" t="n">
        <v>1982</v>
      </c>
      <c r="D590" s="4" t="s">
        <v>7633</v>
      </c>
      <c r="E590" s="4" t="str">
        <f aca="false">IF(B590="","",LOWER(B590)&amp;"|"&amp;C590)</f>
        <v>the dark crystal|1982</v>
      </c>
    </row>
    <row r="591" customFormat="false" ht="15" hidden="false" customHeight="false" outlineLevel="0" collapsed="false">
      <c r="A591" s="4" t="s">
        <v>7634</v>
      </c>
      <c r="B591" s="4" t="s">
        <v>7635</v>
      </c>
      <c r="C591" s="4" t="n">
        <v>1989</v>
      </c>
      <c r="D591" s="4" t="s">
        <v>7636</v>
      </c>
      <c r="E591" s="4" t="str">
        <f aca="false">IF(B591="","",LOWER(B591)&amp;"|"&amp;C591)</f>
        <v>major league|1989</v>
      </c>
    </row>
    <row r="592" customFormat="false" ht="15" hidden="false" customHeight="false" outlineLevel="0" collapsed="false">
      <c r="A592" s="4" t="s">
        <v>7637</v>
      </c>
      <c r="B592" s="4" t="s">
        <v>2525</v>
      </c>
      <c r="C592" s="4" t="n">
        <v>1991</v>
      </c>
      <c r="D592" s="4" t="s">
        <v>7638</v>
      </c>
      <c r="E592" s="4" t="str">
        <f aca="false">IF(B592="","",LOWER(B592)&amp;"|"&amp;C592)</f>
        <v>hot shots!|1991</v>
      </c>
    </row>
    <row r="593" customFormat="false" ht="15" hidden="false" customHeight="false" outlineLevel="0" collapsed="false">
      <c r="A593" s="4" t="s">
        <v>7639</v>
      </c>
      <c r="B593" s="4" t="s">
        <v>3071</v>
      </c>
      <c r="C593" s="4" t="n">
        <v>2015</v>
      </c>
      <c r="D593" s="4" t="s">
        <v>7640</v>
      </c>
      <c r="E593" s="4" t="str">
        <f aca="false">IF(B593="","",LOWER(B593)&amp;"|"&amp;C593)</f>
        <v>bone tomahawk|2015</v>
      </c>
    </row>
    <row r="594" customFormat="false" ht="15" hidden="false" customHeight="false" outlineLevel="0" collapsed="false">
      <c r="A594" s="4" t="s">
        <v>7641</v>
      </c>
      <c r="B594" s="4" t="s">
        <v>7642</v>
      </c>
      <c r="C594" s="4" t="n">
        <v>2017</v>
      </c>
      <c r="D594" s="4" t="s">
        <v>7643</v>
      </c>
      <c r="E594" s="4" t="str">
        <f aca="false">IF(B594="","",LOWER(B594)&amp;"|"&amp;C594)</f>
        <v>brawl in cell block 99|2017</v>
      </c>
    </row>
    <row r="595" customFormat="false" ht="15" hidden="false" customHeight="false" outlineLevel="0" collapsed="false">
      <c r="A595" s="4" t="s">
        <v>7644</v>
      </c>
      <c r="B595" s="4" t="s">
        <v>2594</v>
      </c>
      <c r="C595" s="4" t="n">
        <v>1994</v>
      </c>
      <c r="D595" s="4" t="s">
        <v>7645</v>
      </c>
      <c r="E595" s="4" t="str">
        <f aca="false">IF(B595="","",LOWER(B595)&amp;"|"&amp;C595)</f>
        <v>quiz show|1994</v>
      </c>
    </row>
    <row r="596" customFormat="false" ht="15" hidden="false" customHeight="false" outlineLevel="0" collapsed="false">
      <c r="A596" s="4" t="s">
        <v>7646</v>
      </c>
      <c r="B596" s="4" t="s">
        <v>7647</v>
      </c>
      <c r="C596" s="4" t="n">
        <v>2022</v>
      </c>
      <c r="D596" s="4" t="s">
        <v>7648</v>
      </c>
      <c r="E596" s="4" t="str">
        <f aca="false">IF(B596="","",LOWER(B596)&amp;"|"&amp;C596)</f>
        <v>george carlin's american dream|2022</v>
      </c>
    </row>
    <row r="597" customFormat="false" ht="15" hidden="false" customHeight="false" outlineLevel="0" collapsed="false">
      <c r="A597" s="4" t="s">
        <v>7649</v>
      </c>
      <c r="B597" s="4" t="s">
        <v>7650</v>
      </c>
      <c r="C597" s="4" t="n">
        <v>1983</v>
      </c>
      <c r="D597" s="4" t="s">
        <v>7651</v>
      </c>
      <c r="E597" s="4" t="str">
        <f aca="false">IF(B597="","",LOWER(B597)&amp;"|"&amp;C597)</f>
        <v>national lampoon's vacation|1983</v>
      </c>
    </row>
    <row r="598" customFormat="false" ht="15" hidden="false" customHeight="false" outlineLevel="0" collapsed="false">
      <c r="A598" s="4" t="s">
        <v>7652</v>
      </c>
      <c r="B598" s="4" t="s">
        <v>7653</v>
      </c>
      <c r="C598" s="4" t="n">
        <v>2001</v>
      </c>
      <c r="D598" s="4" t="s">
        <v>7654</v>
      </c>
      <c r="E598" s="4" t="str">
        <f aca="false">IF(B598="","",LOWER(B598)&amp;"|"&amp;C598)</f>
        <v>rat race|2001</v>
      </c>
    </row>
    <row r="599" customFormat="false" ht="15" hidden="false" customHeight="false" outlineLevel="0" collapsed="false">
      <c r="A599" s="4" t="s">
        <v>7655</v>
      </c>
      <c r="B599" s="4" t="s">
        <v>2515</v>
      </c>
      <c r="C599" s="4" t="n">
        <v>1990</v>
      </c>
      <c r="D599" s="4" t="s">
        <v>7656</v>
      </c>
      <c r="E599" s="4" t="str">
        <f aca="false">IF(B599="","",LOWER(B599)&amp;"|"&amp;C599)</f>
        <v>jacob's ladder|1990</v>
      </c>
    </row>
    <row r="600" customFormat="false" ht="15" hidden="false" customHeight="false" outlineLevel="0" collapsed="false">
      <c r="A600" s="4" t="s">
        <v>7655</v>
      </c>
      <c r="B600" s="4" t="s">
        <v>7657</v>
      </c>
      <c r="C600" s="4" t="n">
        <v>2010</v>
      </c>
      <c r="D600" s="4" t="s">
        <v>7658</v>
      </c>
      <c r="E600" s="4" t="str">
        <f aca="false">IF(B600="","",LOWER(B600)&amp;"|"&amp;C600)</f>
        <v>the other guys|2010</v>
      </c>
    </row>
    <row r="601" customFormat="false" ht="15" hidden="false" customHeight="false" outlineLevel="0" collapsed="false">
      <c r="A601" s="4" t="s">
        <v>7659</v>
      </c>
      <c r="B601" s="4" t="s">
        <v>7660</v>
      </c>
      <c r="C601" s="4" t="n">
        <v>1985</v>
      </c>
      <c r="D601" s="4" t="s">
        <v>7661</v>
      </c>
      <c r="E601" s="4" t="str">
        <f aca="false">IF(B601="","",LOWER(B601)&amp;"|"&amp;C601)</f>
        <v>national lampoon's european vacation|1985</v>
      </c>
    </row>
    <row r="602" customFormat="false" ht="15" hidden="false" customHeight="false" outlineLevel="0" collapsed="false">
      <c r="A602" s="4" t="s">
        <v>7659</v>
      </c>
      <c r="B602" s="4" t="s">
        <v>7662</v>
      </c>
      <c r="C602" s="4" t="n">
        <v>2004</v>
      </c>
      <c r="D602" s="4" t="s">
        <v>7663</v>
      </c>
      <c r="E602" s="4" t="str">
        <f aca="false">IF(B602="","",LOWER(B602)&amp;"|"&amp;C602)</f>
        <v>fahrenheit 9/11|2004</v>
      </c>
    </row>
    <row r="603" customFormat="false" ht="15" hidden="false" customHeight="false" outlineLevel="0" collapsed="false">
      <c r="A603" s="4" t="s">
        <v>7664</v>
      </c>
      <c r="B603" s="4" t="s">
        <v>7665</v>
      </c>
      <c r="C603" s="4" t="n">
        <v>2009</v>
      </c>
      <c r="D603" s="4" t="s">
        <v>7666</v>
      </c>
      <c r="E603" s="4" t="str">
        <f aca="false">IF(B603="","",LOWER(B603)&amp;"|"&amp;C603)</f>
        <v>up in the air|2009</v>
      </c>
    </row>
    <row r="604" customFormat="false" ht="15" hidden="false" customHeight="false" outlineLevel="0" collapsed="false">
      <c r="A604" s="4" t="s">
        <v>7667</v>
      </c>
      <c r="B604" s="4" t="s">
        <v>7668</v>
      </c>
      <c r="C604" s="4" t="n">
        <v>1973</v>
      </c>
      <c r="D604" s="4" t="s">
        <v>7669</v>
      </c>
      <c r="E604" s="4" t="str">
        <f aca="false">IF(B604="","",LOWER(B604)&amp;"|"&amp;C604)</f>
        <v>a charlie brown thanksgiving|1973</v>
      </c>
    </row>
    <row r="605" customFormat="false" ht="15" hidden="false" customHeight="false" outlineLevel="0" collapsed="false">
      <c r="A605" s="4" t="s">
        <v>7670</v>
      </c>
      <c r="B605" s="4" t="s">
        <v>7671</v>
      </c>
      <c r="C605" s="4" t="n">
        <v>2006</v>
      </c>
      <c r="D605" s="4" t="s">
        <v>7672</v>
      </c>
      <c r="E605" s="4" t="str">
        <f aca="false">IF(B605="","",LOWER(B605)&amp;"|"&amp;C605)</f>
        <v>happy feet|2006</v>
      </c>
    </row>
    <row r="606" customFormat="false" ht="15" hidden="false" customHeight="false" outlineLevel="0" collapsed="false">
      <c r="A606" s="4" t="s">
        <v>7673</v>
      </c>
      <c r="B606" s="4" t="s">
        <v>7674</v>
      </c>
      <c r="C606" s="4" t="n">
        <v>2003</v>
      </c>
      <c r="D606" s="4" t="s">
        <v>7675</v>
      </c>
      <c r="E606" s="4" t="str">
        <f aca="false">IF(B606="","",LOWER(B606)&amp;"|"&amp;C606)</f>
        <v>looney tunes: back in action|2003</v>
      </c>
    </row>
    <row r="607" customFormat="false" ht="15" hidden="false" customHeight="false" outlineLevel="0" collapsed="false">
      <c r="A607" s="4" t="s">
        <v>7676</v>
      </c>
      <c r="B607" s="4" t="s">
        <v>3843</v>
      </c>
      <c r="C607" s="4" t="n">
        <v>2017</v>
      </c>
      <c r="D607" s="4" t="s">
        <v>7677</v>
      </c>
      <c r="E607" s="4" t="str">
        <f aca="false">IF(B607="","",LOWER(B607)&amp;"|"&amp;C607)</f>
        <v>lucky|2017</v>
      </c>
    </row>
    <row r="608" customFormat="false" ht="15" hidden="false" customHeight="false" outlineLevel="0" collapsed="false">
      <c r="A608" s="4" t="s">
        <v>7678</v>
      </c>
      <c r="B608" s="4" t="s">
        <v>7679</v>
      </c>
      <c r="C608" s="4" t="n">
        <v>1969</v>
      </c>
      <c r="D608" s="4" t="s">
        <v>7680</v>
      </c>
      <c r="E608" s="4" t="str">
        <f aca="false">IF(B608="","",LOWER(B608)&amp;"|"&amp;C608)</f>
        <v>frosty the snowman|1969</v>
      </c>
    </row>
    <row r="609" customFormat="false" ht="15" hidden="false" customHeight="false" outlineLevel="0" collapsed="false">
      <c r="A609" s="4" t="s">
        <v>7681</v>
      </c>
      <c r="B609" s="4" t="s">
        <v>2859</v>
      </c>
      <c r="C609" s="4" t="n">
        <v>2006</v>
      </c>
      <c r="D609" s="4" t="s">
        <v>7682</v>
      </c>
      <c r="E609" s="4" t="str">
        <f aca="false">IF(B609="","",LOWER(B609)&amp;"|"&amp;C609)</f>
        <v>old joy|2006</v>
      </c>
    </row>
    <row r="610" customFormat="false" ht="15" hidden="false" customHeight="false" outlineLevel="0" collapsed="false">
      <c r="A610" s="4" t="s">
        <v>7683</v>
      </c>
      <c r="B610" s="4" t="s">
        <v>7684</v>
      </c>
      <c r="C610" s="4" t="n">
        <v>2007</v>
      </c>
      <c r="D610" s="4" t="s">
        <v>7685</v>
      </c>
      <c r="E610" s="4" t="str">
        <f aca="false">IF(B610="","",LOWER(B610)&amp;"|"&amp;C610)</f>
        <v>fred claus|2007</v>
      </c>
    </row>
    <row r="611" customFormat="false" ht="15" hidden="false" customHeight="false" outlineLevel="0" collapsed="false">
      <c r="A611" s="4" t="s">
        <v>7683</v>
      </c>
      <c r="B611" s="4" t="s">
        <v>7686</v>
      </c>
      <c r="C611" s="4" t="n">
        <v>2021</v>
      </c>
      <c r="D611" s="4" t="s">
        <v>7687</v>
      </c>
      <c r="E611" s="4" t="str">
        <f aca="false">IF(B611="","",LOWER(B611)&amp;"|"&amp;C611)</f>
        <v>a forbidden orange|2021</v>
      </c>
    </row>
    <row r="612" customFormat="false" ht="15" hidden="false" customHeight="false" outlineLevel="0" collapsed="false">
      <c r="A612" s="4" t="s">
        <v>7688</v>
      </c>
      <c r="B612" s="4" t="s">
        <v>7689</v>
      </c>
      <c r="C612" s="4" t="n">
        <v>1994</v>
      </c>
      <c r="D612" s="4" t="s">
        <v>7690</v>
      </c>
      <c r="E612" s="4" t="str">
        <f aca="false">IF(B612="","",LOWER(B612)&amp;"|"&amp;C612)</f>
        <v>the santa clause|1994</v>
      </c>
    </row>
    <row r="613" customFormat="false" ht="15" hidden="false" customHeight="false" outlineLevel="0" collapsed="false">
      <c r="A613" s="4" t="s">
        <v>7691</v>
      </c>
      <c r="B613" s="4" t="s">
        <v>7692</v>
      </c>
      <c r="C613" s="4" t="n">
        <v>1992</v>
      </c>
      <c r="D613" s="4" t="s">
        <v>7693</v>
      </c>
      <c r="E613" s="4" t="str">
        <f aca="false">IF(B613="","",LOWER(B613)&amp;"|"&amp;C613)</f>
        <v>home alone 2: lost in new york|1992</v>
      </c>
    </row>
    <row r="614" customFormat="false" ht="15" hidden="false" customHeight="false" outlineLevel="0" collapsed="false">
      <c r="A614" s="4" t="s">
        <v>7694</v>
      </c>
      <c r="B614" s="4" t="s">
        <v>7695</v>
      </c>
      <c r="C614" s="4" t="n">
        <v>2009</v>
      </c>
      <c r="D614" s="4" t="s">
        <v>7696</v>
      </c>
      <c r="E614" s="4" t="str">
        <f aca="false">IF(B614="","",LOWER(B614)&amp;"|"&amp;C614)</f>
        <v>a christmas carol|2009</v>
      </c>
    </row>
    <row r="615" customFormat="false" ht="15" hidden="false" customHeight="false" outlineLevel="0" collapsed="false">
      <c r="A615" s="4" t="s">
        <v>7697</v>
      </c>
      <c r="B615" s="4" t="s">
        <v>7698</v>
      </c>
      <c r="C615" s="4" t="n">
        <v>2000</v>
      </c>
      <c r="D615" s="4" t="s">
        <v>7699</v>
      </c>
      <c r="E615" s="4" t="str">
        <f aca="false">IF(B615="","",LOWER(B615)&amp;"|"&amp;C615)</f>
        <v>how the grinch stole christmas|2000</v>
      </c>
    </row>
    <row r="616" customFormat="false" ht="15" hidden="false" customHeight="false" outlineLevel="0" collapsed="false">
      <c r="A616" s="4" t="s">
        <v>7700</v>
      </c>
      <c r="B616" s="4" t="s">
        <v>7701</v>
      </c>
      <c r="C616" s="4" t="n">
        <v>1988</v>
      </c>
      <c r="D616" s="4" t="s">
        <v>7702</v>
      </c>
      <c r="E616" s="4" t="str">
        <f aca="false">IF(B616="","",LOWER(B616)&amp;"|"&amp;C616)</f>
        <v>scrooged|1988</v>
      </c>
    </row>
    <row r="617" customFormat="false" ht="15" hidden="false" customHeight="false" outlineLevel="0" collapsed="false">
      <c r="A617" s="4" t="s">
        <v>7700</v>
      </c>
      <c r="B617" s="4" t="s">
        <v>7703</v>
      </c>
      <c r="C617" s="4" t="n">
        <v>1996</v>
      </c>
      <c r="D617" s="4" t="s">
        <v>7704</v>
      </c>
      <c r="E617" s="4" t="str">
        <f aca="false">IF(B617="","",LOWER(B617)&amp;"|"&amp;C617)</f>
        <v>jingle all the way|1996</v>
      </c>
    </row>
    <row r="618" customFormat="false" ht="15" hidden="false" customHeight="false" outlineLevel="0" collapsed="false">
      <c r="A618" s="4" t="s">
        <v>7700</v>
      </c>
      <c r="B618" s="4" t="s">
        <v>7705</v>
      </c>
      <c r="C618" s="4" t="n">
        <v>2004</v>
      </c>
      <c r="D618" s="4" t="s">
        <v>7706</v>
      </c>
      <c r="E618" s="4" t="str">
        <f aca="false">IF(B618="","",LOWER(B618)&amp;"|"&amp;C618)</f>
        <v>mean girls|2004</v>
      </c>
    </row>
    <row r="619" customFormat="false" ht="15" hidden="false" customHeight="false" outlineLevel="0" collapsed="false">
      <c r="A619" s="4" t="s">
        <v>7700</v>
      </c>
      <c r="B619" s="4" t="s">
        <v>2397</v>
      </c>
      <c r="C619" s="4" t="n">
        <v>1983</v>
      </c>
      <c r="D619" s="4" t="s">
        <v>7707</v>
      </c>
      <c r="E619" s="4" t="str">
        <f aca="false">IF(B619="","",LOWER(B619)&amp;"|"&amp;C619)</f>
        <v>a christmas story|1983</v>
      </c>
    </row>
    <row r="620" customFormat="false" ht="15" hidden="false" customHeight="false" outlineLevel="0" collapsed="false">
      <c r="A620" s="4" t="s">
        <v>7708</v>
      </c>
      <c r="B620" s="4" t="s">
        <v>7709</v>
      </c>
      <c r="C620" s="4" t="n">
        <v>2011</v>
      </c>
      <c r="D620" s="4" t="s">
        <v>7710</v>
      </c>
      <c r="E620" s="4" t="str">
        <f aca="false">IF(B620="","",LOWER(B620)&amp;"|"&amp;C620)</f>
        <v>arthur christmas|2011</v>
      </c>
    </row>
    <row r="621" customFormat="false" ht="15" hidden="false" customHeight="false" outlineLevel="0" collapsed="false">
      <c r="A621" s="4" t="s">
        <v>7711</v>
      </c>
      <c r="B621" s="4" t="s">
        <v>7712</v>
      </c>
      <c r="C621" s="4" t="n">
        <v>2022</v>
      </c>
      <c r="D621" s="4" t="s">
        <v>7713</v>
      </c>
      <c r="E621" s="4" t="str">
        <f aca="false">IF(B621="","",LOWER(B621)&amp;"|"&amp;C621)</f>
        <v>the banshees of inisherin|2022</v>
      </c>
    </row>
    <row r="622" customFormat="false" ht="15" hidden="false" customHeight="false" outlineLevel="0" collapsed="false">
      <c r="A622" s="4" t="s">
        <v>7714</v>
      </c>
      <c r="B622" s="4" t="s">
        <v>7715</v>
      </c>
      <c r="C622" s="4" t="n">
        <v>1993</v>
      </c>
      <c r="D622" s="4" t="s">
        <v>7716</v>
      </c>
      <c r="E622" s="4" t="str">
        <f aca="false">IF(B622="","",LOWER(B622)&amp;"|"&amp;C622)</f>
        <v>matinee|1993</v>
      </c>
    </row>
    <row r="623" customFormat="false" ht="15" hidden="false" customHeight="false" outlineLevel="0" collapsed="false">
      <c r="A623" s="4" t="s">
        <v>7714</v>
      </c>
      <c r="B623" s="4" t="s">
        <v>7717</v>
      </c>
      <c r="C623" s="4" t="n">
        <v>1989</v>
      </c>
      <c r="D623" s="4" t="s">
        <v>7718</v>
      </c>
      <c r="E623" s="4" t="str">
        <f aca="false">IF(B623="","",LOWER(B623)&amp;"|"&amp;C623)</f>
        <v>the 'burbs|1989</v>
      </c>
    </row>
    <row r="624" customFormat="false" ht="15" hidden="false" customHeight="false" outlineLevel="0" collapsed="false">
      <c r="A624" s="4" t="s">
        <v>7719</v>
      </c>
      <c r="B624" s="4" t="s">
        <v>2408</v>
      </c>
      <c r="C624" s="4" t="n">
        <v>1984</v>
      </c>
      <c r="D624" s="4" t="s">
        <v>7720</v>
      </c>
      <c r="E624" s="4" t="str">
        <f aca="false">IF(B624="","",LOWER(B624)&amp;"|"&amp;C624)</f>
        <v>gremlins|1984</v>
      </c>
    </row>
    <row r="625" customFormat="false" ht="15" hidden="false" customHeight="false" outlineLevel="0" collapsed="false">
      <c r="A625" s="4" t="s">
        <v>7719</v>
      </c>
      <c r="B625" s="4" t="s">
        <v>7721</v>
      </c>
      <c r="C625" s="4" t="n">
        <v>1990</v>
      </c>
      <c r="D625" s="4" t="s">
        <v>7722</v>
      </c>
      <c r="E625" s="4" t="str">
        <f aca="false">IF(B625="","",LOWER(B625)&amp;"|"&amp;C625)</f>
        <v>gremlins 2: the new batch|1990</v>
      </c>
    </row>
    <row r="626" customFormat="false" ht="15" hidden="false" customHeight="false" outlineLevel="0" collapsed="false">
      <c r="A626" s="4" t="s">
        <v>7723</v>
      </c>
      <c r="B626" s="4" t="s">
        <v>7724</v>
      </c>
      <c r="C626" s="4" t="n">
        <v>1998</v>
      </c>
      <c r="D626" s="4" t="s">
        <v>7725</v>
      </c>
      <c r="E626" s="4" t="str">
        <f aca="false">IF(B626="","",LOWER(B626)&amp;"|"&amp;C626)</f>
        <v>small soldiers|1998</v>
      </c>
    </row>
    <row r="627" customFormat="false" ht="15" hidden="false" customHeight="false" outlineLevel="0" collapsed="false">
      <c r="A627" s="4" t="s">
        <v>7723</v>
      </c>
      <c r="B627" s="4" t="s">
        <v>7726</v>
      </c>
      <c r="C627" s="4" t="n">
        <v>1988</v>
      </c>
      <c r="D627" s="4" t="s">
        <v>7727</v>
      </c>
      <c r="E627" s="4" t="str">
        <f aca="false">IF(B627="","",LOWER(B627)&amp;"|"&amp;C627)</f>
        <v>mississippi burning|1988</v>
      </c>
    </row>
    <row r="628" customFormat="false" ht="15" hidden="false" customHeight="false" outlineLevel="0" collapsed="false">
      <c r="A628" s="4" t="s">
        <v>7728</v>
      </c>
      <c r="B628" s="4" t="s">
        <v>7729</v>
      </c>
      <c r="C628" s="4" t="n">
        <v>1981</v>
      </c>
      <c r="D628" s="4" t="s">
        <v>7730</v>
      </c>
      <c r="E628" s="4" t="str">
        <f aca="false">IF(B628="","",LOWER(B628)&amp;"|"&amp;C628)</f>
        <v>the four seasons|1981</v>
      </c>
    </row>
    <row r="629" customFormat="false" ht="15" hidden="false" customHeight="false" outlineLevel="0" collapsed="false">
      <c r="A629" s="4" t="s">
        <v>7728</v>
      </c>
      <c r="B629" s="4" t="s">
        <v>487</v>
      </c>
      <c r="C629" s="4" t="n">
        <v>1981</v>
      </c>
      <c r="D629" s="4" t="s">
        <v>7731</v>
      </c>
      <c r="E629" s="4" t="str">
        <f aca="false">IF(B629="","",LOWER(B629)&amp;"|"&amp;C629)</f>
        <v>blow out|1981</v>
      </c>
    </row>
    <row r="630" customFormat="false" ht="15" hidden="false" customHeight="false" outlineLevel="0" collapsed="false">
      <c r="A630" s="4" t="s">
        <v>7732</v>
      </c>
      <c r="B630" s="4" t="s">
        <v>7733</v>
      </c>
      <c r="C630" s="4" t="n">
        <v>2019</v>
      </c>
      <c r="D630" s="4" t="s">
        <v>7734</v>
      </c>
      <c r="E630" s="4" t="str">
        <f aca="false">IF(B630="","",LOWER(B630)&amp;"|"&amp;C630)</f>
        <v>the gentlemen|2019</v>
      </c>
    </row>
    <row r="631" customFormat="false" ht="15" hidden="false" customHeight="false" outlineLevel="0" collapsed="false">
      <c r="A631" s="4" t="s">
        <v>7735</v>
      </c>
      <c r="B631" s="4" t="s">
        <v>7736</v>
      </c>
      <c r="C631" s="4" t="n">
        <v>1971</v>
      </c>
      <c r="D631" s="4" t="s">
        <v>7737</v>
      </c>
      <c r="E631" s="4" t="str">
        <f aca="false">IF(B631="","",LOWER(B631)&amp;"|"&amp;C631)</f>
        <v>bananas|1971</v>
      </c>
    </row>
    <row r="632" customFormat="false" ht="15" hidden="false" customHeight="false" outlineLevel="0" collapsed="false">
      <c r="A632" s="4" t="s">
        <v>7735</v>
      </c>
      <c r="B632" s="4" t="s">
        <v>7738</v>
      </c>
      <c r="C632" s="4" t="n">
        <v>2005</v>
      </c>
      <c r="D632" s="4" t="s">
        <v>7739</v>
      </c>
      <c r="E632" s="4" t="str">
        <f aca="false">IF(B632="","",LOWER(B632)&amp;"|"&amp;C632)</f>
        <v>thank you for smoking|2005</v>
      </c>
    </row>
    <row r="633" customFormat="false" ht="15" hidden="false" customHeight="false" outlineLevel="0" collapsed="false">
      <c r="A633" s="4" t="s">
        <v>7740</v>
      </c>
      <c r="B633" s="4" t="s">
        <v>7741</v>
      </c>
      <c r="C633" s="4" t="n">
        <v>2008</v>
      </c>
      <c r="D633" s="4" t="s">
        <v>7742</v>
      </c>
      <c r="E633" s="4" t="str">
        <f aca="false">IF(B633="","",LOWER(B633)&amp;"|"&amp;C633)</f>
        <v>rocknrolla|2008</v>
      </c>
    </row>
    <row r="634" customFormat="false" ht="15" hidden="false" customHeight="false" outlineLevel="0" collapsed="false">
      <c r="A634" s="4" t="s">
        <v>7740</v>
      </c>
      <c r="B634" s="4" t="s">
        <v>354</v>
      </c>
      <c r="C634" s="4" t="n">
        <v>1955</v>
      </c>
      <c r="D634" s="4" t="s">
        <v>7743</v>
      </c>
      <c r="E634" s="4" t="str">
        <f aca="false">IF(B634="","",LOWER(B634)&amp;"|"&amp;C634)</f>
        <v>the night of the hunter|1955</v>
      </c>
    </row>
    <row r="635" customFormat="false" ht="15" hidden="false" customHeight="false" outlineLevel="0" collapsed="false">
      <c r="A635" s="4" t="s">
        <v>7740</v>
      </c>
      <c r="B635" s="4" t="s">
        <v>1379</v>
      </c>
      <c r="C635" s="4" t="n">
        <v>1991</v>
      </c>
      <c r="D635" s="4" t="s">
        <v>7744</v>
      </c>
      <c r="E635" s="4" t="str">
        <f aca="false">IF(B635="","",LOWER(B635)&amp;"|"&amp;C635)</f>
        <v>hearts of darkness: a filmmaker's apocalypse|1991</v>
      </c>
    </row>
    <row r="636" customFormat="false" ht="15" hidden="false" customHeight="false" outlineLevel="0" collapsed="false">
      <c r="A636" s="4" t="s">
        <v>7745</v>
      </c>
      <c r="B636" s="4" t="s">
        <v>1629</v>
      </c>
      <c r="C636" s="4" t="n">
        <v>2015</v>
      </c>
      <c r="D636" s="4" t="s">
        <v>7746</v>
      </c>
      <c r="E636" s="4" t="str">
        <f aca="false">IF(B636="","",LOWER(B636)&amp;"|"&amp;C636)</f>
        <v>spotlight|2015</v>
      </c>
    </row>
    <row r="637" customFormat="false" ht="15" hidden="false" customHeight="false" outlineLevel="0" collapsed="false">
      <c r="A637" s="4" t="s">
        <v>7747</v>
      </c>
      <c r="B637" s="4" t="s">
        <v>7748</v>
      </c>
      <c r="C637" s="4" t="n">
        <v>1998</v>
      </c>
      <c r="D637" s="4" t="s">
        <v>7749</v>
      </c>
      <c r="E637" s="4" t="str">
        <f aca="false">IF(B637="","",LOWER(B637)&amp;"|"&amp;C637)</f>
        <v>snake eyes|1998</v>
      </c>
    </row>
    <row r="638" customFormat="false" ht="15" hidden="false" customHeight="false" outlineLevel="0" collapsed="false">
      <c r="A638" s="4" t="s">
        <v>7750</v>
      </c>
      <c r="B638" s="4" t="s">
        <v>3757</v>
      </c>
      <c r="C638" s="4" t="n">
        <v>2006</v>
      </c>
      <c r="D638" s="4" t="s">
        <v>7751</v>
      </c>
      <c r="E638" s="4" t="str">
        <f aca="false">IF(B638="","",LOWER(B638)&amp;"|"&amp;C638)</f>
        <v>idiocracy|2006</v>
      </c>
    </row>
    <row r="639" customFormat="false" ht="15" hidden="false" customHeight="false" outlineLevel="0" collapsed="false">
      <c r="A639" s="4" t="s">
        <v>7750</v>
      </c>
      <c r="B639" s="4" t="s">
        <v>1193</v>
      </c>
      <c r="C639" s="4" t="n">
        <v>2009</v>
      </c>
      <c r="D639" s="4" t="s">
        <v>7752</v>
      </c>
      <c r="E639" s="4" t="str">
        <f aca="false">IF(B639="","",LOWER(B639)&amp;"|"&amp;C639)</f>
        <v>moon|2009</v>
      </c>
    </row>
    <row r="640" customFormat="false" ht="15" hidden="false" customHeight="false" outlineLevel="0" collapsed="false">
      <c r="A640" s="4" t="s">
        <v>7753</v>
      </c>
      <c r="B640" s="4" t="s">
        <v>7754</v>
      </c>
      <c r="C640" s="4" t="n">
        <v>2017</v>
      </c>
      <c r="D640" s="4" t="s">
        <v>7755</v>
      </c>
      <c r="E640" s="4" t="str">
        <f aca="false">IF(B640="","",LOWER(B640)&amp;"|"&amp;C640)</f>
        <v>borg vs mcenroe|2017</v>
      </c>
    </row>
    <row r="641" customFormat="false" ht="15" hidden="false" customHeight="false" outlineLevel="0" collapsed="false">
      <c r="A641" s="4" t="s">
        <v>7753</v>
      </c>
      <c r="B641" s="4" t="s">
        <v>7756</v>
      </c>
      <c r="C641" s="4" t="n">
        <v>2015</v>
      </c>
      <c r="D641" s="4" t="s">
        <v>7757</v>
      </c>
      <c r="E641" s="4" t="str">
        <f aca="false">IF(B641="","",LOWER(B641)&amp;"|"&amp;C641)</f>
        <v>the man from u.n.c.l.e.|2015</v>
      </c>
    </row>
    <row r="642" customFormat="false" ht="15" hidden="false" customHeight="false" outlineLevel="0" collapsed="false">
      <c r="A642" s="4" t="s">
        <v>7753</v>
      </c>
      <c r="B642" s="4" t="s">
        <v>7758</v>
      </c>
      <c r="C642" s="4" t="n">
        <v>2022</v>
      </c>
      <c r="D642" s="4" t="s">
        <v>7759</v>
      </c>
      <c r="E642" s="4" t="str">
        <f aca="false">IF(B642="","",LOWER(B642)&amp;"|"&amp;C642)</f>
        <v>a man called otto|2022</v>
      </c>
    </row>
    <row r="643" customFormat="false" ht="15" hidden="false" customHeight="false" outlineLevel="0" collapsed="false">
      <c r="A643" s="4" t="s">
        <v>7760</v>
      </c>
      <c r="B643" s="4" t="s">
        <v>7761</v>
      </c>
      <c r="C643" s="4" t="n">
        <v>2009</v>
      </c>
      <c r="D643" s="4" t="s">
        <v>7762</v>
      </c>
      <c r="E643" s="4" t="str">
        <f aca="false">IF(B643="","",LOWER(B643)&amp;"|"&amp;C643)</f>
        <v>lx forty|2009</v>
      </c>
    </row>
    <row r="644" customFormat="false" ht="15" hidden="false" customHeight="false" outlineLevel="0" collapsed="false">
      <c r="A644" s="4" t="s">
        <v>7760</v>
      </c>
      <c r="B644" s="4" t="s">
        <v>1060</v>
      </c>
      <c r="C644" s="4" t="n">
        <v>1982</v>
      </c>
      <c r="D644" s="4" t="s">
        <v>7763</v>
      </c>
      <c r="E644" s="4" t="str">
        <f aca="false">IF(B644="","",LOWER(B644)&amp;"|"&amp;C644)</f>
        <v>the verdict|1982</v>
      </c>
    </row>
    <row r="645" customFormat="false" ht="15" hidden="false" customHeight="false" outlineLevel="0" collapsed="false">
      <c r="A645" s="4" t="s">
        <v>7764</v>
      </c>
      <c r="B645" s="4" t="s">
        <v>259</v>
      </c>
      <c r="C645" s="4" t="n">
        <v>1993</v>
      </c>
      <c r="D645" s="4" t="s">
        <v>7765</v>
      </c>
      <c r="E645" s="4" t="str">
        <f aca="false">IF(B645="","",LOWER(B645)&amp;"|"&amp;C645)</f>
        <v>groundhog day|1993</v>
      </c>
    </row>
    <row r="646" customFormat="false" ht="15" hidden="false" customHeight="false" outlineLevel="0" collapsed="false">
      <c r="A646" s="4" t="s">
        <v>7766</v>
      </c>
      <c r="B646" s="4" t="s">
        <v>7767</v>
      </c>
      <c r="C646" s="4" t="n">
        <v>2018</v>
      </c>
      <c r="D646" s="4" t="s">
        <v>7768</v>
      </c>
      <c r="E646" s="4" t="str">
        <f aca="false">IF(B646="","",LOWER(B646)&amp;"|"&amp;C646)</f>
        <v>don't worry, he won't get far on foot|2018</v>
      </c>
    </row>
    <row r="647" customFormat="false" ht="15" hidden="false" customHeight="false" outlineLevel="0" collapsed="false">
      <c r="A647" s="4" t="s">
        <v>7766</v>
      </c>
      <c r="B647" s="4" t="s">
        <v>7769</v>
      </c>
      <c r="C647" s="4" t="n">
        <v>1993</v>
      </c>
      <c r="D647" s="4" t="s">
        <v>7770</v>
      </c>
      <c r="E647" s="4" t="str">
        <f aca="false">IF(B647="","",LOWER(B647)&amp;"|"&amp;C647)</f>
        <v>last action hero|1993</v>
      </c>
    </row>
    <row r="648" customFormat="false" ht="15" hidden="false" customHeight="false" outlineLevel="0" collapsed="false">
      <c r="A648" s="4" t="s">
        <v>7771</v>
      </c>
      <c r="B648" s="4" t="s">
        <v>7772</v>
      </c>
      <c r="C648" s="4" t="n">
        <v>1987</v>
      </c>
      <c r="D648" s="4" t="s">
        <v>7773</v>
      </c>
      <c r="E648" s="4" t="str">
        <f aca="false">IF(B648="","",LOWER(B648)&amp;"|"&amp;C648)</f>
        <v>the untouchables|1987</v>
      </c>
    </row>
    <row r="649" customFormat="false" ht="15" hidden="false" customHeight="false" outlineLevel="0" collapsed="false">
      <c r="A649" s="4" t="s">
        <v>7774</v>
      </c>
      <c r="B649" s="4" t="s">
        <v>7775</v>
      </c>
      <c r="C649" s="4" t="n">
        <v>1973</v>
      </c>
      <c r="D649" s="4" t="s">
        <v>7776</v>
      </c>
      <c r="E649" s="4" t="str">
        <f aca="false">IF(B649="","",LOWER(B649)&amp;"|"&amp;C649)</f>
        <v>westworld|1973</v>
      </c>
    </row>
    <row r="650" customFormat="false" ht="15" hidden="false" customHeight="false" outlineLevel="0" collapsed="false">
      <c r="A650" s="4" t="s">
        <v>7774</v>
      </c>
      <c r="B650" s="4" t="s">
        <v>7777</v>
      </c>
      <c r="C650" s="4" t="n">
        <v>2004</v>
      </c>
      <c r="D650" s="4" t="s">
        <v>7778</v>
      </c>
      <c r="E650" s="4" t="str">
        <f aca="false">IF(B650="","",LOWER(B650)&amp;"|"&amp;C650)</f>
        <v>secret window|2004</v>
      </c>
    </row>
    <row r="651" customFormat="false" ht="15" hidden="false" customHeight="false" outlineLevel="0" collapsed="false">
      <c r="A651" s="4" t="s">
        <v>7774</v>
      </c>
      <c r="B651" s="4" t="s">
        <v>2719</v>
      </c>
      <c r="C651" s="4" t="n">
        <v>2000</v>
      </c>
      <c r="D651" s="4" t="s">
        <v>7779</v>
      </c>
      <c r="E651" s="4" t="str">
        <f aca="false">IF(B651="","",LOWER(B651)&amp;"|"&amp;C651)</f>
        <v>cast away|2000</v>
      </c>
    </row>
    <row r="652" customFormat="false" ht="15" hidden="false" customHeight="false" outlineLevel="0" collapsed="false">
      <c r="A652" s="4" t="s">
        <v>7780</v>
      </c>
      <c r="B652" s="4" t="s">
        <v>3648</v>
      </c>
      <c r="C652" s="4" t="n">
        <v>1988</v>
      </c>
      <c r="D652" s="4" t="s">
        <v>7781</v>
      </c>
      <c r="E652" s="4" t="str">
        <f aca="false">IF(B652="","",LOWER(B652)&amp;"|"&amp;C652)</f>
        <v>tucker: the man and his dream|1988</v>
      </c>
    </row>
    <row r="653" customFormat="false" ht="15" hidden="false" customHeight="false" outlineLevel="0" collapsed="false">
      <c r="A653" s="4" t="s">
        <v>7782</v>
      </c>
      <c r="B653" s="4" t="s">
        <v>2883</v>
      </c>
      <c r="C653" s="4" t="n">
        <v>2007</v>
      </c>
      <c r="D653" s="4" t="s">
        <v>7783</v>
      </c>
      <c r="E653" s="4" t="str">
        <f aca="false">IF(B653="","",LOWER(B653)&amp;"|"&amp;C653)</f>
        <v>eastern promises|2007</v>
      </c>
    </row>
    <row r="654" customFormat="false" ht="15" hidden="false" customHeight="false" outlineLevel="0" collapsed="false">
      <c r="A654" s="4" t="s">
        <v>7782</v>
      </c>
      <c r="B654" s="4" t="s">
        <v>2309</v>
      </c>
      <c r="C654" s="4" t="n">
        <v>1978</v>
      </c>
      <c r="D654" s="4" t="s">
        <v>7784</v>
      </c>
      <c r="E654" s="4" t="str">
        <f aca="false">IF(B654="","",LOWER(B654)&amp;"|"&amp;C654)</f>
        <v>animal house|1978</v>
      </c>
    </row>
    <row r="655" customFormat="false" ht="15" hidden="false" customHeight="false" outlineLevel="0" collapsed="false">
      <c r="A655" s="4" t="s">
        <v>7785</v>
      </c>
      <c r="B655" s="4" t="s">
        <v>7786</v>
      </c>
      <c r="C655" s="4" t="n">
        <v>2022</v>
      </c>
      <c r="D655" s="4" t="s">
        <v>7787</v>
      </c>
      <c r="E655" s="4" t="str">
        <f aca="false">IF(B655="","",LOWER(B655)&amp;"|"&amp;C655)</f>
        <v>the redeem team|2022</v>
      </c>
    </row>
    <row r="656" customFormat="false" ht="15" hidden="false" customHeight="false" outlineLevel="0" collapsed="false">
      <c r="A656" s="4" t="s">
        <v>7785</v>
      </c>
      <c r="B656" s="4" t="s">
        <v>7788</v>
      </c>
      <c r="C656" s="4" t="n">
        <v>1996</v>
      </c>
      <c r="D656" s="4" t="s">
        <v>7789</v>
      </c>
      <c r="E656" s="4" t="str">
        <f aca="false">IF(B656="","",LOWER(B656)&amp;"|"&amp;C656)</f>
        <v>executive decision|1996</v>
      </c>
    </row>
    <row r="657" customFormat="false" ht="15" hidden="false" customHeight="false" outlineLevel="0" collapsed="false">
      <c r="A657" s="4" t="s">
        <v>7790</v>
      </c>
      <c r="B657" s="4" t="s">
        <v>7791</v>
      </c>
      <c r="C657" s="4" t="n">
        <v>2013</v>
      </c>
      <c r="D657" s="4" t="s">
        <v>7792</v>
      </c>
      <c r="E657" s="4" t="str">
        <f aca="false">IF(B657="","",LOWER(B657)&amp;"|"&amp;C657)</f>
        <v>the secret life of walter mitty|2013</v>
      </c>
    </row>
    <row r="658" customFormat="false" ht="15" hidden="false" customHeight="false" outlineLevel="0" collapsed="false">
      <c r="A658" s="4" t="s">
        <v>7790</v>
      </c>
      <c r="B658" s="4" t="s">
        <v>7793</v>
      </c>
      <c r="C658" s="4" t="n">
        <v>1985</v>
      </c>
      <c r="D658" s="4" t="s">
        <v>7794</v>
      </c>
      <c r="E658" s="4" t="str">
        <f aca="false">IF(B658="","",LOWER(B658)&amp;"|"&amp;C658)</f>
        <v>fletch|1985</v>
      </c>
    </row>
    <row r="659" customFormat="false" ht="15" hidden="false" customHeight="false" outlineLevel="0" collapsed="false">
      <c r="A659" s="4" t="s">
        <v>7795</v>
      </c>
      <c r="B659" s="4" t="s">
        <v>2652</v>
      </c>
      <c r="C659" s="4" t="n">
        <v>1996</v>
      </c>
      <c r="D659" s="4" t="s">
        <v>7796</v>
      </c>
      <c r="E659" s="4" t="str">
        <f aca="false">IF(B659="","",LOWER(B659)&amp;"|"&amp;C659)</f>
        <v>that thing you do!|1996</v>
      </c>
    </row>
    <row r="660" customFormat="false" ht="15" hidden="false" customHeight="false" outlineLevel="0" collapsed="false">
      <c r="A660" s="4" t="s">
        <v>7795</v>
      </c>
      <c r="B660" s="4" t="s">
        <v>2639</v>
      </c>
      <c r="C660" s="4" t="n">
        <v>2004</v>
      </c>
      <c r="D660" s="4" t="s">
        <v>7797</v>
      </c>
      <c r="E660" s="4" t="str">
        <f aca="false">IF(B660="","",LOWER(B660)&amp;"|"&amp;C660)</f>
        <v>crash|2004</v>
      </c>
    </row>
    <row r="661" customFormat="false" ht="15" hidden="false" customHeight="false" outlineLevel="0" collapsed="false">
      <c r="A661" s="4" t="s">
        <v>7795</v>
      </c>
      <c r="B661" s="4" t="s">
        <v>7798</v>
      </c>
      <c r="C661" s="4" t="n">
        <v>1990</v>
      </c>
      <c r="D661" s="4" t="s">
        <v>7799</v>
      </c>
      <c r="E661" s="4" t="str">
        <f aca="false">IF(B661="","",LOWER(B661)&amp;"|"&amp;C661)</f>
        <v>arachnophobia|1990</v>
      </c>
    </row>
    <row r="662" customFormat="false" ht="15" hidden="false" customHeight="false" outlineLevel="0" collapsed="false">
      <c r="A662" s="4" t="s">
        <v>7800</v>
      </c>
      <c r="B662" s="4" t="s">
        <v>7801</v>
      </c>
      <c r="C662" s="4" t="n">
        <v>1960</v>
      </c>
      <c r="D662" s="4" t="s">
        <v>7802</v>
      </c>
      <c r="E662" s="4" t="str">
        <f aca="false">IF(B662="","",LOWER(B662)&amp;"|"&amp;C662)</f>
        <v>village of the damned|1960</v>
      </c>
    </row>
    <row r="663" customFormat="false" ht="15" hidden="false" customHeight="false" outlineLevel="0" collapsed="false">
      <c r="A663" s="4" t="s">
        <v>7803</v>
      </c>
      <c r="B663" s="4" t="s">
        <v>7804</v>
      </c>
      <c r="C663" s="4" t="n">
        <v>2023</v>
      </c>
      <c r="D663" s="4" t="s">
        <v>7805</v>
      </c>
      <c r="E663" s="4" t="str">
        <f aca="false">IF(B663="","",LOWER(B663)&amp;"|"&amp;C663)</f>
        <v>marc maron: from bleak to dark|2023</v>
      </c>
    </row>
    <row r="664" customFormat="false" ht="15" hidden="false" customHeight="false" outlineLevel="0" collapsed="false">
      <c r="A664" s="4" t="s">
        <v>7803</v>
      </c>
      <c r="B664" s="4" t="s">
        <v>7806</v>
      </c>
      <c r="C664" s="4" t="n">
        <v>1996</v>
      </c>
      <c r="D664" s="4" t="s">
        <v>7807</v>
      </c>
      <c r="E664" s="4" t="str">
        <f aca="false">IF(B664="","",LOWER(B664)&amp;"|"&amp;C664)</f>
        <v>the nutty professor|1996</v>
      </c>
    </row>
    <row r="665" customFormat="false" ht="15" hidden="false" customHeight="false" outlineLevel="0" collapsed="false">
      <c r="A665" s="4" t="s">
        <v>7808</v>
      </c>
      <c r="B665" s="4" t="s">
        <v>1528</v>
      </c>
      <c r="C665" s="4" t="n">
        <v>1984</v>
      </c>
      <c r="D665" s="4" t="s">
        <v>7809</v>
      </c>
      <c r="E665" s="4" t="str">
        <f aca="false">IF(B665="","",LOWER(B665)&amp;"|"&amp;C665)</f>
        <v>the terminator|1984</v>
      </c>
    </row>
    <row r="666" customFormat="false" ht="15" hidden="false" customHeight="false" outlineLevel="0" collapsed="false">
      <c r="A666" s="4" t="s">
        <v>7808</v>
      </c>
      <c r="B666" s="4" t="s">
        <v>1596</v>
      </c>
      <c r="C666" s="4" t="n">
        <v>2006</v>
      </c>
      <c r="D666" s="4" t="s">
        <v>7810</v>
      </c>
      <c r="E666" s="4" t="str">
        <f aca="false">IF(B666="","",LOWER(B666)&amp;"|"&amp;C666)</f>
        <v>crank|2006</v>
      </c>
    </row>
    <row r="667" customFormat="false" ht="15" hidden="false" customHeight="false" outlineLevel="0" collapsed="false">
      <c r="A667" s="4" t="s">
        <v>7808</v>
      </c>
      <c r="B667" s="4" t="s">
        <v>7811</v>
      </c>
      <c r="C667" s="4" t="n">
        <v>1993</v>
      </c>
      <c r="D667" s="4" t="s">
        <v>7812</v>
      </c>
      <c r="E667" s="4" t="str">
        <f aca="false">IF(B667="","",LOWER(B667)&amp;"|"&amp;C667)</f>
        <v>swing kids|1993</v>
      </c>
    </row>
    <row r="668" customFormat="false" ht="15" hidden="false" customHeight="false" outlineLevel="0" collapsed="false">
      <c r="A668" s="4" t="s">
        <v>7808</v>
      </c>
      <c r="B668" s="4" t="s">
        <v>7813</v>
      </c>
      <c r="C668" s="4" t="n">
        <v>2020</v>
      </c>
      <c r="D668" s="4" t="s">
        <v>7814</v>
      </c>
      <c r="E668" s="4" t="str">
        <f aca="false">IF(B668="","",LOWER(B668)&amp;"|"&amp;C668)</f>
        <v>the wolf of snow hollow|2020</v>
      </c>
    </row>
    <row r="669" customFormat="false" ht="15" hidden="false" customHeight="false" outlineLevel="0" collapsed="false">
      <c r="A669" s="4" t="s">
        <v>7815</v>
      </c>
      <c r="B669" s="4" t="s">
        <v>7816</v>
      </c>
      <c r="C669" s="4" t="n">
        <v>1973</v>
      </c>
      <c r="D669" s="4" t="s">
        <v>7817</v>
      </c>
      <c r="E669" s="4" t="str">
        <f aca="false">IF(B669="","",LOWER(B669)&amp;"|"&amp;C669)</f>
        <v>charlotte's web|1973</v>
      </c>
    </row>
    <row r="670" customFormat="false" ht="15" hidden="false" customHeight="false" outlineLevel="0" collapsed="false">
      <c r="A670" s="4" t="s">
        <v>7818</v>
      </c>
      <c r="B670" s="4" t="s">
        <v>7819</v>
      </c>
      <c r="C670" s="4" t="n">
        <v>2003</v>
      </c>
      <c r="D670" s="4" t="s">
        <v>7820</v>
      </c>
      <c r="E670" s="4" t="str">
        <f aca="false">IF(B670="","",LOWER(B670)&amp;"|"&amp;C670)</f>
        <v>a man apart|2003</v>
      </c>
    </row>
    <row r="671" customFormat="false" ht="15" hidden="false" customHeight="false" outlineLevel="0" collapsed="false">
      <c r="A671" s="4" t="s">
        <v>7818</v>
      </c>
      <c r="B671" s="4" t="s">
        <v>7821</v>
      </c>
      <c r="C671" s="4" t="n">
        <v>2013</v>
      </c>
      <c r="D671" s="4" t="s">
        <v>7822</v>
      </c>
      <c r="E671" s="4" t="str">
        <f aca="false">IF(B671="","",LOWER(B671)&amp;"|"&amp;C671)</f>
        <v>prince avalanche|2013</v>
      </c>
    </row>
    <row r="672" customFormat="false" ht="15" hidden="false" customHeight="false" outlineLevel="0" collapsed="false">
      <c r="A672" s="4" t="s">
        <v>7818</v>
      </c>
      <c r="B672" s="4" t="s">
        <v>3647</v>
      </c>
      <c r="C672" s="4" t="n">
        <v>1988</v>
      </c>
      <c r="D672" s="4" t="s">
        <v>7823</v>
      </c>
      <c r="E672" s="4" t="str">
        <f aca="false">IF(B672="","",LOWER(B672)&amp;"|"&amp;C672)</f>
        <v>dirty rotten scoundrels|1988</v>
      </c>
    </row>
    <row r="673" customFormat="false" ht="15" hidden="false" customHeight="false" outlineLevel="0" collapsed="false">
      <c r="A673" s="4" t="s">
        <v>7818</v>
      </c>
      <c r="B673" s="4" t="s">
        <v>7824</v>
      </c>
      <c r="C673" s="4" t="n">
        <v>1999</v>
      </c>
      <c r="D673" s="4" t="s">
        <v>7825</v>
      </c>
      <c r="E673" s="4" t="str">
        <f aca="false">IF(B673="","",LOWER(B673)&amp;"|"&amp;C673)</f>
        <v>the adventures of elmo in grouchland|1999</v>
      </c>
    </row>
    <row r="674" customFormat="false" ht="15" hidden="false" customHeight="false" outlineLevel="0" collapsed="false">
      <c r="A674" s="4" t="s">
        <v>7826</v>
      </c>
      <c r="B674" s="4" t="s">
        <v>7827</v>
      </c>
      <c r="C674" s="4" t="n">
        <v>1998</v>
      </c>
      <c r="D674" s="4" t="s">
        <v>7828</v>
      </c>
      <c r="E674" s="4" t="str">
        <f aca="false">IF(B674="","",LOWER(B674)&amp;"|"&amp;C674)</f>
        <v>patch adams|1998</v>
      </c>
    </row>
    <row r="675" customFormat="false" ht="15" hidden="false" customHeight="false" outlineLevel="0" collapsed="false">
      <c r="A675" s="4" t="s">
        <v>7826</v>
      </c>
      <c r="B675" s="4" t="s">
        <v>7829</v>
      </c>
      <c r="C675" s="4" t="n">
        <v>2010</v>
      </c>
      <c r="D675" s="4" t="s">
        <v>7830</v>
      </c>
      <c r="E675" s="4" t="str">
        <f aca="false">IF(B675="","",LOWER(B675)&amp;"|"&amp;C675)</f>
        <v>flipped|2010</v>
      </c>
    </row>
    <row r="676" customFormat="false" ht="15" hidden="false" customHeight="false" outlineLevel="0" collapsed="false">
      <c r="A676" s="4" t="s">
        <v>7831</v>
      </c>
      <c r="B676" s="4" t="s">
        <v>7832</v>
      </c>
      <c r="C676" s="4" t="n">
        <v>1992</v>
      </c>
      <c r="D676" s="4" t="s">
        <v>7833</v>
      </c>
      <c r="E676" s="4" t="str">
        <f aca="false">IF(B676="","",LOWER(B676)&amp;"|"&amp;C676)</f>
        <v>toys|1992</v>
      </c>
    </row>
    <row r="677" customFormat="false" ht="15" hidden="false" customHeight="false" outlineLevel="0" collapsed="false">
      <c r="A677" s="4" t="s">
        <v>7831</v>
      </c>
      <c r="B677" s="4" t="s">
        <v>7834</v>
      </c>
      <c r="C677" s="4" t="n">
        <v>2019</v>
      </c>
      <c r="D677" s="4" t="s">
        <v>7835</v>
      </c>
      <c r="E677" s="4" t="str">
        <f aca="false">IF(B677="","",LOWER(B677)&amp;"|"&amp;C677)</f>
        <v>cold pursuit|2019</v>
      </c>
    </row>
    <row r="678" customFormat="false" ht="15" hidden="false" customHeight="false" outlineLevel="0" collapsed="false">
      <c r="A678" s="4" t="s">
        <v>7836</v>
      </c>
      <c r="B678" s="4" t="s">
        <v>2965</v>
      </c>
      <c r="C678" s="4" t="n">
        <v>2010</v>
      </c>
      <c r="D678" s="4" t="s">
        <v>7837</v>
      </c>
      <c r="E678" s="4" t="str">
        <f aca="false">IF(B678="","",LOWER(B678)&amp;"|"&amp;C678)</f>
        <v>scott pilgrim vs. the world|2010</v>
      </c>
    </row>
    <row r="679" customFormat="false" ht="15" hidden="false" customHeight="false" outlineLevel="0" collapsed="false">
      <c r="A679" s="4" t="s">
        <v>7838</v>
      </c>
      <c r="B679" s="4" t="s">
        <v>2671</v>
      </c>
      <c r="C679" s="4" t="n">
        <v>1997</v>
      </c>
      <c r="D679" s="4" t="s">
        <v>7839</v>
      </c>
      <c r="E679" s="4" t="str">
        <f aca="false">IF(B679="","",LOWER(B679)&amp;"|"&amp;C679)</f>
        <v>wag the dog|1997</v>
      </c>
    </row>
    <row r="680" customFormat="false" ht="15" hidden="false" customHeight="false" outlineLevel="0" collapsed="false">
      <c r="A680" s="4" t="s">
        <v>7838</v>
      </c>
      <c r="B680" s="4" t="s">
        <v>2924</v>
      </c>
      <c r="C680" s="4" t="n">
        <v>2009</v>
      </c>
      <c r="D680" s="4" t="s">
        <v>7840</v>
      </c>
      <c r="E680" s="4" t="str">
        <f aca="false">IF(B680="","",LOWER(B680)&amp;"|"&amp;C680)</f>
        <v>coraline|2009</v>
      </c>
    </row>
    <row r="681" customFormat="false" ht="15" hidden="false" customHeight="false" outlineLevel="0" collapsed="false">
      <c r="A681" s="4" t="s">
        <v>7841</v>
      </c>
      <c r="B681" s="4" t="s">
        <v>7842</v>
      </c>
      <c r="C681" s="4" t="n">
        <v>2009</v>
      </c>
      <c r="D681" s="4" t="s">
        <v>7843</v>
      </c>
      <c r="E681" s="4" t="str">
        <f aca="false">IF(B681="","",LOWER(B681)&amp;"|"&amp;C681)</f>
        <v>the band that wouldn't die|2009</v>
      </c>
    </row>
    <row r="682" customFormat="false" ht="15" hidden="false" customHeight="false" outlineLevel="0" collapsed="false">
      <c r="A682" s="4" t="s">
        <v>7844</v>
      </c>
      <c r="B682" s="4" t="s">
        <v>7845</v>
      </c>
      <c r="C682" s="4" t="n">
        <v>2018</v>
      </c>
      <c r="D682" s="4" t="s">
        <v>7846</v>
      </c>
      <c r="E682" s="4" t="str">
        <f aca="false">IF(B682="","",LOWER(B682)&amp;"|"&amp;C682)</f>
        <v>paterno|2018</v>
      </c>
    </row>
    <row r="683" customFormat="false" ht="15" hidden="false" customHeight="false" outlineLevel="0" collapsed="false">
      <c r="A683" s="4" t="s">
        <v>7844</v>
      </c>
      <c r="B683" s="4" t="s">
        <v>7847</v>
      </c>
      <c r="C683" s="4" t="n">
        <v>2010</v>
      </c>
      <c r="D683" s="4" t="s">
        <v>7848</v>
      </c>
      <c r="E683" s="4" t="str">
        <f aca="false">IF(B683="","",LOWER(B683)&amp;"|"&amp;C683)</f>
        <v>you don't know jack|2010</v>
      </c>
    </row>
    <row r="684" customFormat="false" ht="15" hidden="false" customHeight="false" outlineLevel="0" collapsed="false">
      <c r="A684" s="4" t="s">
        <v>7849</v>
      </c>
      <c r="B684" s="4" t="s">
        <v>7850</v>
      </c>
      <c r="C684" s="4" t="n">
        <v>1990</v>
      </c>
      <c r="D684" s="4" t="s">
        <v>7851</v>
      </c>
      <c r="E684" s="4" t="str">
        <f aca="false">IF(B684="","",LOWER(B684)&amp;"|"&amp;C684)</f>
        <v>postcards from the edge|1990</v>
      </c>
    </row>
    <row r="685" customFormat="false" ht="15" hidden="false" customHeight="false" outlineLevel="0" collapsed="false">
      <c r="A685" s="4" t="s">
        <v>7849</v>
      </c>
      <c r="B685" s="4" t="s">
        <v>7852</v>
      </c>
      <c r="C685" s="4" t="n">
        <v>2001</v>
      </c>
      <c r="D685" s="4" t="s">
        <v>7853</v>
      </c>
      <c r="E685" s="4" t="str">
        <f aca="false">IF(B685="","",LOWER(B685)&amp;"|"&amp;C685)</f>
        <v>wit|2001</v>
      </c>
    </row>
    <row r="686" customFormat="false" ht="15" hidden="false" customHeight="false" outlineLevel="0" collapsed="false">
      <c r="A686" s="4" t="s">
        <v>7854</v>
      </c>
      <c r="B686" s="4" t="s">
        <v>7855</v>
      </c>
      <c r="C686" s="4" t="n">
        <v>2006</v>
      </c>
      <c r="D686" s="4" t="s">
        <v>7856</v>
      </c>
      <c r="E686" s="4" t="str">
        <f aca="false">IF(B686="","",LOWER(B686)&amp;"|"&amp;C686)</f>
        <v>man of the year|2006</v>
      </c>
    </row>
    <row r="687" customFormat="false" ht="15" hidden="false" customHeight="false" outlineLevel="0" collapsed="false">
      <c r="A687" s="4" t="s">
        <v>7857</v>
      </c>
      <c r="B687" s="4" t="s">
        <v>7858</v>
      </c>
      <c r="C687" s="4" t="n">
        <v>1972</v>
      </c>
      <c r="D687" s="4" t="s">
        <v>7859</v>
      </c>
      <c r="E687" s="4" t="str">
        <f aca="false">IF(B687="","",LOWER(B687)&amp;"|"&amp;C687)</f>
        <v>everything you always wanted to know about sex *but were afraid to ask|1972</v>
      </c>
    </row>
    <row r="688" customFormat="false" ht="15" hidden="false" customHeight="false" outlineLevel="0" collapsed="false">
      <c r="A688" s="4" t="s">
        <v>7860</v>
      </c>
      <c r="B688" s="4" t="s">
        <v>7861</v>
      </c>
      <c r="C688" s="4" t="n">
        <v>2020</v>
      </c>
      <c r="D688" s="4" t="s">
        <v>7862</v>
      </c>
      <c r="E688" s="4" t="str">
        <f aca="false">IF(B688="","",LOWER(B688)&amp;"|"&amp;C688)</f>
        <v>greyhound|2020</v>
      </c>
    </row>
    <row r="689" customFormat="false" ht="15" hidden="false" customHeight="false" outlineLevel="0" collapsed="false">
      <c r="A689" s="4" t="s">
        <v>7860</v>
      </c>
      <c r="B689" s="4" t="s">
        <v>1124</v>
      </c>
      <c r="C689" s="4" t="n">
        <v>1998</v>
      </c>
      <c r="D689" s="4" t="s">
        <v>7863</v>
      </c>
      <c r="E689" s="4" t="str">
        <f aca="false">IF(B689="","",LOWER(B689)&amp;"|"&amp;C689)</f>
        <v>following|1998</v>
      </c>
    </row>
    <row r="690" customFormat="false" ht="15" hidden="false" customHeight="false" outlineLevel="0" collapsed="false">
      <c r="A690" s="4" t="s">
        <v>7864</v>
      </c>
      <c r="B690" s="4" t="s">
        <v>7865</v>
      </c>
      <c r="C690" s="4" t="n">
        <v>1985</v>
      </c>
      <c r="D690" s="4" t="s">
        <v>7866</v>
      </c>
      <c r="E690" s="4" t="str">
        <f aca="false">IF(B690="","",LOWER(B690)&amp;"|"&amp;C690)</f>
        <v>young sherlock holmes|1985</v>
      </c>
    </row>
    <row r="691" customFormat="false" ht="15" hidden="false" customHeight="false" outlineLevel="0" collapsed="false">
      <c r="A691" s="4" t="s">
        <v>7867</v>
      </c>
      <c r="B691" s="4" t="s">
        <v>1650</v>
      </c>
      <c r="C691" s="4" t="n">
        <v>1974</v>
      </c>
      <c r="D691" s="4" t="s">
        <v>7868</v>
      </c>
      <c r="E691" s="4" t="str">
        <f aca="false">IF(B691="","",LOWER(B691)&amp;"|"&amp;C691)</f>
        <v>dark star|1974</v>
      </c>
    </row>
    <row r="692" customFormat="false" ht="15" hidden="false" customHeight="false" outlineLevel="0" collapsed="false">
      <c r="A692" s="4" t="s">
        <v>7869</v>
      </c>
      <c r="B692" s="4" t="s">
        <v>7870</v>
      </c>
      <c r="C692" s="4" t="n">
        <v>1969</v>
      </c>
      <c r="D692" s="4" t="s">
        <v>7871</v>
      </c>
      <c r="E692" s="4" t="str">
        <f aca="false">IF(B692="","",LOWER(B692)&amp;"|"&amp;C692)</f>
        <v>captain voyeur|1969</v>
      </c>
    </row>
    <row r="693" customFormat="false" ht="15" hidden="false" customHeight="false" outlineLevel="0" collapsed="false">
      <c r="A693" s="4" t="s">
        <v>7869</v>
      </c>
      <c r="B693" s="4" t="s">
        <v>7872</v>
      </c>
      <c r="C693" s="4" t="n">
        <v>2006</v>
      </c>
      <c r="D693" s="4" t="s">
        <v>7873</v>
      </c>
      <c r="E693" s="4" t="str">
        <f aca="false">IF(B693="","",LOWER(B693)&amp;"|"&amp;C693)</f>
        <v>building no. 7|2006</v>
      </c>
    </row>
    <row r="694" customFormat="false" ht="15" hidden="false" customHeight="false" outlineLevel="0" collapsed="false">
      <c r="A694" s="4" t="s">
        <v>7869</v>
      </c>
      <c r="B694" s="4" t="s">
        <v>7874</v>
      </c>
      <c r="C694" s="4" t="n">
        <v>1975</v>
      </c>
      <c r="D694" s="4" t="s">
        <v>7875</v>
      </c>
      <c r="E694" s="4" t="str">
        <f aca="false">IF(B694="","",LOWER(B694)&amp;"|"&amp;C694)</f>
        <v>the muppet introduction|1975</v>
      </c>
    </row>
    <row r="695" customFormat="false" ht="15" hidden="false" customHeight="false" outlineLevel="0" collapsed="false">
      <c r="A695" s="4" t="s">
        <v>7869</v>
      </c>
      <c r="B695" s="4" t="s">
        <v>7876</v>
      </c>
      <c r="C695" s="4" t="n">
        <v>1979</v>
      </c>
      <c r="D695" s="4" t="s">
        <v>7877</v>
      </c>
      <c r="E695" s="4" t="str">
        <f aca="false">IF(B695="","",LOWER(B695)&amp;"|"&amp;C695)</f>
        <v>the secret of success|1979</v>
      </c>
    </row>
    <row r="696" customFormat="false" ht="15" hidden="false" customHeight="false" outlineLevel="0" collapsed="false">
      <c r="A696" s="4" t="s">
        <v>7878</v>
      </c>
      <c r="B696" s="4" t="s">
        <v>2904</v>
      </c>
      <c r="C696" s="4" t="n">
        <v>2008</v>
      </c>
      <c r="D696" s="4" t="s">
        <v>7879</v>
      </c>
      <c r="E696" s="4" t="str">
        <f aca="false">IF(B696="","",LOWER(B696)&amp;"|"&amp;C696)</f>
        <v>step brothers|2008</v>
      </c>
    </row>
    <row r="697" customFormat="false" ht="15" hidden="false" customHeight="false" outlineLevel="0" collapsed="false">
      <c r="A697" s="4" t="s">
        <v>7880</v>
      </c>
      <c r="B697" s="4" t="s">
        <v>7881</v>
      </c>
      <c r="C697" s="4" t="n">
        <v>1992</v>
      </c>
      <c r="D697" s="4" t="s">
        <v>7882</v>
      </c>
      <c r="E697" s="4" t="str">
        <f aca="false">IF(B697="","",LOWER(B697)&amp;"|"&amp;C697)</f>
        <v>el mariachi|1992</v>
      </c>
    </row>
    <row r="698" customFormat="false" ht="15" hidden="false" customHeight="false" outlineLevel="0" collapsed="false">
      <c r="A698" s="4" t="s">
        <v>7880</v>
      </c>
      <c r="B698" s="4" t="s">
        <v>7883</v>
      </c>
      <c r="C698" s="4" t="n">
        <v>1996</v>
      </c>
      <c r="D698" s="4" t="s">
        <v>7884</v>
      </c>
      <c r="E698" s="4" t="str">
        <f aca="false">IF(B698="","",LOWER(B698)&amp;"|"&amp;C698)</f>
        <v>jack|1996</v>
      </c>
    </row>
    <row r="699" customFormat="false" ht="15" hidden="false" customHeight="false" outlineLevel="0" collapsed="false">
      <c r="A699" s="4" t="s">
        <v>7880</v>
      </c>
      <c r="B699" s="4" t="s">
        <v>7885</v>
      </c>
      <c r="C699" s="4" t="n">
        <v>2012</v>
      </c>
      <c r="D699" s="4" t="s">
        <v>7886</v>
      </c>
      <c r="E699" s="4" t="str">
        <f aca="false">IF(B699="","",LOWER(B699)&amp;"|"&amp;C699)</f>
        <v>a glimpse inside the mind of charles swan iii|2012</v>
      </c>
    </row>
    <row r="700" customFormat="false" ht="15" hidden="false" customHeight="false" outlineLevel="0" collapsed="false">
      <c r="A700" s="4" t="s">
        <v>7880</v>
      </c>
      <c r="B700" s="4" t="s">
        <v>7887</v>
      </c>
      <c r="C700" s="4" t="n">
        <v>1995</v>
      </c>
      <c r="D700" s="4" t="s">
        <v>7888</v>
      </c>
      <c r="E700" s="4" t="str">
        <f aca="false">IF(B700="","",LOWER(B700)&amp;"|"&amp;C700)</f>
        <v>dracula: dead and loving it|1995</v>
      </c>
    </row>
    <row r="701" customFormat="false" ht="15" hidden="false" customHeight="false" outlineLevel="0" collapsed="false">
      <c r="A701" s="4" t="s">
        <v>7889</v>
      </c>
      <c r="B701" s="4" t="s">
        <v>7890</v>
      </c>
      <c r="C701" s="4" t="n">
        <v>2009</v>
      </c>
      <c r="D701" s="4" t="s">
        <v>7891</v>
      </c>
      <c r="E701" s="4" t="str">
        <f aca="false">IF(B701="","",LOWER(B701)&amp;"|"&amp;C701)</f>
        <v>world's greatest dad|2009</v>
      </c>
    </row>
    <row r="702" customFormat="false" ht="15" hidden="false" customHeight="false" outlineLevel="0" collapsed="false">
      <c r="A702" s="4" t="s">
        <v>7889</v>
      </c>
      <c r="B702" s="4" t="s">
        <v>7892</v>
      </c>
      <c r="C702" s="4" t="n">
        <v>2017</v>
      </c>
      <c r="D702" s="4" t="s">
        <v>7893</v>
      </c>
      <c r="E702" s="4" t="str">
        <f aca="false">IF(B702="","",LOWER(B702)&amp;"|"&amp;C702)</f>
        <v>wonder wheel|2017</v>
      </c>
    </row>
    <row r="703" customFormat="false" ht="15" hidden="false" customHeight="false" outlineLevel="0" collapsed="false">
      <c r="A703" s="4" t="s">
        <v>7889</v>
      </c>
      <c r="B703" s="4" t="s">
        <v>7894</v>
      </c>
      <c r="C703" s="4" t="n">
        <v>2012</v>
      </c>
      <c r="D703" s="4" t="s">
        <v>7895</v>
      </c>
      <c r="E703" s="4" t="str">
        <f aca="false">IF(B703="","",LOWER(B703)&amp;"|"&amp;C703)</f>
        <v>the three stooges|2012</v>
      </c>
    </row>
    <row r="704" customFormat="false" ht="15" hidden="false" customHeight="false" outlineLevel="0" collapsed="false">
      <c r="A704" s="4" t="s">
        <v>7896</v>
      </c>
      <c r="B704" s="4" t="s">
        <v>7897</v>
      </c>
      <c r="C704" s="4" t="n">
        <v>2011</v>
      </c>
      <c r="D704" s="4" t="s">
        <v>7898</v>
      </c>
      <c r="E704" s="4" t="str">
        <f aca="false">IF(B704="","",LOWER(B704)&amp;"|"&amp;C704)</f>
        <v>happy feet two|2011</v>
      </c>
    </row>
    <row r="705" customFormat="false" ht="15" hidden="false" customHeight="false" outlineLevel="0" collapsed="false">
      <c r="A705" s="4" t="s">
        <v>7896</v>
      </c>
      <c r="B705" s="4" t="s">
        <v>7899</v>
      </c>
      <c r="C705" s="4" t="n">
        <v>1994</v>
      </c>
      <c r="D705" s="4" t="s">
        <v>7900</v>
      </c>
      <c r="E705" s="4" t="str">
        <f aca="false">IF(B705="","",LOWER(B705)&amp;"|"&amp;C705)</f>
        <v>shallow grave|1994</v>
      </c>
    </row>
    <row r="706" customFormat="false" ht="15" hidden="false" customHeight="false" outlineLevel="0" collapsed="false">
      <c r="A706" s="4" t="s">
        <v>7896</v>
      </c>
      <c r="B706" s="4" t="s">
        <v>7901</v>
      </c>
      <c r="C706" s="4" t="n">
        <v>2005</v>
      </c>
      <c r="D706" s="4" t="s">
        <v>7902</v>
      </c>
      <c r="E706" s="4" t="str">
        <f aca="false">IF(B706="","",LOWER(B706)&amp;"|"&amp;C706)</f>
        <v>chicken little|2005</v>
      </c>
    </row>
    <row r="707" customFormat="false" ht="15" hidden="false" customHeight="false" outlineLevel="0" collapsed="false">
      <c r="A707" s="4" t="s">
        <v>7903</v>
      </c>
      <c r="B707" s="4" t="s">
        <v>7904</v>
      </c>
      <c r="C707" s="4" t="n">
        <v>2010</v>
      </c>
      <c r="D707" s="4" t="s">
        <v>7905</v>
      </c>
      <c r="E707" s="4" t="str">
        <f aca="false">IF(B707="","",LOWER(B707)&amp;"|"&amp;C707)</f>
        <v>dinner for schmucks|2010</v>
      </c>
    </row>
    <row r="708" customFormat="false" ht="15" hidden="false" customHeight="false" outlineLevel="0" collapsed="false">
      <c r="A708" s="4" t="s">
        <v>7903</v>
      </c>
      <c r="B708" s="4" t="s">
        <v>7906</v>
      </c>
      <c r="C708" s="4" t="n">
        <v>1973</v>
      </c>
      <c r="D708" s="4" t="s">
        <v>7907</v>
      </c>
      <c r="E708" s="4" t="str">
        <f aca="false">IF(B708="","",LOWER(B708)&amp;"|"&amp;C708)</f>
        <v>magnum force|1973</v>
      </c>
    </row>
    <row r="709" customFormat="false" ht="15" hidden="false" customHeight="false" outlineLevel="0" collapsed="false">
      <c r="A709" s="4" t="s">
        <v>7908</v>
      </c>
      <c r="B709" s="4" t="s">
        <v>7909</v>
      </c>
      <c r="C709" s="4" t="n">
        <v>1997</v>
      </c>
      <c r="D709" s="4" t="s">
        <v>7910</v>
      </c>
      <c r="E709" s="4" t="str">
        <f aca="false">IF(B709="","",LOWER(B709)&amp;"|"&amp;C709)</f>
        <v>vegas vacation|1997</v>
      </c>
    </row>
    <row r="710" customFormat="false" ht="15" hidden="false" customHeight="false" outlineLevel="0" collapsed="false">
      <c r="A710" s="4" t="s">
        <v>7911</v>
      </c>
      <c r="B710" s="4" t="s">
        <v>7912</v>
      </c>
      <c r="C710" s="4" t="n">
        <v>1995</v>
      </c>
      <c r="D710" s="4" t="s">
        <v>7913</v>
      </c>
      <c r="E710" s="4" t="str">
        <f aca="false">IF(B710="","",LOWER(B710)&amp;"|"&amp;C710)</f>
        <v>a goofy movie|1995</v>
      </c>
    </row>
    <row r="711" customFormat="false" ht="15" hidden="false" customHeight="false" outlineLevel="0" collapsed="false">
      <c r="A711" s="4" t="s">
        <v>7914</v>
      </c>
      <c r="B711" s="4" t="s">
        <v>7915</v>
      </c>
      <c r="C711" s="4" t="n">
        <v>2001</v>
      </c>
      <c r="D711" s="4" t="s">
        <v>7916</v>
      </c>
      <c r="E711" s="4" t="str">
        <f aca="false">IF(B711="","",LOWER(B711)&amp;"|"&amp;C711)</f>
        <v>osmosis jones|2001</v>
      </c>
    </row>
    <row r="712" customFormat="false" ht="15" hidden="false" customHeight="false" outlineLevel="0" collapsed="false">
      <c r="A712" s="4" t="s">
        <v>7917</v>
      </c>
      <c r="B712" s="4" t="s">
        <v>1149</v>
      </c>
      <c r="C712" s="4" t="n">
        <v>2001</v>
      </c>
      <c r="D712" s="4" t="s">
        <v>7918</v>
      </c>
      <c r="E712" s="4" t="str">
        <f aca="false">IF(B712="","",LOWER(B712)&amp;"|"&amp;C712)</f>
        <v>tape|2001</v>
      </c>
    </row>
    <row r="713" customFormat="false" ht="15" hidden="false" customHeight="false" outlineLevel="0" collapsed="false">
      <c r="A713" s="4" t="s">
        <v>7919</v>
      </c>
      <c r="B713" s="4" t="s">
        <v>2928</v>
      </c>
      <c r="C713" s="4" t="n">
        <v>2009</v>
      </c>
      <c r="D713" s="4" t="s">
        <v>7920</v>
      </c>
      <c r="E713" s="4" t="str">
        <f aca="false">IF(B713="","",LOWER(B713)&amp;"|"&amp;C713)</f>
        <v>bad lieutenant: port of call – new orleans|2009</v>
      </c>
    </row>
    <row r="714" customFormat="false" ht="15" hidden="false" customHeight="false" outlineLevel="0" collapsed="false">
      <c r="A714" s="4" t="s">
        <v>7921</v>
      </c>
      <c r="B714" s="4" t="s">
        <v>7922</v>
      </c>
      <c r="C714" s="4" t="n">
        <v>2011</v>
      </c>
      <c r="D714" s="4" t="s">
        <v>7923</v>
      </c>
      <c r="E714" s="4" t="str">
        <f aca="false">IF(B714="","",LOWER(B714)&amp;"|"&amp;C714)</f>
        <v>horrible bosses|2011</v>
      </c>
    </row>
    <row r="715" customFormat="false" ht="15" hidden="false" customHeight="false" outlineLevel="0" collapsed="false">
      <c r="A715" s="4" t="s">
        <v>7924</v>
      </c>
      <c r="B715" s="4" t="s">
        <v>7925</v>
      </c>
      <c r="C715" s="4" t="n">
        <v>2018</v>
      </c>
      <c r="D715" s="4" t="s">
        <v>7926</v>
      </c>
      <c r="E715" s="4" t="str">
        <f aca="false">IF(B715="","",LOWER(B715)&amp;"|"&amp;C715)</f>
        <v>the old man &amp; the gun|2018</v>
      </c>
    </row>
    <row r="716" customFormat="false" ht="15" hidden="false" customHeight="false" outlineLevel="0" collapsed="false">
      <c r="A716" s="4" t="s">
        <v>7927</v>
      </c>
      <c r="B716" s="4" t="s">
        <v>495</v>
      </c>
      <c r="C716" s="4" t="n">
        <v>1991</v>
      </c>
      <c r="D716" s="4" t="s">
        <v>7928</v>
      </c>
      <c r="E716" s="4" t="str">
        <f aca="false">IF(B716="","",LOWER(B716)&amp;"|"&amp;C716)</f>
        <v>the silence of the lambs|1991</v>
      </c>
    </row>
    <row r="717" customFormat="false" ht="15" hidden="false" customHeight="false" outlineLevel="0" collapsed="false">
      <c r="A717" s="4" t="s">
        <v>7929</v>
      </c>
      <c r="B717" s="4" t="s">
        <v>7930</v>
      </c>
      <c r="C717" s="4" t="n">
        <v>2012</v>
      </c>
      <c r="D717" s="4" t="s">
        <v>7931</v>
      </c>
      <c r="E717" s="4" t="str">
        <f aca="false">IF(B717="","",LOWER(B717)&amp;"|"&amp;C717)</f>
        <v>argo|2012</v>
      </c>
    </row>
    <row r="718" customFormat="false" ht="15" hidden="false" customHeight="false" outlineLevel="0" collapsed="false">
      <c r="A718" s="4" t="s">
        <v>7929</v>
      </c>
      <c r="B718" s="4" t="s">
        <v>7932</v>
      </c>
      <c r="C718" s="4" t="n">
        <v>1984</v>
      </c>
      <c r="D718" s="4" t="s">
        <v>7933</v>
      </c>
      <c r="E718" s="4" t="str">
        <f aca="false">IF(B718="","",LOWER(B718)&amp;"|"&amp;C718)</f>
        <v>birdy|1984</v>
      </c>
    </row>
    <row r="719" customFormat="false" ht="15" hidden="false" customHeight="false" outlineLevel="0" collapsed="false">
      <c r="A719" s="4" t="s">
        <v>7934</v>
      </c>
      <c r="B719" s="4" t="s">
        <v>7935</v>
      </c>
      <c r="C719" s="4" t="n">
        <v>2023</v>
      </c>
      <c r="D719" s="4" t="s">
        <v>7936</v>
      </c>
      <c r="E719" s="4" t="str">
        <f aca="false">IF(B719="","",LOWER(B719)&amp;"|"&amp;C719)</f>
        <v>jules|2023</v>
      </c>
    </row>
    <row r="720" customFormat="false" ht="15" hidden="false" customHeight="false" outlineLevel="0" collapsed="false">
      <c r="A720" s="4" t="s">
        <v>7937</v>
      </c>
      <c r="B720" s="4" t="s">
        <v>7938</v>
      </c>
      <c r="C720" s="4" t="n">
        <v>2023</v>
      </c>
      <c r="D720" s="4" t="s">
        <v>7939</v>
      </c>
      <c r="E720" s="4" t="str">
        <f aca="false">IF(B720="","",LOWER(B720)&amp;"|"&amp;C720)</f>
        <v>indiana jones and the dial of destiny|2023</v>
      </c>
    </row>
    <row r="721" customFormat="false" ht="15" hidden="false" customHeight="false" outlineLevel="0" collapsed="false">
      <c r="A721" s="4" t="s">
        <v>7940</v>
      </c>
      <c r="B721" s="4" t="s">
        <v>3230</v>
      </c>
      <c r="C721" s="4" t="n">
        <v>2022</v>
      </c>
      <c r="D721" s="4" t="s">
        <v>7941</v>
      </c>
      <c r="E721" s="4" t="str">
        <f aca="false">IF(B721="","",LOWER(B721)&amp;"|"&amp;C721)</f>
        <v>stutz|2022</v>
      </c>
    </row>
    <row r="722" customFormat="false" ht="15" hidden="false" customHeight="false" outlineLevel="0" collapsed="false">
      <c r="A722" s="4" t="s">
        <v>7942</v>
      </c>
      <c r="B722" s="4" t="s">
        <v>7943</v>
      </c>
      <c r="C722" s="4" t="n">
        <v>2006</v>
      </c>
      <c r="D722" s="4" t="s">
        <v>7944</v>
      </c>
      <c r="E722" s="4" t="str">
        <f aca="false">IF(B722="","",LOWER(B722)&amp;"|"&amp;C722)</f>
        <v>accepted|2006</v>
      </c>
    </row>
    <row r="723" customFormat="false" ht="15" hidden="false" customHeight="false" outlineLevel="0" collapsed="false">
      <c r="A723" s="4" t="s">
        <v>7945</v>
      </c>
      <c r="B723" s="4" t="s">
        <v>7946</v>
      </c>
      <c r="C723" s="4" t="n">
        <v>2023</v>
      </c>
      <c r="D723" s="4" t="s">
        <v>7947</v>
      </c>
      <c r="E723" s="4" t="str">
        <f aca="false">IF(B723="","",LOWER(B723)&amp;"|"&amp;C723)</f>
        <v>mission: impossible – dead reckoning|2023</v>
      </c>
    </row>
    <row r="724" customFormat="false" ht="15" hidden="false" customHeight="false" outlineLevel="0" collapsed="false">
      <c r="A724" s="4" t="s">
        <v>7948</v>
      </c>
      <c r="B724" s="4" t="s">
        <v>3238</v>
      </c>
      <c r="C724" s="4" t="n">
        <v>2023</v>
      </c>
      <c r="D724" s="4" t="s">
        <v>7949</v>
      </c>
      <c r="E724" s="4" t="str">
        <f aca="false">IF(B724="","",LOWER(B724)&amp;"|"&amp;C724)</f>
        <v>asteroid city|2023</v>
      </c>
    </row>
    <row r="725" customFormat="false" ht="15" hidden="false" customHeight="false" outlineLevel="0" collapsed="false">
      <c r="A725" s="4" t="s">
        <v>7948</v>
      </c>
      <c r="B725" s="4" t="s">
        <v>7950</v>
      </c>
      <c r="C725" s="4" t="n">
        <v>2019</v>
      </c>
      <c r="D725" s="4" t="s">
        <v>7951</v>
      </c>
      <c r="E725" s="4" t="str">
        <f aca="false">IF(B725="","",LOWER(B725)&amp;"|"&amp;C725)</f>
        <v>dave chappelle: sticks &amp; stones|2019</v>
      </c>
    </row>
    <row r="726" customFormat="false" ht="15" hidden="false" customHeight="false" outlineLevel="0" collapsed="false">
      <c r="A726" s="4" t="s">
        <v>7952</v>
      </c>
      <c r="B726" s="4" t="s">
        <v>556</v>
      </c>
      <c r="C726" s="4" t="n">
        <v>2023</v>
      </c>
      <c r="D726" s="4" t="s">
        <v>7953</v>
      </c>
      <c r="E726" s="4" t="str">
        <f aca="false">IF(B726="","",LOWER(B726)&amp;"|"&amp;C726)</f>
        <v>oppenheimer|2023</v>
      </c>
    </row>
    <row r="727" customFormat="false" ht="15" hidden="false" customHeight="false" outlineLevel="0" collapsed="false">
      <c r="A727" s="4" t="s">
        <v>7954</v>
      </c>
      <c r="B727" s="4" t="s">
        <v>7955</v>
      </c>
      <c r="C727" s="4" t="n">
        <v>2010</v>
      </c>
      <c r="D727" s="4" t="s">
        <v>7956</v>
      </c>
      <c r="E727" s="4" t="str">
        <f aca="false">IF(B727="","",LOWER(B727)&amp;"|"&amp;C727)</f>
        <v>cyrus|2010</v>
      </c>
    </row>
    <row r="728" customFormat="false" ht="15" hidden="false" customHeight="false" outlineLevel="0" collapsed="false">
      <c r="A728" s="4" t="s">
        <v>7957</v>
      </c>
      <c r="B728" s="4" t="s">
        <v>7958</v>
      </c>
      <c r="C728" s="4" t="n">
        <v>2006</v>
      </c>
      <c r="D728" s="4" t="s">
        <v>7959</v>
      </c>
      <c r="E728" s="4" t="str">
        <f aca="false">IF(B728="","",LOWER(B728)&amp;"|"&amp;C728)</f>
        <v>the benchwarmers|2006</v>
      </c>
    </row>
    <row r="729" customFormat="false" ht="15" hidden="false" customHeight="false" outlineLevel="0" collapsed="false">
      <c r="A729" s="4" t="s">
        <v>7957</v>
      </c>
      <c r="B729" s="4" t="s">
        <v>2792</v>
      </c>
      <c r="C729" s="4" t="n">
        <v>2002</v>
      </c>
      <c r="D729" s="4" t="s">
        <v>7960</v>
      </c>
      <c r="E729" s="4" t="str">
        <f aca="false">IF(B729="","",LOWER(B729)&amp;"|"&amp;C729)</f>
        <v>phone booth|2002</v>
      </c>
    </row>
    <row r="730" customFormat="false" ht="15" hidden="false" customHeight="false" outlineLevel="0" collapsed="false">
      <c r="A730" s="4" t="s">
        <v>7961</v>
      </c>
      <c r="B730" s="4" t="s">
        <v>7962</v>
      </c>
      <c r="C730" s="4" t="n">
        <v>1967</v>
      </c>
      <c r="D730" s="4" t="s">
        <v>7963</v>
      </c>
      <c r="E730" s="4" t="str">
        <f aca="false">IF(B730="","",LOWER(B730)&amp;"|"&amp;C730)</f>
        <v>the dirty dozen|1967</v>
      </c>
    </row>
    <row r="731" customFormat="false" ht="15" hidden="false" customHeight="false" outlineLevel="0" collapsed="false">
      <c r="A731" s="4" t="s">
        <v>7964</v>
      </c>
      <c r="B731" s="4" t="s">
        <v>7965</v>
      </c>
      <c r="C731" s="4" t="n">
        <v>2022</v>
      </c>
      <c r="D731" s="4" t="s">
        <v>7966</v>
      </c>
      <c r="E731" s="4" t="str">
        <f aca="false">IF(B731="","",LOWER(B731)&amp;"|"&amp;C731)</f>
        <v>barbarian|2022</v>
      </c>
    </row>
    <row r="732" customFormat="false" ht="15" hidden="false" customHeight="false" outlineLevel="0" collapsed="false">
      <c r="A732" s="4" t="s">
        <v>7967</v>
      </c>
      <c r="B732" s="4" t="s">
        <v>2656</v>
      </c>
      <c r="C732" s="4" t="n">
        <v>1996</v>
      </c>
      <c r="D732" s="4" t="s">
        <v>7968</v>
      </c>
      <c r="E732" s="4" t="str">
        <f aca="false">IF(B732="","",LOWER(B732)&amp;"|"&amp;C732)</f>
        <v>twister|1996</v>
      </c>
    </row>
    <row r="733" customFormat="false" ht="15" hidden="false" customHeight="false" outlineLevel="0" collapsed="false">
      <c r="A733" s="4" t="s">
        <v>7969</v>
      </c>
      <c r="B733" s="4" t="s">
        <v>7970</v>
      </c>
      <c r="C733" s="4" t="n">
        <v>2005</v>
      </c>
      <c r="D733" s="4" t="s">
        <v>7971</v>
      </c>
      <c r="E733" s="4" t="str">
        <f aca="false">IF(B733="","",LOWER(B733)&amp;"|"&amp;C733)</f>
        <v>edmond|2005</v>
      </c>
    </row>
    <row r="734" customFormat="false" ht="15" hidden="false" customHeight="false" outlineLevel="0" collapsed="false">
      <c r="A734" s="4" t="s">
        <v>7972</v>
      </c>
      <c r="B734" s="4" t="s">
        <v>7973</v>
      </c>
      <c r="C734" s="4" t="n">
        <v>1946</v>
      </c>
      <c r="D734" s="4" t="s">
        <v>7974</v>
      </c>
      <c r="E734" s="4" t="str">
        <f aca="false">IF(B734="","",LOWER(B734)&amp;"|"&amp;C734)</f>
        <v>the stranger|1946</v>
      </c>
    </row>
    <row r="735" customFormat="false" ht="15" hidden="false" customHeight="false" outlineLevel="0" collapsed="false">
      <c r="A735" s="4" t="s">
        <v>7972</v>
      </c>
      <c r="B735" s="4" t="s">
        <v>7975</v>
      </c>
      <c r="C735" s="4" t="n">
        <v>1993</v>
      </c>
      <c r="D735" s="4" t="s">
        <v>7976</v>
      </c>
      <c r="E735" s="4" t="str">
        <f aca="false">IF(B735="","",LOWER(B735)&amp;"|"&amp;C735)</f>
        <v>rudy|1993</v>
      </c>
    </row>
    <row r="736" customFormat="false" ht="15" hidden="false" customHeight="false" outlineLevel="0" collapsed="false">
      <c r="A736" s="4" t="s">
        <v>7977</v>
      </c>
      <c r="B736" s="4" t="s">
        <v>7978</v>
      </c>
      <c r="C736" s="4" t="n">
        <v>2015</v>
      </c>
      <c r="D736" s="4" t="s">
        <v>7979</v>
      </c>
      <c r="E736" s="4" t="str">
        <f aca="false">IF(B736="","",LOWER(B736)&amp;"|"&amp;C736)</f>
        <v>goosebumps|2015</v>
      </c>
    </row>
    <row r="737" customFormat="false" ht="15" hidden="false" customHeight="false" outlineLevel="0" collapsed="false">
      <c r="A737" s="4" t="s">
        <v>7980</v>
      </c>
      <c r="B737" s="4" t="s">
        <v>7981</v>
      </c>
      <c r="C737" s="4" t="n">
        <v>2023</v>
      </c>
      <c r="D737" s="4" t="s">
        <v>7982</v>
      </c>
      <c r="E737" s="4" t="str">
        <f aca="false">IF(B737="","",LOWER(B737)&amp;"|"&amp;C737)</f>
        <v>barbie|2023</v>
      </c>
    </row>
    <row r="738" customFormat="false" ht="15" hidden="false" customHeight="false" outlineLevel="0" collapsed="false">
      <c r="A738" s="4" t="s">
        <v>7980</v>
      </c>
      <c r="B738" s="4" t="s">
        <v>2069</v>
      </c>
      <c r="C738" s="4" t="n">
        <v>2023</v>
      </c>
      <c r="D738" s="4" t="s">
        <v>7983</v>
      </c>
      <c r="E738" s="4" t="str">
        <f aca="false">IF(B738="","",LOWER(B738)&amp;"|"&amp;C738)</f>
        <v>the hill|2023</v>
      </c>
    </row>
    <row r="739" customFormat="false" ht="15" hidden="false" customHeight="false" outlineLevel="0" collapsed="false">
      <c r="A739" s="4" t="s">
        <v>7984</v>
      </c>
      <c r="B739" s="4" t="s">
        <v>593</v>
      </c>
      <c r="C739" s="4" t="n">
        <v>1970</v>
      </c>
      <c r="D739" s="4" t="s">
        <v>7985</v>
      </c>
      <c r="E739" s="4" t="str">
        <f aca="false">IF(B739="","",LOWER(B739)&amp;"|"&amp;C739)</f>
        <v>five easy pieces|1970</v>
      </c>
    </row>
    <row r="740" customFormat="false" ht="15" hidden="false" customHeight="false" outlineLevel="0" collapsed="false">
      <c r="A740" s="4" t="s">
        <v>7986</v>
      </c>
      <c r="B740" s="4" t="s">
        <v>7987</v>
      </c>
      <c r="C740" s="4" t="n">
        <v>2006</v>
      </c>
      <c r="D740" s="4" t="s">
        <v>7988</v>
      </c>
      <c r="E740" s="4" t="str">
        <f aca="false">IF(B740="","",LOWER(B740)&amp;"|"&amp;C740)</f>
        <v>deck the halls|2006</v>
      </c>
    </row>
    <row r="741" customFormat="false" ht="15" hidden="false" customHeight="false" outlineLevel="0" collapsed="false">
      <c r="A741" s="4" t="s">
        <v>7989</v>
      </c>
      <c r="B741" s="4" t="s">
        <v>7990</v>
      </c>
      <c r="C741" s="4" t="n">
        <v>2023</v>
      </c>
      <c r="D741" s="4" t="s">
        <v>7991</v>
      </c>
      <c r="E741" s="4" t="str">
        <f aca="false">IF(B741="","",LOWER(B741)&amp;"|"&amp;C741)</f>
        <v>dream scenario|2023</v>
      </c>
    </row>
    <row r="742" customFormat="false" ht="15" hidden="false" customHeight="false" outlineLevel="0" collapsed="false">
      <c r="A742" s="4" t="s">
        <v>7989</v>
      </c>
      <c r="B742" s="4" t="s">
        <v>882</v>
      </c>
      <c r="C742" s="4" t="n">
        <v>2023</v>
      </c>
      <c r="D742" s="4" t="s">
        <v>7992</v>
      </c>
      <c r="E742" s="4" t="str">
        <f aca="false">IF(B742="","",LOWER(B742)&amp;"|"&amp;C742)</f>
        <v>the holdovers|2023</v>
      </c>
    </row>
    <row r="743" customFormat="false" ht="15" hidden="false" customHeight="false" outlineLevel="0" collapsed="false">
      <c r="A743" s="4" t="s">
        <v>7993</v>
      </c>
      <c r="B743" s="4" t="s">
        <v>7994</v>
      </c>
      <c r="C743" s="4" t="n">
        <v>2008</v>
      </c>
      <c r="D743" s="4" t="s">
        <v>7995</v>
      </c>
      <c r="E743" s="4" t="str">
        <f aca="false">IF(B743="","",LOWER(B743)&amp;"|"&amp;C743)</f>
        <v>a muppets christmas: letters to santa|2008</v>
      </c>
    </row>
    <row r="744" customFormat="false" ht="15" hidden="false" customHeight="false" outlineLevel="0" collapsed="false">
      <c r="A744" s="4" t="s">
        <v>7993</v>
      </c>
      <c r="B744" s="4" t="s">
        <v>7996</v>
      </c>
      <c r="C744" s="4" t="n">
        <v>2003</v>
      </c>
      <c r="D744" s="4" t="s">
        <v>7997</v>
      </c>
      <c r="E744" s="4" t="str">
        <f aca="false">IF(B744="","",LOWER(B744)&amp;"|"&amp;C744)</f>
        <v>love actually|2003</v>
      </c>
    </row>
    <row r="745" customFormat="false" ht="15" hidden="false" customHeight="false" outlineLevel="0" collapsed="false">
      <c r="A745" s="4" t="s">
        <v>7998</v>
      </c>
      <c r="B745" s="4" t="s">
        <v>7999</v>
      </c>
      <c r="C745" s="4" t="n">
        <v>2021</v>
      </c>
      <c r="D745" s="4" t="s">
        <v>8000</v>
      </c>
      <c r="E745" s="4" t="str">
        <f aca="false">IF(B745="","",LOWER(B745)&amp;"|"&amp;C745)</f>
        <v>yes day|2021</v>
      </c>
    </row>
    <row r="746" customFormat="false" ht="15" hidden="false" customHeight="false" outlineLevel="0" collapsed="false">
      <c r="A746" s="4" t="s">
        <v>7998</v>
      </c>
      <c r="B746" s="4" t="s">
        <v>8001</v>
      </c>
      <c r="C746" s="4" t="n">
        <v>2002</v>
      </c>
      <c r="D746" s="4" t="s">
        <v>8002</v>
      </c>
      <c r="E746" s="4" t="str">
        <f aca="false">IF(B746="","",LOWER(B746)&amp;"|"&amp;C746)</f>
        <v>hollywood ending|2002</v>
      </c>
    </row>
    <row r="747" customFormat="false" ht="15" hidden="false" customHeight="false" outlineLevel="0" collapsed="false">
      <c r="A747" s="4" t="s">
        <v>7998</v>
      </c>
      <c r="B747" s="4" t="s">
        <v>306</v>
      </c>
      <c r="C747" s="4" t="n">
        <v>1946</v>
      </c>
      <c r="D747" s="4" t="s">
        <v>8003</v>
      </c>
      <c r="E747" s="4" t="str">
        <f aca="false">IF(B747="","",LOWER(B747)&amp;"|"&amp;C747)</f>
        <v>it's a wonderful life|1946</v>
      </c>
    </row>
    <row r="748" customFormat="false" ht="15" hidden="false" customHeight="false" outlineLevel="0" collapsed="false">
      <c r="A748" s="4" t="s">
        <v>8004</v>
      </c>
      <c r="B748" s="4" t="s">
        <v>8005</v>
      </c>
      <c r="C748" s="4" t="n">
        <v>2009</v>
      </c>
      <c r="D748" s="4" t="s">
        <v>8006</v>
      </c>
      <c r="E748" s="4" t="str">
        <f aca="false">IF(B748="","",LOWER(B748)&amp;"|"&amp;C748)</f>
        <v>the informant!|2009</v>
      </c>
    </row>
    <row r="749" customFormat="false" ht="15" hidden="false" customHeight="false" outlineLevel="0" collapsed="false">
      <c r="A749" s="4" t="s">
        <v>8004</v>
      </c>
      <c r="B749" s="4" t="s">
        <v>478</v>
      </c>
      <c r="C749" s="4" t="n">
        <v>1971</v>
      </c>
      <c r="D749" s="4" t="s">
        <v>8007</v>
      </c>
      <c r="E749" s="4" t="str">
        <f aca="false">IF(B749="","",LOWER(B749)&amp;"|"&amp;C749)</f>
        <v>the french connection|1971</v>
      </c>
    </row>
    <row r="750" customFormat="false" ht="15" hidden="false" customHeight="false" outlineLevel="0" collapsed="false">
      <c r="A750" s="4" t="s">
        <v>8008</v>
      </c>
      <c r="B750" s="4" t="s">
        <v>8009</v>
      </c>
      <c r="C750" s="4" t="n">
        <v>1963</v>
      </c>
      <c r="D750" s="4" t="s">
        <v>8010</v>
      </c>
      <c r="E750" s="4" t="str">
        <f aca="false">IF(B750="","",LOWER(B750)&amp;"|"&amp;C750)</f>
        <v>the pink panther|1963</v>
      </c>
    </row>
    <row r="751" customFormat="false" ht="15" hidden="false" customHeight="false" outlineLevel="0" collapsed="false">
      <c r="A751" s="4" t="s">
        <v>8008</v>
      </c>
      <c r="B751" s="4" t="s">
        <v>8011</v>
      </c>
      <c r="C751" s="4" t="n">
        <v>1986</v>
      </c>
      <c r="D751" s="4" t="s">
        <v>8012</v>
      </c>
      <c r="E751" s="4" t="str">
        <f aca="false">IF(B751="","",LOWER(B751)&amp;"|"&amp;C751)</f>
        <v>hoosiers|1986</v>
      </c>
    </row>
    <row r="752" customFormat="false" ht="15" hidden="false" customHeight="false" outlineLevel="0" collapsed="false">
      <c r="A752" s="4" t="s">
        <v>8013</v>
      </c>
      <c r="B752" s="4" t="s">
        <v>8014</v>
      </c>
      <c r="C752" s="4" t="n">
        <v>2013</v>
      </c>
      <c r="D752" s="4" t="s">
        <v>8015</v>
      </c>
      <c r="E752" s="4" t="str">
        <f aca="false">IF(B752="","",LOWER(B752)&amp;"|"&amp;C752)</f>
        <v>clear history|2013</v>
      </c>
    </row>
    <row r="753" customFormat="false" ht="15" hidden="false" customHeight="false" outlineLevel="0" collapsed="false">
      <c r="A753" s="4" t="s">
        <v>8016</v>
      </c>
      <c r="B753" s="4" t="s">
        <v>8017</v>
      </c>
      <c r="C753" s="4" t="n">
        <v>1979</v>
      </c>
      <c r="D753" s="4" t="s">
        <v>8018</v>
      </c>
      <c r="E753" s="4" t="str">
        <f aca="false">IF(B753="","",LOWER(B753)&amp;"|"&amp;C753)</f>
        <v>...and justice for all|1979</v>
      </c>
    </row>
    <row r="754" customFormat="false" ht="15" hidden="false" customHeight="false" outlineLevel="0" collapsed="false">
      <c r="A754" s="4" t="s">
        <v>8019</v>
      </c>
      <c r="B754" s="4" t="s">
        <v>8020</v>
      </c>
      <c r="C754" s="4" t="n">
        <v>1988</v>
      </c>
      <c r="D754" s="4" t="s">
        <v>8021</v>
      </c>
      <c r="E754" s="4" t="str">
        <f aca="false">IF(B754="","",LOWER(B754)&amp;"|"&amp;C754)</f>
        <v>the great outdoors|1988</v>
      </c>
    </row>
    <row r="755" customFormat="false" ht="15" hidden="false" customHeight="false" outlineLevel="0" collapsed="false">
      <c r="A755" s="4" t="s">
        <v>8022</v>
      </c>
      <c r="B755" s="4" t="s">
        <v>8023</v>
      </c>
      <c r="C755" s="4" t="n">
        <v>2023</v>
      </c>
      <c r="D755" s="4" t="s">
        <v>8024</v>
      </c>
      <c r="E755" s="4" t="str">
        <f aca="false">IF(B755="","",LOWER(B755)&amp;"|"&amp;C755)</f>
        <v>blackberry|2023</v>
      </c>
    </row>
    <row r="756" customFormat="false" ht="15" hidden="false" customHeight="false" outlineLevel="0" collapsed="false">
      <c r="A756" s="4" t="s">
        <v>8025</v>
      </c>
      <c r="B756" s="4" t="s">
        <v>1113</v>
      </c>
      <c r="C756" s="4" t="n">
        <v>1995</v>
      </c>
      <c r="D756" s="4" t="s">
        <v>8026</v>
      </c>
      <c r="E756" s="4" t="str">
        <f aca="false">IF(B756="","",LOWER(B756)&amp;"|"&amp;C756)</f>
        <v>clockers|1995</v>
      </c>
    </row>
    <row r="757" customFormat="false" ht="15" hidden="false" customHeight="false" outlineLevel="0" collapsed="false">
      <c r="A757" s="4" t="s">
        <v>8025</v>
      </c>
      <c r="B757" s="4" t="s">
        <v>167</v>
      </c>
      <c r="C757" s="4" t="n">
        <v>1940</v>
      </c>
      <c r="D757" s="4" t="s">
        <v>8027</v>
      </c>
      <c r="E757" s="4" t="str">
        <f aca="false">IF(B757="","",LOWER(B757)&amp;"|"&amp;C757)</f>
        <v>his girl friday|1940</v>
      </c>
    </row>
    <row r="758" customFormat="false" ht="15" hidden="false" customHeight="false" outlineLevel="0" collapsed="false">
      <c r="A758" s="4" t="s">
        <v>8025</v>
      </c>
      <c r="B758" s="4" t="s">
        <v>8028</v>
      </c>
      <c r="C758" s="4" t="n">
        <v>2023</v>
      </c>
      <c r="D758" s="4" t="s">
        <v>8029</v>
      </c>
      <c r="E758" s="4" t="str">
        <f aca="false">IF(B758="","",LOWER(B758)&amp;"|"&amp;C758)</f>
        <v>dave chappelle: the dreamer|2023</v>
      </c>
    </row>
    <row r="759" customFormat="false" ht="15" hidden="false" customHeight="false" outlineLevel="0" collapsed="false">
      <c r="A759" s="4" t="s">
        <v>8030</v>
      </c>
      <c r="B759" s="4" t="s">
        <v>913</v>
      </c>
      <c r="C759" s="4" t="n">
        <v>1936</v>
      </c>
      <c r="D759" s="4" t="s">
        <v>8031</v>
      </c>
      <c r="E759" s="4" t="str">
        <f aca="false">IF(B759="","",LOWER(B759)&amp;"|"&amp;C759)</f>
        <v>modern times|1936</v>
      </c>
    </row>
    <row r="760" customFormat="false" ht="15" hidden="false" customHeight="false" outlineLevel="0" collapsed="false">
      <c r="A760" s="4" t="s">
        <v>8032</v>
      </c>
      <c r="B760" s="4" t="s">
        <v>8033</v>
      </c>
      <c r="C760" s="4" t="n">
        <v>2011</v>
      </c>
      <c r="D760" s="4" t="s">
        <v>8034</v>
      </c>
      <c r="E760" s="4" t="str">
        <f aca="false">IF(B760="","",LOWER(B760)&amp;"|"&amp;C760)</f>
        <v>cedar rapids|2011</v>
      </c>
    </row>
    <row r="761" customFormat="false" ht="15" hidden="false" customHeight="false" outlineLevel="0" collapsed="false">
      <c r="A761" s="4" t="s">
        <v>8035</v>
      </c>
      <c r="B761" s="4" t="s">
        <v>8036</v>
      </c>
      <c r="C761" s="4" t="n">
        <v>2004</v>
      </c>
      <c r="D761" s="4" t="s">
        <v>8037</v>
      </c>
      <c r="E761" s="4" t="str">
        <f aca="false">IF(B761="","",LOWER(B761)&amp;"|"&amp;C761)</f>
        <v>strip search|2004</v>
      </c>
    </row>
    <row r="762" customFormat="false" ht="15" hidden="false" customHeight="false" outlineLevel="0" collapsed="false">
      <c r="A762" s="4" t="s">
        <v>8038</v>
      </c>
      <c r="B762" s="4" t="s">
        <v>8039</v>
      </c>
      <c r="C762" s="4" t="n">
        <v>1985</v>
      </c>
      <c r="D762" s="4" t="s">
        <v>8040</v>
      </c>
      <c r="E762" s="4" t="str">
        <f aca="false">IF(B762="","",LOWER(B762)&amp;"|"&amp;C762)</f>
        <v>weird science|1985</v>
      </c>
    </row>
    <row r="763" customFormat="false" ht="15" hidden="false" customHeight="false" outlineLevel="0" collapsed="false">
      <c r="A763" s="4" t="s">
        <v>8041</v>
      </c>
      <c r="B763" s="4" t="s">
        <v>8042</v>
      </c>
      <c r="C763" s="4" t="n">
        <v>1989</v>
      </c>
      <c r="D763" s="4" t="s">
        <v>8043</v>
      </c>
      <c r="E763" s="4" t="str">
        <f aca="false">IF(B763="","",LOWER(B763)&amp;"|"&amp;C763)</f>
        <v>uncle buck|1989</v>
      </c>
    </row>
    <row r="764" customFormat="false" ht="15" hidden="false" customHeight="false" outlineLevel="0" collapsed="false">
      <c r="A764" s="4" t="s">
        <v>8044</v>
      </c>
      <c r="B764" s="4" t="s">
        <v>8045</v>
      </c>
      <c r="C764" s="4" t="n">
        <v>1974</v>
      </c>
      <c r="D764" s="4" t="s">
        <v>8046</v>
      </c>
      <c r="E764" s="4" t="str">
        <f aca="false">IF(B764="","",LOWER(B764)&amp;"|"&amp;C764)</f>
        <v>murder on the orient express|1974</v>
      </c>
    </row>
    <row r="765" customFormat="false" ht="15" hidden="false" customHeight="false" outlineLevel="0" collapsed="false">
      <c r="A765" s="4" t="s">
        <v>8047</v>
      </c>
      <c r="B765" s="4" t="s">
        <v>8048</v>
      </c>
      <c r="C765" s="4" t="n">
        <v>2010</v>
      </c>
      <c r="D765" s="4" t="s">
        <v>8049</v>
      </c>
      <c r="E765" s="4" t="str">
        <f aca="false">IF(B765="","",LOWER(B765)&amp;"|"&amp;C765)</f>
        <v>machete|2010</v>
      </c>
    </row>
    <row r="766" customFormat="false" ht="15" hidden="false" customHeight="false" outlineLevel="0" collapsed="false">
      <c r="A766" s="4" t="s">
        <v>8050</v>
      </c>
      <c r="B766" s="4" t="s">
        <v>8051</v>
      </c>
      <c r="C766" s="4" t="n">
        <v>2008</v>
      </c>
      <c r="D766" s="4" t="s">
        <v>8052</v>
      </c>
      <c r="E766" s="4" t="str">
        <f aca="false">IF(B766="","",LOWER(B766)&amp;"|"&amp;C766)</f>
        <v>what just happened|2008</v>
      </c>
    </row>
    <row r="767" customFormat="false" ht="15" hidden="false" customHeight="false" outlineLevel="0" collapsed="false">
      <c r="A767" s="4" t="s">
        <v>8053</v>
      </c>
      <c r="B767" s="4" t="s">
        <v>8054</v>
      </c>
      <c r="C767" s="4" t="n">
        <v>1997</v>
      </c>
      <c r="D767" s="4" t="s">
        <v>8055</v>
      </c>
      <c r="E767" s="4" t="str">
        <f aca="false">IF(B767="","",LOWER(B767)&amp;"|"&amp;C767)</f>
        <v>deconstructing harry|1997</v>
      </c>
    </row>
    <row r="768" customFormat="false" ht="15" hidden="false" customHeight="false" outlineLevel="0" collapsed="false">
      <c r="A768" s="4" t="s">
        <v>8056</v>
      </c>
      <c r="B768" s="4" t="s">
        <v>8057</v>
      </c>
      <c r="C768" s="4" t="n">
        <v>2008</v>
      </c>
      <c r="D768" s="4" t="s">
        <v>8058</v>
      </c>
      <c r="E768" s="4" t="str">
        <f aca="false">IF(B768="","",LOWER(B768)&amp;"|"&amp;C768)</f>
        <v>vicky cristina barcelona|2008</v>
      </c>
    </row>
    <row r="769" customFormat="false" ht="15" hidden="false" customHeight="false" outlineLevel="0" collapsed="false">
      <c r="A769" s="4" t="s">
        <v>8059</v>
      </c>
      <c r="B769" s="4" t="s">
        <v>8060</v>
      </c>
      <c r="C769" s="4" t="n">
        <v>1996</v>
      </c>
      <c r="D769" s="4" t="s">
        <v>8061</v>
      </c>
      <c r="E769" s="4" t="str">
        <f aca="false">IF(B769="","",LOWER(B769)&amp;"|"&amp;C769)</f>
        <v>everyone says i love you|1996</v>
      </c>
    </row>
    <row r="770" customFormat="false" ht="15" hidden="false" customHeight="false" outlineLevel="0" collapsed="false">
      <c r="A770" s="4" t="s">
        <v>8062</v>
      </c>
      <c r="B770" s="4" t="s">
        <v>8063</v>
      </c>
      <c r="C770" s="4" t="n">
        <v>2000</v>
      </c>
      <c r="D770" s="4" t="s">
        <v>8064</v>
      </c>
      <c r="E770" s="4" t="str">
        <f aca="false">IF(B770="","",LOWER(B770)&amp;"|"&amp;C770)</f>
        <v>small time crooks|2000</v>
      </c>
    </row>
    <row r="771" customFormat="false" ht="15" hidden="false" customHeight="false" outlineLevel="0" collapsed="false">
      <c r="A771" s="4" t="s">
        <v>8062</v>
      </c>
      <c r="B771" s="4" t="s">
        <v>8065</v>
      </c>
      <c r="C771" s="4" t="n">
        <v>1957</v>
      </c>
      <c r="D771" s="4" t="s">
        <v>8066</v>
      </c>
      <c r="E771" s="4" t="str">
        <f aca="false">IF(B771="","",LOWER(B771)&amp;"|"&amp;C771)</f>
        <v>not of this earth|1957</v>
      </c>
    </row>
    <row r="772" customFormat="false" ht="15" hidden="false" customHeight="false" outlineLevel="0" collapsed="false">
      <c r="A772" s="4" t="s">
        <v>8062</v>
      </c>
      <c r="B772" s="4" t="s">
        <v>8067</v>
      </c>
      <c r="C772" s="4" t="n">
        <v>2014</v>
      </c>
      <c r="D772" s="4" t="s">
        <v>8068</v>
      </c>
      <c r="E772" s="4" t="str">
        <f aca="false">IF(B772="","",LOWER(B772)&amp;"|"&amp;C772)</f>
        <v>dumb and dumber to|2014</v>
      </c>
    </row>
    <row r="773" customFormat="false" ht="15" hidden="false" customHeight="false" outlineLevel="0" collapsed="false">
      <c r="A773" s="4" t="s">
        <v>8069</v>
      </c>
      <c r="B773" s="4" t="s">
        <v>8070</v>
      </c>
      <c r="C773" s="4" t="n">
        <v>1993</v>
      </c>
      <c r="D773" s="4" t="s">
        <v>8071</v>
      </c>
      <c r="E773" s="4" t="str">
        <f aca="false">IF(B773="","",LOWER(B773)&amp;"|"&amp;C773)</f>
        <v>manhattan murder mystery|1993</v>
      </c>
    </row>
    <row r="774" customFormat="false" ht="15" hidden="false" customHeight="false" outlineLevel="0" collapsed="false">
      <c r="A774" s="4" t="s">
        <v>8072</v>
      </c>
      <c r="B774" s="4" t="s">
        <v>8073</v>
      </c>
      <c r="C774" s="4" t="n">
        <v>1971</v>
      </c>
      <c r="D774" s="4" t="s">
        <v>8074</v>
      </c>
      <c r="E774" s="4" t="str">
        <f aca="false">IF(B774="","",LOWER(B774)&amp;"|"&amp;C774)</f>
        <v>play misty for me|1971</v>
      </c>
    </row>
    <row r="775" customFormat="false" ht="15" hidden="false" customHeight="false" outlineLevel="0" collapsed="false">
      <c r="A775" s="4" t="s">
        <v>8075</v>
      </c>
      <c r="B775" s="4" t="s">
        <v>8076</v>
      </c>
      <c r="C775" s="4" t="n">
        <v>1985</v>
      </c>
      <c r="D775" s="4" t="s">
        <v>8077</v>
      </c>
      <c r="E775" s="4" t="str">
        <f aca="false">IF(B775="","",LOWER(B775)&amp;"|"&amp;C775)</f>
        <v>the purple rose of cairo|1985</v>
      </c>
    </row>
    <row r="776" customFormat="false" ht="15" hidden="false" customHeight="false" outlineLevel="0" collapsed="false">
      <c r="A776" s="4" t="s">
        <v>8078</v>
      </c>
      <c r="B776" s="4" t="s">
        <v>8079</v>
      </c>
      <c r="C776" s="4" t="n">
        <v>1986</v>
      </c>
      <c r="D776" s="4" t="s">
        <v>8080</v>
      </c>
      <c r="E776" s="4" t="str">
        <f aca="false">IF(B776="","",LOWER(B776)&amp;"|"&amp;C776)</f>
        <v>hannah and her sisters|1986</v>
      </c>
    </row>
    <row r="777" customFormat="false" ht="15" hidden="false" customHeight="false" outlineLevel="0" collapsed="false">
      <c r="A777" s="4" t="s">
        <v>8081</v>
      </c>
      <c r="B777" s="4" t="s">
        <v>8082</v>
      </c>
      <c r="C777" s="4" t="n">
        <v>2019</v>
      </c>
      <c r="D777" s="4" t="s">
        <v>8083</v>
      </c>
      <c r="E777" s="4" t="str">
        <f aca="false">IF(B777="","",LOWER(B777)&amp;"|"&amp;C777)</f>
        <v>a rainy day in new york|2019</v>
      </c>
    </row>
    <row r="778" customFormat="false" ht="15" hidden="false" customHeight="false" outlineLevel="0" collapsed="false">
      <c r="A778" s="4" t="s">
        <v>8084</v>
      </c>
      <c r="B778" s="4" t="s">
        <v>8085</v>
      </c>
      <c r="C778" s="4" t="n">
        <v>1995</v>
      </c>
      <c r="D778" s="4" t="s">
        <v>8086</v>
      </c>
      <c r="E778" s="4" t="str">
        <f aca="false">IF(B778="","",LOWER(B778)&amp;"|"&amp;C778)</f>
        <v>mighty aphrodite|1995</v>
      </c>
    </row>
    <row r="779" customFormat="false" ht="15" hidden="false" customHeight="false" outlineLevel="0" collapsed="false">
      <c r="A779" s="4" t="s">
        <v>8087</v>
      </c>
      <c r="B779" s="4" t="s">
        <v>2382</v>
      </c>
      <c r="C779" s="4" t="n">
        <v>1983</v>
      </c>
      <c r="D779" s="4" t="s">
        <v>8088</v>
      </c>
      <c r="E779" s="4" t="str">
        <f aca="false">IF(B779="","",LOWER(B779)&amp;"|"&amp;C779)</f>
        <v>zelig|1983</v>
      </c>
    </row>
    <row r="780" customFormat="false" ht="15" hidden="false" customHeight="false" outlineLevel="0" collapsed="false">
      <c r="A780" s="4" t="s">
        <v>8089</v>
      </c>
      <c r="B780" s="4" t="s">
        <v>8090</v>
      </c>
      <c r="C780" s="4" t="n">
        <v>2024</v>
      </c>
      <c r="D780" s="4" t="s">
        <v>8091</v>
      </c>
      <c r="E780" s="4" t="str">
        <f aca="false">IF(B780="","",LOWER(B780)&amp;"|"&amp;C780)</f>
        <v>inside out 2|2024</v>
      </c>
    </row>
    <row r="781" customFormat="false" ht="15" hidden="false" customHeight="false" outlineLevel="0" collapsed="false">
      <c r="A781" s="4" t="s">
        <v>8092</v>
      </c>
      <c r="B781" s="4" t="s">
        <v>8093</v>
      </c>
      <c r="C781" s="4" t="n">
        <v>2010</v>
      </c>
      <c r="D781" s="4" t="s">
        <v>8094</v>
      </c>
      <c r="E781" s="4" t="str">
        <f aca="false">IF(B781="","",LOWER(B781)&amp;"|"&amp;C781)</f>
        <v>due date|2010</v>
      </c>
    </row>
    <row r="782" customFormat="false" ht="15" hidden="false" customHeight="false" outlineLevel="0" collapsed="false">
      <c r="A782" s="4" t="s">
        <v>8095</v>
      </c>
      <c r="B782" s="4" t="s">
        <v>8096</v>
      </c>
      <c r="C782" s="4" t="n">
        <v>1955</v>
      </c>
      <c r="D782" s="4" t="s">
        <v>8097</v>
      </c>
      <c r="E782" s="4" t="str">
        <f aca="false">IF(B782="","",LOWER(B782)&amp;"|"&amp;C782)</f>
        <v>marty|1955</v>
      </c>
    </row>
    <row r="783" customFormat="false" ht="15" hidden="false" customHeight="false" outlineLevel="0" collapsed="false">
      <c r="A783" s="4" t="s">
        <v>8098</v>
      </c>
      <c r="B783" s="4" t="s">
        <v>2598</v>
      </c>
      <c r="C783" s="4" t="n">
        <v>1994</v>
      </c>
      <c r="D783" s="4" t="s">
        <v>8099</v>
      </c>
      <c r="E783" s="4" t="str">
        <f aca="false">IF(B783="","",LOWER(B783)&amp;"|"&amp;C783)</f>
        <v>the shawshank redemption|1994</v>
      </c>
    </row>
    <row r="784" customFormat="false" ht="15" hidden="false" customHeight="false" outlineLevel="0" collapsed="false">
      <c r="A784" s="4" t="s">
        <v>8100</v>
      </c>
      <c r="B784" s="4" t="s">
        <v>8101</v>
      </c>
      <c r="C784" s="4" t="n">
        <v>2020</v>
      </c>
      <c r="D784" s="4" t="s">
        <v>8102</v>
      </c>
      <c r="E784" s="4" t="str">
        <f aca="false">IF(B784="","",LOWER(B784)&amp;"|"&amp;C784)</f>
        <v>shiva baby|2020</v>
      </c>
    </row>
    <row r="785" customFormat="false" ht="15" hidden="false" customHeight="false" outlineLevel="0" collapsed="false">
      <c r="A785" s="4" t="s">
        <v>8103</v>
      </c>
      <c r="B785" s="4" t="s">
        <v>2864</v>
      </c>
      <c r="C785" s="4" t="n">
        <v>2006</v>
      </c>
      <c r="D785" s="4" t="s">
        <v>8104</v>
      </c>
      <c r="E785" s="4" t="str">
        <f aca="false">IF(B785="","",LOWER(B785)&amp;"|"&amp;C785)</f>
        <v>déjà vu|2006</v>
      </c>
    </row>
    <row r="786" customFormat="false" ht="15" hidden="false" customHeight="false" outlineLevel="0" collapsed="false">
      <c r="A786" s="4" t="s">
        <v>8105</v>
      </c>
      <c r="B786" s="4" t="s">
        <v>8106</v>
      </c>
      <c r="C786" s="4" t="n">
        <v>1995</v>
      </c>
      <c r="D786" s="4" t="s">
        <v>8107</v>
      </c>
      <c r="E786" s="4" t="str">
        <f aca="false">IF(B786="","",LOWER(B786)&amp;"|"&amp;C786)</f>
        <v>babe|1995</v>
      </c>
    </row>
    <row r="787" customFormat="false" ht="15" hidden="false" customHeight="false" outlineLevel="0" collapsed="false">
      <c r="A787" s="4" t="s">
        <v>8108</v>
      </c>
      <c r="B787" s="4" t="s">
        <v>8109</v>
      </c>
      <c r="C787" s="4" t="n">
        <v>1986</v>
      </c>
      <c r="D787" s="4" t="s">
        <v>8110</v>
      </c>
      <c r="E787" s="4" t="str">
        <f aca="false">IF(B787="","",LOWER(B787)&amp;"|"&amp;C787)</f>
        <v>the color of money|1986</v>
      </c>
    </row>
    <row r="788" customFormat="false" ht="15" hidden="false" customHeight="false" outlineLevel="0" collapsed="false">
      <c r="A788" s="4" t="s">
        <v>8111</v>
      </c>
      <c r="B788" s="4" t="s">
        <v>8112</v>
      </c>
      <c r="C788" s="4" t="n">
        <v>1998</v>
      </c>
      <c r="D788" s="4" t="s">
        <v>8113</v>
      </c>
      <c r="E788" s="4" t="str">
        <f aca="false">IF(B788="","",LOWER(B788)&amp;"|"&amp;C788)</f>
        <v>the waterboy|1998</v>
      </c>
    </row>
    <row r="789" customFormat="false" ht="15" hidden="false" customHeight="false" outlineLevel="0" collapsed="false">
      <c r="A789" s="4" t="s">
        <v>8114</v>
      </c>
      <c r="B789" s="4" t="s">
        <v>8115</v>
      </c>
      <c r="C789" s="4" t="n">
        <v>1995</v>
      </c>
      <c r="D789" s="4" t="s">
        <v>8116</v>
      </c>
      <c r="E789" s="4" t="str">
        <f aca="false">IF(B789="","",LOWER(B789)&amp;"|"&amp;C789)</f>
        <v>get shorty|1995</v>
      </c>
    </row>
    <row r="790" customFormat="false" ht="15" hidden="false" customHeight="false" outlineLevel="0" collapsed="false">
      <c r="A790" s="4" t="s">
        <v>8117</v>
      </c>
      <c r="B790" s="4" t="s">
        <v>8118</v>
      </c>
      <c r="C790" s="4" t="n">
        <v>2005</v>
      </c>
      <c r="D790" s="4" t="s">
        <v>8119</v>
      </c>
      <c r="E790" s="4" t="str">
        <f aca="false">IF(B790="","",LOWER(B790)&amp;"|"&amp;C790)</f>
        <v>be cool|2005</v>
      </c>
    </row>
    <row r="791" customFormat="false" ht="15" hidden="false" customHeight="false" outlineLevel="0" collapsed="false">
      <c r="A791" s="4" t="s">
        <v>8120</v>
      </c>
      <c r="B791" s="4" t="s">
        <v>8121</v>
      </c>
      <c r="C791" s="4" t="n">
        <v>2003</v>
      </c>
      <c r="D791" s="4" t="s">
        <v>8122</v>
      </c>
      <c r="E791" s="4" t="str">
        <f aca="false">IF(B791="","",LOWER(B791)&amp;"|"&amp;C791)</f>
        <v>american splendor|2003</v>
      </c>
    </row>
    <row r="792" customFormat="false" ht="15" hidden="false" customHeight="false" outlineLevel="0" collapsed="false">
      <c r="A792" s="4" t="s">
        <v>8120</v>
      </c>
      <c r="B792" s="4" t="s">
        <v>8123</v>
      </c>
      <c r="C792" s="4" t="n">
        <v>1997</v>
      </c>
      <c r="D792" s="4" t="s">
        <v>8124</v>
      </c>
      <c r="E792" s="4" t="str">
        <f aca="false">IF(B792="","",LOWER(B792)&amp;"|"&amp;C792)</f>
        <v>affliction|1997</v>
      </c>
    </row>
    <row r="793" customFormat="false" ht="15" hidden="false" customHeight="false" outlineLevel="0" collapsed="false">
      <c r="A793" s="4" t="s">
        <v>8125</v>
      </c>
      <c r="B793" s="4" t="s">
        <v>8126</v>
      </c>
      <c r="C793" s="4" t="n">
        <v>2008</v>
      </c>
      <c r="D793" s="4" t="s">
        <v>8127</v>
      </c>
      <c r="E793" s="4" t="str">
        <f aca="false">IF(B793="","",LOWER(B793)&amp;"|"&amp;C793)</f>
        <v>bedtime stories|2008</v>
      </c>
    </row>
    <row r="794" customFormat="false" ht="15" hidden="false" customHeight="false" outlineLevel="0" collapsed="false">
      <c r="A794" s="4" t="s">
        <v>8128</v>
      </c>
      <c r="B794" s="4" t="s">
        <v>2777</v>
      </c>
      <c r="C794" s="4" t="n">
        <v>2002</v>
      </c>
      <c r="D794" s="4" t="s">
        <v>8129</v>
      </c>
      <c r="E794" s="4" t="str">
        <f aca="false">IF(B794="","",LOWER(B794)&amp;"|"&amp;C794)</f>
        <v>the bourne identity|2002</v>
      </c>
    </row>
    <row r="795" customFormat="false" ht="15" hidden="false" customHeight="false" outlineLevel="0" collapsed="false">
      <c r="A795" s="4" t="s">
        <v>8130</v>
      </c>
      <c r="B795" s="4" t="s">
        <v>3093</v>
      </c>
      <c r="C795" s="4" t="n">
        <v>2016</v>
      </c>
      <c r="D795" s="4" t="s">
        <v>8131</v>
      </c>
      <c r="E795" s="4" t="str">
        <f aca="false">IF(B795="","",LOWER(B795)&amp;"|"&amp;C795)</f>
        <v>i, daniel blake|2016</v>
      </c>
    </row>
    <row r="796" customFormat="false" ht="15" hidden="false" customHeight="false" outlineLevel="0" collapsed="false">
      <c r="A796" s="4" t="s">
        <v>8132</v>
      </c>
      <c r="B796" s="4" t="s">
        <v>3263</v>
      </c>
      <c r="C796" s="4" t="n">
        <v>2024</v>
      </c>
      <c r="D796" s="4" t="s">
        <v>8133</v>
      </c>
      <c r="E796" s="4" t="str">
        <f aca="false">IF(B796="","",LOWER(B796)&amp;"|"&amp;C796)</f>
        <v>saturday night|2024</v>
      </c>
    </row>
    <row r="797" customFormat="false" ht="15" hidden="false" customHeight="false" outlineLevel="0" collapsed="false">
      <c r="A797" s="4" t="s">
        <v>8134</v>
      </c>
      <c r="B797" s="4" t="s">
        <v>8135</v>
      </c>
      <c r="C797" s="4" t="n">
        <v>1994</v>
      </c>
      <c r="D797" s="4" t="s">
        <v>8136</v>
      </c>
      <c r="E797" s="4" t="str">
        <f aca="false">IF(B797="","",LOWER(B797)&amp;"|"&amp;C797)</f>
        <v>legends of the fall|1994</v>
      </c>
    </row>
    <row r="798" customFormat="false" ht="15" hidden="false" customHeight="false" outlineLevel="0" collapsed="false">
      <c r="A798" s="4" t="s">
        <v>8137</v>
      </c>
      <c r="B798" s="4" t="s">
        <v>8138</v>
      </c>
      <c r="C798" s="4" t="n">
        <v>1997</v>
      </c>
      <c r="D798" s="4" t="s">
        <v>8139</v>
      </c>
      <c r="E798" s="4" t="str">
        <f aca="false">IF(B798="","",LOWER(B798)&amp;"|"&amp;C798)</f>
        <v>seven years in tibet|1997</v>
      </c>
    </row>
    <row r="799" customFormat="false" ht="15" hidden="false" customHeight="false" outlineLevel="0" collapsed="false">
      <c r="A799" s="4" t="s">
        <v>8137</v>
      </c>
      <c r="B799" s="4" t="s">
        <v>8140</v>
      </c>
      <c r="C799" s="4" t="n">
        <v>1989</v>
      </c>
      <c r="D799" s="4" t="s">
        <v>8141</v>
      </c>
      <c r="E799" s="4" t="str">
        <f aca="false">IF(B799="","",LOWER(B799)&amp;"|"&amp;C799)</f>
        <v>garfield's thanksgiving|1989</v>
      </c>
    </row>
    <row r="800" customFormat="false" ht="15" hidden="false" customHeight="false" outlineLevel="0" collapsed="false">
      <c r="A800" s="4" t="s">
        <v>8142</v>
      </c>
      <c r="B800" s="4" t="s">
        <v>1150</v>
      </c>
      <c r="C800" s="4" t="n">
        <v>2001</v>
      </c>
      <c r="D800" s="4" t="s">
        <v>8143</v>
      </c>
      <c r="E800" s="4" t="str">
        <f aca="false">IF(B800="","",LOWER(B800)&amp;"|"&amp;C800)</f>
        <v>donnie darko|2001</v>
      </c>
    </row>
    <row r="801" customFormat="false" ht="15" hidden="false" customHeight="false" outlineLevel="0" collapsed="false">
      <c r="A801" s="4" t="s">
        <v>8144</v>
      </c>
      <c r="B801" s="4" t="s">
        <v>8145</v>
      </c>
      <c r="C801" s="4" t="n">
        <v>2023</v>
      </c>
      <c r="D801" s="4" t="s">
        <v>8146</v>
      </c>
      <c r="E801" s="4" t="str">
        <f aca="false">IF(B801="","",LOWER(B801)&amp;"|"&amp;C801)</f>
        <v>ruby gillman, teenage kraken|2023</v>
      </c>
    </row>
    <row r="802" customFormat="false" ht="15" hidden="false" customHeight="false" outlineLevel="0" collapsed="false">
      <c r="A802" s="4" t="s">
        <v>8144</v>
      </c>
      <c r="B802" s="4" t="s">
        <v>8147</v>
      </c>
      <c r="C802" s="4" t="n">
        <v>1993</v>
      </c>
      <c r="D802" s="4" t="s">
        <v>8148</v>
      </c>
      <c r="E802" s="4" t="str">
        <f aca="false">IF(B802="","",LOWER(B802)&amp;"|"&amp;C802)</f>
        <v>hot shots! part deux|1993</v>
      </c>
    </row>
    <row r="803" customFormat="false" ht="15" hidden="false" customHeight="false" outlineLevel="0" collapsed="false">
      <c r="A803" s="4" t="s">
        <v>8149</v>
      </c>
      <c r="B803" s="4" t="s">
        <v>966</v>
      </c>
      <c r="C803" s="4" t="n">
        <v>1963</v>
      </c>
      <c r="D803" s="4" t="s">
        <v>8150</v>
      </c>
      <c r="E803" s="4" t="str">
        <f aca="false">IF(B803="","",LOWER(B803)&amp;"|"&amp;C803)</f>
        <v>high and low|1963</v>
      </c>
    </row>
    <row r="804" customFormat="false" ht="15" hidden="false" customHeight="false" outlineLevel="0" collapsed="false">
      <c r="A804" s="4" t="s">
        <v>8151</v>
      </c>
      <c r="B804" s="4" t="s">
        <v>8152</v>
      </c>
      <c r="C804" s="4" t="n">
        <v>2024</v>
      </c>
      <c r="D804" s="4" t="s">
        <v>8153</v>
      </c>
      <c r="E804" s="4" t="str">
        <f aca="false">IF(B804="","",LOWER(B804)&amp;"|"&amp;C804)</f>
        <v>nutcrackers|2024</v>
      </c>
    </row>
    <row r="805" customFormat="false" ht="15" hidden="false" customHeight="false" outlineLevel="0" collapsed="false">
      <c r="A805" s="4" t="s">
        <v>8154</v>
      </c>
      <c r="B805" s="4" t="s">
        <v>8155</v>
      </c>
      <c r="C805" s="4" t="n">
        <v>2003</v>
      </c>
      <c r="D805" s="4" t="s">
        <v>8156</v>
      </c>
      <c r="E805" s="4" t="str">
        <f aca="false">IF(B805="","",LOWER(B805)&amp;"|"&amp;C805)</f>
        <v>bad santa|2003</v>
      </c>
    </row>
    <row r="806" customFormat="false" ht="15" hidden="false" customHeight="false" outlineLevel="0" collapsed="false">
      <c r="A806" s="4" t="s">
        <v>8157</v>
      </c>
      <c r="B806" s="4" t="s">
        <v>8158</v>
      </c>
      <c r="C806" s="4" t="n">
        <v>2010</v>
      </c>
      <c r="D806" s="4" t="s">
        <v>8159</v>
      </c>
      <c r="E806" s="4" t="str">
        <f aca="false">IF(B806="","",LOWER(B806)&amp;"|"&amp;C806)</f>
        <v>hurricane season|2010</v>
      </c>
    </row>
    <row r="807" customFormat="false" ht="15" hidden="false" customHeight="false" outlineLevel="0" collapsed="false">
      <c r="A807" s="4" t="s">
        <v>8157</v>
      </c>
      <c r="B807" s="4" t="s">
        <v>8160</v>
      </c>
      <c r="C807" s="4" t="n">
        <v>2015</v>
      </c>
      <c r="D807" s="4" t="s">
        <v>8161</v>
      </c>
      <c r="E807" s="4" t="str">
        <f aca="false">IF(B807="","",LOWER(B807)&amp;"|"&amp;C807)</f>
        <v>a very murray christmas|2015</v>
      </c>
    </row>
    <row r="808" customFormat="false" ht="15" hidden="false" customHeight="false" outlineLevel="0" collapsed="false">
      <c r="A808" s="4" t="s">
        <v>8157</v>
      </c>
      <c r="B808" s="4" t="s">
        <v>3186</v>
      </c>
      <c r="C808" s="4" t="n">
        <v>2019</v>
      </c>
      <c r="D808" s="4" t="s">
        <v>8162</v>
      </c>
      <c r="E808" s="4" t="str">
        <f aca="false">IF(B808="","",LOWER(B808)&amp;"|"&amp;C808)</f>
        <v>klaus|2019</v>
      </c>
    </row>
    <row r="809" customFormat="false" ht="15" hidden="false" customHeight="false" outlineLevel="0" collapsed="false">
      <c r="A809" s="4" t="s">
        <v>8163</v>
      </c>
      <c r="B809" s="4" t="s">
        <v>8164</v>
      </c>
      <c r="C809" s="4" t="n">
        <v>1968</v>
      </c>
      <c r="D809" s="4" t="s">
        <v>8165</v>
      </c>
      <c r="E809" s="4" t="str">
        <f aca="false">IF(B809="","",LOWER(B809)&amp;"|"&amp;C809)</f>
        <v>the little drummer boy|1968</v>
      </c>
    </row>
    <row r="810" customFormat="false" ht="15" hidden="false" customHeight="false" outlineLevel="0" collapsed="false">
      <c r="A810" s="4" t="s">
        <v>8166</v>
      </c>
      <c r="B810" s="4" t="s">
        <v>8167</v>
      </c>
      <c r="C810" s="4" t="n">
        <v>2022</v>
      </c>
      <c r="D810" s="4" t="s">
        <v>8168</v>
      </c>
      <c r="E810" s="4" t="str">
        <f aca="false">IF(B810="","",LOWER(B810)&amp;"|"&amp;C810)</f>
        <v>violent night|2022</v>
      </c>
    </row>
    <row r="811" customFormat="false" ht="15" hidden="false" customHeight="false" outlineLevel="0" collapsed="false">
      <c r="A811" s="4" t="s">
        <v>8166</v>
      </c>
      <c r="B811" s="4" t="s">
        <v>8169</v>
      </c>
      <c r="C811" s="4" t="n">
        <v>2024</v>
      </c>
      <c r="D811" s="4" t="s">
        <v>8170</v>
      </c>
      <c r="E811" s="4" t="str">
        <f aca="false">IF(B811="","",LOWER(B811)&amp;"|"&amp;C811)</f>
        <v>kraven the hunter|2024</v>
      </c>
    </row>
    <row r="812" customFormat="false" ht="15" hidden="false" customHeight="false" outlineLevel="0" collapsed="false">
      <c r="A812" s="4" t="s">
        <v>8171</v>
      </c>
      <c r="B812" s="4" t="s">
        <v>8172</v>
      </c>
      <c r="C812" s="4" t="n">
        <v>2002</v>
      </c>
      <c r="D812" s="4" t="s">
        <v>8173</v>
      </c>
      <c r="E812" s="4" t="str">
        <f aca="false">IF(B812="","",LOWER(B812)&amp;"|"&amp;C812)</f>
        <v>it's a very merry muppet christmas movie|2002</v>
      </c>
    </row>
    <row r="813" customFormat="false" ht="15" hidden="false" customHeight="false" outlineLevel="0" collapsed="false">
      <c r="A813" s="4" t="s">
        <v>8174</v>
      </c>
      <c r="B813" s="4" t="s">
        <v>8175</v>
      </c>
      <c r="C813" s="4" t="n">
        <v>1992</v>
      </c>
      <c r="D813" s="4" t="s">
        <v>8176</v>
      </c>
      <c r="E813" s="4" t="str">
        <f aca="false">IF(B813="","",LOWER(B813)&amp;"|"&amp;C813)</f>
        <v>the muppet christmas carol|1992</v>
      </c>
    </row>
    <row r="814" customFormat="false" ht="15" hidden="false" customHeight="false" outlineLevel="0" collapsed="false">
      <c r="A814" s="4" t="s">
        <v>8177</v>
      </c>
      <c r="B814" s="4" t="s">
        <v>1821</v>
      </c>
      <c r="C814" s="4" t="n">
        <v>1944</v>
      </c>
      <c r="D814" s="4" t="s">
        <v>8178</v>
      </c>
      <c r="E814" s="4" t="str">
        <f aca="false">IF(B814="","",LOWER(B814)&amp;"|"&amp;C814)</f>
        <v>ivan the terrible, part i|1944</v>
      </c>
    </row>
    <row r="815" customFormat="false" ht="15" hidden="false" customHeight="false" outlineLevel="0" collapsed="false">
      <c r="A815" s="4" t="s">
        <v>8179</v>
      </c>
      <c r="B815" s="4" t="s">
        <v>235</v>
      </c>
      <c r="C815" s="4" t="n">
        <v>1952</v>
      </c>
      <c r="D815" s="4" t="s">
        <v>8180</v>
      </c>
      <c r="E815" s="4" t="str">
        <f aca="false">IF(B815="","",LOWER(B815)&amp;"|"&amp;C815)</f>
        <v>ikiru|1952</v>
      </c>
    </row>
    <row r="816" customFormat="false" ht="15" hidden="false" customHeight="false" outlineLevel="0" collapsed="false">
      <c r="A816" s="4" t="s">
        <v>8181</v>
      </c>
      <c r="B816" s="4" t="s">
        <v>448</v>
      </c>
      <c r="C816" s="4" t="n">
        <v>2024</v>
      </c>
      <c r="D816" s="4" t="s">
        <v>8182</v>
      </c>
      <c r="E816" s="4" t="str">
        <f aca="false">IF(B816="","",LOWER(B816)&amp;"|"&amp;C816)</f>
        <v>nosferatu|2024</v>
      </c>
    </row>
    <row r="817" customFormat="false" ht="15" hidden="false" customHeight="false" outlineLevel="0" collapsed="false">
      <c r="A817" s="4" t="s">
        <v>8183</v>
      </c>
      <c r="B817" s="4" t="s">
        <v>3479</v>
      </c>
      <c r="C817" s="4" t="n">
        <v>1970</v>
      </c>
      <c r="D817" s="4" t="s">
        <v>8184</v>
      </c>
      <c r="E817" s="4" t="str">
        <f aca="false">IF(B817="","",LOWER(B817)&amp;"|"&amp;C817)</f>
        <v>dodes'ka-den|1970</v>
      </c>
    </row>
    <row r="818" customFormat="false" ht="15" hidden="false" customHeight="false" outlineLevel="0" collapsed="false">
      <c r="A818" s="4" t="s">
        <v>8185</v>
      </c>
      <c r="B818" s="4" t="s">
        <v>8186</v>
      </c>
      <c r="C818" s="4" t="n">
        <v>2024</v>
      </c>
      <c r="D818" s="4" t="s">
        <v>8187</v>
      </c>
      <c r="E818" s="4" t="str">
        <f aca="false">IF(B818="","",LOWER(B818)&amp;"|"&amp;C818)</f>
        <v>a complete unknown|2024</v>
      </c>
    </row>
    <row r="819" customFormat="false" ht="15" hidden="false" customHeight="false" outlineLevel="0" collapsed="false">
      <c r="A819" s="4" t="s">
        <v>8188</v>
      </c>
      <c r="B819" s="4" t="s">
        <v>3270</v>
      </c>
      <c r="C819" s="4" t="n">
        <v>1894</v>
      </c>
      <c r="D819" s="4" t="s">
        <v>8189</v>
      </c>
      <c r="E819" s="4" t="str">
        <f aca="false">IF(B819="","",LOWER(B819)&amp;"|"&amp;C819)</f>
        <v>edison kinetoscopic record of a sneeze|1894</v>
      </c>
    </row>
    <row r="820" customFormat="false" ht="15" hidden="false" customHeight="false" outlineLevel="0" collapsed="false">
      <c r="A820" s="4" t="s">
        <v>8188</v>
      </c>
      <c r="B820" s="4" t="s">
        <v>8190</v>
      </c>
      <c r="C820" s="4" t="n">
        <v>1890</v>
      </c>
      <c r="D820" s="4" t="s">
        <v>8191</v>
      </c>
      <c r="E820" s="4" t="str">
        <f aca="false">IF(B820="","",LOWER(B820)&amp;"|"&amp;C820)</f>
        <v>monkeyshines, no. 1|1890</v>
      </c>
    </row>
    <row r="821" customFormat="false" ht="15" hidden="false" customHeight="false" outlineLevel="0" collapsed="false">
      <c r="A821" s="4" t="s">
        <v>8188</v>
      </c>
      <c r="B821" s="4" t="s">
        <v>8192</v>
      </c>
      <c r="C821" s="4" t="n">
        <v>1890</v>
      </c>
      <c r="D821" s="4" t="s">
        <v>8193</v>
      </c>
      <c r="E821" s="4" t="str">
        <f aca="false">IF(B821="","",LOWER(B821)&amp;"|"&amp;C821)</f>
        <v>monkeyshines, no. 2|1890</v>
      </c>
    </row>
    <row r="822" customFormat="false" ht="15" hidden="false" customHeight="false" outlineLevel="0" collapsed="false">
      <c r="A822" s="4" t="s">
        <v>8188</v>
      </c>
      <c r="B822" s="4" t="s">
        <v>8194</v>
      </c>
      <c r="C822" s="4" t="n">
        <v>1891</v>
      </c>
      <c r="D822" s="4" t="s">
        <v>8195</v>
      </c>
      <c r="E822" s="4" t="str">
        <f aca="false">IF(B822="","",LOWER(B822)&amp;"|"&amp;C822)</f>
        <v>men boxing|1891</v>
      </c>
    </row>
    <row r="823" customFormat="false" ht="15" hidden="false" customHeight="false" outlineLevel="0" collapsed="false">
      <c r="A823" s="4" t="s">
        <v>8188</v>
      </c>
      <c r="B823" s="4" t="s">
        <v>8196</v>
      </c>
      <c r="C823" s="4" t="n">
        <v>1891</v>
      </c>
      <c r="D823" s="4" t="s">
        <v>8197</v>
      </c>
      <c r="E823" s="4" t="str">
        <f aca="false">IF(B823="","",LOWER(B823)&amp;"|"&amp;C823)</f>
        <v>newark athlete|1891</v>
      </c>
    </row>
    <row r="824" customFormat="false" ht="15" hidden="false" customHeight="false" outlineLevel="0" collapsed="false">
      <c r="A824" s="4" t="s">
        <v>8188</v>
      </c>
      <c r="B824" s="4" t="s">
        <v>8198</v>
      </c>
      <c r="C824" s="4" t="n">
        <v>1891</v>
      </c>
      <c r="D824" s="4" t="s">
        <v>8199</v>
      </c>
      <c r="E824" s="4" t="str">
        <f aca="false">IF(B824="","",LOWER(B824)&amp;"|"&amp;C824)</f>
        <v>dickson greeting|1891</v>
      </c>
    </row>
    <row r="825" customFormat="false" ht="15" hidden="false" customHeight="false" outlineLevel="0" collapsed="false">
      <c r="A825" s="4" t="s">
        <v>8188</v>
      </c>
      <c r="B825" s="4" t="s">
        <v>8200</v>
      </c>
      <c r="C825" s="4" t="n">
        <v>1893</v>
      </c>
      <c r="D825" s="4" t="s">
        <v>8201</v>
      </c>
      <c r="E825" s="4" t="str">
        <f aca="false">IF(B825="","",LOWER(B825)&amp;"|"&amp;C825)</f>
        <v>blacksmithing scene|1893</v>
      </c>
    </row>
    <row r="826" customFormat="false" ht="15" hidden="false" customHeight="false" outlineLevel="0" collapsed="false">
      <c r="A826" s="4" t="s">
        <v>8188</v>
      </c>
      <c r="B826" s="4" t="s">
        <v>8202</v>
      </c>
      <c r="C826" s="4" t="n">
        <v>1894</v>
      </c>
      <c r="D826" s="4" t="s">
        <v>8203</v>
      </c>
      <c r="E826" s="4" t="str">
        <f aca="false">IF(B826="","",LOWER(B826)&amp;"|"&amp;C826)</f>
        <v>the barber shop|1894</v>
      </c>
    </row>
    <row r="827" customFormat="false" ht="15" hidden="false" customHeight="false" outlineLevel="0" collapsed="false">
      <c r="A827" s="4" t="s">
        <v>8188</v>
      </c>
      <c r="B827" s="4" t="s">
        <v>8204</v>
      </c>
      <c r="C827" s="4" t="n">
        <v>1894</v>
      </c>
      <c r="D827" s="4" t="s">
        <v>8205</v>
      </c>
      <c r="E827" s="4" t="str">
        <f aca="false">IF(B827="","",LOWER(B827)&amp;"|"&amp;C827)</f>
        <v>annabelle butterfly dance|1894</v>
      </c>
    </row>
    <row r="828" customFormat="false" ht="15" hidden="false" customHeight="false" outlineLevel="0" collapsed="false">
      <c r="A828" s="4" t="s">
        <v>8188</v>
      </c>
      <c r="B828" s="4" t="s">
        <v>8206</v>
      </c>
      <c r="C828" s="4" t="n">
        <v>1894</v>
      </c>
      <c r="D828" s="4" t="s">
        <v>8207</v>
      </c>
      <c r="E828" s="4" t="str">
        <f aca="false">IF(B828="","",LOWER(B828)&amp;"|"&amp;C828)</f>
        <v>luis martinetti, contortionist|1894</v>
      </c>
    </row>
    <row r="829" customFormat="false" ht="15" hidden="false" customHeight="false" outlineLevel="0" collapsed="false">
      <c r="A829" s="4" t="s">
        <v>8188</v>
      </c>
      <c r="B829" s="4" t="s">
        <v>8208</v>
      </c>
      <c r="C829" s="4" t="n">
        <v>1894</v>
      </c>
      <c r="D829" s="4" t="s">
        <v>8209</v>
      </c>
      <c r="E829" s="4" t="str">
        <f aca="false">IF(B829="","",LOWER(B829)&amp;"|"&amp;C829)</f>
        <v>cock fight, no. 2|1894</v>
      </c>
    </row>
    <row r="830" customFormat="false" ht="15" hidden="false" customHeight="false" outlineLevel="0" collapsed="false">
      <c r="A830" s="4" t="s">
        <v>8188</v>
      </c>
      <c r="B830" s="4" t="s">
        <v>8210</v>
      </c>
      <c r="C830" s="4" t="n">
        <v>1894</v>
      </c>
      <c r="D830" s="4" t="s">
        <v>8211</v>
      </c>
      <c r="E830" s="4" t="str">
        <f aca="false">IF(B830="","",LOWER(B830)&amp;"|"&amp;C830)</f>
        <v>athlete with wand|1894</v>
      </c>
    </row>
    <row r="831" customFormat="false" ht="15" hidden="false" customHeight="false" outlineLevel="0" collapsed="false">
      <c r="A831" s="4" t="s">
        <v>8188</v>
      </c>
      <c r="B831" s="4" t="s">
        <v>8212</v>
      </c>
      <c r="C831" s="4" t="n">
        <v>1894</v>
      </c>
      <c r="D831" s="4" t="s">
        <v>8213</v>
      </c>
      <c r="E831" s="4" t="str">
        <f aca="false">IF(B831="","",LOWER(B831)&amp;"|"&amp;C831)</f>
        <v>carmencita|1894</v>
      </c>
    </row>
    <row r="832" customFormat="false" ht="15" hidden="false" customHeight="false" outlineLevel="0" collapsed="false">
      <c r="A832" s="4" t="s">
        <v>8188</v>
      </c>
      <c r="B832" s="4" t="s">
        <v>8214</v>
      </c>
      <c r="C832" s="4" t="n">
        <v>1894</v>
      </c>
      <c r="D832" s="4" t="s">
        <v>8215</v>
      </c>
      <c r="E832" s="4" t="str">
        <f aca="false">IF(B832="","",LOWER(B832)&amp;"|"&amp;C832)</f>
        <v>chinese laundry scene|1894</v>
      </c>
    </row>
    <row r="833" customFormat="false" ht="15" hidden="false" customHeight="false" outlineLevel="0" collapsed="false">
      <c r="A833" s="4" t="s">
        <v>8188</v>
      </c>
      <c r="B833" s="4" t="s">
        <v>8216</v>
      </c>
      <c r="C833" s="4" t="n">
        <v>1894</v>
      </c>
      <c r="D833" s="4" t="s">
        <v>8217</v>
      </c>
      <c r="E833" s="4" t="str">
        <f aca="false">IF(B833="","",LOWER(B833)&amp;"|"&amp;C833)</f>
        <v>sandow: the strong man|1894</v>
      </c>
    </row>
    <row r="834" customFormat="false" ht="15" hidden="false" customHeight="false" outlineLevel="0" collapsed="false">
      <c r="A834" s="4" t="s">
        <v>8188</v>
      </c>
      <c r="B834" s="4" t="s">
        <v>8218</v>
      </c>
      <c r="C834" s="4" t="n">
        <v>1894</v>
      </c>
      <c r="D834" s="4" t="s">
        <v>8219</v>
      </c>
      <c r="E834" s="4" t="str">
        <f aca="false">IF(B834="","",LOWER(B834)&amp;"|"&amp;C834)</f>
        <v>the boxing cats|1894</v>
      </c>
    </row>
    <row r="835" customFormat="false" ht="15" hidden="false" customHeight="false" outlineLevel="0" collapsed="false">
      <c r="A835" s="4" t="s">
        <v>8188</v>
      </c>
      <c r="B835" s="4" t="s">
        <v>1427</v>
      </c>
      <c r="C835" s="4" t="n">
        <v>1896</v>
      </c>
      <c r="D835" s="4" t="s">
        <v>8220</v>
      </c>
      <c r="E835" s="4" t="str">
        <f aca="false">IF(B835="","",LOWER(B835)&amp;"|"&amp;C835)</f>
        <v>the arrival of a train at la ciotat|1896</v>
      </c>
    </row>
    <row r="836" customFormat="false" ht="15" hidden="false" customHeight="false" outlineLevel="0" collapsed="false">
      <c r="A836" s="4" t="s">
        <v>8188</v>
      </c>
      <c r="B836" s="4" t="s">
        <v>1665</v>
      </c>
      <c r="C836" s="4" t="n">
        <v>1901</v>
      </c>
      <c r="D836" s="4" t="s">
        <v>8221</v>
      </c>
      <c r="E836" s="4" t="str">
        <f aca="false">IF(B836="","",LOWER(B836)&amp;"|"&amp;C836)</f>
        <v>the big swallow|1901</v>
      </c>
    </row>
    <row r="837" customFormat="false" ht="15" hidden="false" customHeight="false" outlineLevel="0" collapsed="false">
      <c r="A837" s="4" t="s">
        <v>8188</v>
      </c>
      <c r="B837" s="4" t="s">
        <v>719</v>
      </c>
      <c r="C837" s="4" t="n">
        <v>1902</v>
      </c>
      <c r="D837" s="4" t="s">
        <v>8222</v>
      </c>
      <c r="E837" s="4" t="str">
        <f aca="false">IF(B837="","",LOWER(B837)&amp;"|"&amp;C837)</f>
        <v>a trip to the moon|1902</v>
      </c>
    </row>
    <row r="838" customFormat="false" ht="15" hidden="false" customHeight="false" outlineLevel="0" collapsed="false">
      <c r="A838" s="4" t="s">
        <v>8223</v>
      </c>
      <c r="B838" s="4" t="s">
        <v>281</v>
      </c>
      <c r="C838" s="4" t="n">
        <v>1927</v>
      </c>
      <c r="D838" s="4" t="s">
        <v>8224</v>
      </c>
      <c r="E838" s="4" t="str">
        <f aca="false">IF(B838="","",LOWER(B838)&amp;"|"&amp;C838)</f>
        <v>metropolis|1927</v>
      </c>
    </row>
    <row r="839" customFormat="false" ht="15" hidden="false" customHeight="false" outlineLevel="0" collapsed="false">
      <c r="A839" s="4" t="s">
        <v>8225</v>
      </c>
      <c r="B839" s="4" t="s">
        <v>8226</v>
      </c>
      <c r="C839" s="4" t="n">
        <v>2000</v>
      </c>
      <c r="D839" s="4" t="s">
        <v>8227</v>
      </c>
      <c r="E839" s="4" t="str">
        <f aca="false">IF(B839="","",LOWER(B839)&amp;"|"&amp;C839)</f>
        <v>under suspicion|2000</v>
      </c>
    </row>
    <row r="840" customFormat="false" ht="15" hidden="false" customHeight="false" outlineLevel="0" collapsed="false">
      <c r="A840" s="4" t="s">
        <v>8228</v>
      </c>
      <c r="B840" s="4" t="s">
        <v>2271</v>
      </c>
      <c r="C840" s="4" t="n">
        <v>1975</v>
      </c>
      <c r="D840" s="4" t="s">
        <v>8229</v>
      </c>
      <c r="E840" s="4" t="str">
        <f aca="false">IF(B840="","",LOWER(B840)&amp;"|"&amp;C840)</f>
        <v>dersu uzala|1975</v>
      </c>
    </row>
    <row r="841" customFormat="false" ht="15" hidden="false" customHeight="false" outlineLevel="0" collapsed="false">
      <c r="A841" s="4" t="s">
        <v>8230</v>
      </c>
      <c r="B841" s="4" t="s">
        <v>8231</v>
      </c>
      <c r="C841" s="4" t="n">
        <v>2017</v>
      </c>
      <c r="D841" s="4" t="s">
        <v>8232</v>
      </c>
      <c r="E841" s="4" t="str">
        <f aca="false">IF(B841="","",LOWER(B841)&amp;"|"&amp;C841)</f>
        <v>nathan for you: finding frances|2017</v>
      </c>
    </row>
    <row r="842" customFormat="false" ht="15" hidden="false" customHeight="false" outlineLevel="0" collapsed="false">
      <c r="A842" s="4" t="s">
        <v>8233</v>
      </c>
      <c r="B842" s="4" t="s">
        <v>8234</v>
      </c>
      <c r="C842" s="4" t="n">
        <v>1951</v>
      </c>
      <c r="D842" s="4" t="s">
        <v>8235</v>
      </c>
      <c r="E842" s="4" t="str">
        <f aca="false">IF(B842="","",LOWER(B842)&amp;"|"&amp;C842)</f>
        <v>day of the fight|1951</v>
      </c>
    </row>
    <row r="843" customFormat="false" ht="15" hidden="false" customHeight="false" outlineLevel="0" collapsed="false">
      <c r="A843" s="4" t="s">
        <v>8233</v>
      </c>
      <c r="B843" s="4" t="s">
        <v>8236</v>
      </c>
      <c r="C843" s="4" t="n">
        <v>1951</v>
      </c>
      <c r="D843" s="4" t="s">
        <v>8237</v>
      </c>
      <c r="E843" s="4" t="str">
        <f aca="false">IF(B843="","",LOWER(B843)&amp;"|"&amp;C843)</f>
        <v>flying padre|1951</v>
      </c>
    </row>
    <row r="844" customFormat="false" ht="15" hidden="false" customHeight="false" outlineLevel="0" collapsed="false">
      <c r="A844" s="4" t="s">
        <v>8233</v>
      </c>
      <c r="B844" s="4" t="s">
        <v>3362</v>
      </c>
      <c r="C844" s="4" t="n">
        <v>1952</v>
      </c>
      <c r="D844" s="4" t="s">
        <v>8238</v>
      </c>
      <c r="E844" s="4" t="str">
        <f aca="false">IF(B844="","",LOWER(B844)&amp;"|"&amp;C844)</f>
        <v>fear and desire|1952</v>
      </c>
    </row>
    <row r="845" customFormat="false" ht="15" hidden="false" customHeight="false" outlineLevel="0" collapsed="false">
      <c r="A845" s="4" t="s">
        <v>8239</v>
      </c>
      <c r="B845" s="4" t="s">
        <v>3380</v>
      </c>
      <c r="C845" s="4" t="n">
        <v>1955</v>
      </c>
      <c r="D845" s="4" t="s">
        <v>8240</v>
      </c>
      <c r="E845" s="4" t="str">
        <f aca="false">IF(B845="","",LOWER(B845)&amp;"|"&amp;C845)</f>
        <v>killer's kiss|1955</v>
      </c>
    </row>
    <row r="846" customFormat="false" ht="15" hidden="false" customHeight="false" outlineLevel="0" collapsed="false">
      <c r="A846" s="4" t="s">
        <v>8239</v>
      </c>
      <c r="B846" s="4" t="s">
        <v>8241</v>
      </c>
      <c r="C846" s="4" t="n">
        <v>1953</v>
      </c>
      <c r="D846" s="4" t="s">
        <v>8242</v>
      </c>
      <c r="E846" s="4" t="str">
        <f aca="false">IF(B846="","",LOWER(B846)&amp;"|"&amp;C846)</f>
        <v>the seafarers|1953</v>
      </c>
    </row>
    <row r="847" customFormat="false" ht="15" hidden="false" customHeight="false" outlineLevel="0" collapsed="false">
      <c r="A847" s="4" t="s">
        <v>8243</v>
      </c>
      <c r="B847" s="4" t="s">
        <v>8244</v>
      </c>
      <c r="C847" s="4" t="n">
        <v>2021</v>
      </c>
      <c r="D847" s="4" t="s">
        <v>8245</v>
      </c>
      <c r="E847" s="4" t="str">
        <f aca="false">IF(B847="","",LOWER(B847)&amp;"|"&amp;C847)</f>
        <v>blue bayou|2021</v>
      </c>
    </row>
    <row r="848" customFormat="false" ht="15" hidden="false" customHeight="false" outlineLevel="0" collapsed="false">
      <c r="A848" s="4" t="s">
        <v>8246</v>
      </c>
      <c r="B848" s="4" t="s">
        <v>8247</v>
      </c>
      <c r="C848" s="4" t="n">
        <v>1919</v>
      </c>
      <c r="D848" s="4" t="s">
        <v>8248</v>
      </c>
      <c r="E848" s="4" t="str">
        <f aca="false">IF(B848="","",LOWER(B848)&amp;"|"&amp;C848)</f>
        <v>madame dubarry|1919</v>
      </c>
    </row>
    <row r="849" customFormat="false" ht="15" hidden="false" customHeight="false" outlineLevel="0" collapsed="false">
      <c r="A849" s="4" t="s">
        <v>8249</v>
      </c>
      <c r="B849" s="4" t="s">
        <v>1909</v>
      </c>
      <c r="C849" s="4" t="n">
        <v>1954</v>
      </c>
      <c r="D849" s="4" t="s">
        <v>8250</v>
      </c>
      <c r="E849" s="4" t="str">
        <f aca="false">IF(B849="","",LOWER(B849)&amp;"|"&amp;C849)</f>
        <v>dial m for murder|1954</v>
      </c>
    </row>
    <row r="850" customFormat="false" ht="15" hidden="false" customHeight="false" outlineLevel="0" collapsed="false">
      <c r="A850" s="4" t="s">
        <v>8251</v>
      </c>
      <c r="B850" s="4" t="s">
        <v>8252</v>
      </c>
      <c r="C850" s="4" t="n">
        <v>1948</v>
      </c>
      <c r="D850" s="4" t="s">
        <v>8253</v>
      </c>
      <c r="E850" s="4" t="str">
        <f aca="false">IF(B850="","",LOWER(B850)&amp;"|"&amp;C850)</f>
        <v>easter parade|1948</v>
      </c>
    </row>
    <row r="851" customFormat="false" ht="15" hidden="false" customHeight="false" outlineLevel="0" collapsed="false">
      <c r="A851" s="4" t="s">
        <v>8254</v>
      </c>
      <c r="B851" s="4" t="s">
        <v>576</v>
      </c>
      <c r="C851" s="4" t="n">
        <v>1956</v>
      </c>
      <c r="D851" s="4" t="s">
        <v>8255</v>
      </c>
      <c r="E851" s="4" t="str">
        <f aca="false">IF(B851="","",LOWER(B851)&amp;"|"&amp;C851)</f>
        <v>the killing|1956</v>
      </c>
    </row>
    <row r="852" customFormat="false" ht="15" hidden="false" customHeight="false" outlineLevel="0" collapsed="false">
      <c r="A852" s="4" t="s">
        <v>8256</v>
      </c>
      <c r="B852" s="4" t="s">
        <v>457</v>
      </c>
      <c r="C852" s="4" t="n">
        <v>1959</v>
      </c>
      <c r="D852" s="4" t="s">
        <v>8257</v>
      </c>
      <c r="E852" s="4" t="str">
        <f aca="false">IF(B852="","",LOWER(B852)&amp;"|"&amp;C852)</f>
        <v>pickpocket|1959</v>
      </c>
    </row>
    <row r="853" customFormat="false" ht="15" hidden="false" customHeight="false" outlineLevel="0" collapsed="false">
      <c r="A853" s="4" t="s">
        <v>8258</v>
      </c>
      <c r="B853" s="4" t="s">
        <v>456</v>
      </c>
      <c r="C853" s="4" t="n">
        <v>1956</v>
      </c>
      <c r="D853" s="4" t="s">
        <v>8259</v>
      </c>
      <c r="E853" s="4" t="str">
        <f aca="false">IF(B853="","",LOWER(B853)&amp;"|"&amp;C853)</f>
        <v>a man escaped|1956</v>
      </c>
    </row>
    <row r="854" customFormat="false" ht="15" hidden="false" customHeight="false" outlineLevel="0" collapsed="false">
      <c r="A854" s="4" t="s">
        <v>8260</v>
      </c>
      <c r="B854" s="4" t="s">
        <v>8261</v>
      </c>
      <c r="C854" s="4" t="n">
        <v>1998</v>
      </c>
      <c r="D854" s="4" t="s">
        <v>8262</v>
      </c>
      <c r="E854" s="4" t="str">
        <f aca="false">IF(B854="","",LOWER(B854)&amp;"|"&amp;C854)</f>
        <v>the negotiator|1998</v>
      </c>
    </row>
    <row r="855" customFormat="false" ht="15" hidden="false" customHeight="false" outlineLevel="0" collapsed="false">
      <c r="A855" s="4" t="s">
        <v>8263</v>
      </c>
      <c r="B855" s="4" t="s">
        <v>8264</v>
      </c>
      <c r="C855" s="4" t="n">
        <v>2025</v>
      </c>
      <c r="D855" s="4" t="s">
        <v>8265</v>
      </c>
      <c r="E855" s="4" t="str">
        <f aca="false">IF(B855="","",LOWER(B855)&amp;"|"&amp;C855)</f>
        <v>the fantastic 4: first steps|2025</v>
      </c>
    </row>
    <row r="856" customFormat="false" ht="15" hidden="false" customHeight="false" outlineLevel="0" collapsed="false">
      <c r="A856" s="4" t="s">
        <v>8266</v>
      </c>
      <c r="B856" s="4" t="s">
        <v>8267</v>
      </c>
      <c r="C856" s="4" t="n">
        <v>2011</v>
      </c>
      <c r="D856" s="4" t="s">
        <v>8268</v>
      </c>
      <c r="E856" s="4" t="str">
        <f aca="false">IF(B856="","",LOWER(B856)&amp;"|"&amp;C856)</f>
        <v>paul|2011</v>
      </c>
    </row>
    <row r="857" customFormat="false" ht="15" hidden="false" customHeight="false" outlineLevel="0" collapsed="false">
      <c r="A857" s="4" t="s">
        <v>8269</v>
      </c>
      <c r="B857" s="4" t="s">
        <v>8270</v>
      </c>
      <c r="C857" s="4" t="n">
        <v>2005</v>
      </c>
      <c r="D857" s="4" t="s">
        <v>8271</v>
      </c>
      <c r="E857" s="4" t="str">
        <f aca="false">IF(B857="","",LOWER(B857)&amp;"|"&amp;C857)</f>
        <v>the descent|2005</v>
      </c>
    </row>
    <row r="858" customFormat="false" ht="15" hidden="false" customHeight="false" outlineLevel="0" collapsed="false">
      <c r="A858" s="4" t="s">
        <v>8272</v>
      </c>
      <c r="B858" s="4" t="s">
        <v>1543</v>
      </c>
      <c r="C858" s="4" t="n">
        <v>1992</v>
      </c>
      <c r="D858" s="4" t="s">
        <v>8273</v>
      </c>
      <c r="E858" s="4" t="str">
        <f aca="false">IF(B858="","",LOWER(B858)&amp;"|"&amp;C858)</f>
        <v>hard boiled|1992</v>
      </c>
    </row>
    <row r="859" customFormat="false" ht="15" hidden="false" customHeight="false" outlineLevel="0" collapsed="false">
      <c r="A859" s="4" t="s">
        <v>8274</v>
      </c>
      <c r="B859" s="4" t="s">
        <v>8275</v>
      </c>
      <c r="C859" s="4" t="n">
        <v>1992</v>
      </c>
      <c r="D859" s="4" t="s">
        <v>8276</v>
      </c>
      <c r="E859" s="4" t="str">
        <f aca="false">IF(B859="","",LOWER(B859)&amp;"|"&amp;C859)</f>
        <v>memoirs of an invisible man|1992</v>
      </c>
    </row>
    <row r="860" customFormat="false" ht="15" hidden="false" customHeight="false" outlineLevel="0" collapsed="false">
      <c r="A860" s="4" t="s">
        <v>8274</v>
      </c>
      <c r="B860" s="4" t="s">
        <v>834</v>
      </c>
      <c r="C860" s="4" t="n">
        <v>1994</v>
      </c>
      <c r="D860" s="4" t="s">
        <v>8277</v>
      </c>
      <c r="E860" s="4" t="str">
        <f aca="false">IF(B860="","",LOWER(B860)&amp;"|"&amp;C860)</f>
        <v>in the mouth of madness|1994</v>
      </c>
    </row>
    <row r="861" customFormat="false" ht="15" hidden="false" customHeight="false" outlineLevel="0" collapsed="false">
      <c r="A861" s="4" t="s">
        <v>8278</v>
      </c>
      <c r="B861" s="4" t="s">
        <v>8279</v>
      </c>
      <c r="C861" s="4" t="n">
        <v>2001</v>
      </c>
      <c r="D861" s="4" t="s">
        <v>8280</v>
      </c>
      <c r="E861" s="4" t="str">
        <f aca="false">IF(B861="","",LOWER(B861)&amp;"|"&amp;C861)</f>
        <v>ghosts of mars|2001</v>
      </c>
    </row>
    <row r="862" customFormat="false" ht="15" hidden="false" customHeight="false" outlineLevel="0" collapsed="false">
      <c r="A862" s="4" t="s">
        <v>8278</v>
      </c>
      <c r="B862" s="4" t="s">
        <v>8281</v>
      </c>
      <c r="C862" s="4" t="n">
        <v>2002</v>
      </c>
      <c r="D862" s="4" t="s">
        <v>8282</v>
      </c>
      <c r="E862" s="4" t="str">
        <f aca="false">IF(B862="","",LOWER(B862)&amp;"|"&amp;C862)</f>
        <v>eight crazy nights|2002</v>
      </c>
    </row>
    <row r="863" customFormat="false" ht="15" hidden="false" customHeight="false" outlineLevel="0" collapsed="false">
      <c r="A863" s="4" t="s">
        <v>8278</v>
      </c>
      <c r="B863" s="4" t="s">
        <v>8283</v>
      </c>
      <c r="C863" s="4" t="n">
        <v>2008</v>
      </c>
      <c r="D863" s="4" t="s">
        <v>8284</v>
      </c>
      <c r="E863" s="4" t="str">
        <f aca="false">IF(B863="","",LOWER(B863)&amp;"|"&amp;C863)</f>
        <v>four christmases|2008</v>
      </c>
    </row>
    <row r="864" customFormat="false" ht="15" hidden="false" customHeight="false" outlineLevel="0" collapsed="false">
      <c r="A864" s="4" t="s">
        <v>8285</v>
      </c>
      <c r="B864" s="4" t="s">
        <v>2405</v>
      </c>
      <c r="C864" s="4" t="n">
        <v>1984</v>
      </c>
      <c r="D864" s="4" t="s">
        <v>8286</v>
      </c>
      <c r="E864" s="4" t="str">
        <f aca="false">IF(B864="","",LOWER(B864)&amp;"|"&amp;C864)</f>
        <v>starman|1984</v>
      </c>
    </row>
    <row r="865" customFormat="false" ht="15" hidden="false" customHeight="false" outlineLevel="0" collapsed="false">
      <c r="A865" s="4" t="s">
        <v>8287</v>
      </c>
      <c r="B865" s="4" t="s">
        <v>836</v>
      </c>
      <c r="C865" s="4" t="n">
        <v>1995</v>
      </c>
      <c r="D865" s="4" t="s">
        <v>8288</v>
      </c>
      <c r="E865" s="4" t="str">
        <f aca="false">IF(B865="","",LOWER(B865)&amp;"|"&amp;C865)</f>
        <v>ghost in the shell|1995</v>
      </c>
    </row>
    <row r="866" customFormat="false" ht="15" hidden="false" customHeight="false" outlineLevel="0" collapsed="false">
      <c r="A866" s="4" t="s">
        <v>8289</v>
      </c>
      <c r="B866" s="4" t="s">
        <v>1309</v>
      </c>
      <c r="C866" s="4" t="n">
        <v>1939</v>
      </c>
      <c r="D866" s="4" t="s">
        <v>8290</v>
      </c>
      <c r="E866" s="4" t="str">
        <f aca="false">IF(B866="","",LOWER(B866)&amp;"|"&amp;C866)</f>
        <v>only angels have wings|1939</v>
      </c>
    </row>
    <row r="867" customFormat="false" ht="15" hidden="false" customHeight="false" outlineLevel="0" collapsed="false">
      <c r="A867" s="4" t="s">
        <v>8291</v>
      </c>
      <c r="B867" s="4" t="s">
        <v>8292</v>
      </c>
      <c r="C867" s="4" t="n">
        <v>2025</v>
      </c>
      <c r="D867" s="4" t="s">
        <v>8293</v>
      </c>
      <c r="E867" s="4" t="str">
        <f aca="false">IF(B867="","",LOWER(B867)&amp;"|"&amp;C867)</f>
        <v>the smashing machine|2025</v>
      </c>
    </row>
    <row r="868" customFormat="false" ht="15" hidden="false" customHeight="false" outlineLevel="0" collapsed="false">
      <c r="A868" s="4" t="s">
        <v>8291</v>
      </c>
      <c r="B868" s="4" t="s">
        <v>8294</v>
      </c>
      <c r="C868" s="4" t="n">
        <v>2025</v>
      </c>
      <c r="D868" s="4" t="s">
        <v>8295</v>
      </c>
      <c r="E868" s="4" t="str">
        <f aca="false">IF(B868="","",LOWER(B868)&amp;"|"&amp;C868)</f>
        <v>roofman|2025</v>
      </c>
    </row>
    <row r="869" customFormat="false" ht="15" hidden="false" customHeight="false" outlineLevel="0" collapsed="false">
      <c r="A869" s="4" t="s">
        <v>8296</v>
      </c>
      <c r="B869" s="4" t="s">
        <v>8297</v>
      </c>
      <c r="C869" s="4" t="n">
        <v>2016</v>
      </c>
      <c r="D869" s="4" t="s">
        <v>8298</v>
      </c>
      <c r="E869" s="4" t="str">
        <f aca="false">IF(B869="","",LOWER(B869)&amp;"|"&amp;C869)</f>
        <v>the bodyguard|2016</v>
      </c>
    </row>
    <row r="870" customFormat="false" ht="15" hidden="false" customHeight="false" outlineLevel="0" collapsed="false">
      <c r="A870" s="4" t="s">
        <v>8299</v>
      </c>
      <c r="B870" s="4" t="s">
        <v>8300</v>
      </c>
      <c r="C870" s="4" t="n">
        <v>1990</v>
      </c>
      <c r="D870" s="4" t="s">
        <v>8301</v>
      </c>
      <c r="E870" s="4" t="str">
        <f aca="false">IF(B870="","",LOWER(B870)&amp;"|"&amp;C870)</f>
        <v>joe versus the volcano|1990</v>
      </c>
    </row>
    <row r="871" customFormat="false" ht="15" hidden="false" customHeight="false" outlineLevel="0" collapsed="false">
      <c r="A871" s="4" t="s">
        <v>8302</v>
      </c>
      <c r="B871" s="4" t="s">
        <v>8303</v>
      </c>
      <c r="C871" s="4" t="n">
        <v>2006</v>
      </c>
      <c r="D871" s="4" t="s">
        <v>8304</v>
      </c>
      <c r="E871" s="4" t="str">
        <f aca="false">IF(B871="","",LOWER(B871)&amp;"|"&amp;C871)</f>
        <v>rv|2006</v>
      </c>
    </row>
    <row r="872" customFormat="false" ht="15" hidden="false" customHeight="false" outlineLevel="0" collapsed="false">
      <c r="A872" s="4" t="s">
        <v>8302</v>
      </c>
      <c r="B872" s="4" t="s">
        <v>8305</v>
      </c>
      <c r="C872" s="4" t="n">
        <v>2026</v>
      </c>
      <c r="D872" s="4" t="s">
        <v>8306</v>
      </c>
      <c r="E872" s="4" t="str">
        <f aca="false">IF(B872="","",LOWER(B872)&amp;"|"&amp;C872)</f>
        <v>people we meet on vacation|2026</v>
      </c>
    </row>
    <row r="873" customFormat="false" ht="15" hidden="false" customHeight="false" outlineLevel="0" collapsed="false">
      <c r="A873" s="4" t="s">
        <v>8307</v>
      </c>
      <c r="B873" s="4" t="s">
        <v>8308</v>
      </c>
      <c r="C873" s="4" t="n">
        <v>2016</v>
      </c>
      <c r="D873" s="4" t="s">
        <v>8309</v>
      </c>
      <c r="E873" s="4" t="str">
        <f aca="false">IF(B873="","",LOWER(B873)&amp;"|"&amp;C873)</f>
        <v>nine lives|2016</v>
      </c>
    </row>
    <row r="874" customFormat="false" ht="15" hidden="false" customHeight="false" outlineLevel="0" collapsed="false">
      <c r="A874" s="4" t="s">
        <v>8307</v>
      </c>
      <c r="B874" s="4" t="s">
        <v>8310</v>
      </c>
      <c r="C874" s="4" t="n">
        <v>1985</v>
      </c>
      <c r="D874" s="4" t="s">
        <v>8311</v>
      </c>
      <c r="E874" s="4" t="str">
        <f aca="false">IF(B874="","",LOWER(B874)&amp;"|"&amp;C874)</f>
        <v>lost in america|1985</v>
      </c>
    </row>
    <row r="875" customFormat="false" ht="15" hidden="false" customHeight="false" outlineLevel="0" collapsed="false">
      <c r="A875" s="4" t="s">
        <v>8307</v>
      </c>
      <c r="B875" s="4" t="s">
        <v>1878</v>
      </c>
      <c r="C875" s="4" t="n">
        <v>1950</v>
      </c>
      <c r="D875" s="4" t="s">
        <v>8312</v>
      </c>
      <c r="E875" s="4" t="str">
        <f aca="false">IF(B875="","",LOWER(B875)&amp;"|"&amp;C875)</f>
        <v>winchester '73|1950</v>
      </c>
    </row>
    <row r="876" customFormat="false" ht="15" hidden="false" customHeight="false" outlineLevel="0" collapsed="false">
      <c r="A876" s="4" t="s">
        <v>8313</v>
      </c>
      <c r="B876" s="4" t="s">
        <v>423</v>
      </c>
      <c r="C876" s="4" t="n">
        <v>1973</v>
      </c>
      <c r="D876" s="4" t="s">
        <v>8314</v>
      </c>
      <c r="E876" s="4" t="str">
        <f aca="false">IF(B876="","",LOWER(B876)&amp;"|"&amp;C876)</f>
        <v>paper moon|1973</v>
      </c>
    </row>
    <row r="877" customFormat="false" ht="15" hidden="false" customHeight="false" outlineLevel="0" collapsed="false">
      <c r="A877" s="4" t="s">
        <v>8315</v>
      </c>
      <c r="B877" s="4" t="s">
        <v>1392</v>
      </c>
      <c r="C877" s="4" t="n">
        <v>1999</v>
      </c>
      <c r="D877" s="4" t="s">
        <v>8316</v>
      </c>
      <c r="E877" s="4" t="str">
        <f aca="false">IF(B877="","",LOWER(B877)&amp;"|"&amp;C877)</f>
        <v>the limey|1999</v>
      </c>
    </row>
    <row r="878" customFormat="false" ht="15" hidden="false" customHeight="false" outlineLevel="0" collapsed="false">
      <c r="A878" s="4" t="s">
        <v>8315</v>
      </c>
      <c r="B878" s="4" t="s">
        <v>8317</v>
      </c>
      <c r="C878" s="4" t="n">
        <v>1994</v>
      </c>
      <c r="D878" s="4" t="s">
        <v>8318</v>
      </c>
      <c r="E878" s="4" t="str">
        <f aca="false">IF(B878="","",LOWER(B878)&amp;"|"&amp;C878)</f>
        <v>natural born killers|1994</v>
      </c>
    </row>
    <row r="879" customFormat="false" ht="15" hidden="false" customHeight="false" outlineLevel="0" collapsed="false">
      <c r="A879" s="4" t="s">
        <v>8319</v>
      </c>
      <c r="B879" s="4" t="s">
        <v>3268</v>
      </c>
      <c r="C879" s="4" t="n">
        <v>2025</v>
      </c>
      <c r="D879" s="4" t="s">
        <v>8320</v>
      </c>
      <c r="E879" s="4" t="str">
        <f aca="false">IF(B879="","",LOWER(B879)&amp;"|"&amp;C879)</f>
        <v>one battle after another|2025</v>
      </c>
    </row>
    <row r="880" customFormat="false" ht="15" hidden="false" customHeight="false" outlineLevel="0" collapsed="false">
      <c r="A880" s="4" t="s">
        <v>8321</v>
      </c>
      <c r="B880" s="4" t="s">
        <v>8322</v>
      </c>
      <c r="C880" s="4" t="n">
        <v>1991</v>
      </c>
      <c r="D880" s="4" t="s">
        <v>8323</v>
      </c>
      <c r="E880" s="4" t="str">
        <f aca="false">IF(B880="","",LOWER(B880)&amp;"|"&amp;C880)</f>
        <v>the fisher king|1991</v>
      </c>
    </row>
    <row r="881" customFormat="false" ht="15" hidden="false" customHeight="false" outlineLevel="0" collapsed="false">
      <c r="A881" s="4" t="s">
        <v>8324</v>
      </c>
      <c r="B881" s="4" t="s">
        <v>3627</v>
      </c>
      <c r="C881" s="4" t="n">
        <v>1985</v>
      </c>
      <c r="D881" s="4" t="s">
        <v>8325</v>
      </c>
      <c r="E881" s="4" t="str">
        <f aca="false">IF(B881="","",LOWER(B881)&amp;"|"&amp;C881)</f>
        <v>to live and die in l.a.|1985</v>
      </c>
    </row>
    <row r="882" customFormat="false" ht="15" hidden="false" customHeight="false" outlineLevel="0" collapsed="false">
      <c r="A882" s="4" t="s">
        <v>8326</v>
      </c>
      <c r="B882" s="4" t="s">
        <v>8327</v>
      </c>
      <c r="C882" s="4" t="n">
        <v>2009</v>
      </c>
      <c r="D882" s="4" t="s">
        <v>8328</v>
      </c>
      <c r="E882" s="4" t="str">
        <f aca="false">IF(B882="","",LOWER(B882)&amp;"|"&amp;C882)</f>
        <v>whatever works|2009</v>
      </c>
    </row>
    <row r="883" customFormat="false" ht="15" hidden="false" customHeight="false" outlineLevel="0" collapsed="false">
      <c r="A883" s="4" t="s">
        <v>8329</v>
      </c>
      <c r="B883" s="4" t="s">
        <v>8330</v>
      </c>
      <c r="C883" s="4" t="n">
        <v>2005</v>
      </c>
      <c r="D883" s="4" t="s">
        <v>8331</v>
      </c>
      <c r="E883" s="4" t="str">
        <f aca="false">IF(B883="","",LOWER(B883)&amp;"|"&amp;C883)</f>
        <v>match point|2005</v>
      </c>
    </row>
    <row r="884" customFormat="false" ht="15" hidden="false" customHeight="false" outlineLevel="0" collapsed="false">
      <c r="A884" s="4" t="s">
        <v>8332</v>
      </c>
      <c r="B884" s="4" t="s">
        <v>8333</v>
      </c>
      <c r="C884" s="4" t="n">
        <v>2009</v>
      </c>
      <c r="D884" s="4" t="s">
        <v>8334</v>
      </c>
      <c r="E884" s="4" t="str">
        <f aca="false">IF(B884="","",LOWER(B884)&amp;"|"&amp;C884)</f>
        <v>gamer|2009</v>
      </c>
    </row>
    <row r="885" customFormat="false" ht="15" hidden="false" customHeight="false" outlineLevel="0" collapsed="false">
      <c r="A885" s="4" t="s">
        <v>8332</v>
      </c>
      <c r="B885" s="4" t="s">
        <v>8335</v>
      </c>
      <c r="C885" s="4" t="n">
        <v>1991</v>
      </c>
      <c r="D885" s="4" t="s">
        <v>8336</v>
      </c>
      <c r="E885" s="4" t="str">
        <f aca="false">IF(B885="","",LOWER(B885)&amp;"|"&amp;C885)</f>
        <v>shadows and fog|1991</v>
      </c>
    </row>
    <row r="886" customFormat="false" ht="15" hidden="false" customHeight="false" outlineLevel="0" collapsed="false">
      <c r="A886" s="4" t="s">
        <v>8337</v>
      </c>
      <c r="B886" s="4" t="s">
        <v>1535</v>
      </c>
      <c r="C886" s="4" t="n">
        <v>1987</v>
      </c>
      <c r="D886" s="4" t="s">
        <v>8338</v>
      </c>
      <c r="E886" s="4" t="str">
        <f aca="false">IF(B886="","",LOWER(B886)&amp;"|"&amp;C886)</f>
        <v>wall street|1987</v>
      </c>
    </row>
    <row r="887" customFormat="false" ht="15" hidden="false" customHeight="false" outlineLevel="0" collapsed="false">
      <c r="A887" s="4" t="s">
        <v>8339</v>
      </c>
      <c r="B887" s="4" t="s">
        <v>8340</v>
      </c>
      <c r="C887" s="4" t="n">
        <v>1984</v>
      </c>
      <c r="D887" s="4" t="s">
        <v>8341</v>
      </c>
      <c r="E887" s="4" t="str">
        <f aca="false">IF(B887="","",LOWER(B887)&amp;"|"&amp;C887)</f>
        <v>red dawn|1984</v>
      </c>
    </row>
    <row r="888" customFormat="false" ht="15" hidden="false" customHeight="false" outlineLevel="0" collapsed="false">
      <c r="A888" s="4" t="s">
        <v>8339</v>
      </c>
      <c r="B888" s="4" t="s">
        <v>8342</v>
      </c>
      <c r="C888" s="4" t="n">
        <v>2012</v>
      </c>
      <c r="D888" s="4" t="s">
        <v>8343</v>
      </c>
      <c r="E888" s="4" t="str">
        <f aca="false">IF(B888="","",LOWER(B888)&amp;"|"&amp;C888)</f>
        <v>seven psychopaths|2012</v>
      </c>
    </row>
    <row r="889" customFormat="false" ht="15" hidden="false" customHeight="false" outlineLevel="0" collapsed="false">
      <c r="A889" s="4" t="s">
        <v>8344</v>
      </c>
      <c r="B889" s="4" t="s">
        <v>8345</v>
      </c>
      <c r="C889" s="4" t="n">
        <v>2004</v>
      </c>
      <c r="D889" s="4" t="s">
        <v>8346</v>
      </c>
      <c r="E889" s="4" t="str">
        <f aca="false">IF(B889="","",LOWER(B889)&amp;"|"&amp;C889)</f>
        <v>the bourne supremacy|2004</v>
      </c>
    </row>
    <row r="890" customFormat="false" ht="15" hidden="false" customHeight="false" outlineLevel="0" collapsed="false">
      <c r="A890" s="4" t="s">
        <v>8347</v>
      </c>
      <c r="B890" s="4" t="s">
        <v>2937</v>
      </c>
      <c r="C890" s="4" t="n">
        <v>2009</v>
      </c>
      <c r="D890" s="4" t="s">
        <v>8348</v>
      </c>
      <c r="E890" s="4" t="str">
        <f aca="false">IF(B890="","",LOWER(B890)&amp;"|"&amp;C890)</f>
        <v>the road|2009</v>
      </c>
    </row>
    <row r="891" customFormat="false" ht="15" hidden="false" customHeight="false" outlineLevel="0" collapsed="false">
      <c r="A891" s="4" t="s">
        <v>8349</v>
      </c>
      <c r="B891" s="4" t="s">
        <v>8350</v>
      </c>
      <c r="C891" s="4" t="n">
        <v>2010</v>
      </c>
      <c r="D891" s="4" t="s">
        <v>8351</v>
      </c>
      <c r="E891" s="4" t="str">
        <f aca="false">IF(B891="","",LOWER(B891)&amp;"|"&amp;C891)</f>
        <v>180° south|2010</v>
      </c>
    </row>
    <row r="892" customFormat="false" ht="15" hidden="false" customHeight="false" outlineLevel="0" collapsed="false">
      <c r="A892" s="4" t="s">
        <v>8352</v>
      </c>
      <c r="B892" s="4" t="s">
        <v>1027</v>
      </c>
      <c r="C892" s="4" t="n">
        <v>1974</v>
      </c>
      <c r="D892" s="4" t="s">
        <v>8353</v>
      </c>
      <c r="E892" s="4" t="str">
        <f aca="false">IF(B892="","",LOWER(B892)&amp;"|"&amp;C892)</f>
        <v>the sugarland express|1974</v>
      </c>
    </row>
    <row r="893" customFormat="false" ht="15" hidden="false" customHeight="false" outlineLevel="0" collapsed="false">
      <c r="A893" s="4" t="s">
        <v>8352</v>
      </c>
      <c r="B893" s="4" t="s">
        <v>219</v>
      </c>
      <c r="C893" s="4" t="n">
        <v>1944</v>
      </c>
      <c r="D893" s="4" t="s">
        <v>8354</v>
      </c>
      <c r="E893" s="4" t="str">
        <f aca="false">IF(B893="","",LOWER(B893)&amp;"|"&amp;C893)</f>
        <v>double indemnity|1944</v>
      </c>
    </row>
    <row r="894" customFormat="false" ht="15" hidden="false" customHeight="false" outlineLevel="0" collapsed="false">
      <c r="A894" s="4" t="s">
        <v>8355</v>
      </c>
      <c r="B894" s="4" t="s">
        <v>2825</v>
      </c>
      <c r="C894" s="4" t="n">
        <v>2004</v>
      </c>
      <c r="D894" s="4" t="s">
        <v>8356</v>
      </c>
      <c r="E894" s="4" t="str">
        <f aca="false">IF(B894="","",LOWER(B894)&amp;"|"&amp;C894)</f>
        <v>2046|2004</v>
      </c>
    </row>
    <row r="895" customFormat="false" ht="15" hidden="false" customHeight="false" outlineLevel="0" collapsed="false">
      <c r="A895" s="4" t="s">
        <v>8357</v>
      </c>
      <c r="B895" s="4" t="s">
        <v>2081</v>
      </c>
      <c r="C895" s="4" t="n">
        <v>1966</v>
      </c>
      <c r="D895" s="4" t="s">
        <v>8358</v>
      </c>
      <c r="E895" s="4" t="str">
        <f aca="false">IF(B895="","",LOWER(B895)&amp;"|"&amp;C895)</f>
        <v>seconds|1966</v>
      </c>
    </row>
    <row r="896" customFormat="false" ht="15" hidden="false" customHeight="false" outlineLevel="0" collapsed="false">
      <c r="A896" s="4" t="s">
        <v>8359</v>
      </c>
      <c r="B896" s="4" t="s">
        <v>2819</v>
      </c>
      <c r="C896" s="4" t="n">
        <v>2004</v>
      </c>
      <c r="D896" s="4" t="s">
        <v>8360</v>
      </c>
      <c r="E896" s="4" t="str">
        <f aca="false">IF(B896="","",LOWER(B896)&amp;"|"&amp;C896)</f>
        <v>napoleon dynamite|2004</v>
      </c>
    </row>
    <row r="897" customFormat="false" ht="15" hidden="false" customHeight="false" outlineLevel="0" collapsed="false">
      <c r="A897" s="4" t="s">
        <v>8359</v>
      </c>
      <c r="B897" s="4" t="s">
        <v>697</v>
      </c>
      <c r="C897" s="4" t="n">
        <v>2023</v>
      </c>
      <c r="D897" s="4" t="s">
        <v>8361</v>
      </c>
      <c r="E897" s="4" t="str">
        <f aca="false">IF(B897="","",LOWER(B897)&amp;"|"&amp;C897)</f>
        <v>perfect days|2023</v>
      </c>
    </row>
    <row r="898" customFormat="false" ht="15" hidden="false" customHeight="false" outlineLevel="0" collapsed="false">
      <c r="A898" s="4" t="s">
        <v>8362</v>
      </c>
      <c r="B898" s="4" t="s">
        <v>3259</v>
      </c>
      <c r="C898" s="4" t="n">
        <v>2024</v>
      </c>
      <c r="D898" s="4" t="s">
        <v>8363</v>
      </c>
      <c r="E898" s="4" t="str">
        <f aca="false">IF(B898="","",LOWER(B898)&amp;"|"&amp;C898)</f>
        <v>civil war|2024</v>
      </c>
    </row>
    <row r="899" customFormat="false" ht="15" hidden="false" customHeight="false" outlineLevel="0" collapsed="false">
      <c r="A899" s="4" t="s">
        <v>8364</v>
      </c>
      <c r="B899" s="4" t="s">
        <v>2011</v>
      </c>
      <c r="C899" s="4" t="n">
        <v>1962</v>
      </c>
      <c r="D899" s="4" t="s">
        <v>8365</v>
      </c>
      <c r="E899" s="4" t="str">
        <f aca="false">IF(B899="","",LOWER(B899)&amp;"|"&amp;C899)</f>
        <v>dr. no|1962</v>
      </c>
    </row>
    <row r="900" customFormat="false" ht="15" hidden="false" customHeight="false" outlineLevel="0" collapsed="false">
      <c r="A900" s="4" t="s">
        <v>8366</v>
      </c>
      <c r="B900" s="4" t="s">
        <v>8367</v>
      </c>
      <c r="C900" s="4" t="n">
        <v>1992</v>
      </c>
      <c r="D900" s="4" t="s">
        <v>8368</v>
      </c>
      <c r="E900" s="4" t="str">
        <f aca="false">IF(B900="","",LOWER(B900)&amp;"|"&amp;C900)</f>
        <v>sneakers|1992</v>
      </c>
    </row>
    <row r="901" customFormat="false" ht="15" hidden="false" customHeight="false" outlineLevel="0" collapsed="false">
      <c r="A901" s="4" t="s">
        <v>8369</v>
      </c>
      <c r="B901" s="4" t="s">
        <v>8370</v>
      </c>
      <c r="C901" s="4" t="n">
        <v>2026</v>
      </c>
      <c r="D901" s="4" t="s">
        <v>8371</v>
      </c>
      <c r="E901" s="4" t="str">
        <f aca="false">IF(B901="","",LOWER(B901)&amp;"|"&amp;C901)</f>
        <v>backrooms|2026</v>
      </c>
    </row>
    <row r="902" customFormat="false" ht="15" hidden="false" customHeight="false" outlineLevel="0" collapsed="false">
      <c r="A902" s="4" t="s">
        <v>8372</v>
      </c>
      <c r="B902" s="4" t="s">
        <v>295</v>
      </c>
      <c r="C902" s="4" t="n">
        <v>1995</v>
      </c>
      <c r="D902" s="4" t="s">
        <v>8373</v>
      </c>
      <c r="E902" s="4" t="str">
        <f aca="false">IF(B902="","",LOWER(B902)&amp;"|"&amp;C902)</f>
        <v>heat|1995</v>
      </c>
    </row>
    <row r="903" customFormat="false" ht="15" hidden="false" customHeight="false" outlineLevel="0" collapsed="false">
      <c r="A903" s="4" t="s">
        <v>8374</v>
      </c>
      <c r="B903" s="4" t="s">
        <v>8375</v>
      </c>
      <c r="C903" s="4" t="n">
        <v>1968</v>
      </c>
      <c r="D903" s="4" t="s">
        <v>8376</v>
      </c>
      <c r="E903" s="4" t="str">
        <f aca="false">IF(B903="","",LOWER(B903)&amp;"|"&amp;C903)</f>
        <v>hang 'em high|1968</v>
      </c>
    </row>
    <row r="904" customFormat="false" ht="15" hidden="false" customHeight="false" outlineLevel="0" collapsed="false">
      <c r="A904" s="4" t="s">
        <v>8377</v>
      </c>
      <c r="B904" s="4" t="s">
        <v>8378</v>
      </c>
      <c r="C904" s="4" t="n">
        <v>1973</v>
      </c>
      <c r="D904" s="4" t="s">
        <v>8379</v>
      </c>
      <c r="E904" s="4" t="str">
        <f aca="false">IF(B904="","",LOWER(B904)&amp;"|"&amp;C904)</f>
        <v>the baby|1973</v>
      </c>
    </row>
    <row r="905" customFormat="false" ht="15" hidden="false" customHeight="false" outlineLevel="0" collapsed="false">
      <c r="A905" s="4" t="s">
        <v>8380</v>
      </c>
      <c r="B905" s="4" t="s">
        <v>221</v>
      </c>
      <c r="C905" s="4" t="n">
        <v>1956</v>
      </c>
      <c r="D905" s="4" t="s">
        <v>8381</v>
      </c>
      <c r="E905" s="4" t="str">
        <f aca="false">IF(B905="","",LOWER(B905)&amp;"|"&amp;C905)</f>
        <v>the searchers|1956</v>
      </c>
    </row>
    <row r="906" customFormat="false" ht="15" hidden="false" customHeight="false" outlineLevel="0" collapsed="false">
      <c r="A906" s="4" t="s">
        <v>8382</v>
      </c>
      <c r="B906" s="4" t="s">
        <v>8383</v>
      </c>
      <c r="C906" s="4" t="n">
        <v>1974</v>
      </c>
      <c r="D906" s="4" t="s">
        <v>8384</v>
      </c>
      <c r="E906" s="4" t="str">
        <f aca="false">IF(B906="","",LOWER(B906)&amp;"|"&amp;C906)</f>
        <v>the cars that ate paris|1974</v>
      </c>
    </row>
    <row r="907" customFormat="false" ht="15" hidden="false" customHeight="false" outlineLevel="0" collapsed="false">
      <c r="A907" s="4" t="s">
        <v>8385</v>
      </c>
      <c r="B907" s="4" t="s">
        <v>8386</v>
      </c>
      <c r="C907" s="4" t="n">
        <v>2025</v>
      </c>
      <c r="D907" s="4" t="s">
        <v>8387</v>
      </c>
      <c r="E907" s="4" t="str">
        <f aca="false">IF(B907="","",LOWER(B907)&amp;"|"&amp;C907)</f>
        <v>the phoenician scheme|2025</v>
      </c>
    </row>
    <row r="908" customFormat="false" ht="15" hidden="false" customHeight="false" outlineLevel="0" collapsed="false">
      <c r="A908" s="4" t="s">
        <v>8388</v>
      </c>
      <c r="B908" s="4" t="s">
        <v>1506</v>
      </c>
      <c r="C908" s="4" t="n">
        <v>1975</v>
      </c>
      <c r="D908" s="4" t="s">
        <v>8389</v>
      </c>
      <c r="E908" s="4" t="str">
        <f aca="false">IF(B908="","",LOWER(B908)&amp;"|"&amp;C908)</f>
        <v>picnic at hanging rock|1975</v>
      </c>
    </row>
    <row r="909" customFormat="false" ht="15" hidden="false" customHeight="false" outlineLevel="0" collapsed="false">
      <c r="A909" s="4" t="s">
        <v>8390</v>
      </c>
      <c r="B909" s="4" t="s">
        <v>2295</v>
      </c>
      <c r="C909" s="4" t="n">
        <v>1977</v>
      </c>
      <c r="D909" s="4" t="s">
        <v>8391</v>
      </c>
      <c r="E909" s="4" t="str">
        <f aca="false">IF(B909="","",LOWER(B909)&amp;"|"&amp;C909)</f>
        <v>the last wave|1977</v>
      </c>
    </row>
    <row r="910" customFormat="false" ht="15" hidden="false" customHeight="false" outlineLevel="0" collapsed="false">
      <c r="A910" s="4" t="s">
        <v>8392</v>
      </c>
      <c r="B910" s="4" t="s">
        <v>1055</v>
      </c>
      <c r="C910" s="4" t="n">
        <v>1981</v>
      </c>
      <c r="D910" s="4" t="s">
        <v>8393</v>
      </c>
      <c r="E910" s="4" t="str">
        <f aca="false">IF(B910="","",LOWER(B910)&amp;"|"&amp;C910)</f>
        <v>gallipoli|1981</v>
      </c>
    </row>
    <row r="911" customFormat="false" ht="15" hidden="false" customHeight="false" outlineLevel="0" collapsed="false">
      <c r="A911" s="4" t="s">
        <v>8394</v>
      </c>
      <c r="B911" s="4" t="s">
        <v>8395</v>
      </c>
      <c r="C911" s="4" t="n">
        <v>1982</v>
      </c>
      <c r="D911" s="4" t="s">
        <v>8396</v>
      </c>
      <c r="E911" s="4" t="str">
        <f aca="false">IF(B911="","",LOWER(B911)&amp;"|"&amp;C911)</f>
        <v>the year of living dangerously|1982</v>
      </c>
    </row>
    <row r="912" customFormat="false" ht="15" hidden="false" customHeight="false" outlineLevel="0" collapsed="false">
      <c r="A912" s="4" t="s">
        <v>8397</v>
      </c>
      <c r="B912" s="4" t="s">
        <v>2410</v>
      </c>
      <c r="C912" s="4" t="n">
        <v>1985</v>
      </c>
      <c r="D912" s="4" t="s">
        <v>8398</v>
      </c>
      <c r="E912" s="4" t="str">
        <f aca="false">IF(B912="","",LOWER(B912)&amp;"|"&amp;C912)</f>
        <v>witness|1985</v>
      </c>
    </row>
    <row r="913" customFormat="false" ht="15" hidden="false" customHeight="false" outlineLevel="0" collapsed="false">
      <c r="A913" s="4" t="s">
        <v>8397</v>
      </c>
      <c r="B913" s="4" t="s">
        <v>8399</v>
      </c>
      <c r="C913" s="4" t="n">
        <v>1986</v>
      </c>
      <c r="D913" s="4" t="s">
        <v>8400</v>
      </c>
      <c r="E913" s="4" t="str">
        <f aca="false">IF(B913="","",LOWER(B913)&amp;"|"&amp;C913)</f>
        <v>the mosquito coast|1986</v>
      </c>
    </row>
    <row r="914" customFormat="false" ht="15" hidden="false" customHeight="false" outlineLevel="0" collapsed="false">
      <c r="A914" s="4" t="s">
        <v>8401</v>
      </c>
      <c r="B914" s="4" t="s">
        <v>1555</v>
      </c>
      <c r="C914" s="4" t="n">
        <v>1993</v>
      </c>
      <c r="D914" s="4" t="s">
        <v>8402</v>
      </c>
      <c r="E914" s="4" t="str">
        <f aca="false">IF(B914="","",LOWER(B914)&amp;"|"&amp;C914)</f>
        <v>the fugitive|1993</v>
      </c>
    </row>
    <row r="915" customFormat="false" ht="15" hidden="false" customHeight="false" outlineLevel="0" collapsed="false">
      <c r="A915" s="4" t="s">
        <v>8403</v>
      </c>
      <c r="B915" s="4" t="s">
        <v>8404</v>
      </c>
      <c r="C915" s="4" t="n">
        <v>2014</v>
      </c>
      <c r="D915" s="4" t="s">
        <v>8405</v>
      </c>
      <c r="E915" s="4" t="str">
        <f aca="false">IF(B915="","",LOWER(B915)&amp;"|"&amp;C915)</f>
        <v>fury|2014</v>
      </c>
    </row>
    <row r="916" customFormat="false" ht="15" hidden="false" customHeight="false" outlineLevel="0" collapsed="false">
      <c r="A916" s="4" t="s">
        <v>8406</v>
      </c>
      <c r="B916" s="4" t="s">
        <v>2729</v>
      </c>
      <c r="C916" s="4" t="n">
        <v>2000</v>
      </c>
      <c r="D916" s="4" t="s">
        <v>8407</v>
      </c>
      <c r="E916" s="4" t="str">
        <f aca="false">IF(B916="","",LOWER(B916)&amp;"|"&amp;C916)</f>
        <v>high fidelity|2000</v>
      </c>
    </row>
    <row r="917" customFormat="false" ht="15" hidden="false" customHeight="false" outlineLevel="0" collapsed="false">
      <c r="A917" s="4" t="s">
        <v>8408</v>
      </c>
      <c r="B917" s="4" t="s">
        <v>1226</v>
      </c>
      <c r="C917" s="4" t="n">
        <v>2015</v>
      </c>
      <c r="D917" s="4" t="s">
        <v>8409</v>
      </c>
      <c r="E917" s="4" t="str">
        <f aca="false">IF(B917="","",LOWER(B917)&amp;"|"&amp;C917)</f>
        <v>the hateful eight|2015</v>
      </c>
    </row>
    <row r="918" customFormat="false" ht="15" hidden="false" customHeight="false" outlineLevel="0" collapsed="false">
      <c r="A918" s="4" t="s">
        <v>8410</v>
      </c>
      <c r="B918" s="4" t="s">
        <v>8411</v>
      </c>
      <c r="C918" s="4" t="n">
        <v>2007</v>
      </c>
      <c r="D918" s="4" t="s">
        <v>8412</v>
      </c>
      <c r="E918" s="4" t="str">
        <f aca="false">IF(B918="","",LOWER(B918)&amp;"|"&amp;C918)</f>
        <v>planet terror|2007</v>
      </c>
    </row>
    <row r="919" customFormat="false" ht="15" hidden="false" customHeight="false" outlineLevel="0" collapsed="false">
      <c r="A919" s="4" t="s">
        <v>8413</v>
      </c>
      <c r="B919" s="4" t="s">
        <v>2338</v>
      </c>
      <c r="C919" s="4" t="n">
        <v>1980</v>
      </c>
      <c r="D919" s="4" t="s">
        <v>8414</v>
      </c>
      <c r="E919" s="4" t="str">
        <f aca="false">IF(B919="","",LOWER(B919)&amp;"|"&amp;C919)</f>
        <v>the empire strikes back|1980</v>
      </c>
    </row>
    <row r="920" customFormat="false" ht="15" hidden="false" customHeight="false" outlineLevel="0" collapsed="false">
      <c r="A920" s="4" t="s">
        <v>8413</v>
      </c>
      <c r="B920" s="4" t="s">
        <v>8415</v>
      </c>
      <c r="C920" s="4" t="n">
        <v>1993</v>
      </c>
      <c r="D920" s="4" t="s">
        <v>8416</v>
      </c>
      <c r="E920" s="4" t="str">
        <f aca="false">IF(B920="","",LOWER(B920)&amp;"|"&amp;C920)</f>
        <v>the good son|1993</v>
      </c>
    </row>
    <row r="921" customFormat="false" ht="15" hidden="false" customHeight="false" outlineLevel="0" collapsed="false">
      <c r="A921" s="4" t="s">
        <v>8417</v>
      </c>
      <c r="B921" s="4" t="s">
        <v>8418</v>
      </c>
      <c r="C921" s="4" t="n">
        <v>2004</v>
      </c>
      <c r="D921" s="4" t="s">
        <v>8419</v>
      </c>
      <c r="E921" s="4" t="str">
        <f aca="false">IF(B921="","",LOWER(B921)&amp;"|"&amp;C921)</f>
        <v>spider-man 2|2004</v>
      </c>
    </row>
    <row r="922" customFormat="false" ht="15" hidden="false" customHeight="false" outlineLevel="0" collapsed="false">
      <c r="A922" s="4" t="s">
        <v>8420</v>
      </c>
      <c r="B922" s="4" t="s">
        <v>8421</v>
      </c>
      <c r="C922" s="4" t="n">
        <v>2026</v>
      </c>
      <c r="D922" s="4" t="s">
        <v>8422</v>
      </c>
      <c r="E922" s="4" t="str">
        <f aca="false">IF(B922="","",LOWER(B922)&amp;"|"&amp;C922)</f>
        <v>the odyssey|2026</v>
      </c>
    </row>
    <row r="923" customFormat="false" ht="15" hidden="false" customHeight="false" outlineLevel="0" collapsed="false">
      <c r="A923" s="4" t="s">
        <v>8423</v>
      </c>
      <c r="B923" s="4" t="s">
        <v>8424</v>
      </c>
      <c r="C923" s="4" t="n">
        <v>2004</v>
      </c>
      <c r="D923" s="4" t="s">
        <v>8425</v>
      </c>
      <c r="E923" s="4" t="str">
        <f aca="false">IF(B923="","",LOWER(B923)&amp;"|"&amp;C923)</f>
        <v>national treasure|2004</v>
      </c>
    </row>
    <row r="924" customFormat="false" ht="15" hidden="false" customHeight="false" outlineLevel="0" collapsed="false">
      <c r="A924" s="4" t="s">
        <v>8426</v>
      </c>
      <c r="B924" s="4" t="s">
        <v>8427</v>
      </c>
      <c r="C924" s="4" t="n">
        <v>2005</v>
      </c>
      <c r="D924" s="4" t="s">
        <v>8428</v>
      </c>
      <c r="E924" s="4" t="str">
        <f aca="false">IF(B924="","",LOWER(B924)&amp;"|"&amp;C924)</f>
        <v>robots|2005</v>
      </c>
    </row>
    <row r="925" customFormat="false" ht="15" hidden="false" customHeight="false" outlineLevel="0" collapsed="false">
      <c r="A925" s="4" t="s">
        <v>8429</v>
      </c>
      <c r="B925" s="4" t="s">
        <v>8430</v>
      </c>
      <c r="C925" s="4" t="n">
        <v>2022</v>
      </c>
      <c r="D925" s="4" t="s">
        <v>8431</v>
      </c>
      <c r="E925" s="4" t="str">
        <f aca="false">IF(B925="","",LOWER(B925)&amp;"|"&amp;C925)</f>
        <v>three thousand years of longing|2022</v>
      </c>
    </row>
    <row r="926" customFormat="false" ht="15" hidden="false" customHeight="false" outlineLevel="0" collapsed="false">
      <c r="A926" s="4" t="s">
        <v>8432</v>
      </c>
      <c r="B926" s="4" t="s">
        <v>1514</v>
      </c>
      <c r="C926" s="4" t="n">
        <v>1979</v>
      </c>
      <c r="D926" s="4" t="s">
        <v>8433</v>
      </c>
      <c r="E926" s="4" t="str">
        <f aca="false">IF(B926="","",LOWER(B926)&amp;"|"&amp;C926)</f>
        <v>mad max|1979</v>
      </c>
    </row>
    <row r="927" customFormat="false" ht="15" hidden="false" customHeight="false" outlineLevel="0" collapsed="false">
      <c r="A927" s="4" t="s">
        <v>8434</v>
      </c>
      <c r="B927" s="4" t="s">
        <v>1043</v>
      </c>
      <c r="C927" s="4" t="n">
        <v>1979</v>
      </c>
      <c r="D927" s="4" t="s">
        <v>8435</v>
      </c>
      <c r="E927" s="4" t="str">
        <f aca="false">IF(B927="","",LOWER(B927)&amp;"|"&amp;C927)</f>
        <v>life of brian|1979</v>
      </c>
    </row>
    <row r="928" customFormat="false" ht="15" hidden="false" customHeight="false" outlineLevel="0" collapsed="false">
      <c r="A928" s="4" t="s">
        <v>8436</v>
      </c>
      <c r="B928" s="4" t="s">
        <v>8437</v>
      </c>
      <c r="C928" s="4" t="n">
        <v>2015</v>
      </c>
      <c r="D928" s="4" t="s">
        <v>8438</v>
      </c>
      <c r="E928" s="4" t="str">
        <f aca="false">IF(B928="","",LOWER(B928)&amp;"|"&amp;C928)</f>
        <v>absolutely anything|2015</v>
      </c>
    </row>
    <row r="929" customFormat="false" ht="15" hidden="false" customHeight="false" outlineLevel="0" collapsed="false">
      <c r="A929" s="4" t="s">
        <v>8439</v>
      </c>
      <c r="B929" s="4" t="s">
        <v>8440</v>
      </c>
      <c r="C929" s="4" t="n">
        <v>2018</v>
      </c>
      <c r="D929" s="4" t="s">
        <v>8441</v>
      </c>
      <c r="E929" s="4" t="str">
        <f aca="false">IF(B929="","",LOWER(B929)&amp;"|"&amp;C929)</f>
        <v>dragged across concrete|2018</v>
      </c>
    </row>
    <row r="930" customFormat="false" ht="15" hidden="false" customHeight="false" outlineLevel="0" collapsed="false">
      <c r="A930" s="4" t="s">
        <v>8442</v>
      </c>
      <c r="B930" s="4" t="s">
        <v>8443</v>
      </c>
      <c r="C930" s="4" t="n">
        <v>1996</v>
      </c>
      <c r="D930" s="4" t="s">
        <v>8444</v>
      </c>
      <c r="E930" s="4" t="str">
        <f aca="false">IF(B930="","",LOWER(B930)&amp;"|"&amp;C930)</f>
        <v>matilda|1996</v>
      </c>
    </row>
    <row r="931" customFormat="false" ht="15" hidden="false" customHeight="false" outlineLevel="0" collapsed="false">
      <c r="A931" s="4" t="s">
        <v>8445</v>
      </c>
      <c r="B931" s="4" t="s">
        <v>8446</v>
      </c>
      <c r="C931" s="4" t="n">
        <v>2003</v>
      </c>
      <c r="D931" s="4" t="s">
        <v>8447</v>
      </c>
      <c r="E931" s="4" t="str">
        <f aca="false">IF(B931="","",LOWER(B931)&amp;"|"&amp;C931)</f>
        <v>duplex|2003</v>
      </c>
    </row>
    <row r="932" customFormat="false" ht="15" hidden="false" customHeight="false" outlineLevel="0" collapsed="false">
      <c r="A932" s="4" t="s">
        <v>8448</v>
      </c>
      <c r="B932" s="4" t="s">
        <v>8449</v>
      </c>
      <c r="C932" s="4" t="n">
        <v>1984</v>
      </c>
      <c r="D932" s="4" t="s">
        <v>8450</v>
      </c>
      <c r="E932" s="4" t="str">
        <f aca="false">IF(B932="","",LOWER(B932)&amp;"|"&amp;C932)</f>
        <v>the ratings game|1984</v>
      </c>
    </row>
    <row r="933" customFormat="false" ht="15" hidden="false" customHeight="false" outlineLevel="0" collapsed="false">
      <c r="A933" s="4" t="s">
        <v>8448</v>
      </c>
      <c r="B933" s="4" t="s">
        <v>2403</v>
      </c>
      <c r="C933" s="4" t="n">
        <v>1984</v>
      </c>
      <c r="D933" s="4" t="s">
        <v>8451</v>
      </c>
      <c r="E933" s="4" t="str">
        <f aca="false">IF(B933="","",LOWER(B933)&amp;"|"&amp;C933)</f>
        <v>ghostbusters|1984</v>
      </c>
    </row>
    <row r="934" customFormat="false" ht="15" hidden="false" customHeight="false" outlineLevel="0" collapsed="false">
      <c r="A934" s="4" t="s">
        <v>8448</v>
      </c>
      <c r="B934" s="4" t="s">
        <v>8452</v>
      </c>
      <c r="C934" s="4" t="n">
        <v>1988</v>
      </c>
      <c r="D934" s="4" t="s">
        <v>8453</v>
      </c>
      <c r="E934" s="4" t="str">
        <f aca="false">IF(B934="","",LOWER(B934)&amp;"|"&amp;C934)</f>
        <v>twins|1988</v>
      </c>
    </row>
    <row r="935" customFormat="false" ht="15" hidden="false" customHeight="false" outlineLevel="0" collapsed="false">
      <c r="A935" s="4" t="s">
        <v>8454</v>
      </c>
      <c r="B935" s="4" t="s">
        <v>8455</v>
      </c>
      <c r="C935" s="4" t="n">
        <v>2011</v>
      </c>
      <c r="D935" s="4" t="s">
        <v>8456</v>
      </c>
      <c r="E935" s="4" t="str">
        <f aca="false">IF(B935="","",LOWER(B935)&amp;"|"&amp;C935)</f>
        <v>no strings attached|2011</v>
      </c>
    </row>
    <row r="936" customFormat="false" ht="15" hidden="false" customHeight="false" outlineLevel="0" collapsed="false">
      <c r="A936" s="4" t="s">
        <v>8454</v>
      </c>
      <c r="B936" s="4" t="s">
        <v>8457</v>
      </c>
      <c r="C936" s="4" t="n">
        <v>2001</v>
      </c>
      <c r="D936" s="4" t="s">
        <v>8458</v>
      </c>
      <c r="E936" s="4" t="str">
        <f aca="false">IF(B936="","",LOWER(B936)&amp;"|"&amp;C936)</f>
        <v>evolution|2001</v>
      </c>
    </row>
    <row r="937" customFormat="false" ht="15" hidden="false" customHeight="false" outlineLevel="0" collapsed="false">
      <c r="A937" s="4" t="s">
        <v>8459</v>
      </c>
      <c r="B937" s="4" t="s">
        <v>8460</v>
      </c>
      <c r="C937" s="4" t="n">
        <v>1990</v>
      </c>
      <c r="D937" s="4" t="s">
        <v>8461</v>
      </c>
      <c r="E937" s="4" t="str">
        <f aca="false">IF(B937="","",LOWER(B937)&amp;"|"&amp;C937)</f>
        <v>kindergarten cop|1990</v>
      </c>
    </row>
    <row r="938" customFormat="false" ht="15" hidden="false" customHeight="false" outlineLevel="0" collapsed="false">
      <c r="A938" s="4" t="s">
        <v>8462</v>
      </c>
      <c r="B938" s="4" t="s">
        <v>8463</v>
      </c>
      <c r="C938" s="4" t="n">
        <v>1979</v>
      </c>
      <c r="D938" s="4" t="s">
        <v>8464</v>
      </c>
      <c r="E938" s="4" t="str">
        <f aca="false">IF(B938="","",LOWER(B938)&amp;"|"&amp;C938)</f>
        <v>meatballs|1979</v>
      </c>
    </row>
    <row r="939" customFormat="false" ht="15" hidden="false" customHeight="false" outlineLevel="0" collapsed="false">
      <c r="A939" s="4" t="s">
        <v>8465</v>
      </c>
      <c r="B939" s="4" t="s">
        <v>8466</v>
      </c>
      <c r="C939" s="4" t="n">
        <v>2025</v>
      </c>
      <c r="D939" s="4" t="s">
        <v>8467</v>
      </c>
      <c r="E939" s="4" t="str">
        <f aca="false">IF(B939="","",LOWER(B939)&amp;"|"&amp;C939)</f>
        <v>bugonia|2025</v>
      </c>
    </row>
    <row r="940" customFormat="false" ht="15" hidden="false" customHeight="false" outlineLevel="0" collapsed="false">
      <c r="A940" s="4" t="s">
        <v>8468</v>
      </c>
      <c r="B940" s="4" t="s">
        <v>8469</v>
      </c>
      <c r="C940" s="4" t="n">
        <v>2018</v>
      </c>
      <c r="D940" s="4" t="s">
        <v>8470</v>
      </c>
      <c r="E940" s="4" t="str">
        <f aca="false">IF(B940="","",LOWER(B940)&amp;"|"&amp;C940)</f>
        <v>tumbbad|2018</v>
      </c>
    </row>
    <row r="941" customFormat="false" ht="15" hidden="false" customHeight="false" outlineLevel="0" collapsed="false">
      <c r="A941" s="4" t="s">
        <v>8471</v>
      </c>
      <c r="B941" s="4" t="s">
        <v>3086</v>
      </c>
      <c r="C941" s="4" t="n">
        <v>2015</v>
      </c>
      <c r="D941" s="4" t="s">
        <v>8472</v>
      </c>
      <c r="E941" s="4" t="str">
        <f aca="false">IF(B941="","",LOWER(B941)&amp;"|"&amp;C941)</f>
        <v>room|2015</v>
      </c>
    </row>
    <row r="942" customFormat="false" ht="15" hidden="false" customHeight="false" outlineLevel="0" collapsed="false">
      <c r="A942" s="4" t="s">
        <v>8473</v>
      </c>
      <c r="B942" s="4" t="s">
        <v>8474</v>
      </c>
      <c r="C942" s="4" t="n">
        <v>2026</v>
      </c>
      <c r="D942" s="4" t="s">
        <v>8475</v>
      </c>
      <c r="E942" s="4" t="str">
        <f aca="false">IF(B942="","",LOWER(B942)&amp;"|"&amp;C942)</f>
        <v>the end of oak street|2026</v>
      </c>
    </row>
    <row r="943" customFormat="false" ht="15" hidden="false" customHeight="false" outlineLevel="0" collapsed="false">
      <c r="A943" s="4" t="s">
        <v>8476</v>
      </c>
      <c r="B943" s="4" t="s">
        <v>8477</v>
      </c>
      <c r="C943" s="4" t="n">
        <v>2010</v>
      </c>
      <c r="D943" s="4" t="s">
        <v>8478</v>
      </c>
      <c r="E943" s="4" t="str">
        <f aca="false">IF(B943="","",LOWER(B943)&amp;"|"&amp;C943)</f>
        <v>the myth of the american sleepover|2010</v>
      </c>
    </row>
    <row r="944" customFormat="false" ht="15" hidden="false" customHeight="false" outlineLevel="0" collapsed="false">
      <c r="E944" s="0" t="str">
        <f aca="false">IF(B944="","",LOWER(B944)&amp;"|"&amp;C944)</f>
        <v/>
      </c>
    </row>
    <row r="945" customFormat="false" ht="15" hidden="false" customHeight="false" outlineLevel="0" collapsed="false">
      <c r="E945" s="0" t="str">
        <f aca="false">IF(B945="","",LOWER(B945)&amp;"|"&amp;C945)</f>
        <v/>
      </c>
    </row>
    <row r="946" customFormat="false" ht="15" hidden="false" customHeight="false" outlineLevel="0" collapsed="false">
      <c r="E946" s="0" t="str">
        <f aca="false">IF(B946="","",LOWER(B946)&amp;"|"&amp;C946)</f>
        <v/>
      </c>
    </row>
    <row r="947" customFormat="false" ht="15" hidden="false" customHeight="false" outlineLevel="0" collapsed="false">
      <c r="E947" s="0" t="str">
        <f aca="false">IF(B947="","",LOWER(B947)&amp;"|"&amp;C947)</f>
        <v/>
      </c>
    </row>
    <row r="948" customFormat="false" ht="15" hidden="false" customHeight="false" outlineLevel="0" collapsed="false">
      <c r="E948" s="0" t="str">
        <f aca="false">IF(B948="","",LOWER(B948)&amp;"|"&amp;C948)</f>
        <v/>
      </c>
    </row>
    <row r="949" customFormat="false" ht="15" hidden="false" customHeight="false" outlineLevel="0" collapsed="false">
      <c r="E949" s="0" t="str">
        <f aca="false">IF(B949="","",LOWER(B949)&amp;"|"&amp;C949)</f>
        <v/>
      </c>
    </row>
    <row r="950" customFormat="false" ht="15" hidden="false" customHeight="false" outlineLevel="0" collapsed="false">
      <c r="E950" s="0" t="str">
        <f aca="false">IF(B950="","",LOWER(B950)&amp;"|"&amp;C950)</f>
        <v/>
      </c>
    </row>
    <row r="951" customFormat="false" ht="15" hidden="false" customHeight="false" outlineLevel="0" collapsed="false">
      <c r="E951" s="0" t="str">
        <f aca="false">IF(B951="","",LOWER(B951)&amp;"|"&amp;C951)</f>
        <v/>
      </c>
    </row>
    <row r="952" customFormat="false" ht="15" hidden="false" customHeight="false" outlineLevel="0" collapsed="false">
      <c r="E952" s="0" t="str">
        <f aca="false">IF(B952="","",LOWER(B952)&amp;"|"&amp;C952)</f>
        <v/>
      </c>
    </row>
    <row r="953" customFormat="false" ht="15" hidden="false" customHeight="false" outlineLevel="0" collapsed="false">
      <c r="E953" s="0" t="str">
        <f aca="false">IF(B953="","",LOWER(B953)&amp;"|"&amp;C953)</f>
        <v/>
      </c>
    </row>
    <row r="954" customFormat="false" ht="15" hidden="false" customHeight="false" outlineLevel="0" collapsed="false">
      <c r="E954" s="0" t="str">
        <f aca="false">IF(B954="","",LOWER(B954)&amp;"|"&amp;C954)</f>
        <v/>
      </c>
    </row>
    <row r="955" customFormat="false" ht="15" hidden="false" customHeight="false" outlineLevel="0" collapsed="false">
      <c r="E955" s="0" t="str">
        <f aca="false">IF(B955="","",LOWER(B955)&amp;"|"&amp;C955)</f>
        <v/>
      </c>
    </row>
    <row r="956" customFormat="false" ht="15" hidden="false" customHeight="false" outlineLevel="0" collapsed="false">
      <c r="E956" s="0" t="str">
        <f aca="false">IF(B956="","",LOWER(B956)&amp;"|"&amp;C956)</f>
        <v/>
      </c>
    </row>
    <row r="957" customFormat="false" ht="15" hidden="false" customHeight="false" outlineLevel="0" collapsed="false">
      <c r="E957" s="0" t="str">
        <f aca="false">IF(B957="","",LOWER(B957)&amp;"|"&amp;C957)</f>
        <v/>
      </c>
    </row>
    <row r="958" customFormat="false" ht="15" hidden="false" customHeight="false" outlineLevel="0" collapsed="false">
      <c r="E958" s="0" t="str">
        <f aca="false">IF(B958="","",LOWER(B958)&amp;"|"&amp;C958)</f>
        <v/>
      </c>
    </row>
    <row r="959" customFormat="false" ht="15" hidden="false" customHeight="false" outlineLevel="0" collapsed="false">
      <c r="E959" s="0" t="str">
        <f aca="false">IF(B959="","",LOWER(B959)&amp;"|"&amp;C959)</f>
        <v/>
      </c>
    </row>
    <row r="960" customFormat="false" ht="15" hidden="false" customHeight="false" outlineLevel="0" collapsed="false">
      <c r="E960" s="0" t="str">
        <f aca="false">IF(B960="","",LOWER(B960)&amp;"|"&amp;C960)</f>
        <v/>
      </c>
    </row>
    <row r="961" customFormat="false" ht="15" hidden="false" customHeight="false" outlineLevel="0" collapsed="false">
      <c r="E961" s="0" t="str">
        <f aca="false">IF(B961="","",LOWER(B961)&amp;"|"&amp;C961)</f>
        <v/>
      </c>
    </row>
    <row r="962" customFormat="false" ht="15" hidden="false" customHeight="false" outlineLevel="0" collapsed="false">
      <c r="E962" s="0" t="str">
        <f aca="false">IF(B962="","",LOWER(B962)&amp;"|"&amp;C962)</f>
        <v/>
      </c>
    </row>
    <row r="963" customFormat="false" ht="15" hidden="false" customHeight="false" outlineLevel="0" collapsed="false">
      <c r="E963" s="0" t="str">
        <f aca="false">IF(B963="","",LOWER(B963)&amp;"|"&amp;C963)</f>
        <v/>
      </c>
    </row>
    <row r="964" customFormat="false" ht="15" hidden="false" customHeight="false" outlineLevel="0" collapsed="false">
      <c r="E964" s="0" t="str">
        <f aca="false">IF(B964="","",LOWER(B964)&amp;"|"&amp;C964)</f>
        <v/>
      </c>
    </row>
    <row r="965" customFormat="false" ht="15" hidden="false" customHeight="false" outlineLevel="0" collapsed="false">
      <c r="E965" s="0" t="str">
        <f aca="false">IF(B965="","",LOWER(B965)&amp;"|"&amp;C965)</f>
        <v/>
      </c>
    </row>
    <row r="966" customFormat="false" ht="15" hidden="false" customHeight="false" outlineLevel="0" collapsed="false">
      <c r="E966" s="0" t="str">
        <f aca="false">IF(B966="","",LOWER(B966)&amp;"|"&amp;C966)</f>
        <v/>
      </c>
    </row>
    <row r="967" customFormat="false" ht="15" hidden="false" customHeight="false" outlineLevel="0" collapsed="false">
      <c r="E967" s="0" t="str">
        <f aca="false">IF(B967="","",LOWER(B967)&amp;"|"&amp;C967)</f>
        <v/>
      </c>
    </row>
    <row r="968" customFormat="false" ht="15" hidden="false" customHeight="false" outlineLevel="0" collapsed="false">
      <c r="E968" s="0" t="str">
        <f aca="false">IF(B968="","",LOWER(B968)&amp;"|"&amp;C968)</f>
        <v/>
      </c>
    </row>
    <row r="969" customFormat="false" ht="15" hidden="false" customHeight="false" outlineLevel="0" collapsed="false">
      <c r="E969" s="0" t="str">
        <f aca="false">IF(B969="","",LOWER(B969)&amp;"|"&amp;C969)</f>
        <v/>
      </c>
    </row>
    <row r="970" customFormat="false" ht="15" hidden="false" customHeight="false" outlineLevel="0" collapsed="false">
      <c r="E970" s="0" t="str">
        <f aca="false">IF(B970="","",LOWER(B970)&amp;"|"&amp;C970)</f>
        <v/>
      </c>
    </row>
    <row r="971" customFormat="false" ht="15" hidden="false" customHeight="false" outlineLevel="0" collapsed="false">
      <c r="E971" s="0" t="str">
        <f aca="false">IF(B971="","",LOWER(B971)&amp;"|"&amp;C971)</f>
        <v/>
      </c>
    </row>
    <row r="972" customFormat="false" ht="15" hidden="false" customHeight="false" outlineLevel="0" collapsed="false">
      <c r="E972" s="0" t="str">
        <f aca="false">IF(B972="","",LOWER(B972)&amp;"|"&amp;C972)</f>
        <v/>
      </c>
    </row>
    <row r="973" customFormat="false" ht="15" hidden="false" customHeight="false" outlineLevel="0" collapsed="false">
      <c r="E973" s="0" t="str">
        <f aca="false">IF(B973="","",LOWER(B973)&amp;"|"&amp;C973)</f>
        <v/>
      </c>
    </row>
    <row r="974" customFormat="false" ht="15" hidden="false" customHeight="false" outlineLevel="0" collapsed="false">
      <c r="E974" s="0" t="str">
        <f aca="false">IF(B974="","",LOWER(B974)&amp;"|"&amp;C974)</f>
        <v/>
      </c>
    </row>
    <row r="975" customFormat="false" ht="15" hidden="false" customHeight="false" outlineLevel="0" collapsed="false">
      <c r="E975" s="0" t="str">
        <f aca="false">IF(B975="","",LOWER(B975)&amp;"|"&amp;C975)</f>
        <v/>
      </c>
    </row>
    <row r="976" customFormat="false" ht="15" hidden="false" customHeight="false" outlineLevel="0" collapsed="false">
      <c r="E976" s="0" t="str">
        <f aca="false">IF(B976="","",LOWER(B976)&amp;"|"&amp;C976)</f>
        <v/>
      </c>
    </row>
    <row r="977" customFormat="false" ht="15" hidden="false" customHeight="false" outlineLevel="0" collapsed="false">
      <c r="E977" s="0" t="str">
        <f aca="false">IF(B977="","",LOWER(B977)&amp;"|"&amp;C977)</f>
        <v/>
      </c>
    </row>
    <row r="978" customFormat="false" ht="15" hidden="false" customHeight="false" outlineLevel="0" collapsed="false">
      <c r="E978" s="0" t="str">
        <f aca="false">IF(B978="","",LOWER(B978)&amp;"|"&amp;C978)</f>
        <v/>
      </c>
    </row>
    <row r="979" customFormat="false" ht="15" hidden="false" customHeight="false" outlineLevel="0" collapsed="false">
      <c r="E979" s="0" t="str">
        <f aca="false">IF(B979="","",LOWER(B979)&amp;"|"&amp;C979)</f>
        <v/>
      </c>
    </row>
    <row r="980" customFormat="false" ht="15" hidden="false" customHeight="false" outlineLevel="0" collapsed="false">
      <c r="E980" s="0" t="str">
        <f aca="false">IF(B980="","",LOWER(B980)&amp;"|"&amp;C980)</f>
        <v/>
      </c>
    </row>
    <row r="981" customFormat="false" ht="15" hidden="false" customHeight="false" outlineLevel="0" collapsed="false">
      <c r="E981" s="0" t="str">
        <f aca="false">IF(B981="","",LOWER(B981)&amp;"|"&amp;C981)</f>
        <v/>
      </c>
    </row>
    <row r="982" customFormat="false" ht="15" hidden="false" customHeight="false" outlineLevel="0" collapsed="false">
      <c r="E982" s="0" t="str">
        <f aca="false">IF(B982="","",LOWER(B982)&amp;"|"&amp;C982)</f>
        <v/>
      </c>
    </row>
    <row r="983" customFormat="false" ht="15" hidden="false" customHeight="false" outlineLevel="0" collapsed="false">
      <c r="E983" s="0" t="str">
        <f aca="false">IF(B983="","",LOWER(B983)&amp;"|"&amp;C983)</f>
        <v/>
      </c>
    </row>
    <row r="984" customFormat="false" ht="15" hidden="false" customHeight="false" outlineLevel="0" collapsed="false">
      <c r="E984" s="0" t="str">
        <f aca="false">IF(B984="","",LOWER(B984)&amp;"|"&amp;C984)</f>
        <v/>
      </c>
    </row>
    <row r="985" customFormat="false" ht="15" hidden="false" customHeight="false" outlineLevel="0" collapsed="false">
      <c r="E985" s="0" t="str">
        <f aca="false">IF(B985="","",LOWER(B985)&amp;"|"&amp;C985)</f>
        <v/>
      </c>
    </row>
    <row r="986" customFormat="false" ht="15" hidden="false" customHeight="false" outlineLevel="0" collapsed="false">
      <c r="E986" s="0" t="str">
        <f aca="false">IF(B986="","",LOWER(B986)&amp;"|"&amp;C986)</f>
        <v/>
      </c>
    </row>
    <row r="987" customFormat="false" ht="15" hidden="false" customHeight="false" outlineLevel="0" collapsed="false">
      <c r="E987" s="0" t="str">
        <f aca="false">IF(B987="","",LOWER(B987)&amp;"|"&amp;C987)</f>
        <v/>
      </c>
    </row>
    <row r="988" customFormat="false" ht="15" hidden="false" customHeight="false" outlineLevel="0" collapsed="false">
      <c r="E988" s="0" t="str">
        <f aca="false">IF(B988="","",LOWER(B988)&amp;"|"&amp;C988)</f>
        <v/>
      </c>
    </row>
    <row r="989" customFormat="false" ht="15" hidden="false" customHeight="false" outlineLevel="0" collapsed="false">
      <c r="E989" s="0" t="str">
        <f aca="false">IF(B989="","",LOWER(B989)&amp;"|"&amp;C989)</f>
        <v/>
      </c>
    </row>
    <row r="990" customFormat="false" ht="15" hidden="false" customHeight="false" outlineLevel="0" collapsed="false">
      <c r="E990" s="0" t="str">
        <f aca="false">IF(B990="","",LOWER(B990)&amp;"|"&amp;C990)</f>
        <v/>
      </c>
    </row>
    <row r="991" customFormat="false" ht="15" hidden="false" customHeight="false" outlineLevel="0" collapsed="false">
      <c r="E991" s="0" t="str">
        <f aca="false">IF(B991="","",LOWER(B991)&amp;"|"&amp;C991)</f>
        <v/>
      </c>
    </row>
    <row r="992" customFormat="false" ht="15" hidden="false" customHeight="false" outlineLevel="0" collapsed="false">
      <c r="E992" s="0" t="str">
        <f aca="false">IF(B992="","",LOWER(B992)&amp;"|"&amp;C992)</f>
        <v/>
      </c>
    </row>
    <row r="993" customFormat="false" ht="15" hidden="false" customHeight="false" outlineLevel="0" collapsed="false">
      <c r="E993" s="0" t="str">
        <f aca="false">IF(B993="","",LOWER(B993)&amp;"|"&amp;C993)</f>
        <v/>
      </c>
    </row>
    <row r="994" customFormat="false" ht="15" hidden="false" customHeight="false" outlineLevel="0" collapsed="false">
      <c r="E994" s="0" t="str">
        <f aca="false">IF(B994="","",LOWER(B994)&amp;"|"&amp;C994)</f>
        <v/>
      </c>
    </row>
    <row r="995" customFormat="false" ht="15" hidden="false" customHeight="false" outlineLevel="0" collapsed="false">
      <c r="E995" s="0" t="str">
        <f aca="false">IF(B995="","",LOWER(B995)&amp;"|"&amp;C995)</f>
        <v/>
      </c>
    </row>
    <row r="996" customFormat="false" ht="15" hidden="false" customHeight="false" outlineLevel="0" collapsed="false">
      <c r="E996" s="0" t="str">
        <f aca="false">IF(B996="","",LOWER(B996)&amp;"|"&amp;C996)</f>
        <v/>
      </c>
    </row>
    <row r="997" customFormat="false" ht="15" hidden="false" customHeight="false" outlineLevel="0" collapsed="false">
      <c r="E997" s="0" t="str">
        <f aca="false">IF(B997="","",LOWER(B997)&amp;"|"&amp;C997)</f>
        <v/>
      </c>
    </row>
    <row r="998" customFormat="false" ht="15" hidden="false" customHeight="false" outlineLevel="0" collapsed="false">
      <c r="E998" s="0" t="str">
        <f aca="false">IF(B998="","",LOWER(B998)&amp;"|"&amp;C998)</f>
        <v/>
      </c>
    </row>
    <row r="999" customFormat="false" ht="15" hidden="false" customHeight="false" outlineLevel="0" collapsed="false">
      <c r="E999" s="0" t="str">
        <f aca="false">IF(B999="","",LOWER(B999)&amp;"|"&amp;C999)</f>
        <v/>
      </c>
    </row>
    <row r="1000" customFormat="false" ht="15" hidden="false" customHeight="false" outlineLevel="0" collapsed="false">
      <c r="E1000" s="0" t="str">
        <f aca="false">IF(B1000="","",LOWER(B1000)&amp;"|"&amp;C1000)</f>
        <v/>
      </c>
    </row>
    <row r="1001" customFormat="false" ht="15" hidden="false" customHeight="false" outlineLevel="0" collapsed="false">
      <c r="E1001" s="0" t="str">
        <f aca="false">IF(B1001="","",LOWER(B1001)&amp;"|"&amp;C1001)</f>
        <v/>
      </c>
    </row>
    <row r="1002" customFormat="false" ht="15" hidden="false" customHeight="false" outlineLevel="0" collapsed="false">
      <c r="E1002" s="0" t="str">
        <f aca="false">IF(B1002="","",LOWER(B1002)&amp;"|"&amp;C1002)</f>
        <v/>
      </c>
    </row>
    <row r="1003" customFormat="false" ht="15" hidden="false" customHeight="false" outlineLevel="0" collapsed="false">
      <c r="E1003" s="0" t="str">
        <f aca="false">IF(B1003="","",LOWER(B1003)&amp;"|"&amp;C1003)</f>
        <v/>
      </c>
    </row>
    <row r="1004" customFormat="false" ht="15" hidden="false" customHeight="false" outlineLevel="0" collapsed="false">
      <c r="E1004" s="0" t="str">
        <f aca="false">IF(B1004="","",LOWER(B1004)&amp;"|"&amp;C1004)</f>
        <v/>
      </c>
    </row>
    <row r="1005" customFormat="false" ht="15" hidden="false" customHeight="false" outlineLevel="0" collapsed="false">
      <c r="E1005" s="0" t="str">
        <f aca="false">IF(B1005="","",LOWER(B1005)&amp;"|"&amp;C1005)</f>
        <v/>
      </c>
    </row>
    <row r="1006" customFormat="false" ht="15" hidden="false" customHeight="false" outlineLevel="0" collapsed="false">
      <c r="E1006" s="0" t="str">
        <f aca="false">IF(B1006="","",LOWER(B1006)&amp;"|"&amp;C1006)</f>
        <v/>
      </c>
    </row>
    <row r="1007" customFormat="false" ht="15" hidden="false" customHeight="false" outlineLevel="0" collapsed="false">
      <c r="E1007" s="0" t="str">
        <f aca="false">IF(B1007="","",LOWER(B1007)&amp;"|"&amp;C1007)</f>
        <v/>
      </c>
    </row>
    <row r="1008" customFormat="false" ht="15" hidden="false" customHeight="false" outlineLevel="0" collapsed="false">
      <c r="E1008" s="0" t="str">
        <f aca="false">IF(B1008="","",LOWER(B1008)&amp;"|"&amp;C1008)</f>
        <v/>
      </c>
    </row>
    <row r="1009" customFormat="false" ht="15" hidden="false" customHeight="false" outlineLevel="0" collapsed="false">
      <c r="E1009" s="0" t="str">
        <f aca="false">IF(B1009="","",LOWER(B1009)&amp;"|"&amp;C1009)</f>
        <v/>
      </c>
    </row>
    <row r="1010" customFormat="false" ht="15" hidden="false" customHeight="false" outlineLevel="0" collapsed="false">
      <c r="E1010" s="0" t="str">
        <f aca="false">IF(B1010="","",LOWER(B1010)&amp;"|"&amp;C1010)</f>
        <v/>
      </c>
    </row>
    <row r="1011" customFormat="false" ht="15" hidden="false" customHeight="false" outlineLevel="0" collapsed="false">
      <c r="E1011" s="0" t="str">
        <f aca="false">IF(B1011="","",LOWER(B1011)&amp;"|"&amp;C1011)</f>
        <v/>
      </c>
    </row>
    <row r="1012" customFormat="false" ht="15" hidden="false" customHeight="false" outlineLevel="0" collapsed="false">
      <c r="E1012" s="0" t="str">
        <f aca="false">IF(B1012="","",LOWER(B1012)&amp;"|"&amp;C1012)</f>
        <v/>
      </c>
    </row>
    <row r="1013" customFormat="false" ht="15" hidden="false" customHeight="false" outlineLevel="0" collapsed="false">
      <c r="E1013" s="0" t="str">
        <f aca="false">IF(B1013="","",LOWER(B1013)&amp;"|"&amp;C1013)</f>
        <v/>
      </c>
    </row>
    <row r="1014" customFormat="false" ht="15" hidden="false" customHeight="false" outlineLevel="0" collapsed="false">
      <c r="E1014" s="0" t="str">
        <f aca="false">IF(B1014="","",LOWER(B1014)&amp;"|"&amp;C1014)</f>
        <v/>
      </c>
    </row>
    <row r="1015" customFormat="false" ht="15" hidden="false" customHeight="false" outlineLevel="0" collapsed="false">
      <c r="E1015" s="0" t="str">
        <f aca="false">IF(B1015="","",LOWER(B1015)&amp;"|"&amp;C1015)</f>
        <v/>
      </c>
    </row>
    <row r="1016" customFormat="false" ht="15" hidden="false" customHeight="false" outlineLevel="0" collapsed="false">
      <c r="E1016" s="0" t="str">
        <f aca="false">IF(B1016="","",LOWER(B1016)&amp;"|"&amp;C1016)</f>
        <v/>
      </c>
    </row>
    <row r="1017" customFormat="false" ht="15" hidden="false" customHeight="false" outlineLevel="0" collapsed="false">
      <c r="E1017" s="0" t="str">
        <f aca="false">IF(B1017="","",LOWER(B1017)&amp;"|"&amp;C1017)</f>
        <v/>
      </c>
    </row>
    <row r="1018" customFormat="false" ht="15" hidden="false" customHeight="false" outlineLevel="0" collapsed="false">
      <c r="E1018" s="0" t="str">
        <f aca="false">IF(B1018="","",LOWER(B1018)&amp;"|"&amp;C1018)</f>
        <v/>
      </c>
    </row>
    <row r="1019" customFormat="false" ht="15" hidden="false" customHeight="false" outlineLevel="0" collapsed="false">
      <c r="E1019" s="0" t="str">
        <f aca="false">IF(B1019="","",LOWER(B1019)&amp;"|"&amp;C1019)</f>
        <v/>
      </c>
    </row>
    <row r="1020" customFormat="false" ht="15" hidden="false" customHeight="false" outlineLevel="0" collapsed="false">
      <c r="E1020" s="0" t="str">
        <f aca="false">IF(B1020="","",LOWER(B1020)&amp;"|"&amp;C1020)</f>
        <v/>
      </c>
    </row>
    <row r="1021" customFormat="false" ht="15" hidden="false" customHeight="false" outlineLevel="0" collapsed="false">
      <c r="E1021" s="0" t="str">
        <f aca="false">IF(B1021="","",LOWER(B1021)&amp;"|"&amp;C1021)</f>
        <v/>
      </c>
    </row>
    <row r="1022" customFormat="false" ht="15" hidden="false" customHeight="false" outlineLevel="0" collapsed="false">
      <c r="E1022" s="0" t="str">
        <f aca="false">IF(B1022="","",LOWER(B1022)&amp;"|"&amp;C1022)</f>
        <v/>
      </c>
    </row>
    <row r="1023" customFormat="false" ht="15" hidden="false" customHeight="false" outlineLevel="0" collapsed="false">
      <c r="E1023" s="0" t="str">
        <f aca="false">IF(B1023="","",LOWER(B1023)&amp;"|"&amp;C1023)</f>
        <v/>
      </c>
    </row>
    <row r="1024" customFormat="false" ht="15" hidden="false" customHeight="false" outlineLevel="0" collapsed="false">
      <c r="E1024" s="0" t="str">
        <f aca="false">IF(B1024="","",LOWER(B1024)&amp;"|"&amp;C1024)</f>
        <v/>
      </c>
    </row>
    <row r="1025" customFormat="false" ht="15" hidden="false" customHeight="false" outlineLevel="0" collapsed="false">
      <c r="E1025" s="0" t="str">
        <f aca="false">IF(B1025="","",LOWER(B1025)&amp;"|"&amp;C1025)</f>
        <v/>
      </c>
    </row>
    <row r="1026" customFormat="false" ht="15" hidden="false" customHeight="false" outlineLevel="0" collapsed="false">
      <c r="E1026" s="0" t="str">
        <f aca="false">IF(B1026="","",LOWER(B1026)&amp;"|"&amp;C1026)</f>
        <v/>
      </c>
    </row>
    <row r="1027" customFormat="false" ht="15" hidden="false" customHeight="false" outlineLevel="0" collapsed="false">
      <c r="E1027" s="0" t="str">
        <f aca="false">IF(B1027="","",LOWER(B1027)&amp;"|"&amp;C1027)</f>
        <v/>
      </c>
    </row>
    <row r="1028" customFormat="false" ht="15" hidden="false" customHeight="false" outlineLevel="0" collapsed="false">
      <c r="E1028" s="0" t="str">
        <f aca="false">IF(B1028="","",LOWER(B1028)&amp;"|"&amp;C1028)</f>
        <v/>
      </c>
    </row>
    <row r="1029" customFormat="false" ht="15" hidden="false" customHeight="false" outlineLevel="0" collapsed="false">
      <c r="E1029" s="0" t="str">
        <f aca="false">IF(B1029="","",LOWER(B1029)&amp;"|"&amp;C1029)</f>
        <v/>
      </c>
    </row>
    <row r="1030" customFormat="false" ht="15" hidden="false" customHeight="false" outlineLevel="0" collapsed="false">
      <c r="E1030" s="0" t="str">
        <f aca="false">IF(B1030="","",LOWER(B1030)&amp;"|"&amp;C1030)</f>
        <v/>
      </c>
    </row>
    <row r="1031" customFormat="false" ht="15" hidden="false" customHeight="false" outlineLevel="0" collapsed="false">
      <c r="E1031" s="0" t="str">
        <f aca="false">IF(B1031="","",LOWER(B1031)&amp;"|"&amp;C1031)</f>
        <v/>
      </c>
    </row>
    <row r="1032" customFormat="false" ht="15" hidden="false" customHeight="false" outlineLevel="0" collapsed="false">
      <c r="E1032" s="0" t="str">
        <f aca="false">IF(B1032="","",LOWER(B1032)&amp;"|"&amp;C1032)</f>
        <v/>
      </c>
    </row>
    <row r="1033" customFormat="false" ht="15" hidden="false" customHeight="false" outlineLevel="0" collapsed="false">
      <c r="E1033" s="0" t="str">
        <f aca="false">IF(B1033="","",LOWER(B1033)&amp;"|"&amp;C1033)</f>
        <v/>
      </c>
    </row>
    <row r="1034" customFormat="false" ht="15" hidden="false" customHeight="false" outlineLevel="0" collapsed="false">
      <c r="E1034" s="0" t="str">
        <f aca="false">IF(B1034="","",LOWER(B1034)&amp;"|"&amp;C1034)</f>
        <v/>
      </c>
    </row>
    <row r="1035" customFormat="false" ht="15" hidden="false" customHeight="false" outlineLevel="0" collapsed="false">
      <c r="E1035" s="0" t="str">
        <f aca="false">IF(B1035="","",LOWER(B1035)&amp;"|"&amp;C1035)</f>
        <v/>
      </c>
    </row>
    <row r="1036" customFormat="false" ht="15" hidden="false" customHeight="false" outlineLevel="0" collapsed="false">
      <c r="E1036" s="0" t="str">
        <f aca="false">IF(B1036="","",LOWER(B1036)&amp;"|"&amp;C1036)</f>
        <v/>
      </c>
    </row>
    <row r="1037" customFormat="false" ht="15" hidden="false" customHeight="false" outlineLevel="0" collapsed="false">
      <c r="E1037" s="0" t="str">
        <f aca="false">IF(B1037="","",LOWER(B1037)&amp;"|"&amp;C1037)</f>
        <v/>
      </c>
    </row>
    <row r="1038" customFormat="false" ht="15" hidden="false" customHeight="false" outlineLevel="0" collapsed="false">
      <c r="E1038" s="0" t="str">
        <f aca="false">IF(B1038="","",LOWER(B1038)&amp;"|"&amp;C1038)</f>
        <v/>
      </c>
    </row>
    <row r="1039" customFormat="false" ht="15" hidden="false" customHeight="false" outlineLevel="0" collapsed="false">
      <c r="E1039" s="0" t="str">
        <f aca="false">IF(B1039="","",LOWER(B1039)&amp;"|"&amp;C1039)</f>
        <v/>
      </c>
    </row>
    <row r="1040" customFormat="false" ht="15" hidden="false" customHeight="false" outlineLevel="0" collapsed="false">
      <c r="E1040" s="0" t="str">
        <f aca="false">IF(B1040="","",LOWER(B1040)&amp;"|"&amp;C1040)</f>
        <v/>
      </c>
    </row>
    <row r="1041" customFormat="false" ht="15" hidden="false" customHeight="false" outlineLevel="0" collapsed="false">
      <c r="E1041" s="0" t="str">
        <f aca="false">IF(B1041="","",LOWER(B1041)&amp;"|"&amp;C1041)</f>
        <v/>
      </c>
    </row>
    <row r="1042" customFormat="false" ht="15" hidden="false" customHeight="false" outlineLevel="0" collapsed="false">
      <c r="E1042" s="0" t="str">
        <f aca="false">IF(B1042="","",LOWER(B1042)&amp;"|"&amp;C1042)</f>
        <v/>
      </c>
    </row>
    <row r="1043" customFormat="false" ht="15" hidden="false" customHeight="false" outlineLevel="0" collapsed="false">
      <c r="E1043" s="0" t="str">
        <f aca="false">IF(B1043="","",LOWER(B1043)&amp;"|"&amp;C1043)</f>
        <v/>
      </c>
    </row>
    <row r="1044" customFormat="false" ht="15" hidden="false" customHeight="false" outlineLevel="0" collapsed="false">
      <c r="E1044" s="0" t="str">
        <f aca="false">IF(B1044="","",LOWER(B1044)&amp;"|"&amp;C1044)</f>
        <v/>
      </c>
    </row>
    <row r="1045" customFormat="false" ht="15" hidden="false" customHeight="false" outlineLevel="0" collapsed="false">
      <c r="E1045" s="0" t="str">
        <f aca="false">IF(B1045="","",LOWER(B1045)&amp;"|"&amp;C1045)</f>
        <v/>
      </c>
    </row>
    <row r="1046" customFormat="false" ht="15" hidden="false" customHeight="false" outlineLevel="0" collapsed="false">
      <c r="E1046" s="0" t="str">
        <f aca="false">IF(B1046="","",LOWER(B1046)&amp;"|"&amp;C1046)</f>
        <v/>
      </c>
    </row>
    <row r="1047" customFormat="false" ht="15" hidden="false" customHeight="false" outlineLevel="0" collapsed="false">
      <c r="E1047" s="0" t="str">
        <f aca="false">IF(B1047="","",LOWER(B1047)&amp;"|"&amp;C1047)</f>
        <v/>
      </c>
    </row>
    <row r="1048" customFormat="false" ht="15" hidden="false" customHeight="false" outlineLevel="0" collapsed="false">
      <c r="E1048" s="0" t="str">
        <f aca="false">IF(B1048="","",LOWER(B1048)&amp;"|"&amp;C1048)</f>
        <v/>
      </c>
    </row>
    <row r="1049" customFormat="false" ht="15" hidden="false" customHeight="false" outlineLevel="0" collapsed="false">
      <c r="E1049" s="0" t="str">
        <f aca="false">IF(B1049="","",LOWER(B1049)&amp;"|"&amp;C1049)</f>
        <v/>
      </c>
    </row>
    <row r="1050" customFormat="false" ht="15" hidden="false" customHeight="false" outlineLevel="0" collapsed="false">
      <c r="E1050" s="0" t="str">
        <f aca="false">IF(B1050="","",LOWER(B1050)&amp;"|"&amp;C1050)</f>
        <v/>
      </c>
    </row>
    <row r="1051" customFormat="false" ht="15" hidden="false" customHeight="false" outlineLevel="0" collapsed="false">
      <c r="E1051" s="0" t="str">
        <f aca="false">IF(B1051="","",LOWER(B1051)&amp;"|"&amp;C1051)</f>
        <v/>
      </c>
    </row>
    <row r="1052" customFormat="false" ht="15" hidden="false" customHeight="false" outlineLevel="0" collapsed="false">
      <c r="E1052" s="0" t="str">
        <f aca="false">IF(B1052="","",LOWER(B1052)&amp;"|"&amp;C1052)</f>
        <v/>
      </c>
    </row>
    <row r="1053" customFormat="false" ht="15" hidden="false" customHeight="false" outlineLevel="0" collapsed="false">
      <c r="E1053" s="0" t="str">
        <f aca="false">IF(B1053="","",LOWER(B1053)&amp;"|"&amp;C1053)</f>
        <v/>
      </c>
    </row>
    <row r="1054" customFormat="false" ht="15" hidden="false" customHeight="false" outlineLevel="0" collapsed="false">
      <c r="E1054" s="0" t="str">
        <f aca="false">IF(B1054="","",LOWER(B1054)&amp;"|"&amp;C1054)</f>
        <v/>
      </c>
    </row>
    <row r="1055" customFormat="false" ht="15" hidden="false" customHeight="false" outlineLevel="0" collapsed="false">
      <c r="E1055" s="0" t="str">
        <f aca="false">IF(B1055="","",LOWER(B1055)&amp;"|"&amp;C1055)</f>
        <v/>
      </c>
    </row>
    <row r="1056" customFormat="false" ht="15" hidden="false" customHeight="false" outlineLevel="0" collapsed="false">
      <c r="E1056" s="0" t="str">
        <f aca="false">IF(B1056="","",LOWER(B1056)&amp;"|"&amp;C1056)</f>
        <v/>
      </c>
    </row>
    <row r="1057" customFormat="false" ht="15" hidden="false" customHeight="false" outlineLevel="0" collapsed="false">
      <c r="E1057" s="0" t="str">
        <f aca="false">IF(B1057="","",LOWER(B1057)&amp;"|"&amp;C1057)</f>
        <v/>
      </c>
    </row>
    <row r="1058" customFormat="false" ht="15" hidden="false" customHeight="false" outlineLevel="0" collapsed="false">
      <c r="E1058" s="0" t="str">
        <f aca="false">IF(B1058="","",LOWER(B1058)&amp;"|"&amp;C1058)</f>
        <v/>
      </c>
    </row>
    <row r="1059" customFormat="false" ht="15" hidden="false" customHeight="false" outlineLevel="0" collapsed="false">
      <c r="E1059" s="0" t="str">
        <f aca="false">IF(B1059="","",LOWER(B1059)&amp;"|"&amp;C1059)</f>
        <v/>
      </c>
    </row>
    <row r="1060" customFormat="false" ht="15" hidden="false" customHeight="false" outlineLevel="0" collapsed="false">
      <c r="E1060" s="0" t="str">
        <f aca="false">IF(B1060="","",LOWER(B1060)&amp;"|"&amp;C1060)</f>
        <v/>
      </c>
    </row>
    <row r="1061" customFormat="false" ht="15" hidden="false" customHeight="false" outlineLevel="0" collapsed="false">
      <c r="E1061" s="0" t="str">
        <f aca="false">IF(B1061="","",LOWER(B1061)&amp;"|"&amp;C1061)</f>
        <v/>
      </c>
    </row>
    <row r="1062" customFormat="false" ht="15" hidden="false" customHeight="false" outlineLevel="0" collapsed="false">
      <c r="E1062" s="0" t="str">
        <f aca="false">IF(B1062="","",LOWER(B1062)&amp;"|"&amp;C1062)</f>
        <v/>
      </c>
    </row>
    <row r="1063" customFormat="false" ht="15" hidden="false" customHeight="false" outlineLevel="0" collapsed="false">
      <c r="E1063" s="0" t="str">
        <f aca="false">IF(B1063="","",LOWER(B1063)&amp;"|"&amp;C1063)</f>
        <v/>
      </c>
    </row>
    <row r="1064" customFormat="false" ht="15" hidden="false" customHeight="false" outlineLevel="0" collapsed="false">
      <c r="E1064" s="0" t="str">
        <f aca="false">IF(B1064="","",LOWER(B1064)&amp;"|"&amp;C1064)</f>
        <v/>
      </c>
    </row>
    <row r="1065" customFormat="false" ht="15" hidden="false" customHeight="false" outlineLevel="0" collapsed="false">
      <c r="E1065" s="0" t="str">
        <f aca="false">IF(B1065="","",LOWER(B1065)&amp;"|"&amp;C1065)</f>
        <v/>
      </c>
    </row>
    <row r="1066" customFormat="false" ht="15" hidden="false" customHeight="false" outlineLevel="0" collapsed="false">
      <c r="E1066" s="0" t="str">
        <f aca="false">IF(B1066="","",LOWER(B1066)&amp;"|"&amp;C1066)</f>
        <v/>
      </c>
    </row>
    <row r="1067" customFormat="false" ht="15" hidden="false" customHeight="false" outlineLevel="0" collapsed="false">
      <c r="E1067" s="0" t="str">
        <f aca="false">IF(B1067="","",LOWER(B1067)&amp;"|"&amp;C1067)</f>
        <v/>
      </c>
    </row>
    <row r="1068" customFormat="false" ht="15" hidden="false" customHeight="false" outlineLevel="0" collapsed="false">
      <c r="E1068" s="0" t="str">
        <f aca="false">IF(B1068="","",LOWER(B1068)&amp;"|"&amp;C1068)</f>
        <v/>
      </c>
    </row>
    <row r="1069" customFormat="false" ht="15" hidden="false" customHeight="false" outlineLevel="0" collapsed="false">
      <c r="E1069" s="0" t="str">
        <f aca="false">IF(B1069="","",LOWER(B1069)&amp;"|"&amp;C1069)</f>
        <v/>
      </c>
    </row>
    <row r="1070" customFormat="false" ht="15" hidden="false" customHeight="false" outlineLevel="0" collapsed="false">
      <c r="E1070" s="0" t="str">
        <f aca="false">IF(B1070="","",LOWER(B1070)&amp;"|"&amp;C1070)</f>
        <v/>
      </c>
    </row>
    <row r="1071" customFormat="false" ht="15" hidden="false" customHeight="false" outlineLevel="0" collapsed="false">
      <c r="E1071" s="0" t="str">
        <f aca="false">IF(B1071="","",LOWER(B1071)&amp;"|"&amp;C1071)</f>
        <v/>
      </c>
    </row>
    <row r="1072" customFormat="false" ht="15" hidden="false" customHeight="false" outlineLevel="0" collapsed="false">
      <c r="E1072" s="0" t="str">
        <f aca="false">IF(B1072="","",LOWER(B1072)&amp;"|"&amp;C1072)</f>
        <v/>
      </c>
    </row>
    <row r="1073" customFormat="false" ht="15" hidden="false" customHeight="false" outlineLevel="0" collapsed="false">
      <c r="E1073" s="0" t="str">
        <f aca="false">IF(B1073="","",LOWER(B1073)&amp;"|"&amp;C1073)</f>
        <v/>
      </c>
    </row>
    <row r="1074" customFormat="false" ht="15" hidden="false" customHeight="false" outlineLevel="0" collapsed="false">
      <c r="E1074" s="0" t="str">
        <f aca="false">IF(B1074="","",LOWER(B1074)&amp;"|"&amp;C1074)</f>
        <v/>
      </c>
    </row>
    <row r="1075" customFormat="false" ht="15" hidden="false" customHeight="false" outlineLevel="0" collapsed="false">
      <c r="E1075" s="0" t="str">
        <f aca="false">IF(B1075="","",LOWER(B1075)&amp;"|"&amp;C1075)</f>
        <v/>
      </c>
    </row>
    <row r="1076" customFormat="false" ht="15" hidden="false" customHeight="false" outlineLevel="0" collapsed="false">
      <c r="E1076" s="0" t="str">
        <f aca="false">IF(B1076="","",LOWER(B1076)&amp;"|"&amp;C1076)</f>
        <v/>
      </c>
    </row>
    <row r="1077" customFormat="false" ht="15" hidden="false" customHeight="false" outlineLevel="0" collapsed="false">
      <c r="E1077" s="0" t="str">
        <f aca="false">IF(B1077="","",LOWER(B1077)&amp;"|"&amp;C1077)</f>
        <v/>
      </c>
    </row>
    <row r="1078" customFormat="false" ht="15" hidden="false" customHeight="false" outlineLevel="0" collapsed="false">
      <c r="E1078" s="0" t="str">
        <f aca="false">IF(B1078="","",LOWER(B1078)&amp;"|"&amp;C1078)</f>
        <v/>
      </c>
    </row>
    <row r="1079" customFormat="false" ht="15" hidden="false" customHeight="false" outlineLevel="0" collapsed="false">
      <c r="E1079" s="0" t="str">
        <f aca="false">IF(B1079="","",LOWER(B1079)&amp;"|"&amp;C1079)</f>
        <v/>
      </c>
    </row>
    <row r="1080" customFormat="false" ht="15" hidden="false" customHeight="false" outlineLevel="0" collapsed="false">
      <c r="E1080" s="0" t="str">
        <f aca="false">IF(B1080="","",LOWER(B1080)&amp;"|"&amp;C1080)</f>
        <v/>
      </c>
    </row>
    <row r="1081" customFormat="false" ht="15" hidden="false" customHeight="false" outlineLevel="0" collapsed="false">
      <c r="E1081" s="0" t="str">
        <f aca="false">IF(B1081="","",LOWER(B1081)&amp;"|"&amp;C1081)</f>
        <v/>
      </c>
    </row>
    <row r="1082" customFormat="false" ht="15" hidden="false" customHeight="false" outlineLevel="0" collapsed="false">
      <c r="E1082" s="0" t="str">
        <f aca="false">IF(B1082="","",LOWER(B1082)&amp;"|"&amp;C1082)</f>
        <v/>
      </c>
    </row>
    <row r="1083" customFormat="false" ht="15" hidden="false" customHeight="false" outlineLevel="0" collapsed="false">
      <c r="E1083" s="0" t="str">
        <f aca="false">IF(B1083="","",LOWER(B1083)&amp;"|"&amp;C1083)</f>
        <v/>
      </c>
    </row>
    <row r="1084" customFormat="false" ht="15" hidden="false" customHeight="false" outlineLevel="0" collapsed="false">
      <c r="E1084" s="0" t="str">
        <f aca="false">IF(B1084="","",LOWER(B1084)&amp;"|"&amp;C1084)</f>
        <v/>
      </c>
    </row>
    <row r="1085" customFormat="false" ht="15" hidden="false" customHeight="false" outlineLevel="0" collapsed="false">
      <c r="E1085" s="0" t="str">
        <f aca="false">IF(B1085="","",LOWER(B1085)&amp;"|"&amp;C1085)</f>
        <v/>
      </c>
    </row>
    <row r="1086" customFormat="false" ht="15" hidden="false" customHeight="false" outlineLevel="0" collapsed="false">
      <c r="E1086" s="0" t="str">
        <f aca="false">IF(B1086="","",LOWER(B1086)&amp;"|"&amp;C1086)</f>
        <v/>
      </c>
    </row>
    <row r="1087" customFormat="false" ht="15" hidden="false" customHeight="false" outlineLevel="0" collapsed="false">
      <c r="E1087" s="0" t="str">
        <f aca="false">IF(B1087="","",LOWER(B1087)&amp;"|"&amp;C1087)</f>
        <v/>
      </c>
    </row>
    <row r="1088" customFormat="false" ht="15" hidden="false" customHeight="false" outlineLevel="0" collapsed="false">
      <c r="E1088" s="0" t="str">
        <f aca="false">IF(B1088="","",LOWER(B1088)&amp;"|"&amp;C1088)</f>
        <v/>
      </c>
    </row>
    <row r="1089" customFormat="false" ht="15" hidden="false" customHeight="false" outlineLevel="0" collapsed="false">
      <c r="E1089" s="0" t="str">
        <f aca="false">IF(B1089="","",LOWER(B1089)&amp;"|"&amp;C1089)</f>
        <v/>
      </c>
    </row>
    <row r="1090" customFormat="false" ht="15" hidden="false" customHeight="false" outlineLevel="0" collapsed="false">
      <c r="E1090" s="0" t="str">
        <f aca="false">IF(B1090="","",LOWER(B1090)&amp;"|"&amp;C1090)</f>
        <v/>
      </c>
    </row>
    <row r="1091" customFormat="false" ht="15" hidden="false" customHeight="false" outlineLevel="0" collapsed="false">
      <c r="E1091" s="0" t="str">
        <f aca="false">IF(B1091="","",LOWER(B1091)&amp;"|"&amp;C1091)</f>
        <v/>
      </c>
    </row>
    <row r="1092" customFormat="false" ht="15" hidden="false" customHeight="false" outlineLevel="0" collapsed="false">
      <c r="E1092" s="0" t="str">
        <f aca="false">IF(B1092="","",LOWER(B1092)&amp;"|"&amp;C1092)</f>
        <v/>
      </c>
    </row>
    <row r="1093" customFormat="false" ht="15" hidden="false" customHeight="false" outlineLevel="0" collapsed="false">
      <c r="E1093" s="0" t="str">
        <f aca="false">IF(B1093="","",LOWER(B1093)&amp;"|"&amp;C1093)</f>
        <v/>
      </c>
    </row>
    <row r="1094" customFormat="false" ht="15" hidden="false" customHeight="false" outlineLevel="0" collapsed="false">
      <c r="E1094" s="0" t="str">
        <f aca="false">IF(B1094="","",LOWER(B1094)&amp;"|"&amp;C1094)</f>
        <v/>
      </c>
    </row>
    <row r="1095" customFormat="false" ht="15" hidden="false" customHeight="false" outlineLevel="0" collapsed="false">
      <c r="E1095" s="0" t="str">
        <f aca="false">IF(B1095="","",LOWER(B1095)&amp;"|"&amp;C1095)</f>
        <v/>
      </c>
    </row>
    <row r="1096" customFormat="false" ht="15" hidden="false" customHeight="false" outlineLevel="0" collapsed="false">
      <c r="E1096" s="0" t="str">
        <f aca="false">IF(B1096="","",LOWER(B1096)&amp;"|"&amp;C1096)</f>
        <v/>
      </c>
    </row>
    <row r="1097" customFormat="false" ht="15" hidden="false" customHeight="false" outlineLevel="0" collapsed="false">
      <c r="E1097" s="0" t="str">
        <f aca="false">IF(B1097="","",LOWER(B1097)&amp;"|"&amp;C1097)</f>
        <v/>
      </c>
    </row>
    <row r="1098" customFormat="false" ht="15" hidden="false" customHeight="false" outlineLevel="0" collapsed="false">
      <c r="E1098" s="0" t="str">
        <f aca="false">IF(B1098="","",LOWER(B1098)&amp;"|"&amp;C1098)</f>
        <v/>
      </c>
    </row>
    <row r="1099" customFormat="false" ht="15" hidden="false" customHeight="false" outlineLevel="0" collapsed="false">
      <c r="E1099" s="0" t="str">
        <f aca="false">IF(B1099="","",LOWER(B1099)&amp;"|"&amp;C1099)</f>
        <v/>
      </c>
    </row>
    <row r="1100" customFormat="false" ht="15" hidden="false" customHeight="false" outlineLevel="0" collapsed="false">
      <c r="E1100" s="0" t="str">
        <f aca="false">IF(B1100="","",LOWER(B1100)&amp;"|"&amp;C1100)</f>
        <v/>
      </c>
    </row>
    <row r="1101" customFormat="false" ht="15" hidden="false" customHeight="false" outlineLevel="0" collapsed="false">
      <c r="E1101" s="0" t="str">
        <f aca="false">IF(B1101="","",LOWER(B1101)&amp;"|"&amp;C1101)</f>
        <v/>
      </c>
    </row>
    <row r="1102" customFormat="false" ht="15" hidden="false" customHeight="false" outlineLevel="0" collapsed="false">
      <c r="E1102" s="0" t="str">
        <f aca="false">IF(B1102="","",LOWER(B1102)&amp;"|"&amp;C1102)</f>
        <v/>
      </c>
    </row>
    <row r="1103" customFormat="false" ht="15" hidden="false" customHeight="false" outlineLevel="0" collapsed="false">
      <c r="E1103" s="0" t="str">
        <f aca="false">IF(B1103="","",LOWER(B1103)&amp;"|"&amp;C1103)</f>
        <v/>
      </c>
    </row>
    <row r="1104" customFormat="false" ht="15" hidden="false" customHeight="false" outlineLevel="0" collapsed="false">
      <c r="E1104" s="0" t="str">
        <f aca="false">IF(B1104="","",LOWER(B1104)&amp;"|"&amp;C1104)</f>
        <v/>
      </c>
    </row>
    <row r="1105" customFormat="false" ht="15" hidden="false" customHeight="false" outlineLevel="0" collapsed="false">
      <c r="E1105" s="0" t="str">
        <f aca="false">IF(B1105="","",LOWER(B1105)&amp;"|"&amp;C1105)</f>
        <v/>
      </c>
    </row>
    <row r="1106" customFormat="false" ht="15" hidden="false" customHeight="false" outlineLevel="0" collapsed="false">
      <c r="E1106" s="0" t="str">
        <f aca="false">IF(B1106="","",LOWER(B1106)&amp;"|"&amp;C1106)</f>
        <v/>
      </c>
    </row>
    <row r="1107" customFormat="false" ht="15" hidden="false" customHeight="false" outlineLevel="0" collapsed="false">
      <c r="E1107" s="0" t="str">
        <f aca="false">IF(B1107="","",LOWER(B1107)&amp;"|"&amp;C1107)</f>
        <v/>
      </c>
    </row>
    <row r="1108" customFormat="false" ht="15" hidden="false" customHeight="false" outlineLevel="0" collapsed="false">
      <c r="E1108" s="0" t="str">
        <f aca="false">IF(B1108="","",LOWER(B1108)&amp;"|"&amp;C1108)</f>
        <v/>
      </c>
    </row>
    <row r="1109" customFormat="false" ht="15" hidden="false" customHeight="false" outlineLevel="0" collapsed="false">
      <c r="E1109" s="0" t="str">
        <f aca="false">IF(B1109="","",LOWER(B1109)&amp;"|"&amp;C1109)</f>
        <v/>
      </c>
    </row>
    <row r="1110" customFormat="false" ht="15" hidden="false" customHeight="false" outlineLevel="0" collapsed="false">
      <c r="E1110" s="0" t="str">
        <f aca="false">IF(B1110="","",LOWER(B1110)&amp;"|"&amp;C1110)</f>
        <v/>
      </c>
    </row>
    <row r="1111" customFormat="false" ht="15" hidden="false" customHeight="false" outlineLevel="0" collapsed="false">
      <c r="E1111" s="0" t="str">
        <f aca="false">IF(B1111="","",LOWER(B1111)&amp;"|"&amp;C1111)</f>
        <v/>
      </c>
    </row>
    <row r="1112" customFormat="false" ht="15" hidden="false" customHeight="false" outlineLevel="0" collapsed="false">
      <c r="E1112" s="0" t="str">
        <f aca="false">IF(B1112="","",LOWER(B1112)&amp;"|"&amp;C1112)</f>
        <v/>
      </c>
    </row>
    <row r="1113" customFormat="false" ht="15" hidden="false" customHeight="false" outlineLevel="0" collapsed="false">
      <c r="E1113" s="0" t="str">
        <f aca="false">IF(B1113="","",LOWER(B1113)&amp;"|"&amp;C1113)</f>
        <v/>
      </c>
    </row>
    <row r="1114" customFormat="false" ht="15" hidden="false" customHeight="false" outlineLevel="0" collapsed="false">
      <c r="E1114" s="0" t="str">
        <f aca="false">IF(B1114="","",LOWER(B1114)&amp;"|"&amp;C1114)</f>
        <v/>
      </c>
    </row>
    <row r="1115" customFormat="false" ht="15" hidden="false" customHeight="false" outlineLevel="0" collapsed="false">
      <c r="E1115" s="0" t="str">
        <f aca="false">IF(B1115="","",LOWER(B1115)&amp;"|"&amp;C1115)</f>
        <v/>
      </c>
    </row>
    <row r="1116" customFormat="false" ht="15" hidden="false" customHeight="false" outlineLevel="0" collapsed="false">
      <c r="E1116" s="0" t="str">
        <f aca="false">IF(B1116="","",LOWER(B1116)&amp;"|"&amp;C1116)</f>
        <v/>
      </c>
    </row>
    <row r="1117" customFormat="false" ht="15" hidden="false" customHeight="false" outlineLevel="0" collapsed="false">
      <c r="E1117" s="0" t="str">
        <f aca="false">IF(B1117="","",LOWER(B1117)&amp;"|"&amp;C1117)</f>
        <v/>
      </c>
    </row>
    <row r="1118" customFormat="false" ht="15" hidden="false" customHeight="false" outlineLevel="0" collapsed="false">
      <c r="E1118" s="0" t="str">
        <f aca="false">IF(B1118="","",LOWER(B1118)&amp;"|"&amp;C1118)</f>
        <v/>
      </c>
    </row>
    <row r="1119" customFormat="false" ht="15" hidden="false" customHeight="false" outlineLevel="0" collapsed="false">
      <c r="E1119" s="0" t="str">
        <f aca="false">IF(B1119="","",LOWER(B1119)&amp;"|"&amp;C1119)</f>
        <v/>
      </c>
    </row>
    <row r="1120" customFormat="false" ht="15" hidden="false" customHeight="false" outlineLevel="0" collapsed="false">
      <c r="E1120" s="0" t="str">
        <f aca="false">IF(B1120="","",LOWER(B1120)&amp;"|"&amp;C1120)</f>
        <v/>
      </c>
    </row>
    <row r="1121" customFormat="false" ht="15" hidden="false" customHeight="false" outlineLevel="0" collapsed="false">
      <c r="E1121" s="0" t="str">
        <f aca="false">IF(B1121="","",LOWER(B1121)&amp;"|"&amp;C1121)</f>
        <v/>
      </c>
    </row>
    <row r="1122" customFormat="false" ht="15" hidden="false" customHeight="false" outlineLevel="0" collapsed="false">
      <c r="E1122" s="0" t="str">
        <f aca="false">IF(B1122="","",LOWER(B1122)&amp;"|"&amp;C1122)</f>
        <v/>
      </c>
    </row>
    <row r="1123" customFormat="false" ht="15" hidden="false" customHeight="false" outlineLevel="0" collapsed="false">
      <c r="E1123" s="0" t="str">
        <f aca="false">IF(B1123="","",LOWER(B1123)&amp;"|"&amp;C1123)</f>
        <v/>
      </c>
    </row>
    <row r="1124" customFormat="false" ht="15" hidden="false" customHeight="false" outlineLevel="0" collapsed="false">
      <c r="E1124" s="0" t="str">
        <f aca="false">IF(B1124="","",LOWER(B1124)&amp;"|"&amp;C1124)</f>
        <v/>
      </c>
    </row>
    <row r="1125" customFormat="false" ht="15" hidden="false" customHeight="false" outlineLevel="0" collapsed="false">
      <c r="E1125" s="0" t="str">
        <f aca="false">IF(B1125="","",LOWER(B1125)&amp;"|"&amp;C1125)</f>
        <v/>
      </c>
    </row>
    <row r="1126" customFormat="false" ht="15" hidden="false" customHeight="false" outlineLevel="0" collapsed="false">
      <c r="E1126" s="0" t="str">
        <f aca="false">IF(B1126="","",LOWER(B1126)&amp;"|"&amp;C1126)</f>
        <v/>
      </c>
    </row>
    <row r="1127" customFormat="false" ht="15" hidden="false" customHeight="false" outlineLevel="0" collapsed="false">
      <c r="E1127" s="0" t="str">
        <f aca="false">IF(B1127="","",LOWER(B1127)&amp;"|"&amp;C1127)</f>
        <v/>
      </c>
    </row>
    <row r="1128" customFormat="false" ht="15" hidden="false" customHeight="false" outlineLevel="0" collapsed="false">
      <c r="E1128" s="0" t="str">
        <f aca="false">IF(B1128="","",LOWER(B1128)&amp;"|"&amp;C1128)</f>
        <v/>
      </c>
    </row>
    <row r="1129" customFormat="false" ht="15" hidden="false" customHeight="false" outlineLevel="0" collapsed="false">
      <c r="E1129" s="0" t="str">
        <f aca="false">IF(B1129="","",LOWER(B1129)&amp;"|"&amp;C1129)</f>
        <v/>
      </c>
    </row>
    <row r="1130" customFormat="false" ht="15" hidden="false" customHeight="false" outlineLevel="0" collapsed="false">
      <c r="E1130" s="0" t="str">
        <f aca="false">IF(B1130="","",LOWER(B1130)&amp;"|"&amp;C1130)</f>
        <v/>
      </c>
    </row>
    <row r="1131" customFormat="false" ht="15" hidden="false" customHeight="false" outlineLevel="0" collapsed="false">
      <c r="E1131" s="0" t="str">
        <f aca="false">IF(B1131="","",LOWER(B1131)&amp;"|"&amp;C1131)</f>
        <v/>
      </c>
    </row>
    <row r="1132" customFormat="false" ht="15" hidden="false" customHeight="false" outlineLevel="0" collapsed="false">
      <c r="E1132" s="0" t="str">
        <f aca="false">IF(B1132="","",LOWER(B1132)&amp;"|"&amp;C1132)</f>
        <v/>
      </c>
    </row>
    <row r="1133" customFormat="false" ht="15" hidden="false" customHeight="false" outlineLevel="0" collapsed="false">
      <c r="E1133" s="0" t="str">
        <f aca="false">IF(B1133="","",LOWER(B1133)&amp;"|"&amp;C1133)</f>
        <v/>
      </c>
    </row>
    <row r="1134" customFormat="false" ht="15" hidden="false" customHeight="false" outlineLevel="0" collapsed="false">
      <c r="E1134" s="0" t="str">
        <f aca="false">IF(B1134="","",LOWER(B1134)&amp;"|"&amp;C1134)</f>
        <v/>
      </c>
    </row>
    <row r="1135" customFormat="false" ht="15" hidden="false" customHeight="false" outlineLevel="0" collapsed="false">
      <c r="E1135" s="0" t="str">
        <f aca="false">IF(B1135="","",LOWER(B1135)&amp;"|"&amp;C1135)</f>
        <v/>
      </c>
    </row>
    <row r="1136" customFormat="false" ht="15" hidden="false" customHeight="false" outlineLevel="0" collapsed="false">
      <c r="E1136" s="0" t="str">
        <f aca="false">IF(B1136="","",LOWER(B1136)&amp;"|"&amp;C1136)</f>
        <v/>
      </c>
    </row>
    <row r="1137" customFormat="false" ht="15" hidden="false" customHeight="false" outlineLevel="0" collapsed="false">
      <c r="E1137" s="0" t="str">
        <f aca="false">IF(B1137="","",LOWER(B1137)&amp;"|"&amp;C1137)</f>
        <v/>
      </c>
    </row>
    <row r="1138" customFormat="false" ht="15" hidden="false" customHeight="false" outlineLevel="0" collapsed="false">
      <c r="E1138" s="0" t="str">
        <f aca="false">IF(B1138="","",LOWER(B1138)&amp;"|"&amp;C1138)</f>
        <v/>
      </c>
    </row>
    <row r="1139" customFormat="false" ht="15" hidden="false" customHeight="false" outlineLevel="0" collapsed="false">
      <c r="E1139" s="0" t="str">
        <f aca="false">IF(B1139="","",LOWER(B1139)&amp;"|"&amp;C1139)</f>
        <v/>
      </c>
    </row>
    <row r="1140" customFormat="false" ht="15" hidden="false" customHeight="false" outlineLevel="0" collapsed="false">
      <c r="E1140" s="0" t="str">
        <f aca="false">IF(B1140="","",LOWER(B1140)&amp;"|"&amp;C1140)</f>
        <v/>
      </c>
    </row>
    <row r="1141" customFormat="false" ht="15" hidden="false" customHeight="false" outlineLevel="0" collapsed="false">
      <c r="E1141" s="0" t="str">
        <f aca="false">IF(B1141="","",LOWER(B1141)&amp;"|"&amp;C1141)</f>
        <v/>
      </c>
    </row>
    <row r="1142" customFormat="false" ht="15" hidden="false" customHeight="false" outlineLevel="0" collapsed="false">
      <c r="E1142" s="0" t="str">
        <f aca="false">IF(B1142="","",LOWER(B1142)&amp;"|"&amp;C1142)</f>
        <v/>
      </c>
    </row>
    <row r="1143" customFormat="false" ht="15" hidden="false" customHeight="false" outlineLevel="0" collapsed="false">
      <c r="E1143" s="0" t="str">
        <f aca="false">IF(B1143="","",LOWER(B1143)&amp;"|"&amp;C1143)</f>
        <v/>
      </c>
    </row>
    <row r="1144" customFormat="false" ht="15" hidden="false" customHeight="false" outlineLevel="0" collapsed="false">
      <c r="E1144" s="0" t="str">
        <f aca="false">IF(B1144="","",LOWER(B1144)&amp;"|"&amp;C1144)</f>
        <v/>
      </c>
    </row>
    <row r="1145" customFormat="false" ht="15" hidden="false" customHeight="false" outlineLevel="0" collapsed="false">
      <c r="E1145" s="0" t="str">
        <f aca="false">IF(B1145="","",LOWER(B1145)&amp;"|"&amp;C1145)</f>
        <v/>
      </c>
    </row>
    <row r="1146" customFormat="false" ht="15" hidden="false" customHeight="false" outlineLevel="0" collapsed="false">
      <c r="E1146" s="0" t="str">
        <f aca="false">IF(B1146="","",LOWER(B1146)&amp;"|"&amp;C1146)</f>
        <v/>
      </c>
    </row>
    <row r="1147" customFormat="false" ht="15" hidden="false" customHeight="false" outlineLevel="0" collapsed="false">
      <c r="E1147" s="0" t="str">
        <f aca="false">IF(B1147="","",LOWER(B1147)&amp;"|"&amp;C1147)</f>
        <v/>
      </c>
    </row>
    <row r="1148" customFormat="false" ht="15" hidden="false" customHeight="false" outlineLevel="0" collapsed="false">
      <c r="E1148" s="0" t="str">
        <f aca="false">IF(B1148="","",LOWER(B1148)&amp;"|"&amp;C1148)</f>
        <v/>
      </c>
    </row>
    <row r="1149" customFormat="false" ht="15" hidden="false" customHeight="false" outlineLevel="0" collapsed="false">
      <c r="E1149" s="0" t="str">
        <f aca="false">IF(B1149="","",LOWER(B1149)&amp;"|"&amp;C1149)</f>
        <v/>
      </c>
    </row>
    <row r="1150" customFormat="false" ht="15" hidden="false" customHeight="false" outlineLevel="0" collapsed="false">
      <c r="E1150" s="0" t="str">
        <f aca="false">IF(B1150="","",LOWER(B1150)&amp;"|"&amp;C1150)</f>
        <v/>
      </c>
    </row>
    <row r="1151" customFormat="false" ht="15" hidden="false" customHeight="false" outlineLevel="0" collapsed="false">
      <c r="E1151" s="0" t="str">
        <f aca="false">IF(B1151="","",LOWER(B1151)&amp;"|"&amp;C1151)</f>
        <v/>
      </c>
    </row>
    <row r="1152" customFormat="false" ht="15" hidden="false" customHeight="false" outlineLevel="0" collapsed="false">
      <c r="E1152" s="0" t="str">
        <f aca="false">IF(B1152="","",LOWER(B1152)&amp;"|"&amp;C1152)</f>
        <v/>
      </c>
    </row>
    <row r="1153" customFormat="false" ht="15" hidden="false" customHeight="false" outlineLevel="0" collapsed="false">
      <c r="E1153" s="0" t="str">
        <f aca="false">IF(B1153="","",LOWER(B1153)&amp;"|"&amp;C1153)</f>
        <v/>
      </c>
    </row>
    <row r="1154" customFormat="false" ht="15" hidden="false" customHeight="false" outlineLevel="0" collapsed="false">
      <c r="E1154" s="0" t="str">
        <f aca="false">IF(B1154="","",LOWER(B1154)&amp;"|"&amp;C1154)</f>
        <v/>
      </c>
    </row>
    <row r="1155" customFormat="false" ht="15" hidden="false" customHeight="false" outlineLevel="0" collapsed="false">
      <c r="E1155" s="0" t="str">
        <f aca="false">IF(B1155="","",LOWER(B1155)&amp;"|"&amp;C1155)</f>
        <v/>
      </c>
    </row>
    <row r="1156" customFormat="false" ht="15" hidden="false" customHeight="false" outlineLevel="0" collapsed="false">
      <c r="E1156" s="0" t="str">
        <f aca="false">IF(B1156="","",LOWER(B1156)&amp;"|"&amp;C1156)</f>
        <v/>
      </c>
    </row>
    <row r="1157" customFormat="false" ht="15" hidden="false" customHeight="false" outlineLevel="0" collapsed="false">
      <c r="E1157" s="0" t="str">
        <f aca="false">IF(B1157="","",LOWER(B1157)&amp;"|"&amp;C1157)</f>
        <v/>
      </c>
    </row>
    <row r="1158" customFormat="false" ht="15" hidden="false" customHeight="false" outlineLevel="0" collapsed="false">
      <c r="E1158" s="0" t="str">
        <f aca="false">IF(B1158="","",LOWER(B1158)&amp;"|"&amp;C1158)</f>
        <v/>
      </c>
    </row>
    <row r="1159" customFormat="false" ht="15" hidden="false" customHeight="false" outlineLevel="0" collapsed="false">
      <c r="E1159" s="0" t="str">
        <f aca="false">IF(B1159="","",LOWER(B1159)&amp;"|"&amp;C1159)</f>
        <v/>
      </c>
    </row>
    <row r="1160" customFormat="false" ht="15" hidden="false" customHeight="false" outlineLevel="0" collapsed="false">
      <c r="E1160" s="0" t="str">
        <f aca="false">IF(B1160="","",LOWER(B1160)&amp;"|"&amp;C1160)</f>
        <v/>
      </c>
    </row>
    <row r="1161" customFormat="false" ht="15" hidden="false" customHeight="false" outlineLevel="0" collapsed="false">
      <c r="E1161" s="0" t="str">
        <f aca="false">IF(B1161="","",LOWER(B1161)&amp;"|"&amp;C1161)</f>
        <v/>
      </c>
    </row>
    <row r="1162" customFormat="false" ht="15" hidden="false" customHeight="false" outlineLevel="0" collapsed="false">
      <c r="E1162" s="0" t="str">
        <f aca="false">IF(B1162="","",LOWER(B1162)&amp;"|"&amp;C1162)</f>
        <v/>
      </c>
    </row>
    <row r="1163" customFormat="false" ht="15" hidden="false" customHeight="false" outlineLevel="0" collapsed="false">
      <c r="E1163" s="0" t="str">
        <f aca="false">IF(B1163="","",LOWER(B1163)&amp;"|"&amp;C1163)</f>
        <v/>
      </c>
    </row>
    <row r="1164" customFormat="false" ht="15" hidden="false" customHeight="false" outlineLevel="0" collapsed="false">
      <c r="E1164" s="0" t="str">
        <f aca="false">IF(B1164="","",LOWER(B1164)&amp;"|"&amp;C1164)</f>
        <v/>
      </c>
    </row>
    <row r="1165" customFormat="false" ht="15" hidden="false" customHeight="false" outlineLevel="0" collapsed="false">
      <c r="E1165" s="0" t="str">
        <f aca="false">IF(B1165="","",LOWER(B1165)&amp;"|"&amp;C1165)</f>
        <v/>
      </c>
    </row>
    <row r="1166" customFormat="false" ht="15" hidden="false" customHeight="false" outlineLevel="0" collapsed="false">
      <c r="E1166" s="0" t="str">
        <f aca="false">IF(B1166="","",LOWER(B1166)&amp;"|"&amp;C1166)</f>
        <v/>
      </c>
    </row>
    <row r="1167" customFormat="false" ht="15" hidden="false" customHeight="false" outlineLevel="0" collapsed="false">
      <c r="E1167" s="0" t="str">
        <f aca="false">IF(B1167="","",LOWER(B1167)&amp;"|"&amp;C1167)</f>
        <v/>
      </c>
    </row>
    <row r="1168" customFormat="false" ht="15" hidden="false" customHeight="false" outlineLevel="0" collapsed="false">
      <c r="E1168" s="0" t="str">
        <f aca="false">IF(B1168="","",LOWER(B1168)&amp;"|"&amp;C1168)</f>
        <v/>
      </c>
    </row>
    <row r="1169" customFormat="false" ht="15" hidden="false" customHeight="false" outlineLevel="0" collapsed="false">
      <c r="E1169" s="0" t="str">
        <f aca="false">IF(B1169="","",LOWER(B1169)&amp;"|"&amp;C1169)</f>
        <v/>
      </c>
    </row>
    <row r="1170" customFormat="false" ht="15" hidden="false" customHeight="false" outlineLevel="0" collapsed="false">
      <c r="E1170" s="0" t="str">
        <f aca="false">IF(B1170="","",LOWER(B1170)&amp;"|"&amp;C1170)</f>
        <v/>
      </c>
    </row>
    <row r="1171" customFormat="false" ht="15" hidden="false" customHeight="false" outlineLevel="0" collapsed="false">
      <c r="E1171" s="0" t="str">
        <f aca="false">IF(B1171="","",LOWER(B1171)&amp;"|"&amp;C1171)</f>
        <v/>
      </c>
    </row>
    <row r="1172" customFormat="false" ht="15" hidden="false" customHeight="false" outlineLevel="0" collapsed="false">
      <c r="E1172" s="0" t="str">
        <f aca="false">IF(B1172="","",LOWER(B1172)&amp;"|"&amp;C1172)</f>
        <v/>
      </c>
    </row>
    <row r="1173" customFormat="false" ht="15" hidden="false" customHeight="false" outlineLevel="0" collapsed="false">
      <c r="E1173" s="0" t="str">
        <f aca="false">IF(B1173="","",LOWER(B1173)&amp;"|"&amp;C1173)</f>
        <v/>
      </c>
    </row>
    <row r="1174" customFormat="false" ht="15" hidden="false" customHeight="false" outlineLevel="0" collapsed="false">
      <c r="E1174" s="0" t="str">
        <f aca="false">IF(B1174="","",LOWER(B1174)&amp;"|"&amp;C1174)</f>
        <v/>
      </c>
    </row>
    <row r="1175" customFormat="false" ht="15" hidden="false" customHeight="false" outlineLevel="0" collapsed="false">
      <c r="E1175" s="0" t="str">
        <f aca="false">IF(B1175="","",LOWER(B1175)&amp;"|"&amp;C1175)</f>
        <v/>
      </c>
    </row>
    <row r="1176" customFormat="false" ht="15" hidden="false" customHeight="false" outlineLevel="0" collapsed="false">
      <c r="E1176" s="0" t="str">
        <f aca="false">IF(B1176="","",LOWER(B1176)&amp;"|"&amp;C1176)</f>
        <v/>
      </c>
    </row>
    <row r="1177" customFormat="false" ht="15" hidden="false" customHeight="false" outlineLevel="0" collapsed="false">
      <c r="E1177" s="0" t="str">
        <f aca="false">IF(B1177="","",LOWER(B1177)&amp;"|"&amp;C1177)</f>
        <v/>
      </c>
    </row>
    <row r="1178" customFormat="false" ht="15" hidden="false" customHeight="false" outlineLevel="0" collapsed="false">
      <c r="E1178" s="0" t="str">
        <f aca="false">IF(B1178="","",LOWER(B1178)&amp;"|"&amp;C1178)</f>
        <v/>
      </c>
    </row>
    <row r="1179" customFormat="false" ht="15" hidden="false" customHeight="false" outlineLevel="0" collapsed="false">
      <c r="E1179" s="0" t="str">
        <f aca="false">IF(B1179="","",LOWER(B1179)&amp;"|"&amp;C1179)</f>
        <v/>
      </c>
    </row>
    <row r="1180" customFormat="false" ht="15" hidden="false" customHeight="false" outlineLevel="0" collapsed="false">
      <c r="E1180" s="0" t="str">
        <f aca="false">IF(B1180="","",LOWER(B1180)&amp;"|"&amp;C1180)</f>
        <v/>
      </c>
    </row>
    <row r="1181" customFormat="false" ht="15" hidden="false" customHeight="false" outlineLevel="0" collapsed="false">
      <c r="E1181" s="0" t="str">
        <f aca="false">IF(B1181="","",LOWER(B1181)&amp;"|"&amp;C1181)</f>
        <v/>
      </c>
    </row>
    <row r="1182" customFormat="false" ht="15" hidden="false" customHeight="false" outlineLevel="0" collapsed="false">
      <c r="E1182" s="0" t="str">
        <f aca="false">IF(B1182="","",LOWER(B1182)&amp;"|"&amp;C1182)</f>
        <v/>
      </c>
    </row>
    <row r="1183" customFormat="false" ht="15" hidden="false" customHeight="false" outlineLevel="0" collapsed="false">
      <c r="E1183" s="0" t="str">
        <f aca="false">IF(B1183="","",LOWER(B1183)&amp;"|"&amp;C1183)</f>
        <v/>
      </c>
    </row>
    <row r="1184" customFormat="false" ht="15" hidden="false" customHeight="false" outlineLevel="0" collapsed="false">
      <c r="E1184" s="0" t="str">
        <f aca="false">IF(B1184="","",LOWER(B1184)&amp;"|"&amp;C1184)</f>
        <v/>
      </c>
    </row>
    <row r="1185" customFormat="false" ht="15" hidden="false" customHeight="false" outlineLevel="0" collapsed="false">
      <c r="E1185" s="0" t="str">
        <f aca="false">IF(B1185="","",LOWER(B1185)&amp;"|"&amp;C1185)</f>
        <v/>
      </c>
    </row>
    <row r="1186" customFormat="false" ht="15" hidden="false" customHeight="false" outlineLevel="0" collapsed="false">
      <c r="E1186" s="0" t="str">
        <f aca="false">IF(B1186="","",LOWER(B1186)&amp;"|"&amp;C1186)</f>
        <v/>
      </c>
    </row>
    <row r="1187" customFormat="false" ht="15" hidden="false" customHeight="false" outlineLevel="0" collapsed="false">
      <c r="E1187" s="0" t="str">
        <f aca="false">IF(B1187="","",LOWER(B1187)&amp;"|"&amp;C1187)</f>
        <v/>
      </c>
    </row>
    <row r="1188" customFormat="false" ht="15" hidden="false" customHeight="false" outlineLevel="0" collapsed="false">
      <c r="E1188" s="0" t="str">
        <f aca="false">IF(B1188="","",LOWER(B1188)&amp;"|"&amp;C1188)</f>
        <v/>
      </c>
    </row>
    <row r="1189" customFormat="false" ht="15" hidden="false" customHeight="false" outlineLevel="0" collapsed="false">
      <c r="E1189" s="0" t="str">
        <f aca="false">IF(B1189="","",LOWER(B1189)&amp;"|"&amp;C1189)</f>
        <v/>
      </c>
    </row>
    <row r="1190" customFormat="false" ht="15" hidden="false" customHeight="false" outlineLevel="0" collapsed="false">
      <c r="E1190" s="0" t="str">
        <f aca="false">IF(B1190="","",LOWER(B1190)&amp;"|"&amp;C1190)</f>
        <v/>
      </c>
    </row>
    <row r="1191" customFormat="false" ht="15" hidden="false" customHeight="false" outlineLevel="0" collapsed="false">
      <c r="E1191" s="0" t="str">
        <f aca="false">IF(B1191="","",LOWER(B1191)&amp;"|"&amp;C1191)</f>
        <v/>
      </c>
    </row>
    <row r="1192" customFormat="false" ht="15" hidden="false" customHeight="false" outlineLevel="0" collapsed="false">
      <c r="E1192" s="0" t="str">
        <f aca="false">IF(B1192="","",LOWER(B1192)&amp;"|"&amp;C1192)</f>
        <v/>
      </c>
    </row>
    <row r="1193" customFormat="false" ht="15" hidden="false" customHeight="false" outlineLevel="0" collapsed="false">
      <c r="E1193" s="0" t="str">
        <f aca="false">IF(B1193="","",LOWER(B1193)&amp;"|"&amp;C1193)</f>
        <v/>
      </c>
    </row>
    <row r="1194" customFormat="false" ht="15" hidden="false" customHeight="false" outlineLevel="0" collapsed="false">
      <c r="E1194" s="0" t="str">
        <f aca="false">IF(B1194="","",LOWER(B1194)&amp;"|"&amp;C1194)</f>
        <v/>
      </c>
    </row>
    <row r="1195" customFormat="false" ht="15" hidden="false" customHeight="false" outlineLevel="0" collapsed="false">
      <c r="E1195" s="0" t="str">
        <f aca="false">IF(B1195="","",LOWER(B1195)&amp;"|"&amp;C1195)</f>
        <v/>
      </c>
    </row>
    <row r="1196" customFormat="false" ht="15" hidden="false" customHeight="false" outlineLevel="0" collapsed="false">
      <c r="E1196" s="0" t="str">
        <f aca="false">IF(B1196="","",LOWER(B1196)&amp;"|"&amp;C1196)</f>
        <v/>
      </c>
    </row>
    <row r="1197" customFormat="false" ht="15" hidden="false" customHeight="false" outlineLevel="0" collapsed="false">
      <c r="E1197" s="0" t="str">
        <f aca="false">IF(B1197="","",LOWER(B1197)&amp;"|"&amp;C1197)</f>
        <v/>
      </c>
    </row>
    <row r="1198" customFormat="false" ht="15" hidden="false" customHeight="false" outlineLevel="0" collapsed="false">
      <c r="E1198" s="0" t="str">
        <f aca="false">IF(B1198="","",LOWER(B1198)&amp;"|"&amp;C1198)</f>
        <v/>
      </c>
    </row>
    <row r="1199" customFormat="false" ht="15" hidden="false" customHeight="false" outlineLevel="0" collapsed="false">
      <c r="E1199" s="0" t="str">
        <f aca="false">IF(B1199="","",LOWER(B1199)&amp;"|"&amp;C1199)</f>
        <v/>
      </c>
    </row>
    <row r="1200" customFormat="false" ht="15" hidden="false" customHeight="false" outlineLevel="0" collapsed="false">
      <c r="E1200" s="0" t="str">
        <f aca="false">IF(B1200="","",LOWER(B1200)&amp;"|"&amp;C1200)</f>
        <v/>
      </c>
    </row>
    <row r="1201" customFormat="false" ht="15" hidden="false" customHeight="false" outlineLevel="0" collapsed="false">
      <c r="E1201" s="0" t="str">
        <f aca="false">IF(B1201="","",LOWER(B1201)&amp;"|"&amp;C1201)</f>
        <v/>
      </c>
    </row>
    <row r="1202" customFormat="false" ht="15" hidden="false" customHeight="false" outlineLevel="0" collapsed="false">
      <c r="E1202" s="0" t="str">
        <f aca="false">IF(B1202="","",LOWER(B1202)&amp;"|"&amp;C1202)</f>
        <v/>
      </c>
    </row>
    <row r="1203" customFormat="false" ht="15" hidden="false" customHeight="false" outlineLevel="0" collapsed="false">
      <c r="E1203" s="0" t="str">
        <f aca="false">IF(B1203="","",LOWER(B1203)&amp;"|"&amp;C1203)</f>
        <v/>
      </c>
    </row>
    <row r="1204" customFormat="false" ht="15" hidden="false" customHeight="false" outlineLevel="0" collapsed="false">
      <c r="E1204" s="0" t="str">
        <f aca="false">IF(B1204="","",LOWER(B1204)&amp;"|"&amp;C1204)</f>
        <v/>
      </c>
    </row>
    <row r="1205" customFormat="false" ht="15" hidden="false" customHeight="false" outlineLevel="0" collapsed="false">
      <c r="E1205" s="0" t="str">
        <f aca="false">IF(B1205="","",LOWER(B1205)&amp;"|"&amp;C1205)</f>
        <v/>
      </c>
    </row>
    <row r="1206" customFormat="false" ht="15" hidden="false" customHeight="false" outlineLevel="0" collapsed="false">
      <c r="E1206" s="0" t="str">
        <f aca="false">IF(B1206="","",LOWER(B1206)&amp;"|"&amp;C1206)</f>
        <v/>
      </c>
    </row>
    <row r="1207" customFormat="false" ht="15" hidden="false" customHeight="false" outlineLevel="0" collapsed="false">
      <c r="E1207" s="0" t="str">
        <f aca="false">IF(B1207="","",LOWER(B1207)&amp;"|"&amp;C1207)</f>
        <v/>
      </c>
    </row>
    <row r="1208" customFormat="false" ht="15" hidden="false" customHeight="false" outlineLevel="0" collapsed="false">
      <c r="E1208" s="0" t="str">
        <f aca="false">IF(B1208="","",LOWER(B1208)&amp;"|"&amp;C1208)</f>
        <v/>
      </c>
    </row>
    <row r="1209" customFormat="false" ht="15" hidden="false" customHeight="false" outlineLevel="0" collapsed="false">
      <c r="E1209" s="0" t="str">
        <f aca="false">IF(B1209="","",LOWER(B1209)&amp;"|"&amp;C1209)</f>
        <v/>
      </c>
    </row>
    <row r="1210" customFormat="false" ht="15" hidden="false" customHeight="false" outlineLevel="0" collapsed="false">
      <c r="E1210" s="0" t="str">
        <f aca="false">IF(B1210="","",LOWER(B1210)&amp;"|"&amp;C1210)</f>
        <v/>
      </c>
    </row>
    <row r="1211" customFormat="false" ht="15" hidden="false" customHeight="false" outlineLevel="0" collapsed="false">
      <c r="E1211" s="0" t="str">
        <f aca="false">IF(B1211="","",LOWER(B1211)&amp;"|"&amp;C1211)</f>
        <v/>
      </c>
    </row>
    <row r="1212" customFormat="false" ht="15" hidden="false" customHeight="false" outlineLevel="0" collapsed="false">
      <c r="E1212" s="0" t="str">
        <f aca="false">IF(B1212="","",LOWER(B1212)&amp;"|"&amp;C1212)</f>
        <v/>
      </c>
    </row>
    <row r="1213" customFormat="false" ht="15" hidden="false" customHeight="false" outlineLevel="0" collapsed="false">
      <c r="E1213" s="0" t="str">
        <f aca="false">IF(B1213="","",LOWER(B1213)&amp;"|"&amp;C1213)</f>
        <v/>
      </c>
    </row>
    <row r="1214" customFormat="false" ht="15" hidden="false" customHeight="false" outlineLevel="0" collapsed="false">
      <c r="E1214" s="0" t="str">
        <f aca="false">IF(B1214="","",LOWER(B1214)&amp;"|"&amp;C1214)</f>
        <v/>
      </c>
    </row>
    <row r="1215" customFormat="false" ht="15" hidden="false" customHeight="false" outlineLevel="0" collapsed="false">
      <c r="E1215" s="0" t="str">
        <f aca="false">IF(B1215="","",LOWER(B1215)&amp;"|"&amp;C1215)</f>
        <v/>
      </c>
    </row>
    <row r="1216" customFormat="false" ht="15" hidden="false" customHeight="false" outlineLevel="0" collapsed="false">
      <c r="E1216" s="0" t="str">
        <f aca="false">IF(B1216="","",LOWER(B1216)&amp;"|"&amp;C1216)</f>
        <v/>
      </c>
    </row>
    <row r="1217" customFormat="false" ht="15" hidden="false" customHeight="false" outlineLevel="0" collapsed="false">
      <c r="E1217" s="0" t="str">
        <f aca="false">IF(B1217="","",LOWER(B1217)&amp;"|"&amp;C1217)</f>
        <v/>
      </c>
    </row>
    <row r="1218" customFormat="false" ht="15" hidden="false" customHeight="false" outlineLevel="0" collapsed="false">
      <c r="E1218" s="0" t="str">
        <f aca="false">IF(B1218="","",LOWER(B1218)&amp;"|"&amp;C1218)</f>
        <v/>
      </c>
    </row>
    <row r="1219" customFormat="false" ht="15" hidden="false" customHeight="false" outlineLevel="0" collapsed="false">
      <c r="E1219" s="0" t="str">
        <f aca="false">IF(B1219="","",LOWER(B1219)&amp;"|"&amp;C1219)</f>
        <v/>
      </c>
    </row>
    <row r="1220" customFormat="false" ht="15" hidden="false" customHeight="false" outlineLevel="0" collapsed="false">
      <c r="E1220" s="0" t="str">
        <f aca="false">IF(B1220="","",LOWER(B1220)&amp;"|"&amp;C1220)</f>
        <v/>
      </c>
    </row>
    <row r="1221" customFormat="false" ht="15" hidden="false" customHeight="false" outlineLevel="0" collapsed="false">
      <c r="E1221" s="0" t="str">
        <f aca="false">IF(B1221="","",LOWER(B1221)&amp;"|"&amp;C1221)</f>
        <v/>
      </c>
    </row>
    <row r="1222" customFormat="false" ht="15" hidden="false" customHeight="false" outlineLevel="0" collapsed="false">
      <c r="E1222" s="0" t="str">
        <f aca="false">IF(B1222="","",LOWER(B1222)&amp;"|"&amp;C1222)</f>
        <v/>
      </c>
    </row>
    <row r="1223" customFormat="false" ht="15" hidden="false" customHeight="false" outlineLevel="0" collapsed="false">
      <c r="E1223" s="0" t="str">
        <f aca="false">IF(B1223="","",LOWER(B1223)&amp;"|"&amp;C1223)</f>
        <v/>
      </c>
    </row>
    <row r="1224" customFormat="false" ht="15" hidden="false" customHeight="false" outlineLevel="0" collapsed="false">
      <c r="E1224" s="0" t="str">
        <f aca="false">IF(B1224="","",LOWER(B1224)&amp;"|"&amp;C1224)</f>
        <v/>
      </c>
    </row>
    <row r="1225" customFormat="false" ht="15" hidden="false" customHeight="false" outlineLevel="0" collapsed="false">
      <c r="E1225" s="0" t="str">
        <f aca="false">IF(B1225="","",LOWER(B1225)&amp;"|"&amp;C1225)</f>
        <v/>
      </c>
    </row>
    <row r="1226" customFormat="false" ht="15" hidden="false" customHeight="false" outlineLevel="0" collapsed="false">
      <c r="E1226" s="0" t="str">
        <f aca="false">IF(B1226="","",LOWER(B1226)&amp;"|"&amp;C1226)</f>
        <v/>
      </c>
    </row>
    <row r="1227" customFormat="false" ht="15" hidden="false" customHeight="false" outlineLevel="0" collapsed="false">
      <c r="E1227" s="0" t="str">
        <f aca="false">IF(B1227="","",LOWER(B1227)&amp;"|"&amp;C1227)</f>
        <v/>
      </c>
    </row>
    <row r="1228" customFormat="false" ht="15" hidden="false" customHeight="false" outlineLevel="0" collapsed="false">
      <c r="E1228" s="0" t="str">
        <f aca="false">IF(B1228="","",LOWER(B1228)&amp;"|"&amp;C1228)</f>
        <v/>
      </c>
    </row>
    <row r="1229" customFormat="false" ht="15" hidden="false" customHeight="false" outlineLevel="0" collapsed="false">
      <c r="E1229" s="0" t="str">
        <f aca="false">IF(B1229="","",LOWER(B1229)&amp;"|"&amp;C1229)</f>
        <v/>
      </c>
    </row>
    <row r="1230" customFormat="false" ht="15" hidden="false" customHeight="false" outlineLevel="0" collapsed="false">
      <c r="E1230" s="0" t="str">
        <f aca="false">IF(B1230="","",LOWER(B1230)&amp;"|"&amp;C1230)</f>
        <v/>
      </c>
    </row>
    <row r="1231" customFormat="false" ht="15" hidden="false" customHeight="false" outlineLevel="0" collapsed="false">
      <c r="E1231" s="0" t="str">
        <f aca="false">IF(B1231="","",LOWER(B1231)&amp;"|"&amp;C1231)</f>
        <v/>
      </c>
    </row>
    <row r="1232" customFormat="false" ht="15" hidden="false" customHeight="false" outlineLevel="0" collapsed="false">
      <c r="E1232" s="0" t="str">
        <f aca="false">IF(B1232="","",LOWER(B1232)&amp;"|"&amp;C1232)</f>
        <v/>
      </c>
    </row>
    <row r="1233" customFormat="false" ht="15" hidden="false" customHeight="false" outlineLevel="0" collapsed="false">
      <c r="E1233" s="0" t="str">
        <f aca="false">IF(B1233="","",LOWER(B1233)&amp;"|"&amp;C1233)</f>
        <v/>
      </c>
    </row>
    <row r="1234" customFormat="false" ht="15" hidden="false" customHeight="false" outlineLevel="0" collapsed="false">
      <c r="E1234" s="0" t="str">
        <f aca="false">IF(B1234="","",LOWER(B1234)&amp;"|"&amp;C1234)</f>
        <v/>
      </c>
    </row>
    <row r="1235" customFormat="false" ht="15" hidden="false" customHeight="false" outlineLevel="0" collapsed="false">
      <c r="E1235" s="0" t="str">
        <f aca="false">IF(B1235="","",LOWER(B1235)&amp;"|"&amp;C1235)</f>
        <v/>
      </c>
    </row>
    <row r="1236" customFormat="false" ht="15" hidden="false" customHeight="false" outlineLevel="0" collapsed="false">
      <c r="E1236" s="0" t="str">
        <f aca="false">IF(B1236="","",LOWER(B1236)&amp;"|"&amp;C1236)</f>
        <v/>
      </c>
    </row>
    <row r="1237" customFormat="false" ht="15" hidden="false" customHeight="false" outlineLevel="0" collapsed="false">
      <c r="E1237" s="0" t="str">
        <f aca="false">IF(B1237="","",LOWER(B1237)&amp;"|"&amp;C1237)</f>
        <v/>
      </c>
    </row>
    <row r="1238" customFormat="false" ht="15" hidden="false" customHeight="false" outlineLevel="0" collapsed="false">
      <c r="E1238" s="0" t="str">
        <f aca="false">IF(B1238="","",LOWER(B1238)&amp;"|"&amp;C1238)</f>
        <v/>
      </c>
    </row>
    <row r="1239" customFormat="false" ht="15" hidden="false" customHeight="false" outlineLevel="0" collapsed="false">
      <c r="E1239" s="0" t="str">
        <f aca="false">IF(B1239="","",LOWER(B1239)&amp;"|"&amp;C1239)</f>
        <v/>
      </c>
    </row>
    <row r="1240" customFormat="false" ht="15" hidden="false" customHeight="false" outlineLevel="0" collapsed="false">
      <c r="E1240" s="0" t="str">
        <f aca="false">IF(B1240="","",LOWER(B1240)&amp;"|"&amp;C1240)</f>
        <v/>
      </c>
    </row>
    <row r="1241" customFormat="false" ht="15" hidden="false" customHeight="false" outlineLevel="0" collapsed="false">
      <c r="E1241" s="0" t="str">
        <f aca="false">IF(B1241="","",LOWER(B1241)&amp;"|"&amp;C1241)</f>
        <v/>
      </c>
    </row>
    <row r="1242" customFormat="false" ht="15" hidden="false" customHeight="false" outlineLevel="0" collapsed="false">
      <c r="E1242" s="0" t="str">
        <f aca="false">IF(B1242="","",LOWER(B1242)&amp;"|"&amp;C1242)</f>
        <v/>
      </c>
    </row>
    <row r="1243" customFormat="false" ht="15" hidden="false" customHeight="false" outlineLevel="0" collapsed="false">
      <c r="E1243" s="0" t="str">
        <f aca="false">IF(B1243="","",LOWER(B1243)&amp;"|"&amp;C1243)</f>
        <v/>
      </c>
    </row>
    <row r="1244" customFormat="false" ht="15" hidden="false" customHeight="false" outlineLevel="0" collapsed="false">
      <c r="E1244" s="0" t="str">
        <f aca="false">IF(B1244="","",LOWER(B1244)&amp;"|"&amp;C1244)</f>
        <v/>
      </c>
    </row>
    <row r="1245" customFormat="false" ht="15" hidden="false" customHeight="false" outlineLevel="0" collapsed="false">
      <c r="E1245" s="0" t="str">
        <f aca="false">IF(B1245="","",LOWER(B1245)&amp;"|"&amp;C1245)</f>
        <v/>
      </c>
    </row>
    <row r="1246" customFormat="false" ht="15" hidden="false" customHeight="false" outlineLevel="0" collapsed="false">
      <c r="E1246" s="0" t="str">
        <f aca="false">IF(B1246="","",LOWER(B1246)&amp;"|"&amp;C1246)</f>
        <v/>
      </c>
    </row>
    <row r="1247" customFormat="false" ht="15" hidden="false" customHeight="false" outlineLevel="0" collapsed="false">
      <c r="E1247" s="0" t="str">
        <f aca="false">IF(B1247="","",LOWER(B1247)&amp;"|"&amp;C1247)</f>
        <v/>
      </c>
    </row>
    <row r="1248" customFormat="false" ht="15" hidden="false" customHeight="false" outlineLevel="0" collapsed="false">
      <c r="E1248" s="0" t="str">
        <f aca="false">IF(B1248="","",LOWER(B1248)&amp;"|"&amp;C1248)</f>
        <v/>
      </c>
    </row>
    <row r="1249" customFormat="false" ht="15" hidden="false" customHeight="false" outlineLevel="0" collapsed="false">
      <c r="E1249" s="0" t="str">
        <f aca="false">IF(B1249="","",LOWER(B1249)&amp;"|"&amp;C1249)</f>
        <v/>
      </c>
    </row>
    <row r="1250" customFormat="false" ht="15" hidden="false" customHeight="false" outlineLevel="0" collapsed="false">
      <c r="E1250" s="0" t="str">
        <f aca="false">IF(B1250="","",LOWER(B1250)&amp;"|"&amp;C1250)</f>
        <v/>
      </c>
    </row>
    <row r="1251" customFormat="false" ht="15" hidden="false" customHeight="false" outlineLevel="0" collapsed="false">
      <c r="E1251" s="0" t="str">
        <f aca="false">IF(B1251="","",LOWER(B1251)&amp;"|"&amp;C1251)</f>
        <v/>
      </c>
    </row>
    <row r="1252" customFormat="false" ht="15" hidden="false" customHeight="false" outlineLevel="0" collapsed="false">
      <c r="E1252" s="0" t="str">
        <f aca="false">IF(B1252="","",LOWER(B1252)&amp;"|"&amp;C1252)</f>
        <v/>
      </c>
    </row>
    <row r="1253" customFormat="false" ht="15" hidden="false" customHeight="false" outlineLevel="0" collapsed="false">
      <c r="E1253" s="0" t="str">
        <f aca="false">IF(B1253="","",LOWER(B1253)&amp;"|"&amp;C1253)</f>
        <v/>
      </c>
    </row>
    <row r="1254" customFormat="false" ht="15" hidden="false" customHeight="false" outlineLevel="0" collapsed="false">
      <c r="E1254" s="0" t="str">
        <f aca="false">IF(B1254="","",LOWER(B1254)&amp;"|"&amp;C1254)</f>
        <v/>
      </c>
    </row>
    <row r="1255" customFormat="false" ht="15" hidden="false" customHeight="false" outlineLevel="0" collapsed="false">
      <c r="E1255" s="0" t="str">
        <f aca="false">IF(B1255="","",LOWER(B1255)&amp;"|"&amp;C1255)</f>
        <v/>
      </c>
    </row>
    <row r="1256" customFormat="false" ht="15" hidden="false" customHeight="false" outlineLevel="0" collapsed="false">
      <c r="E1256" s="0" t="str">
        <f aca="false">IF(B1256="","",LOWER(B1256)&amp;"|"&amp;C1256)</f>
        <v/>
      </c>
    </row>
    <row r="1257" customFormat="false" ht="15" hidden="false" customHeight="false" outlineLevel="0" collapsed="false">
      <c r="E1257" s="0" t="str">
        <f aca="false">IF(B1257="","",LOWER(B1257)&amp;"|"&amp;C1257)</f>
        <v/>
      </c>
    </row>
    <row r="1258" customFormat="false" ht="15" hidden="false" customHeight="false" outlineLevel="0" collapsed="false">
      <c r="E1258" s="0" t="str">
        <f aca="false">IF(B1258="","",LOWER(B1258)&amp;"|"&amp;C1258)</f>
        <v/>
      </c>
    </row>
    <row r="1259" customFormat="false" ht="15" hidden="false" customHeight="false" outlineLevel="0" collapsed="false">
      <c r="E1259" s="0" t="str">
        <f aca="false">IF(B1259="","",LOWER(B1259)&amp;"|"&amp;C1259)</f>
        <v/>
      </c>
    </row>
    <row r="1260" customFormat="false" ht="15" hidden="false" customHeight="false" outlineLevel="0" collapsed="false">
      <c r="E1260" s="0" t="str">
        <f aca="false">IF(B1260="","",LOWER(B1260)&amp;"|"&amp;C1260)</f>
        <v/>
      </c>
    </row>
    <row r="1261" customFormat="false" ht="15" hidden="false" customHeight="false" outlineLevel="0" collapsed="false">
      <c r="E1261" s="0" t="str">
        <f aca="false">IF(B1261="","",LOWER(B1261)&amp;"|"&amp;C1261)</f>
        <v/>
      </c>
    </row>
    <row r="1262" customFormat="false" ht="15" hidden="false" customHeight="false" outlineLevel="0" collapsed="false">
      <c r="E1262" s="0" t="str">
        <f aca="false">IF(B1262="","",LOWER(B1262)&amp;"|"&amp;C1262)</f>
        <v/>
      </c>
    </row>
    <row r="1263" customFormat="false" ht="15" hidden="false" customHeight="false" outlineLevel="0" collapsed="false">
      <c r="E1263" s="0" t="str">
        <f aca="false">IF(B1263="","",LOWER(B1263)&amp;"|"&amp;C1263)</f>
        <v/>
      </c>
    </row>
    <row r="1264" customFormat="false" ht="15" hidden="false" customHeight="false" outlineLevel="0" collapsed="false">
      <c r="E1264" s="0" t="str">
        <f aca="false">IF(B1264="","",LOWER(B1264)&amp;"|"&amp;C1264)</f>
        <v/>
      </c>
    </row>
    <row r="1265" customFormat="false" ht="15" hidden="false" customHeight="false" outlineLevel="0" collapsed="false">
      <c r="E1265" s="0" t="str">
        <f aca="false">IF(B1265="","",LOWER(B1265)&amp;"|"&amp;C1265)</f>
        <v/>
      </c>
    </row>
    <row r="1266" customFormat="false" ht="15" hidden="false" customHeight="false" outlineLevel="0" collapsed="false">
      <c r="E1266" s="0" t="str">
        <f aca="false">IF(B1266="","",LOWER(B1266)&amp;"|"&amp;C1266)</f>
        <v/>
      </c>
    </row>
    <row r="1267" customFormat="false" ht="15" hidden="false" customHeight="false" outlineLevel="0" collapsed="false">
      <c r="E1267" s="0" t="str">
        <f aca="false">IF(B1267="","",LOWER(B1267)&amp;"|"&amp;C1267)</f>
        <v/>
      </c>
    </row>
    <row r="1268" customFormat="false" ht="15" hidden="false" customHeight="false" outlineLevel="0" collapsed="false">
      <c r="E1268" s="0" t="str">
        <f aca="false">IF(B1268="","",LOWER(B1268)&amp;"|"&amp;C1268)</f>
        <v/>
      </c>
    </row>
    <row r="1269" customFormat="false" ht="15" hidden="false" customHeight="false" outlineLevel="0" collapsed="false">
      <c r="E1269" s="0" t="str">
        <f aca="false">IF(B1269="","",LOWER(B1269)&amp;"|"&amp;C1269)</f>
        <v/>
      </c>
    </row>
    <row r="1270" customFormat="false" ht="15" hidden="false" customHeight="false" outlineLevel="0" collapsed="false">
      <c r="E1270" s="0" t="str">
        <f aca="false">IF(B1270="","",LOWER(B1270)&amp;"|"&amp;C1270)</f>
        <v/>
      </c>
    </row>
    <row r="1271" customFormat="false" ht="15" hidden="false" customHeight="false" outlineLevel="0" collapsed="false">
      <c r="E1271" s="0" t="str">
        <f aca="false">IF(B1271="","",LOWER(B1271)&amp;"|"&amp;C1271)</f>
        <v/>
      </c>
    </row>
    <row r="1272" customFormat="false" ht="15" hidden="false" customHeight="false" outlineLevel="0" collapsed="false">
      <c r="E1272" s="0" t="str">
        <f aca="false">IF(B1272="","",LOWER(B1272)&amp;"|"&amp;C1272)</f>
        <v/>
      </c>
    </row>
    <row r="1273" customFormat="false" ht="15" hidden="false" customHeight="false" outlineLevel="0" collapsed="false">
      <c r="E1273" s="0" t="str">
        <f aca="false">IF(B1273="","",LOWER(B1273)&amp;"|"&amp;C1273)</f>
        <v/>
      </c>
    </row>
    <row r="1274" customFormat="false" ht="15" hidden="false" customHeight="false" outlineLevel="0" collapsed="false">
      <c r="E1274" s="0" t="str">
        <f aca="false">IF(B1274="","",LOWER(B1274)&amp;"|"&amp;C1274)</f>
        <v/>
      </c>
    </row>
    <row r="1275" customFormat="false" ht="15" hidden="false" customHeight="false" outlineLevel="0" collapsed="false">
      <c r="E1275" s="0" t="str">
        <f aca="false">IF(B1275="","",LOWER(B1275)&amp;"|"&amp;C1275)</f>
        <v/>
      </c>
    </row>
    <row r="1276" customFormat="false" ht="15" hidden="false" customHeight="false" outlineLevel="0" collapsed="false">
      <c r="E1276" s="0" t="str">
        <f aca="false">IF(B1276="","",LOWER(B1276)&amp;"|"&amp;C1276)</f>
        <v/>
      </c>
    </row>
    <row r="1277" customFormat="false" ht="15" hidden="false" customHeight="false" outlineLevel="0" collapsed="false">
      <c r="E1277" s="0" t="str">
        <f aca="false">IF(B1277="","",LOWER(B1277)&amp;"|"&amp;C1277)</f>
        <v/>
      </c>
    </row>
    <row r="1278" customFormat="false" ht="15" hidden="false" customHeight="false" outlineLevel="0" collapsed="false">
      <c r="E1278" s="0" t="str">
        <f aca="false">IF(B1278="","",LOWER(B1278)&amp;"|"&amp;C1278)</f>
        <v/>
      </c>
    </row>
    <row r="1279" customFormat="false" ht="15" hidden="false" customHeight="false" outlineLevel="0" collapsed="false">
      <c r="E1279" s="0" t="str">
        <f aca="false">IF(B1279="","",LOWER(B1279)&amp;"|"&amp;C1279)</f>
        <v/>
      </c>
    </row>
    <row r="1280" customFormat="false" ht="15" hidden="false" customHeight="false" outlineLevel="0" collapsed="false">
      <c r="E1280" s="0" t="str">
        <f aca="false">IF(B1280="","",LOWER(B1280)&amp;"|"&amp;C1280)</f>
        <v/>
      </c>
    </row>
    <row r="1281" customFormat="false" ht="15" hidden="false" customHeight="false" outlineLevel="0" collapsed="false">
      <c r="E1281" s="0" t="str">
        <f aca="false">IF(B1281="","",LOWER(B1281)&amp;"|"&amp;C1281)</f>
        <v/>
      </c>
    </row>
    <row r="1282" customFormat="false" ht="15" hidden="false" customHeight="false" outlineLevel="0" collapsed="false">
      <c r="E1282" s="0" t="str">
        <f aca="false">IF(B1282="","",LOWER(B1282)&amp;"|"&amp;C1282)</f>
        <v/>
      </c>
    </row>
    <row r="1283" customFormat="false" ht="15" hidden="false" customHeight="false" outlineLevel="0" collapsed="false">
      <c r="E1283" s="0" t="str">
        <f aca="false">IF(B1283="","",LOWER(B1283)&amp;"|"&amp;C1283)</f>
        <v/>
      </c>
    </row>
    <row r="1284" customFormat="false" ht="15" hidden="false" customHeight="false" outlineLevel="0" collapsed="false">
      <c r="E1284" s="0" t="str">
        <f aca="false">IF(B1284="","",LOWER(B1284)&amp;"|"&amp;C1284)</f>
        <v/>
      </c>
    </row>
    <row r="1285" customFormat="false" ht="15" hidden="false" customHeight="false" outlineLevel="0" collapsed="false">
      <c r="E1285" s="0" t="str">
        <f aca="false">IF(B1285="","",LOWER(B1285)&amp;"|"&amp;C1285)</f>
        <v/>
      </c>
    </row>
    <row r="1286" customFormat="false" ht="15" hidden="false" customHeight="false" outlineLevel="0" collapsed="false">
      <c r="E1286" s="0" t="str">
        <f aca="false">IF(B1286="","",LOWER(B1286)&amp;"|"&amp;C1286)</f>
        <v/>
      </c>
    </row>
    <row r="1287" customFormat="false" ht="15" hidden="false" customHeight="false" outlineLevel="0" collapsed="false">
      <c r="E1287" s="0" t="str">
        <f aca="false">IF(B1287="","",LOWER(B1287)&amp;"|"&amp;C1287)</f>
        <v/>
      </c>
    </row>
    <row r="1288" customFormat="false" ht="15" hidden="false" customHeight="false" outlineLevel="0" collapsed="false">
      <c r="E1288" s="0" t="str">
        <f aca="false">IF(B1288="","",LOWER(B1288)&amp;"|"&amp;C1288)</f>
        <v/>
      </c>
    </row>
    <row r="1289" customFormat="false" ht="15" hidden="false" customHeight="false" outlineLevel="0" collapsed="false">
      <c r="E1289" s="0" t="str">
        <f aca="false">IF(B1289="","",LOWER(B1289)&amp;"|"&amp;C1289)</f>
        <v/>
      </c>
    </row>
    <row r="1290" customFormat="false" ht="15" hidden="false" customHeight="false" outlineLevel="0" collapsed="false">
      <c r="E1290" s="0" t="str">
        <f aca="false">IF(B1290="","",LOWER(B1290)&amp;"|"&amp;C1290)</f>
        <v/>
      </c>
    </row>
    <row r="1291" customFormat="false" ht="15" hidden="false" customHeight="false" outlineLevel="0" collapsed="false">
      <c r="E1291" s="0" t="str">
        <f aca="false">IF(B1291="","",LOWER(B1291)&amp;"|"&amp;C1291)</f>
        <v/>
      </c>
    </row>
    <row r="1292" customFormat="false" ht="15" hidden="false" customHeight="false" outlineLevel="0" collapsed="false">
      <c r="E1292" s="0" t="str">
        <f aca="false">IF(B1292="","",LOWER(B1292)&amp;"|"&amp;C1292)</f>
        <v/>
      </c>
    </row>
    <row r="1293" customFormat="false" ht="15" hidden="false" customHeight="false" outlineLevel="0" collapsed="false">
      <c r="E1293" s="0" t="str">
        <f aca="false">IF(B1293="","",LOWER(B1293)&amp;"|"&amp;C1293)</f>
        <v/>
      </c>
    </row>
    <row r="1294" customFormat="false" ht="15" hidden="false" customHeight="false" outlineLevel="0" collapsed="false">
      <c r="E1294" s="0" t="str">
        <f aca="false">IF(B1294="","",LOWER(B1294)&amp;"|"&amp;C1294)</f>
        <v/>
      </c>
    </row>
    <row r="1295" customFormat="false" ht="15" hidden="false" customHeight="false" outlineLevel="0" collapsed="false">
      <c r="E1295" s="0" t="str">
        <f aca="false">IF(B1295="","",LOWER(B1295)&amp;"|"&amp;C1295)</f>
        <v/>
      </c>
    </row>
    <row r="1296" customFormat="false" ht="15" hidden="false" customHeight="false" outlineLevel="0" collapsed="false">
      <c r="E1296" s="0" t="str">
        <f aca="false">IF(B1296="","",LOWER(B1296)&amp;"|"&amp;C1296)</f>
        <v/>
      </c>
    </row>
    <row r="1297" customFormat="false" ht="15" hidden="false" customHeight="false" outlineLevel="0" collapsed="false">
      <c r="E1297" s="0" t="str">
        <f aca="false">IF(B1297="","",LOWER(B1297)&amp;"|"&amp;C1297)</f>
        <v/>
      </c>
    </row>
    <row r="1298" customFormat="false" ht="15" hidden="false" customHeight="false" outlineLevel="0" collapsed="false">
      <c r="E1298" s="0" t="str">
        <f aca="false">IF(B1298="","",LOWER(B1298)&amp;"|"&amp;C1298)</f>
        <v/>
      </c>
    </row>
    <row r="1299" customFormat="false" ht="15" hidden="false" customHeight="false" outlineLevel="0" collapsed="false">
      <c r="E1299" s="0" t="str">
        <f aca="false">IF(B1299="","",LOWER(B1299)&amp;"|"&amp;C1299)</f>
        <v/>
      </c>
    </row>
    <row r="1300" customFormat="false" ht="15" hidden="false" customHeight="false" outlineLevel="0" collapsed="false">
      <c r="E1300" s="0" t="str">
        <f aca="false">IF(B1300="","",LOWER(B1300)&amp;"|"&amp;C1300)</f>
        <v/>
      </c>
    </row>
    <row r="1301" customFormat="false" ht="15" hidden="false" customHeight="false" outlineLevel="0" collapsed="false">
      <c r="E1301" s="0" t="str">
        <f aca="false">IF(B1301="","",LOWER(B1301)&amp;"|"&amp;C1301)</f>
        <v/>
      </c>
    </row>
    <row r="1302" customFormat="false" ht="15" hidden="false" customHeight="false" outlineLevel="0" collapsed="false">
      <c r="E1302" s="0" t="str">
        <f aca="false">IF(B1302="","",LOWER(B1302)&amp;"|"&amp;C1302)</f>
        <v/>
      </c>
    </row>
    <row r="1303" customFormat="false" ht="15" hidden="false" customHeight="false" outlineLevel="0" collapsed="false">
      <c r="E1303" s="0" t="str">
        <f aca="false">IF(B1303="","",LOWER(B1303)&amp;"|"&amp;C1303)</f>
        <v/>
      </c>
    </row>
    <row r="1304" customFormat="false" ht="15" hidden="false" customHeight="false" outlineLevel="0" collapsed="false">
      <c r="E1304" s="0" t="str">
        <f aca="false">IF(B1304="","",LOWER(B1304)&amp;"|"&amp;C1304)</f>
        <v/>
      </c>
    </row>
    <row r="1305" customFormat="false" ht="15" hidden="false" customHeight="false" outlineLevel="0" collapsed="false">
      <c r="E1305" s="0" t="str">
        <f aca="false">IF(B1305="","",LOWER(B1305)&amp;"|"&amp;C1305)</f>
        <v/>
      </c>
    </row>
    <row r="1306" customFormat="false" ht="15" hidden="false" customHeight="false" outlineLevel="0" collapsed="false">
      <c r="E1306" s="0" t="str">
        <f aca="false">IF(B1306="","",LOWER(B1306)&amp;"|"&amp;C1306)</f>
        <v/>
      </c>
    </row>
    <row r="1307" customFormat="false" ht="15" hidden="false" customHeight="false" outlineLevel="0" collapsed="false">
      <c r="E1307" s="0" t="str">
        <f aca="false">IF(B1307="","",LOWER(B1307)&amp;"|"&amp;C1307)</f>
        <v/>
      </c>
    </row>
    <row r="1308" customFormat="false" ht="15" hidden="false" customHeight="false" outlineLevel="0" collapsed="false">
      <c r="E1308" s="0" t="str">
        <f aca="false">IF(B1308="","",LOWER(B1308)&amp;"|"&amp;C1308)</f>
        <v/>
      </c>
    </row>
    <row r="1309" customFormat="false" ht="15" hidden="false" customHeight="false" outlineLevel="0" collapsed="false">
      <c r="E1309" s="0" t="str">
        <f aca="false">IF(B1309="","",LOWER(B1309)&amp;"|"&amp;C1309)</f>
        <v/>
      </c>
    </row>
    <row r="1310" customFormat="false" ht="15" hidden="false" customHeight="false" outlineLevel="0" collapsed="false">
      <c r="E1310" s="0" t="str">
        <f aca="false">IF(B1310="","",LOWER(B1310)&amp;"|"&amp;C1310)</f>
        <v/>
      </c>
    </row>
    <row r="1311" customFormat="false" ht="15" hidden="false" customHeight="false" outlineLevel="0" collapsed="false">
      <c r="E1311" s="0" t="str">
        <f aca="false">IF(B1311="","",LOWER(B1311)&amp;"|"&amp;C1311)</f>
        <v/>
      </c>
    </row>
    <row r="1312" customFormat="false" ht="15" hidden="false" customHeight="false" outlineLevel="0" collapsed="false">
      <c r="E1312" s="0" t="str">
        <f aca="false">IF(B1312="","",LOWER(B1312)&amp;"|"&amp;C1312)</f>
        <v/>
      </c>
    </row>
    <row r="1313" customFormat="false" ht="15" hidden="false" customHeight="false" outlineLevel="0" collapsed="false">
      <c r="E1313" s="0" t="str">
        <f aca="false">IF(B1313="","",LOWER(B1313)&amp;"|"&amp;C1313)</f>
        <v/>
      </c>
    </row>
    <row r="1314" customFormat="false" ht="15" hidden="false" customHeight="false" outlineLevel="0" collapsed="false">
      <c r="E1314" s="0" t="str">
        <f aca="false">IF(B1314="","",LOWER(B1314)&amp;"|"&amp;C1314)</f>
        <v/>
      </c>
    </row>
    <row r="1315" customFormat="false" ht="15" hidden="false" customHeight="false" outlineLevel="0" collapsed="false">
      <c r="E1315" s="0" t="str">
        <f aca="false">IF(B1315="","",LOWER(B1315)&amp;"|"&amp;C1315)</f>
        <v/>
      </c>
    </row>
    <row r="1316" customFormat="false" ht="15" hidden="false" customHeight="false" outlineLevel="0" collapsed="false">
      <c r="E1316" s="0" t="str">
        <f aca="false">IF(B1316="","",LOWER(B1316)&amp;"|"&amp;C1316)</f>
        <v/>
      </c>
    </row>
    <row r="1317" customFormat="false" ht="15" hidden="false" customHeight="false" outlineLevel="0" collapsed="false">
      <c r="E1317" s="0" t="str">
        <f aca="false">IF(B1317="","",LOWER(B1317)&amp;"|"&amp;C1317)</f>
        <v/>
      </c>
    </row>
    <row r="1318" customFormat="false" ht="15" hidden="false" customHeight="false" outlineLevel="0" collapsed="false">
      <c r="E1318" s="0" t="str">
        <f aca="false">IF(B1318="","",LOWER(B1318)&amp;"|"&amp;C1318)</f>
        <v/>
      </c>
    </row>
    <row r="1319" customFormat="false" ht="15" hidden="false" customHeight="false" outlineLevel="0" collapsed="false">
      <c r="E1319" s="0" t="str">
        <f aca="false">IF(B1319="","",LOWER(B1319)&amp;"|"&amp;C1319)</f>
        <v/>
      </c>
    </row>
    <row r="1320" customFormat="false" ht="15" hidden="false" customHeight="false" outlineLevel="0" collapsed="false">
      <c r="E1320" s="0" t="str">
        <f aca="false">IF(B1320="","",LOWER(B1320)&amp;"|"&amp;C1320)</f>
        <v/>
      </c>
    </row>
    <row r="1321" customFormat="false" ht="15" hidden="false" customHeight="false" outlineLevel="0" collapsed="false">
      <c r="E1321" s="0" t="str">
        <f aca="false">IF(B1321="","",LOWER(B1321)&amp;"|"&amp;C1321)</f>
        <v/>
      </c>
    </row>
    <row r="1322" customFormat="false" ht="15" hidden="false" customHeight="false" outlineLevel="0" collapsed="false">
      <c r="E1322" s="0" t="str">
        <f aca="false">IF(B1322="","",LOWER(B1322)&amp;"|"&amp;C1322)</f>
        <v/>
      </c>
    </row>
    <row r="1323" customFormat="false" ht="15" hidden="false" customHeight="false" outlineLevel="0" collapsed="false">
      <c r="E1323" s="0" t="str">
        <f aca="false">IF(B1323="","",LOWER(B1323)&amp;"|"&amp;C1323)</f>
        <v/>
      </c>
    </row>
    <row r="1324" customFormat="false" ht="15" hidden="false" customHeight="false" outlineLevel="0" collapsed="false">
      <c r="E1324" s="0" t="str">
        <f aca="false">IF(B1324="","",LOWER(B1324)&amp;"|"&amp;C1324)</f>
        <v/>
      </c>
    </row>
    <row r="1325" customFormat="false" ht="15" hidden="false" customHeight="false" outlineLevel="0" collapsed="false">
      <c r="E1325" s="0" t="str">
        <f aca="false">IF(B1325="","",LOWER(B1325)&amp;"|"&amp;C1325)</f>
        <v/>
      </c>
    </row>
    <row r="1326" customFormat="false" ht="15" hidden="false" customHeight="false" outlineLevel="0" collapsed="false">
      <c r="E1326" s="0" t="str">
        <f aca="false">IF(B1326="","",LOWER(B1326)&amp;"|"&amp;C1326)</f>
        <v/>
      </c>
    </row>
    <row r="1327" customFormat="false" ht="15" hidden="false" customHeight="false" outlineLevel="0" collapsed="false">
      <c r="E1327" s="0" t="str">
        <f aca="false">IF(B1327="","",LOWER(B1327)&amp;"|"&amp;C1327)</f>
        <v/>
      </c>
    </row>
    <row r="1328" customFormat="false" ht="15" hidden="false" customHeight="false" outlineLevel="0" collapsed="false">
      <c r="E1328" s="0" t="str">
        <f aca="false">IF(B1328="","",LOWER(B1328)&amp;"|"&amp;C1328)</f>
        <v/>
      </c>
    </row>
    <row r="1329" customFormat="false" ht="15" hidden="false" customHeight="false" outlineLevel="0" collapsed="false">
      <c r="E1329" s="0" t="str">
        <f aca="false">IF(B1329="","",LOWER(B1329)&amp;"|"&amp;C1329)</f>
        <v/>
      </c>
    </row>
    <row r="1330" customFormat="false" ht="15" hidden="false" customHeight="false" outlineLevel="0" collapsed="false">
      <c r="E1330" s="0" t="str">
        <f aca="false">IF(B1330="","",LOWER(B1330)&amp;"|"&amp;C1330)</f>
        <v/>
      </c>
    </row>
    <row r="1331" customFormat="false" ht="15" hidden="false" customHeight="false" outlineLevel="0" collapsed="false">
      <c r="E1331" s="0" t="str">
        <f aca="false">IF(B1331="","",LOWER(B1331)&amp;"|"&amp;C1331)</f>
        <v/>
      </c>
    </row>
    <row r="1332" customFormat="false" ht="15" hidden="false" customHeight="false" outlineLevel="0" collapsed="false">
      <c r="E1332" s="0" t="str">
        <f aca="false">IF(B1332="","",LOWER(B1332)&amp;"|"&amp;C1332)</f>
        <v/>
      </c>
    </row>
    <row r="1333" customFormat="false" ht="15" hidden="false" customHeight="false" outlineLevel="0" collapsed="false">
      <c r="E1333" s="0" t="str">
        <f aca="false">IF(B1333="","",LOWER(B1333)&amp;"|"&amp;C1333)</f>
        <v/>
      </c>
    </row>
    <row r="1334" customFormat="false" ht="15" hidden="false" customHeight="false" outlineLevel="0" collapsed="false">
      <c r="E1334" s="0" t="str">
        <f aca="false">IF(B1334="","",LOWER(B1334)&amp;"|"&amp;C1334)</f>
        <v/>
      </c>
    </row>
    <row r="1335" customFormat="false" ht="15" hidden="false" customHeight="false" outlineLevel="0" collapsed="false">
      <c r="E1335" s="0" t="str">
        <f aca="false">IF(B1335="","",LOWER(B1335)&amp;"|"&amp;C1335)</f>
        <v/>
      </c>
    </row>
    <row r="1336" customFormat="false" ht="15" hidden="false" customHeight="false" outlineLevel="0" collapsed="false">
      <c r="E1336" s="0" t="str">
        <f aca="false">IF(B1336="","",LOWER(B1336)&amp;"|"&amp;C1336)</f>
        <v/>
      </c>
    </row>
    <row r="1337" customFormat="false" ht="15" hidden="false" customHeight="false" outlineLevel="0" collapsed="false">
      <c r="E1337" s="0" t="str">
        <f aca="false">IF(B1337="","",LOWER(B1337)&amp;"|"&amp;C1337)</f>
        <v/>
      </c>
    </row>
    <row r="1338" customFormat="false" ht="15" hidden="false" customHeight="false" outlineLevel="0" collapsed="false">
      <c r="E1338" s="0" t="str">
        <f aca="false">IF(B1338="","",LOWER(B1338)&amp;"|"&amp;C1338)</f>
        <v/>
      </c>
    </row>
    <row r="1339" customFormat="false" ht="15" hidden="false" customHeight="false" outlineLevel="0" collapsed="false">
      <c r="E1339" s="0" t="str">
        <f aca="false">IF(B1339="","",LOWER(B1339)&amp;"|"&amp;C1339)</f>
        <v/>
      </c>
    </row>
    <row r="1340" customFormat="false" ht="15" hidden="false" customHeight="false" outlineLevel="0" collapsed="false">
      <c r="E1340" s="0" t="str">
        <f aca="false">IF(B1340="","",LOWER(B1340)&amp;"|"&amp;C1340)</f>
        <v/>
      </c>
    </row>
    <row r="1341" customFormat="false" ht="15" hidden="false" customHeight="false" outlineLevel="0" collapsed="false">
      <c r="E1341" s="0" t="str">
        <f aca="false">IF(B1341="","",LOWER(B1341)&amp;"|"&amp;C1341)</f>
        <v/>
      </c>
    </row>
    <row r="1342" customFormat="false" ht="15" hidden="false" customHeight="false" outlineLevel="0" collapsed="false">
      <c r="E1342" s="0" t="str">
        <f aca="false">IF(B1342="","",LOWER(B1342)&amp;"|"&amp;C1342)</f>
        <v/>
      </c>
    </row>
    <row r="1343" customFormat="false" ht="15" hidden="false" customHeight="false" outlineLevel="0" collapsed="false">
      <c r="E1343" s="0" t="str">
        <f aca="false">IF(B1343="","",LOWER(B1343)&amp;"|"&amp;C1343)</f>
        <v/>
      </c>
    </row>
    <row r="1344" customFormat="false" ht="15" hidden="false" customHeight="false" outlineLevel="0" collapsed="false">
      <c r="E1344" s="0" t="str">
        <f aca="false">IF(B1344="","",LOWER(B1344)&amp;"|"&amp;C1344)</f>
        <v/>
      </c>
    </row>
    <row r="1345" customFormat="false" ht="15" hidden="false" customHeight="false" outlineLevel="0" collapsed="false">
      <c r="E1345" s="0" t="str">
        <f aca="false">IF(B1345="","",LOWER(B1345)&amp;"|"&amp;C1345)</f>
        <v/>
      </c>
    </row>
    <row r="1346" customFormat="false" ht="15" hidden="false" customHeight="false" outlineLevel="0" collapsed="false">
      <c r="E1346" s="0" t="str">
        <f aca="false">IF(B1346="","",LOWER(B1346)&amp;"|"&amp;C1346)</f>
        <v/>
      </c>
    </row>
    <row r="1347" customFormat="false" ht="15" hidden="false" customHeight="false" outlineLevel="0" collapsed="false">
      <c r="E1347" s="0" t="str">
        <f aca="false">IF(B1347="","",LOWER(B1347)&amp;"|"&amp;C1347)</f>
        <v/>
      </c>
    </row>
    <row r="1348" customFormat="false" ht="15" hidden="false" customHeight="false" outlineLevel="0" collapsed="false">
      <c r="E1348" s="0" t="str">
        <f aca="false">IF(B1348="","",LOWER(B1348)&amp;"|"&amp;C1348)</f>
        <v/>
      </c>
    </row>
    <row r="1349" customFormat="false" ht="15" hidden="false" customHeight="false" outlineLevel="0" collapsed="false">
      <c r="E1349" s="0" t="str">
        <f aca="false">IF(B1349="","",LOWER(B1349)&amp;"|"&amp;C1349)</f>
        <v/>
      </c>
    </row>
    <row r="1350" customFormat="false" ht="15" hidden="false" customHeight="false" outlineLevel="0" collapsed="false">
      <c r="E1350" s="0" t="str">
        <f aca="false">IF(B1350="","",LOWER(B1350)&amp;"|"&amp;C1350)</f>
        <v/>
      </c>
    </row>
    <row r="1351" customFormat="false" ht="15" hidden="false" customHeight="false" outlineLevel="0" collapsed="false">
      <c r="E1351" s="0" t="str">
        <f aca="false">IF(B1351="","",LOWER(B1351)&amp;"|"&amp;C1351)</f>
        <v/>
      </c>
    </row>
    <row r="1352" customFormat="false" ht="15" hidden="false" customHeight="false" outlineLevel="0" collapsed="false">
      <c r="E1352" s="0" t="str">
        <f aca="false">IF(B1352="","",LOWER(B1352)&amp;"|"&amp;C1352)</f>
        <v/>
      </c>
    </row>
    <row r="1353" customFormat="false" ht="15" hidden="false" customHeight="false" outlineLevel="0" collapsed="false">
      <c r="E1353" s="0" t="str">
        <f aca="false">IF(B1353="","",LOWER(B1353)&amp;"|"&amp;C1353)</f>
        <v/>
      </c>
    </row>
    <row r="1354" customFormat="false" ht="15" hidden="false" customHeight="false" outlineLevel="0" collapsed="false">
      <c r="E1354" s="0" t="str">
        <f aca="false">IF(B1354="","",LOWER(B1354)&amp;"|"&amp;C1354)</f>
        <v/>
      </c>
    </row>
    <row r="1355" customFormat="false" ht="15" hidden="false" customHeight="false" outlineLevel="0" collapsed="false">
      <c r="E1355" s="0" t="str">
        <f aca="false">IF(B1355="","",LOWER(B1355)&amp;"|"&amp;C1355)</f>
        <v/>
      </c>
    </row>
    <row r="1356" customFormat="false" ht="15" hidden="false" customHeight="false" outlineLevel="0" collapsed="false">
      <c r="E1356" s="0" t="str">
        <f aca="false">IF(B1356="","",LOWER(B1356)&amp;"|"&amp;C1356)</f>
        <v/>
      </c>
    </row>
    <row r="1357" customFormat="false" ht="15" hidden="false" customHeight="false" outlineLevel="0" collapsed="false">
      <c r="E1357" s="0" t="str">
        <f aca="false">IF(B1357="","",LOWER(B1357)&amp;"|"&amp;C1357)</f>
        <v/>
      </c>
    </row>
    <row r="1358" customFormat="false" ht="15" hidden="false" customHeight="false" outlineLevel="0" collapsed="false">
      <c r="E1358" s="0" t="str">
        <f aca="false">IF(B1358="","",LOWER(B1358)&amp;"|"&amp;C1358)</f>
        <v/>
      </c>
    </row>
    <row r="1359" customFormat="false" ht="15" hidden="false" customHeight="false" outlineLevel="0" collapsed="false">
      <c r="E1359" s="0" t="str">
        <f aca="false">IF(B1359="","",LOWER(B1359)&amp;"|"&amp;C1359)</f>
        <v/>
      </c>
    </row>
    <row r="1360" customFormat="false" ht="15" hidden="false" customHeight="false" outlineLevel="0" collapsed="false">
      <c r="E1360" s="0" t="str">
        <f aca="false">IF(B1360="","",LOWER(B1360)&amp;"|"&amp;C1360)</f>
        <v/>
      </c>
    </row>
    <row r="1361" customFormat="false" ht="15" hidden="false" customHeight="false" outlineLevel="0" collapsed="false">
      <c r="E1361" s="0" t="str">
        <f aca="false">IF(B1361="","",LOWER(B1361)&amp;"|"&amp;C1361)</f>
        <v/>
      </c>
    </row>
    <row r="1362" customFormat="false" ht="15" hidden="false" customHeight="false" outlineLevel="0" collapsed="false">
      <c r="E1362" s="0" t="str">
        <f aca="false">IF(B1362="","",LOWER(B1362)&amp;"|"&amp;C1362)</f>
        <v/>
      </c>
    </row>
    <row r="1363" customFormat="false" ht="15" hidden="false" customHeight="false" outlineLevel="0" collapsed="false">
      <c r="E1363" s="0" t="str">
        <f aca="false">IF(B1363="","",LOWER(B1363)&amp;"|"&amp;C1363)</f>
        <v/>
      </c>
    </row>
    <row r="1364" customFormat="false" ht="15" hidden="false" customHeight="false" outlineLevel="0" collapsed="false">
      <c r="E1364" s="0" t="str">
        <f aca="false">IF(B1364="","",LOWER(B1364)&amp;"|"&amp;C1364)</f>
        <v/>
      </c>
    </row>
    <row r="1365" customFormat="false" ht="15" hidden="false" customHeight="false" outlineLevel="0" collapsed="false">
      <c r="E1365" s="0" t="str">
        <f aca="false">IF(B1365="","",LOWER(B1365)&amp;"|"&amp;C1365)</f>
        <v/>
      </c>
    </row>
    <row r="1366" customFormat="false" ht="15" hidden="false" customHeight="false" outlineLevel="0" collapsed="false">
      <c r="E1366" s="0" t="str">
        <f aca="false">IF(B1366="","",LOWER(B1366)&amp;"|"&amp;C1366)</f>
        <v/>
      </c>
    </row>
    <row r="1367" customFormat="false" ht="15" hidden="false" customHeight="false" outlineLevel="0" collapsed="false">
      <c r="E1367" s="0" t="str">
        <f aca="false">IF(B1367="","",LOWER(B1367)&amp;"|"&amp;C1367)</f>
        <v/>
      </c>
    </row>
    <row r="1368" customFormat="false" ht="15" hidden="false" customHeight="false" outlineLevel="0" collapsed="false">
      <c r="E1368" s="0" t="str">
        <f aca="false">IF(B1368="","",LOWER(B1368)&amp;"|"&amp;C1368)</f>
        <v/>
      </c>
    </row>
    <row r="1369" customFormat="false" ht="15" hidden="false" customHeight="false" outlineLevel="0" collapsed="false">
      <c r="E1369" s="0" t="str">
        <f aca="false">IF(B1369="","",LOWER(B1369)&amp;"|"&amp;C1369)</f>
        <v/>
      </c>
    </row>
    <row r="1370" customFormat="false" ht="15" hidden="false" customHeight="false" outlineLevel="0" collapsed="false">
      <c r="E1370" s="0" t="str">
        <f aca="false">IF(B1370="","",LOWER(B1370)&amp;"|"&amp;C1370)</f>
        <v/>
      </c>
    </row>
    <row r="1371" customFormat="false" ht="15" hidden="false" customHeight="false" outlineLevel="0" collapsed="false">
      <c r="E1371" s="0" t="str">
        <f aca="false">IF(B1371="","",LOWER(B1371)&amp;"|"&amp;C1371)</f>
        <v/>
      </c>
    </row>
    <row r="1372" customFormat="false" ht="15" hidden="false" customHeight="false" outlineLevel="0" collapsed="false">
      <c r="E1372" s="0" t="str">
        <f aca="false">IF(B1372="","",LOWER(B1372)&amp;"|"&amp;C1372)</f>
        <v/>
      </c>
    </row>
    <row r="1373" customFormat="false" ht="15" hidden="false" customHeight="false" outlineLevel="0" collapsed="false">
      <c r="E1373" s="0" t="str">
        <f aca="false">IF(B1373="","",LOWER(B1373)&amp;"|"&amp;C1373)</f>
        <v/>
      </c>
    </row>
    <row r="1374" customFormat="false" ht="15" hidden="false" customHeight="false" outlineLevel="0" collapsed="false">
      <c r="E1374" s="0" t="str">
        <f aca="false">IF(B1374="","",LOWER(B1374)&amp;"|"&amp;C1374)</f>
        <v/>
      </c>
    </row>
    <row r="1375" customFormat="false" ht="15" hidden="false" customHeight="false" outlineLevel="0" collapsed="false">
      <c r="E1375" s="0" t="str">
        <f aca="false">IF(B1375="","",LOWER(B1375)&amp;"|"&amp;C1375)</f>
        <v/>
      </c>
    </row>
    <row r="1376" customFormat="false" ht="15" hidden="false" customHeight="false" outlineLevel="0" collapsed="false">
      <c r="E1376" s="0" t="str">
        <f aca="false">IF(B1376="","",LOWER(B1376)&amp;"|"&amp;C1376)</f>
        <v/>
      </c>
    </row>
    <row r="1377" customFormat="false" ht="15" hidden="false" customHeight="false" outlineLevel="0" collapsed="false">
      <c r="E1377" s="0" t="str">
        <f aca="false">IF(B1377="","",LOWER(B1377)&amp;"|"&amp;C1377)</f>
        <v/>
      </c>
    </row>
    <row r="1378" customFormat="false" ht="15" hidden="false" customHeight="false" outlineLevel="0" collapsed="false">
      <c r="E1378" s="0" t="str">
        <f aca="false">IF(B1378="","",LOWER(B1378)&amp;"|"&amp;C1378)</f>
        <v/>
      </c>
    </row>
    <row r="1379" customFormat="false" ht="15" hidden="false" customHeight="false" outlineLevel="0" collapsed="false">
      <c r="E1379" s="0" t="str">
        <f aca="false">IF(B1379="","",LOWER(B1379)&amp;"|"&amp;C1379)</f>
        <v/>
      </c>
    </row>
    <row r="1380" customFormat="false" ht="15" hidden="false" customHeight="false" outlineLevel="0" collapsed="false">
      <c r="E1380" s="0" t="str">
        <f aca="false">IF(B1380="","",LOWER(B1380)&amp;"|"&amp;C1380)</f>
        <v/>
      </c>
    </row>
    <row r="1381" customFormat="false" ht="15" hidden="false" customHeight="false" outlineLevel="0" collapsed="false">
      <c r="E1381" s="0" t="str">
        <f aca="false">IF(B1381="","",LOWER(B1381)&amp;"|"&amp;C1381)</f>
        <v/>
      </c>
    </row>
    <row r="1382" customFormat="false" ht="15" hidden="false" customHeight="false" outlineLevel="0" collapsed="false">
      <c r="E1382" s="0" t="str">
        <f aca="false">IF(B1382="","",LOWER(B1382)&amp;"|"&amp;C1382)</f>
        <v/>
      </c>
    </row>
    <row r="1383" customFormat="false" ht="15" hidden="false" customHeight="false" outlineLevel="0" collapsed="false">
      <c r="E1383" s="0" t="str">
        <f aca="false">IF(B1383="","",LOWER(B1383)&amp;"|"&amp;C1383)</f>
        <v/>
      </c>
    </row>
    <row r="1384" customFormat="false" ht="15" hidden="false" customHeight="false" outlineLevel="0" collapsed="false">
      <c r="E1384" s="0" t="str">
        <f aca="false">IF(B1384="","",LOWER(B1384)&amp;"|"&amp;C1384)</f>
        <v/>
      </c>
    </row>
    <row r="1385" customFormat="false" ht="15" hidden="false" customHeight="false" outlineLevel="0" collapsed="false">
      <c r="E1385" s="0" t="str">
        <f aca="false">IF(B1385="","",LOWER(B1385)&amp;"|"&amp;C1385)</f>
        <v/>
      </c>
    </row>
    <row r="1386" customFormat="false" ht="15" hidden="false" customHeight="false" outlineLevel="0" collapsed="false">
      <c r="E1386" s="0" t="str">
        <f aca="false">IF(B1386="","",LOWER(B1386)&amp;"|"&amp;C1386)</f>
        <v/>
      </c>
    </row>
    <row r="1387" customFormat="false" ht="15" hidden="false" customHeight="false" outlineLevel="0" collapsed="false">
      <c r="E1387" s="0" t="str">
        <f aca="false">IF(B1387="","",LOWER(B1387)&amp;"|"&amp;C1387)</f>
        <v/>
      </c>
    </row>
    <row r="1388" customFormat="false" ht="15" hidden="false" customHeight="false" outlineLevel="0" collapsed="false">
      <c r="E1388" s="0" t="str">
        <f aca="false">IF(B1388="","",LOWER(B1388)&amp;"|"&amp;C1388)</f>
        <v/>
      </c>
    </row>
    <row r="1389" customFormat="false" ht="15" hidden="false" customHeight="false" outlineLevel="0" collapsed="false">
      <c r="E1389" s="0" t="str">
        <f aca="false">IF(B1389="","",LOWER(B1389)&amp;"|"&amp;C1389)</f>
        <v/>
      </c>
    </row>
    <row r="1390" customFormat="false" ht="15" hidden="false" customHeight="false" outlineLevel="0" collapsed="false">
      <c r="E1390" s="0" t="str">
        <f aca="false">IF(B1390="","",LOWER(B1390)&amp;"|"&amp;C1390)</f>
        <v/>
      </c>
    </row>
    <row r="1391" customFormat="false" ht="15" hidden="false" customHeight="false" outlineLevel="0" collapsed="false">
      <c r="E1391" s="0" t="str">
        <f aca="false">IF(B1391="","",LOWER(B1391)&amp;"|"&amp;C1391)</f>
        <v/>
      </c>
    </row>
    <row r="1392" customFormat="false" ht="15" hidden="false" customHeight="false" outlineLevel="0" collapsed="false">
      <c r="E1392" s="0" t="str">
        <f aca="false">IF(B1392="","",LOWER(B1392)&amp;"|"&amp;C1392)</f>
        <v/>
      </c>
    </row>
    <row r="1393" customFormat="false" ht="15" hidden="false" customHeight="false" outlineLevel="0" collapsed="false">
      <c r="E1393" s="0" t="str">
        <f aca="false">IF(B1393="","",LOWER(B1393)&amp;"|"&amp;C1393)</f>
        <v/>
      </c>
    </row>
    <row r="1394" customFormat="false" ht="15" hidden="false" customHeight="false" outlineLevel="0" collapsed="false">
      <c r="E1394" s="0" t="str">
        <f aca="false">IF(B1394="","",LOWER(B1394)&amp;"|"&amp;C1394)</f>
        <v/>
      </c>
    </row>
    <row r="1395" customFormat="false" ht="15" hidden="false" customHeight="false" outlineLevel="0" collapsed="false">
      <c r="E1395" s="0" t="str">
        <f aca="false">IF(B1395="","",LOWER(B1395)&amp;"|"&amp;C1395)</f>
        <v/>
      </c>
    </row>
    <row r="1396" customFormat="false" ht="15" hidden="false" customHeight="false" outlineLevel="0" collapsed="false">
      <c r="E1396" s="0" t="str">
        <f aca="false">IF(B1396="","",LOWER(B1396)&amp;"|"&amp;C1396)</f>
        <v/>
      </c>
    </row>
    <row r="1397" customFormat="false" ht="15" hidden="false" customHeight="false" outlineLevel="0" collapsed="false">
      <c r="E1397" s="0" t="str">
        <f aca="false">IF(B1397="","",LOWER(B1397)&amp;"|"&amp;C1397)</f>
        <v/>
      </c>
    </row>
    <row r="1398" customFormat="false" ht="15" hidden="false" customHeight="false" outlineLevel="0" collapsed="false">
      <c r="E1398" s="0" t="str">
        <f aca="false">IF(B1398="","",LOWER(B1398)&amp;"|"&amp;C1398)</f>
        <v/>
      </c>
    </row>
    <row r="1399" customFormat="false" ht="15" hidden="false" customHeight="false" outlineLevel="0" collapsed="false">
      <c r="E1399" s="0" t="str">
        <f aca="false">IF(B1399="","",LOWER(B1399)&amp;"|"&amp;C1399)</f>
        <v/>
      </c>
    </row>
    <row r="1400" customFormat="false" ht="15" hidden="false" customHeight="false" outlineLevel="0" collapsed="false">
      <c r="E1400" s="0" t="str">
        <f aca="false">IF(B1400="","",LOWER(B1400)&amp;"|"&amp;C1400)</f>
        <v/>
      </c>
    </row>
    <row r="1401" customFormat="false" ht="15" hidden="false" customHeight="false" outlineLevel="0" collapsed="false">
      <c r="E1401" s="0" t="str">
        <f aca="false">IF(B1401="","",LOWER(B1401)&amp;"|"&amp;C1401)</f>
        <v/>
      </c>
    </row>
    <row r="1402" customFormat="false" ht="15" hidden="false" customHeight="false" outlineLevel="0" collapsed="false">
      <c r="E1402" s="0" t="str">
        <f aca="false">IF(B1402="","",LOWER(B1402)&amp;"|"&amp;C1402)</f>
        <v/>
      </c>
    </row>
    <row r="1403" customFormat="false" ht="15" hidden="false" customHeight="false" outlineLevel="0" collapsed="false">
      <c r="E1403" s="0" t="str">
        <f aca="false">IF(B1403="","",LOWER(B1403)&amp;"|"&amp;C1403)</f>
        <v/>
      </c>
    </row>
    <row r="1404" customFormat="false" ht="15" hidden="false" customHeight="false" outlineLevel="0" collapsed="false">
      <c r="E1404" s="0" t="str">
        <f aca="false">IF(B1404="","",LOWER(B1404)&amp;"|"&amp;C1404)</f>
        <v/>
      </c>
    </row>
    <row r="1405" customFormat="false" ht="15" hidden="false" customHeight="false" outlineLevel="0" collapsed="false">
      <c r="E1405" s="0" t="str">
        <f aca="false">IF(B1405="","",LOWER(B1405)&amp;"|"&amp;C1405)</f>
        <v/>
      </c>
    </row>
    <row r="1406" customFormat="false" ht="15" hidden="false" customHeight="false" outlineLevel="0" collapsed="false">
      <c r="E1406" s="0" t="str">
        <f aca="false">IF(B1406="","",LOWER(B1406)&amp;"|"&amp;C1406)</f>
        <v/>
      </c>
    </row>
    <row r="1407" customFormat="false" ht="15" hidden="false" customHeight="false" outlineLevel="0" collapsed="false">
      <c r="E1407" s="0" t="str">
        <f aca="false">IF(B1407="","",LOWER(B1407)&amp;"|"&amp;C1407)</f>
        <v/>
      </c>
    </row>
    <row r="1408" customFormat="false" ht="15" hidden="false" customHeight="false" outlineLevel="0" collapsed="false">
      <c r="E1408" s="0" t="str">
        <f aca="false">IF(B1408="","",LOWER(B1408)&amp;"|"&amp;C1408)</f>
        <v/>
      </c>
    </row>
    <row r="1409" customFormat="false" ht="15" hidden="false" customHeight="false" outlineLevel="0" collapsed="false">
      <c r="E1409" s="0" t="str">
        <f aca="false">IF(B1409="","",LOWER(B1409)&amp;"|"&amp;C1409)</f>
        <v/>
      </c>
    </row>
    <row r="1410" customFormat="false" ht="15" hidden="false" customHeight="false" outlineLevel="0" collapsed="false">
      <c r="E1410" s="0" t="str">
        <f aca="false">IF(B1410="","",LOWER(B1410)&amp;"|"&amp;C1410)</f>
        <v/>
      </c>
    </row>
    <row r="1411" customFormat="false" ht="15" hidden="false" customHeight="false" outlineLevel="0" collapsed="false">
      <c r="E1411" s="0" t="str">
        <f aca="false">IF(B1411="","",LOWER(B1411)&amp;"|"&amp;C1411)</f>
        <v/>
      </c>
    </row>
    <row r="1412" customFormat="false" ht="15" hidden="false" customHeight="false" outlineLevel="0" collapsed="false">
      <c r="E1412" s="0" t="str">
        <f aca="false">IF(B1412="","",LOWER(B1412)&amp;"|"&amp;C1412)</f>
        <v/>
      </c>
    </row>
    <row r="1413" customFormat="false" ht="15" hidden="false" customHeight="false" outlineLevel="0" collapsed="false">
      <c r="E1413" s="0" t="str">
        <f aca="false">IF(B1413="","",LOWER(B1413)&amp;"|"&amp;C1413)</f>
        <v/>
      </c>
    </row>
    <row r="1414" customFormat="false" ht="15" hidden="false" customHeight="false" outlineLevel="0" collapsed="false">
      <c r="E1414" s="0" t="str">
        <f aca="false">IF(B1414="","",LOWER(B1414)&amp;"|"&amp;C1414)</f>
        <v/>
      </c>
    </row>
    <row r="1415" customFormat="false" ht="15" hidden="false" customHeight="false" outlineLevel="0" collapsed="false">
      <c r="E1415" s="0" t="str">
        <f aca="false">IF(B1415="","",LOWER(B1415)&amp;"|"&amp;C1415)</f>
        <v/>
      </c>
    </row>
    <row r="1416" customFormat="false" ht="15" hidden="false" customHeight="false" outlineLevel="0" collapsed="false">
      <c r="E1416" s="0" t="str">
        <f aca="false">IF(B1416="","",LOWER(B1416)&amp;"|"&amp;C1416)</f>
        <v/>
      </c>
    </row>
    <row r="1417" customFormat="false" ht="15" hidden="false" customHeight="false" outlineLevel="0" collapsed="false">
      <c r="E1417" s="0" t="str">
        <f aca="false">IF(B1417="","",LOWER(B1417)&amp;"|"&amp;C1417)</f>
        <v/>
      </c>
    </row>
    <row r="1418" customFormat="false" ht="15" hidden="false" customHeight="false" outlineLevel="0" collapsed="false">
      <c r="E1418" s="0" t="str">
        <f aca="false">IF(B1418="","",LOWER(B1418)&amp;"|"&amp;C1418)</f>
        <v/>
      </c>
    </row>
    <row r="1419" customFormat="false" ht="15" hidden="false" customHeight="false" outlineLevel="0" collapsed="false">
      <c r="E1419" s="0" t="str">
        <f aca="false">IF(B1419="","",LOWER(B1419)&amp;"|"&amp;C1419)</f>
        <v/>
      </c>
    </row>
    <row r="1420" customFormat="false" ht="15" hidden="false" customHeight="false" outlineLevel="0" collapsed="false">
      <c r="E1420" s="0" t="str">
        <f aca="false">IF(B1420="","",LOWER(B1420)&amp;"|"&amp;C1420)</f>
        <v/>
      </c>
    </row>
    <row r="1421" customFormat="false" ht="15" hidden="false" customHeight="false" outlineLevel="0" collapsed="false">
      <c r="E1421" s="0" t="str">
        <f aca="false">IF(B1421="","",LOWER(B1421)&amp;"|"&amp;C1421)</f>
        <v/>
      </c>
    </row>
    <row r="1422" customFormat="false" ht="15" hidden="false" customHeight="false" outlineLevel="0" collapsed="false">
      <c r="E1422" s="0" t="str">
        <f aca="false">IF(B1422="","",LOWER(B1422)&amp;"|"&amp;C1422)</f>
        <v/>
      </c>
    </row>
    <row r="1423" customFormat="false" ht="15" hidden="false" customHeight="false" outlineLevel="0" collapsed="false">
      <c r="E1423" s="0" t="str">
        <f aca="false">IF(B1423="","",LOWER(B1423)&amp;"|"&amp;C1423)</f>
        <v/>
      </c>
    </row>
    <row r="1424" customFormat="false" ht="15" hidden="false" customHeight="false" outlineLevel="0" collapsed="false">
      <c r="E1424" s="0" t="str">
        <f aca="false">IF(B1424="","",LOWER(B1424)&amp;"|"&amp;C1424)</f>
        <v/>
      </c>
    </row>
    <row r="1425" customFormat="false" ht="15" hidden="false" customHeight="false" outlineLevel="0" collapsed="false">
      <c r="E1425" s="0" t="str">
        <f aca="false">IF(B1425="","",LOWER(B1425)&amp;"|"&amp;C1425)</f>
        <v/>
      </c>
    </row>
    <row r="1426" customFormat="false" ht="15" hidden="false" customHeight="false" outlineLevel="0" collapsed="false">
      <c r="E1426" s="0" t="str">
        <f aca="false">IF(B1426="","",LOWER(B1426)&amp;"|"&amp;C1426)</f>
        <v/>
      </c>
    </row>
    <row r="1427" customFormat="false" ht="15" hidden="false" customHeight="false" outlineLevel="0" collapsed="false">
      <c r="E1427" s="0" t="str">
        <f aca="false">IF(B1427="","",LOWER(B1427)&amp;"|"&amp;C1427)</f>
        <v/>
      </c>
    </row>
    <row r="1428" customFormat="false" ht="15" hidden="false" customHeight="false" outlineLevel="0" collapsed="false">
      <c r="E1428" s="0" t="str">
        <f aca="false">IF(B1428="","",LOWER(B1428)&amp;"|"&amp;C1428)</f>
        <v/>
      </c>
    </row>
    <row r="1429" customFormat="false" ht="15" hidden="false" customHeight="false" outlineLevel="0" collapsed="false">
      <c r="E1429" s="0" t="str">
        <f aca="false">IF(B1429="","",LOWER(B1429)&amp;"|"&amp;C1429)</f>
        <v/>
      </c>
    </row>
    <row r="1430" customFormat="false" ht="15" hidden="false" customHeight="false" outlineLevel="0" collapsed="false">
      <c r="E1430" s="0" t="str">
        <f aca="false">IF(B1430="","",LOWER(B1430)&amp;"|"&amp;C1430)</f>
        <v/>
      </c>
    </row>
    <row r="1431" customFormat="false" ht="15" hidden="false" customHeight="false" outlineLevel="0" collapsed="false">
      <c r="E1431" s="0" t="str">
        <f aca="false">IF(B1431="","",LOWER(B1431)&amp;"|"&amp;C1431)</f>
        <v/>
      </c>
    </row>
    <row r="1432" customFormat="false" ht="15" hidden="false" customHeight="false" outlineLevel="0" collapsed="false">
      <c r="E1432" s="0" t="str">
        <f aca="false">IF(B1432="","",LOWER(B1432)&amp;"|"&amp;C1432)</f>
        <v/>
      </c>
    </row>
    <row r="1433" customFormat="false" ht="15" hidden="false" customHeight="false" outlineLevel="0" collapsed="false">
      <c r="E1433" s="0" t="str">
        <f aca="false">IF(B1433="","",LOWER(B1433)&amp;"|"&amp;C1433)</f>
        <v/>
      </c>
    </row>
    <row r="1434" customFormat="false" ht="15" hidden="false" customHeight="false" outlineLevel="0" collapsed="false">
      <c r="E1434" s="0" t="str">
        <f aca="false">IF(B1434="","",LOWER(B1434)&amp;"|"&amp;C1434)</f>
        <v/>
      </c>
    </row>
    <row r="1435" customFormat="false" ht="15" hidden="false" customHeight="false" outlineLevel="0" collapsed="false">
      <c r="E1435" s="0" t="str">
        <f aca="false">IF(B1435="","",LOWER(B1435)&amp;"|"&amp;C1435)</f>
        <v/>
      </c>
    </row>
    <row r="1436" customFormat="false" ht="15" hidden="false" customHeight="false" outlineLevel="0" collapsed="false">
      <c r="E1436" s="0" t="str">
        <f aca="false">IF(B1436="","",LOWER(B1436)&amp;"|"&amp;C1436)</f>
        <v/>
      </c>
    </row>
    <row r="1437" customFormat="false" ht="15" hidden="false" customHeight="false" outlineLevel="0" collapsed="false">
      <c r="E1437" s="0" t="str">
        <f aca="false">IF(B1437="","",LOWER(B1437)&amp;"|"&amp;C1437)</f>
        <v/>
      </c>
    </row>
    <row r="1438" customFormat="false" ht="15" hidden="false" customHeight="false" outlineLevel="0" collapsed="false">
      <c r="E1438" s="0" t="str">
        <f aca="false">IF(B1438="","",LOWER(B1438)&amp;"|"&amp;C1438)</f>
        <v/>
      </c>
    </row>
    <row r="1439" customFormat="false" ht="15" hidden="false" customHeight="false" outlineLevel="0" collapsed="false">
      <c r="E1439" s="0" t="str">
        <f aca="false">IF(B1439="","",LOWER(B1439)&amp;"|"&amp;C1439)</f>
        <v/>
      </c>
    </row>
    <row r="1440" customFormat="false" ht="15" hidden="false" customHeight="false" outlineLevel="0" collapsed="false">
      <c r="E1440" s="0" t="str">
        <f aca="false">IF(B1440="","",LOWER(B1440)&amp;"|"&amp;C1440)</f>
        <v/>
      </c>
    </row>
    <row r="1441" customFormat="false" ht="15" hidden="false" customHeight="false" outlineLevel="0" collapsed="false">
      <c r="E1441" s="0" t="str">
        <f aca="false">IF(B1441="","",LOWER(B1441)&amp;"|"&amp;C1441)</f>
        <v/>
      </c>
    </row>
    <row r="1442" customFormat="false" ht="15" hidden="false" customHeight="false" outlineLevel="0" collapsed="false">
      <c r="E1442" s="0" t="str">
        <f aca="false">IF(B1442="","",LOWER(B1442)&amp;"|"&amp;C1442)</f>
        <v/>
      </c>
    </row>
    <row r="1443" customFormat="false" ht="15" hidden="false" customHeight="false" outlineLevel="0" collapsed="false">
      <c r="E1443" s="0" t="str">
        <f aca="false">IF(B1443="","",LOWER(B1443)&amp;"|"&amp;C1443)</f>
        <v/>
      </c>
    </row>
    <row r="1444" customFormat="false" ht="15" hidden="false" customHeight="false" outlineLevel="0" collapsed="false">
      <c r="E1444" s="0" t="str">
        <f aca="false">IF(B1444="","",LOWER(B1444)&amp;"|"&amp;C1444)</f>
        <v/>
      </c>
    </row>
    <row r="1445" customFormat="false" ht="15" hidden="false" customHeight="false" outlineLevel="0" collapsed="false">
      <c r="E1445" s="0" t="str">
        <f aca="false">IF(B1445="","",LOWER(B1445)&amp;"|"&amp;C1445)</f>
        <v/>
      </c>
    </row>
    <row r="1446" customFormat="false" ht="15" hidden="false" customHeight="false" outlineLevel="0" collapsed="false">
      <c r="E1446" s="0" t="str">
        <f aca="false">IF(B1446="","",LOWER(B1446)&amp;"|"&amp;C1446)</f>
        <v/>
      </c>
    </row>
    <row r="1447" customFormat="false" ht="15" hidden="false" customHeight="false" outlineLevel="0" collapsed="false">
      <c r="E1447" s="0" t="str">
        <f aca="false">IF(B1447="","",LOWER(B1447)&amp;"|"&amp;C1447)</f>
        <v/>
      </c>
    </row>
    <row r="1448" customFormat="false" ht="15" hidden="false" customHeight="false" outlineLevel="0" collapsed="false">
      <c r="E1448" s="0" t="str">
        <f aca="false">IF(B1448="","",LOWER(B1448)&amp;"|"&amp;C1448)</f>
        <v/>
      </c>
    </row>
    <row r="1449" customFormat="false" ht="15" hidden="false" customHeight="false" outlineLevel="0" collapsed="false">
      <c r="E1449" s="0" t="str">
        <f aca="false">IF(B1449="","",LOWER(B1449)&amp;"|"&amp;C1449)</f>
        <v/>
      </c>
    </row>
    <row r="1450" customFormat="false" ht="15" hidden="false" customHeight="false" outlineLevel="0" collapsed="false">
      <c r="E1450" s="0" t="str">
        <f aca="false">IF(B1450="","",LOWER(B1450)&amp;"|"&amp;C1450)</f>
        <v/>
      </c>
    </row>
    <row r="1451" customFormat="false" ht="15" hidden="false" customHeight="false" outlineLevel="0" collapsed="false">
      <c r="E1451" s="0" t="str">
        <f aca="false">IF(B1451="","",LOWER(B1451)&amp;"|"&amp;C1451)</f>
        <v/>
      </c>
    </row>
    <row r="1452" customFormat="false" ht="15" hidden="false" customHeight="false" outlineLevel="0" collapsed="false">
      <c r="E1452" s="0" t="str">
        <f aca="false">IF(B1452="","",LOWER(B1452)&amp;"|"&amp;C1452)</f>
        <v/>
      </c>
    </row>
    <row r="1453" customFormat="false" ht="15" hidden="false" customHeight="false" outlineLevel="0" collapsed="false">
      <c r="E1453" s="0" t="str">
        <f aca="false">IF(B1453="","",LOWER(B1453)&amp;"|"&amp;C1453)</f>
        <v/>
      </c>
    </row>
    <row r="1454" customFormat="false" ht="15" hidden="false" customHeight="false" outlineLevel="0" collapsed="false">
      <c r="E1454" s="0" t="str">
        <f aca="false">IF(B1454="","",LOWER(B1454)&amp;"|"&amp;C1454)</f>
        <v/>
      </c>
    </row>
    <row r="1455" customFormat="false" ht="15" hidden="false" customHeight="false" outlineLevel="0" collapsed="false">
      <c r="E1455" s="0" t="str">
        <f aca="false">IF(B1455="","",LOWER(B1455)&amp;"|"&amp;C1455)</f>
        <v/>
      </c>
    </row>
    <row r="1456" customFormat="false" ht="15" hidden="false" customHeight="false" outlineLevel="0" collapsed="false">
      <c r="E1456" s="0" t="str">
        <f aca="false">IF(B1456="","",LOWER(B1456)&amp;"|"&amp;C1456)</f>
        <v/>
      </c>
    </row>
    <row r="1457" customFormat="false" ht="15" hidden="false" customHeight="false" outlineLevel="0" collapsed="false">
      <c r="E1457" s="0" t="str">
        <f aca="false">IF(B1457="","",LOWER(B1457)&amp;"|"&amp;C1457)</f>
        <v/>
      </c>
    </row>
    <row r="1458" customFormat="false" ht="15" hidden="false" customHeight="false" outlineLevel="0" collapsed="false">
      <c r="E1458" s="0" t="str">
        <f aca="false">IF(B1458="","",LOWER(B1458)&amp;"|"&amp;C1458)</f>
        <v/>
      </c>
    </row>
    <row r="1459" customFormat="false" ht="15" hidden="false" customHeight="false" outlineLevel="0" collapsed="false">
      <c r="E1459" s="0" t="str">
        <f aca="false">IF(B1459="","",LOWER(B1459)&amp;"|"&amp;C1459)</f>
        <v/>
      </c>
    </row>
    <row r="1460" customFormat="false" ht="15" hidden="false" customHeight="false" outlineLevel="0" collapsed="false">
      <c r="E1460" s="0" t="str">
        <f aca="false">IF(B1460="","",LOWER(B1460)&amp;"|"&amp;C1460)</f>
        <v/>
      </c>
    </row>
    <row r="1461" customFormat="false" ht="15" hidden="false" customHeight="false" outlineLevel="0" collapsed="false">
      <c r="E1461" s="0" t="str">
        <f aca="false">IF(B1461="","",LOWER(B1461)&amp;"|"&amp;C1461)</f>
        <v/>
      </c>
    </row>
    <row r="1462" customFormat="false" ht="15" hidden="false" customHeight="false" outlineLevel="0" collapsed="false">
      <c r="E1462" s="0" t="str">
        <f aca="false">IF(B1462="","",LOWER(B1462)&amp;"|"&amp;C1462)</f>
        <v/>
      </c>
    </row>
    <row r="1463" customFormat="false" ht="15" hidden="false" customHeight="false" outlineLevel="0" collapsed="false">
      <c r="E1463" s="0" t="str">
        <f aca="false">IF(B1463="","",LOWER(B1463)&amp;"|"&amp;C1463)</f>
        <v/>
      </c>
    </row>
    <row r="1464" customFormat="false" ht="15" hidden="false" customHeight="false" outlineLevel="0" collapsed="false">
      <c r="E1464" s="0" t="str">
        <f aca="false">IF(B1464="","",LOWER(B1464)&amp;"|"&amp;C1464)</f>
        <v/>
      </c>
    </row>
    <row r="1465" customFormat="false" ht="15" hidden="false" customHeight="false" outlineLevel="0" collapsed="false">
      <c r="E1465" s="0" t="str">
        <f aca="false">IF(B1465="","",LOWER(B1465)&amp;"|"&amp;C1465)</f>
        <v/>
      </c>
    </row>
    <row r="1466" customFormat="false" ht="15" hidden="false" customHeight="false" outlineLevel="0" collapsed="false">
      <c r="E1466" s="0" t="str">
        <f aca="false">IF(B1466="","",LOWER(B1466)&amp;"|"&amp;C1466)</f>
        <v/>
      </c>
    </row>
    <row r="1467" customFormat="false" ht="15" hidden="false" customHeight="false" outlineLevel="0" collapsed="false">
      <c r="E1467" s="0" t="str">
        <f aca="false">IF(B1467="","",LOWER(B1467)&amp;"|"&amp;C1467)</f>
        <v/>
      </c>
    </row>
    <row r="1468" customFormat="false" ht="15" hidden="false" customHeight="false" outlineLevel="0" collapsed="false">
      <c r="E1468" s="0" t="str">
        <f aca="false">IF(B1468="","",LOWER(B1468)&amp;"|"&amp;C1468)</f>
        <v/>
      </c>
    </row>
    <row r="1469" customFormat="false" ht="15" hidden="false" customHeight="false" outlineLevel="0" collapsed="false">
      <c r="E1469" s="0" t="str">
        <f aca="false">IF(B1469="","",LOWER(B1469)&amp;"|"&amp;C1469)</f>
        <v/>
      </c>
    </row>
    <row r="1470" customFormat="false" ht="15" hidden="false" customHeight="false" outlineLevel="0" collapsed="false">
      <c r="E1470" s="0" t="str">
        <f aca="false">IF(B1470="","",LOWER(B1470)&amp;"|"&amp;C1470)</f>
        <v/>
      </c>
    </row>
    <row r="1471" customFormat="false" ht="15" hidden="false" customHeight="false" outlineLevel="0" collapsed="false">
      <c r="E1471" s="0" t="str">
        <f aca="false">IF(B1471="","",LOWER(B1471)&amp;"|"&amp;C1471)</f>
        <v/>
      </c>
    </row>
    <row r="1472" customFormat="false" ht="15" hidden="false" customHeight="false" outlineLevel="0" collapsed="false">
      <c r="E1472" s="0" t="str">
        <f aca="false">IF(B1472="","",LOWER(B1472)&amp;"|"&amp;C1472)</f>
        <v/>
      </c>
    </row>
    <row r="1473" customFormat="false" ht="15" hidden="false" customHeight="false" outlineLevel="0" collapsed="false">
      <c r="E1473" s="0" t="str">
        <f aca="false">IF(B1473="","",LOWER(B1473)&amp;"|"&amp;C1473)</f>
        <v/>
      </c>
    </row>
    <row r="1474" customFormat="false" ht="15" hidden="false" customHeight="false" outlineLevel="0" collapsed="false">
      <c r="E1474" s="0" t="str">
        <f aca="false">IF(B1474="","",LOWER(B1474)&amp;"|"&amp;C1474)</f>
        <v/>
      </c>
    </row>
    <row r="1475" customFormat="false" ht="15" hidden="false" customHeight="false" outlineLevel="0" collapsed="false">
      <c r="E1475" s="0" t="str">
        <f aca="false">IF(B1475="","",LOWER(B1475)&amp;"|"&amp;C1475)</f>
        <v/>
      </c>
    </row>
    <row r="1476" customFormat="false" ht="15" hidden="false" customHeight="false" outlineLevel="0" collapsed="false">
      <c r="E1476" s="0" t="str">
        <f aca="false">IF(B1476="","",LOWER(B1476)&amp;"|"&amp;C1476)</f>
        <v/>
      </c>
    </row>
    <row r="1477" customFormat="false" ht="15" hidden="false" customHeight="false" outlineLevel="0" collapsed="false">
      <c r="E1477" s="0" t="str">
        <f aca="false">IF(B1477="","",LOWER(B1477)&amp;"|"&amp;C1477)</f>
        <v/>
      </c>
    </row>
    <row r="1478" customFormat="false" ht="15" hidden="false" customHeight="false" outlineLevel="0" collapsed="false">
      <c r="E1478" s="0" t="str">
        <f aca="false">IF(B1478="","",LOWER(B1478)&amp;"|"&amp;C1478)</f>
        <v/>
      </c>
    </row>
    <row r="1479" customFormat="false" ht="15" hidden="false" customHeight="false" outlineLevel="0" collapsed="false">
      <c r="E1479" s="0" t="str">
        <f aca="false">IF(B1479="","",LOWER(B1479)&amp;"|"&amp;C1479)</f>
        <v/>
      </c>
    </row>
    <row r="1480" customFormat="false" ht="15" hidden="false" customHeight="false" outlineLevel="0" collapsed="false">
      <c r="E1480" s="0" t="str">
        <f aca="false">IF(B1480="","",LOWER(B1480)&amp;"|"&amp;C1480)</f>
        <v/>
      </c>
    </row>
    <row r="1481" customFormat="false" ht="15" hidden="false" customHeight="false" outlineLevel="0" collapsed="false">
      <c r="E1481" s="0" t="str">
        <f aca="false">IF(B1481="","",LOWER(B1481)&amp;"|"&amp;C1481)</f>
        <v/>
      </c>
    </row>
    <row r="1482" customFormat="false" ht="15" hidden="false" customHeight="false" outlineLevel="0" collapsed="false">
      <c r="E1482" s="0" t="str">
        <f aca="false">IF(B1482="","",LOWER(B1482)&amp;"|"&amp;C1482)</f>
        <v/>
      </c>
    </row>
    <row r="1483" customFormat="false" ht="15" hidden="false" customHeight="false" outlineLevel="0" collapsed="false">
      <c r="E1483" s="0" t="str">
        <f aca="false">IF(B1483="","",LOWER(B1483)&amp;"|"&amp;C1483)</f>
        <v/>
      </c>
    </row>
    <row r="1484" customFormat="false" ht="15" hidden="false" customHeight="false" outlineLevel="0" collapsed="false">
      <c r="E1484" s="0" t="str">
        <f aca="false">IF(B1484="","",LOWER(B1484)&amp;"|"&amp;C1484)</f>
        <v/>
      </c>
    </row>
    <row r="1485" customFormat="false" ht="15" hidden="false" customHeight="false" outlineLevel="0" collapsed="false">
      <c r="E1485" s="0" t="str">
        <f aca="false">IF(B1485="","",LOWER(B1485)&amp;"|"&amp;C1485)</f>
        <v/>
      </c>
    </row>
    <row r="1486" customFormat="false" ht="15" hidden="false" customHeight="false" outlineLevel="0" collapsed="false">
      <c r="E1486" s="0" t="str">
        <f aca="false">IF(B1486="","",LOWER(B1486)&amp;"|"&amp;C1486)</f>
        <v/>
      </c>
    </row>
    <row r="1487" customFormat="false" ht="15" hidden="false" customHeight="false" outlineLevel="0" collapsed="false">
      <c r="E1487" s="0" t="str">
        <f aca="false">IF(B1487="","",LOWER(B1487)&amp;"|"&amp;C1487)</f>
        <v/>
      </c>
    </row>
    <row r="1488" customFormat="false" ht="15" hidden="false" customHeight="false" outlineLevel="0" collapsed="false">
      <c r="E1488" s="0" t="str">
        <f aca="false">IF(B1488="","",LOWER(B1488)&amp;"|"&amp;C1488)</f>
        <v/>
      </c>
    </row>
    <row r="1489" customFormat="false" ht="15" hidden="false" customHeight="false" outlineLevel="0" collapsed="false">
      <c r="E1489" s="0" t="str">
        <f aca="false">IF(B1489="","",LOWER(B1489)&amp;"|"&amp;C1489)</f>
        <v/>
      </c>
    </row>
    <row r="1490" customFormat="false" ht="15" hidden="false" customHeight="false" outlineLevel="0" collapsed="false">
      <c r="E1490" s="0" t="str">
        <f aca="false">IF(B1490="","",LOWER(B1490)&amp;"|"&amp;C1490)</f>
        <v/>
      </c>
    </row>
    <row r="1491" customFormat="false" ht="15" hidden="false" customHeight="false" outlineLevel="0" collapsed="false">
      <c r="E1491" s="0" t="str">
        <f aca="false">IF(B1491="","",LOWER(B1491)&amp;"|"&amp;C1491)</f>
        <v/>
      </c>
    </row>
    <row r="1492" customFormat="false" ht="15" hidden="false" customHeight="false" outlineLevel="0" collapsed="false">
      <c r="E1492" s="0" t="str">
        <f aca="false">IF(B1492="","",LOWER(B1492)&amp;"|"&amp;C1492)</f>
        <v/>
      </c>
    </row>
    <row r="1493" customFormat="false" ht="15" hidden="false" customHeight="false" outlineLevel="0" collapsed="false">
      <c r="E1493" s="0" t="str">
        <f aca="false">IF(B1493="","",LOWER(B1493)&amp;"|"&amp;C1493)</f>
        <v/>
      </c>
    </row>
    <row r="1494" customFormat="false" ht="15" hidden="false" customHeight="false" outlineLevel="0" collapsed="false">
      <c r="E1494" s="0" t="str">
        <f aca="false">IF(B1494="","",LOWER(B1494)&amp;"|"&amp;C1494)</f>
        <v/>
      </c>
    </row>
    <row r="1495" customFormat="false" ht="15" hidden="false" customHeight="false" outlineLevel="0" collapsed="false">
      <c r="E1495" s="0" t="str">
        <f aca="false">IF(B1495="","",LOWER(B1495)&amp;"|"&amp;C1495)</f>
        <v/>
      </c>
    </row>
    <row r="1496" customFormat="false" ht="15" hidden="false" customHeight="false" outlineLevel="0" collapsed="false">
      <c r="E1496" s="0" t="str">
        <f aca="false">IF(B1496="","",LOWER(B1496)&amp;"|"&amp;C1496)</f>
        <v/>
      </c>
    </row>
    <row r="1497" customFormat="false" ht="15" hidden="false" customHeight="false" outlineLevel="0" collapsed="false">
      <c r="E1497" s="0" t="str">
        <f aca="false">IF(B1497="","",LOWER(B1497)&amp;"|"&amp;C1497)</f>
        <v/>
      </c>
    </row>
    <row r="1498" customFormat="false" ht="15" hidden="false" customHeight="false" outlineLevel="0" collapsed="false">
      <c r="E1498" s="0" t="str">
        <f aca="false">IF(B1498="","",LOWER(B1498)&amp;"|"&amp;C1498)</f>
        <v/>
      </c>
    </row>
    <row r="1499" customFormat="false" ht="15" hidden="false" customHeight="false" outlineLevel="0" collapsed="false">
      <c r="E1499" s="0" t="str">
        <f aca="false">IF(B1499="","",LOWER(B1499)&amp;"|"&amp;C1499)</f>
        <v/>
      </c>
    </row>
    <row r="1500" customFormat="false" ht="15" hidden="false" customHeight="false" outlineLevel="0" collapsed="false">
      <c r="E1500" s="0" t="str">
        <f aca="false">IF(B1500="","",LOWER(B1500)&amp;"|"&amp;C1500)</f>
        <v/>
      </c>
    </row>
    <row r="1501" customFormat="false" ht="15" hidden="false" customHeight="false" outlineLevel="0" collapsed="false">
      <c r="E1501" s="0" t="str">
        <f aca="false">IF(B1501="","",LOWER(B1501)&amp;"|"&amp;C1501)</f>
        <v/>
      </c>
    </row>
    <row r="1502" customFormat="false" ht="15" hidden="false" customHeight="false" outlineLevel="0" collapsed="false">
      <c r="E1502" s="0" t="str">
        <f aca="false">IF(B1502="","",LOWER(B1502)&amp;"|"&amp;C1502)</f>
        <v/>
      </c>
    </row>
    <row r="1503" customFormat="false" ht="15" hidden="false" customHeight="false" outlineLevel="0" collapsed="false">
      <c r="E1503" s="0" t="str">
        <f aca="false">IF(B1503="","",LOWER(B1503)&amp;"|"&amp;C1503)</f>
        <v/>
      </c>
    </row>
    <row r="1504" customFormat="false" ht="15" hidden="false" customHeight="false" outlineLevel="0" collapsed="false">
      <c r="E1504" s="0" t="str">
        <f aca="false">IF(B1504="","",LOWER(B1504)&amp;"|"&amp;C1504)</f>
        <v/>
      </c>
    </row>
    <row r="1505" customFormat="false" ht="15" hidden="false" customHeight="false" outlineLevel="0" collapsed="false">
      <c r="E1505" s="0" t="str">
        <f aca="false">IF(B1505="","",LOWER(B1505)&amp;"|"&amp;C1505)</f>
        <v/>
      </c>
    </row>
    <row r="1506" customFormat="false" ht="15" hidden="false" customHeight="false" outlineLevel="0" collapsed="false">
      <c r="E1506" s="0" t="str">
        <f aca="false">IF(B1506="","",LOWER(B1506)&amp;"|"&amp;C1506)</f>
        <v/>
      </c>
    </row>
    <row r="1507" customFormat="false" ht="15" hidden="false" customHeight="false" outlineLevel="0" collapsed="false">
      <c r="E1507" s="0" t="str">
        <f aca="false">IF(B1507="","",LOWER(B1507)&amp;"|"&amp;C1507)</f>
        <v/>
      </c>
    </row>
    <row r="1508" customFormat="false" ht="15" hidden="false" customHeight="false" outlineLevel="0" collapsed="false">
      <c r="E1508" s="0" t="str">
        <f aca="false">IF(B1508="","",LOWER(B1508)&amp;"|"&amp;C1508)</f>
        <v/>
      </c>
    </row>
    <row r="1509" customFormat="false" ht="15" hidden="false" customHeight="false" outlineLevel="0" collapsed="false">
      <c r="E1509" s="0" t="str">
        <f aca="false">IF(B1509="","",LOWER(B1509)&amp;"|"&amp;C1509)</f>
        <v/>
      </c>
    </row>
    <row r="1510" customFormat="false" ht="15" hidden="false" customHeight="false" outlineLevel="0" collapsed="false">
      <c r="E1510" s="0" t="str">
        <f aca="false">IF(B1510="","",LOWER(B1510)&amp;"|"&amp;C1510)</f>
        <v/>
      </c>
    </row>
    <row r="1511" customFormat="false" ht="15" hidden="false" customHeight="false" outlineLevel="0" collapsed="false">
      <c r="E1511" s="0" t="str">
        <f aca="false">IF(B1511="","",LOWER(B1511)&amp;"|"&amp;C1511)</f>
        <v/>
      </c>
    </row>
    <row r="1512" customFormat="false" ht="15" hidden="false" customHeight="false" outlineLevel="0" collapsed="false">
      <c r="E1512" s="0" t="str">
        <f aca="false">IF(B1512="","",LOWER(B1512)&amp;"|"&amp;C1512)</f>
        <v/>
      </c>
    </row>
    <row r="1513" customFormat="false" ht="15" hidden="false" customHeight="false" outlineLevel="0" collapsed="false">
      <c r="E1513" s="0" t="str">
        <f aca="false">IF(B1513="","",LOWER(B1513)&amp;"|"&amp;C1513)</f>
        <v/>
      </c>
    </row>
    <row r="1514" customFormat="false" ht="15" hidden="false" customHeight="false" outlineLevel="0" collapsed="false">
      <c r="E1514" s="0" t="str">
        <f aca="false">IF(B1514="","",LOWER(B1514)&amp;"|"&amp;C1514)</f>
        <v/>
      </c>
    </row>
    <row r="1515" customFormat="false" ht="15" hidden="false" customHeight="false" outlineLevel="0" collapsed="false">
      <c r="E1515" s="0" t="str">
        <f aca="false">IF(B1515="","",LOWER(B1515)&amp;"|"&amp;C1515)</f>
        <v/>
      </c>
    </row>
    <row r="1516" customFormat="false" ht="15" hidden="false" customHeight="false" outlineLevel="0" collapsed="false">
      <c r="E1516" s="0" t="str">
        <f aca="false">IF(B1516="","",LOWER(B1516)&amp;"|"&amp;C1516)</f>
        <v/>
      </c>
    </row>
    <row r="1517" customFormat="false" ht="15" hidden="false" customHeight="false" outlineLevel="0" collapsed="false">
      <c r="E1517" s="0" t="str">
        <f aca="false">IF(B1517="","",LOWER(B1517)&amp;"|"&amp;C1517)</f>
        <v/>
      </c>
    </row>
    <row r="1518" customFormat="false" ht="15" hidden="false" customHeight="false" outlineLevel="0" collapsed="false">
      <c r="E1518" s="0" t="str">
        <f aca="false">IF(B1518="","",LOWER(B1518)&amp;"|"&amp;C1518)</f>
        <v/>
      </c>
    </row>
    <row r="1519" customFormat="false" ht="15" hidden="false" customHeight="false" outlineLevel="0" collapsed="false">
      <c r="E1519" s="0" t="str">
        <f aca="false">IF(B1519="","",LOWER(B1519)&amp;"|"&amp;C1519)</f>
        <v/>
      </c>
    </row>
    <row r="1520" customFormat="false" ht="15" hidden="false" customHeight="false" outlineLevel="0" collapsed="false">
      <c r="E1520" s="0" t="str">
        <f aca="false">IF(B1520="","",LOWER(B1520)&amp;"|"&amp;C1520)</f>
        <v/>
      </c>
    </row>
    <row r="1521" customFormat="false" ht="15" hidden="false" customHeight="false" outlineLevel="0" collapsed="false">
      <c r="E1521" s="0" t="str">
        <f aca="false">IF(B1521="","",LOWER(B1521)&amp;"|"&amp;C1521)</f>
        <v/>
      </c>
    </row>
    <row r="1522" customFormat="false" ht="15" hidden="false" customHeight="false" outlineLevel="0" collapsed="false">
      <c r="E1522" s="0" t="str">
        <f aca="false">IF(B1522="","",LOWER(B1522)&amp;"|"&amp;C1522)</f>
        <v/>
      </c>
    </row>
    <row r="1523" customFormat="false" ht="15" hidden="false" customHeight="false" outlineLevel="0" collapsed="false">
      <c r="E1523" s="0" t="str">
        <f aca="false">IF(B1523="","",LOWER(B1523)&amp;"|"&amp;C1523)</f>
        <v/>
      </c>
    </row>
    <row r="1524" customFormat="false" ht="15" hidden="false" customHeight="false" outlineLevel="0" collapsed="false">
      <c r="E1524" s="0" t="str">
        <f aca="false">IF(B1524="","",LOWER(B1524)&amp;"|"&amp;C1524)</f>
        <v/>
      </c>
    </row>
    <row r="1525" customFormat="false" ht="15" hidden="false" customHeight="false" outlineLevel="0" collapsed="false">
      <c r="E1525" s="0" t="str">
        <f aca="false">IF(B1525="","",LOWER(B1525)&amp;"|"&amp;C1525)</f>
        <v/>
      </c>
    </row>
    <row r="1526" customFormat="false" ht="15" hidden="false" customHeight="false" outlineLevel="0" collapsed="false">
      <c r="E1526" s="0" t="str">
        <f aca="false">IF(B1526="","",LOWER(B1526)&amp;"|"&amp;C1526)</f>
        <v/>
      </c>
    </row>
    <row r="1527" customFormat="false" ht="15" hidden="false" customHeight="false" outlineLevel="0" collapsed="false">
      <c r="E1527" s="0" t="str">
        <f aca="false">IF(B1527="","",LOWER(B1527)&amp;"|"&amp;C1527)</f>
        <v/>
      </c>
    </row>
    <row r="1528" customFormat="false" ht="15" hidden="false" customHeight="false" outlineLevel="0" collapsed="false">
      <c r="E1528" s="0" t="str">
        <f aca="false">IF(B1528="","",LOWER(B1528)&amp;"|"&amp;C1528)</f>
        <v/>
      </c>
    </row>
    <row r="1529" customFormat="false" ht="15" hidden="false" customHeight="false" outlineLevel="0" collapsed="false">
      <c r="E1529" s="0" t="str">
        <f aca="false">IF(B1529="","",LOWER(B1529)&amp;"|"&amp;C1529)</f>
        <v/>
      </c>
    </row>
    <row r="1530" customFormat="false" ht="15" hidden="false" customHeight="false" outlineLevel="0" collapsed="false">
      <c r="E1530" s="0" t="str">
        <f aca="false">IF(B1530="","",LOWER(B1530)&amp;"|"&amp;C1530)</f>
        <v/>
      </c>
    </row>
    <row r="1531" customFormat="false" ht="15" hidden="false" customHeight="false" outlineLevel="0" collapsed="false">
      <c r="E1531" s="0" t="str">
        <f aca="false">IF(B1531="","",LOWER(B1531)&amp;"|"&amp;C1531)</f>
        <v/>
      </c>
    </row>
    <row r="1532" customFormat="false" ht="15" hidden="false" customHeight="false" outlineLevel="0" collapsed="false">
      <c r="E1532" s="0" t="str">
        <f aca="false">IF(B1532="","",LOWER(B1532)&amp;"|"&amp;C1532)</f>
        <v/>
      </c>
    </row>
    <row r="1533" customFormat="false" ht="15" hidden="false" customHeight="false" outlineLevel="0" collapsed="false">
      <c r="E1533" s="0" t="str">
        <f aca="false">IF(B1533="","",LOWER(B1533)&amp;"|"&amp;C1533)</f>
        <v/>
      </c>
    </row>
    <row r="1534" customFormat="false" ht="15" hidden="false" customHeight="false" outlineLevel="0" collapsed="false">
      <c r="E1534" s="0" t="str">
        <f aca="false">IF(B1534="","",LOWER(B1534)&amp;"|"&amp;C1534)</f>
        <v/>
      </c>
    </row>
    <row r="1535" customFormat="false" ht="15" hidden="false" customHeight="false" outlineLevel="0" collapsed="false">
      <c r="E1535" s="0" t="str">
        <f aca="false">IF(B1535="","",LOWER(B1535)&amp;"|"&amp;C1535)</f>
        <v/>
      </c>
    </row>
    <row r="1536" customFormat="false" ht="15" hidden="false" customHeight="false" outlineLevel="0" collapsed="false">
      <c r="E1536" s="0" t="str">
        <f aca="false">IF(B1536="","",LOWER(B1536)&amp;"|"&amp;C1536)</f>
        <v/>
      </c>
    </row>
    <row r="1537" customFormat="false" ht="15" hidden="false" customHeight="false" outlineLevel="0" collapsed="false">
      <c r="E1537" s="0" t="str">
        <f aca="false">IF(B1537="","",LOWER(B1537)&amp;"|"&amp;C1537)</f>
        <v/>
      </c>
    </row>
    <row r="1538" customFormat="false" ht="15" hidden="false" customHeight="false" outlineLevel="0" collapsed="false">
      <c r="E1538" s="0" t="str">
        <f aca="false">IF(B1538="","",LOWER(B1538)&amp;"|"&amp;C1538)</f>
        <v/>
      </c>
    </row>
    <row r="1539" customFormat="false" ht="15" hidden="false" customHeight="false" outlineLevel="0" collapsed="false">
      <c r="E1539" s="0" t="str">
        <f aca="false">IF(B1539="","",LOWER(B1539)&amp;"|"&amp;C1539)</f>
        <v/>
      </c>
    </row>
    <row r="1540" customFormat="false" ht="15" hidden="false" customHeight="false" outlineLevel="0" collapsed="false">
      <c r="E1540" s="0" t="str">
        <f aca="false">IF(B1540="","",LOWER(B1540)&amp;"|"&amp;C1540)</f>
        <v/>
      </c>
    </row>
    <row r="1541" customFormat="false" ht="15" hidden="false" customHeight="false" outlineLevel="0" collapsed="false">
      <c r="E1541" s="0" t="str">
        <f aca="false">IF(B1541="","",LOWER(B1541)&amp;"|"&amp;C1541)</f>
        <v/>
      </c>
    </row>
    <row r="1542" customFormat="false" ht="15" hidden="false" customHeight="false" outlineLevel="0" collapsed="false">
      <c r="E1542" s="0" t="str">
        <f aca="false">IF(B1542="","",LOWER(B1542)&amp;"|"&amp;C1542)</f>
        <v/>
      </c>
    </row>
    <row r="1543" customFormat="false" ht="15" hidden="false" customHeight="false" outlineLevel="0" collapsed="false">
      <c r="E1543" s="0" t="str">
        <f aca="false">IF(B1543="","",LOWER(B1543)&amp;"|"&amp;C1543)</f>
        <v/>
      </c>
    </row>
    <row r="1544" customFormat="false" ht="15" hidden="false" customHeight="false" outlineLevel="0" collapsed="false">
      <c r="E1544" s="0" t="str">
        <f aca="false">IF(B1544="","",LOWER(B1544)&amp;"|"&amp;C1544)</f>
        <v/>
      </c>
    </row>
    <row r="1545" customFormat="false" ht="15" hidden="false" customHeight="false" outlineLevel="0" collapsed="false">
      <c r="E1545" s="0" t="str">
        <f aca="false">IF(B1545="","",LOWER(B1545)&amp;"|"&amp;C1545)</f>
        <v/>
      </c>
    </row>
    <row r="1546" customFormat="false" ht="15" hidden="false" customHeight="false" outlineLevel="0" collapsed="false">
      <c r="E1546" s="0" t="str">
        <f aca="false">IF(B1546="","",LOWER(B1546)&amp;"|"&amp;C1546)</f>
        <v/>
      </c>
    </row>
    <row r="1547" customFormat="false" ht="15" hidden="false" customHeight="false" outlineLevel="0" collapsed="false">
      <c r="E1547" s="0" t="str">
        <f aca="false">IF(B1547="","",LOWER(B1547)&amp;"|"&amp;C1547)</f>
        <v/>
      </c>
    </row>
    <row r="1548" customFormat="false" ht="15" hidden="false" customHeight="false" outlineLevel="0" collapsed="false">
      <c r="E1548" s="0" t="str">
        <f aca="false">IF(B1548="","",LOWER(B1548)&amp;"|"&amp;C1548)</f>
        <v/>
      </c>
    </row>
    <row r="1549" customFormat="false" ht="15" hidden="false" customHeight="false" outlineLevel="0" collapsed="false">
      <c r="E1549" s="0" t="str">
        <f aca="false">IF(B1549="","",LOWER(B1549)&amp;"|"&amp;C1549)</f>
        <v/>
      </c>
    </row>
    <row r="1550" customFormat="false" ht="15" hidden="false" customHeight="false" outlineLevel="0" collapsed="false">
      <c r="E1550" s="0" t="str">
        <f aca="false">IF(B1550="","",LOWER(B1550)&amp;"|"&amp;C1550)</f>
        <v/>
      </c>
    </row>
    <row r="1551" customFormat="false" ht="15" hidden="false" customHeight="false" outlineLevel="0" collapsed="false">
      <c r="E1551" s="0" t="str">
        <f aca="false">IF(B1551="","",LOWER(B1551)&amp;"|"&amp;C1551)</f>
        <v/>
      </c>
    </row>
    <row r="1552" customFormat="false" ht="15" hidden="false" customHeight="false" outlineLevel="0" collapsed="false">
      <c r="E1552" s="0" t="str">
        <f aca="false">IF(B1552="","",LOWER(B1552)&amp;"|"&amp;C1552)</f>
        <v/>
      </c>
    </row>
    <row r="1553" customFormat="false" ht="15" hidden="false" customHeight="false" outlineLevel="0" collapsed="false">
      <c r="E1553" s="0" t="str">
        <f aca="false">IF(B1553="","",LOWER(B1553)&amp;"|"&amp;C1553)</f>
        <v/>
      </c>
    </row>
    <row r="1554" customFormat="false" ht="15" hidden="false" customHeight="false" outlineLevel="0" collapsed="false">
      <c r="E1554" s="0" t="str">
        <f aca="false">IF(B1554="","",LOWER(B1554)&amp;"|"&amp;C1554)</f>
        <v/>
      </c>
    </row>
    <row r="1555" customFormat="false" ht="15" hidden="false" customHeight="false" outlineLevel="0" collapsed="false">
      <c r="E1555" s="0" t="str">
        <f aca="false">IF(B1555="","",LOWER(B1555)&amp;"|"&amp;C1555)</f>
        <v/>
      </c>
    </row>
    <row r="1556" customFormat="false" ht="15" hidden="false" customHeight="false" outlineLevel="0" collapsed="false">
      <c r="E1556" s="0" t="str">
        <f aca="false">IF(B1556="","",LOWER(B1556)&amp;"|"&amp;C1556)</f>
        <v/>
      </c>
    </row>
    <row r="1557" customFormat="false" ht="15" hidden="false" customHeight="false" outlineLevel="0" collapsed="false">
      <c r="E1557" s="0" t="str">
        <f aca="false">IF(B1557="","",LOWER(B1557)&amp;"|"&amp;C1557)</f>
        <v/>
      </c>
    </row>
    <row r="1558" customFormat="false" ht="15" hidden="false" customHeight="false" outlineLevel="0" collapsed="false">
      <c r="E1558" s="0" t="str">
        <f aca="false">IF(B1558="","",LOWER(B1558)&amp;"|"&amp;C1558)</f>
        <v/>
      </c>
    </row>
    <row r="1559" customFormat="false" ht="15" hidden="false" customHeight="false" outlineLevel="0" collapsed="false">
      <c r="E1559" s="0" t="str">
        <f aca="false">IF(B1559="","",LOWER(B1559)&amp;"|"&amp;C1559)</f>
        <v/>
      </c>
    </row>
    <row r="1560" customFormat="false" ht="15" hidden="false" customHeight="false" outlineLevel="0" collapsed="false">
      <c r="E1560" s="0" t="str">
        <f aca="false">IF(B1560="","",LOWER(B1560)&amp;"|"&amp;C1560)</f>
        <v/>
      </c>
    </row>
    <row r="1561" customFormat="false" ht="15" hidden="false" customHeight="false" outlineLevel="0" collapsed="false">
      <c r="E1561" s="0" t="str">
        <f aca="false">IF(B1561="","",LOWER(B1561)&amp;"|"&amp;C1561)</f>
        <v/>
      </c>
    </row>
    <row r="1562" customFormat="false" ht="15" hidden="false" customHeight="false" outlineLevel="0" collapsed="false">
      <c r="E1562" s="0" t="str">
        <f aca="false">IF(B1562="","",LOWER(B1562)&amp;"|"&amp;C1562)</f>
        <v/>
      </c>
    </row>
    <row r="1563" customFormat="false" ht="15" hidden="false" customHeight="false" outlineLevel="0" collapsed="false">
      <c r="E1563" s="0" t="str">
        <f aca="false">IF(B1563="","",LOWER(B1563)&amp;"|"&amp;C1563)</f>
        <v/>
      </c>
    </row>
    <row r="1564" customFormat="false" ht="15" hidden="false" customHeight="false" outlineLevel="0" collapsed="false">
      <c r="E1564" s="0" t="str">
        <f aca="false">IF(B1564="","",LOWER(B1564)&amp;"|"&amp;C1564)</f>
        <v/>
      </c>
    </row>
    <row r="1565" customFormat="false" ht="15" hidden="false" customHeight="false" outlineLevel="0" collapsed="false">
      <c r="E1565" s="0" t="str">
        <f aca="false">IF(B1565="","",LOWER(B1565)&amp;"|"&amp;C1565)</f>
        <v/>
      </c>
    </row>
    <row r="1566" customFormat="false" ht="15" hidden="false" customHeight="false" outlineLevel="0" collapsed="false">
      <c r="E1566" s="0" t="str">
        <f aca="false">IF(B1566="","",LOWER(B1566)&amp;"|"&amp;C1566)</f>
        <v/>
      </c>
    </row>
    <row r="1567" customFormat="false" ht="15" hidden="false" customHeight="false" outlineLevel="0" collapsed="false">
      <c r="E1567" s="0" t="str">
        <f aca="false">IF(B1567="","",LOWER(B1567)&amp;"|"&amp;C1567)</f>
        <v/>
      </c>
    </row>
    <row r="1568" customFormat="false" ht="15" hidden="false" customHeight="false" outlineLevel="0" collapsed="false">
      <c r="E1568" s="0" t="str">
        <f aca="false">IF(B1568="","",LOWER(B1568)&amp;"|"&amp;C1568)</f>
        <v/>
      </c>
    </row>
    <row r="1569" customFormat="false" ht="15" hidden="false" customHeight="false" outlineLevel="0" collapsed="false">
      <c r="E1569" s="0" t="str">
        <f aca="false">IF(B1569="","",LOWER(B1569)&amp;"|"&amp;C1569)</f>
        <v/>
      </c>
    </row>
    <row r="1570" customFormat="false" ht="15" hidden="false" customHeight="false" outlineLevel="0" collapsed="false">
      <c r="E1570" s="0" t="str">
        <f aca="false">IF(B1570="","",LOWER(B1570)&amp;"|"&amp;C1570)</f>
        <v/>
      </c>
    </row>
    <row r="1571" customFormat="false" ht="15" hidden="false" customHeight="false" outlineLevel="0" collapsed="false">
      <c r="E1571" s="0" t="str">
        <f aca="false">IF(B1571="","",LOWER(B1571)&amp;"|"&amp;C1571)</f>
        <v/>
      </c>
    </row>
    <row r="1572" customFormat="false" ht="15" hidden="false" customHeight="false" outlineLevel="0" collapsed="false">
      <c r="E1572" s="0" t="str">
        <f aca="false">IF(B1572="","",LOWER(B1572)&amp;"|"&amp;C1572)</f>
        <v/>
      </c>
    </row>
    <row r="1573" customFormat="false" ht="15" hidden="false" customHeight="false" outlineLevel="0" collapsed="false">
      <c r="E1573" s="0" t="str">
        <f aca="false">IF(B1573="","",LOWER(B1573)&amp;"|"&amp;C1573)</f>
        <v/>
      </c>
    </row>
    <row r="1574" customFormat="false" ht="15" hidden="false" customHeight="false" outlineLevel="0" collapsed="false">
      <c r="E1574" s="0" t="str">
        <f aca="false">IF(B1574="","",LOWER(B1574)&amp;"|"&amp;C1574)</f>
        <v/>
      </c>
    </row>
    <row r="1575" customFormat="false" ht="15" hidden="false" customHeight="false" outlineLevel="0" collapsed="false">
      <c r="E1575" s="0" t="str">
        <f aca="false">IF(B1575="","",LOWER(B1575)&amp;"|"&amp;C1575)</f>
        <v/>
      </c>
    </row>
    <row r="1576" customFormat="false" ht="15" hidden="false" customHeight="false" outlineLevel="0" collapsed="false">
      <c r="E1576" s="0" t="str">
        <f aca="false">IF(B1576="","",LOWER(B1576)&amp;"|"&amp;C1576)</f>
        <v/>
      </c>
    </row>
    <row r="1577" customFormat="false" ht="15" hidden="false" customHeight="false" outlineLevel="0" collapsed="false">
      <c r="E1577" s="0" t="str">
        <f aca="false">IF(B1577="","",LOWER(B1577)&amp;"|"&amp;C1577)</f>
        <v/>
      </c>
    </row>
    <row r="1578" customFormat="false" ht="15" hidden="false" customHeight="false" outlineLevel="0" collapsed="false">
      <c r="E1578" s="0" t="str">
        <f aca="false">IF(B1578="","",LOWER(B1578)&amp;"|"&amp;C1578)</f>
        <v/>
      </c>
    </row>
    <row r="1579" customFormat="false" ht="15" hidden="false" customHeight="false" outlineLevel="0" collapsed="false">
      <c r="E1579" s="0" t="str">
        <f aca="false">IF(B1579="","",LOWER(B1579)&amp;"|"&amp;C1579)</f>
        <v/>
      </c>
    </row>
    <row r="1580" customFormat="false" ht="15" hidden="false" customHeight="false" outlineLevel="0" collapsed="false">
      <c r="E1580" s="0" t="str">
        <f aca="false">IF(B1580="","",LOWER(B1580)&amp;"|"&amp;C1580)</f>
        <v/>
      </c>
    </row>
    <row r="1581" customFormat="false" ht="15" hidden="false" customHeight="false" outlineLevel="0" collapsed="false">
      <c r="E1581" s="0" t="str">
        <f aca="false">IF(B1581="","",LOWER(B1581)&amp;"|"&amp;C1581)</f>
        <v/>
      </c>
    </row>
    <row r="1582" customFormat="false" ht="15" hidden="false" customHeight="false" outlineLevel="0" collapsed="false">
      <c r="E1582" s="0" t="str">
        <f aca="false">IF(B1582="","",LOWER(B1582)&amp;"|"&amp;C1582)</f>
        <v/>
      </c>
    </row>
    <row r="1583" customFormat="false" ht="15" hidden="false" customHeight="false" outlineLevel="0" collapsed="false">
      <c r="E1583" s="0" t="str">
        <f aca="false">IF(B1583="","",LOWER(B1583)&amp;"|"&amp;C1583)</f>
        <v/>
      </c>
    </row>
    <row r="1584" customFormat="false" ht="15" hidden="false" customHeight="false" outlineLevel="0" collapsed="false">
      <c r="E1584" s="0" t="str">
        <f aca="false">IF(B1584="","",LOWER(B1584)&amp;"|"&amp;C1584)</f>
        <v/>
      </c>
    </row>
    <row r="1585" customFormat="false" ht="15" hidden="false" customHeight="false" outlineLevel="0" collapsed="false">
      <c r="E1585" s="0" t="str">
        <f aca="false">IF(B1585="","",LOWER(B1585)&amp;"|"&amp;C1585)</f>
        <v/>
      </c>
    </row>
    <row r="1586" customFormat="false" ht="15" hidden="false" customHeight="false" outlineLevel="0" collapsed="false">
      <c r="E1586" s="0" t="str">
        <f aca="false">IF(B1586="","",LOWER(B1586)&amp;"|"&amp;C1586)</f>
        <v/>
      </c>
    </row>
    <row r="1587" customFormat="false" ht="15" hidden="false" customHeight="false" outlineLevel="0" collapsed="false">
      <c r="E1587" s="0" t="str">
        <f aca="false">IF(B1587="","",LOWER(B1587)&amp;"|"&amp;C1587)</f>
        <v/>
      </c>
    </row>
    <row r="1588" customFormat="false" ht="15" hidden="false" customHeight="false" outlineLevel="0" collapsed="false">
      <c r="E1588" s="0" t="str">
        <f aca="false">IF(B1588="","",LOWER(B1588)&amp;"|"&amp;C1588)</f>
        <v/>
      </c>
    </row>
    <row r="1589" customFormat="false" ht="15" hidden="false" customHeight="false" outlineLevel="0" collapsed="false">
      <c r="E1589" s="0" t="str">
        <f aca="false">IF(B1589="","",LOWER(B1589)&amp;"|"&amp;C1589)</f>
        <v/>
      </c>
    </row>
    <row r="1590" customFormat="false" ht="15" hidden="false" customHeight="false" outlineLevel="0" collapsed="false">
      <c r="E1590" s="0" t="str">
        <f aca="false">IF(B1590="","",LOWER(B1590)&amp;"|"&amp;C1590)</f>
        <v/>
      </c>
    </row>
    <row r="1591" customFormat="false" ht="15" hidden="false" customHeight="false" outlineLevel="0" collapsed="false">
      <c r="E1591" s="0" t="str">
        <f aca="false">IF(B1591="","",LOWER(B1591)&amp;"|"&amp;C1591)</f>
        <v/>
      </c>
    </row>
    <row r="1592" customFormat="false" ht="15" hidden="false" customHeight="false" outlineLevel="0" collapsed="false">
      <c r="E1592" s="0" t="str">
        <f aca="false">IF(B1592="","",LOWER(B1592)&amp;"|"&amp;C1592)</f>
        <v/>
      </c>
    </row>
    <row r="1593" customFormat="false" ht="15" hidden="false" customHeight="false" outlineLevel="0" collapsed="false">
      <c r="E1593" s="0" t="str">
        <f aca="false">IF(B1593="","",LOWER(B1593)&amp;"|"&amp;C1593)</f>
        <v/>
      </c>
    </row>
    <row r="1594" customFormat="false" ht="15" hidden="false" customHeight="false" outlineLevel="0" collapsed="false">
      <c r="E1594" s="0" t="str">
        <f aca="false">IF(B1594="","",LOWER(B1594)&amp;"|"&amp;C1594)</f>
        <v/>
      </c>
    </row>
    <row r="1595" customFormat="false" ht="15" hidden="false" customHeight="false" outlineLevel="0" collapsed="false">
      <c r="E1595" s="0" t="str">
        <f aca="false">IF(B1595="","",LOWER(B1595)&amp;"|"&amp;C1595)</f>
        <v/>
      </c>
    </row>
    <row r="1596" customFormat="false" ht="15" hidden="false" customHeight="false" outlineLevel="0" collapsed="false">
      <c r="E1596" s="0" t="str">
        <f aca="false">IF(B1596="","",LOWER(B1596)&amp;"|"&amp;C1596)</f>
        <v/>
      </c>
    </row>
    <row r="1597" customFormat="false" ht="15" hidden="false" customHeight="false" outlineLevel="0" collapsed="false">
      <c r="E1597" s="0" t="str">
        <f aca="false">IF(B1597="","",LOWER(B1597)&amp;"|"&amp;C1597)</f>
        <v/>
      </c>
    </row>
    <row r="1598" customFormat="false" ht="15" hidden="false" customHeight="false" outlineLevel="0" collapsed="false">
      <c r="E1598" s="0" t="str">
        <f aca="false">IF(B1598="","",LOWER(B1598)&amp;"|"&amp;C1598)</f>
        <v/>
      </c>
    </row>
    <row r="1599" customFormat="false" ht="15" hidden="false" customHeight="false" outlineLevel="0" collapsed="false">
      <c r="E1599" s="0" t="str">
        <f aca="false">IF(B1599="","",LOWER(B1599)&amp;"|"&amp;C1599)</f>
        <v/>
      </c>
    </row>
    <row r="1600" customFormat="false" ht="15" hidden="false" customHeight="false" outlineLevel="0" collapsed="false">
      <c r="E1600" s="0" t="str">
        <f aca="false">IF(B1600="","",LOWER(B1600)&amp;"|"&amp;C1600)</f>
        <v/>
      </c>
    </row>
    <row r="1601" customFormat="false" ht="15" hidden="false" customHeight="false" outlineLevel="0" collapsed="false">
      <c r="E1601" s="0" t="str">
        <f aca="false">IF(B1601="","",LOWER(B1601)&amp;"|"&amp;C1601)</f>
        <v/>
      </c>
    </row>
    <row r="1602" customFormat="false" ht="15" hidden="false" customHeight="false" outlineLevel="0" collapsed="false">
      <c r="E1602" s="0" t="str">
        <f aca="false">IF(B1602="","",LOWER(B1602)&amp;"|"&amp;C1602)</f>
        <v/>
      </c>
    </row>
    <row r="1603" customFormat="false" ht="15" hidden="false" customHeight="false" outlineLevel="0" collapsed="false">
      <c r="E1603" s="0" t="str">
        <f aca="false">IF(B1603="","",LOWER(B1603)&amp;"|"&amp;C1603)</f>
        <v/>
      </c>
    </row>
    <row r="1604" customFormat="false" ht="15" hidden="false" customHeight="false" outlineLevel="0" collapsed="false">
      <c r="E1604" s="0" t="str">
        <f aca="false">IF(B1604="","",LOWER(B1604)&amp;"|"&amp;C1604)</f>
        <v/>
      </c>
    </row>
    <row r="1605" customFormat="false" ht="15" hidden="false" customHeight="false" outlineLevel="0" collapsed="false">
      <c r="E1605" s="0" t="str">
        <f aca="false">IF(B1605="","",LOWER(B1605)&amp;"|"&amp;C1605)</f>
        <v/>
      </c>
    </row>
    <row r="1606" customFormat="false" ht="15" hidden="false" customHeight="false" outlineLevel="0" collapsed="false">
      <c r="E1606" s="0" t="str">
        <f aca="false">IF(B1606="","",LOWER(B1606)&amp;"|"&amp;C1606)</f>
        <v/>
      </c>
    </row>
    <row r="1607" customFormat="false" ht="15" hidden="false" customHeight="false" outlineLevel="0" collapsed="false">
      <c r="E1607" s="0" t="str">
        <f aca="false">IF(B1607="","",LOWER(B1607)&amp;"|"&amp;C1607)</f>
        <v/>
      </c>
    </row>
    <row r="1608" customFormat="false" ht="15" hidden="false" customHeight="false" outlineLevel="0" collapsed="false">
      <c r="E1608" s="0" t="str">
        <f aca="false">IF(B1608="","",LOWER(B1608)&amp;"|"&amp;C1608)</f>
        <v/>
      </c>
    </row>
    <row r="1609" customFormat="false" ht="15" hidden="false" customHeight="false" outlineLevel="0" collapsed="false">
      <c r="E1609" s="0" t="str">
        <f aca="false">IF(B1609="","",LOWER(B1609)&amp;"|"&amp;C1609)</f>
        <v/>
      </c>
    </row>
    <row r="1610" customFormat="false" ht="15" hidden="false" customHeight="false" outlineLevel="0" collapsed="false">
      <c r="E1610" s="0" t="str">
        <f aca="false">IF(B1610="","",LOWER(B1610)&amp;"|"&amp;C1610)</f>
        <v/>
      </c>
    </row>
    <row r="1611" customFormat="false" ht="15" hidden="false" customHeight="false" outlineLevel="0" collapsed="false">
      <c r="E1611" s="0" t="str">
        <f aca="false">IF(B1611="","",LOWER(B1611)&amp;"|"&amp;C1611)</f>
        <v/>
      </c>
    </row>
    <row r="1612" customFormat="false" ht="15" hidden="false" customHeight="false" outlineLevel="0" collapsed="false">
      <c r="E1612" s="0" t="str">
        <f aca="false">IF(B1612="","",LOWER(B1612)&amp;"|"&amp;C1612)</f>
        <v/>
      </c>
    </row>
    <row r="1613" customFormat="false" ht="15" hidden="false" customHeight="false" outlineLevel="0" collapsed="false">
      <c r="E1613" s="0" t="str">
        <f aca="false">IF(B1613="","",LOWER(B1613)&amp;"|"&amp;C1613)</f>
        <v/>
      </c>
    </row>
    <row r="1614" customFormat="false" ht="15" hidden="false" customHeight="false" outlineLevel="0" collapsed="false">
      <c r="E1614" s="0" t="str">
        <f aca="false">IF(B1614="","",LOWER(B1614)&amp;"|"&amp;C1614)</f>
        <v/>
      </c>
    </row>
    <row r="1615" customFormat="false" ht="15" hidden="false" customHeight="false" outlineLevel="0" collapsed="false">
      <c r="E1615" s="0" t="str">
        <f aca="false">IF(B1615="","",LOWER(B1615)&amp;"|"&amp;C1615)</f>
        <v/>
      </c>
    </row>
    <row r="1616" customFormat="false" ht="15" hidden="false" customHeight="false" outlineLevel="0" collapsed="false">
      <c r="E1616" s="0" t="str">
        <f aca="false">IF(B1616="","",LOWER(B1616)&amp;"|"&amp;C1616)</f>
        <v/>
      </c>
    </row>
    <row r="1617" customFormat="false" ht="15" hidden="false" customHeight="false" outlineLevel="0" collapsed="false">
      <c r="E1617" s="0" t="str">
        <f aca="false">IF(B1617="","",LOWER(B1617)&amp;"|"&amp;C1617)</f>
        <v/>
      </c>
    </row>
    <row r="1618" customFormat="false" ht="15" hidden="false" customHeight="false" outlineLevel="0" collapsed="false">
      <c r="E1618" s="0" t="str">
        <f aca="false">IF(B1618="","",LOWER(B1618)&amp;"|"&amp;C1618)</f>
        <v/>
      </c>
    </row>
    <row r="1619" customFormat="false" ht="15" hidden="false" customHeight="false" outlineLevel="0" collapsed="false">
      <c r="E1619" s="0" t="str">
        <f aca="false">IF(B1619="","",LOWER(B1619)&amp;"|"&amp;C1619)</f>
        <v/>
      </c>
    </row>
    <row r="1620" customFormat="false" ht="15" hidden="false" customHeight="false" outlineLevel="0" collapsed="false">
      <c r="E1620" s="0" t="str">
        <f aca="false">IF(B1620="","",LOWER(B1620)&amp;"|"&amp;C1620)</f>
        <v/>
      </c>
    </row>
    <row r="1621" customFormat="false" ht="15" hidden="false" customHeight="false" outlineLevel="0" collapsed="false">
      <c r="E1621" s="0" t="str">
        <f aca="false">IF(B1621="","",LOWER(B1621)&amp;"|"&amp;C1621)</f>
        <v/>
      </c>
    </row>
    <row r="1622" customFormat="false" ht="15" hidden="false" customHeight="false" outlineLevel="0" collapsed="false">
      <c r="E1622" s="0" t="str">
        <f aca="false">IF(B1622="","",LOWER(B1622)&amp;"|"&amp;C1622)</f>
        <v/>
      </c>
    </row>
    <row r="1623" customFormat="false" ht="15" hidden="false" customHeight="false" outlineLevel="0" collapsed="false">
      <c r="E1623" s="0" t="str">
        <f aca="false">IF(B1623="","",LOWER(B1623)&amp;"|"&amp;C1623)</f>
        <v/>
      </c>
    </row>
    <row r="1624" customFormat="false" ht="15" hidden="false" customHeight="false" outlineLevel="0" collapsed="false">
      <c r="E1624" s="0" t="str">
        <f aca="false">IF(B1624="","",LOWER(B1624)&amp;"|"&amp;C1624)</f>
        <v/>
      </c>
    </row>
    <row r="1625" customFormat="false" ht="15" hidden="false" customHeight="false" outlineLevel="0" collapsed="false">
      <c r="E1625" s="0" t="str">
        <f aca="false">IF(B1625="","",LOWER(B1625)&amp;"|"&amp;C1625)</f>
        <v/>
      </c>
    </row>
    <row r="1626" customFormat="false" ht="15" hidden="false" customHeight="false" outlineLevel="0" collapsed="false">
      <c r="E1626" s="0" t="str">
        <f aca="false">IF(B1626="","",LOWER(B1626)&amp;"|"&amp;C1626)</f>
        <v/>
      </c>
    </row>
    <row r="1627" customFormat="false" ht="15" hidden="false" customHeight="false" outlineLevel="0" collapsed="false">
      <c r="E1627" s="0" t="str">
        <f aca="false">IF(B1627="","",LOWER(B1627)&amp;"|"&amp;C1627)</f>
        <v/>
      </c>
    </row>
    <row r="1628" customFormat="false" ht="15" hidden="false" customHeight="false" outlineLevel="0" collapsed="false">
      <c r="E1628" s="0" t="str">
        <f aca="false">IF(B1628="","",LOWER(B1628)&amp;"|"&amp;C1628)</f>
        <v/>
      </c>
    </row>
    <row r="1629" customFormat="false" ht="15" hidden="false" customHeight="false" outlineLevel="0" collapsed="false">
      <c r="E1629" s="0" t="str">
        <f aca="false">IF(B1629="","",LOWER(B1629)&amp;"|"&amp;C1629)</f>
        <v/>
      </c>
    </row>
    <row r="1630" customFormat="false" ht="15" hidden="false" customHeight="false" outlineLevel="0" collapsed="false">
      <c r="E1630" s="0" t="str">
        <f aca="false">IF(B1630="","",LOWER(B1630)&amp;"|"&amp;C1630)</f>
        <v/>
      </c>
    </row>
    <row r="1631" customFormat="false" ht="15" hidden="false" customHeight="false" outlineLevel="0" collapsed="false">
      <c r="E1631" s="0" t="str">
        <f aca="false">IF(B1631="","",LOWER(B1631)&amp;"|"&amp;C1631)</f>
        <v/>
      </c>
    </row>
    <row r="1632" customFormat="false" ht="15" hidden="false" customHeight="false" outlineLevel="0" collapsed="false">
      <c r="E1632" s="0" t="str">
        <f aca="false">IF(B1632="","",LOWER(B1632)&amp;"|"&amp;C1632)</f>
        <v/>
      </c>
    </row>
    <row r="1633" customFormat="false" ht="15" hidden="false" customHeight="false" outlineLevel="0" collapsed="false">
      <c r="E1633" s="0" t="str">
        <f aca="false">IF(B1633="","",LOWER(B1633)&amp;"|"&amp;C1633)</f>
        <v/>
      </c>
    </row>
    <row r="1634" customFormat="false" ht="15" hidden="false" customHeight="false" outlineLevel="0" collapsed="false">
      <c r="E1634" s="0" t="str">
        <f aca="false">IF(B1634="","",LOWER(B1634)&amp;"|"&amp;C1634)</f>
        <v/>
      </c>
    </row>
    <row r="1635" customFormat="false" ht="15" hidden="false" customHeight="false" outlineLevel="0" collapsed="false">
      <c r="E1635" s="0" t="str">
        <f aca="false">IF(B1635="","",LOWER(B1635)&amp;"|"&amp;C1635)</f>
        <v/>
      </c>
    </row>
    <row r="1636" customFormat="false" ht="15" hidden="false" customHeight="false" outlineLevel="0" collapsed="false">
      <c r="E1636" s="0" t="str">
        <f aca="false">IF(B1636="","",LOWER(B1636)&amp;"|"&amp;C1636)</f>
        <v/>
      </c>
    </row>
    <row r="1637" customFormat="false" ht="15" hidden="false" customHeight="false" outlineLevel="0" collapsed="false">
      <c r="E1637" s="0" t="str">
        <f aca="false">IF(B1637="","",LOWER(B1637)&amp;"|"&amp;C1637)</f>
        <v/>
      </c>
    </row>
    <row r="1638" customFormat="false" ht="15" hidden="false" customHeight="false" outlineLevel="0" collapsed="false">
      <c r="E1638" s="0" t="str">
        <f aca="false">IF(B1638="","",LOWER(B1638)&amp;"|"&amp;C1638)</f>
        <v/>
      </c>
    </row>
    <row r="1639" customFormat="false" ht="15" hidden="false" customHeight="false" outlineLevel="0" collapsed="false">
      <c r="E1639" s="0" t="str">
        <f aca="false">IF(B1639="","",LOWER(B1639)&amp;"|"&amp;C1639)</f>
        <v/>
      </c>
    </row>
    <row r="1640" customFormat="false" ht="15" hidden="false" customHeight="false" outlineLevel="0" collapsed="false">
      <c r="E1640" s="0" t="str">
        <f aca="false">IF(B1640="","",LOWER(B1640)&amp;"|"&amp;C1640)</f>
        <v/>
      </c>
    </row>
    <row r="1641" customFormat="false" ht="15" hidden="false" customHeight="false" outlineLevel="0" collapsed="false">
      <c r="E1641" s="0" t="str">
        <f aca="false">IF(B1641="","",LOWER(B1641)&amp;"|"&amp;C1641)</f>
        <v/>
      </c>
    </row>
    <row r="1642" customFormat="false" ht="15" hidden="false" customHeight="false" outlineLevel="0" collapsed="false">
      <c r="E1642" s="0" t="str">
        <f aca="false">IF(B1642="","",LOWER(B1642)&amp;"|"&amp;C1642)</f>
        <v/>
      </c>
    </row>
    <row r="1643" customFormat="false" ht="15" hidden="false" customHeight="false" outlineLevel="0" collapsed="false">
      <c r="E1643" s="0" t="str">
        <f aca="false">IF(B1643="","",LOWER(B1643)&amp;"|"&amp;C1643)</f>
        <v/>
      </c>
    </row>
    <row r="1644" customFormat="false" ht="15" hidden="false" customHeight="false" outlineLevel="0" collapsed="false">
      <c r="E1644" s="0" t="str">
        <f aca="false">IF(B1644="","",LOWER(B1644)&amp;"|"&amp;C1644)</f>
        <v/>
      </c>
    </row>
    <row r="1645" customFormat="false" ht="15" hidden="false" customHeight="false" outlineLevel="0" collapsed="false">
      <c r="E1645" s="0" t="str">
        <f aca="false">IF(B1645="","",LOWER(B1645)&amp;"|"&amp;C1645)</f>
        <v/>
      </c>
    </row>
    <row r="1646" customFormat="false" ht="15" hidden="false" customHeight="false" outlineLevel="0" collapsed="false">
      <c r="E1646" s="0" t="str">
        <f aca="false">IF(B1646="","",LOWER(B1646)&amp;"|"&amp;C1646)</f>
        <v/>
      </c>
    </row>
    <row r="1647" customFormat="false" ht="15" hidden="false" customHeight="false" outlineLevel="0" collapsed="false">
      <c r="E1647" s="0" t="str">
        <f aca="false">IF(B1647="","",LOWER(B1647)&amp;"|"&amp;C1647)</f>
        <v/>
      </c>
    </row>
    <row r="1648" customFormat="false" ht="15" hidden="false" customHeight="false" outlineLevel="0" collapsed="false">
      <c r="E1648" s="0" t="str">
        <f aca="false">IF(B1648="","",LOWER(B1648)&amp;"|"&amp;C1648)</f>
        <v/>
      </c>
    </row>
    <row r="1649" customFormat="false" ht="15" hidden="false" customHeight="false" outlineLevel="0" collapsed="false">
      <c r="E1649" s="0" t="str">
        <f aca="false">IF(B1649="","",LOWER(B1649)&amp;"|"&amp;C1649)</f>
        <v/>
      </c>
    </row>
    <row r="1650" customFormat="false" ht="15" hidden="false" customHeight="false" outlineLevel="0" collapsed="false">
      <c r="E1650" s="0" t="str">
        <f aca="false">IF(B1650="","",LOWER(B1650)&amp;"|"&amp;C1650)</f>
        <v/>
      </c>
    </row>
    <row r="1651" customFormat="false" ht="15" hidden="false" customHeight="false" outlineLevel="0" collapsed="false">
      <c r="E1651" s="0" t="str">
        <f aca="false">IF(B1651="","",LOWER(B1651)&amp;"|"&amp;C1651)</f>
        <v/>
      </c>
    </row>
    <row r="1652" customFormat="false" ht="15" hidden="false" customHeight="false" outlineLevel="0" collapsed="false">
      <c r="E1652" s="0" t="str">
        <f aca="false">IF(B1652="","",LOWER(B1652)&amp;"|"&amp;C1652)</f>
        <v/>
      </c>
    </row>
    <row r="1653" customFormat="false" ht="15" hidden="false" customHeight="false" outlineLevel="0" collapsed="false">
      <c r="E1653" s="0" t="str">
        <f aca="false">IF(B1653="","",LOWER(B1653)&amp;"|"&amp;C1653)</f>
        <v/>
      </c>
    </row>
    <row r="1654" customFormat="false" ht="15" hidden="false" customHeight="false" outlineLevel="0" collapsed="false">
      <c r="E1654" s="0" t="str">
        <f aca="false">IF(B1654="","",LOWER(B1654)&amp;"|"&amp;C1654)</f>
        <v/>
      </c>
    </row>
    <row r="1655" customFormat="false" ht="15" hidden="false" customHeight="false" outlineLevel="0" collapsed="false">
      <c r="E1655" s="0" t="str">
        <f aca="false">IF(B1655="","",LOWER(B1655)&amp;"|"&amp;C1655)</f>
        <v/>
      </c>
    </row>
    <row r="1656" customFormat="false" ht="15" hidden="false" customHeight="false" outlineLevel="0" collapsed="false">
      <c r="E1656" s="0" t="str">
        <f aca="false">IF(B1656="","",LOWER(B1656)&amp;"|"&amp;C1656)</f>
        <v/>
      </c>
    </row>
    <row r="1657" customFormat="false" ht="15" hidden="false" customHeight="false" outlineLevel="0" collapsed="false">
      <c r="E1657" s="0" t="str">
        <f aca="false">IF(B1657="","",LOWER(B1657)&amp;"|"&amp;C1657)</f>
        <v/>
      </c>
    </row>
    <row r="1658" customFormat="false" ht="15" hidden="false" customHeight="false" outlineLevel="0" collapsed="false">
      <c r="E1658" s="0" t="str">
        <f aca="false">IF(B1658="","",LOWER(B1658)&amp;"|"&amp;C1658)</f>
        <v/>
      </c>
    </row>
    <row r="1659" customFormat="false" ht="15" hidden="false" customHeight="false" outlineLevel="0" collapsed="false">
      <c r="E1659" s="0" t="str">
        <f aca="false">IF(B1659="","",LOWER(B1659)&amp;"|"&amp;C1659)</f>
        <v/>
      </c>
    </row>
    <row r="1660" customFormat="false" ht="15" hidden="false" customHeight="false" outlineLevel="0" collapsed="false">
      <c r="E1660" s="0" t="str">
        <f aca="false">IF(B1660="","",LOWER(B1660)&amp;"|"&amp;C1660)</f>
        <v/>
      </c>
    </row>
    <row r="1661" customFormat="false" ht="15" hidden="false" customHeight="false" outlineLevel="0" collapsed="false">
      <c r="E1661" s="0" t="str">
        <f aca="false">IF(B1661="","",LOWER(B1661)&amp;"|"&amp;C1661)</f>
        <v/>
      </c>
    </row>
    <row r="1662" customFormat="false" ht="15" hidden="false" customHeight="false" outlineLevel="0" collapsed="false">
      <c r="E1662" s="0" t="str">
        <f aca="false">IF(B1662="","",LOWER(B1662)&amp;"|"&amp;C1662)</f>
        <v/>
      </c>
    </row>
    <row r="1663" customFormat="false" ht="15" hidden="false" customHeight="false" outlineLevel="0" collapsed="false">
      <c r="E1663" s="0" t="str">
        <f aca="false">IF(B1663="","",LOWER(B1663)&amp;"|"&amp;C1663)</f>
        <v/>
      </c>
    </row>
    <row r="1664" customFormat="false" ht="15" hidden="false" customHeight="false" outlineLevel="0" collapsed="false">
      <c r="E1664" s="0" t="str">
        <f aca="false">IF(B1664="","",LOWER(B1664)&amp;"|"&amp;C1664)</f>
        <v/>
      </c>
    </row>
    <row r="1665" customFormat="false" ht="15" hidden="false" customHeight="false" outlineLevel="0" collapsed="false">
      <c r="E1665" s="0" t="str">
        <f aca="false">IF(B1665="","",LOWER(B1665)&amp;"|"&amp;C1665)</f>
        <v/>
      </c>
    </row>
    <row r="1666" customFormat="false" ht="15" hidden="false" customHeight="false" outlineLevel="0" collapsed="false">
      <c r="E1666" s="0" t="str">
        <f aca="false">IF(B1666="","",LOWER(B1666)&amp;"|"&amp;C1666)</f>
        <v/>
      </c>
    </row>
    <row r="1667" customFormat="false" ht="15" hidden="false" customHeight="false" outlineLevel="0" collapsed="false">
      <c r="E1667" s="0" t="str">
        <f aca="false">IF(B1667="","",LOWER(B1667)&amp;"|"&amp;C1667)</f>
        <v/>
      </c>
    </row>
    <row r="1668" customFormat="false" ht="15" hidden="false" customHeight="false" outlineLevel="0" collapsed="false">
      <c r="E1668" s="0" t="str">
        <f aca="false">IF(B1668="","",LOWER(B1668)&amp;"|"&amp;C1668)</f>
        <v/>
      </c>
    </row>
    <row r="1669" customFormat="false" ht="15" hidden="false" customHeight="false" outlineLevel="0" collapsed="false">
      <c r="E1669" s="0" t="str">
        <f aca="false">IF(B1669="","",LOWER(B1669)&amp;"|"&amp;C1669)</f>
        <v/>
      </c>
    </row>
    <row r="1670" customFormat="false" ht="15" hidden="false" customHeight="false" outlineLevel="0" collapsed="false">
      <c r="E1670" s="0" t="str">
        <f aca="false">IF(B1670="","",LOWER(B1670)&amp;"|"&amp;C1670)</f>
        <v/>
      </c>
    </row>
    <row r="1671" customFormat="false" ht="15" hidden="false" customHeight="false" outlineLevel="0" collapsed="false">
      <c r="E1671" s="0" t="str">
        <f aca="false">IF(B1671="","",LOWER(B1671)&amp;"|"&amp;C1671)</f>
        <v/>
      </c>
    </row>
    <row r="1672" customFormat="false" ht="15" hidden="false" customHeight="false" outlineLevel="0" collapsed="false">
      <c r="E1672" s="0" t="str">
        <f aca="false">IF(B1672="","",LOWER(B1672)&amp;"|"&amp;C1672)</f>
        <v/>
      </c>
    </row>
    <row r="1673" customFormat="false" ht="15" hidden="false" customHeight="false" outlineLevel="0" collapsed="false">
      <c r="E1673" s="0" t="str">
        <f aca="false">IF(B1673="","",LOWER(B1673)&amp;"|"&amp;C1673)</f>
        <v/>
      </c>
    </row>
    <row r="1674" customFormat="false" ht="15" hidden="false" customHeight="false" outlineLevel="0" collapsed="false">
      <c r="E1674" s="0" t="str">
        <f aca="false">IF(B1674="","",LOWER(B1674)&amp;"|"&amp;C1674)</f>
        <v/>
      </c>
    </row>
    <row r="1675" customFormat="false" ht="15" hidden="false" customHeight="false" outlineLevel="0" collapsed="false">
      <c r="E1675" s="0" t="str">
        <f aca="false">IF(B1675="","",LOWER(B1675)&amp;"|"&amp;C1675)</f>
        <v/>
      </c>
    </row>
    <row r="1676" customFormat="false" ht="15" hidden="false" customHeight="false" outlineLevel="0" collapsed="false">
      <c r="E1676" s="0" t="str">
        <f aca="false">IF(B1676="","",LOWER(B1676)&amp;"|"&amp;C1676)</f>
        <v/>
      </c>
    </row>
    <row r="1677" customFormat="false" ht="15" hidden="false" customHeight="false" outlineLevel="0" collapsed="false">
      <c r="E1677" s="0" t="str">
        <f aca="false">IF(B1677="","",LOWER(B1677)&amp;"|"&amp;C1677)</f>
        <v/>
      </c>
    </row>
    <row r="1678" customFormat="false" ht="15" hidden="false" customHeight="false" outlineLevel="0" collapsed="false">
      <c r="E1678" s="0" t="str">
        <f aca="false">IF(B1678="","",LOWER(B1678)&amp;"|"&amp;C1678)</f>
        <v/>
      </c>
    </row>
    <row r="1679" customFormat="false" ht="15" hidden="false" customHeight="false" outlineLevel="0" collapsed="false">
      <c r="E1679" s="0" t="str">
        <f aca="false">IF(B1679="","",LOWER(B1679)&amp;"|"&amp;C1679)</f>
        <v/>
      </c>
    </row>
    <row r="1680" customFormat="false" ht="15" hidden="false" customHeight="false" outlineLevel="0" collapsed="false">
      <c r="E1680" s="0" t="str">
        <f aca="false">IF(B1680="","",LOWER(B1680)&amp;"|"&amp;C1680)</f>
        <v/>
      </c>
    </row>
    <row r="1681" customFormat="false" ht="15" hidden="false" customHeight="false" outlineLevel="0" collapsed="false">
      <c r="E1681" s="0" t="str">
        <f aca="false">IF(B1681="","",LOWER(B1681)&amp;"|"&amp;C1681)</f>
        <v/>
      </c>
    </row>
    <row r="1682" customFormat="false" ht="15" hidden="false" customHeight="false" outlineLevel="0" collapsed="false">
      <c r="E1682" s="0" t="str">
        <f aca="false">IF(B1682="","",LOWER(B1682)&amp;"|"&amp;C1682)</f>
        <v/>
      </c>
    </row>
    <row r="1683" customFormat="false" ht="15" hidden="false" customHeight="false" outlineLevel="0" collapsed="false">
      <c r="E1683" s="0" t="str">
        <f aca="false">IF(B1683="","",LOWER(B1683)&amp;"|"&amp;C1683)</f>
        <v/>
      </c>
    </row>
    <row r="1684" customFormat="false" ht="15" hidden="false" customHeight="false" outlineLevel="0" collapsed="false">
      <c r="E1684" s="0" t="str">
        <f aca="false">IF(B1684="","",LOWER(B1684)&amp;"|"&amp;C1684)</f>
        <v/>
      </c>
    </row>
    <row r="1685" customFormat="false" ht="15" hidden="false" customHeight="false" outlineLevel="0" collapsed="false">
      <c r="E1685" s="0" t="str">
        <f aca="false">IF(B1685="","",LOWER(B1685)&amp;"|"&amp;C1685)</f>
        <v/>
      </c>
    </row>
    <row r="1686" customFormat="false" ht="15" hidden="false" customHeight="false" outlineLevel="0" collapsed="false">
      <c r="E1686" s="0" t="str">
        <f aca="false">IF(B1686="","",LOWER(B1686)&amp;"|"&amp;C1686)</f>
        <v/>
      </c>
    </row>
    <row r="1687" customFormat="false" ht="15" hidden="false" customHeight="false" outlineLevel="0" collapsed="false">
      <c r="E1687" s="0" t="str">
        <f aca="false">IF(B1687="","",LOWER(B1687)&amp;"|"&amp;C1687)</f>
        <v/>
      </c>
    </row>
    <row r="1688" customFormat="false" ht="15" hidden="false" customHeight="false" outlineLevel="0" collapsed="false">
      <c r="E1688" s="0" t="str">
        <f aca="false">IF(B1688="","",LOWER(B1688)&amp;"|"&amp;C1688)</f>
        <v/>
      </c>
    </row>
    <row r="1689" customFormat="false" ht="15" hidden="false" customHeight="false" outlineLevel="0" collapsed="false">
      <c r="E1689" s="0" t="str">
        <f aca="false">IF(B1689="","",LOWER(B1689)&amp;"|"&amp;C1689)</f>
        <v/>
      </c>
    </row>
    <row r="1690" customFormat="false" ht="15" hidden="false" customHeight="false" outlineLevel="0" collapsed="false">
      <c r="E1690" s="0" t="str">
        <f aca="false">IF(B1690="","",LOWER(B1690)&amp;"|"&amp;C1690)</f>
        <v/>
      </c>
    </row>
    <row r="1691" customFormat="false" ht="15" hidden="false" customHeight="false" outlineLevel="0" collapsed="false">
      <c r="E1691" s="0" t="str">
        <f aca="false">IF(B1691="","",LOWER(B1691)&amp;"|"&amp;C1691)</f>
        <v/>
      </c>
    </row>
    <row r="1692" customFormat="false" ht="15" hidden="false" customHeight="false" outlineLevel="0" collapsed="false">
      <c r="E1692" s="0" t="str">
        <f aca="false">IF(B1692="","",LOWER(B1692)&amp;"|"&amp;C1692)</f>
        <v/>
      </c>
    </row>
    <row r="1693" customFormat="false" ht="15" hidden="false" customHeight="false" outlineLevel="0" collapsed="false">
      <c r="E1693" s="0" t="str">
        <f aca="false">IF(B1693="","",LOWER(B1693)&amp;"|"&amp;C1693)</f>
        <v/>
      </c>
    </row>
    <row r="1694" customFormat="false" ht="15" hidden="false" customHeight="false" outlineLevel="0" collapsed="false">
      <c r="E1694" s="0" t="str">
        <f aca="false">IF(B1694="","",LOWER(B1694)&amp;"|"&amp;C1694)</f>
        <v/>
      </c>
    </row>
    <row r="1695" customFormat="false" ht="15" hidden="false" customHeight="false" outlineLevel="0" collapsed="false">
      <c r="E1695" s="0" t="str">
        <f aca="false">IF(B1695="","",LOWER(B1695)&amp;"|"&amp;C1695)</f>
        <v/>
      </c>
    </row>
    <row r="1696" customFormat="false" ht="15" hidden="false" customHeight="false" outlineLevel="0" collapsed="false">
      <c r="E1696" s="0" t="str">
        <f aca="false">IF(B1696="","",LOWER(B1696)&amp;"|"&amp;C1696)</f>
        <v/>
      </c>
    </row>
    <row r="1697" customFormat="false" ht="15" hidden="false" customHeight="false" outlineLevel="0" collapsed="false">
      <c r="E1697" s="0" t="str">
        <f aca="false">IF(B1697="","",LOWER(B1697)&amp;"|"&amp;C1697)</f>
        <v/>
      </c>
    </row>
    <row r="1698" customFormat="false" ht="15" hidden="false" customHeight="false" outlineLevel="0" collapsed="false">
      <c r="E1698" s="0" t="str">
        <f aca="false">IF(B1698="","",LOWER(B1698)&amp;"|"&amp;C1698)</f>
        <v/>
      </c>
    </row>
    <row r="1699" customFormat="false" ht="15" hidden="false" customHeight="false" outlineLevel="0" collapsed="false">
      <c r="E1699" s="0" t="str">
        <f aca="false">IF(B1699="","",LOWER(B1699)&amp;"|"&amp;C1699)</f>
        <v/>
      </c>
    </row>
    <row r="1700" customFormat="false" ht="15" hidden="false" customHeight="false" outlineLevel="0" collapsed="false">
      <c r="E1700" s="0" t="str">
        <f aca="false">IF(B1700="","",LOWER(B1700)&amp;"|"&amp;C1700)</f>
        <v/>
      </c>
    </row>
    <row r="1701" customFormat="false" ht="15" hidden="false" customHeight="false" outlineLevel="0" collapsed="false">
      <c r="E1701" s="0" t="str">
        <f aca="false">IF(B1701="","",LOWER(B1701)&amp;"|"&amp;C1701)</f>
        <v/>
      </c>
    </row>
    <row r="1702" customFormat="false" ht="15" hidden="false" customHeight="false" outlineLevel="0" collapsed="false">
      <c r="E1702" s="0" t="str">
        <f aca="false">IF(B1702="","",LOWER(B1702)&amp;"|"&amp;C1702)</f>
        <v/>
      </c>
    </row>
    <row r="1703" customFormat="false" ht="15" hidden="false" customHeight="false" outlineLevel="0" collapsed="false">
      <c r="E1703" s="0" t="str">
        <f aca="false">IF(B1703="","",LOWER(B1703)&amp;"|"&amp;C1703)</f>
        <v/>
      </c>
    </row>
    <row r="1704" customFormat="false" ht="15" hidden="false" customHeight="false" outlineLevel="0" collapsed="false">
      <c r="E1704" s="0" t="str">
        <f aca="false">IF(B1704="","",LOWER(B1704)&amp;"|"&amp;C1704)</f>
        <v/>
      </c>
    </row>
    <row r="1705" customFormat="false" ht="15" hidden="false" customHeight="false" outlineLevel="0" collapsed="false">
      <c r="E1705" s="0" t="str">
        <f aca="false">IF(B1705="","",LOWER(B1705)&amp;"|"&amp;C1705)</f>
        <v/>
      </c>
    </row>
    <row r="1706" customFormat="false" ht="15" hidden="false" customHeight="false" outlineLevel="0" collapsed="false">
      <c r="E1706" s="0" t="str">
        <f aca="false">IF(B1706="","",LOWER(B1706)&amp;"|"&amp;C1706)</f>
        <v/>
      </c>
    </row>
    <row r="1707" customFormat="false" ht="15" hidden="false" customHeight="false" outlineLevel="0" collapsed="false">
      <c r="E1707" s="0" t="str">
        <f aca="false">IF(B1707="","",LOWER(B1707)&amp;"|"&amp;C1707)</f>
        <v/>
      </c>
    </row>
    <row r="1708" customFormat="false" ht="15" hidden="false" customHeight="false" outlineLevel="0" collapsed="false">
      <c r="E1708" s="0" t="str">
        <f aca="false">IF(B1708="","",LOWER(B1708)&amp;"|"&amp;C1708)</f>
        <v/>
      </c>
    </row>
    <row r="1709" customFormat="false" ht="15" hidden="false" customHeight="false" outlineLevel="0" collapsed="false">
      <c r="E1709" s="0" t="str">
        <f aca="false">IF(B1709="","",LOWER(B1709)&amp;"|"&amp;C1709)</f>
        <v/>
      </c>
    </row>
    <row r="1710" customFormat="false" ht="15" hidden="false" customHeight="false" outlineLevel="0" collapsed="false">
      <c r="E1710" s="0" t="str">
        <f aca="false">IF(B1710="","",LOWER(B1710)&amp;"|"&amp;C1710)</f>
        <v/>
      </c>
    </row>
    <row r="1711" customFormat="false" ht="15" hidden="false" customHeight="false" outlineLevel="0" collapsed="false">
      <c r="E1711" s="0" t="str">
        <f aca="false">IF(B1711="","",LOWER(B1711)&amp;"|"&amp;C1711)</f>
        <v/>
      </c>
    </row>
    <row r="1712" customFormat="false" ht="15" hidden="false" customHeight="false" outlineLevel="0" collapsed="false">
      <c r="E1712" s="0" t="str">
        <f aca="false">IF(B1712="","",LOWER(B1712)&amp;"|"&amp;C1712)</f>
        <v/>
      </c>
    </row>
    <row r="1713" customFormat="false" ht="15" hidden="false" customHeight="false" outlineLevel="0" collapsed="false">
      <c r="E1713" s="0" t="str">
        <f aca="false">IF(B1713="","",LOWER(B1713)&amp;"|"&amp;C1713)</f>
        <v/>
      </c>
    </row>
    <row r="1714" customFormat="false" ht="15" hidden="false" customHeight="false" outlineLevel="0" collapsed="false">
      <c r="E1714" s="0" t="str">
        <f aca="false">IF(B1714="","",LOWER(B1714)&amp;"|"&amp;C1714)</f>
        <v/>
      </c>
    </row>
    <row r="1715" customFormat="false" ht="15" hidden="false" customHeight="false" outlineLevel="0" collapsed="false">
      <c r="E1715" s="0" t="str">
        <f aca="false">IF(B1715="","",LOWER(B1715)&amp;"|"&amp;C1715)</f>
        <v/>
      </c>
    </row>
    <row r="1716" customFormat="false" ht="15" hidden="false" customHeight="false" outlineLevel="0" collapsed="false">
      <c r="E1716" s="0" t="str">
        <f aca="false">IF(B1716="","",LOWER(B1716)&amp;"|"&amp;C1716)</f>
        <v/>
      </c>
    </row>
    <row r="1717" customFormat="false" ht="15" hidden="false" customHeight="false" outlineLevel="0" collapsed="false">
      <c r="E1717" s="0" t="str">
        <f aca="false">IF(B1717="","",LOWER(B1717)&amp;"|"&amp;C1717)</f>
        <v/>
      </c>
    </row>
    <row r="1718" customFormat="false" ht="15" hidden="false" customHeight="false" outlineLevel="0" collapsed="false">
      <c r="E1718" s="0" t="str">
        <f aca="false">IF(B1718="","",LOWER(B1718)&amp;"|"&amp;C1718)</f>
        <v/>
      </c>
    </row>
    <row r="1719" customFormat="false" ht="15" hidden="false" customHeight="false" outlineLevel="0" collapsed="false">
      <c r="E1719" s="0" t="str">
        <f aca="false">IF(B1719="","",LOWER(B1719)&amp;"|"&amp;C1719)</f>
        <v/>
      </c>
    </row>
    <row r="1720" customFormat="false" ht="15" hidden="false" customHeight="false" outlineLevel="0" collapsed="false">
      <c r="E1720" s="0" t="str">
        <f aca="false">IF(B1720="","",LOWER(B1720)&amp;"|"&amp;C1720)</f>
        <v/>
      </c>
    </row>
    <row r="1721" customFormat="false" ht="15" hidden="false" customHeight="false" outlineLevel="0" collapsed="false">
      <c r="E1721" s="0" t="str">
        <f aca="false">IF(B1721="","",LOWER(B1721)&amp;"|"&amp;C1721)</f>
        <v/>
      </c>
    </row>
    <row r="1722" customFormat="false" ht="15" hidden="false" customHeight="false" outlineLevel="0" collapsed="false">
      <c r="E1722" s="0" t="str">
        <f aca="false">IF(B1722="","",LOWER(B1722)&amp;"|"&amp;C1722)</f>
        <v/>
      </c>
    </row>
    <row r="1723" customFormat="false" ht="15" hidden="false" customHeight="false" outlineLevel="0" collapsed="false">
      <c r="E1723" s="0" t="str">
        <f aca="false">IF(B1723="","",LOWER(B1723)&amp;"|"&amp;C1723)</f>
        <v/>
      </c>
    </row>
    <row r="1724" customFormat="false" ht="15" hidden="false" customHeight="false" outlineLevel="0" collapsed="false">
      <c r="E1724" s="0" t="str">
        <f aca="false">IF(B1724="","",LOWER(B1724)&amp;"|"&amp;C1724)</f>
        <v/>
      </c>
    </row>
    <row r="1725" customFormat="false" ht="15" hidden="false" customHeight="false" outlineLevel="0" collapsed="false">
      <c r="E1725" s="0" t="str">
        <f aca="false">IF(B1725="","",LOWER(B1725)&amp;"|"&amp;C1725)</f>
        <v/>
      </c>
    </row>
    <row r="1726" customFormat="false" ht="15" hidden="false" customHeight="false" outlineLevel="0" collapsed="false">
      <c r="E1726" s="0" t="str">
        <f aca="false">IF(B1726="","",LOWER(B1726)&amp;"|"&amp;C1726)</f>
        <v/>
      </c>
    </row>
    <row r="1727" customFormat="false" ht="15" hidden="false" customHeight="false" outlineLevel="0" collapsed="false">
      <c r="E1727" s="0" t="str">
        <f aca="false">IF(B1727="","",LOWER(B1727)&amp;"|"&amp;C1727)</f>
        <v/>
      </c>
    </row>
    <row r="1728" customFormat="false" ht="15" hidden="false" customHeight="false" outlineLevel="0" collapsed="false">
      <c r="E1728" s="0" t="str">
        <f aca="false">IF(B1728="","",LOWER(B1728)&amp;"|"&amp;C1728)</f>
        <v/>
      </c>
    </row>
    <row r="1729" customFormat="false" ht="15" hidden="false" customHeight="false" outlineLevel="0" collapsed="false">
      <c r="E1729" s="0" t="str">
        <f aca="false">IF(B1729="","",LOWER(B1729)&amp;"|"&amp;C1729)</f>
        <v/>
      </c>
    </row>
    <row r="1730" customFormat="false" ht="15" hidden="false" customHeight="false" outlineLevel="0" collapsed="false">
      <c r="E1730" s="0" t="str">
        <f aca="false">IF(B1730="","",LOWER(B1730)&amp;"|"&amp;C1730)</f>
        <v/>
      </c>
    </row>
    <row r="1731" customFormat="false" ht="15" hidden="false" customHeight="false" outlineLevel="0" collapsed="false">
      <c r="E1731" s="0" t="str">
        <f aca="false">IF(B1731="","",LOWER(B1731)&amp;"|"&amp;C1731)</f>
        <v/>
      </c>
    </row>
    <row r="1732" customFormat="false" ht="15" hidden="false" customHeight="false" outlineLevel="0" collapsed="false">
      <c r="E1732" s="0" t="str">
        <f aca="false">IF(B1732="","",LOWER(B1732)&amp;"|"&amp;C1732)</f>
        <v/>
      </c>
    </row>
    <row r="1733" customFormat="false" ht="15" hidden="false" customHeight="false" outlineLevel="0" collapsed="false">
      <c r="E1733" s="0" t="str">
        <f aca="false">IF(B1733="","",LOWER(B1733)&amp;"|"&amp;C1733)</f>
        <v/>
      </c>
    </row>
    <row r="1734" customFormat="false" ht="15" hidden="false" customHeight="false" outlineLevel="0" collapsed="false">
      <c r="E1734" s="0" t="str">
        <f aca="false">IF(B1734="","",LOWER(B1734)&amp;"|"&amp;C1734)</f>
        <v/>
      </c>
    </row>
    <row r="1735" customFormat="false" ht="15" hidden="false" customHeight="false" outlineLevel="0" collapsed="false">
      <c r="E1735" s="0" t="str">
        <f aca="false">IF(B1735="","",LOWER(B1735)&amp;"|"&amp;C1735)</f>
        <v/>
      </c>
    </row>
    <row r="1736" customFormat="false" ht="15" hidden="false" customHeight="false" outlineLevel="0" collapsed="false">
      <c r="E1736" s="0" t="str">
        <f aca="false">IF(B1736="","",LOWER(B1736)&amp;"|"&amp;C1736)</f>
        <v/>
      </c>
    </row>
    <row r="1737" customFormat="false" ht="15" hidden="false" customHeight="false" outlineLevel="0" collapsed="false">
      <c r="E1737" s="0" t="str">
        <f aca="false">IF(B1737="","",LOWER(B1737)&amp;"|"&amp;C1737)</f>
        <v/>
      </c>
    </row>
    <row r="1738" customFormat="false" ht="15" hidden="false" customHeight="false" outlineLevel="0" collapsed="false">
      <c r="E1738" s="0" t="str">
        <f aca="false">IF(B1738="","",LOWER(B1738)&amp;"|"&amp;C1738)</f>
        <v/>
      </c>
    </row>
    <row r="1739" customFormat="false" ht="15" hidden="false" customHeight="false" outlineLevel="0" collapsed="false">
      <c r="E1739" s="0" t="str">
        <f aca="false">IF(B1739="","",LOWER(B1739)&amp;"|"&amp;C1739)</f>
        <v/>
      </c>
    </row>
    <row r="1740" customFormat="false" ht="15" hidden="false" customHeight="false" outlineLevel="0" collapsed="false">
      <c r="E1740" s="0" t="str">
        <f aca="false">IF(B1740="","",LOWER(B1740)&amp;"|"&amp;C1740)</f>
        <v/>
      </c>
    </row>
    <row r="1741" customFormat="false" ht="15" hidden="false" customHeight="false" outlineLevel="0" collapsed="false">
      <c r="E1741" s="0" t="str">
        <f aca="false">IF(B1741="","",LOWER(B1741)&amp;"|"&amp;C1741)</f>
        <v/>
      </c>
    </row>
    <row r="1742" customFormat="false" ht="15" hidden="false" customHeight="false" outlineLevel="0" collapsed="false">
      <c r="E1742" s="0" t="str">
        <f aca="false">IF(B1742="","",LOWER(B1742)&amp;"|"&amp;C1742)</f>
        <v/>
      </c>
    </row>
    <row r="1743" customFormat="false" ht="15" hidden="false" customHeight="false" outlineLevel="0" collapsed="false">
      <c r="E1743" s="0" t="str">
        <f aca="false">IF(B1743="","",LOWER(B1743)&amp;"|"&amp;C1743)</f>
        <v/>
      </c>
    </row>
    <row r="1744" customFormat="false" ht="15" hidden="false" customHeight="false" outlineLevel="0" collapsed="false">
      <c r="E1744" s="0" t="str">
        <f aca="false">IF(B1744="","",LOWER(B1744)&amp;"|"&amp;C1744)</f>
        <v/>
      </c>
    </row>
    <row r="1745" customFormat="false" ht="15" hidden="false" customHeight="false" outlineLevel="0" collapsed="false">
      <c r="E1745" s="0" t="str">
        <f aca="false">IF(B1745="","",LOWER(B1745)&amp;"|"&amp;C1745)</f>
        <v/>
      </c>
    </row>
    <row r="1746" customFormat="false" ht="15" hidden="false" customHeight="false" outlineLevel="0" collapsed="false">
      <c r="E1746" s="0" t="str">
        <f aca="false">IF(B1746="","",LOWER(B1746)&amp;"|"&amp;C1746)</f>
        <v/>
      </c>
    </row>
    <row r="1747" customFormat="false" ht="15" hidden="false" customHeight="false" outlineLevel="0" collapsed="false">
      <c r="E1747" s="0" t="str">
        <f aca="false">IF(B1747="","",LOWER(B1747)&amp;"|"&amp;C1747)</f>
        <v/>
      </c>
    </row>
    <row r="1748" customFormat="false" ht="15" hidden="false" customHeight="false" outlineLevel="0" collapsed="false">
      <c r="E1748" s="0" t="str">
        <f aca="false">IF(B1748="","",LOWER(B1748)&amp;"|"&amp;C1748)</f>
        <v/>
      </c>
    </row>
    <row r="1749" customFormat="false" ht="15" hidden="false" customHeight="false" outlineLevel="0" collapsed="false">
      <c r="E1749" s="0" t="str">
        <f aca="false">IF(B1749="","",LOWER(B1749)&amp;"|"&amp;C1749)</f>
        <v/>
      </c>
    </row>
    <row r="1750" customFormat="false" ht="15" hidden="false" customHeight="false" outlineLevel="0" collapsed="false">
      <c r="E1750" s="0" t="str">
        <f aca="false">IF(B1750="","",LOWER(B1750)&amp;"|"&amp;C1750)</f>
        <v/>
      </c>
    </row>
    <row r="1751" customFormat="false" ht="15" hidden="false" customHeight="false" outlineLevel="0" collapsed="false">
      <c r="E1751" s="0" t="str">
        <f aca="false">IF(B1751="","",LOWER(B1751)&amp;"|"&amp;C1751)</f>
        <v/>
      </c>
    </row>
    <row r="1752" customFormat="false" ht="15" hidden="false" customHeight="false" outlineLevel="0" collapsed="false">
      <c r="E1752" s="0" t="str">
        <f aca="false">IF(B1752="","",LOWER(B1752)&amp;"|"&amp;C1752)</f>
        <v/>
      </c>
    </row>
    <row r="1753" customFormat="false" ht="15" hidden="false" customHeight="false" outlineLevel="0" collapsed="false">
      <c r="E1753" s="0" t="str">
        <f aca="false">IF(B1753="","",LOWER(B1753)&amp;"|"&amp;C1753)</f>
        <v/>
      </c>
    </row>
    <row r="1754" customFormat="false" ht="15" hidden="false" customHeight="false" outlineLevel="0" collapsed="false">
      <c r="E1754" s="0" t="str">
        <f aca="false">IF(B1754="","",LOWER(B1754)&amp;"|"&amp;C1754)</f>
        <v/>
      </c>
    </row>
    <row r="1755" customFormat="false" ht="15" hidden="false" customHeight="false" outlineLevel="0" collapsed="false">
      <c r="E1755" s="0" t="str">
        <f aca="false">IF(B1755="","",LOWER(B1755)&amp;"|"&amp;C1755)</f>
        <v/>
      </c>
    </row>
    <row r="1756" customFormat="false" ht="15" hidden="false" customHeight="false" outlineLevel="0" collapsed="false">
      <c r="E1756" s="0" t="str">
        <f aca="false">IF(B1756="","",LOWER(B1756)&amp;"|"&amp;C1756)</f>
        <v/>
      </c>
    </row>
    <row r="1757" customFormat="false" ht="15" hidden="false" customHeight="false" outlineLevel="0" collapsed="false">
      <c r="E1757" s="0" t="str">
        <f aca="false">IF(B1757="","",LOWER(B1757)&amp;"|"&amp;C1757)</f>
        <v/>
      </c>
    </row>
    <row r="1758" customFormat="false" ht="15" hidden="false" customHeight="false" outlineLevel="0" collapsed="false">
      <c r="E1758" s="0" t="str">
        <f aca="false">IF(B1758="","",LOWER(B1758)&amp;"|"&amp;C1758)</f>
        <v/>
      </c>
    </row>
    <row r="1759" customFormat="false" ht="15" hidden="false" customHeight="false" outlineLevel="0" collapsed="false">
      <c r="E1759" s="0" t="str">
        <f aca="false">IF(B1759="","",LOWER(B1759)&amp;"|"&amp;C1759)</f>
        <v/>
      </c>
    </row>
    <row r="1760" customFormat="false" ht="15" hidden="false" customHeight="false" outlineLevel="0" collapsed="false">
      <c r="E1760" s="0" t="str">
        <f aca="false">IF(B1760="","",LOWER(B1760)&amp;"|"&amp;C1760)</f>
        <v/>
      </c>
    </row>
    <row r="1761" customFormat="false" ht="15" hidden="false" customHeight="false" outlineLevel="0" collapsed="false">
      <c r="E1761" s="0" t="str">
        <f aca="false">IF(B1761="","",LOWER(B1761)&amp;"|"&amp;C1761)</f>
        <v/>
      </c>
    </row>
    <row r="1762" customFormat="false" ht="15" hidden="false" customHeight="false" outlineLevel="0" collapsed="false">
      <c r="E1762" s="0" t="str">
        <f aca="false">IF(B1762="","",LOWER(B1762)&amp;"|"&amp;C1762)</f>
        <v/>
      </c>
    </row>
    <row r="1763" customFormat="false" ht="15" hidden="false" customHeight="false" outlineLevel="0" collapsed="false">
      <c r="E1763" s="0" t="str">
        <f aca="false">IF(B1763="","",LOWER(B1763)&amp;"|"&amp;C1763)</f>
        <v/>
      </c>
    </row>
    <row r="1764" customFormat="false" ht="15" hidden="false" customHeight="false" outlineLevel="0" collapsed="false">
      <c r="E1764" s="0" t="str">
        <f aca="false">IF(B1764="","",LOWER(B1764)&amp;"|"&amp;C1764)</f>
        <v/>
      </c>
    </row>
    <row r="1765" customFormat="false" ht="15" hidden="false" customHeight="false" outlineLevel="0" collapsed="false">
      <c r="E1765" s="0" t="str">
        <f aca="false">IF(B1765="","",LOWER(B1765)&amp;"|"&amp;C1765)</f>
        <v/>
      </c>
    </row>
    <row r="1766" customFormat="false" ht="15" hidden="false" customHeight="false" outlineLevel="0" collapsed="false">
      <c r="E1766" s="0" t="str">
        <f aca="false">IF(B1766="","",LOWER(B1766)&amp;"|"&amp;C1766)</f>
        <v/>
      </c>
    </row>
    <row r="1767" customFormat="false" ht="15" hidden="false" customHeight="false" outlineLevel="0" collapsed="false">
      <c r="E1767" s="0" t="str">
        <f aca="false">IF(B1767="","",LOWER(B1767)&amp;"|"&amp;C1767)</f>
        <v/>
      </c>
    </row>
    <row r="1768" customFormat="false" ht="15" hidden="false" customHeight="false" outlineLevel="0" collapsed="false">
      <c r="E1768" s="0" t="str">
        <f aca="false">IF(B1768="","",LOWER(B1768)&amp;"|"&amp;C1768)</f>
        <v/>
      </c>
    </row>
    <row r="1769" customFormat="false" ht="15" hidden="false" customHeight="false" outlineLevel="0" collapsed="false">
      <c r="E1769" s="0" t="str">
        <f aca="false">IF(B1769="","",LOWER(B1769)&amp;"|"&amp;C1769)</f>
        <v/>
      </c>
    </row>
    <row r="1770" customFormat="false" ht="15" hidden="false" customHeight="false" outlineLevel="0" collapsed="false">
      <c r="E1770" s="0" t="str">
        <f aca="false">IF(B1770="","",LOWER(B1770)&amp;"|"&amp;C1770)</f>
        <v/>
      </c>
    </row>
    <row r="1771" customFormat="false" ht="15" hidden="false" customHeight="false" outlineLevel="0" collapsed="false">
      <c r="E1771" s="0" t="str">
        <f aca="false">IF(B1771="","",LOWER(B1771)&amp;"|"&amp;C1771)</f>
        <v/>
      </c>
    </row>
    <row r="1772" customFormat="false" ht="15" hidden="false" customHeight="false" outlineLevel="0" collapsed="false">
      <c r="E1772" s="0" t="str">
        <f aca="false">IF(B1772="","",LOWER(B1772)&amp;"|"&amp;C1772)</f>
        <v/>
      </c>
    </row>
    <row r="1773" customFormat="false" ht="15" hidden="false" customHeight="false" outlineLevel="0" collapsed="false">
      <c r="E1773" s="0" t="str">
        <f aca="false">IF(B1773="","",LOWER(B1773)&amp;"|"&amp;C1773)</f>
        <v/>
      </c>
    </row>
    <row r="1774" customFormat="false" ht="15" hidden="false" customHeight="false" outlineLevel="0" collapsed="false">
      <c r="E1774" s="0" t="str">
        <f aca="false">IF(B1774="","",LOWER(B1774)&amp;"|"&amp;C1774)</f>
        <v/>
      </c>
    </row>
    <row r="1775" customFormat="false" ht="15" hidden="false" customHeight="false" outlineLevel="0" collapsed="false">
      <c r="E1775" s="0" t="str">
        <f aca="false">IF(B1775="","",LOWER(B1775)&amp;"|"&amp;C1775)</f>
        <v/>
      </c>
    </row>
    <row r="1776" customFormat="false" ht="15" hidden="false" customHeight="false" outlineLevel="0" collapsed="false">
      <c r="E1776" s="0" t="str">
        <f aca="false">IF(B1776="","",LOWER(B1776)&amp;"|"&amp;C1776)</f>
        <v/>
      </c>
    </row>
    <row r="1777" customFormat="false" ht="15" hidden="false" customHeight="false" outlineLevel="0" collapsed="false">
      <c r="E1777" s="0" t="str">
        <f aca="false">IF(B1777="","",LOWER(B1777)&amp;"|"&amp;C1777)</f>
        <v/>
      </c>
    </row>
    <row r="1778" customFormat="false" ht="15" hidden="false" customHeight="false" outlineLevel="0" collapsed="false">
      <c r="E1778" s="0" t="str">
        <f aca="false">IF(B1778="","",LOWER(B1778)&amp;"|"&amp;C1778)</f>
        <v/>
      </c>
    </row>
    <row r="1779" customFormat="false" ht="15" hidden="false" customHeight="false" outlineLevel="0" collapsed="false">
      <c r="E1779" s="0" t="str">
        <f aca="false">IF(B1779="","",LOWER(B1779)&amp;"|"&amp;C1779)</f>
        <v/>
      </c>
    </row>
    <row r="1780" customFormat="false" ht="15" hidden="false" customHeight="false" outlineLevel="0" collapsed="false">
      <c r="E1780" s="0" t="str">
        <f aca="false">IF(B1780="","",LOWER(B1780)&amp;"|"&amp;C1780)</f>
        <v/>
      </c>
    </row>
    <row r="1781" customFormat="false" ht="15" hidden="false" customHeight="false" outlineLevel="0" collapsed="false">
      <c r="E1781" s="0" t="str">
        <f aca="false">IF(B1781="","",LOWER(B1781)&amp;"|"&amp;C1781)</f>
        <v/>
      </c>
    </row>
    <row r="1782" customFormat="false" ht="15" hidden="false" customHeight="false" outlineLevel="0" collapsed="false">
      <c r="E1782" s="0" t="str">
        <f aca="false">IF(B1782="","",LOWER(B1782)&amp;"|"&amp;C1782)</f>
        <v/>
      </c>
    </row>
    <row r="1783" customFormat="false" ht="15" hidden="false" customHeight="false" outlineLevel="0" collapsed="false">
      <c r="E1783" s="0" t="str">
        <f aca="false">IF(B1783="","",LOWER(B1783)&amp;"|"&amp;C1783)</f>
        <v/>
      </c>
    </row>
    <row r="1784" customFormat="false" ht="15" hidden="false" customHeight="false" outlineLevel="0" collapsed="false">
      <c r="E1784" s="0" t="str">
        <f aca="false">IF(B1784="","",LOWER(B1784)&amp;"|"&amp;C1784)</f>
        <v/>
      </c>
    </row>
    <row r="1785" customFormat="false" ht="15" hidden="false" customHeight="false" outlineLevel="0" collapsed="false">
      <c r="E1785" s="0" t="str">
        <f aca="false">IF(B1785="","",LOWER(B1785)&amp;"|"&amp;C1785)</f>
        <v/>
      </c>
    </row>
    <row r="1786" customFormat="false" ht="15" hidden="false" customHeight="false" outlineLevel="0" collapsed="false">
      <c r="E1786" s="0" t="str">
        <f aca="false">IF(B1786="","",LOWER(B1786)&amp;"|"&amp;C1786)</f>
        <v/>
      </c>
    </row>
    <row r="1787" customFormat="false" ht="15" hidden="false" customHeight="false" outlineLevel="0" collapsed="false">
      <c r="E1787" s="0" t="str">
        <f aca="false">IF(B1787="","",LOWER(B1787)&amp;"|"&amp;C1787)</f>
        <v/>
      </c>
    </row>
    <row r="1788" customFormat="false" ht="15" hidden="false" customHeight="false" outlineLevel="0" collapsed="false">
      <c r="E1788" s="0" t="str">
        <f aca="false">IF(B1788="","",LOWER(B1788)&amp;"|"&amp;C1788)</f>
        <v/>
      </c>
    </row>
    <row r="1789" customFormat="false" ht="15" hidden="false" customHeight="false" outlineLevel="0" collapsed="false">
      <c r="E1789" s="0" t="str">
        <f aca="false">IF(B1789="","",LOWER(B1789)&amp;"|"&amp;C1789)</f>
        <v/>
      </c>
    </row>
    <row r="1790" customFormat="false" ht="15" hidden="false" customHeight="false" outlineLevel="0" collapsed="false">
      <c r="E1790" s="0" t="str">
        <f aca="false">IF(B1790="","",LOWER(B1790)&amp;"|"&amp;C1790)</f>
        <v/>
      </c>
    </row>
    <row r="1791" customFormat="false" ht="15" hidden="false" customHeight="false" outlineLevel="0" collapsed="false">
      <c r="E1791" s="0" t="str">
        <f aca="false">IF(B1791="","",LOWER(B1791)&amp;"|"&amp;C1791)</f>
        <v/>
      </c>
    </row>
    <row r="1792" customFormat="false" ht="15" hidden="false" customHeight="false" outlineLevel="0" collapsed="false">
      <c r="E1792" s="0" t="str">
        <f aca="false">IF(B1792="","",LOWER(B1792)&amp;"|"&amp;C1792)</f>
        <v/>
      </c>
    </row>
    <row r="1793" customFormat="false" ht="15" hidden="false" customHeight="false" outlineLevel="0" collapsed="false">
      <c r="E1793" s="0" t="str">
        <f aca="false">IF(B1793="","",LOWER(B1793)&amp;"|"&amp;C1793)</f>
        <v/>
      </c>
    </row>
    <row r="1794" customFormat="false" ht="15" hidden="false" customHeight="false" outlineLevel="0" collapsed="false">
      <c r="E1794" s="0" t="str">
        <f aca="false">IF(B1794="","",LOWER(B1794)&amp;"|"&amp;C1794)</f>
        <v/>
      </c>
    </row>
    <row r="1795" customFormat="false" ht="15" hidden="false" customHeight="false" outlineLevel="0" collapsed="false">
      <c r="E1795" s="0" t="str">
        <f aca="false">IF(B1795="","",LOWER(B1795)&amp;"|"&amp;C1795)</f>
        <v/>
      </c>
    </row>
    <row r="1796" customFormat="false" ht="15" hidden="false" customHeight="false" outlineLevel="0" collapsed="false">
      <c r="E1796" s="0" t="str">
        <f aca="false">IF(B1796="","",LOWER(B1796)&amp;"|"&amp;C1796)</f>
        <v/>
      </c>
    </row>
    <row r="1797" customFormat="false" ht="15" hidden="false" customHeight="false" outlineLevel="0" collapsed="false">
      <c r="E1797" s="0" t="str">
        <f aca="false">IF(B1797="","",LOWER(B1797)&amp;"|"&amp;C1797)</f>
        <v/>
      </c>
    </row>
    <row r="1798" customFormat="false" ht="15" hidden="false" customHeight="false" outlineLevel="0" collapsed="false">
      <c r="E1798" s="0" t="str">
        <f aca="false">IF(B1798="","",LOWER(B1798)&amp;"|"&amp;C1798)</f>
        <v/>
      </c>
    </row>
    <row r="1799" customFormat="false" ht="15" hidden="false" customHeight="false" outlineLevel="0" collapsed="false">
      <c r="E1799" s="0" t="str">
        <f aca="false">IF(B1799="","",LOWER(B1799)&amp;"|"&amp;C1799)</f>
        <v/>
      </c>
    </row>
    <row r="1800" customFormat="false" ht="15" hidden="false" customHeight="false" outlineLevel="0" collapsed="false">
      <c r="E1800" s="0" t="str">
        <f aca="false">IF(B1800="","",LOWER(B1800)&amp;"|"&amp;C1800)</f>
        <v/>
      </c>
    </row>
    <row r="1801" customFormat="false" ht="15" hidden="false" customHeight="false" outlineLevel="0" collapsed="false">
      <c r="E1801" s="0" t="str">
        <f aca="false">IF(B1801="","",LOWER(B1801)&amp;"|"&amp;C1801)</f>
        <v/>
      </c>
    </row>
    <row r="1802" customFormat="false" ht="15" hidden="false" customHeight="false" outlineLevel="0" collapsed="false">
      <c r="E1802" s="0" t="str">
        <f aca="false">IF(B1802="","",LOWER(B1802)&amp;"|"&amp;C1802)</f>
        <v/>
      </c>
    </row>
    <row r="1803" customFormat="false" ht="15" hidden="false" customHeight="false" outlineLevel="0" collapsed="false">
      <c r="E1803" s="0" t="str">
        <f aca="false">IF(B1803="","",LOWER(B1803)&amp;"|"&amp;C1803)</f>
        <v/>
      </c>
    </row>
    <row r="1804" customFormat="false" ht="15" hidden="false" customHeight="false" outlineLevel="0" collapsed="false">
      <c r="E1804" s="0" t="str">
        <f aca="false">IF(B1804="","",LOWER(B1804)&amp;"|"&amp;C1804)</f>
        <v/>
      </c>
    </row>
    <row r="1805" customFormat="false" ht="15" hidden="false" customHeight="false" outlineLevel="0" collapsed="false">
      <c r="E1805" s="0" t="str">
        <f aca="false">IF(B1805="","",LOWER(B1805)&amp;"|"&amp;C1805)</f>
        <v/>
      </c>
    </row>
    <row r="1806" customFormat="false" ht="15" hidden="false" customHeight="false" outlineLevel="0" collapsed="false">
      <c r="E1806" s="0" t="str">
        <f aca="false">IF(B1806="","",LOWER(B1806)&amp;"|"&amp;C1806)</f>
        <v/>
      </c>
    </row>
    <row r="1807" customFormat="false" ht="15" hidden="false" customHeight="false" outlineLevel="0" collapsed="false">
      <c r="E1807" s="0" t="str">
        <f aca="false">IF(B1807="","",LOWER(B1807)&amp;"|"&amp;C1807)</f>
        <v/>
      </c>
    </row>
    <row r="1808" customFormat="false" ht="15" hidden="false" customHeight="false" outlineLevel="0" collapsed="false">
      <c r="E1808" s="0" t="str">
        <f aca="false">IF(B1808="","",LOWER(B1808)&amp;"|"&amp;C1808)</f>
        <v/>
      </c>
    </row>
    <row r="1809" customFormat="false" ht="15" hidden="false" customHeight="false" outlineLevel="0" collapsed="false">
      <c r="E1809" s="0" t="str">
        <f aca="false">IF(B1809="","",LOWER(B1809)&amp;"|"&amp;C1809)</f>
        <v/>
      </c>
    </row>
    <row r="1810" customFormat="false" ht="15" hidden="false" customHeight="false" outlineLevel="0" collapsed="false">
      <c r="E1810" s="0" t="str">
        <f aca="false">IF(B1810="","",LOWER(B1810)&amp;"|"&amp;C1810)</f>
        <v/>
      </c>
    </row>
    <row r="1811" customFormat="false" ht="15" hidden="false" customHeight="false" outlineLevel="0" collapsed="false">
      <c r="E1811" s="0" t="str">
        <f aca="false">IF(B1811="","",LOWER(B1811)&amp;"|"&amp;C1811)</f>
        <v/>
      </c>
    </row>
    <row r="1812" customFormat="false" ht="15" hidden="false" customHeight="false" outlineLevel="0" collapsed="false">
      <c r="E1812" s="0" t="str">
        <f aca="false">IF(B1812="","",LOWER(B1812)&amp;"|"&amp;C1812)</f>
        <v/>
      </c>
    </row>
    <row r="1813" customFormat="false" ht="15" hidden="false" customHeight="false" outlineLevel="0" collapsed="false">
      <c r="E1813" s="0" t="str">
        <f aca="false">IF(B1813="","",LOWER(B1813)&amp;"|"&amp;C1813)</f>
        <v/>
      </c>
    </row>
    <row r="1814" customFormat="false" ht="15" hidden="false" customHeight="false" outlineLevel="0" collapsed="false">
      <c r="E1814" s="0" t="str">
        <f aca="false">IF(B1814="","",LOWER(B1814)&amp;"|"&amp;C1814)</f>
        <v/>
      </c>
    </row>
    <row r="1815" customFormat="false" ht="15" hidden="false" customHeight="false" outlineLevel="0" collapsed="false">
      <c r="E1815" s="0" t="str">
        <f aca="false">IF(B1815="","",LOWER(B1815)&amp;"|"&amp;C1815)</f>
        <v/>
      </c>
    </row>
    <row r="1816" customFormat="false" ht="15" hidden="false" customHeight="false" outlineLevel="0" collapsed="false">
      <c r="E1816" s="0" t="str">
        <f aca="false">IF(B1816="","",LOWER(B1816)&amp;"|"&amp;C1816)</f>
        <v/>
      </c>
    </row>
    <row r="1817" customFormat="false" ht="15" hidden="false" customHeight="false" outlineLevel="0" collapsed="false">
      <c r="E1817" s="0" t="str">
        <f aca="false">IF(B1817="","",LOWER(B1817)&amp;"|"&amp;C1817)</f>
        <v/>
      </c>
    </row>
    <row r="1818" customFormat="false" ht="15" hidden="false" customHeight="false" outlineLevel="0" collapsed="false">
      <c r="E1818" s="0" t="str">
        <f aca="false">IF(B1818="","",LOWER(B1818)&amp;"|"&amp;C1818)</f>
        <v/>
      </c>
    </row>
    <row r="1819" customFormat="false" ht="15" hidden="false" customHeight="false" outlineLevel="0" collapsed="false">
      <c r="E1819" s="0" t="str">
        <f aca="false">IF(B1819="","",LOWER(B1819)&amp;"|"&amp;C1819)</f>
        <v/>
      </c>
    </row>
    <row r="1820" customFormat="false" ht="15" hidden="false" customHeight="false" outlineLevel="0" collapsed="false">
      <c r="E1820" s="0" t="str">
        <f aca="false">IF(B1820="","",LOWER(B1820)&amp;"|"&amp;C1820)</f>
        <v/>
      </c>
    </row>
    <row r="1821" customFormat="false" ht="15" hidden="false" customHeight="false" outlineLevel="0" collapsed="false">
      <c r="E1821" s="0" t="str">
        <f aca="false">IF(B1821="","",LOWER(B1821)&amp;"|"&amp;C1821)</f>
        <v/>
      </c>
    </row>
    <row r="1822" customFormat="false" ht="15" hidden="false" customHeight="false" outlineLevel="0" collapsed="false">
      <c r="E1822" s="0" t="str">
        <f aca="false">IF(B1822="","",LOWER(B1822)&amp;"|"&amp;C1822)</f>
        <v/>
      </c>
    </row>
    <row r="1823" customFormat="false" ht="15" hidden="false" customHeight="false" outlineLevel="0" collapsed="false">
      <c r="E1823" s="0" t="str">
        <f aca="false">IF(B1823="","",LOWER(B1823)&amp;"|"&amp;C1823)</f>
        <v/>
      </c>
    </row>
    <row r="1824" customFormat="false" ht="15" hidden="false" customHeight="false" outlineLevel="0" collapsed="false">
      <c r="E1824" s="0" t="str">
        <f aca="false">IF(B1824="","",LOWER(B1824)&amp;"|"&amp;C1824)</f>
        <v/>
      </c>
    </row>
    <row r="1825" customFormat="false" ht="15" hidden="false" customHeight="false" outlineLevel="0" collapsed="false">
      <c r="E1825" s="0" t="str">
        <f aca="false">IF(B1825="","",LOWER(B1825)&amp;"|"&amp;C1825)</f>
        <v/>
      </c>
    </row>
    <row r="1826" customFormat="false" ht="15" hidden="false" customHeight="false" outlineLevel="0" collapsed="false">
      <c r="E1826" s="0" t="str">
        <f aca="false">IF(B1826="","",LOWER(B1826)&amp;"|"&amp;C1826)</f>
        <v/>
      </c>
    </row>
    <row r="1827" customFormat="false" ht="15" hidden="false" customHeight="false" outlineLevel="0" collapsed="false">
      <c r="E1827" s="0" t="str">
        <f aca="false">IF(B1827="","",LOWER(B1827)&amp;"|"&amp;C1827)</f>
        <v/>
      </c>
    </row>
    <row r="1828" customFormat="false" ht="15" hidden="false" customHeight="false" outlineLevel="0" collapsed="false">
      <c r="E1828" s="0" t="str">
        <f aca="false">IF(B1828="","",LOWER(B1828)&amp;"|"&amp;C1828)</f>
        <v/>
      </c>
    </row>
    <row r="1829" customFormat="false" ht="15" hidden="false" customHeight="false" outlineLevel="0" collapsed="false">
      <c r="E1829" s="0" t="str">
        <f aca="false">IF(B1829="","",LOWER(B1829)&amp;"|"&amp;C1829)</f>
        <v/>
      </c>
    </row>
    <row r="1830" customFormat="false" ht="15" hidden="false" customHeight="false" outlineLevel="0" collapsed="false">
      <c r="E1830" s="0" t="str">
        <f aca="false">IF(B1830="","",LOWER(B1830)&amp;"|"&amp;C1830)</f>
        <v/>
      </c>
    </row>
    <row r="1831" customFormat="false" ht="15" hidden="false" customHeight="false" outlineLevel="0" collapsed="false">
      <c r="E1831" s="0" t="str">
        <f aca="false">IF(B1831="","",LOWER(B1831)&amp;"|"&amp;C1831)</f>
        <v/>
      </c>
    </row>
    <row r="1832" customFormat="false" ht="15" hidden="false" customHeight="false" outlineLevel="0" collapsed="false">
      <c r="E1832" s="0" t="str">
        <f aca="false">IF(B1832="","",LOWER(B1832)&amp;"|"&amp;C1832)</f>
        <v/>
      </c>
    </row>
    <row r="1833" customFormat="false" ht="15" hidden="false" customHeight="false" outlineLevel="0" collapsed="false">
      <c r="E1833" s="0" t="str">
        <f aca="false">IF(B1833="","",LOWER(B1833)&amp;"|"&amp;C1833)</f>
        <v/>
      </c>
    </row>
    <row r="1834" customFormat="false" ht="15" hidden="false" customHeight="false" outlineLevel="0" collapsed="false">
      <c r="E1834" s="0" t="str">
        <f aca="false">IF(B1834="","",LOWER(B1834)&amp;"|"&amp;C1834)</f>
        <v/>
      </c>
    </row>
    <row r="1835" customFormat="false" ht="15" hidden="false" customHeight="false" outlineLevel="0" collapsed="false">
      <c r="E1835" s="0" t="str">
        <f aca="false">IF(B1835="","",LOWER(B1835)&amp;"|"&amp;C1835)</f>
        <v/>
      </c>
    </row>
    <row r="1836" customFormat="false" ht="15" hidden="false" customHeight="false" outlineLevel="0" collapsed="false">
      <c r="E1836" s="0" t="str">
        <f aca="false">IF(B1836="","",LOWER(B1836)&amp;"|"&amp;C1836)</f>
        <v/>
      </c>
    </row>
    <row r="1837" customFormat="false" ht="15" hidden="false" customHeight="false" outlineLevel="0" collapsed="false">
      <c r="E1837" s="0" t="str">
        <f aca="false">IF(B1837="","",LOWER(B1837)&amp;"|"&amp;C1837)</f>
        <v/>
      </c>
    </row>
    <row r="1838" customFormat="false" ht="15" hidden="false" customHeight="false" outlineLevel="0" collapsed="false">
      <c r="E1838" s="0" t="str">
        <f aca="false">IF(B1838="","",LOWER(B1838)&amp;"|"&amp;C1838)</f>
        <v/>
      </c>
    </row>
    <row r="1839" customFormat="false" ht="15" hidden="false" customHeight="false" outlineLevel="0" collapsed="false">
      <c r="E1839" s="0" t="str">
        <f aca="false">IF(B1839="","",LOWER(B1839)&amp;"|"&amp;C1839)</f>
        <v/>
      </c>
    </row>
    <row r="1840" customFormat="false" ht="15" hidden="false" customHeight="false" outlineLevel="0" collapsed="false">
      <c r="E1840" s="0" t="str">
        <f aca="false">IF(B1840="","",LOWER(B1840)&amp;"|"&amp;C1840)</f>
        <v/>
      </c>
    </row>
    <row r="1841" customFormat="false" ht="15" hidden="false" customHeight="false" outlineLevel="0" collapsed="false">
      <c r="E1841" s="0" t="str">
        <f aca="false">IF(B1841="","",LOWER(B1841)&amp;"|"&amp;C1841)</f>
        <v/>
      </c>
    </row>
    <row r="1842" customFormat="false" ht="15" hidden="false" customHeight="false" outlineLevel="0" collapsed="false">
      <c r="E1842" s="0" t="str">
        <f aca="false">IF(B1842="","",LOWER(B1842)&amp;"|"&amp;C1842)</f>
        <v/>
      </c>
    </row>
    <row r="1843" customFormat="false" ht="15" hidden="false" customHeight="false" outlineLevel="0" collapsed="false">
      <c r="E1843" s="0" t="str">
        <f aca="false">IF(B1843="","",LOWER(B1843)&amp;"|"&amp;C1843)</f>
        <v/>
      </c>
    </row>
    <row r="1844" customFormat="false" ht="15" hidden="false" customHeight="false" outlineLevel="0" collapsed="false">
      <c r="E1844" s="0" t="str">
        <f aca="false">IF(B1844="","",LOWER(B1844)&amp;"|"&amp;C1844)</f>
        <v/>
      </c>
    </row>
    <row r="1845" customFormat="false" ht="15" hidden="false" customHeight="false" outlineLevel="0" collapsed="false">
      <c r="E1845" s="0" t="str">
        <f aca="false">IF(B1845="","",LOWER(B1845)&amp;"|"&amp;C1845)</f>
        <v/>
      </c>
    </row>
    <row r="1846" customFormat="false" ht="15" hidden="false" customHeight="false" outlineLevel="0" collapsed="false">
      <c r="E1846" s="0" t="str">
        <f aca="false">IF(B1846="","",LOWER(B1846)&amp;"|"&amp;C1846)</f>
        <v/>
      </c>
    </row>
    <row r="1847" customFormat="false" ht="15" hidden="false" customHeight="false" outlineLevel="0" collapsed="false">
      <c r="E1847" s="0" t="str">
        <f aca="false">IF(B1847="","",LOWER(B1847)&amp;"|"&amp;C1847)</f>
        <v/>
      </c>
    </row>
    <row r="1848" customFormat="false" ht="15" hidden="false" customHeight="false" outlineLevel="0" collapsed="false">
      <c r="E1848" s="0" t="str">
        <f aca="false">IF(B1848="","",LOWER(B1848)&amp;"|"&amp;C1848)</f>
        <v/>
      </c>
    </row>
    <row r="1849" customFormat="false" ht="15" hidden="false" customHeight="false" outlineLevel="0" collapsed="false">
      <c r="E1849" s="0" t="str">
        <f aca="false">IF(B1849="","",LOWER(B1849)&amp;"|"&amp;C1849)</f>
        <v/>
      </c>
    </row>
    <row r="1850" customFormat="false" ht="15" hidden="false" customHeight="false" outlineLevel="0" collapsed="false">
      <c r="E1850" s="0" t="str">
        <f aca="false">IF(B1850="","",LOWER(B1850)&amp;"|"&amp;C1850)</f>
        <v/>
      </c>
    </row>
    <row r="1851" customFormat="false" ht="15" hidden="false" customHeight="false" outlineLevel="0" collapsed="false">
      <c r="E1851" s="0" t="str">
        <f aca="false">IF(B1851="","",LOWER(B1851)&amp;"|"&amp;C1851)</f>
        <v/>
      </c>
    </row>
    <row r="1852" customFormat="false" ht="15" hidden="false" customHeight="false" outlineLevel="0" collapsed="false">
      <c r="E1852" s="0" t="str">
        <f aca="false">IF(B1852="","",LOWER(B1852)&amp;"|"&amp;C1852)</f>
        <v/>
      </c>
    </row>
    <row r="1853" customFormat="false" ht="15" hidden="false" customHeight="false" outlineLevel="0" collapsed="false">
      <c r="E1853" s="0" t="str">
        <f aca="false">IF(B1853="","",LOWER(B1853)&amp;"|"&amp;C1853)</f>
        <v/>
      </c>
    </row>
    <row r="1854" customFormat="false" ht="15" hidden="false" customHeight="false" outlineLevel="0" collapsed="false">
      <c r="E1854" s="0" t="str">
        <f aca="false">IF(B1854="","",LOWER(B1854)&amp;"|"&amp;C1854)</f>
        <v/>
      </c>
    </row>
    <row r="1855" customFormat="false" ht="15" hidden="false" customHeight="false" outlineLevel="0" collapsed="false">
      <c r="E1855" s="0" t="str">
        <f aca="false">IF(B1855="","",LOWER(B1855)&amp;"|"&amp;C1855)</f>
        <v/>
      </c>
    </row>
    <row r="1856" customFormat="false" ht="15" hidden="false" customHeight="false" outlineLevel="0" collapsed="false">
      <c r="E1856" s="0" t="str">
        <f aca="false">IF(B1856="","",LOWER(B1856)&amp;"|"&amp;C1856)</f>
        <v/>
      </c>
    </row>
    <row r="1857" customFormat="false" ht="15" hidden="false" customHeight="false" outlineLevel="0" collapsed="false">
      <c r="E1857" s="0" t="str">
        <f aca="false">IF(B1857="","",LOWER(B1857)&amp;"|"&amp;C1857)</f>
        <v/>
      </c>
    </row>
    <row r="1858" customFormat="false" ht="15" hidden="false" customHeight="false" outlineLevel="0" collapsed="false">
      <c r="E1858" s="0" t="str">
        <f aca="false">IF(B1858="","",LOWER(B1858)&amp;"|"&amp;C1858)</f>
        <v/>
      </c>
    </row>
    <row r="1859" customFormat="false" ht="15" hidden="false" customHeight="false" outlineLevel="0" collapsed="false">
      <c r="E1859" s="0" t="str">
        <f aca="false">IF(B1859="","",LOWER(B1859)&amp;"|"&amp;C1859)</f>
        <v/>
      </c>
    </row>
    <row r="1860" customFormat="false" ht="15" hidden="false" customHeight="false" outlineLevel="0" collapsed="false">
      <c r="E1860" s="0" t="str">
        <f aca="false">IF(B1860="","",LOWER(B1860)&amp;"|"&amp;C1860)</f>
        <v/>
      </c>
    </row>
    <row r="1861" customFormat="false" ht="15" hidden="false" customHeight="false" outlineLevel="0" collapsed="false">
      <c r="E1861" s="0" t="str">
        <f aca="false">IF(B1861="","",LOWER(B1861)&amp;"|"&amp;C1861)</f>
        <v/>
      </c>
    </row>
    <row r="1862" customFormat="false" ht="15" hidden="false" customHeight="false" outlineLevel="0" collapsed="false">
      <c r="E1862" s="0" t="str">
        <f aca="false">IF(B1862="","",LOWER(B1862)&amp;"|"&amp;C1862)</f>
        <v/>
      </c>
    </row>
    <row r="1863" customFormat="false" ht="15" hidden="false" customHeight="false" outlineLevel="0" collapsed="false">
      <c r="E1863" s="0" t="str">
        <f aca="false">IF(B1863="","",LOWER(B1863)&amp;"|"&amp;C1863)</f>
        <v/>
      </c>
    </row>
    <row r="1864" customFormat="false" ht="15" hidden="false" customHeight="false" outlineLevel="0" collapsed="false">
      <c r="E1864" s="0" t="str">
        <f aca="false">IF(B1864="","",LOWER(B1864)&amp;"|"&amp;C1864)</f>
        <v/>
      </c>
    </row>
    <row r="1865" customFormat="false" ht="15" hidden="false" customHeight="false" outlineLevel="0" collapsed="false">
      <c r="E1865" s="0" t="str">
        <f aca="false">IF(B1865="","",LOWER(B1865)&amp;"|"&amp;C1865)</f>
        <v/>
      </c>
    </row>
    <row r="1866" customFormat="false" ht="15" hidden="false" customHeight="false" outlineLevel="0" collapsed="false">
      <c r="E1866" s="0" t="str">
        <f aca="false">IF(B1866="","",LOWER(B1866)&amp;"|"&amp;C1866)</f>
        <v/>
      </c>
    </row>
    <row r="1867" customFormat="false" ht="15" hidden="false" customHeight="false" outlineLevel="0" collapsed="false">
      <c r="E1867" s="0" t="str">
        <f aca="false">IF(B1867="","",LOWER(B1867)&amp;"|"&amp;C1867)</f>
        <v/>
      </c>
    </row>
    <row r="1868" customFormat="false" ht="15" hidden="false" customHeight="false" outlineLevel="0" collapsed="false">
      <c r="E1868" s="0" t="str">
        <f aca="false">IF(B1868="","",LOWER(B1868)&amp;"|"&amp;C1868)</f>
        <v/>
      </c>
    </row>
    <row r="1869" customFormat="false" ht="15" hidden="false" customHeight="false" outlineLevel="0" collapsed="false">
      <c r="E1869" s="0" t="str">
        <f aca="false">IF(B1869="","",LOWER(B1869)&amp;"|"&amp;C1869)</f>
        <v/>
      </c>
    </row>
    <row r="1870" customFormat="false" ht="15" hidden="false" customHeight="false" outlineLevel="0" collapsed="false">
      <c r="E1870" s="0" t="str">
        <f aca="false">IF(B1870="","",LOWER(B1870)&amp;"|"&amp;C1870)</f>
        <v/>
      </c>
    </row>
    <row r="1871" customFormat="false" ht="15" hidden="false" customHeight="false" outlineLevel="0" collapsed="false">
      <c r="E1871" s="0" t="str">
        <f aca="false">IF(B1871="","",LOWER(B1871)&amp;"|"&amp;C1871)</f>
        <v/>
      </c>
    </row>
    <row r="1872" customFormat="false" ht="15" hidden="false" customHeight="false" outlineLevel="0" collapsed="false">
      <c r="E1872" s="0" t="str">
        <f aca="false">IF(B1872="","",LOWER(B1872)&amp;"|"&amp;C1872)</f>
        <v/>
      </c>
    </row>
    <row r="1873" customFormat="false" ht="15" hidden="false" customHeight="false" outlineLevel="0" collapsed="false">
      <c r="E1873" s="0" t="str">
        <f aca="false">IF(B1873="","",LOWER(B1873)&amp;"|"&amp;C1873)</f>
        <v/>
      </c>
    </row>
    <row r="1874" customFormat="false" ht="15" hidden="false" customHeight="false" outlineLevel="0" collapsed="false">
      <c r="E1874" s="0" t="str">
        <f aca="false">IF(B1874="","",LOWER(B1874)&amp;"|"&amp;C1874)</f>
        <v/>
      </c>
    </row>
    <row r="1875" customFormat="false" ht="15" hidden="false" customHeight="false" outlineLevel="0" collapsed="false">
      <c r="E1875" s="0" t="str">
        <f aca="false">IF(B1875="","",LOWER(B1875)&amp;"|"&amp;C1875)</f>
        <v/>
      </c>
    </row>
    <row r="1876" customFormat="false" ht="15" hidden="false" customHeight="false" outlineLevel="0" collapsed="false">
      <c r="E1876" s="0" t="str">
        <f aca="false">IF(B1876="","",LOWER(B1876)&amp;"|"&amp;C1876)</f>
        <v/>
      </c>
    </row>
    <row r="1877" customFormat="false" ht="15" hidden="false" customHeight="false" outlineLevel="0" collapsed="false">
      <c r="E1877" s="0" t="str">
        <f aca="false">IF(B1877="","",LOWER(B1877)&amp;"|"&amp;C1877)</f>
        <v/>
      </c>
    </row>
    <row r="1878" customFormat="false" ht="15" hidden="false" customHeight="false" outlineLevel="0" collapsed="false">
      <c r="E1878" s="0" t="str">
        <f aca="false">IF(B1878="","",LOWER(B1878)&amp;"|"&amp;C1878)</f>
        <v/>
      </c>
    </row>
    <row r="1879" customFormat="false" ht="15" hidden="false" customHeight="false" outlineLevel="0" collapsed="false">
      <c r="E1879" s="0" t="str">
        <f aca="false">IF(B1879="","",LOWER(B1879)&amp;"|"&amp;C1879)</f>
        <v/>
      </c>
    </row>
    <row r="1880" customFormat="false" ht="15" hidden="false" customHeight="false" outlineLevel="0" collapsed="false">
      <c r="E1880" s="0" t="str">
        <f aca="false">IF(B1880="","",LOWER(B1880)&amp;"|"&amp;C1880)</f>
        <v/>
      </c>
    </row>
    <row r="1881" customFormat="false" ht="15" hidden="false" customHeight="false" outlineLevel="0" collapsed="false">
      <c r="E1881" s="0" t="str">
        <f aca="false">IF(B1881="","",LOWER(B1881)&amp;"|"&amp;C1881)</f>
        <v/>
      </c>
    </row>
    <row r="1882" customFormat="false" ht="15" hidden="false" customHeight="false" outlineLevel="0" collapsed="false">
      <c r="E1882" s="0" t="str">
        <f aca="false">IF(B1882="","",LOWER(B1882)&amp;"|"&amp;C1882)</f>
        <v/>
      </c>
    </row>
    <row r="1883" customFormat="false" ht="15" hidden="false" customHeight="false" outlineLevel="0" collapsed="false">
      <c r="E1883" s="0" t="str">
        <f aca="false">IF(B1883="","",LOWER(B1883)&amp;"|"&amp;C1883)</f>
        <v/>
      </c>
    </row>
    <row r="1884" customFormat="false" ht="15" hidden="false" customHeight="false" outlineLevel="0" collapsed="false">
      <c r="E1884" s="0" t="str">
        <f aca="false">IF(B1884="","",LOWER(B1884)&amp;"|"&amp;C1884)</f>
        <v/>
      </c>
    </row>
    <row r="1885" customFormat="false" ht="15" hidden="false" customHeight="false" outlineLevel="0" collapsed="false">
      <c r="E1885" s="0" t="str">
        <f aca="false">IF(B1885="","",LOWER(B1885)&amp;"|"&amp;C1885)</f>
        <v/>
      </c>
    </row>
    <row r="1886" customFormat="false" ht="15" hidden="false" customHeight="false" outlineLevel="0" collapsed="false">
      <c r="E1886" s="0" t="str">
        <f aca="false">IF(B1886="","",LOWER(B1886)&amp;"|"&amp;C1886)</f>
        <v/>
      </c>
    </row>
    <row r="1887" customFormat="false" ht="15" hidden="false" customHeight="false" outlineLevel="0" collapsed="false">
      <c r="E1887" s="0" t="str">
        <f aca="false">IF(B1887="","",LOWER(B1887)&amp;"|"&amp;C1887)</f>
        <v/>
      </c>
    </row>
    <row r="1888" customFormat="false" ht="15" hidden="false" customHeight="false" outlineLevel="0" collapsed="false">
      <c r="E1888" s="0" t="str">
        <f aca="false">IF(B1888="","",LOWER(B1888)&amp;"|"&amp;C1888)</f>
        <v/>
      </c>
    </row>
    <row r="1889" customFormat="false" ht="15" hidden="false" customHeight="false" outlineLevel="0" collapsed="false">
      <c r="E1889" s="0" t="str">
        <f aca="false">IF(B1889="","",LOWER(B1889)&amp;"|"&amp;C1889)</f>
        <v/>
      </c>
    </row>
    <row r="1890" customFormat="false" ht="15" hidden="false" customHeight="false" outlineLevel="0" collapsed="false">
      <c r="E1890" s="0" t="str">
        <f aca="false">IF(B1890="","",LOWER(B1890)&amp;"|"&amp;C1890)</f>
        <v/>
      </c>
    </row>
    <row r="1891" customFormat="false" ht="15" hidden="false" customHeight="false" outlineLevel="0" collapsed="false">
      <c r="E1891" s="0" t="str">
        <f aca="false">IF(B1891="","",LOWER(B1891)&amp;"|"&amp;C1891)</f>
        <v/>
      </c>
    </row>
    <row r="1892" customFormat="false" ht="15" hidden="false" customHeight="false" outlineLevel="0" collapsed="false">
      <c r="E1892" s="0" t="str">
        <f aca="false">IF(B1892="","",LOWER(B1892)&amp;"|"&amp;C1892)</f>
        <v/>
      </c>
    </row>
    <row r="1893" customFormat="false" ht="15" hidden="false" customHeight="false" outlineLevel="0" collapsed="false">
      <c r="E1893" s="0" t="str">
        <f aca="false">IF(B1893="","",LOWER(B1893)&amp;"|"&amp;C1893)</f>
        <v/>
      </c>
    </row>
    <row r="1894" customFormat="false" ht="15" hidden="false" customHeight="false" outlineLevel="0" collapsed="false">
      <c r="E1894" s="0" t="str">
        <f aca="false">IF(B1894="","",LOWER(B1894)&amp;"|"&amp;C1894)</f>
        <v/>
      </c>
    </row>
    <row r="1895" customFormat="false" ht="15" hidden="false" customHeight="false" outlineLevel="0" collapsed="false">
      <c r="E1895" s="0" t="str">
        <f aca="false">IF(B1895="","",LOWER(B1895)&amp;"|"&amp;C1895)</f>
        <v/>
      </c>
    </row>
    <row r="1896" customFormat="false" ht="15" hidden="false" customHeight="false" outlineLevel="0" collapsed="false">
      <c r="E1896" s="0" t="str">
        <f aca="false">IF(B1896="","",LOWER(B1896)&amp;"|"&amp;C1896)</f>
        <v/>
      </c>
    </row>
    <row r="1897" customFormat="false" ht="15" hidden="false" customHeight="false" outlineLevel="0" collapsed="false">
      <c r="E1897" s="0" t="str">
        <f aca="false">IF(B1897="","",LOWER(B1897)&amp;"|"&amp;C1897)</f>
        <v/>
      </c>
    </row>
    <row r="1898" customFormat="false" ht="15" hidden="false" customHeight="false" outlineLevel="0" collapsed="false">
      <c r="E1898" s="0" t="str">
        <f aca="false">IF(B1898="","",LOWER(B1898)&amp;"|"&amp;C1898)</f>
        <v/>
      </c>
    </row>
    <row r="1899" customFormat="false" ht="15" hidden="false" customHeight="false" outlineLevel="0" collapsed="false">
      <c r="E1899" s="0" t="str">
        <f aca="false">IF(B1899="","",LOWER(B1899)&amp;"|"&amp;C1899)</f>
        <v/>
      </c>
    </row>
    <row r="1900" customFormat="false" ht="15" hidden="false" customHeight="false" outlineLevel="0" collapsed="false">
      <c r="E1900" s="0" t="str">
        <f aca="false">IF(B1900="","",LOWER(B1900)&amp;"|"&amp;C1900)</f>
        <v/>
      </c>
    </row>
    <row r="1901" customFormat="false" ht="15" hidden="false" customHeight="false" outlineLevel="0" collapsed="false">
      <c r="E1901" s="0" t="str">
        <f aca="false">IF(B1901="","",LOWER(B1901)&amp;"|"&amp;C1901)</f>
        <v/>
      </c>
    </row>
    <row r="1902" customFormat="false" ht="15" hidden="false" customHeight="false" outlineLevel="0" collapsed="false">
      <c r="E1902" s="0" t="str">
        <f aca="false">IF(B1902="","",LOWER(B1902)&amp;"|"&amp;C1902)</f>
        <v/>
      </c>
    </row>
    <row r="1903" customFormat="false" ht="15" hidden="false" customHeight="false" outlineLevel="0" collapsed="false">
      <c r="E1903" s="0" t="str">
        <f aca="false">IF(B1903="","",LOWER(B1903)&amp;"|"&amp;C1903)</f>
        <v/>
      </c>
    </row>
    <row r="1904" customFormat="false" ht="15" hidden="false" customHeight="false" outlineLevel="0" collapsed="false">
      <c r="E1904" s="0" t="str">
        <f aca="false">IF(B1904="","",LOWER(B1904)&amp;"|"&amp;C1904)</f>
        <v/>
      </c>
    </row>
    <row r="1905" customFormat="false" ht="15" hidden="false" customHeight="false" outlineLevel="0" collapsed="false">
      <c r="E1905" s="0" t="str">
        <f aca="false">IF(B1905="","",LOWER(B1905)&amp;"|"&amp;C1905)</f>
        <v/>
      </c>
    </row>
    <row r="1906" customFormat="false" ht="15" hidden="false" customHeight="false" outlineLevel="0" collapsed="false">
      <c r="E1906" s="0" t="str">
        <f aca="false">IF(B1906="","",LOWER(B1906)&amp;"|"&amp;C1906)</f>
        <v/>
      </c>
    </row>
    <row r="1907" customFormat="false" ht="15" hidden="false" customHeight="false" outlineLevel="0" collapsed="false">
      <c r="E1907" s="0" t="str">
        <f aca="false">IF(B1907="","",LOWER(B1907)&amp;"|"&amp;C1907)</f>
        <v/>
      </c>
    </row>
    <row r="1908" customFormat="false" ht="15" hidden="false" customHeight="false" outlineLevel="0" collapsed="false">
      <c r="E1908" s="0" t="str">
        <f aca="false">IF(B1908="","",LOWER(B1908)&amp;"|"&amp;C1908)</f>
        <v/>
      </c>
    </row>
    <row r="1909" customFormat="false" ht="15" hidden="false" customHeight="false" outlineLevel="0" collapsed="false">
      <c r="E1909" s="0" t="str">
        <f aca="false">IF(B1909="","",LOWER(B1909)&amp;"|"&amp;C1909)</f>
        <v/>
      </c>
    </row>
    <row r="1910" customFormat="false" ht="15" hidden="false" customHeight="false" outlineLevel="0" collapsed="false">
      <c r="E1910" s="0" t="str">
        <f aca="false">IF(B1910="","",LOWER(B1910)&amp;"|"&amp;C1910)</f>
        <v/>
      </c>
    </row>
    <row r="1911" customFormat="false" ht="15" hidden="false" customHeight="false" outlineLevel="0" collapsed="false">
      <c r="E1911" s="0" t="str">
        <f aca="false">IF(B1911="","",LOWER(B1911)&amp;"|"&amp;C1911)</f>
        <v/>
      </c>
    </row>
    <row r="1912" customFormat="false" ht="15" hidden="false" customHeight="false" outlineLevel="0" collapsed="false">
      <c r="E1912" s="0" t="str">
        <f aca="false">IF(B1912="","",LOWER(B1912)&amp;"|"&amp;C1912)</f>
        <v/>
      </c>
    </row>
    <row r="1913" customFormat="false" ht="15" hidden="false" customHeight="false" outlineLevel="0" collapsed="false">
      <c r="E1913" s="0" t="str">
        <f aca="false">IF(B1913="","",LOWER(B1913)&amp;"|"&amp;C1913)</f>
        <v/>
      </c>
    </row>
    <row r="1914" customFormat="false" ht="15" hidden="false" customHeight="false" outlineLevel="0" collapsed="false">
      <c r="E1914" s="0" t="str">
        <f aca="false">IF(B1914="","",LOWER(B1914)&amp;"|"&amp;C1914)</f>
        <v/>
      </c>
    </row>
    <row r="1915" customFormat="false" ht="15" hidden="false" customHeight="false" outlineLevel="0" collapsed="false">
      <c r="E1915" s="0" t="str">
        <f aca="false">IF(B1915="","",LOWER(B1915)&amp;"|"&amp;C1915)</f>
        <v/>
      </c>
    </row>
    <row r="1916" customFormat="false" ht="15" hidden="false" customHeight="false" outlineLevel="0" collapsed="false">
      <c r="E1916" s="0" t="str">
        <f aca="false">IF(B1916="","",LOWER(B1916)&amp;"|"&amp;C1916)</f>
        <v/>
      </c>
    </row>
    <row r="1917" customFormat="false" ht="15" hidden="false" customHeight="false" outlineLevel="0" collapsed="false">
      <c r="E1917" s="0" t="str">
        <f aca="false">IF(B1917="","",LOWER(B1917)&amp;"|"&amp;C1917)</f>
        <v/>
      </c>
    </row>
    <row r="1918" customFormat="false" ht="15" hidden="false" customHeight="false" outlineLevel="0" collapsed="false">
      <c r="E1918" s="0" t="str">
        <f aca="false">IF(B1918="","",LOWER(B1918)&amp;"|"&amp;C1918)</f>
        <v/>
      </c>
    </row>
    <row r="1919" customFormat="false" ht="15" hidden="false" customHeight="false" outlineLevel="0" collapsed="false">
      <c r="E1919" s="0" t="str">
        <f aca="false">IF(B1919="","",LOWER(B1919)&amp;"|"&amp;C1919)</f>
        <v/>
      </c>
    </row>
    <row r="1920" customFormat="false" ht="15" hidden="false" customHeight="false" outlineLevel="0" collapsed="false">
      <c r="E1920" s="0" t="str">
        <f aca="false">IF(B1920="","",LOWER(B1920)&amp;"|"&amp;C1920)</f>
        <v/>
      </c>
    </row>
    <row r="1921" customFormat="false" ht="15" hidden="false" customHeight="false" outlineLevel="0" collapsed="false">
      <c r="E1921" s="0" t="str">
        <f aca="false">IF(B1921="","",LOWER(B1921)&amp;"|"&amp;C1921)</f>
        <v/>
      </c>
    </row>
    <row r="1922" customFormat="false" ht="15" hidden="false" customHeight="false" outlineLevel="0" collapsed="false">
      <c r="E1922" s="0" t="str">
        <f aca="false">IF(B1922="","",LOWER(B1922)&amp;"|"&amp;C1922)</f>
        <v/>
      </c>
    </row>
    <row r="1923" customFormat="false" ht="15" hidden="false" customHeight="false" outlineLevel="0" collapsed="false">
      <c r="E1923" s="0" t="str">
        <f aca="false">IF(B1923="","",LOWER(B1923)&amp;"|"&amp;C1923)</f>
        <v/>
      </c>
    </row>
    <row r="1924" customFormat="false" ht="15" hidden="false" customHeight="false" outlineLevel="0" collapsed="false">
      <c r="E1924" s="0" t="str">
        <f aca="false">IF(B1924="","",LOWER(B1924)&amp;"|"&amp;C1924)</f>
        <v/>
      </c>
    </row>
    <row r="1925" customFormat="false" ht="15" hidden="false" customHeight="false" outlineLevel="0" collapsed="false">
      <c r="E1925" s="0" t="str">
        <f aca="false">IF(B1925="","",LOWER(B1925)&amp;"|"&amp;C1925)</f>
        <v/>
      </c>
    </row>
    <row r="1926" customFormat="false" ht="15" hidden="false" customHeight="false" outlineLevel="0" collapsed="false">
      <c r="E1926" s="0" t="str">
        <f aca="false">IF(B1926="","",LOWER(B1926)&amp;"|"&amp;C1926)</f>
        <v/>
      </c>
    </row>
    <row r="1927" customFormat="false" ht="15" hidden="false" customHeight="false" outlineLevel="0" collapsed="false">
      <c r="E1927" s="0" t="str">
        <f aca="false">IF(B1927="","",LOWER(B1927)&amp;"|"&amp;C1927)</f>
        <v/>
      </c>
    </row>
    <row r="1928" customFormat="false" ht="15" hidden="false" customHeight="false" outlineLevel="0" collapsed="false">
      <c r="E1928" s="0" t="str">
        <f aca="false">IF(B1928="","",LOWER(B1928)&amp;"|"&amp;C1928)</f>
        <v/>
      </c>
    </row>
    <row r="1929" customFormat="false" ht="15" hidden="false" customHeight="false" outlineLevel="0" collapsed="false">
      <c r="E1929" s="0" t="str">
        <f aca="false">IF(B1929="","",LOWER(B1929)&amp;"|"&amp;C1929)</f>
        <v/>
      </c>
    </row>
    <row r="1930" customFormat="false" ht="15" hidden="false" customHeight="false" outlineLevel="0" collapsed="false">
      <c r="E1930" s="0" t="str">
        <f aca="false">IF(B1930="","",LOWER(B1930)&amp;"|"&amp;C1930)</f>
        <v/>
      </c>
    </row>
    <row r="1931" customFormat="false" ht="15" hidden="false" customHeight="false" outlineLevel="0" collapsed="false">
      <c r="E1931" s="0" t="str">
        <f aca="false">IF(B1931="","",LOWER(B1931)&amp;"|"&amp;C1931)</f>
        <v/>
      </c>
    </row>
    <row r="1932" customFormat="false" ht="15" hidden="false" customHeight="false" outlineLevel="0" collapsed="false">
      <c r="E1932" s="0" t="str">
        <f aca="false">IF(B1932="","",LOWER(B1932)&amp;"|"&amp;C1932)</f>
        <v/>
      </c>
    </row>
    <row r="1933" customFormat="false" ht="15" hidden="false" customHeight="false" outlineLevel="0" collapsed="false">
      <c r="E1933" s="0" t="str">
        <f aca="false">IF(B1933="","",LOWER(B1933)&amp;"|"&amp;C1933)</f>
        <v/>
      </c>
    </row>
    <row r="1934" customFormat="false" ht="15" hidden="false" customHeight="false" outlineLevel="0" collapsed="false">
      <c r="E1934" s="0" t="str">
        <f aca="false">IF(B1934="","",LOWER(B1934)&amp;"|"&amp;C1934)</f>
        <v/>
      </c>
    </row>
    <row r="1935" customFormat="false" ht="15" hidden="false" customHeight="false" outlineLevel="0" collapsed="false">
      <c r="E1935" s="0" t="str">
        <f aca="false">IF(B1935="","",LOWER(B1935)&amp;"|"&amp;C1935)</f>
        <v/>
      </c>
    </row>
    <row r="1936" customFormat="false" ht="15" hidden="false" customHeight="false" outlineLevel="0" collapsed="false">
      <c r="E1936" s="0" t="str">
        <f aca="false">IF(B1936="","",LOWER(B1936)&amp;"|"&amp;C1936)</f>
        <v/>
      </c>
    </row>
    <row r="1937" customFormat="false" ht="15" hidden="false" customHeight="false" outlineLevel="0" collapsed="false">
      <c r="E1937" s="0" t="str">
        <f aca="false">IF(B1937="","",LOWER(B1937)&amp;"|"&amp;C1937)</f>
        <v/>
      </c>
    </row>
    <row r="1938" customFormat="false" ht="15" hidden="false" customHeight="false" outlineLevel="0" collapsed="false">
      <c r="E1938" s="0" t="str">
        <f aca="false">IF(B1938="","",LOWER(B1938)&amp;"|"&amp;C1938)</f>
        <v/>
      </c>
    </row>
    <row r="1939" customFormat="false" ht="15" hidden="false" customHeight="false" outlineLevel="0" collapsed="false">
      <c r="E1939" s="0" t="str">
        <f aca="false">IF(B1939="","",LOWER(B1939)&amp;"|"&amp;C1939)</f>
        <v/>
      </c>
    </row>
    <row r="1940" customFormat="false" ht="15" hidden="false" customHeight="false" outlineLevel="0" collapsed="false">
      <c r="E1940" s="0" t="str">
        <f aca="false">IF(B1940="","",LOWER(B1940)&amp;"|"&amp;C1940)</f>
        <v/>
      </c>
    </row>
    <row r="1941" customFormat="false" ht="15" hidden="false" customHeight="false" outlineLevel="0" collapsed="false">
      <c r="E1941" s="0" t="str">
        <f aca="false">IF(B1941="","",LOWER(B1941)&amp;"|"&amp;C1941)</f>
        <v/>
      </c>
    </row>
    <row r="1942" customFormat="false" ht="15" hidden="false" customHeight="false" outlineLevel="0" collapsed="false">
      <c r="E1942" s="0" t="str">
        <f aca="false">IF(B1942="","",LOWER(B1942)&amp;"|"&amp;C1942)</f>
        <v/>
      </c>
    </row>
    <row r="1943" customFormat="false" ht="15" hidden="false" customHeight="false" outlineLevel="0" collapsed="false">
      <c r="E1943" s="0" t="str">
        <f aca="false">IF(B1943="","",LOWER(B1943)&amp;"|"&amp;C1943)</f>
        <v/>
      </c>
    </row>
    <row r="1944" customFormat="false" ht="15" hidden="false" customHeight="false" outlineLevel="0" collapsed="false">
      <c r="E1944" s="0" t="str">
        <f aca="false">IF(B1944="","",LOWER(B1944)&amp;"|"&amp;C1944)</f>
        <v/>
      </c>
    </row>
    <row r="1945" customFormat="false" ht="15" hidden="false" customHeight="false" outlineLevel="0" collapsed="false">
      <c r="E1945" s="0" t="str">
        <f aca="false">IF(B1945="","",LOWER(B1945)&amp;"|"&amp;C1945)</f>
        <v/>
      </c>
    </row>
    <row r="1946" customFormat="false" ht="15" hidden="false" customHeight="false" outlineLevel="0" collapsed="false">
      <c r="E1946" s="0" t="str">
        <f aca="false">IF(B1946="","",LOWER(B1946)&amp;"|"&amp;C1946)</f>
        <v/>
      </c>
    </row>
    <row r="1947" customFormat="false" ht="15" hidden="false" customHeight="false" outlineLevel="0" collapsed="false">
      <c r="E1947" s="0" t="str">
        <f aca="false">IF(B1947="","",LOWER(B1947)&amp;"|"&amp;C1947)</f>
        <v/>
      </c>
    </row>
    <row r="1948" customFormat="false" ht="15" hidden="false" customHeight="false" outlineLevel="0" collapsed="false">
      <c r="E1948" s="0" t="str">
        <f aca="false">IF(B1948="","",LOWER(B1948)&amp;"|"&amp;C1948)</f>
        <v/>
      </c>
    </row>
    <row r="1949" customFormat="false" ht="15" hidden="false" customHeight="false" outlineLevel="0" collapsed="false">
      <c r="E1949" s="0" t="str">
        <f aca="false">IF(B1949="","",LOWER(B1949)&amp;"|"&amp;C1949)</f>
        <v/>
      </c>
    </row>
    <row r="1950" customFormat="false" ht="15" hidden="false" customHeight="false" outlineLevel="0" collapsed="false">
      <c r="E1950" s="0" t="str">
        <f aca="false">IF(B1950="","",LOWER(B1950)&amp;"|"&amp;C1950)</f>
        <v/>
      </c>
    </row>
    <row r="1951" customFormat="false" ht="15" hidden="false" customHeight="false" outlineLevel="0" collapsed="false">
      <c r="E1951" s="0" t="str">
        <f aca="false">IF(B1951="","",LOWER(B1951)&amp;"|"&amp;C1951)</f>
        <v/>
      </c>
    </row>
    <row r="1952" customFormat="false" ht="15" hidden="false" customHeight="false" outlineLevel="0" collapsed="false">
      <c r="E1952" s="0" t="str">
        <f aca="false">IF(B1952="","",LOWER(B1952)&amp;"|"&amp;C1952)</f>
        <v/>
      </c>
    </row>
    <row r="1953" customFormat="false" ht="15" hidden="false" customHeight="false" outlineLevel="0" collapsed="false">
      <c r="E1953" s="0" t="str">
        <f aca="false">IF(B1953="","",LOWER(B1953)&amp;"|"&amp;C1953)</f>
        <v/>
      </c>
    </row>
    <row r="1954" customFormat="false" ht="15" hidden="false" customHeight="false" outlineLevel="0" collapsed="false">
      <c r="E1954" s="0" t="str">
        <f aca="false">IF(B1954="","",LOWER(B1954)&amp;"|"&amp;C1954)</f>
        <v/>
      </c>
    </row>
    <row r="1955" customFormat="false" ht="15" hidden="false" customHeight="false" outlineLevel="0" collapsed="false">
      <c r="E1955" s="0" t="str">
        <f aca="false">IF(B1955="","",LOWER(B1955)&amp;"|"&amp;C1955)</f>
        <v/>
      </c>
    </row>
    <row r="1956" customFormat="false" ht="15" hidden="false" customHeight="false" outlineLevel="0" collapsed="false">
      <c r="E1956" s="0" t="str">
        <f aca="false">IF(B1956="","",LOWER(B1956)&amp;"|"&amp;C1956)</f>
        <v/>
      </c>
    </row>
    <row r="1957" customFormat="false" ht="15" hidden="false" customHeight="false" outlineLevel="0" collapsed="false">
      <c r="E1957" s="0" t="str">
        <f aca="false">IF(B1957="","",LOWER(B1957)&amp;"|"&amp;C1957)</f>
        <v/>
      </c>
    </row>
    <row r="1958" customFormat="false" ht="15" hidden="false" customHeight="false" outlineLevel="0" collapsed="false">
      <c r="E1958" s="0" t="str">
        <f aca="false">IF(B1958="","",LOWER(B1958)&amp;"|"&amp;C1958)</f>
        <v/>
      </c>
    </row>
    <row r="1959" customFormat="false" ht="15" hidden="false" customHeight="false" outlineLevel="0" collapsed="false">
      <c r="E1959" s="0" t="str">
        <f aca="false">IF(B1959="","",LOWER(B1959)&amp;"|"&amp;C1959)</f>
        <v/>
      </c>
    </row>
    <row r="1960" customFormat="false" ht="15" hidden="false" customHeight="false" outlineLevel="0" collapsed="false">
      <c r="E1960" s="0" t="str">
        <f aca="false">IF(B1960="","",LOWER(B1960)&amp;"|"&amp;C1960)</f>
        <v/>
      </c>
    </row>
    <row r="1961" customFormat="false" ht="15" hidden="false" customHeight="false" outlineLevel="0" collapsed="false">
      <c r="E1961" s="0" t="str">
        <f aca="false">IF(B1961="","",LOWER(B1961)&amp;"|"&amp;C1961)</f>
        <v/>
      </c>
    </row>
    <row r="1962" customFormat="false" ht="15" hidden="false" customHeight="false" outlineLevel="0" collapsed="false">
      <c r="E1962" s="0" t="str">
        <f aca="false">IF(B1962="","",LOWER(B1962)&amp;"|"&amp;C1962)</f>
        <v/>
      </c>
    </row>
    <row r="1963" customFormat="false" ht="15" hidden="false" customHeight="false" outlineLevel="0" collapsed="false">
      <c r="E1963" s="0" t="str">
        <f aca="false">IF(B1963="","",LOWER(B1963)&amp;"|"&amp;C1963)</f>
        <v/>
      </c>
    </row>
    <row r="1964" customFormat="false" ht="15" hidden="false" customHeight="false" outlineLevel="0" collapsed="false">
      <c r="E1964" s="0" t="str">
        <f aca="false">IF(B1964="","",LOWER(B1964)&amp;"|"&amp;C1964)</f>
        <v/>
      </c>
    </row>
    <row r="1965" customFormat="false" ht="15" hidden="false" customHeight="false" outlineLevel="0" collapsed="false">
      <c r="E1965" s="0" t="str">
        <f aca="false">IF(B1965="","",LOWER(B1965)&amp;"|"&amp;C1965)</f>
        <v/>
      </c>
    </row>
    <row r="1966" customFormat="false" ht="15" hidden="false" customHeight="false" outlineLevel="0" collapsed="false">
      <c r="E1966" s="0" t="str">
        <f aca="false">IF(B1966="","",LOWER(B1966)&amp;"|"&amp;C1966)</f>
        <v/>
      </c>
    </row>
    <row r="1967" customFormat="false" ht="15" hidden="false" customHeight="false" outlineLevel="0" collapsed="false">
      <c r="E1967" s="0" t="str">
        <f aca="false">IF(B1967="","",LOWER(B1967)&amp;"|"&amp;C1967)</f>
        <v/>
      </c>
    </row>
    <row r="1968" customFormat="false" ht="15" hidden="false" customHeight="false" outlineLevel="0" collapsed="false">
      <c r="E1968" s="0" t="str">
        <f aca="false">IF(B1968="","",LOWER(B1968)&amp;"|"&amp;C1968)</f>
        <v/>
      </c>
    </row>
    <row r="1969" customFormat="false" ht="15" hidden="false" customHeight="false" outlineLevel="0" collapsed="false">
      <c r="E1969" s="0" t="str">
        <f aca="false">IF(B1969="","",LOWER(B1969)&amp;"|"&amp;C1969)</f>
        <v/>
      </c>
    </row>
    <row r="1970" customFormat="false" ht="15" hidden="false" customHeight="false" outlineLevel="0" collapsed="false">
      <c r="E1970" s="0" t="str">
        <f aca="false">IF(B1970="","",LOWER(B1970)&amp;"|"&amp;C1970)</f>
        <v/>
      </c>
    </row>
    <row r="1971" customFormat="false" ht="15" hidden="false" customHeight="false" outlineLevel="0" collapsed="false">
      <c r="E1971" s="0" t="str">
        <f aca="false">IF(B1971="","",LOWER(B1971)&amp;"|"&amp;C1971)</f>
        <v/>
      </c>
    </row>
    <row r="1972" customFormat="false" ht="15" hidden="false" customHeight="false" outlineLevel="0" collapsed="false">
      <c r="E1972" s="0" t="str">
        <f aca="false">IF(B1972="","",LOWER(B1972)&amp;"|"&amp;C1972)</f>
        <v/>
      </c>
    </row>
    <row r="1973" customFormat="false" ht="15" hidden="false" customHeight="false" outlineLevel="0" collapsed="false">
      <c r="E1973" s="0" t="str">
        <f aca="false">IF(B1973="","",LOWER(B1973)&amp;"|"&amp;C1973)</f>
        <v/>
      </c>
    </row>
    <row r="1974" customFormat="false" ht="15" hidden="false" customHeight="false" outlineLevel="0" collapsed="false">
      <c r="E1974" s="0" t="str">
        <f aca="false">IF(B1974="","",LOWER(B1974)&amp;"|"&amp;C1974)</f>
        <v/>
      </c>
    </row>
    <row r="1975" customFormat="false" ht="15" hidden="false" customHeight="false" outlineLevel="0" collapsed="false">
      <c r="E1975" s="0" t="str">
        <f aca="false">IF(B1975="","",LOWER(B1975)&amp;"|"&amp;C1975)</f>
        <v/>
      </c>
    </row>
    <row r="1976" customFormat="false" ht="15" hidden="false" customHeight="false" outlineLevel="0" collapsed="false">
      <c r="E1976" s="0" t="str">
        <f aca="false">IF(B1976="","",LOWER(B1976)&amp;"|"&amp;C1976)</f>
        <v/>
      </c>
    </row>
    <row r="1977" customFormat="false" ht="15" hidden="false" customHeight="false" outlineLevel="0" collapsed="false">
      <c r="E1977" s="0" t="str">
        <f aca="false">IF(B1977="","",LOWER(B1977)&amp;"|"&amp;C1977)</f>
        <v/>
      </c>
    </row>
    <row r="1978" customFormat="false" ht="15" hidden="false" customHeight="false" outlineLevel="0" collapsed="false">
      <c r="E1978" s="0" t="str">
        <f aca="false">IF(B1978="","",LOWER(B1978)&amp;"|"&amp;C1978)</f>
        <v/>
      </c>
    </row>
    <row r="1979" customFormat="false" ht="15" hidden="false" customHeight="false" outlineLevel="0" collapsed="false">
      <c r="E1979" s="0" t="str">
        <f aca="false">IF(B1979="","",LOWER(B1979)&amp;"|"&amp;C1979)</f>
        <v/>
      </c>
    </row>
    <row r="1980" customFormat="false" ht="15" hidden="false" customHeight="false" outlineLevel="0" collapsed="false">
      <c r="E1980" s="0" t="str">
        <f aca="false">IF(B1980="","",LOWER(B1980)&amp;"|"&amp;C1980)</f>
        <v/>
      </c>
    </row>
    <row r="1981" customFormat="false" ht="15" hidden="false" customHeight="false" outlineLevel="0" collapsed="false">
      <c r="E1981" s="0" t="str">
        <f aca="false">IF(B1981="","",LOWER(B1981)&amp;"|"&amp;C1981)</f>
        <v/>
      </c>
    </row>
    <row r="1982" customFormat="false" ht="15" hidden="false" customHeight="false" outlineLevel="0" collapsed="false">
      <c r="E1982" s="0" t="str">
        <f aca="false">IF(B1982="","",LOWER(B1982)&amp;"|"&amp;C1982)</f>
        <v/>
      </c>
    </row>
    <row r="1983" customFormat="false" ht="15" hidden="false" customHeight="false" outlineLevel="0" collapsed="false">
      <c r="E1983" s="0" t="str">
        <f aca="false">IF(B1983="","",LOWER(B1983)&amp;"|"&amp;C1983)</f>
        <v/>
      </c>
    </row>
    <row r="1984" customFormat="false" ht="15" hidden="false" customHeight="false" outlineLevel="0" collapsed="false">
      <c r="E1984" s="0" t="str">
        <f aca="false">IF(B1984="","",LOWER(B1984)&amp;"|"&amp;C1984)</f>
        <v/>
      </c>
    </row>
    <row r="1985" customFormat="false" ht="15" hidden="false" customHeight="false" outlineLevel="0" collapsed="false">
      <c r="E1985" s="0" t="str">
        <f aca="false">IF(B1985="","",LOWER(B1985)&amp;"|"&amp;C1985)</f>
        <v/>
      </c>
    </row>
    <row r="1986" customFormat="false" ht="15" hidden="false" customHeight="false" outlineLevel="0" collapsed="false">
      <c r="E1986" s="0" t="str">
        <f aca="false">IF(B1986="","",LOWER(B1986)&amp;"|"&amp;C1986)</f>
        <v/>
      </c>
    </row>
    <row r="1987" customFormat="false" ht="15" hidden="false" customHeight="false" outlineLevel="0" collapsed="false">
      <c r="E1987" s="0" t="str">
        <f aca="false">IF(B1987="","",LOWER(B1987)&amp;"|"&amp;C1987)</f>
        <v/>
      </c>
    </row>
    <row r="1988" customFormat="false" ht="15" hidden="false" customHeight="false" outlineLevel="0" collapsed="false">
      <c r="E1988" s="0" t="str">
        <f aca="false">IF(B1988="","",LOWER(B1988)&amp;"|"&amp;C1988)</f>
        <v/>
      </c>
    </row>
    <row r="1989" customFormat="false" ht="15" hidden="false" customHeight="false" outlineLevel="0" collapsed="false">
      <c r="E1989" s="0" t="str">
        <f aca="false">IF(B1989="","",LOWER(B1989)&amp;"|"&amp;C1989)</f>
        <v/>
      </c>
    </row>
    <row r="1990" customFormat="false" ht="15" hidden="false" customHeight="false" outlineLevel="0" collapsed="false">
      <c r="E1990" s="0" t="str">
        <f aca="false">IF(B1990="","",LOWER(B1990)&amp;"|"&amp;C1990)</f>
        <v/>
      </c>
    </row>
    <row r="1991" customFormat="false" ht="15" hidden="false" customHeight="false" outlineLevel="0" collapsed="false">
      <c r="E1991" s="0" t="str">
        <f aca="false">IF(B1991="","",LOWER(B1991)&amp;"|"&amp;C1991)</f>
        <v/>
      </c>
    </row>
    <row r="1992" customFormat="false" ht="15" hidden="false" customHeight="false" outlineLevel="0" collapsed="false">
      <c r="E1992" s="0" t="str">
        <f aca="false">IF(B1992="","",LOWER(B1992)&amp;"|"&amp;C1992)</f>
        <v/>
      </c>
    </row>
    <row r="1993" customFormat="false" ht="15" hidden="false" customHeight="false" outlineLevel="0" collapsed="false">
      <c r="E1993" s="0" t="str">
        <f aca="false">IF(B1993="","",LOWER(B1993)&amp;"|"&amp;C1993)</f>
        <v/>
      </c>
    </row>
    <row r="1994" customFormat="false" ht="15" hidden="false" customHeight="false" outlineLevel="0" collapsed="false">
      <c r="E1994" s="0" t="str">
        <f aca="false">IF(B1994="","",LOWER(B1994)&amp;"|"&amp;C1994)</f>
        <v/>
      </c>
    </row>
    <row r="1995" customFormat="false" ht="15" hidden="false" customHeight="false" outlineLevel="0" collapsed="false">
      <c r="E1995" s="0" t="str">
        <f aca="false">IF(B1995="","",LOWER(B1995)&amp;"|"&amp;C1995)</f>
        <v/>
      </c>
    </row>
    <row r="1996" customFormat="false" ht="15" hidden="false" customHeight="false" outlineLevel="0" collapsed="false">
      <c r="E1996" s="0" t="str">
        <f aca="false">IF(B1996="","",LOWER(B1996)&amp;"|"&amp;C1996)</f>
        <v/>
      </c>
    </row>
    <row r="1997" customFormat="false" ht="15" hidden="false" customHeight="false" outlineLevel="0" collapsed="false">
      <c r="E1997" s="0" t="str">
        <f aca="false">IF(B1997="","",LOWER(B1997)&amp;"|"&amp;C1997)</f>
        <v/>
      </c>
    </row>
    <row r="1998" customFormat="false" ht="15" hidden="false" customHeight="false" outlineLevel="0" collapsed="false">
      <c r="E1998" s="0" t="str">
        <f aca="false">IF(B1998="","",LOWER(B1998)&amp;"|"&amp;C1998)</f>
        <v/>
      </c>
    </row>
    <row r="1999" customFormat="false" ht="15" hidden="false" customHeight="false" outlineLevel="0" collapsed="false">
      <c r="E1999" s="0" t="str">
        <f aca="false">IF(B1999="","",LOWER(B1999)&amp;"|"&amp;C1999)</f>
        <v/>
      </c>
    </row>
    <row r="2000" customFormat="false" ht="15" hidden="false" customHeight="false" outlineLevel="0" collapsed="false">
      <c r="E2000" s="0" t="str">
        <f aca="false">IF(B2000="","",LOWER(B2000)&amp;"|"&amp;C2000)</f>
        <v/>
      </c>
    </row>
    <row r="2001" customFormat="false" ht="15" hidden="false" customHeight="false" outlineLevel="0" collapsed="false">
      <c r="E2001" s="0" t="str">
        <f aca="false">IF(B2001="","",LOWER(B2001)&amp;"|"&amp;C2001)</f>
        <v/>
      </c>
    </row>
    <row r="2002" customFormat="false" ht="15" hidden="false" customHeight="false" outlineLevel="0" collapsed="false">
      <c r="E2002" s="0" t="str">
        <f aca="false">IF(B2002="","",LOWER(B2002)&amp;"|"&amp;C2002)</f>
        <v/>
      </c>
    </row>
    <row r="2003" customFormat="false" ht="15" hidden="false" customHeight="false" outlineLevel="0" collapsed="false">
      <c r="E2003" s="0" t="str">
        <f aca="false">IF(B2003="","",LOWER(B2003)&amp;"|"&amp;C2003)</f>
        <v/>
      </c>
    </row>
    <row r="2004" customFormat="false" ht="15" hidden="false" customHeight="false" outlineLevel="0" collapsed="false">
      <c r="E2004" s="0" t="str">
        <f aca="false">IF(B2004="","",LOWER(B2004)&amp;"|"&amp;C2004)</f>
        <v/>
      </c>
    </row>
    <row r="2005" customFormat="false" ht="15" hidden="false" customHeight="false" outlineLevel="0" collapsed="false">
      <c r="E2005" s="0" t="str">
        <f aca="false">IF(B2005="","",LOWER(B2005)&amp;"|"&amp;C2005)</f>
        <v/>
      </c>
    </row>
    <row r="2006" customFormat="false" ht="15" hidden="false" customHeight="false" outlineLevel="0" collapsed="false">
      <c r="E2006" s="0" t="str">
        <f aca="false">IF(B2006="","",LOWER(B2006)&amp;"|"&amp;C2006)</f>
        <v/>
      </c>
    </row>
    <row r="2007" customFormat="false" ht="15" hidden="false" customHeight="false" outlineLevel="0" collapsed="false">
      <c r="E2007" s="0" t="str">
        <f aca="false">IF(B2007="","",LOWER(B2007)&amp;"|"&amp;C2007)</f>
        <v/>
      </c>
    </row>
    <row r="2008" customFormat="false" ht="15" hidden="false" customHeight="false" outlineLevel="0" collapsed="false">
      <c r="E2008" s="0" t="str">
        <f aca="false">IF(B2008="","",LOWER(B2008)&amp;"|"&amp;C2008)</f>
        <v/>
      </c>
    </row>
    <row r="2009" customFormat="false" ht="15" hidden="false" customHeight="false" outlineLevel="0" collapsed="false">
      <c r="E2009" s="0" t="str">
        <f aca="false">IF(B2009="","",LOWER(B2009)&amp;"|"&amp;C2009)</f>
        <v/>
      </c>
    </row>
    <row r="2010" customFormat="false" ht="15" hidden="false" customHeight="false" outlineLevel="0" collapsed="false">
      <c r="E2010" s="0" t="str">
        <f aca="false">IF(B2010="","",LOWER(B2010)&amp;"|"&amp;C2010)</f>
        <v/>
      </c>
    </row>
    <row r="2011" customFormat="false" ht="15" hidden="false" customHeight="false" outlineLevel="0" collapsed="false">
      <c r="E2011" s="0" t="str">
        <f aca="false">IF(B2011="","",LOWER(B2011)&amp;"|"&amp;C2011)</f>
        <v/>
      </c>
    </row>
    <row r="2012" customFormat="false" ht="15" hidden="false" customHeight="false" outlineLevel="0" collapsed="false">
      <c r="E2012" s="0" t="str">
        <f aca="false">IF(B2012="","",LOWER(B2012)&amp;"|"&amp;C2012)</f>
        <v/>
      </c>
    </row>
    <row r="2013" customFormat="false" ht="15" hidden="false" customHeight="false" outlineLevel="0" collapsed="false">
      <c r="E2013" s="0" t="str">
        <f aca="false">IF(B2013="","",LOWER(B2013)&amp;"|"&amp;C2013)</f>
        <v/>
      </c>
    </row>
    <row r="2014" customFormat="false" ht="15" hidden="false" customHeight="false" outlineLevel="0" collapsed="false">
      <c r="E2014" s="0" t="str">
        <f aca="false">IF(B2014="","",LOWER(B2014)&amp;"|"&amp;C2014)</f>
        <v/>
      </c>
    </row>
    <row r="2015" customFormat="false" ht="15" hidden="false" customHeight="false" outlineLevel="0" collapsed="false">
      <c r="E2015" s="0" t="str">
        <f aca="false">IF(B2015="","",LOWER(B2015)&amp;"|"&amp;C2015)</f>
        <v/>
      </c>
    </row>
    <row r="2016" customFormat="false" ht="15" hidden="false" customHeight="false" outlineLevel="0" collapsed="false">
      <c r="E2016" s="0" t="str">
        <f aca="false">IF(B2016="","",LOWER(B2016)&amp;"|"&amp;C2016)</f>
        <v/>
      </c>
    </row>
    <row r="2017" customFormat="false" ht="15" hidden="false" customHeight="false" outlineLevel="0" collapsed="false">
      <c r="E2017" s="0" t="str">
        <f aca="false">IF(B2017="","",LOWER(B2017)&amp;"|"&amp;C2017)</f>
        <v/>
      </c>
    </row>
    <row r="2018" customFormat="false" ht="15" hidden="false" customHeight="false" outlineLevel="0" collapsed="false">
      <c r="E2018" s="0" t="str">
        <f aca="false">IF(B2018="","",LOWER(B2018)&amp;"|"&amp;C2018)</f>
        <v/>
      </c>
    </row>
    <row r="2019" customFormat="false" ht="15" hidden="false" customHeight="false" outlineLevel="0" collapsed="false">
      <c r="E2019" s="0" t="str">
        <f aca="false">IF(B2019="","",LOWER(B2019)&amp;"|"&amp;C2019)</f>
        <v/>
      </c>
    </row>
    <row r="2020" customFormat="false" ht="15" hidden="false" customHeight="false" outlineLevel="0" collapsed="false">
      <c r="E2020" s="0" t="str">
        <f aca="false">IF(B2020="","",LOWER(B2020)&amp;"|"&amp;C2020)</f>
        <v/>
      </c>
    </row>
    <row r="2021" customFormat="false" ht="15" hidden="false" customHeight="false" outlineLevel="0" collapsed="false">
      <c r="E2021" s="0" t="str">
        <f aca="false">IF(B2021="","",LOWER(B2021)&amp;"|"&amp;C2021)</f>
        <v/>
      </c>
    </row>
    <row r="2022" customFormat="false" ht="15" hidden="false" customHeight="false" outlineLevel="0" collapsed="false">
      <c r="E2022" s="0" t="str">
        <f aca="false">IF(B2022="","",LOWER(B2022)&amp;"|"&amp;C2022)</f>
        <v/>
      </c>
    </row>
    <row r="2023" customFormat="false" ht="15" hidden="false" customHeight="false" outlineLevel="0" collapsed="false">
      <c r="E2023" s="0" t="str">
        <f aca="false">IF(B2023="","",LOWER(B2023)&amp;"|"&amp;C2023)</f>
        <v/>
      </c>
    </row>
    <row r="2024" customFormat="false" ht="15" hidden="false" customHeight="false" outlineLevel="0" collapsed="false">
      <c r="E2024" s="0" t="str">
        <f aca="false">IF(B2024="","",LOWER(B2024)&amp;"|"&amp;C2024)</f>
        <v/>
      </c>
    </row>
    <row r="2025" customFormat="false" ht="15" hidden="false" customHeight="false" outlineLevel="0" collapsed="false">
      <c r="E2025" s="0" t="str">
        <f aca="false">IF(B2025="","",LOWER(B2025)&amp;"|"&amp;C2025)</f>
        <v/>
      </c>
    </row>
    <row r="2026" customFormat="false" ht="15" hidden="false" customHeight="false" outlineLevel="0" collapsed="false">
      <c r="E2026" s="0" t="str">
        <f aca="false">IF(B2026="","",LOWER(B2026)&amp;"|"&amp;C2026)</f>
        <v/>
      </c>
    </row>
    <row r="2027" customFormat="false" ht="15" hidden="false" customHeight="false" outlineLevel="0" collapsed="false">
      <c r="E2027" s="0" t="str">
        <f aca="false">IF(B2027="","",LOWER(B2027)&amp;"|"&amp;C2027)</f>
        <v/>
      </c>
    </row>
    <row r="2028" customFormat="false" ht="15" hidden="false" customHeight="false" outlineLevel="0" collapsed="false">
      <c r="E2028" s="0" t="str">
        <f aca="false">IF(B2028="","",LOWER(B2028)&amp;"|"&amp;C2028)</f>
        <v/>
      </c>
    </row>
    <row r="2029" customFormat="false" ht="15" hidden="false" customHeight="false" outlineLevel="0" collapsed="false">
      <c r="E2029" s="0" t="str">
        <f aca="false">IF(B2029="","",LOWER(B2029)&amp;"|"&amp;C2029)</f>
        <v/>
      </c>
    </row>
    <row r="2030" customFormat="false" ht="15" hidden="false" customHeight="false" outlineLevel="0" collapsed="false">
      <c r="E2030" s="0" t="str">
        <f aca="false">IF(B2030="","",LOWER(B2030)&amp;"|"&amp;C2030)</f>
        <v/>
      </c>
    </row>
    <row r="2031" customFormat="false" ht="15" hidden="false" customHeight="false" outlineLevel="0" collapsed="false">
      <c r="E2031" s="0" t="str">
        <f aca="false">IF(B2031="","",LOWER(B2031)&amp;"|"&amp;C2031)</f>
        <v/>
      </c>
    </row>
    <row r="2032" customFormat="false" ht="15" hidden="false" customHeight="false" outlineLevel="0" collapsed="false">
      <c r="E2032" s="0" t="str">
        <f aca="false">IF(B2032="","",LOWER(B2032)&amp;"|"&amp;C2032)</f>
        <v/>
      </c>
    </row>
    <row r="2033" customFormat="false" ht="15" hidden="false" customHeight="false" outlineLevel="0" collapsed="false">
      <c r="E2033" s="0" t="str">
        <f aca="false">IF(B2033="","",LOWER(B2033)&amp;"|"&amp;C2033)</f>
        <v/>
      </c>
    </row>
    <row r="2034" customFormat="false" ht="15" hidden="false" customHeight="false" outlineLevel="0" collapsed="false">
      <c r="E2034" s="0" t="str">
        <f aca="false">IF(B2034="","",LOWER(B2034)&amp;"|"&amp;C2034)</f>
        <v/>
      </c>
    </row>
    <row r="2035" customFormat="false" ht="15" hidden="false" customHeight="false" outlineLevel="0" collapsed="false">
      <c r="E2035" s="0" t="str">
        <f aca="false">IF(B2035="","",LOWER(B2035)&amp;"|"&amp;C2035)</f>
        <v/>
      </c>
    </row>
    <row r="2036" customFormat="false" ht="15" hidden="false" customHeight="false" outlineLevel="0" collapsed="false">
      <c r="E2036" s="0" t="str">
        <f aca="false">IF(B2036="","",LOWER(B2036)&amp;"|"&amp;C2036)</f>
        <v/>
      </c>
    </row>
    <row r="2037" customFormat="false" ht="15" hidden="false" customHeight="false" outlineLevel="0" collapsed="false">
      <c r="E2037" s="0" t="str">
        <f aca="false">IF(B2037="","",LOWER(B2037)&amp;"|"&amp;C2037)</f>
        <v/>
      </c>
    </row>
    <row r="2038" customFormat="false" ht="15" hidden="false" customHeight="false" outlineLevel="0" collapsed="false">
      <c r="E2038" s="0" t="str">
        <f aca="false">IF(B2038="","",LOWER(B2038)&amp;"|"&amp;C2038)</f>
        <v/>
      </c>
    </row>
    <row r="2039" customFormat="false" ht="15" hidden="false" customHeight="false" outlineLevel="0" collapsed="false">
      <c r="E2039" s="0" t="str">
        <f aca="false">IF(B2039="","",LOWER(B2039)&amp;"|"&amp;C2039)</f>
        <v/>
      </c>
    </row>
    <row r="2040" customFormat="false" ht="15" hidden="false" customHeight="false" outlineLevel="0" collapsed="false">
      <c r="E2040" s="0" t="str">
        <f aca="false">IF(B2040="","",LOWER(B2040)&amp;"|"&amp;C2040)</f>
        <v/>
      </c>
    </row>
    <row r="2041" customFormat="false" ht="15" hidden="false" customHeight="false" outlineLevel="0" collapsed="false">
      <c r="E2041" s="0" t="str">
        <f aca="false">IF(B2041="","",LOWER(B2041)&amp;"|"&amp;C2041)</f>
        <v/>
      </c>
    </row>
    <row r="2042" customFormat="false" ht="15" hidden="false" customHeight="false" outlineLevel="0" collapsed="false">
      <c r="E2042" s="0" t="str">
        <f aca="false">IF(B2042="","",LOWER(B2042)&amp;"|"&amp;C2042)</f>
        <v/>
      </c>
    </row>
    <row r="2043" customFormat="false" ht="15" hidden="false" customHeight="false" outlineLevel="0" collapsed="false">
      <c r="E2043" s="0" t="str">
        <f aca="false">IF(B2043="","",LOWER(B2043)&amp;"|"&amp;C2043)</f>
        <v/>
      </c>
    </row>
    <row r="2044" customFormat="false" ht="15" hidden="false" customHeight="false" outlineLevel="0" collapsed="false">
      <c r="E2044" s="0" t="str">
        <f aca="false">IF(B2044="","",LOWER(B2044)&amp;"|"&amp;C2044)</f>
        <v/>
      </c>
    </row>
    <row r="2045" customFormat="false" ht="15" hidden="false" customHeight="false" outlineLevel="0" collapsed="false">
      <c r="E2045" s="0" t="str">
        <f aca="false">IF(B2045="","",LOWER(B2045)&amp;"|"&amp;C2045)</f>
        <v/>
      </c>
    </row>
    <row r="2046" customFormat="false" ht="15" hidden="false" customHeight="false" outlineLevel="0" collapsed="false">
      <c r="E2046" s="0" t="str">
        <f aca="false">IF(B2046="","",LOWER(B2046)&amp;"|"&amp;C2046)</f>
        <v/>
      </c>
    </row>
    <row r="2047" customFormat="false" ht="15" hidden="false" customHeight="false" outlineLevel="0" collapsed="false">
      <c r="E2047" s="0" t="str">
        <f aca="false">IF(B2047="","",LOWER(B2047)&amp;"|"&amp;C2047)</f>
        <v/>
      </c>
    </row>
    <row r="2048" customFormat="false" ht="15" hidden="false" customHeight="false" outlineLevel="0" collapsed="false">
      <c r="E2048" s="0" t="str">
        <f aca="false">IF(B2048="","",LOWER(B2048)&amp;"|"&amp;C2048)</f>
        <v/>
      </c>
    </row>
    <row r="2049" customFormat="false" ht="15" hidden="false" customHeight="false" outlineLevel="0" collapsed="false">
      <c r="E2049" s="0" t="str">
        <f aca="false">IF(B2049="","",LOWER(B2049)&amp;"|"&amp;C2049)</f>
        <v/>
      </c>
    </row>
    <row r="2050" customFormat="false" ht="15" hidden="false" customHeight="false" outlineLevel="0" collapsed="false">
      <c r="E2050" s="0" t="str">
        <f aca="false">IF(B2050="","",LOWER(B2050)&amp;"|"&amp;C2050)</f>
        <v/>
      </c>
    </row>
    <row r="2051" customFormat="false" ht="15" hidden="false" customHeight="false" outlineLevel="0" collapsed="false">
      <c r="E2051" s="0" t="str">
        <f aca="false">IF(B2051="","",LOWER(B2051)&amp;"|"&amp;C2051)</f>
        <v/>
      </c>
    </row>
    <row r="2052" customFormat="false" ht="15" hidden="false" customHeight="false" outlineLevel="0" collapsed="false">
      <c r="E2052" s="0" t="str">
        <f aca="false">IF(B2052="","",LOWER(B2052)&amp;"|"&amp;C2052)</f>
        <v/>
      </c>
    </row>
    <row r="2053" customFormat="false" ht="15" hidden="false" customHeight="false" outlineLevel="0" collapsed="false">
      <c r="E2053" s="0" t="str">
        <f aca="false">IF(B2053="","",LOWER(B2053)&amp;"|"&amp;C2053)</f>
        <v/>
      </c>
    </row>
    <row r="2054" customFormat="false" ht="15" hidden="false" customHeight="false" outlineLevel="0" collapsed="false">
      <c r="E2054" s="0" t="str">
        <f aca="false">IF(B2054="","",LOWER(B2054)&amp;"|"&amp;C2054)</f>
        <v/>
      </c>
    </row>
    <row r="2055" customFormat="false" ht="15" hidden="false" customHeight="false" outlineLevel="0" collapsed="false">
      <c r="E2055" s="0" t="str">
        <f aca="false">IF(B2055="","",LOWER(B2055)&amp;"|"&amp;C2055)</f>
        <v/>
      </c>
    </row>
    <row r="2056" customFormat="false" ht="15" hidden="false" customHeight="false" outlineLevel="0" collapsed="false">
      <c r="E2056" s="0" t="str">
        <f aca="false">IF(B2056="","",LOWER(B2056)&amp;"|"&amp;C2056)</f>
        <v/>
      </c>
    </row>
    <row r="2057" customFormat="false" ht="15" hidden="false" customHeight="false" outlineLevel="0" collapsed="false">
      <c r="E2057" s="0" t="str">
        <f aca="false">IF(B2057="","",LOWER(B2057)&amp;"|"&amp;C2057)</f>
        <v/>
      </c>
    </row>
    <row r="2058" customFormat="false" ht="15" hidden="false" customHeight="false" outlineLevel="0" collapsed="false">
      <c r="E2058" s="0" t="str">
        <f aca="false">IF(B2058="","",LOWER(B2058)&amp;"|"&amp;C2058)</f>
        <v/>
      </c>
    </row>
    <row r="2059" customFormat="false" ht="15" hidden="false" customHeight="false" outlineLevel="0" collapsed="false">
      <c r="E2059" s="0" t="str">
        <f aca="false">IF(B2059="","",LOWER(B2059)&amp;"|"&amp;C2059)</f>
        <v/>
      </c>
    </row>
    <row r="2060" customFormat="false" ht="15" hidden="false" customHeight="false" outlineLevel="0" collapsed="false">
      <c r="E2060" s="0" t="str">
        <f aca="false">IF(B2060="","",LOWER(B2060)&amp;"|"&amp;C2060)</f>
        <v/>
      </c>
    </row>
    <row r="2061" customFormat="false" ht="15" hidden="false" customHeight="false" outlineLevel="0" collapsed="false">
      <c r="E2061" s="0" t="str">
        <f aca="false">IF(B2061="","",LOWER(B2061)&amp;"|"&amp;C2061)</f>
        <v/>
      </c>
    </row>
    <row r="2062" customFormat="false" ht="15" hidden="false" customHeight="false" outlineLevel="0" collapsed="false">
      <c r="E2062" s="0" t="str">
        <f aca="false">IF(B2062="","",LOWER(B2062)&amp;"|"&amp;C2062)</f>
        <v/>
      </c>
    </row>
    <row r="2063" customFormat="false" ht="15" hidden="false" customHeight="false" outlineLevel="0" collapsed="false">
      <c r="E2063" s="0" t="str">
        <f aca="false">IF(B2063="","",LOWER(B2063)&amp;"|"&amp;C2063)</f>
        <v/>
      </c>
    </row>
    <row r="2064" customFormat="false" ht="15" hidden="false" customHeight="false" outlineLevel="0" collapsed="false">
      <c r="E2064" s="0" t="str">
        <f aca="false">IF(B2064="","",LOWER(B2064)&amp;"|"&amp;C2064)</f>
        <v/>
      </c>
    </row>
    <row r="2065" customFormat="false" ht="15" hidden="false" customHeight="false" outlineLevel="0" collapsed="false">
      <c r="E2065" s="0" t="str">
        <f aca="false">IF(B2065="","",LOWER(B2065)&amp;"|"&amp;C2065)</f>
        <v/>
      </c>
    </row>
    <row r="2066" customFormat="false" ht="15" hidden="false" customHeight="false" outlineLevel="0" collapsed="false">
      <c r="E2066" s="0" t="str">
        <f aca="false">IF(B2066="","",LOWER(B2066)&amp;"|"&amp;C2066)</f>
        <v/>
      </c>
    </row>
    <row r="2067" customFormat="false" ht="15" hidden="false" customHeight="false" outlineLevel="0" collapsed="false">
      <c r="E2067" s="0" t="str">
        <f aca="false">IF(B2067="","",LOWER(B2067)&amp;"|"&amp;C2067)</f>
        <v/>
      </c>
    </row>
    <row r="2068" customFormat="false" ht="15" hidden="false" customHeight="false" outlineLevel="0" collapsed="false">
      <c r="E2068" s="0" t="str">
        <f aca="false">IF(B2068="","",LOWER(B2068)&amp;"|"&amp;C2068)</f>
        <v/>
      </c>
    </row>
    <row r="2069" customFormat="false" ht="15" hidden="false" customHeight="false" outlineLevel="0" collapsed="false">
      <c r="E2069" s="0" t="str">
        <f aca="false">IF(B2069="","",LOWER(B2069)&amp;"|"&amp;C2069)</f>
        <v/>
      </c>
    </row>
    <row r="2070" customFormat="false" ht="15" hidden="false" customHeight="false" outlineLevel="0" collapsed="false">
      <c r="E2070" s="0" t="str">
        <f aca="false">IF(B2070="","",LOWER(B2070)&amp;"|"&amp;C2070)</f>
        <v/>
      </c>
    </row>
    <row r="2071" customFormat="false" ht="15" hidden="false" customHeight="false" outlineLevel="0" collapsed="false">
      <c r="E2071" s="0" t="str">
        <f aca="false">IF(B2071="","",LOWER(B2071)&amp;"|"&amp;C2071)</f>
        <v/>
      </c>
    </row>
    <row r="2072" customFormat="false" ht="15" hidden="false" customHeight="false" outlineLevel="0" collapsed="false">
      <c r="E2072" s="0" t="str">
        <f aca="false">IF(B2072="","",LOWER(B2072)&amp;"|"&amp;C2072)</f>
        <v/>
      </c>
    </row>
    <row r="2073" customFormat="false" ht="15" hidden="false" customHeight="false" outlineLevel="0" collapsed="false">
      <c r="E2073" s="0" t="str">
        <f aca="false">IF(B2073="","",LOWER(B2073)&amp;"|"&amp;C2073)</f>
        <v/>
      </c>
    </row>
    <row r="2074" customFormat="false" ht="15" hidden="false" customHeight="false" outlineLevel="0" collapsed="false">
      <c r="E2074" s="0" t="str">
        <f aca="false">IF(B2074="","",LOWER(B2074)&amp;"|"&amp;C2074)</f>
        <v/>
      </c>
    </row>
    <row r="2075" customFormat="false" ht="15" hidden="false" customHeight="false" outlineLevel="0" collapsed="false">
      <c r="E2075" s="0" t="str">
        <f aca="false">IF(B2075="","",LOWER(B2075)&amp;"|"&amp;C2075)</f>
        <v/>
      </c>
    </row>
    <row r="2076" customFormat="false" ht="15" hidden="false" customHeight="false" outlineLevel="0" collapsed="false">
      <c r="E2076" s="0" t="str">
        <f aca="false">IF(B2076="","",LOWER(B2076)&amp;"|"&amp;C2076)</f>
        <v/>
      </c>
    </row>
    <row r="2077" customFormat="false" ht="15" hidden="false" customHeight="false" outlineLevel="0" collapsed="false">
      <c r="E2077" s="0" t="str">
        <f aca="false">IF(B2077="","",LOWER(B2077)&amp;"|"&amp;C2077)</f>
        <v/>
      </c>
    </row>
    <row r="2078" customFormat="false" ht="15" hidden="false" customHeight="false" outlineLevel="0" collapsed="false">
      <c r="E2078" s="0" t="str">
        <f aca="false">IF(B2078="","",LOWER(B2078)&amp;"|"&amp;C2078)</f>
        <v/>
      </c>
    </row>
    <row r="2079" customFormat="false" ht="15" hidden="false" customHeight="false" outlineLevel="0" collapsed="false">
      <c r="E2079" s="0" t="str">
        <f aca="false">IF(B2079="","",LOWER(B2079)&amp;"|"&amp;C2079)</f>
        <v/>
      </c>
    </row>
    <row r="2080" customFormat="false" ht="15" hidden="false" customHeight="false" outlineLevel="0" collapsed="false">
      <c r="E2080" s="0" t="str">
        <f aca="false">IF(B2080="","",LOWER(B2080)&amp;"|"&amp;C2080)</f>
        <v/>
      </c>
    </row>
    <row r="2081" customFormat="false" ht="15" hidden="false" customHeight="false" outlineLevel="0" collapsed="false">
      <c r="E2081" s="0" t="str">
        <f aca="false">IF(B2081="","",LOWER(B2081)&amp;"|"&amp;C2081)</f>
        <v/>
      </c>
    </row>
    <row r="2082" customFormat="false" ht="15" hidden="false" customHeight="false" outlineLevel="0" collapsed="false">
      <c r="E2082" s="0" t="str">
        <f aca="false">IF(B2082="","",LOWER(B2082)&amp;"|"&amp;C2082)</f>
        <v/>
      </c>
    </row>
    <row r="2083" customFormat="false" ht="15" hidden="false" customHeight="false" outlineLevel="0" collapsed="false">
      <c r="E2083" s="0" t="str">
        <f aca="false">IF(B2083="","",LOWER(B2083)&amp;"|"&amp;C2083)</f>
        <v/>
      </c>
    </row>
    <row r="2084" customFormat="false" ht="15" hidden="false" customHeight="false" outlineLevel="0" collapsed="false">
      <c r="E2084" s="0" t="str">
        <f aca="false">IF(B2084="","",LOWER(B2084)&amp;"|"&amp;C2084)</f>
        <v/>
      </c>
    </row>
    <row r="2085" customFormat="false" ht="15" hidden="false" customHeight="false" outlineLevel="0" collapsed="false">
      <c r="E2085" s="0" t="str">
        <f aca="false">IF(B2085="","",LOWER(B2085)&amp;"|"&amp;C2085)</f>
        <v/>
      </c>
    </row>
    <row r="2086" customFormat="false" ht="15" hidden="false" customHeight="false" outlineLevel="0" collapsed="false">
      <c r="E2086" s="0" t="str">
        <f aca="false">IF(B2086="","",LOWER(B2086)&amp;"|"&amp;C2086)</f>
        <v/>
      </c>
    </row>
    <row r="2087" customFormat="false" ht="15" hidden="false" customHeight="false" outlineLevel="0" collapsed="false">
      <c r="E2087" s="0" t="str">
        <f aca="false">IF(B2087="","",LOWER(B2087)&amp;"|"&amp;C2087)</f>
        <v/>
      </c>
    </row>
    <row r="2088" customFormat="false" ht="15" hidden="false" customHeight="false" outlineLevel="0" collapsed="false">
      <c r="E2088" s="0" t="str">
        <f aca="false">IF(B2088="","",LOWER(B2088)&amp;"|"&amp;C2088)</f>
        <v/>
      </c>
    </row>
    <row r="2089" customFormat="false" ht="15" hidden="false" customHeight="false" outlineLevel="0" collapsed="false">
      <c r="E2089" s="0" t="str">
        <f aca="false">IF(B2089="","",LOWER(B2089)&amp;"|"&amp;C2089)</f>
        <v/>
      </c>
    </row>
    <row r="2090" customFormat="false" ht="15" hidden="false" customHeight="false" outlineLevel="0" collapsed="false">
      <c r="E2090" s="0" t="str">
        <f aca="false">IF(B2090="","",LOWER(B2090)&amp;"|"&amp;C2090)</f>
        <v/>
      </c>
    </row>
    <row r="2091" customFormat="false" ht="15" hidden="false" customHeight="false" outlineLevel="0" collapsed="false">
      <c r="E2091" s="0" t="str">
        <f aca="false">IF(B2091="","",LOWER(B2091)&amp;"|"&amp;C2091)</f>
        <v/>
      </c>
    </row>
    <row r="2092" customFormat="false" ht="15" hidden="false" customHeight="false" outlineLevel="0" collapsed="false">
      <c r="E2092" s="0" t="str">
        <f aca="false">IF(B2092="","",LOWER(B2092)&amp;"|"&amp;C2092)</f>
        <v/>
      </c>
    </row>
    <row r="2093" customFormat="false" ht="15" hidden="false" customHeight="false" outlineLevel="0" collapsed="false">
      <c r="E2093" s="0" t="str">
        <f aca="false">IF(B2093="","",LOWER(B2093)&amp;"|"&amp;C2093)</f>
        <v/>
      </c>
    </row>
    <row r="2094" customFormat="false" ht="15" hidden="false" customHeight="false" outlineLevel="0" collapsed="false">
      <c r="E2094" s="0" t="str">
        <f aca="false">IF(B2094="","",LOWER(B2094)&amp;"|"&amp;C2094)</f>
        <v/>
      </c>
    </row>
    <row r="2095" customFormat="false" ht="15" hidden="false" customHeight="false" outlineLevel="0" collapsed="false">
      <c r="E2095" s="0" t="str">
        <f aca="false">IF(B2095="","",LOWER(B2095)&amp;"|"&amp;C2095)</f>
        <v/>
      </c>
    </row>
    <row r="2096" customFormat="false" ht="15" hidden="false" customHeight="false" outlineLevel="0" collapsed="false">
      <c r="E2096" s="0" t="str">
        <f aca="false">IF(B2096="","",LOWER(B2096)&amp;"|"&amp;C2096)</f>
        <v/>
      </c>
    </row>
    <row r="2097" customFormat="false" ht="15" hidden="false" customHeight="false" outlineLevel="0" collapsed="false">
      <c r="E2097" s="0" t="str">
        <f aca="false">IF(B2097="","",LOWER(B2097)&amp;"|"&amp;C2097)</f>
        <v/>
      </c>
    </row>
    <row r="2098" customFormat="false" ht="15" hidden="false" customHeight="false" outlineLevel="0" collapsed="false">
      <c r="E2098" s="0" t="str">
        <f aca="false">IF(B2098="","",LOWER(B2098)&amp;"|"&amp;C2098)</f>
        <v/>
      </c>
    </row>
    <row r="2099" customFormat="false" ht="15" hidden="false" customHeight="false" outlineLevel="0" collapsed="false">
      <c r="E2099" s="0" t="str">
        <f aca="false">IF(B2099="","",LOWER(B2099)&amp;"|"&amp;C2099)</f>
        <v/>
      </c>
    </row>
    <row r="2100" customFormat="false" ht="15" hidden="false" customHeight="false" outlineLevel="0" collapsed="false">
      <c r="E2100" s="0" t="str">
        <f aca="false">IF(B2100="","",LOWER(B2100)&amp;"|"&amp;C2100)</f>
        <v/>
      </c>
    </row>
    <row r="2101" customFormat="false" ht="15" hidden="false" customHeight="false" outlineLevel="0" collapsed="false">
      <c r="E2101" s="0" t="str">
        <f aca="false">IF(B2101="","",LOWER(B2101)&amp;"|"&amp;C2101)</f>
        <v/>
      </c>
    </row>
    <row r="2102" customFormat="false" ht="15" hidden="false" customHeight="false" outlineLevel="0" collapsed="false">
      <c r="E2102" s="0" t="str">
        <f aca="false">IF(B2102="","",LOWER(B2102)&amp;"|"&amp;C2102)</f>
        <v/>
      </c>
    </row>
    <row r="2103" customFormat="false" ht="15" hidden="false" customHeight="false" outlineLevel="0" collapsed="false">
      <c r="E2103" s="0" t="str">
        <f aca="false">IF(B2103="","",LOWER(B2103)&amp;"|"&amp;C2103)</f>
        <v/>
      </c>
    </row>
    <row r="2104" customFormat="false" ht="15" hidden="false" customHeight="false" outlineLevel="0" collapsed="false">
      <c r="E2104" s="0" t="str">
        <f aca="false">IF(B2104="","",LOWER(B2104)&amp;"|"&amp;C2104)</f>
        <v/>
      </c>
    </row>
    <row r="2105" customFormat="false" ht="15" hidden="false" customHeight="false" outlineLevel="0" collapsed="false">
      <c r="E2105" s="0" t="str">
        <f aca="false">IF(B2105="","",LOWER(B2105)&amp;"|"&amp;C2105)</f>
        <v/>
      </c>
    </row>
    <row r="2106" customFormat="false" ht="15" hidden="false" customHeight="false" outlineLevel="0" collapsed="false">
      <c r="E2106" s="0" t="str">
        <f aca="false">IF(B2106="","",LOWER(B2106)&amp;"|"&amp;C2106)</f>
        <v/>
      </c>
    </row>
    <row r="2107" customFormat="false" ht="15" hidden="false" customHeight="false" outlineLevel="0" collapsed="false">
      <c r="E2107" s="0" t="str">
        <f aca="false">IF(B2107="","",LOWER(B2107)&amp;"|"&amp;C2107)</f>
        <v/>
      </c>
    </row>
    <row r="2108" customFormat="false" ht="15" hidden="false" customHeight="false" outlineLevel="0" collapsed="false">
      <c r="E2108" s="0" t="str">
        <f aca="false">IF(B2108="","",LOWER(B2108)&amp;"|"&amp;C2108)</f>
        <v/>
      </c>
    </row>
    <row r="2109" customFormat="false" ht="15" hidden="false" customHeight="false" outlineLevel="0" collapsed="false">
      <c r="E2109" s="0" t="str">
        <f aca="false">IF(B2109="","",LOWER(B2109)&amp;"|"&amp;C2109)</f>
        <v/>
      </c>
    </row>
    <row r="2110" customFormat="false" ht="15" hidden="false" customHeight="false" outlineLevel="0" collapsed="false">
      <c r="E2110" s="0" t="str">
        <f aca="false">IF(B2110="","",LOWER(B2110)&amp;"|"&amp;C2110)</f>
        <v/>
      </c>
    </row>
    <row r="2111" customFormat="false" ht="15" hidden="false" customHeight="false" outlineLevel="0" collapsed="false">
      <c r="E2111" s="0" t="str">
        <f aca="false">IF(B2111="","",LOWER(B2111)&amp;"|"&amp;C2111)</f>
        <v/>
      </c>
    </row>
    <row r="2112" customFormat="false" ht="15" hidden="false" customHeight="false" outlineLevel="0" collapsed="false">
      <c r="E2112" s="0" t="str">
        <f aca="false">IF(B2112="","",LOWER(B2112)&amp;"|"&amp;C2112)</f>
        <v/>
      </c>
    </row>
    <row r="2113" customFormat="false" ht="15" hidden="false" customHeight="false" outlineLevel="0" collapsed="false">
      <c r="E2113" s="0" t="str">
        <f aca="false">IF(B2113="","",LOWER(B2113)&amp;"|"&amp;C2113)</f>
        <v/>
      </c>
    </row>
    <row r="2114" customFormat="false" ht="15" hidden="false" customHeight="false" outlineLevel="0" collapsed="false">
      <c r="E2114" s="0" t="str">
        <f aca="false">IF(B2114="","",LOWER(B2114)&amp;"|"&amp;C2114)</f>
        <v/>
      </c>
    </row>
    <row r="2115" customFormat="false" ht="15" hidden="false" customHeight="false" outlineLevel="0" collapsed="false">
      <c r="E2115" s="0" t="str">
        <f aca="false">IF(B2115="","",LOWER(B2115)&amp;"|"&amp;C2115)</f>
        <v/>
      </c>
    </row>
    <row r="2116" customFormat="false" ht="15" hidden="false" customHeight="false" outlineLevel="0" collapsed="false">
      <c r="E2116" s="0" t="str">
        <f aca="false">IF(B2116="","",LOWER(B2116)&amp;"|"&amp;C2116)</f>
        <v/>
      </c>
    </row>
    <row r="2117" customFormat="false" ht="15" hidden="false" customHeight="false" outlineLevel="0" collapsed="false">
      <c r="E2117" s="0" t="str">
        <f aca="false">IF(B2117="","",LOWER(B2117)&amp;"|"&amp;C2117)</f>
        <v/>
      </c>
    </row>
    <row r="2118" customFormat="false" ht="15" hidden="false" customHeight="false" outlineLevel="0" collapsed="false">
      <c r="E2118" s="0" t="str">
        <f aca="false">IF(B2118="","",LOWER(B2118)&amp;"|"&amp;C2118)</f>
        <v/>
      </c>
    </row>
    <row r="2119" customFormat="false" ht="15" hidden="false" customHeight="false" outlineLevel="0" collapsed="false">
      <c r="E2119" s="0" t="str">
        <f aca="false">IF(B2119="","",LOWER(B2119)&amp;"|"&amp;C2119)</f>
        <v/>
      </c>
    </row>
    <row r="2120" customFormat="false" ht="15" hidden="false" customHeight="false" outlineLevel="0" collapsed="false">
      <c r="E2120" s="0" t="str">
        <f aca="false">IF(B2120="","",LOWER(B2120)&amp;"|"&amp;C2120)</f>
        <v/>
      </c>
    </row>
    <row r="2121" customFormat="false" ht="15" hidden="false" customHeight="false" outlineLevel="0" collapsed="false">
      <c r="E2121" s="0" t="str">
        <f aca="false">IF(B2121="","",LOWER(B2121)&amp;"|"&amp;C2121)</f>
        <v/>
      </c>
    </row>
    <row r="2122" customFormat="false" ht="15" hidden="false" customHeight="false" outlineLevel="0" collapsed="false">
      <c r="E2122" s="0" t="str">
        <f aca="false">IF(B2122="","",LOWER(B2122)&amp;"|"&amp;C2122)</f>
        <v/>
      </c>
    </row>
    <row r="2123" customFormat="false" ht="15" hidden="false" customHeight="false" outlineLevel="0" collapsed="false">
      <c r="E2123" s="0" t="str">
        <f aca="false">IF(B2123="","",LOWER(B2123)&amp;"|"&amp;C2123)</f>
        <v/>
      </c>
    </row>
    <row r="2124" customFormat="false" ht="15" hidden="false" customHeight="false" outlineLevel="0" collapsed="false">
      <c r="E2124" s="0" t="str">
        <f aca="false">IF(B2124="","",LOWER(B2124)&amp;"|"&amp;C2124)</f>
        <v/>
      </c>
    </row>
    <row r="2125" customFormat="false" ht="15" hidden="false" customHeight="false" outlineLevel="0" collapsed="false">
      <c r="E2125" s="0" t="str">
        <f aca="false">IF(B2125="","",LOWER(B2125)&amp;"|"&amp;C2125)</f>
        <v/>
      </c>
    </row>
    <row r="2126" customFormat="false" ht="15" hidden="false" customHeight="false" outlineLevel="0" collapsed="false">
      <c r="E2126" s="0" t="str">
        <f aca="false">IF(B2126="","",LOWER(B2126)&amp;"|"&amp;C2126)</f>
        <v/>
      </c>
    </row>
    <row r="2127" customFormat="false" ht="15" hidden="false" customHeight="false" outlineLevel="0" collapsed="false">
      <c r="E2127" s="0" t="str">
        <f aca="false">IF(B2127="","",LOWER(B2127)&amp;"|"&amp;C2127)</f>
        <v/>
      </c>
    </row>
    <row r="2128" customFormat="false" ht="15" hidden="false" customHeight="false" outlineLevel="0" collapsed="false">
      <c r="E2128" s="0" t="str">
        <f aca="false">IF(B2128="","",LOWER(B2128)&amp;"|"&amp;C2128)</f>
        <v/>
      </c>
    </row>
    <row r="2129" customFormat="false" ht="15" hidden="false" customHeight="false" outlineLevel="0" collapsed="false">
      <c r="E2129" s="0" t="str">
        <f aca="false">IF(B2129="","",LOWER(B2129)&amp;"|"&amp;C2129)</f>
        <v/>
      </c>
    </row>
    <row r="2130" customFormat="false" ht="15" hidden="false" customHeight="false" outlineLevel="0" collapsed="false">
      <c r="E2130" s="0" t="str">
        <f aca="false">IF(B2130="","",LOWER(B2130)&amp;"|"&amp;C2130)</f>
        <v/>
      </c>
    </row>
    <row r="2131" customFormat="false" ht="15" hidden="false" customHeight="false" outlineLevel="0" collapsed="false">
      <c r="E2131" s="0" t="str">
        <f aca="false">IF(B2131="","",LOWER(B2131)&amp;"|"&amp;C2131)</f>
        <v/>
      </c>
    </row>
    <row r="2132" customFormat="false" ht="15" hidden="false" customHeight="false" outlineLevel="0" collapsed="false">
      <c r="E2132" s="0" t="str">
        <f aca="false">IF(B2132="","",LOWER(B2132)&amp;"|"&amp;C2132)</f>
        <v/>
      </c>
    </row>
    <row r="2133" customFormat="false" ht="15" hidden="false" customHeight="false" outlineLevel="0" collapsed="false">
      <c r="E2133" s="0" t="str">
        <f aca="false">IF(B2133="","",LOWER(B2133)&amp;"|"&amp;C2133)</f>
        <v/>
      </c>
    </row>
    <row r="2134" customFormat="false" ht="15" hidden="false" customHeight="false" outlineLevel="0" collapsed="false">
      <c r="E2134" s="0" t="str">
        <f aca="false">IF(B2134="","",LOWER(B2134)&amp;"|"&amp;C2134)</f>
        <v/>
      </c>
    </row>
    <row r="2135" customFormat="false" ht="15" hidden="false" customHeight="false" outlineLevel="0" collapsed="false">
      <c r="E2135" s="0" t="str">
        <f aca="false">IF(B2135="","",LOWER(B2135)&amp;"|"&amp;C2135)</f>
        <v/>
      </c>
    </row>
    <row r="2136" customFormat="false" ht="15" hidden="false" customHeight="false" outlineLevel="0" collapsed="false">
      <c r="E2136" s="0" t="str">
        <f aca="false">IF(B2136="","",LOWER(B2136)&amp;"|"&amp;C2136)</f>
        <v/>
      </c>
    </row>
    <row r="2137" customFormat="false" ht="15" hidden="false" customHeight="false" outlineLevel="0" collapsed="false">
      <c r="E2137" s="0" t="str">
        <f aca="false">IF(B2137="","",LOWER(B2137)&amp;"|"&amp;C2137)</f>
        <v/>
      </c>
    </row>
    <row r="2138" customFormat="false" ht="15" hidden="false" customHeight="false" outlineLevel="0" collapsed="false">
      <c r="E2138" s="0" t="str">
        <f aca="false">IF(B2138="","",LOWER(B2138)&amp;"|"&amp;C2138)</f>
        <v/>
      </c>
    </row>
    <row r="2139" customFormat="false" ht="15" hidden="false" customHeight="false" outlineLevel="0" collapsed="false">
      <c r="E2139" s="0" t="str">
        <f aca="false">IF(B2139="","",LOWER(B2139)&amp;"|"&amp;C2139)</f>
        <v/>
      </c>
    </row>
    <row r="2140" customFormat="false" ht="15" hidden="false" customHeight="false" outlineLevel="0" collapsed="false">
      <c r="E2140" s="0" t="str">
        <f aca="false">IF(B2140="","",LOWER(B2140)&amp;"|"&amp;C2140)</f>
        <v/>
      </c>
    </row>
    <row r="2141" customFormat="false" ht="15" hidden="false" customHeight="false" outlineLevel="0" collapsed="false">
      <c r="E2141" s="0" t="str">
        <f aca="false">IF(B2141="","",LOWER(B2141)&amp;"|"&amp;C2141)</f>
        <v/>
      </c>
    </row>
    <row r="2142" customFormat="false" ht="15" hidden="false" customHeight="false" outlineLevel="0" collapsed="false">
      <c r="E2142" s="0" t="str">
        <f aca="false">IF(B2142="","",LOWER(B2142)&amp;"|"&amp;C2142)</f>
        <v/>
      </c>
    </row>
    <row r="2143" customFormat="false" ht="15" hidden="false" customHeight="false" outlineLevel="0" collapsed="false">
      <c r="E2143" s="0" t="str">
        <f aca="false">IF(B2143="","",LOWER(B2143)&amp;"|"&amp;C2143)</f>
        <v/>
      </c>
    </row>
    <row r="2144" customFormat="false" ht="15" hidden="false" customHeight="false" outlineLevel="0" collapsed="false">
      <c r="E2144" s="0" t="str">
        <f aca="false">IF(B2144="","",LOWER(B2144)&amp;"|"&amp;C2144)</f>
        <v/>
      </c>
    </row>
    <row r="2145" customFormat="false" ht="15" hidden="false" customHeight="false" outlineLevel="0" collapsed="false">
      <c r="E2145" s="0" t="str">
        <f aca="false">IF(B2145="","",LOWER(B2145)&amp;"|"&amp;C2145)</f>
        <v/>
      </c>
    </row>
    <row r="2146" customFormat="false" ht="15" hidden="false" customHeight="false" outlineLevel="0" collapsed="false">
      <c r="E2146" s="0" t="str">
        <f aca="false">IF(B2146="","",LOWER(B2146)&amp;"|"&amp;C2146)</f>
        <v/>
      </c>
    </row>
    <row r="2147" customFormat="false" ht="15" hidden="false" customHeight="false" outlineLevel="0" collapsed="false">
      <c r="E2147" s="0" t="str">
        <f aca="false">IF(B2147="","",LOWER(B2147)&amp;"|"&amp;C2147)</f>
        <v/>
      </c>
    </row>
    <row r="2148" customFormat="false" ht="15" hidden="false" customHeight="false" outlineLevel="0" collapsed="false">
      <c r="E2148" s="0" t="str">
        <f aca="false">IF(B2148="","",LOWER(B2148)&amp;"|"&amp;C2148)</f>
        <v/>
      </c>
    </row>
    <row r="2149" customFormat="false" ht="15" hidden="false" customHeight="false" outlineLevel="0" collapsed="false">
      <c r="E2149" s="0" t="str">
        <f aca="false">IF(B2149="","",LOWER(B2149)&amp;"|"&amp;C2149)</f>
        <v/>
      </c>
    </row>
    <row r="2150" customFormat="false" ht="15" hidden="false" customHeight="false" outlineLevel="0" collapsed="false">
      <c r="E2150" s="0" t="str">
        <f aca="false">IF(B2150="","",LOWER(B2150)&amp;"|"&amp;C2150)</f>
        <v/>
      </c>
    </row>
    <row r="2151" customFormat="false" ht="15" hidden="false" customHeight="false" outlineLevel="0" collapsed="false">
      <c r="E2151" s="0" t="str">
        <f aca="false">IF(B2151="","",LOWER(B2151)&amp;"|"&amp;C2151)</f>
        <v/>
      </c>
    </row>
    <row r="2152" customFormat="false" ht="15" hidden="false" customHeight="false" outlineLevel="0" collapsed="false">
      <c r="E2152" s="0" t="str">
        <f aca="false">IF(B2152="","",LOWER(B2152)&amp;"|"&amp;C2152)</f>
        <v/>
      </c>
    </row>
    <row r="2153" customFormat="false" ht="15" hidden="false" customHeight="false" outlineLevel="0" collapsed="false">
      <c r="E2153" s="0" t="str">
        <f aca="false">IF(B2153="","",LOWER(B2153)&amp;"|"&amp;C2153)</f>
        <v/>
      </c>
    </row>
    <row r="2154" customFormat="false" ht="15" hidden="false" customHeight="false" outlineLevel="0" collapsed="false">
      <c r="E2154" s="0" t="str">
        <f aca="false">IF(B2154="","",LOWER(B2154)&amp;"|"&amp;C2154)</f>
        <v/>
      </c>
    </row>
    <row r="2155" customFormat="false" ht="15" hidden="false" customHeight="false" outlineLevel="0" collapsed="false">
      <c r="E2155" s="0" t="str">
        <f aca="false">IF(B2155="","",LOWER(B2155)&amp;"|"&amp;C2155)</f>
        <v/>
      </c>
    </row>
    <row r="2156" customFormat="false" ht="15" hidden="false" customHeight="false" outlineLevel="0" collapsed="false">
      <c r="E2156" s="0" t="str">
        <f aca="false">IF(B2156="","",LOWER(B2156)&amp;"|"&amp;C2156)</f>
        <v/>
      </c>
    </row>
    <row r="2157" customFormat="false" ht="15" hidden="false" customHeight="false" outlineLevel="0" collapsed="false">
      <c r="E2157" s="0" t="str">
        <f aca="false">IF(B2157="","",LOWER(B2157)&amp;"|"&amp;C2157)</f>
        <v/>
      </c>
    </row>
    <row r="2158" customFormat="false" ht="15" hidden="false" customHeight="false" outlineLevel="0" collapsed="false">
      <c r="E2158" s="0" t="str">
        <f aca="false">IF(B2158="","",LOWER(B2158)&amp;"|"&amp;C2158)</f>
        <v/>
      </c>
    </row>
    <row r="2159" customFormat="false" ht="15" hidden="false" customHeight="false" outlineLevel="0" collapsed="false">
      <c r="E2159" s="0" t="str">
        <f aca="false">IF(B2159="","",LOWER(B2159)&amp;"|"&amp;C2159)</f>
        <v/>
      </c>
    </row>
    <row r="2160" customFormat="false" ht="15" hidden="false" customHeight="false" outlineLevel="0" collapsed="false">
      <c r="E2160" s="0" t="str">
        <f aca="false">IF(B2160="","",LOWER(B2160)&amp;"|"&amp;C2160)</f>
        <v/>
      </c>
    </row>
    <row r="2161" customFormat="false" ht="15" hidden="false" customHeight="false" outlineLevel="0" collapsed="false">
      <c r="E2161" s="0" t="str">
        <f aca="false">IF(B2161="","",LOWER(B2161)&amp;"|"&amp;C2161)</f>
        <v/>
      </c>
    </row>
    <row r="2162" customFormat="false" ht="15" hidden="false" customHeight="false" outlineLevel="0" collapsed="false">
      <c r="E2162" s="0" t="str">
        <f aca="false">IF(B2162="","",LOWER(B2162)&amp;"|"&amp;C2162)</f>
        <v/>
      </c>
    </row>
    <row r="2163" customFormat="false" ht="15" hidden="false" customHeight="false" outlineLevel="0" collapsed="false">
      <c r="E2163" s="0" t="str">
        <f aca="false">IF(B2163="","",LOWER(B2163)&amp;"|"&amp;C2163)</f>
        <v/>
      </c>
    </row>
    <row r="2164" customFormat="false" ht="15" hidden="false" customHeight="false" outlineLevel="0" collapsed="false">
      <c r="E2164" s="0" t="str">
        <f aca="false">IF(B2164="","",LOWER(B2164)&amp;"|"&amp;C2164)</f>
        <v/>
      </c>
    </row>
    <row r="2165" customFormat="false" ht="15" hidden="false" customHeight="false" outlineLevel="0" collapsed="false">
      <c r="E2165" s="0" t="str">
        <f aca="false">IF(B2165="","",LOWER(B2165)&amp;"|"&amp;C2165)</f>
        <v/>
      </c>
    </row>
    <row r="2166" customFormat="false" ht="15" hidden="false" customHeight="false" outlineLevel="0" collapsed="false">
      <c r="E2166" s="0" t="str">
        <f aca="false">IF(B2166="","",LOWER(B2166)&amp;"|"&amp;C2166)</f>
        <v/>
      </c>
    </row>
    <row r="2167" customFormat="false" ht="15" hidden="false" customHeight="false" outlineLevel="0" collapsed="false">
      <c r="E2167" s="0" t="str">
        <f aca="false">IF(B2167="","",LOWER(B2167)&amp;"|"&amp;C2167)</f>
        <v/>
      </c>
    </row>
    <row r="2168" customFormat="false" ht="15" hidden="false" customHeight="false" outlineLevel="0" collapsed="false">
      <c r="E2168" s="0" t="str">
        <f aca="false">IF(B2168="","",LOWER(B2168)&amp;"|"&amp;C2168)</f>
        <v/>
      </c>
    </row>
    <row r="2169" customFormat="false" ht="15" hidden="false" customHeight="false" outlineLevel="0" collapsed="false">
      <c r="E2169" s="0" t="str">
        <f aca="false">IF(B2169="","",LOWER(B2169)&amp;"|"&amp;C2169)</f>
        <v/>
      </c>
    </row>
    <row r="2170" customFormat="false" ht="15" hidden="false" customHeight="false" outlineLevel="0" collapsed="false">
      <c r="E2170" s="0" t="str">
        <f aca="false">IF(B2170="","",LOWER(B2170)&amp;"|"&amp;C2170)</f>
        <v/>
      </c>
    </row>
    <row r="2171" customFormat="false" ht="15" hidden="false" customHeight="false" outlineLevel="0" collapsed="false">
      <c r="E2171" s="0" t="str">
        <f aca="false">IF(B2171="","",LOWER(B2171)&amp;"|"&amp;C2171)</f>
        <v/>
      </c>
    </row>
    <row r="2172" customFormat="false" ht="15" hidden="false" customHeight="false" outlineLevel="0" collapsed="false">
      <c r="E2172" s="0" t="str">
        <f aca="false">IF(B2172="","",LOWER(B2172)&amp;"|"&amp;C2172)</f>
        <v/>
      </c>
    </row>
    <row r="2173" customFormat="false" ht="15" hidden="false" customHeight="false" outlineLevel="0" collapsed="false">
      <c r="E2173" s="0" t="str">
        <f aca="false">IF(B2173="","",LOWER(B2173)&amp;"|"&amp;C2173)</f>
        <v/>
      </c>
    </row>
    <row r="2174" customFormat="false" ht="15" hidden="false" customHeight="false" outlineLevel="0" collapsed="false">
      <c r="E2174" s="0" t="str">
        <f aca="false">IF(B2174="","",LOWER(B2174)&amp;"|"&amp;C2174)</f>
        <v/>
      </c>
    </row>
    <row r="2175" customFormat="false" ht="15" hidden="false" customHeight="false" outlineLevel="0" collapsed="false">
      <c r="E2175" s="0" t="str">
        <f aca="false">IF(B2175="","",LOWER(B2175)&amp;"|"&amp;C2175)</f>
        <v/>
      </c>
    </row>
    <row r="2176" customFormat="false" ht="15" hidden="false" customHeight="false" outlineLevel="0" collapsed="false">
      <c r="E2176" s="0" t="str">
        <f aca="false">IF(B2176="","",LOWER(B2176)&amp;"|"&amp;C2176)</f>
        <v/>
      </c>
    </row>
    <row r="2177" customFormat="false" ht="15" hidden="false" customHeight="false" outlineLevel="0" collapsed="false">
      <c r="E2177" s="0" t="str">
        <f aca="false">IF(B2177="","",LOWER(B2177)&amp;"|"&amp;C2177)</f>
        <v/>
      </c>
    </row>
    <row r="2178" customFormat="false" ht="15" hidden="false" customHeight="false" outlineLevel="0" collapsed="false">
      <c r="E2178" s="0" t="str">
        <f aca="false">IF(B2178="","",LOWER(B2178)&amp;"|"&amp;C2178)</f>
        <v/>
      </c>
    </row>
    <row r="2179" customFormat="false" ht="15" hidden="false" customHeight="false" outlineLevel="0" collapsed="false">
      <c r="E2179" s="0" t="str">
        <f aca="false">IF(B2179="","",LOWER(B2179)&amp;"|"&amp;C2179)</f>
        <v/>
      </c>
    </row>
    <row r="2180" customFormat="false" ht="15" hidden="false" customHeight="false" outlineLevel="0" collapsed="false">
      <c r="E2180" s="0" t="str">
        <f aca="false">IF(B2180="","",LOWER(B2180)&amp;"|"&amp;C2180)</f>
        <v/>
      </c>
    </row>
    <row r="2181" customFormat="false" ht="15" hidden="false" customHeight="false" outlineLevel="0" collapsed="false">
      <c r="E2181" s="0" t="str">
        <f aca="false">IF(B2181="","",LOWER(B2181)&amp;"|"&amp;C2181)</f>
        <v/>
      </c>
    </row>
    <row r="2182" customFormat="false" ht="15" hidden="false" customHeight="false" outlineLevel="0" collapsed="false">
      <c r="E2182" s="0" t="str">
        <f aca="false">IF(B2182="","",LOWER(B2182)&amp;"|"&amp;C2182)</f>
        <v/>
      </c>
    </row>
    <row r="2183" customFormat="false" ht="15" hidden="false" customHeight="false" outlineLevel="0" collapsed="false">
      <c r="E2183" s="0" t="str">
        <f aca="false">IF(B2183="","",LOWER(B2183)&amp;"|"&amp;C2183)</f>
        <v/>
      </c>
    </row>
    <row r="2184" customFormat="false" ht="15" hidden="false" customHeight="false" outlineLevel="0" collapsed="false">
      <c r="E2184" s="0" t="str">
        <f aca="false">IF(B2184="","",LOWER(B2184)&amp;"|"&amp;C2184)</f>
        <v/>
      </c>
    </row>
    <row r="2185" customFormat="false" ht="15" hidden="false" customHeight="false" outlineLevel="0" collapsed="false">
      <c r="E2185" s="0" t="str">
        <f aca="false">IF(B2185="","",LOWER(B2185)&amp;"|"&amp;C2185)</f>
        <v/>
      </c>
    </row>
    <row r="2186" customFormat="false" ht="15" hidden="false" customHeight="false" outlineLevel="0" collapsed="false">
      <c r="E2186" s="0" t="str">
        <f aca="false">IF(B2186="","",LOWER(B2186)&amp;"|"&amp;C2186)</f>
        <v/>
      </c>
    </row>
    <row r="2187" customFormat="false" ht="15" hidden="false" customHeight="false" outlineLevel="0" collapsed="false">
      <c r="E2187" s="0" t="str">
        <f aca="false">IF(B2187="","",LOWER(B2187)&amp;"|"&amp;C2187)</f>
        <v/>
      </c>
    </row>
    <row r="2188" customFormat="false" ht="15" hidden="false" customHeight="false" outlineLevel="0" collapsed="false">
      <c r="E2188" s="0" t="str">
        <f aca="false">IF(B2188="","",LOWER(B2188)&amp;"|"&amp;C2188)</f>
        <v/>
      </c>
    </row>
    <row r="2189" customFormat="false" ht="15" hidden="false" customHeight="false" outlineLevel="0" collapsed="false">
      <c r="E2189" s="0" t="str">
        <f aca="false">IF(B2189="","",LOWER(B2189)&amp;"|"&amp;C2189)</f>
        <v/>
      </c>
    </row>
    <row r="2190" customFormat="false" ht="15" hidden="false" customHeight="false" outlineLevel="0" collapsed="false">
      <c r="E2190" s="0" t="str">
        <f aca="false">IF(B2190="","",LOWER(B2190)&amp;"|"&amp;C2190)</f>
        <v/>
      </c>
    </row>
    <row r="2191" customFormat="false" ht="15" hidden="false" customHeight="false" outlineLevel="0" collapsed="false">
      <c r="E2191" s="0" t="str">
        <f aca="false">IF(B2191="","",LOWER(B2191)&amp;"|"&amp;C2191)</f>
        <v/>
      </c>
    </row>
    <row r="2192" customFormat="false" ht="15" hidden="false" customHeight="false" outlineLevel="0" collapsed="false">
      <c r="E2192" s="0" t="str">
        <f aca="false">IF(B2192="","",LOWER(B2192)&amp;"|"&amp;C2192)</f>
        <v/>
      </c>
    </row>
    <row r="2193" customFormat="false" ht="15" hidden="false" customHeight="false" outlineLevel="0" collapsed="false">
      <c r="E2193" s="0" t="str">
        <f aca="false">IF(B2193="","",LOWER(B2193)&amp;"|"&amp;C2193)</f>
        <v/>
      </c>
    </row>
    <row r="2194" customFormat="false" ht="15" hidden="false" customHeight="false" outlineLevel="0" collapsed="false">
      <c r="E2194" s="0" t="str">
        <f aca="false">IF(B2194="","",LOWER(B2194)&amp;"|"&amp;C2194)</f>
        <v/>
      </c>
    </row>
    <row r="2195" customFormat="false" ht="15" hidden="false" customHeight="false" outlineLevel="0" collapsed="false">
      <c r="E2195" s="0" t="str">
        <f aca="false">IF(B2195="","",LOWER(B2195)&amp;"|"&amp;C2195)</f>
        <v/>
      </c>
    </row>
    <row r="2196" customFormat="false" ht="15" hidden="false" customHeight="false" outlineLevel="0" collapsed="false">
      <c r="E2196" s="0" t="str">
        <f aca="false">IF(B2196="","",LOWER(B2196)&amp;"|"&amp;C2196)</f>
        <v/>
      </c>
    </row>
    <row r="2197" customFormat="false" ht="15" hidden="false" customHeight="false" outlineLevel="0" collapsed="false">
      <c r="E2197" s="0" t="str">
        <f aca="false">IF(B2197="","",LOWER(B2197)&amp;"|"&amp;C2197)</f>
        <v/>
      </c>
    </row>
    <row r="2198" customFormat="false" ht="15" hidden="false" customHeight="false" outlineLevel="0" collapsed="false">
      <c r="E2198" s="0" t="str">
        <f aca="false">IF(B2198="","",LOWER(B2198)&amp;"|"&amp;C2198)</f>
        <v/>
      </c>
    </row>
    <row r="2199" customFormat="false" ht="15" hidden="false" customHeight="false" outlineLevel="0" collapsed="false">
      <c r="E2199" s="0" t="str">
        <f aca="false">IF(B2199="","",LOWER(B2199)&amp;"|"&amp;C2199)</f>
        <v/>
      </c>
    </row>
    <row r="2200" customFormat="false" ht="15" hidden="false" customHeight="false" outlineLevel="0" collapsed="false">
      <c r="E2200" s="0" t="str">
        <f aca="false">IF(B2200="","",LOWER(B2200)&amp;"|"&amp;C2200)</f>
        <v/>
      </c>
    </row>
    <row r="2201" customFormat="false" ht="15" hidden="false" customHeight="false" outlineLevel="0" collapsed="false">
      <c r="E2201" s="0" t="str">
        <f aca="false">IF(B2201="","",LOWER(B2201)&amp;"|"&amp;C2201)</f>
        <v/>
      </c>
    </row>
    <row r="2202" customFormat="false" ht="15" hidden="false" customHeight="false" outlineLevel="0" collapsed="false">
      <c r="E2202" s="0" t="str">
        <f aca="false">IF(B2202="","",LOWER(B2202)&amp;"|"&amp;C2202)</f>
        <v/>
      </c>
    </row>
    <row r="2203" customFormat="false" ht="15" hidden="false" customHeight="false" outlineLevel="0" collapsed="false">
      <c r="E2203" s="0" t="str">
        <f aca="false">IF(B2203="","",LOWER(B2203)&amp;"|"&amp;C2203)</f>
        <v/>
      </c>
    </row>
    <row r="2204" customFormat="false" ht="15" hidden="false" customHeight="false" outlineLevel="0" collapsed="false">
      <c r="E2204" s="0" t="str">
        <f aca="false">IF(B2204="","",LOWER(B2204)&amp;"|"&amp;C2204)</f>
        <v/>
      </c>
    </row>
    <row r="2205" customFormat="false" ht="15" hidden="false" customHeight="false" outlineLevel="0" collapsed="false">
      <c r="E2205" s="0" t="str">
        <f aca="false">IF(B2205="","",LOWER(B2205)&amp;"|"&amp;C2205)</f>
        <v/>
      </c>
    </row>
    <row r="2206" customFormat="false" ht="15" hidden="false" customHeight="false" outlineLevel="0" collapsed="false">
      <c r="E2206" s="0" t="str">
        <f aca="false">IF(B2206="","",LOWER(B2206)&amp;"|"&amp;C2206)</f>
        <v/>
      </c>
    </row>
    <row r="2207" customFormat="false" ht="15" hidden="false" customHeight="false" outlineLevel="0" collapsed="false">
      <c r="E2207" s="0" t="str">
        <f aca="false">IF(B2207="","",LOWER(B2207)&amp;"|"&amp;C2207)</f>
        <v/>
      </c>
    </row>
    <row r="2208" customFormat="false" ht="15" hidden="false" customHeight="false" outlineLevel="0" collapsed="false">
      <c r="E2208" s="0" t="str">
        <f aca="false">IF(B2208="","",LOWER(B2208)&amp;"|"&amp;C2208)</f>
        <v/>
      </c>
    </row>
    <row r="2209" customFormat="false" ht="15" hidden="false" customHeight="false" outlineLevel="0" collapsed="false">
      <c r="E2209" s="0" t="str">
        <f aca="false">IF(B2209="","",LOWER(B2209)&amp;"|"&amp;C2209)</f>
        <v/>
      </c>
    </row>
    <row r="2210" customFormat="false" ht="15" hidden="false" customHeight="false" outlineLevel="0" collapsed="false">
      <c r="E2210" s="0" t="str">
        <f aca="false">IF(B2210="","",LOWER(B2210)&amp;"|"&amp;C2210)</f>
        <v/>
      </c>
    </row>
    <row r="2211" customFormat="false" ht="15" hidden="false" customHeight="false" outlineLevel="0" collapsed="false">
      <c r="E2211" s="0" t="str">
        <f aca="false">IF(B2211="","",LOWER(B2211)&amp;"|"&amp;C2211)</f>
        <v/>
      </c>
    </row>
    <row r="2212" customFormat="false" ht="15" hidden="false" customHeight="false" outlineLevel="0" collapsed="false">
      <c r="E2212" s="0" t="str">
        <f aca="false">IF(B2212="","",LOWER(B2212)&amp;"|"&amp;C2212)</f>
        <v/>
      </c>
    </row>
    <row r="2213" customFormat="false" ht="15" hidden="false" customHeight="false" outlineLevel="0" collapsed="false">
      <c r="E2213" s="0" t="str">
        <f aca="false">IF(B2213="","",LOWER(B2213)&amp;"|"&amp;C2213)</f>
        <v/>
      </c>
    </row>
    <row r="2214" customFormat="false" ht="15" hidden="false" customHeight="false" outlineLevel="0" collapsed="false">
      <c r="E2214" s="0" t="str">
        <f aca="false">IF(B2214="","",LOWER(B2214)&amp;"|"&amp;C2214)</f>
        <v/>
      </c>
    </row>
    <row r="2215" customFormat="false" ht="15" hidden="false" customHeight="false" outlineLevel="0" collapsed="false">
      <c r="E2215" s="0" t="str">
        <f aca="false">IF(B2215="","",LOWER(B2215)&amp;"|"&amp;C2215)</f>
        <v/>
      </c>
    </row>
    <row r="2216" customFormat="false" ht="15" hidden="false" customHeight="false" outlineLevel="0" collapsed="false">
      <c r="E2216" s="0" t="str">
        <f aca="false">IF(B2216="","",LOWER(B2216)&amp;"|"&amp;C2216)</f>
        <v/>
      </c>
    </row>
    <row r="2217" customFormat="false" ht="15" hidden="false" customHeight="false" outlineLevel="0" collapsed="false">
      <c r="E2217" s="0" t="str">
        <f aca="false">IF(B2217="","",LOWER(B2217)&amp;"|"&amp;C2217)</f>
        <v/>
      </c>
    </row>
    <row r="2218" customFormat="false" ht="15" hidden="false" customHeight="false" outlineLevel="0" collapsed="false">
      <c r="E2218" s="0" t="str">
        <f aca="false">IF(B2218="","",LOWER(B2218)&amp;"|"&amp;C2218)</f>
        <v/>
      </c>
    </row>
    <row r="2219" customFormat="false" ht="15" hidden="false" customHeight="false" outlineLevel="0" collapsed="false">
      <c r="E2219" s="0" t="str">
        <f aca="false">IF(B2219="","",LOWER(B2219)&amp;"|"&amp;C2219)</f>
        <v/>
      </c>
    </row>
    <row r="2220" customFormat="false" ht="15" hidden="false" customHeight="false" outlineLevel="0" collapsed="false">
      <c r="E2220" s="0" t="str">
        <f aca="false">IF(B2220="","",LOWER(B2220)&amp;"|"&amp;C2220)</f>
        <v/>
      </c>
    </row>
    <row r="2221" customFormat="false" ht="15" hidden="false" customHeight="false" outlineLevel="0" collapsed="false">
      <c r="E2221" s="0" t="str">
        <f aca="false">IF(B2221="","",LOWER(B2221)&amp;"|"&amp;C2221)</f>
        <v/>
      </c>
    </row>
    <row r="2222" customFormat="false" ht="15" hidden="false" customHeight="false" outlineLevel="0" collapsed="false">
      <c r="E2222" s="0" t="str">
        <f aca="false">IF(B2222="","",LOWER(B2222)&amp;"|"&amp;C2222)</f>
        <v/>
      </c>
    </row>
    <row r="2223" customFormat="false" ht="15" hidden="false" customHeight="false" outlineLevel="0" collapsed="false">
      <c r="E2223" s="0" t="str">
        <f aca="false">IF(B2223="","",LOWER(B2223)&amp;"|"&amp;C2223)</f>
        <v/>
      </c>
    </row>
    <row r="2224" customFormat="false" ht="15" hidden="false" customHeight="false" outlineLevel="0" collapsed="false">
      <c r="E2224" s="0" t="str">
        <f aca="false">IF(B2224="","",LOWER(B2224)&amp;"|"&amp;C2224)</f>
        <v/>
      </c>
    </row>
    <row r="2225" customFormat="false" ht="15" hidden="false" customHeight="false" outlineLevel="0" collapsed="false">
      <c r="E2225" s="0" t="str">
        <f aca="false">IF(B2225="","",LOWER(B2225)&amp;"|"&amp;C2225)</f>
        <v/>
      </c>
    </row>
    <row r="2226" customFormat="false" ht="15" hidden="false" customHeight="false" outlineLevel="0" collapsed="false">
      <c r="E2226" s="0" t="str">
        <f aca="false">IF(B2226="","",LOWER(B2226)&amp;"|"&amp;C2226)</f>
        <v/>
      </c>
    </row>
    <row r="2227" customFormat="false" ht="15" hidden="false" customHeight="false" outlineLevel="0" collapsed="false">
      <c r="E2227" s="0" t="str">
        <f aca="false">IF(B2227="","",LOWER(B2227)&amp;"|"&amp;C2227)</f>
        <v/>
      </c>
    </row>
    <row r="2228" customFormat="false" ht="15" hidden="false" customHeight="false" outlineLevel="0" collapsed="false">
      <c r="E2228" s="0" t="str">
        <f aca="false">IF(B2228="","",LOWER(B2228)&amp;"|"&amp;C2228)</f>
        <v/>
      </c>
    </row>
    <row r="2229" customFormat="false" ht="15" hidden="false" customHeight="false" outlineLevel="0" collapsed="false">
      <c r="E2229" s="0" t="str">
        <f aca="false">IF(B2229="","",LOWER(B2229)&amp;"|"&amp;C2229)</f>
        <v/>
      </c>
    </row>
    <row r="2230" customFormat="false" ht="15" hidden="false" customHeight="false" outlineLevel="0" collapsed="false">
      <c r="E2230" s="0" t="str">
        <f aca="false">IF(B2230="","",LOWER(B2230)&amp;"|"&amp;C2230)</f>
        <v/>
      </c>
    </row>
    <row r="2231" customFormat="false" ht="15" hidden="false" customHeight="false" outlineLevel="0" collapsed="false">
      <c r="E2231" s="0" t="str">
        <f aca="false">IF(B2231="","",LOWER(B2231)&amp;"|"&amp;C2231)</f>
        <v/>
      </c>
    </row>
    <row r="2232" customFormat="false" ht="15" hidden="false" customHeight="false" outlineLevel="0" collapsed="false">
      <c r="E2232" s="0" t="str">
        <f aca="false">IF(B2232="","",LOWER(B2232)&amp;"|"&amp;C2232)</f>
        <v/>
      </c>
    </row>
    <row r="2233" customFormat="false" ht="15" hidden="false" customHeight="false" outlineLevel="0" collapsed="false">
      <c r="E2233" s="0" t="str">
        <f aca="false">IF(B2233="","",LOWER(B2233)&amp;"|"&amp;C2233)</f>
        <v/>
      </c>
    </row>
    <row r="2234" customFormat="false" ht="15" hidden="false" customHeight="false" outlineLevel="0" collapsed="false">
      <c r="E2234" s="0" t="str">
        <f aca="false">IF(B2234="","",LOWER(B2234)&amp;"|"&amp;C2234)</f>
        <v/>
      </c>
    </row>
    <row r="2235" customFormat="false" ht="15" hidden="false" customHeight="false" outlineLevel="0" collapsed="false">
      <c r="E2235" s="0" t="str">
        <f aca="false">IF(B2235="","",LOWER(B2235)&amp;"|"&amp;C2235)</f>
        <v/>
      </c>
    </row>
    <row r="2236" customFormat="false" ht="15" hidden="false" customHeight="false" outlineLevel="0" collapsed="false">
      <c r="E2236" s="0" t="str">
        <f aca="false">IF(B2236="","",LOWER(B2236)&amp;"|"&amp;C2236)</f>
        <v/>
      </c>
    </row>
    <row r="2237" customFormat="false" ht="15" hidden="false" customHeight="false" outlineLevel="0" collapsed="false">
      <c r="E2237" s="0" t="str">
        <f aca="false">IF(B2237="","",LOWER(B2237)&amp;"|"&amp;C2237)</f>
        <v/>
      </c>
    </row>
    <row r="2238" customFormat="false" ht="15" hidden="false" customHeight="false" outlineLevel="0" collapsed="false">
      <c r="E2238" s="0" t="str">
        <f aca="false">IF(B2238="","",LOWER(B2238)&amp;"|"&amp;C2238)</f>
        <v/>
      </c>
    </row>
    <row r="2239" customFormat="false" ht="15" hidden="false" customHeight="false" outlineLevel="0" collapsed="false">
      <c r="E2239" s="0" t="str">
        <f aca="false">IF(B2239="","",LOWER(B2239)&amp;"|"&amp;C2239)</f>
        <v/>
      </c>
    </row>
    <row r="2240" customFormat="false" ht="15" hidden="false" customHeight="false" outlineLevel="0" collapsed="false">
      <c r="E2240" s="0" t="str">
        <f aca="false">IF(B2240="","",LOWER(B2240)&amp;"|"&amp;C2240)</f>
        <v/>
      </c>
    </row>
    <row r="2241" customFormat="false" ht="15" hidden="false" customHeight="false" outlineLevel="0" collapsed="false">
      <c r="E2241" s="0" t="str">
        <f aca="false">IF(B2241="","",LOWER(B2241)&amp;"|"&amp;C2241)</f>
        <v/>
      </c>
    </row>
    <row r="2242" customFormat="false" ht="15" hidden="false" customHeight="false" outlineLevel="0" collapsed="false">
      <c r="E2242" s="0" t="str">
        <f aca="false">IF(B2242="","",LOWER(B2242)&amp;"|"&amp;C2242)</f>
        <v/>
      </c>
    </row>
    <row r="2243" customFormat="false" ht="15" hidden="false" customHeight="false" outlineLevel="0" collapsed="false">
      <c r="E2243" s="0" t="str">
        <f aca="false">IF(B2243="","",LOWER(B2243)&amp;"|"&amp;C2243)</f>
        <v/>
      </c>
    </row>
    <row r="2244" customFormat="false" ht="15" hidden="false" customHeight="false" outlineLevel="0" collapsed="false">
      <c r="E2244" s="0" t="str">
        <f aca="false">IF(B2244="","",LOWER(B2244)&amp;"|"&amp;C2244)</f>
        <v/>
      </c>
    </row>
    <row r="2245" customFormat="false" ht="15" hidden="false" customHeight="false" outlineLevel="0" collapsed="false">
      <c r="E2245" s="0" t="str">
        <f aca="false">IF(B2245="","",LOWER(B2245)&amp;"|"&amp;C2245)</f>
        <v/>
      </c>
    </row>
    <row r="2246" customFormat="false" ht="15" hidden="false" customHeight="false" outlineLevel="0" collapsed="false">
      <c r="E2246" s="0" t="str">
        <f aca="false">IF(B2246="","",LOWER(B2246)&amp;"|"&amp;C2246)</f>
        <v/>
      </c>
    </row>
    <row r="2247" customFormat="false" ht="15" hidden="false" customHeight="false" outlineLevel="0" collapsed="false">
      <c r="E2247" s="0" t="str">
        <f aca="false">IF(B2247="","",LOWER(B2247)&amp;"|"&amp;C2247)</f>
        <v/>
      </c>
    </row>
    <row r="2248" customFormat="false" ht="15" hidden="false" customHeight="false" outlineLevel="0" collapsed="false">
      <c r="E2248" s="0" t="str">
        <f aca="false">IF(B2248="","",LOWER(B2248)&amp;"|"&amp;C2248)</f>
        <v/>
      </c>
    </row>
    <row r="2249" customFormat="false" ht="15" hidden="false" customHeight="false" outlineLevel="0" collapsed="false">
      <c r="E2249" s="0" t="str">
        <f aca="false">IF(B2249="","",LOWER(B2249)&amp;"|"&amp;C2249)</f>
        <v/>
      </c>
    </row>
    <row r="2250" customFormat="false" ht="15" hidden="false" customHeight="false" outlineLevel="0" collapsed="false">
      <c r="E2250" s="0" t="str">
        <f aca="false">IF(B2250="","",LOWER(B2250)&amp;"|"&amp;C2250)</f>
        <v/>
      </c>
    </row>
    <row r="2251" customFormat="false" ht="15" hidden="false" customHeight="false" outlineLevel="0" collapsed="false">
      <c r="E2251" s="0" t="str">
        <f aca="false">IF(B2251="","",LOWER(B2251)&amp;"|"&amp;C2251)</f>
        <v/>
      </c>
    </row>
    <row r="2252" customFormat="false" ht="15" hidden="false" customHeight="false" outlineLevel="0" collapsed="false">
      <c r="E2252" s="0" t="str">
        <f aca="false">IF(B2252="","",LOWER(B2252)&amp;"|"&amp;C2252)</f>
        <v/>
      </c>
    </row>
    <row r="2253" customFormat="false" ht="15" hidden="false" customHeight="false" outlineLevel="0" collapsed="false">
      <c r="E2253" s="0" t="str">
        <f aca="false">IF(B2253="","",LOWER(B2253)&amp;"|"&amp;C2253)</f>
        <v/>
      </c>
    </row>
    <row r="2254" customFormat="false" ht="15" hidden="false" customHeight="false" outlineLevel="0" collapsed="false">
      <c r="E2254" s="0" t="str">
        <f aca="false">IF(B2254="","",LOWER(B2254)&amp;"|"&amp;C2254)</f>
        <v/>
      </c>
    </row>
    <row r="2255" customFormat="false" ht="15" hidden="false" customHeight="false" outlineLevel="0" collapsed="false">
      <c r="E2255" s="0" t="str">
        <f aca="false">IF(B2255="","",LOWER(B2255)&amp;"|"&amp;C2255)</f>
        <v/>
      </c>
    </row>
    <row r="2256" customFormat="false" ht="15" hidden="false" customHeight="false" outlineLevel="0" collapsed="false">
      <c r="E2256" s="0" t="str">
        <f aca="false">IF(B2256="","",LOWER(B2256)&amp;"|"&amp;C2256)</f>
        <v/>
      </c>
    </row>
    <row r="2257" customFormat="false" ht="15" hidden="false" customHeight="false" outlineLevel="0" collapsed="false">
      <c r="E2257" s="0" t="str">
        <f aca="false">IF(B2257="","",LOWER(B2257)&amp;"|"&amp;C2257)</f>
        <v/>
      </c>
    </row>
    <row r="2258" customFormat="false" ht="15" hidden="false" customHeight="false" outlineLevel="0" collapsed="false">
      <c r="E2258" s="0" t="str">
        <f aca="false">IF(B2258="","",LOWER(B2258)&amp;"|"&amp;C2258)</f>
        <v/>
      </c>
    </row>
    <row r="2259" customFormat="false" ht="15" hidden="false" customHeight="false" outlineLevel="0" collapsed="false">
      <c r="E2259" s="0" t="str">
        <f aca="false">IF(B2259="","",LOWER(B2259)&amp;"|"&amp;C2259)</f>
        <v/>
      </c>
    </row>
    <row r="2260" customFormat="false" ht="15" hidden="false" customHeight="false" outlineLevel="0" collapsed="false">
      <c r="E2260" s="0" t="str">
        <f aca="false">IF(B2260="","",LOWER(B2260)&amp;"|"&amp;C2260)</f>
        <v/>
      </c>
    </row>
    <row r="2261" customFormat="false" ht="15" hidden="false" customHeight="false" outlineLevel="0" collapsed="false">
      <c r="E2261" s="0" t="str">
        <f aca="false">IF(B2261="","",LOWER(B2261)&amp;"|"&amp;C2261)</f>
        <v/>
      </c>
    </row>
    <row r="2262" customFormat="false" ht="15" hidden="false" customHeight="false" outlineLevel="0" collapsed="false">
      <c r="E2262" s="0" t="str">
        <f aca="false">IF(B2262="","",LOWER(B2262)&amp;"|"&amp;C2262)</f>
        <v/>
      </c>
    </row>
    <row r="2263" customFormat="false" ht="15" hidden="false" customHeight="false" outlineLevel="0" collapsed="false">
      <c r="E2263" s="0" t="str">
        <f aca="false">IF(B2263="","",LOWER(B2263)&amp;"|"&amp;C2263)</f>
        <v/>
      </c>
    </row>
    <row r="2264" customFormat="false" ht="15" hidden="false" customHeight="false" outlineLevel="0" collapsed="false">
      <c r="E2264" s="0" t="str">
        <f aca="false">IF(B2264="","",LOWER(B2264)&amp;"|"&amp;C2264)</f>
        <v/>
      </c>
    </row>
    <row r="2265" customFormat="false" ht="15" hidden="false" customHeight="false" outlineLevel="0" collapsed="false">
      <c r="E2265" s="0" t="str">
        <f aca="false">IF(B2265="","",LOWER(B2265)&amp;"|"&amp;C2265)</f>
        <v/>
      </c>
    </row>
    <row r="2266" customFormat="false" ht="15" hidden="false" customHeight="false" outlineLevel="0" collapsed="false">
      <c r="E2266" s="0" t="str">
        <f aca="false">IF(B2266="","",LOWER(B2266)&amp;"|"&amp;C2266)</f>
        <v/>
      </c>
    </row>
    <row r="2267" customFormat="false" ht="15" hidden="false" customHeight="false" outlineLevel="0" collapsed="false">
      <c r="E2267" s="0" t="str">
        <f aca="false">IF(B2267="","",LOWER(B2267)&amp;"|"&amp;C2267)</f>
        <v/>
      </c>
    </row>
    <row r="2268" customFormat="false" ht="15" hidden="false" customHeight="false" outlineLevel="0" collapsed="false">
      <c r="E2268" s="0" t="str">
        <f aca="false">IF(B2268="","",LOWER(B2268)&amp;"|"&amp;C2268)</f>
        <v/>
      </c>
    </row>
    <row r="2269" customFormat="false" ht="15" hidden="false" customHeight="false" outlineLevel="0" collapsed="false">
      <c r="E2269" s="0" t="str">
        <f aca="false">IF(B2269="","",LOWER(B2269)&amp;"|"&amp;C2269)</f>
        <v/>
      </c>
    </row>
    <row r="2270" customFormat="false" ht="15" hidden="false" customHeight="false" outlineLevel="0" collapsed="false">
      <c r="E2270" s="0" t="str">
        <f aca="false">IF(B2270="","",LOWER(B2270)&amp;"|"&amp;C2270)</f>
        <v/>
      </c>
    </row>
    <row r="2271" customFormat="false" ht="15" hidden="false" customHeight="false" outlineLevel="0" collapsed="false">
      <c r="E2271" s="0" t="str">
        <f aca="false">IF(B2271="","",LOWER(B2271)&amp;"|"&amp;C2271)</f>
        <v/>
      </c>
    </row>
    <row r="2272" customFormat="false" ht="15" hidden="false" customHeight="false" outlineLevel="0" collapsed="false">
      <c r="E2272" s="0" t="str">
        <f aca="false">IF(B2272="","",LOWER(B2272)&amp;"|"&amp;C2272)</f>
        <v/>
      </c>
    </row>
    <row r="2273" customFormat="false" ht="15" hidden="false" customHeight="false" outlineLevel="0" collapsed="false">
      <c r="E2273" s="0" t="str">
        <f aca="false">IF(B2273="","",LOWER(B2273)&amp;"|"&amp;C2273)</f>
        <v/>
      </c>
    </row>
    <row r="2274" customFormat="false" ht="15" hidden="false" customHeight="false" outlineLevel="0" collapsed="false">
      <c r="E2274" s="0" t="str">
        <f aca="false">IF(B2274="","",LOWER(B2274)&amp;"|"&amp;C2274)</f>
        <v/>
      </c>
    </row>
    <row r="2275" customFormat="false" ht="15" hidden="false" customHeight="false" outlineLevel="0" collapsed="false">
      <c r="E2275" s="0" t="str">
        <f aca="false">IF(B2275="","",LOWER(B2275)&amp;"|"&amp;C2275)</f>
        <v/>
      </c>
    </row>
    <row r="2276" customFormat="false" ht="15" hidden="false" customHeight="false" outlineLevel="0" collapsed="false">
      <c r="E2276" s="0" t="str">
        <f aca="false">IF(B2276="","",LOWER(B2276)&amp;"|"&amp;C2276)</f>
        <v/>
      </c>
    </row>
    <row r="2277" customFormat="false" ht="15" hidden="false" customHeight="false" outlineLevel="0" collapsed="false">
      <c r="E2277" s="0" t="str">
        <f aca="false">IF(B2277="","",LOWER(B2277)&amp;"|"&amp;C2277)</f>
        <v/>
      </c>
    </row>
    <row r="2278" customFormat="false" ht="15" hidden="false" customHeight="false" outlineLevel="0" collapsed="false">
      <c r="E2278" s="0" t="str">
        <f aca="false">IF(B2278="","",LOWER(B2278)&amp;"|"&amp;C2278)</f>
        <v/>
      </c>
    </row>
    <row r="2279" customFormat="false" ht="15" hidden="false" customHeight="false" outlineLevel="0" collapsed="false">
      <c r="E2279" s="0" t="str">
        <f aca="false">IF(B2279="","",LOWER(B2279)&amp;"|"&amp;C2279)</f>
        <v/>
      </c>
    </row>
    <row r="2280" customFormat="false" ht="15" hidden="false" customHeight="false" outlineLevel="0" collapsed="false">
      <c r="E2280" s="0" t="str">
        <f aca="false">IF(B2280="","",LOWER(B2280)&amp;"|"&amp;C2280)</f>
        <v/>
      </c>
    </row>
    <row r="2281" customFormat="false" ht="15" hidden="false" customHeight="false" outlineLevel="0" collapsed="false">
      <c r="E2281" s="0" t="str">
        <f aca="false">IF(B2281="","",LOWER(B2281)&amp;"|"&amp;C2281)</f>
        <v/>
      </c>
    </row>
    <row r="2282" customFormat="false" ht="15" hidden="false" customHeight="false" outlineLevel="0" collapsed="false">
      <c r="E2282" s="0" t="str">
        <f aca="false">IF(B2282="","",LOWER(B2282)&amp;"|"&amp;C2282)</f>
        <v/>
      </c>
    </row>
    <row r="2283" customFormat="false" ht="15" hidden="false" customHeight="false" outlineLevel="0" collapsed="false">
      <c r="E2283" s="0" t="str">
        <f aca="false">IF(B2283="","",LOWER(B2283)&amp;"|"&amp;C2283)</f>
        <v/>
      </c>
    </row>
    <row r="2284" customFormat="false" ht="15" hidden="false" customHeight="false" outlineLevel="0" collapsed="false">
      <c r="E2284" s="0" t="str">
        <f aca="false">IF(B2284="","",LOWER(B2284)&amp;"|"&amp;C2284)</f>
        <v/>
      </c>
    </row>
    <row r="2285" customFormat="false" ht="15" hidden="false" customHeight="false" outlineLevel="0" collapsed="false">
      <c r="E2285" s="0" t="str">
        <f aca="false">IF(B2285="","",LOWER(B2285)&amp;"|"&amp;C2285)</f>
        <v/>
      </c>
    </row>
    <row r="2286" customFormat="false" ht="15" hidden="false" customHeight="false" outlineLevel="0" collapsed="false">
      <c r="E2286" s="0" t="str">
        <f aca="false">IF(B2286="","",LOWER(B2286)&amp;"|"&amp;C2286)</f>
        <v/>
      </c>
    </row>
    <row r="2287" customFormat="false" ht="15" hidden="false" customHeight="false" outlineLevel="0" collapsed="false">
      <c r="E2287" s="0" t="str">
        <f aca="false">IF(B2287="","",LOWER(B2287)&amp;"|"&amp;C2287)</f>
        <v/>
      </c>
    </row>
    <row r="2288" customFormat="false" ht="15" hidden="false" customHeight="false" outlineLevel="0" collapsed="false">
      <c r="E2288" s="0" t="str">
        <f aca="false">IF(B2288="","",LOWER(B2288)&amp;"|"&amp;C2288)</f>
        <v/>
      </c>
    </row>
    <row r="2289" customFormat="false" ht="15" hidden="false" customHeight="false" outlineLevel="0" collapsed="false">
      <c r="E2289" s="0" t="str">
        <f aca="false">IF(B2289="","",LOWER(B2289)&amp;"|"&amp;C2289)</f>
        <v/>
      </c>
    </row>
    <row r="2290" customFormat="false" ht="15" hidden="false" customHeight="false" outlineLevel="0" collapsed="false">
      <c r="E2290" s="0" t="str">
        <f aca="false">IF(B2290="","",LOWER(B2290)&amp;"|"&amp;C2290)</f>
        <v/>
      </c>
    </row>
    <row r="2291" customFormat="false" ht="15" hidden="false" customHeight="false" outlineLevel="0" collapsed="false">
      <c r="E2291" s="0" t="str">
        <f aca="false">IF(B2291="","",LOWER(B2291)&amp;"|"&amp;C2291)</f>
        <v/>
      </c>
    </row>
    <row r="2292" customFormat="false" ht="15" hidden="false" customHeight="false" outlineLevel="0" collapsed="false">
      <c r="E2292" s="0" t="str">
        <f aca="false">IF(B2292="","",LOWER(B2292)&amp;"|"&amp;C2292)</f>
        <v/>
      </c>
    </row>
    <row r="2293" customFormat="false" ht="15" hidden="false" customHeight="false" outlineLevel="0" collapsed="false">
      <c r="E2293" s="0" t="str">
        <f aca="false">IF(B2293="","",LOWER(B2293)&amp;"|"&amp;C2293)</f>
        <v/>
      </c>
    </row>
    <row r="2294" customFormat="false" ht="15" hidden="false" customHeight="false" outlineLevel="0" collapsed="false">
      <c r="E2294" s="0" t="str">
        <f aca="false">IF(B2294="","",LOWER(B2294)&amp;"|"&amp;C2294)</f>
        <v/>
      </c>
    </row>
    <row r="2295" customFormat="false" ht="15" hidden="false" customHeight="false" outlineLevel="0" collapsed="false">
      <c r="E2295" s="0" t="str">
        <f aca="false">IF(B2295="","",LOWER(B2295)&amp;"|"&amp;C2295)</f>
        <v/>
      </c>
    </row>
    <row r="2296" customFormat="false" ht="15" hidden="false" customHeight="false" outlineLevel="0" collapsed="false">
      <c r="E2296" s="0" t="str">
        <f aca="false">IF(B2296="","",LOWER(B2296)&amp;"|"&amp;C2296)</f>
        <v/>
      </c>
    </row>
    <row r="2297" customFormat="false" ht="15" hidden="false" customHeight="false" outlineLevel="0" collapsed="false">
      <c r="E2297" s="0" t="str">
        <f aca="false">IF(B2297="","",LOWER(B2297)&amp;"|"&amp;C2297)</f>
        <v/>
      </c>
    </row>
    <row r="2298" customFormat="false" ht="15" hidden="false" customHeight="false" outlineLevel="0" collapsed="false">
      <c r="E2298" s="0" t="str">
        <f aca="false">IF(B2298="","",LOWER(B2298)&amp;"|"&amp;C2298)</f>
        <v/>
      </c>
    </row>
    <row r="2299" customFormat="false" ht="15" hidden="false" customHeight="false" outlineLevel="0" collapsed="false">
      <c r="E2299" s="0" t="str">
        <f aca="false">IF(B2299="","",LOWER(B2299)&amp;"|"&amp;C2299)</f>
        <v/>
      </c>
    </row>
    <row r="2300" customFormat="false" ht="15" hidden="false" customHeight="false" outlineLevel="0" collapsed="false">
      <c r="E2300" s="0" t="str">
        <f aca="false">IF(B2300="","",LOWER(B2300)&amp;"|"&amp;C2300)</f>
        <v/>
      </c>
    </row>
    <row r="2301" customFormat="false" ht="15" hidden="false" customHeight="false" outlineLevel="0" collapsed="false">
      <c r="E2301" s="0" t="str">
        <f aca="false">IF(B2301="","",LOWER(B2301)&amp;"|"&amp;C2301)</f>
        <v/>
      </c>
    </row>
    <row r="2302" customFormat="false" ht="15" hidden="false" customHeight="false" outlineLevel="0" collapsed="false">
      <c r="E2302" s="0" t="str">
        <f aca="false">IF(B2302="","",LOWER(B2302)&amp;"|"&amp;C2302)</f>
        <v/>
      </c>
    </row>
    <row r="2303" customFormat="false" ht="15" hidden="false" customHeight="false" outlineLevel="0" collapsed="false">
      <c r="E2303" s="0" t="str">
        <f aca="false">IF(B2303="","",LOWER(B2303)&amp;"|"&amp;C2303)</f>
        <v/>
      </c>
    </row>
    <row r="2304" customFormat="false" ht="15" hidden="false" customHeight="false" outlineLevel="0" collapsed="false">
      <c r="E2304" s="0" t="str">
        <f aca="false">IF(B2304="","",LOWER(B2304)&amp;"|"&amp;C2304)</f>
        <v/>
      </c>
    </row>
    <row r="2305" customFormat="false" ht="15" hidden="false" customHeight="false" outlineLevel="0" collapsed="false">
      <c r="E2305" s="0" t="str">
        <f aca="false">IF(B2305="","",LOWER(B2305)&amp;"|"&amp;C2305)</f>
        <v/>
      </c>
    </row>
    <row r="2306" customFormat="false" ht="15" hidden="false" customHeight="false" outlineLevel="0" collapsed="false">
      <c r="E2306" s="0" t="str">
        <f aca="false">IF(B2306="","",LOWER(B2306)&amp;"|"&amp;C2306)</f>
        <v/>
      </c>
    </row>
    <row r="2307" customFormat="false" ht="15" hidden="false" customHeight="false" outlineLevel="0" collapsed="false">
      <c r="E2307" s="0" t="str">
        <f aca="false">IF(B2307="","",LOWER(B2307)&amp;"|"&amp;C2307)</f>
        <v/>
      </c>
    </row>
    <row r="2308" customFormat="false" ht="15" hidden="false" customHeight="false" outlineLevel="0" collapsed="false">
      <c r="E2308" s="0" t="str">
        <f aca="false">IF(B2308="","",LOWER(B2308)&amp;"|"&amp;C2308)</f>
        <v/>
      </c>
    </row>
    <row r="2309" customFormat="false" ht="15" hidden="false" customHeight="false" outlineLevel="0" collapsed="false">
      <c r="E2309" s="0" t="str">
        <f aca="false">IF(B2309="","",LOWER(B2309)&amp;"|"&amp;C2309)</f>
        <v/>
      </c>
    </row>
    <row r="2310" customFormat="false" ht="15" hidden="false" customHeight="false" outlineLevel="0" collapsed="false">
      <c r="E2310" s="0" t="str">
        <f aca="false">IF(B2310="","",LOWER(B2310)&amp;"|"&amp;C2310)</f>
        <v/>
      </c>
    </row>
    <row r="2311" customFormat="false" ht="15" hidden="false" customHeight="false" outlineLevel="0" collapsed="false">
      <c r="E2311" s="0" t="str">
        <f aca="false">IF(B2311="","",LOWER(B2311)&amp;"|"&amp;C2311)</f>
        <v/>
      </c>
    </row>
    <row r="2312" customFormat="false" ht="15" hidden="false" customHeight="false" outlineLevel="0" collapsed="false">
      <c r="E2312" s="0" t="str">
        <f aca="false">IF(B2312="","",LOWER(B2312)&amp;"|"&amp;C2312)</f>
        <v/>
      </c>
    </row>
    <row r="2313" customFormat="false" ht="15" hidden="false" customHeight="false" outlineLevel="0" collapsed="false">
      <c r="E2313" s="0" t="str">
        <f aca="false">IF(B2313="","",LOWER(B2313)&amp;"|"&amp;C2313)</f>
        <v/>
      </c>
    </row>
    <row r="2314" customFormat="false" ht="15" hidden="false" customHeight="false" outlineLevel="0" collapsed="false">
      <c r="E2314" s="0" t="str">
        <f aca="false">IF(B2314="","",LOWER(B2314)&amp;"|"&amp;C2314)</f>
        <v/>
      </c>
    </row>
    <row r="2315" customFormat="false" ht="15" hidden="false" customHeight="false" outlineLevel="0" collapsed="false">
      <c r="E2315" s="0" t="str">
        <f aca="false">IF(B2315="","",LOWER(B2315)&amp;"|"&amp;C2315)</f>
        <v/>
      </c>
    </row>
    <row r="2316" customFormat="false" ht="15" hidden="false" customHeight="false" outlineLevel="0" collapsed="false">
      <c r="E2316" s="0" t="str">
        <f aca="false">IF(B2316="","",LOWER(B2316)&amp;"|"&amp;C2316)</f>
        <v/>
      </c>
    </row>
    <row r="2317" customFormat="false" ht="15" hidden="false" customHeight="false" outlineLevel="0" collapsed="false">
      <c r="E2317" s="0" t="str">
        <f aca="false">IF(B2317="","",LOWER(B2317)&amp;"|"&amp;C2317)</f>
        <v/>
      </c>
    </row>
    <row r="2318" customFormat="false" ht="15" hidden="false" customHeight="false" outlineLevel="0" collapsed="false">
      <c r="E2318" s="0" t="str">
        <f aca="false">IF(B2318="","",LOWER(B2318)&amp;"|"&amp;C2318)</f>
        <v/>
      </c>
    </row>
    <row r="2319" customFormat="false" ht="15" hidden="false" customHeight="false" outlineLevel="0" collapsed="false">
      <c r="E2319" s="0" t="str">
        <f aca="false">IF(B2319="","",LOWER(B2319)&amp;"|"&amp;C2319)</f>
        <v/>
      </c>
    </row>
    <row r="2320" customFormat="false" ht="15" hidden="false" customHeight="false" outlineLevel="0" collapsed="false">
      <c r="E2320" s="0" t="str">
        <f aca="false">IF(B2320="","",LOWER(B2320)&amp;"|"&amp;C2320)</f>
        <v/>
      </c>
    </row>
    <row r="2321" customFormat="false" ht="15" hidden="false" customHeight="false" outlineLevel="0" collapsed="false">
      <c r="E2321" s="0" t="str">
        <f aca="false">IF(B2321="","",LOWER(B2321)&amp;"|"&amp;C2321)</f>
        <v/>
      </c>
    </row>
    <row r="2322" customFormat="false" ht="15" hidden="false" customHeight="false" outlineLevel="0" collapsed="false">
      <c r="E2322" s="0" t="str">
        <f aca="false">IF(B2322="","",LOWER(B2322)&amp;"|"&amp;C2322)</f>
        <v/>
      </c>
    </row>
    <row r="2323" customFormat="false" ht="15" hidden="false" customHeight="false" outlineLevel="0" collapsed="false">
      <c r="E2323" s="0" t="str">
        <f aca="false">IF(B2323="","",LOWER(B2323)&amp;"|"&amp;C2323)</f>
        <v/>
      </c>
    </row>
    <row r="2324" customFormat="false" ht="15" hidden="false" customHeight="false" outlineLevel="0" collapsed="false">
      <c r="E2324" s="0" t="str">
        <f aca="false">IF(B2324="","",LOWER(B2324)&amp;"|"&amp;C2324)</f>
        <v/>
      </c>
    </row>
    <row r="2325" customFormat="false" ht="15" hidden="false" customHeight="false" outlineLevel="0" collapsed="false">
      <c r="E2325" s="0" t="str">
        <f aca="false">IF(B2325="","",LOWER(B2325)&amp;"|"&amp;C2325)</f>
        <v/>
      </c>
    </row>
    <row r="2326" customFormat="false" ht="15" hidden="false" customHeight="false" outlineLevel="0" collapsed="false">
      <c r="E2326" s="0" t="str">
        <f aca="false">IF(B2326="","",LOWER(B2326)&amp;"|"&amp;C2326)</f>
        <v/>
      </c>
    </row>
    <row r="2327" customFormat="false" ht="15" hidden="false" customHeight="false" outlineLevel="0" collapsed="false">
      <c r="E2327" s="0" t="str">
        <f aca="false">IF(B2327="","",LOWER(B2327)&amp;"|"&amp;C2327)</f>
        <v/>
      </c>
    </row>
    <row r="2328" customFormat="false" ht="15" hidden="false" customHeight="false" outlineLevel="0" collapsed="false">
      <c r="E2328" s="0" t="str">
        <f aca="false">IF(B2328="","",LOWER(B2328)&amp;"|"&amp;C2328)</f>
        <v/>
      </c>
    </row>
    <row r="2329" customFormat="false" ht="15" hidden="false" customHeight="false" outlineLevel="0" collapsed="false">
      <c r="E2329" s="0" t="str">
        <f aca="false">IF(B2329="","",LOWER(B2329)&amp;"|"&amp;C2329)</f>
        <v/>
      </c>
    </row>
    <row r="2330" customFormat="false" ht="15" hidden="false" customHeight="false" outlineLevel="0" collapsed="false">
      <c r="E2330" s="0" t="str">
        <f aca="false">IF(B2330="","",LOWER(B2330)&amp;"|"&amp;C2330)</f>
        <v/>
      </c>
    </row>
    <row r="2331" customFormat="false" ht="15" hidden="false" customHeight="false" outlineLevel="0" collapsed="false">
      <c r="E2331" s="0" t="str">
        <f aca="false">IF(B2331="","",LOWER(B2331)&amp;"|"&amp;C2331)</f>
        <v/>
      </c>
    </row>
    <row r="2332" customFormat="false" ht="15" hidden="false" customHeight="false" outlineLevel="0" collapsed="false">
      <c r="E2332" s="0" t="str">
        <f aca="false">IF(B2332="","",LOWER(B2332)&amp;"|"&amp;C2332)</f>
        <v/>
      </c>
    </row>
    <row r="2333" customFormat="false" ht="15" hidden="false" customHeight="false" outlineLevel="0" collapsed="false">
      <c r="E2333" s="0" t="str">
        <f aca="false">IF(B2333="","",LOWER(B2333)&amp;"|"&amp;C2333)</f>
        <v/>
      </c>
    </row>
    <row r="2334" customFormat="false" ht="15" hidden="false" customHeight="false" outlineLevel="0" collapsed="false">
      <c r="E2334" s="0" t="str">
        <f aca="false">IF(B2334="","",LOWER(B2334)&amp;"|"&amp;C2334)</f>
        <v/>
      </c>
    </row>
    <row r="2335" customFormat="false" ht="15" hidden="false" customHeight="false" outlineLevel="0" collapsed="false">
      <c r="E2335" s="0" t="str">
        <f aca="false">IF(B2335="","",LOWER(B2335)&amp;"|"&amp;C2335)</f>
        <v/>
      </c>
    </row>
    <row r="2336" customFormat="false" ht="15" hidden="false" customHeight="false" outlineLevel="0" collapsed="false">
      <c r="E2336" s="0" t="str">
        <f aca="false">IF(B2336="","",LOWER(B2336)&amp;"|"&amp;C2336)</f>
        <v/>
      </c>
    </row>
    <row r="2337" customFormat="false" ht="15" hidden="false" customHeight="false" outlineLevel="0" collapsed="false">
      <c r="E2337" s="0" t="str">
        <f aca="false">IF(B2337="","",LOWER(B2337)&amp;"|"&amp;C2337)</f>
        <v/>
      </c>
    </row>
    <row r="2338" customFormat="false" ht="15" hidden="false" customHeight="false" outlineLevel="0" collapsed="false">
      <c r="E2338" s="0" t="str">
        <f aca="false">IF(B2338="","",LOWER(B2338)&amp;"|"&amp;C2338)</f>
        <v/>
      </c>
    </row>
    <row r="2339" customFormat="false" ht="15" hidden="false" customHeight="false" outlineLevel="0" collapsed="false">
      <c r="E2339" s="0" t="str">
        <f aca="false">IF(B2339="","",LOWER(B2339)&amp;"|"&amp;C2339)</f>
        <v/>
      </c>
    </row>
    <row r="2340" customFormat="false" ht="15" hidden="false" customHeight="false" outlineLevel="0" collapsed="false">
      <c r="E2340" s="0" t="str">
        <f aca="false">IF(B2340="","",LOWER(B2340)&amp;"|"&amp;C2340)</f>
        <v/>
      </c>
    </row>
    <row r="2341" customFormat="false" ht="15" hidden="false" customHeight="false" outlineLevel="0" collapsed="false">
      <c r="E2341" s="0" t="str">
        <f aca="false">IF(B2341="","",LOWER(B2341)&amp;"|"&amp;C2341)</f>
        <v/>
      </c>
    </row>
    <row r="2342" customFormat="false" ht="15" hidden="false" customHeight="false" outlineLevel="0" collapsed="false">
      <c r="E2342" s="0" t="str">
        <f aca="false">IF(B2342="","",LOWER(B2342)&amp;"|"&amp;C2342)</f>
        <v/>
      </c>
    </row>
    <row r="2343" customFormat="false" ht="15" hidden="false" customHeight="false" outlineLevel="0" collapsed="false">
      <c r="E2343" s="0" t="str">
        <f aca="false">IF(B2343="","",LOWER(B2343)&amp;"|"&amp;C2343)</f>
        <v/>
      </c>
    </row>
    <row r="2344" customFormat="false" ht="15" hidden="false" customHeight="false" outlineLevel="0" collapsed="false">
      <c r="E2344" s="0" t="str">
        <f aca="false">IF(B2344="","",LOWER(B2344)&amp;"|"&amp;C2344)</f>
        <v/>
      </c>
    </row>
    <row r="2345" customFormat="false" ht="15" hidden="false" customHeight="false" outlineLevel="0" collapsed="false">
      <c r="E2345" s="0" t="str">
        <f aca="false">IF(B2345="","",LOWER(B2345)&amp;"|"&amp;C2345)</f>
        <v/>
      </c>
    </row>
    <row r="2346" customFormat="false" ht="15" hidden="false" customHeight="false" outlineLevel="0" collapsed="false">
      <c r="E2346" s="0" t="str">
        <f aca="false">IF(B2346="","",LOWER(B2346)&amp;"|"&amp;C2346)</f>
        <v/>
      </c>
    </row>
    <row r="2347" customFormat="false" ht="15" hidden="false" customHeight="false" outlineLevel="0" collapsed="false">
      <c r="E2347" s="0" t="str">
        <f aca="false">IF(B2347="","",LOWER(B2347)&amp;"|"&amp;C2347)</f>
        <v/>
      </c>
    </row>
    <row r="2348" customFormat="false" ht="15" hidden="false" customHeight="false" outlineLevel="0" collapsed="false">
      <c r="E2348" s="0" t="str">
        <f aca="false">IF(B2348="","",LOWER(B2348)&amp;"|"&amp;C2348)</f>
        <v/>
      </c>
    </row>
    <row r="2349" customFormat="false" ht="15" hidden="false" customHeight="false" outlineLevel="0" collapsed="false">
      <c r="E2349" s="0" t="str">
        <f aca="false">IF(B2349="","",LOWER(B2349)&amp;"|"&amp;C2349)</f>
        <v/>
      </c>
    </row>
    <row r="2350" customFormat="false" ht="15" hidden="false" customHeight="false" outlineLevel="0" collapsed="false">
      <c r="E2350" s="0" t="str">
        <f aca="false">IF(B2350="","",LOWER(B2350)&amp;"|"&amp;C2350)</f>
        <v/>
      </c>
    </row>
    <row r="2351" customFormat="false" ht="15" hidden="false" customHeight="false" outlineLevel="0" collapsed="false">
      <c r="E2351" s="0" t="str">
        <f aca="false">IF(B2351="","",LOWER(B2351)&amp;"|"&amp;C2351)</f>
        <v/>
      </c>
    </row>
    <row r="2352" customFormat="false" ht="15" hidden="false" customHeight="false" outlineLevel="0" collapsed="false">
      <c r="E2352" s="0" t="str">
        <f aca="false">IF(B2352="","",LOWER(B2352)&amp;"|"&amp;C2352)</f>
        <v/>
      </c>
    </row>
    <row r="2353" customFormat="false" ht="15" hidden="false" customHeight="false" outlineLevel="0" collapsed="false">
      <c r="E2353" s="0" t="str">
        <f aca="false">IF(B2353="","",LOWER(B2353)&amp;"|"&amp;C2353)</f>
        <v/>
      </c>
    </row>
    <row r="2354" customFormat="false" ht="15" hidden="false" customHeight="false" outlineLevel="0" collapsed="false">
      <c r="E2354" s="0" t="str">
        <f aca="false">IF(B2354="","",LOWER(B2354)&amp;"|"&amp;C2354)</f>
        <v/>
      </c>
    </row>
    <row r="2355" customFormat="false" ht="15" hidden="false" customHeight="false" outlineLevel="0" collapsed="false">
      <c r="E2355" s="0" t="str">
        <f aca="false">IF(B2355="","",LOWER(B2355)&amp;"|"&amp;C2355)</f>
        <v/>
      </c>
    </row>
    <row r="2356" customFormat="false" ht="15" hidden="false" customHeight="false" outlineLevel="0" collapsed="false">
      <c r="E2356" s="0" t="str">
        <f aca="false">IF(B2356="","",LOWER(B2356)&amp;"|"&amp;C2356)</f>
        <v/>
      </c>
    </row>
    <row r="2357" customFormat="false" ht="15" hidden="false" customHeight="false" outlineLevel="0" collapsed="false">
      <c r="E2357" s="0" t="str">
        <f aca="false">IF(B2357="","",LOWER(B2357)&amp;"|"&amp;C2357)</f>
        <v/>
      </c>
    </row>
    <row r="2358" customFormat="false" ht="15" hidden="false" customHeight="false" outlineLevel="0" collapsed="false">
      <c r="E2358" s="0" t="str">
        <f aca="false">IF(B2358="","",LOWER(B2358)&amp;"|"&amp;C2358)</f>
        <v/>
      </c>
    </row>
    <row r="2359" customFormat="false" ht="15" hidden="false" customHeight="false" outlineLevel="0" collapsed="false">
      <c r="E2359" s="0" t="str">
        <f aca="false">IF(B2359="","",LOWER(B2359)&amp;"|"&amp;C2359)</f>
        <v/>
      </c>
    </row>
    <row r="2360" customFormat="false" ht="15" hidden="false" customHeight="false" outlineLevel="0" collapsed="false">
      <c r="E2360" s="0" t="str">
        <f aca="false">IF(B2360="","",LOWER(B2360)&amp;"|"&amp;C2360)</f>
        <v/>
      </c>
    </row>
    <row r="2361" customFormat="false" ht="15" hidden="false" customHeight="false" outlineLevel="0" collapsed="false">
      <c r="E2361" s="0" t="str">
        <f aca="false">IF(B2361="","",LOWER(B2361)&amp;"|"&amp;C2361)</f>
        <v/>
      </c>
    </row>
    <row r="2362" customFormat="false" ht="15" hidden="false" customHeight="false" outlineLevel="0" collapsed="false">
      <c r="E2362" s="0" t="str">
        <f aca="false">IF(B2362="","",LOWER(B2362)&amp;"|"&amp;C2362)</f>
        <v/>
      </c>
    </row>
    <row r="2363" customFormat="false" ht="15" hidden="false" customHeight="false" outlineLevel="0" collapsed="false">
      <c r="E2363" s="0" t="str">
        <f aca="false">IF(B2363="","",LOWER(B2363)&amp;"|"&amp;C2363)</f>
        <v/>
      </c>
    </row>
    <row r="2364" customFormat="false" ht="15" hidden="false" customHeight="false" outlineLevel="0" collapsed="false">
      <c r="E2364" s="0" t="str">
        <f aca="false">IF(B2364="","",LOWER(B2364)&amp;"|"&amp;C2364)</f>
        <v/>
      </c>
    </row>
    <row r="2365" customFormat="false" ht="15" hidden="false" customHeight="false" outlineLevel="0" collapsed="false">
      <c r="E2365" s="0" t="str">
        <f aca="false">IF(B2365="","",LOWER(B2365)&amp;"|"&amp;C2365)</f>
        <v/>
      </c>
    </row>
    <row r="2366" customFormat="false" ht="15" hidden="false" customHeight="false" outlineLevel="0" collapsed="false">
      <c r="E2366" s="0" t="str">
        <f aca="false">IF(B2366="","",LOWER(B2366)&amp;"|"&amp;C2366)</f>
        <v/>
      </c>
    </row>
    <row r="2367" customFormat="false" ht="15" hidden="false" customHeight="false" outlineLevel="0" collapsed="false">
      <c r="E2367" s="0" t="str">
        <f aca="false">IF(B2367="","",LOWER(B2367)&amp;"|"&amp;C2367)</f>
        <v/>
      </c>
    </row>
    <row r="2368" customFormat="false" ht="15" hidden="false" customHeight="false" outlineLevel="0" collapsed="false">
      <c r="E2368" s="0" t="str">
        <f aca="false">IF(B2368="","",LOWER(B2368)&amp;"|"&amp;C2368)</f>
        <v/>
      </c>
    </row>
    <row r="2369" customFormat="false" ht="15" hidden="false" customHeight="false" outlineLevel="0" collapsed="false">
      <c r="E2369" s="0" t="str">
        <f aca="false">IF(B2369="","",LOWER(B2369)&amp;"|"&amp;C2369)</f>
        <v/>
      </c>
    </row>
    <row r="2370" customFormat="false" ht="15" hidden="false" customHeight="false" outlineLevel="0" collapsed="false">
      <c r="E2370" s="0" t="str">
        <f aca="false">IF(B2370="","",LOWER(B2370)&amp;"|"&amp;C2370)</f>
        <v/>
      </c>
    </row>
    <row r="2371" customFormat="false" ht="15" hidden="false" customHeight="false" outlineLevel="0" collapsed="false">
      <c r="E2371" s="0" t="str">
        <f aca="false">IF(B2371="","",LOWER(B2371)&amp;"|"&amp;C2371)</f>
        <v/>
      </c>
    </row>
    <row r="2372" customFormat="false" ht="15" hidden="false" customHeight="false" outlineLevel="0" collapsed="false">
      <c r="E2372" s="0" t="str">
        <f aca="false">IF(B2372="","",LOWER(B2372)&amp;"|"&amp;C2372)</f>
        <v/>
      </c>
    </row>
    <row r="2373" customFormat="false" ht="15" hidden="false" customHeight="false" outlineLevel="0" collapsed="false">
      <c r="E2373" s="0" t="str">
        <f aca="false">IF(B2373="","",LOWER(B2373)&amp;"|"&amp;C2373)</f>
        <v/>
      </c>
    </row>
    <row r="2374" customFormat="false" ht="15" hidden="false" customHeight="false" outlineLevel="0" collapsed="false">
      <c r="E2374" s="0" t="str">
        <f aca="false">IF(B2374="","",LOWER(B2374)&amp;"|"&amp;C2374)</f>
        <v/>
      </c>
    </row>
    <row r="2375" customFormat="false" ht="15" hidden="false" customHeight="false" outlineLevel="0" collapsed="false">
      <c r="E2375" s="0" t="str">
        <f aca="false">IF(B2375="","",LOWER(B2375)&amp;"|"&amp;C2375)</f>
        <v/>
      </c>
    </row>
    <row r="2376" customFormat="false" ht="15" hidden="false" customHeight="false" outlineLevel="0" collapsed="false">
      <c r="E2376" s="0" t="str">
        <f aca="false">IF(B2376="","",LOWER(B2376)&amp;"|"&amp;C2376)</f>
        <v/>
      </c>
    </row>
    <row r="2377" customFormat="false" ht="15" hidden="false" customHeight="false" outlineLevel="0" collapsed="false">
      <c r="E2377" s="0" t="str">
        <f aca="false">IF(B2377="","",LOWER(B2377)&amp;"|"&amp;C2377)</f>
        <v/>
      </c>
    </row>
    <row r="2378" customFormat="false" ht="15" hidden="false" customHeight="false" outlineLevel="0" collapsed="false">
      <c r="E2378" s="0" t="str">
        <f aca="false">IF(B2378="","",LOWER(B2378)&amp;"|"&amp;C2378)</f>
        <v/>
      </c>
    </row>
    <row r="2379" customFormat="false" ht="15" hidden="false" customHeight="false" outlineLevel="0" collapsed="false">
      <c r="E2379" s="0" t="str">
        <f aca="false">IF(B2379="","",LOWER(B2379)&amp;"|"&amp;C2379)</f>
        <v/>
      </c>
    </row>
    <row r="2380" customFormat="false" ht="15" hidden="false" customHeight="false" outlineLevel="0" collapsed="false">
      <c r="E2380" s="0" t="str">
        <f aca="false">IF(B2380="","",LOWER(B2380)&amp;"|"&amp;C2380)</f>
        <v/>
      </c>
    </row>
    <row r="2381" customFormat="false" ht="15" hidden="false" customHeight="false" outlineLevel="0" collapsed="false">
      <c r="E2381" s="0" t="str">
        <f aca="false">IF(B2381="","",LOWER(B2381)&amp;"|"&amp;C2381)</f>
        <v/>
      </c>
    </row>
    <row r="2382" customFormat="false" ht="15" hidden="false" customHeight="false" outlineLevel="0" collapsed="false">
      <c r="E2382" s="0" t="str">
        <f aca="false">IF(B2382="","",LOWER(B2382)&amp;"|"&amp;C2382)</f>
        <v/>
      </c>
    </row>
    <row r="2383" customFormat="false" ht="15" hidden="false" customHeight="false" outlineLevel="0" collapsed="false">
      <c r="E2383" s="0" t="str">
        <f aca="false">IF(B2383="","",LOWER(B2383)&amp;"|"&amp;C2383)</f>
        <v/>
      </c>
    </row>
    <row r="2384" customFormat="false" ht="15" hidden="false" customHeight="false" outlineLevel="0" collapsed="false">
      <c r="E2384" s="0" t="str">
        <f aca="false">IF(B2384="","",LOWER(B2384)&amp;"|"&amp;C2384)</f>
        <v/>
      </c>
    </row>
    <row r="2385" customFormat="false" ht="15" hidden="false" customHeight="false" outlineLevel="0" collapsed="false">
      <c r="E2385" s="0" t="str">
        <f aca="false">IF(B2385="","",LOWER(B2385)&amp;"|"&amp;C2385)</f>
        <v/>
      </c>
    </row>
    <row r="2386" customFormat="false" ht="15" hidden="false" customHeight="false" outlineLevel="0" collapsed="false">
      <c r="E2386" s="0" t="str">
        <f aca="false">IF(B2386="","",LOWER(B2386)&amp;"|"&amp;C2386)</f>
        <v/>
      </c>
    </row>
    <row r="2387" customFormat="false" ht="15" hidden="false" customHeight="false" outlineLevel="0" collapsed="false">
      <c r="E2387" s="0" t="str">
        <f aca="false">IF(B2387="","",LOWER(B2387)&amp;"|"&amp;C2387)</f>
        <v/>
      </c>
    </row>
    <row r="2388" customFormat="false" ht="15" hidden="false" customHeight="false" outlineLevel="0" collapsed="false">
      <c r="E2388" s="0" t="str">
        <f aca="false">IF(B2388="","",LOWER(B2388)&amp;"|"&amp;C2388)</f>
        <v/>
      </c>
    </row>
    <row r="2389" customFormat="false" ht="15" hidden="false" customHeight="false" outlineLevel="0" collapsed="false">
      <c r="E2389" s="0" t="str">
        <f aca="false">IF(B2389="","",LOWER(B2389)&amp;"|"&amp;C2389)</f>
        <v/>
      </c>
    </row>
    <row r="2390" customFormat="false" ht="15" hidden="false" customHeight="false" outlineLevel="0" collapsed="false">
      <c r="E2390" s="0" t="str">
        <f aca="false">IF(B2390="","",LOWER(B2390)&amp;"|"&amp;C2390)</f>
        <v/>
      </c>
    </row>
    <row r="2391" customFormat="false" ht="15" hidden="false" customHeight="false" outlineLevel="0" collapsed="false">
      <c r="E2391" s="0" t="str">
        <f aca="false">IF(B2391="","",LOWER(B2391)&amp;"|"&amp;C2391)</f>
        <v/>
      </c>
    </row>
    <row r="2392" customFormat="false" ht="15" hidden="false" customHeight="false" outlineLevel="0" collapsed="false">
      <c r="E2392" s="0" t="str">
        <f aca="false">IF(B2392="","",LOWER(B2392)&amp;"|"&amp;C2392)</f>
        <v/>
      </c>
    </row>
    <row r="2393" customFormat="false" ht="15" hidden="false" customHeight="false" outlineLevel="0" collapsed="false">
      <c r="E2393" s="0" t="str">
        <f aca="false">IF(B2393="","",LOWER(B2393)&amp;"|"&amp;C2393)</f>
        <v/>
      </c>
    </row>
    <row r="2394" customFormat="false" ht="15" hidden="false" customHeight="false" outlineLevel="0" collapsed="false">
      <c r="E2394" s="0" t="str">
        <f aca="false">IF(B2394="","",LOWER(B2394)&amp;"|"&amp;C2394)</f>
        <v/>
      </c>
    </row>
    <row r="2395" customFormat="false" ht="15" hidden="false" customHeight="false" outlineLevel="0" collapsed="false">
      <c r="E2395" s="0" t="str">
        <f aca="false">IF(B2395="","",LOWER(B2395)&amp;"|"&amp;C2395)</f>
        <v/>
      </c>
    </row>
    <row r="2396" customFormat="false" ht="15" hidden="false" customHeight="false" outlineLevel="0" collapsed="false">
      <c r="E2396" s="0" t="str">
        <f aca="false">IF(B2396="","",LOWER(B2396)&amp;"|"&amp;C2396)</f>
        <v/>
      </c>
    </row>
    <row r="2397" customFormat="false" ht="15" hidden="false" customHeight="false" outlineLevel="0" collapsed="false">
      <c r="E2397" s="0" t="str">
        <f aca="false">IF(B2397="","",LOWER(B2397)&amp;"|"&amp;C2397)</f>
        <v/>
      </c>
    </row>
    <row r="2398" customFormat="false" ht="15" hidden="false" customHeight="false" outlineLevel="0" collapsed="false">
      <c r="E2398" s="0" t="str">
        <f aca="false">IF(B2398="","",LOWER(B2398)&amp;"|"&amp;C2398)</f>
        <v/>
      </c>
    </row>
    <row r="2399" customFormat="false" ht="15" hidden="false" customHeight="false" outlineLevel="0" collapsed="false">
      <c r="E2399" s="0" t="str">
        <f aca="false">IF(B2399="","",LOWER(B2399)&amp;"|"&amp;C2399)</f>
        <v/>
      </c>
    </row>
    <row r="2400" customFormat="false" ht="15" hidden="false" customHeight="false" outlineLevel="0" collapsed="false">
      <c r="E2400" s="0" t="str">
        <f aca="false">IF(B2400="","",LOWER(B2400)&amp;"|"&amp;C2400)</f>
        <v/>
      </c>
    </row>
    <row r="2401" customFormat="false" ht="15" hidden="false" customHeight="false" outlineLevel="0" collapsed="false">
      <c r="E2401" s="0" t="str">
        <f aca="false">IF(B2401="","",LOWER(B2401)&amp;"|"&amp;C2401)</f>
        <v/>
      </c>
    </row>
    <row r="2402" customFormat="false" ht="15" hidden="false" customHeight="false" outlineLevel="0" collapsed="false">
      <c r="E2402" s="0" t="str">
        <f aca="false">IF(B2402="","",LOWER(B2402)&amp;"|"&amp;C2402)</f>
        <v/>
      </c>
    </row>
    <row r="2403" customFormat="false" ht="15" hidden="false" customHeight="false" outlineLevel="0" collapsed="false">
      <c r="E2403" s="0" t="str">
        <f aca="false">IF(B2403="","",LOWER(B2403)&amp;"|"&amp;C2403)</f>
        <v/>
      </c>
    </row>
    <row r="2404" customFormat="false" ht="15" hidden="false" customHeight="false" outlineLevel="0" collapsed="false">
      <c r="E2404" s="0" t="str">
        <f aca="false">IF(B2404="","",LOWER(B2404)&amp;"|"&amp;C2404)</f>
        <v/>
      </c>
    </row>
    <row r="2405" customFormat="false" ht="15" hidden="false" customHeight="false" outlineLevel="0" collapsed="false">
      <c r="E2405" s="0" t="str">
        <f aca="false">IF(B2405="","",LOWER(B2405)&amp;"|"&amp;C2405)</f>
        <v/>
      </c>
    </row>
    <row r="2406" customFormat="false" ht="15" hidden="false" customHeight="false" outlineLevel="0" collapsed="false">
      <c r="E2406" s="0" t="str">
        <f aca="false">IF(B2406="","",LOWER(B2406)&amp;"|"&amp;C2406)</f>
        <v/>
      </c>
    </row>
    <row r="2407" customFormat="false" ht="15" hidden="false" customHeight="false" outlineLevel="0" collapsed="false">
      <c r="E2407" s="0" t="str">
        <f aca="false">IF(B2407="","",LOWER(B2407)&amp;"|"&amp;C2407)</f>
        <v/>
      </c>
    </row>
    <row r="2408" customFormat="false" ht="15" hidden="false" customHeight="false" outlineLevel="0" collapsed="false">
      <c r="E2408" s="0" t="str">
        <f aca="false">IF(B2408="","",LOWER(B2408)&amp;"|"&amp;C2408)</f>
        <v/>
      </c>
    </row>
    <row r="2409" customFormat="false" ht="15" hidden="false" customHeight="false" outlineLevel="0" collapsed="false">
      <c r="E2409" s="0" t="str">
        <f aca="false">IF(B2409="","",LOWER(B2409)&amp;"|"&amp;C2409)</f>
        <v/>
      </c>
    </row>
    <row r="2410" customFormat="false" ht="15" hidden="false" customHeight="false" outlineLevel="0" collapsed="false">
      <c r="E2410" s="0" t="str">
        <f aca="false">IF(B2410="","",LOWER(B2410)&amp;"|"&amp;C2410)</f>
        <v/>
      </c>
    </row>
    <row r="2411" customFormat="false" ht="15" hidden="false" customHeight="false" outlineLevel="0" collapsed="false">
      <c r="E2411" s="0" t="str">
        <f aca="false">IF(B2411="","",LOWER(B2411)&amp;"|"&amp;C2411)</f>
        <v/>
      </c>
    </row>
    <row r="2412" customFormat="false" ht="15" hidden="false" customHeight="false" outlineLevel="0" collapsed="false">
      <c r="E2412" s="0" t="str">
        <f aca="false">IF(B2412="","",LOWER(B2412)&amp;"|"&amp;C2412)</f>
        <v/>
      </c>
    </row>
    <row r="2413" customFormat="false" ht="15" hidden="false" customHeight="false" outlineLevel="0" collapsed="false">
      <c r="E2413" s="0" t="str">
        <f aca="false">IF(B2413="","",LOWER(B2413)&amp;"|"&amp;C2413)</f>
        <v/>
      </c>
    </row>
    <row r="2414" customFormat="false" ht="15" hidden="false" customHeight="false" outlineLevel="0" collapsed="false">
      <c r="E2414" s="0" t="str">
        <f aca="false">IF(B2414="","",LOWER(B2414)&amp;"|"&amp;C2414)</f>
        <v/>
      </c>
    </row>
    <row r="2415" customFormat="false" ht="15" hidden="false" customHeight="false" outlineLevel="0" collapsed="false">
      <c r="E2415" s="0" t="str">
        <f aca="false">IF(B2415="","",LOWER(B2415)&amp;"|"&amp;C2415)</f>
        <v/>
      </c>
    </row>
    <row r="2416" customFormat="false" ht="15" hidden="false" customHeight="false" outlineLevel="0" collapsed="false">
      <c r="E2416" s="0" t="str">
        <f aca="false">IF(B2416="","",LOWER(B2416)&amp;"|"&amp;C2416)</f>
        <v/>
      </c>
    </row>
    <row r="2417" customFormat="false" ht="15" hidden="false" customHeight="false" outlineLevel="0" collapsed="false">
      <c r="E2417" s="0" t="str">
        <f aca="false">IF(B2417="","",LOWER(B2417)&amp;"|"&amp;C2417)</f>
        <v/>
      </c>
    </row>
    <row r="2418" customFormat="false" ht="15" hidden="false" customHeight="false" outlineLevel="0" collapsed="false">
      <c r="E2418" s="0" t="str">
        <f aca="false">IF(B2418="","",LOWER(B2418)&amp;"|"&amp;C2418)</f>
        <v/>
      </c>
    </row>
    <row r="2419" customFormat="false" ht="15" hidden="false" customHeight="false" outlineLevel="0" collapsed="false">
      <c r="E2419" s="0" t="str">
        <f aca="false">IF(B2419="","",LOWER(B2419)&amp;"|"&amp;C2419)</f>
        <v/>
      </c>
    </row>
    <row r="2420" customFormat="false" ht="15" hidden="false" customHeight="false" outlineLevel="0" collapsed="false">
      <c r="E2420" s="0" t="str">
        <f aca="false">IF(B2420="","",LOWER(B2420)&amp;"|"&amp;C2420)</f>
        <v/>
      </c>
    </row>
    <row r="2421" customFormat="false" ht="15" hidden="false" customHeight="false" outlineLevel="0" collapsed="false">
      <c r="E2421" s="0" t="str">
        <f aca="false">IF(B2421="","",LOWER(B2421)&amp;"|"&amp;C2421)</f>
        <v/>
      </c>
    </row>
    <row r="2422" customFormat="false" ht="15" hidden="false" customHeight="false" outlineLevel="0" collapsed="false">
      <c r="E2422" s="0" t="str">
        <f aca="false">IF(B2422="","",LOWER(B2422)&amp;"|"&amp;C2422)</f>
        <v/>
      </c>
    </row>
    <row r="2423" customFormat="false" ht="15" hidden="false" customHeight="false" outlineLevel="0" collapsed="false">
      <c r="E2423" s="0" t="str">
        <f aca="false">IF(B2423="","",LOWER(B2423)&amp;"|"&amp;C2423)</f>
        <v/>
      </c>
    </row>
    <row r="2424" customFormat="false" ht="15" hidden="false" customHeight="false" outlineLevel="0" collapsed="false">
      <c r="E2424" s="0" t="str">
        <f aca="false">IF(B2424="","",LOWER(B2424)&amp;"|"&amp;C2424)</f>
        <v/>
      </c>
    </row>
    <row r="2425" customFormat="false" ht="15" hidden="false" customHeight="false" outlineLevel="0" collapsed="false">
      <c r="E2425" s="0" t="str">
        <f aca="false">IF(B2425="","",LOWER(B2425)&amp;"|"&amp;C2425)</f>
        <v/>
      </c>
    </row>
    <row r="2426" customFormat="false" ht="15" hidden="false" customHeight="false" outlineLevel="0" collapsed="false">
      <c r="E2426" s="0" t="str">
        <f aca="false">IF(B2426="","",LOWER(B2426)&amp;"|"&amp;C2426)</f>
        <v/>
      </c>
    </row>
    <row r="2427" customFormat="false" ht="15" hidden="false" customHeight="false" outlineLevel="0" collapsed="false">
      <c r="E2427" s="0" t="str">
        <f aca="false">IF(B2427="","",LOWER(B2427)&amp;"|"&amp;C2427)</f>
        <v/>
      </c>
    </row>
    <row r="2428" customFormat="false" ht="15" hidden="false" customHeight="false" outlineLevel="0" collapsed="false">
      <c r="E2428" s="0" t="str">
        <f aca="false">IF(B2428="","",LOWER(B2428)&amp;"|"&amp;C2428)</f>
        <v/>
      </c>
    </row>
    <row r="2429" customFormat="false" ht="15" hidden="false" customHeight="false" outlineLevel="0" collapsed="false">
      <c r="E2429" s="0" t="str">
        <f aca="false">IF(B2429="","",LOWER(B2429)&amp;"|"&amp;C2429)</f>
        <v/>
      </c>
    </row>
    <row r="2430" customFormat="false" ht="15" hidden="false" customHeight="false" outlineLevel="0" collapsed="false">
      <c r="E2430" s="0" t="str">
        <f aca="false">IF(B2430="","",LOWER(B2430)&amp;"|"&amp;C2430)</f>
        <v/>
      </c>
    </row>
    <row r="2431" customFormat="false" ht="15" hidden="false" customHeight="false" outlineLevel="0" collapsed="false">
      <c r="E2431" s="0" t="str">
        <f aca="false">IF(B2431="","",LOWER(B2431)&amp;"|"&amp;C2431)</f>
        <v/>
      </c>
    </row>
    <row r="2432" customFormat="false" ht="15" hidden="false" customHeight="false" outlineLevel="0" collapsed="false">
      <c r="E2432" s="0" t="str">
        <f aca="false">IF(B2432="","",LOWER(B2432)&amp;"|"&amp;C2432)</f>
        <v/>
      </c>
    </row>
    <row r="2433" customFormat="false" ht="15" hidden="false" customHeight="false" outlineLevel="0" collapsed="false">
      <c r="E2433" s="0" t="str">
        <f aca="false">IF(B2433="","",LOWER(B2433)&amp;"|"&amp;C2433)</f>
        <v/>
      </c>
    </row>
    <row r="2434" customFormat="false" ht="15" hidden="false" customHeight="false" outlineLevel="0" collapsed="false">
      <c r="E2434" s="0" t="str">
        <f aca="false">IF(B2434="","",LOWER(B2434)&amp;"|"&amp;C2434)</f>
        <v/>
      </c>
    </row>
    <row r="2435" customFormat="false" ht="15" hidden="false" customHeight="false" outlineLevel="0" collapsed="false">
      <c r="E2435" s="0" t="str">
        <f aca="false">IF(B2435="","",LOWER(B2435)&amp;"|"&amp;C2435)</f>
        <v/>
      </c>
    </row>
    <row r="2436" customFormat="false" ht="15" hidden="false" customHeight="false" outlineLevel="0" collapsed="false">
      <c r="E2436" s="0" t="str">
        <f aca="false">IF(B2436="","",LOWER(B2436)&amp;"|"&amp;C2436)</f>
        <v/>
      </c>
    </row>
    <row r="2437" customFormat="false" ht="15" hidden="false" customHeight="false" outlineLevel="0" collapsed="false">
      <c r="E2437" s="0" t="str">
        <f aca="false">IF(B2437="","",LOWER(B2437)&amp;"|"&amp;C2437)</f>
        <v/>
      </c>
    </row>
    <row r="2438" customFormat="false" ht="15" hidden="false" customHeight="false" outlineLevel="0" collapsed="false">
      <c r="E2438" s="0" t="str">
        <f aca="false">IF(B2438="","",LOWER(B2438)&amp;"|"&amp;C2438)</f>
        <v/>
      </c>
    </row>
    <row r="2439" customFormat="false" ht="15" hidden="false" customHeight="false" outlineLevel="0" collapsed="false">
      <c r="E2439" s="0" t="str">
        <f aca="false">IF(B2439="","",LOWER(B2439)&amp;"|"&amp;C2439)</f>
        <v/>
      </c>
    </row>
    <row r="2440" customFormat="false" ht="15" hidden="false" customHeight="false" outlineLevel="0" collapsed="false">
      <c r="E2440" s="0" t="str">
        <f aca="false">IF(B2440="","",LOWER(B2440)&amp;"|"&amp;C2440)</f>
        <v/>
      </c>
    </row>
    <row r="2441" customFormat="false" ht="15" hidden="false" customHeight="false" outlineLevel="0" collapsed="false">
      <c r="E2441" s="0" t="str">
        <f aca="false">IF(B2441="","",LOWER(B2441)&amp;"|"&amp;C2441)</f>
        <v/>
      </c>
    </row>
    <row r="2442" customFormat="false" ht="15" hidden="false" customHeight="false" outlineLevel="0" collapsed="false">
      <c r="E2442" s="0" t="str">
        <f aca="false">IF(B2442="","",LOWER(B2442)&amp;"|"&amp;C2442)</f>
        <v/>
      </c>
    </row>
    <row r="2443" customFormat="false" ht="15" hidden="false" customHeight="false" outlineLevel="0" collapsed="false">
      <c r="E2443" s="0" t="str">
        <f aca="false">IF(B2443="","",LOWER(B2443)&amp;"|"&amp;C2443)</f>
        <v/>
      </c>
    </row>
    <row r="2444" customFormat="false" ht="15" hidden="false" customHeight="false" outlineLevel="0" collapsed="false">
      <c r="E2444" s="0" t="str">
        <f aca="false">IF(B2444="","",LOWER(B2444)&amp;"|"&amp;C2444)</f>
        <v/>
      </c>
    </row>
    <row r="2445" customFormat="false" ht="15" hidden="false" customHeight="false" outlineLevel="0" collapsed="false">
      <c r="E2445" s="0" t="str">
        <f aca="false">IF(B2445="","",LOWER(B2445)&amp;"|"&amp;C2445)</f>
        <v/>
      </c>
    </row>
    <row r="2446" customFormat="false" ht="15" hidden="false" customHeight="false" outlineLevel="0" collapsed="false">
      <c r="E2446" s="0" t="str">
        <f aca="false">IF(B2446="","",LOWER(B2446)&amp;"|"&amp;C2446)</f>
        <v/>
      </c>
    </row>
    <row r="2447" customFormat="false" ht="15" hidden="false" customHeight="false" outlineLevel="0" collapsed="false">
      <c r="E2447" s="0" t="str">
        <f aca="false">IF(B2447="","",LOWER(B2447)&amp;"|"&amp;C2447)</f>
        <v/>
      </c>
    </row>
    <row r="2448" customFormat="false" ht="15" hidden="false" customHeight="false" outlineLevel="0" collapsed="false">
      <c r="E2448" s="0" t="str">
        <f aca="false">IF(B2448="","",LOWER(B2448)&amp;"|"&amp;C2448)</f>
        <v/>
      </c>
    </row>
    <row r="2449" customFormat="false" ht="15" hidden="false" customHeight="false" outlineLevel="0" collapsed="false">
      <c r="E2449" s="0" t="str">
        <f aca="false">IF(B2449="","",LOWER(B2449)&amp;"|"&amp;C2449)</f>
        <v/>
      </c>
    </row>
    <row r="2450" customFormat="false" ht="15" hidden="false" customHeight="false" outlineLevel="0" collapsed="false">
      <c r="E2450" s="0" t="str">
        <f aca="false">IF(B2450="","",LOWER(B2450)&amp;"|"&amp;C2450)</f>
        <v/>
      </c>
    </row>
    <row r="2451" customFormat="false" ht="15" hidden="false" customHeight="false" outlineLevel="0" collapsed="false">
      <c r="E2451" s="0" t="str">
        <f aca="false">IF(B2451="","",LOWER(B2451)&amp;"|"&amp;C2451)</f>
        <v/>
      </c>
    </row>
    <row r="2452" customFormat="false" ht="15" hidden="false" customHeight="false" outlineLevel="0" collapsed="false">
      <c r="E2452" s="0" t="str">
        <f aca="false">IF(B2452="","",LOWER(B2452)&amp;"|"&amp;C2452)</f>
        <v/>
      </c>
    </row>
    <row r="2453" customFormat="false" ht="15" hidden="false" customHeight="false" outlineLevel="0" collapsed="false">
      <c r="E2453" s="0" t="str">
        <f aca="false">IF(B2453="","",LOWER(B2453)&amp;"|"&amp;C2453)</f>
        <v/>
      </c>
    </row>
    <row r="2454" customFormat="false" ht="15" hidden="false" customHeight="false" outlineLevel="0" collapsed="false">
      <c r="E2454" s="0" t="str">
        <f aca="false">IF(B2454="","",LOWER(B2454)&amp;"|"&amp;C2454)</f>
        <v/>
      </c>
    </row>
    <row r="2455" customFormat="false" ht="15" hidden="false" customHeight="false" outlineLevel="0" collapsed="false">
      <c r="E2455" s="0" t="str">
        <f aca="false">IF(B2455="","",LOWER(B2455)&amp;"|"&amp;C2455)</f>
        <v/>
      </c>
    </row>
    <row r="2456" customFormat="false" ht="15" hidden="false" customHeight="false" outlineLevel="0" collapsed="false">
      <c r="E2456" s="0" t="str">
        <f aca="false">IF(B2456="","",LOWER(B2456)&amp;"|"&amp;C2456)</f>
        <v/>
      </c>
    </row>
    <row r="2457" customFormat="false" ht="15" hidden="false" customHeight="false" outlineLevel="0" collapsed="false">
      <c r="E2457" s="0" t="str">
        <f aca="false">IF(B2457="","",LOWER(B2457)&amp;"|"&amp;C2457)</f>
        <v/>
      </c>
    </row>
    <row r="2458" customFormat="false" ht="15" hidden="false" customHeight="false" outlineLevel="0" collapsed="false">
      <c r="E2458" s="0" t="str">
        <f aca="false">IF(B2458="","",LOWER(B2458)&amp;"|"&amp;C2458)</f>
        <v/>
      </c>
    </row>
    <row r="2459" customFormat="false" ht="15" hidden="false" customHeight="false" outlineLevel="0" collapsed="false">
      <c r="E2459" s="0" t="str">
        <f aca="false">IF(B2459="","",LOWER(B2459)&amp;"|"&amp;C2459)</f>
        <v/>
      </c>
    </row>
    <row r="2460" customFormat="false" ht="15" hidden="false" customHeight="false" outlineLevel="0" collapsed="false">
      <c r="E2460" s="0" t="str">
        <f aca="false">IF(B2460="","",LOWER(B2460)&amp;"|"&amp;C2460)</f>
        <v/>
      </c>
    </row>
    <row r="2461" customFormat="false" ht="15" hidden="false" customHeight="false" outlineLevel="0" collapsed="false">
      <c r="E2461" s="0" t="str">
        <f aca="false">IF(B2461="","",LOWER(B2461)&amp;"|"&amp;C2461)</f>
        <v/>
      </c>
    </row>
    <row r="2462" customFormat="false" ht="15" hidden="false" customHeight="false" outlineLevel="0" collapsed="false">
      <c r="E2462" s="0" t="str">
        <f aca="false">IF(B2462="","",LOWER(B2462)&amp;"|"&amp;C2462)</f>
        <v/>
      </c>
    </row>
    <row r="2463" customFormat="false" ht="15" hidden="false" customHeight="false" outlineLevel="0" collapsed="false">
      <c r="E2463" s="0" t="str">
        <f aca="false">IF(B2463="","",LOWER(B2463)&amp;"|"&amp;C2463)</f>
        <v/>
      </c>
    </row>
    <row r="2464" customFormat="false" ht="15" hidden="false" customHeight="false" outlineLevel="0" collapsed="false">
      <c r="E2464" s="0" t="str">
        <f aca="false">IF(B2464="","",LOWER(B2464)&amp;"|"&amp;C2464)</f>
        <v/>
      </c>
    </row>
    <row r="2465" customFormat="false" ht="15" hidden="false" customHeight="false" outlineLevel="0" collapsed="false">
      <c r="E2465" s="0" t="str">
        <f aca="false">IF(B2465="","",LOWER(B2465)&amp;"|"&amp;C2465)</f>
        <v/>
      </c>
    </row>
    <row r="2466" customFormat="false" ht="15" hidden="false" customHeight="false" outlineLevel="0" collapsed="false">
      <c r="E2466" s="0" t="str">
        <f aca="false">IF(B2466="","",LOWER(B2466)&amp;"|"&amp;C2466)</f>
        <v/>
      </c>
    </row>
    <row r="2467" customFormat="false" ht="15" hidden="false" customHeight="false" outlineLevel="0" collapsed="false">
      <c r="E2467" s="0" t="str">
        <f aca="false">IF(B2467="","",LOWER(B2467)&amp;"|"&amp;C2467)</f>
        <v/>
      </c>
    </row>
    <row r="2468" customFormat="false" ht="15" hidden="false" customHeight="false" outlineLevel="0" collapsed="false">
      <c r="E2468" s="0" t="str">
        <f aca="false">IF(B2468="","",LOWER(B2468)&amp;"|"&amp;C2468)</f>
        <v/>
      </c>
    </row>
    <row r="2469" customFormat="false" ht="15" hidden="false" customHeight="false" outlineLevel="0" collapsed="false">
      <c r="E2469" s="0" t="str">
        <f aca="false">IF(B2469="","",LOWER(B2469)&amp;"|"&amp;C2469)</f>
        <v/>
      </c>
    </row>
    <row r="2470" customFormat="false" ht="15" hidden="false" customHeight="false" outlineLevel="0" collapsed="false">
      <c r="E2470" s="0" t="str">
        <f aca="false">IF(B2470="","",LOWER(B2470)&amp;"|"&amp;C2470)</f>
        <v/>
      </c>
    </row>
    <row r="2471" customFormat="false" ht="15" hidden="false" customHeight="false" outlineLevel="0" collapsed="false">
      <c r="E2471" s="0" t="str">
        <f aca="false">IF(B2471="","",LOWER(B2471)&amp;"|"&amp;C2471)</f>
        <v/>
      </c>
    </row>
    <row r="2472" customFormat="false" ht="15" hidden="false" customHeight="false" outlineLevel="0" collapsed="false">
      <c r="E2472" s="0" t="str">
        <f aca="false">IF(B2472="","",LOWER(B2472)&amp;"|"&amp;C2472)</f>
        <v/>
      </c>
    </row>
    <row r="2473" customFormat="false" ht="15" hidden="false" customHeight="false" outlineLevel="0" collapsed="false">
      <c r="E2473" s="0" t="str">
        <f aca="false">IF(B2473="","",LOWER(B2473)&amp;"|"&amp;C2473)</f>
        <v/>
      </c>
    </row>
    <row r="2474" customFormat="false" ht="15" hidden="false" customHeight="false" outlineLevel="0" collapsed="false">
      <c r="E2474" s="0" t="str">
        <f aca="false">IF(B2474="","",LOWER(B2474)&amp;"|"&amp;C2474)</f>
        <v/>
      </c>
    </row>
    <row r="2475" customFormat="false" ht="15" hidden="false" customHeight="false" outlineLevel="0" collapsed="false">
      <c r="E2475" s="0" t="str">
        <f aca="false">IF(B2475="","",LOWER(B2475)&amp;"|"&amp;C2475)</f>
        <v/>
      </c>
    </row>
    <row r="2476" customFormat="false" ht="15" hidden="false" customHeight="false" outlineLevel="0" collapsed="false">
      <c r="E2476" s="0" t="str">
        <f aca="false">IF(B2476="","",LOWER(B2476)&amp;"|"&amp;C2476)</f>
        <v/>
      </c>
    </row>
    <row r="2477" customFormat="false" ht="15" hidden="false" customHeight="false" outlineLevel="0" collapsed="false">
      <c r="E2477" s="0" t="str">
        <f aca="false">IF(B2477="","",LOWER(B2477)&amp;"|"&amp;C2477)</f>
        <v/>
      </c>
    </row>
    <row r="2478" customFormat="false" ht="15" hidden="false" customHeight="false" outlineLevel="0" collapsed="false">
      <c r="E2478" s="0" t="str">
        <f aca="false">IF(B2478="","",LOWER(B2478)&amp;"|"&amp;C2478)</f>
        <v/>
      </c>
    </row>
    <row r="2479" customFormat="false" ht="15" hidden="false" customHeight="false" outlineLevel="0" collapsed="false">
      <c r="E2479" s="0" t="str">
        <f aca="false">IF(B2479="","",LOWER(B2479)&amp;"|"&amp;C2479)</f>
        <v/>
      </c>
    </row>
    <row r="2480" customFormat="false" ht="15" hidden="false" customHeight="false" outlineLevel="0" collapsed="false">
      <c r="E2480" s="0" t="str">
        <f aca="false">IF(B2480="","",LOWER(B2480)&amp;"|"&amp;C2480)</f>
        <v/>
      </c>
    </row>
    <row r="2481" customFormat="false" ht="15" hidden="false" customHeight="false" outlineLevel="0" collapsed="false">
      <c r="E2481" s="0" t="str">
        <f aca="false">IF(B2481="","",LOWER(B2481)&amp;"|"&amp;C2481)</f>
        <v/>
      </c>
    </row>
    <row r="2482" customFormat="false" ht="15" hidden="false" customHeight="false" outlineLevel="0" collapsed="false">
      <c r="E2482" s="0" t="str">
        <f aca="false">IF(B2482="","",LOWER(B2482)&amp;"|"&amp;C2482)</f>
        <v/>
      </c>
    </row>
    <row r="2483" customFormat="false" ht="15" hidden="false" customHeight="false" outlineLevel="0" collapsed="false">
      <c r="E2483" s="0" t="str">
        <f aca="false">IF(B2483="","",LOWER(B2483)&amp;"|"&amp;C2483)</f>
        <v/>
      </c>
    </row>
    <row r="2484" customFormat="false" ht="15" hidden="false" customHeight="false" outlineLevel="0" collapsed="false">
      <c r="E2484" s="0" t="str">
        <f aca="false">IF(B2484="","",LOWER(B2484)&amp;"|"&amp;C2484)</f>
        <v/>
      </c>
    </row>
    <row r="2485" customFormat="false" ht="15" hidden="false" customHeight="false" outlineLevel="0" collapsed="false">
      <c r="E2485" s="0" t="str">
        <f aca="false">IF(B2485="","",LOWER(B2485)&amp;"|"&amp;C2485)</f>
        <v/>
      </c>
    </row>
    <row r="2486" customFormat="false" ht="15" hidden="false" customHeight="false" outlineLevel="0" collapsed="false">
      <c r="E2486" s="0" t="str">
        <f aca="false">IF(B2486="","",LOWER(B2486)&amp;"|"&amp;C2486)</f>
        <v/>
      </c>
    </row>
    <row r="2487" customFormat="false" ht="15" hidden="false" customHeight="false" outlineLevel="0" collapsed="false">
      <c r="E2487" s="0" t="str">
        <f aca="false">IF(B2487="","",LOWER(B2487)&amp;"|"&amp;C2487)</f>
        <v/>
      </c>
    </row>
    <row r="2488" customFormat="false" ht="15" hidden="false" customHeight="false" outlineLevel="0" collapsed="false">
      <c r="E2488" s="0" t="str">
        <f aca="false">IF(B2488="","",LOWER(B2488)&amp;"|"&amp;C2488)</f>
        <v/>
      </c>
    </row>
    <row r="2489" customFormat="false" ht="15" hidden="false" customHeight="false" outlineLevel="0" collapsed="false">
      <c r="E2489" s="0" t="str">
        <f aca="false">IF(B2489="","",LOWER(B2489)&amp;"|"&amp;C2489)</f>
        <v/>
      </c>
    </row>
    <row r="2490" customFormat="false" ht="15" hidden="false" customHeight="false" outlineLevel="0" collapsed="false">
      <c r="E2490" s="0" t="str">
        <f aca="false">IF(B2490="","",LOWER(B2490)&amp;"|"&amp;C2490)</f>
        <v/>
      </c>
    </row>
    <row r="2491" customFormat="false" ht="15" hidden="false" customHeight="false" outlineLevel="0" collapsed="false">
      <c r="E2491" s="0" t="str">
        <f aca="false">IF(B2491="","",LOWER(B2491)&amp;"|"&amp;C2491)</f>
        <v/>
      </c>
    </row>
    <row r="2492" customFormat="false" ht="15" hidden="false" customHeight="false" outlineLevel="0" collapsed="false">
      <c r="E2492" s="0" t="str">
        <f aca="false">IF(B2492="","",LOWER(B2492)&amp;"|"&amp;C2492)</f>
        <v/>
      </c>
    </row>
    <row r="2493" customFormat="false" ht="15" hidden="false" customHeight="false" outlineLevel="0" collapsed="false">
      <c r="E2493" s="0" t="str">
        <f aca="false">IF(B2493="","",LOWER(B2493)&amp;"|"&amp;C2493)</f>
        <v/>
      </c>
    </row>
    <row r="2494" customFormat="false" ht="15" hidden="false" customHeight="false" outlineLevel="0" collapsed="false">
      <c r="E2494" s="0" t="str">
        <f aca="false">IF(B2494="","",LOWER(B2494)&amp;"|"&amp;C2494)</f>
        <v/>
      </c>
    </row>
    <row r="2495" customFormat="false" ht="15" hidden="false" customHeight="false" outlineLevel="0" collapsed="false">
      <c r="E2495" s="0" t="str">
        <f aca="false">IF(B2495="","",LOWER(B2495)&amp;"|"&amp;C2495)</f>
        <v/>
      </c>
    </row>
    <row r="2496" customFormat="false" ht="15" hidden="false" customHeight="false" outlineLevel="0" collapsed="false">
      <c r="E2496" s="0" t="str">
        <f aca="false">IF(B2496="","",LOWER(B2496)&amp;"|"&amp;C2496)</f>
        <v/>
      </c>
    </row>
    <row r="2497" customFormat="false" ht="15" hidden="false" customHeight="false" outlineLevel="0" collapsed="false">
      <c r="E2497" s="0" t="str">
        <f aca="false">IF(B2497="","",LOWER(B2497)&amp;"|"&amp;C2497)</f>
        <v/>
      </c>
    </row>
    <row r="2498" customFormat="false" ht="15" hidden="false" customHeight="false" outlineLevel="0" collapsed="false">
      <c r="E2498" s="0" t="str">
        <f aca="false">IF(B2498="","",LOWER(B2498)&amp;"|"&amp;C2498)</f>
        <v/>
      </c>
    </row>
    <row r="2499" customFormat="false" ht="15" hidden="false" customHeight="false" outlineLevel="0" collapsed="false">
      <c r="E2499" s="0" t="str">
        <f aca="false">IF(B2499="","",LOWER(B2499)&amp;"|"&amp;C2499)</f>
        <v/>
      </c>
    </row>
    <row r="2500" customFormat="false" ht="15" hidden="false" customHeight="false" outlineLevel="0" collapsed="false">
      <c r="E2500" s="0" t="str">
        <f aca="false">IF(B2500="","",LOWER(B2500)&amp;"|"&amp;C2500)</f>
        <v/>
      </c>
    </row>
    <row r="2501" customFormat="false" ht="15" hidden="false" customHeight="false" outlineLevel="0" collapsed="false">
      <c r="E2501" s="0" t="str">
        <f aca="false">IF(B2501="","",LOWER(B2501)&amp;"|"&amp;C2501)</f>
        <v/>
      </c>
    </row>
    <row r="2502" customFormat="false" ht="15" hidden="false" customHeight="false" outlineLevel="0" collapsed="false">
      <c r="E2502" s="0" t="str">
        <f aca="false">IF(B2502="","",LOWER(B2502)&amp;"|"&amp;C2502)</f>
        <v/>
      </c>
    </row>
    <row r="2503" customFormat="false" ht="15" hidden="false" customHeight="false" outlineLevel="0" collapsed="false">
      <c r="E2503" s="0" t="str">
        <f aca="false">IF(B2503="","",LOWER(B2503)&amp;"|"&amp;C2503)</f>
        <v/>
      </c>
    </row>
    <row r="2504" customFormat="false" ht="15" hidden="false" customHeight="false" outlineLevel="0" collapsed="false">
      <c r="E2504" s="0" t="str">
        <f aca="false">IF(B2504="","",LOWER(B2504)&amp;"|"&amp;C2504)</f>
        <v/>
      </c>
    </row>
    <row r="2505" customFormat="false" ht="15" hidden="false" customHeight="false" outlineLevel="0" collapsed="false">
      <c r="E2505" s="0" t="str">
        <f aca="false">IF(B2505="","",LOWER(B2505)&amp;"|"&amp;C2505)</f>
        <v/>
      </c>
    </row>
    <row r="2506" customFormat="false" ht="15" hidden="false" customHeight="false" outlineLevel="0" collapsed="false">
      <c r="E2506" s="0" t="str">
        <f aca="false">IF(B2506="","",LOWER(B2506)&amp;"|"&amp;C2506)</f>
        <v/>
      </c>
    </row>
    <row r="2507" customFormat="false" ht="15" hidden="false" customHeight="false" outlineLevel="0" collapsed="false">
      <c r="E2507" s="0" t="str">
        <f aca="false">IF(B2507="","",LOWER(B2507)&amp;"|"&amp;C2507)</f>
        <v/>
      </c>
    </row>
    <row r="2508" customFormat="false" ht="15" hidden="false" customHeight="false" outlineLevel="0" collapsed="false">
      <c r="E2508" s="0" t="str">
        <f aca="false">IF(B2508="","",LOWER(B2508)&amp;"|"&amp;C2508)</f>
        <v/>
      </c>
    </row>
    <row r="2509" customFormat="false" ht="15" hidden="false" customHeight="false" outlineLevel="0" collapsed="false">
      <c r="E2509" s="0" t="str">
        <f aca="false">IF(B2509="","",LOWER(B2509)&amp;"|"&amp;C2509)</f>
        <v/>
      </c>
    </row>
    <row r="2510" customFormat="false" ht="15" hidden="false" customHeight="false" outlineLevel="0" collapsed="false">
      <c r="E2510" s="0" t="str">
        <f aca="false">IF(B2510="","",LOWER(B2510)&amp;"|"&amp;C2510)</f>
        <v/>
      </c>
    </row>
    <row r="2511" customFormat="false" ht="15" hidden="false" customHeight="false" outlineLevel="0" collapsed="false">
      <c r="E2511" s="0" t="str">
        <f aca="false">IF(B2511="","",LOWER(B2511)&amp;"|"&amp;C2511)</f>
        <v/>
      </c>
    </row>
    <row r="2512" customFormat="false" ht="15" hidden="false" customHeight="false" outlineLevel="0" collapsed="false">
      <c r="E2512" s="0" t="str">
        <f aca="false">IF(B2512="","",LOWER(B2512)&amp;"|"&amp;C2512)</f>
        <v/>
      </c>
    </row>
    <row r="2513" customFormat="false" ht="15" hidden="false" customHeight="false" outlineLevel="0" collapsed="false">
      <c r="E2513" s="0" t="str">
        <f aca="false">IF(B2513="","",LOWER(B2513)&amp;"|"&amp;C2513)</f>
        <v/>
      </c>
    </row>
    <row r="2514" customFormat="false" ht="15" hidden="false" customHeight="false" outlineLevel="0" collapsed="false">
      <c r="E2514" s="0" t="str">
        <f aca="false">IF(B2514="","",LOWER(B2514)&amp;"|"&amp;C2514)</f>
        <v/>
      </c>
    </row>
    <row r="2515" customFormat="false" ht="15" hidden="false" customHeight="false" outlineLevel="0" collapsed="false">
      <c r="E2515" s="0" t="str">
        <f aca="false">IF(B2515="","",LOWER(B2515)&amp;"|"&amp;C2515)</f>
        <v/>
      </c>
    </row>
    <row r="2516" customFormat="false" ht="15" hidden="false" customHeight="false" outlineLevel="0" collapsed="false">
      <c r="E2516" s="0" t="str">
        <f aca="false">IF(B2516="","",LOWER(B2516)&amp;"|"&amp;C2516)</f>
        <v/>
      </c>
    </row>
    <row r="2517" customFormat="false" ht="15" hidden="false" customHeight="false" outlineLevel="0" collapsed="false">
      <c r="E2517" s="0" t="str">
        <f aca="false">IF(B2517="","",LOWER(B2517)&amp;"|"&amp;C2517)</f>
        <v/>
      </c>
    </row>
    <row r="2518" customFormat="false" ht="15" hidden="false" customHeight="false" outlineLevel="0" collapsed="false">
      <c r="E2518" s="0" t="str">
        <f aca="false">IF(B2518="","",LOWER(B2518)&amp;"|"&amp;C2518)</f>
        <v/>
      </c>
    </row>
    <row r="2519" customFormat="false" ht="15" hidden="false" customHeight="false" outlineLevel="0" collapsed="false">
      <c r="E2519" s="0" t="str">
        <f aca="false">IF(B2519="","",LOWER(B2519)&amp;"|"&amp;C2519)</f>
        <v/>
      </c>
    </row>
    <row r="2520" customFormat="false" ht="15" hidden="false" customHeight="false" outlineLevel="0" collapsed="false">
      <c r="E2520" s="0" t="str">
        <f aca="false">IF(B2520="","",LOWER(B2520)&amp;"|"&amp;C2520)</f>
        <v/>
      </c>
    </row>
    <row r="2521" customFormat="false" ht="15" hidden="false" customHeight="false" outlineLevel="0" collapsed="false">
      <c r="E2521" s="0" t="str">
        <f aca="false">IF(B2521="","",LOWER(B2521)&amp;"|"&amp;C2521)</f>
        <v/>
      </c>
    </row>
    <row r="2522" customFormat="false" ht="15" hidden="false" customHeight="false" outlineLevel="0" collapsed="false">
      <c r="E2522" s="0" t="str">
        <f aca="false">IF(B2522="","",LOWER(B2522)&amp;"|"&amp;C2522)</f>
        <v/>
      </c>
    </row>
    <row r="2523" customFormat="false" ht="15" hidden="false" customHeight="false" outlineLevel="0" collapsed="false">
      <c r="E2523" s="0" t="str">
        <f aca="false">IF(B2523="","",LOWER(B2523)&amp;"|"&amp;C2523)</f>
        <v/>
      </c>
    </row>
    <row r="2524" customFormat="false" ht="15" hidden="false" customHeight="false" outlineLevel="0" collapsed="false">
      <c r="E2524" s="0" t="str">
        <f aca="false">IF(B2524="","",LOWER(B2524)&amp;"|"&amp;C2524)</f>
        <v/>
      </c>
    </row>
    <row r="2525" customFormat="false" ht="15" hidden="false" customHeight="false" outlineLevel="0" collapsed="false">
      <c r="E2525" s="0" t="str">
        <f aca="false">IF(B2525="","",LOWER(B2525)&amp;"|"&amp;C2525)</f>
        <v/>
      </c>
    </row>
    <row r="2526" customFormat="false" ht="15" hidden="false" customHeight="false" outlineLevel="0" collapsed="false">
      <c r="E2526" s="0" t="str">
        <f aca="false">IF(B2526="","",LOWER(B2526)&amp;"|"&amp;C2526)</f>
        <v/>
      </c>
    </row>
    <row r="2527" customFormat="false" ht="15" hidden="false" customHeight="false" outlineLevel="0" collapsed="false">
      <c r="E2527" s="0" t="str">
        <f aca="false">IF(B2527="","",LOWER(B2527)&amp;"|"&amp;C2527)</f>
        <v/>
      </c>
    </row>
    <row r="2528" customFormat="false" ht="15" hidden="false" customHeight="false" outlineLevel="0" collapsed="false">
      <c r="E2528" s="0" t="str">
        <f aca="false">IF(B2528="","",LOWER(B2528)&amp;"|"&amp;C2528)</f>
        <v/>
      </c>
    </row>
    <row r="2529" customFormat="false" ht="15" hidden="false" customHeight="false" outlineLevel="0" collapsed="false">
      <c r="E2529" s="0" t="str">
        <f aca="false">IF(B2529="","",LOWER(B2529)&amp;"|"&amp;C2529)</f>
        <v/>
      </c>
    </row>
    <row r="2530" customFormat="false" ht="15" hidden="false" customHeight="false" outlineLevel="0" collapsed="false">
      <c r="E2530" s="0" t="str">
        <f aca="false">IF(B2530="","",LOWER(B2530)&amp;"|"&amp;C2530)</f>
        <v/>
      </c>
    </row>
    <row r="2531" customFormat="false" ht="15" hidden="false" customHeight="false" outlineLevel="0" collapsed="false">
      <c r="E2531" s="0" t="str">
        <f aca="false">IF(B2531="","",LOWER(B2531)&amp;"|"&amp;C2531)</f>
        <v/>
      </c>
    </row>
    <row r="2532" customFormat="false" ht="15" hidden="false" customHeight="false" outlineLevel="0" collapsed="false">
      <c r="E2532" s="0" t="str">
        <f aca="false">IF(B2532="","",LOWER(B2532)&amp;"|"&amp;C2532)</f>
        <v/>
      </c>
    </row>
    <row r="2533" customFormat="false" ht="15" hidden="false" customHeight="false" outlineLevel="0" collapsed="false">
      <c r="E2533" s="0" t="str">
        <f aca="false">IF(B2533="","",LOWER(B2533)&amp;"|"&amp;C2533)</f>
        <v/>
      </c>
    </row>
    <row r="2534" customFormat="false" ht="15" hidden="false" customHeight="false" outlineLevel="0" collapsed="false">
      <c r="E2534" s="0" t="str">
        <f aca="false">IF(B2534="","",LOWER(B2534)&amp;"|"&amp;C2534)</f>
        <v/>
      </c>
    </row>
    <row r="2535" customFormat="false" ht="15" hidden="false" customHeight="false" outlineLevel="0" collapsed="false">
      <c r="E2535" s="0" t="str">
        <f aca="false">IF(B2535="","",LOWER(B2535)&amp;"|"&amp;C2535)</f>
        <v/>
      </c>
    </row>
    <row r="2536" customFormat="false" ht="15" hidden="false" customHeight="false" outlineLevel="0" collapsed="false">
      <c r="E2536" s="0" t="str">
        <f aca="false">IF(B2536="","",LOWER(B2536)&amp;"|"&amp;C2536)</f>
        <v/>
      </c>
    </row>
    <row r="2537" customFormat="false" ht="15" hidden="false" customHeight="false" outlineLevel="0" collapsed="false">
      <c r="E2537" s="0" t="str">
        <f aca="false">IF(B2537="","",LOWER(B2537)&amp;"|"&amp;C2537)</f>
        <v/>
      </c>
    </row>
    <row r="2538" customFormat="false" ht="15" hidden="false" customHeight="false" outlineLevel="0" collapsed="false">
      <c r="E2538" s="0" t="str">
        <f aca="false">IF(B2538="","",LOWER(B2538)&amp;"|"&amp;C2538)</f>
        <v/>
      </c>
    </row>
    <row r="2539" customFormat="false" ht="15" hidden="false" customHeight="false" outlineLevel="0" collapsed="false">
      <c r="E2539" s="0" t="str">
        <f aca="false">IF(B2539="","",LOWER(B2539)&amp;"|"&amp;C2539)</f>
        <v/>
      </c>
    </row>
    <row r="2540" customFormat="false" ht="15" hidden="false" customHeight="false" outlineLevel="0" collapsed="false">
      <c r="E2540" s="0" t="str">
        <f aca="false">IF(B2540="","",LOWER(B2540)&amp;"|"&amp;C2540)</f>
        <v/>
      </c>
    </row>
    <row r="2541" customFormat="false" ht="15" hidden="false" customHeight="false" outlineLevel="0" collapsed="false">
      <c r="E2541" s="0" t="str">
        <f aca="false">IF(B2541="","",LOWER(B2541)&amp;"|"&amp;C2541)</f>
        <v/>
      </c>
    </row>
    <row r="2542" customFormat="false" ht="15" hidden="false" customHeight="false" outlineLevel="0" collapsed="false">
      <c r="E2542" s="0" t="str">
        <f aca="false">IF(B2542="","",LOWER(B2542)&amp;"|"&amp;C2542)</f>
        <v/>
      </c>
    </row>
    <row r="2543" customFormat="false" ht="15" hidden="false" customHeight="false" outlineLevel="0" collapsed="false">
      <c r="E2543" s="0" t="str">
        <f aca="false">IF(B2543="","",LOWER(B2543)&amp;"|"&amp;C2543)</f>
        <v/>
      </c>
    </row>
    <row r="2544" customFormat="false" ht="15" hidden="false" customHeight="false" outlineLevel="0" collapsed="false">
      <c r="E2544" s="0" t="str">
        <f aca="false">IF(B2544="","",LOWER(B2544)&amp;"|"&amp;C2544)</f>
        <v/>
      </c>
    </row>
    <row r="2545" customFormat="false" ht="15" hidden="false" customHeight="false" outlineLevel="0" collapsed="false">
      <c r="E2545" s="0" t="str">
        <f aca="false">IF(B2545="","",LOWER(B2545)&amp;"|"&amp;C2545)</f>
        <v/>
      </c>
    </row>
    <row r="2546" customFormat="false" ht="15" hidden="false" customHeight="false" outlineLevel="0" collapsed="false">
      <c r="E2546" s="0" t="str">
        <f aca="false">IF(B2546="","",LOWER(B2546)&amp;"|"&amp;C2546)</f>
        <v/>
      </c>
    </row>
    <row r="2547" customFormat="false" ht="15" hidden="false" customHeight="false" outlineLevel="0" collapsed="false">
      <c r="E2547" s="0" t="str">
        <f aca="false">IF(B2547="","",LOWER(B2547)&amp;"|"&amp;C2547)</f>
        <v/>
      </c>
    </row>
    <row r="2548" customFormat="false" ht="15" hidden="false" customHeight="false" outlineLevel="0" collapsed="false">
      <c r="E2548" s="0" t="str">
        <f aca="false">IF(B2548="","",LOWER(B2548)&amp;"|"&amp;C2548)</f>
        <v/>
      </c>
    </row>
    <row r="2549" customFormat="false" ht="15" hidden="false" customHeight="false" outlineLevel="0" collapsed="false">
      <c r="E2549" s="0" t="str">
        <f aca="false">IF(B2549="","",LOWER(B2549)&amp;"|"&amp;C2549)</f>
        <v/>
      </c>
    </row>
    <row r="2550" customFormat="false" ht="15" hidden="false" customHeight="false" outlineLevel="0" collapsed="false">
      <c r="E2550" s="0" t="str">
        <f aca="false">IF(B2550="","",LOWER(B2550)&amp;"|"&amp;C2550)</f>
        <v/>
      </c>
    </row>
    <row r="2551" customFormat="false" ht="15" hidden="false" customHeight="false" outlineLevel="0" collapsed="false">
      <c r="E2551" s="0" t="str">
        <f aca="false">IF(B2551="","",LOWER(B2551)&amp;"|"&amp;C2551)</f>
        <v/>
      </c>
    </row>
    <row r="2552" customFormat="false" ht="15" hidden="false" customHeight="false" outlineLevel="0" collapsed="false">
      <c r="E2552" s="0" t="str">
        <f aca="false">IF(B2552="","",LOWER(B2552)&amp;"|"&amp;C2552)</f>
        <v/>
      </c>
    </row>
    <row r="2553" customFormat="false" ht="15" hidden="false" customHeight="false" outlineLevel="0" collapsed="false">
      <c r="E2553" s="0" t="str">
        <f aca="false">IF(B2553="","",LOWER(B2553)&amp;"|"&amp;C2553)</f>
        <v/>
      </c>
    </row>
    <row r="2554" customFormat="false" ht="15" hidden="false" customHeight="false" outlineLevel="0" collapsed="false">
      <c r="E2554" s="0" t="str">
        <f aca="false">IF(B2554="","",LOWER(B2554)&amp;"|"&amp;C2554)</f>
        <v/>
      </c>
    </row>
    <row r="2555" customFormat="false" ht="15" hidden="false" customHeight="false" outlineLevel="0" collapsed="false">
      <c r="E2555" s="0" t="str">
        <f aca="false">IF(B2555="","",LOWER(B2555)&amp;"|"&amp;C2555)</f>
        <v/>
      </c>
    </row>
    <row r="2556" customFormat="false" ht="15" hidden="false" customHeight="false" outlineLevel="0" collapsed="false">
      <c r="E2556" s="0" t="str">
        <f aca="false">IF(B2556="","",LOWER(B2556)&amp;"|"&amp;C2556)</f>
        <v/>
      </c>
    </row>
    <row r="2557" customFormat="false" ht="15" hidden="false" customHeight="false" outlineLevel="0" collapsed="false">
      <c r="E2557" s="0" t="str">
        <f aca="false">IF(B2557="","",LOWER(B2557)&amp;"|"&amp;C2557)</f>
        <v/>
      </c>
    </row>
    <row r="2558" customFormat="false" ht="15" hidden="false" customHeight="false" outlineLevel="0" collapsed="false">
      <c r="E2558" s="0" t="str">
        <f aca="false">IF(B2558="","",LOWER(B2558)&amp;"|"&amp;C2558)</f>
        <v/>
      </c>
    </row>
    <row r="2559" customFormat="false" ht="15" hidden="false" customHeight="false" outlineLevel="0" collapsed="false">
      <c r="E2559" s="0" t="str">
        <f aca="false">IF(B2559="","",LOWER(B2559)&amp;"|"&amp;C2559)</f>
        <v/>
      </c>
    </row>
    <row r="2560" customFormat="false" ht="15" hidden="false" customHeight="false" outlineLevel="0" collapsed="false">
      <c r="E2560" s="0" t="str">
        <f aca="false">IF(B2560="","",LOWER(B2560)&amp;"|"&amp;C2560)</f>
        <v/>
      </c>
    </row>
    <row r="2561" customFormat="false" ht="15" hidden="false" customHeight="false" outlineLevel="0" collapsed="false">
      <c r="E2561" s="0" t="str">
        <f aca="false">IF(B2561="","",LOWER(B2561)&amp;"|"&amp;C2561)</f>
        <v/>
      </c>
    </row>
    <row r="2562" customFormat="false" ht="15" hidden="false" customHeight="false" outlineLevel="0" collapsed="false">
      <c r="E2562" s="0" t="str">
        <f aca="false">IF(B2562="","",LOWER(B2562)&amp;"|"&amp;C2562)</f>
        <v/>
      </c>
    </row>
    <row r="2563" customFormat="false" ht="15" hidden="false" customHeight="false" outlineLevel="0" collapsed="false">
      <c r="E2563" s="0" t="str">
        <f aca="false">IF(B2563="","",LOWER(B2563)&amp;"|"&amp;C2563)</f>
        <v/>
      </c>
    </row>
    <row r="2564" customFormat="false" ht="15" hidden="false" customHeight="false" outlineLevel="0" collapsed="false">
      <c r="E2564" s="0" t="str">
        <f aca="false">IF(B2564="","",LOWER(B2564)&amp;"|"&amp;C2564)</f>
        <v/>
      </c>
    </row>
    <row r="2565" customFormat="false" ht="15" hidden="false" customHeight="false" outlineLevel="0" collapsed="false">
      <c r="E2565" s="0" t="str">
        <f aca="false">IF(B2565="","",LOWER(B2565)&amp;"|"&amp;C2565)</f>
        <v/>
      </c>
    </row>
    <row r="2566" customFormat="false" ht="15" hidden="false" customHeight="false" outlineLevel="0" collapsed="false">
      <c r="E2566" s="0" t="str">
        <f aca="false">IF(B2566="","",LOWER(B2566)&amp;"|"&amp;C2566)</f>
        <v/>
      </c>
    </row>
    <row r="2567" customFormat="false" ht="15" hidden="false" customHeight="false" outlineLevel="0" collapsed="false">
      <c r="E2567" s="0" t="str">
        <f aca="false">IF(B2567="","",LOWER(B2567)&amp;"|"&amp;C2567)</f>
        <v/>
      </c>
    </row>
    <row r="2568" customFormat="false" ht="15" hidden="false" customHeight="false" outlineLevel="0" collapsed="false">
      <c r="E2568" s="0" t="str">
        <f aca="false">IF(B2568="","",LOWER(B2568)&amp;"|"&amp;C2568)</f>
        <v/>
      </c>
    </row>
    <row r="2569" customFormat="false" ht="15" hidden="false" customHeight="false" outlineLevel="0" collapsed="false">
      <c r="E2569" s="0" t="str">
        <f aca="false">IF(B2569="","",LOWER(B2569)&amp;"|"&amp;C2569)</f>
        <v/>
      </c>
    </row>
    <row r="2570" customFormat="false" ht="15" hidden="false" customHeight="false" outlineLevel="0" collapsed="false">
      <c r="E2570" s="0" t="str">
        <f aca="false">IF(B2570="","",LOWER(B2570)&amp;"|"&amp;C2570)</f>
        <v/>
      </c>
    </row>
    <row r="2571" customFormat="false" ht="15" hidden="false" customHeight="false" outlineLevel="0" collapsed="false">
      <c r="E2571" s="0" t="str">
        <f aca="false">IF(B2571="","",LOWER(B2571)&amp;"|"&amp;C2571)</f>
        <v/>
      </c>
    </row>
    <row r="2572" customFormat="false" ht="15" hidden="false" customHeight="false" outlineLevel="0" collapsed="false">
      <c r="E2572" s="0" t="str">
        <f aca="false">IF(B2572="","",LOWER(B2572)&amp;"|"&amp;C2572)</f>
        <v/>
      </c>
    </row>
    <row r="2573" customFormat="false" ht="15" hidden="false" customHeight="false" outlineLevel="0" collapsed="false">
      <c r="E2573" s="0" t="str">
        <f aca="false">IF(B2573="","",LOWER(B2573)&amp;"|"&amp;C2573)</f>
        <v/>
      </c>
    </row>
    <row r="2574" customFormat="false" ht="15" hidden="false" customHeight="false" outlineLevel="0" collapsed="false">
      <c r="E2574" s="0" t="str">
        <f aca="false">IF(B2574="","",LOWER(B2574)&amp;"|"&amp;C2574)</f>
        <v/>
      </c>
    </row>
    <row r="2575" customFormat="false" ht="15" hidden="false" customHeight="false" outlineLevel="0" collapsed="false">
      <c r="E2575" s="0" t="str">
        <f aca="false">IF(B2575="","",LOWER(B2575)&amp;"|"&amp;C2575)</f>
        <v/>
      </c>
    </row>
    <row r="2576" customFormat="false" ht="15" hidden="false" customHeight="false" outlineLevel="0" collapsed="false">
      <c r="E2576" s="0" t="str">
        <f aca="false">IF(B2576="","",LOWER(B2576)&amp;"|"&amp;C2576)</f>
        <v/>
      </c>
    </row>
    <row r="2577" customFormat="false" ht="15" hidden="false" customHeight="false" outlineLevel="0" collapsed="false">
      <c r="E2577" s="0" t="str">
        <f aca="false">IF(B2577="","",LOWER(B2577)&amp;"|"&amp;C2577)</f>
        <v/>
      </c>
    </row>
    <row r="2578" customFormat="false" ht="15" hidden="false" customHeight="false" outlineLevel="0" collapsed="false">
      <c r="E2578" s="0" t="str">
        <f aca="false">IF(B2578="","",LOWER(B2578)&amp;"|"&amp;C2578)</f>
        <v/>
      </c>
    </row>
    <row r="2579" customFormat="false" ht="15" hidden="false" customHeight="false" outlineLevel="0" collapsed="false">
      <c r="E2579" s="0" t="str">
        <f aca="false">IF(B2579="","",LOWER(B2579)&amp;"|"&amp;C2579)</f>
        <v/>
      </c>
    </row>
    <row r="2580" customFormat="false" ht="15" hidden="false" customHeight="false" outlineLevel="0" collapsed="false">
      <c r="E2580" s="0" t="str">
        <f aca="false">IF(B2580="","",LOWER(B2580)&amp;"|"&amp;C2580)</f>
        <v/>
      </c>
    </row>
    <row r="2581" customFormat="false" ht="15" hidden="false" customHeight="false" outlineLevel="0" collapsed="false">
      <c r="E2581" s="0" t="str">
        <f aca="false">IF(B2581="","",LOWER(B2581)&amp;"|"&amp;C2581)</f>
        <v/>
      </c>
    </row>
    <row r="2582" customFormat="false" ht="15" hidden="false" customHeight="false" outlineLevel="0" collapsed="false">
      <c r="E2582" s="0" t="str">
        <f aca="false">IF(B2582="","",LOWER(B2582)&amp;"|"&amp;C2582)</f>
        <v/>
      </c>
    </row>
    <row r="2583" customFormat="false" ht="15" hidden="false" customHeight="false" outlineLevel="0" collapsed="false">
      <c r="E2583" s="0" t="str">
        <f aca="false">IF(B2583="","",LOWER(B2583)&amp;"|"&amp;C2583)</f>
        <v/>
      </c>
    </row>
    <row r="2584" customFormat="false" ht="15" hidden="false" customHeight="false" outlineLevel="0" collapsed="false">
      <c r="E2584" s="0" t="str">
        <f aca="false">IF(B2584="","",LOWER(B2584)&amp;"|"&amp;C2584)</f>
        <v/>
      </c>
    </row>
    <row r="2585" customFormat="false" ht="15" hidden="false" customHeight="false" outlineLevel="0" collapsed="false">
      <c r="E2585" s="0" t="str">
        <f aca="false">IF(B2585="","",LOWER(B2585)&amp;"|"&amp;C2585)</f>
        <v/>
      </c>
    </row>
    <row r="2586" customFormat="false" ht="15" hidden="false" customHeight="false" outlineLevel="0" collapsed="false">
      <c r="E2586" s="0" t="str">
        <f aca="false">IF(B2586="","",LOWER(B2586)&amp;"|"&amp;C2586)</f>
        <v/>
      </c>
    </row>
    <row r="2587" customFormat="false" ht="15" hidden="false" customHeight="false" outlineLevel="0" collapsed="false">
      <c r="E2587" s="0" t="str">
        <f aca="false">IF(B2587="","",LOWER(B2587)&amp;"|"&amp;C2587)</f>
        <v/>
      </c>
    </row>
    <row r="2588" customFormat="false" ht="15" hidden="false" customHeight="false" outlineLevel="0" collapsed="false">
      <c r="E2588" s="0" t="str">
        <f aca="false">IF(B2588="","",LOWER(B2588)&amp;"|"&amp;C2588)</f>
        <v/>
      </c>
    </row>
    <row r="2589" customFormat="false" ht="15" hidden="false" customHeight="false" outlineLevel="0" collapsed="false">
      <c r="E2589" s="0" t="str">
        <f aca="false">IF(B2589="","",LOWER(B2589)&amp;"|"&amp;C2589)</f>
        <v/>
      </c>
    </row>
    <row r="2590" customFormat="false" ht="15" hidden="false" customHeight="false" outlineLevel="0" collapsed="false">
      <c r="E2590" s="0" t="str">
        <f aca="false">IF(B2590="","",LOWER(B2590)&amp;"|"&amp;C2590)</f>
        <v/>
      </c>
    </row>
    <row r="2591" customFormat="false" ht="15" hidden="false" customHeight="false" outlineLevel="0" collapsed="false">
      <c r="E2591" s="0" t="str">
        <f aca="false">IF(B2591="","",LOWER(B2591)&amp;"|"&amp;C2591)</f>
        <v/>
      </c>
    </row>
    <row r="2592" customFormat="false" ht="15" hidden="false" customHeight="false" outlineLevel="0" collapsed="false">
      <c r="E2592" s="0" t="str">
        <f aca="false">IF(B2592="","",LOWER(B2592)&amp;"|"&amp;C2592)</f>
        <v/>
      </c>
    </row>
    <row r="2593" customFormat="false" ht="15" hidden="false" customHeight="false" outlineLevel="0" collapsed="false">
      <c r="E2593" s="0" t="str">
        <f aca="false">IF(B2593="","",LOWER(B2593)&amp;"|"&amp;C2593)</f>
        <v/>
      </c>
    </row>
    <row r="2594" customFormat="false" ht="15" hidden="false" customHeight="false" outlineLevel="0" collapsed="false">
      <c r="E2594" s="0" t="str">
        <f aca="false">IF(B2594="","",LOWER(B2594)&amp;"|"&amp;C2594)</f>
        <v/>
      </c>
    </row>
    <row r="2595" customFormat="false" ht="15" hidden="false" customHeight="false" outlineLevel="0" collapsed="false">
      <c r="E2595" s="0" t="str">
        <f aca="false">IF(B2595="","",LOWER(B2595)&amp;"|"&amp;C2595)</f>
        <v/>
      </c>
    </row>
    <row r="2596" customFormat="false" ht="15" hidden="false" customHeight="false" outlineLevel="0" collapsed="false">
      <c r="E2596" s="0" t="str">
        <f aca="false">IF(B2596="","",LOWER(B2596)&amp;"|"&amp;C2596)</f>
        <v/>
      </c>
    </row>
    <row r="2597" customFormat="false" ht="15" hidden="false" customHeight="false" outlineLevel="0" collapsed="false">
      <c r="E2597" s="0" t="str">
        <f aca="false">IF(B2597="","",LOWER(B2597)&amp;"|"&amp;C2597)</f>
        <v/>
      </c>
    </row>
    <row r="2598" customFormat="false" ht="15" hidden="false" customHeight="false" outlineLevel="0" collapsed="false">
      <c r="E2598" s="0" t="str">
        <f aca="false">IF(B2598="","",LOWER(B2598)&amp;"|"&amp;C2598)</f>
        <v/>
      </c>
    </row>
    <row r="2599" customFormat="false" ht="15" hidden="false" customHeight="false" outlineLevel="0" collapsed="false">
      <c r="E2599" s="0" t="str">
        <f aca="false">IF(B2599="","",LOWER(B2599)&amp;"|"&amp;C2599)</f>
        <v/>
      </c>
    </row>
    <row r="2600" customFormat="false" ht="15" hidden="false" customHeight="false" outlineLevel="0" collapsed="false">
      <c r="E2600" s="0" t="str">
        <f aca="false">IF(B2600="","",LOWER(B2600)&amp;"|"&amp;C2600)</f>
        <v/>
      </c>
    </row>
    <row r="2601" customFormat="false" ht="15" hidden="false" customHeight="false" outlineLevel="0" collapsed="false">
      <c r="E2601" s="0" t="str">
        <f aca="false">IF(B2601="","",LOWER(B2601)&amp;"|"&amp;C2601)</f>
        <v/>
      </c>
    </row>
    <row r="2602" customFormat="false" ht="15" hidden="false" customHeight="false" outlineLevel="0" collapsed="false">
      <c r="E2602" s="0" t="str">
        <f aca="false">IF(B2602="","",LOWER(B2602)&amp;"|"&amp;C2602)</f>
        <v/>
      </c>
    </row>
    <row r="2603" customFormat="false" ht="15" hidden="false" customHeight="false" outlineLevel="0" collapsed="false">
      <c r="E2603" s="0" t="str">
        <f aca="false">IF(B2603="","",LOWER(B2603)&amp;"|"&amp;C2603)</f>
        <v/>
      </c>
    </row>
    <row r="2604" customFormat="false" ht="15" hidden="false" customHeight="false" outlineLevel="0" collapsed="false">
      <c r="E2604" s="0" t="str">
        <f aca="false">IF(B2604="","",LOWER(B2604)&amp;"|"&amp;C2604)</f>
        <v/>
      </c>
    </row>
    <row r="2605" customFormat="false" ht="15" hidden="false" customHeight="false" outlineLevel="0" collapsed="false">
      <c r="E2605" s="0" t="str">
        <f aca="false">IF(B2605="","",LOWER(B2605)&amp;"|"&amp;C2605)</f>
        <v/>
      </c>
    </row>
    <row r="2606" customFormat="false" ht="15" hidden="false" customHeight="false" outlineLevel="0" collapsed="false">
      <c r="E2606" s="0" t="str">
        <f aca="false">IF(B2606="","",LOWER(B2606)&amp;"|"&amp;C2606)</f>
        <v/>
      </c>
    </row>
    <row r="2607" customFormat="false" ht="15" hidden="false" customHeight="false" outlineLevel="0" collapsed="false">
      <c r="E2607" s="0" t="str">
        <f aca="false">IF(B2607="","",LOWER(B2607)&amp;"|"&amp;C2607)</f>
        <v/>
      </c>
    </row>
    <row r="2608" customFormat="false" ht="15" hidden="false" customHeight="false" outlineLevel="0" collapsed="false">
      <c r="E2608" s="0" t="str">
        <f aca="false">IF(B2608="","",LOWER(B2608)&amp;"|"&amp;C2608)</f>
        <v/>
      </c>
    </row>
    <row r="2609" customFormat="false" ht="15" hidden="false" customHeight="false" outlineLevel="0" collapsed="false">
      <c r="E2609" s="0" t="str">
        <f aca="false">IF(B2609="","",LOWER(B2609)&amp;"|"&amp;C2609)</f>
        <v/>
      </c>
    </row>
    <row r="2610" customFormat="false" ht="15" hidden="false" customHeight="false" outlineLevel="0" collapsed="false">
      <c r="E2610" s="0" t="str">
        <f aca="false">IF(B2610="","",LOWER(B2610)&amp;"|"&amp;C2610)</f>
        <v/>
      </c>
    </row>
    <row r="2611" customFormat="false" ht="15" hidden="false" customHeight="false" outlineLevel="0" collapsed="false">
      <c r="E2611" s="0" t="str">
        <f aca="false">IF(B2611="","",LOWER(B2611)&amp;"|"&amp;C2611)</f>
        <v/>
      </c>
    </row>
    <row r="2612" customFormat="false" ht="15" hidden="false" customHeight="false" outlineLevel="0" collapsed="false">
      <c r="E2612" s="0" t="str">
        <f aca="false">IF(B2612="","",LOWER(B2612)&amp;"|"&amp;C2612)</f>
        <v/>
      </c>
    </row>
    <row r="2613" customFormat="false" ht="15" hidden="false" customHeight="false" outlineLevel="0" collapsed="false">
      <c r="E2613" s="0" t="str">
        <f aca="false">IF(B2613="","",LOWER(B2613)&amp;"|"&amp;C2613)</f>
        <v/>
      </c>
    </row>
    <row r="2614" customFormat="false" ht="15" hidden="false" customHeight="false" outlineLevel="0" collapsed="false">
      <c r="E2614" s="0" t="str">
        <f aca="false">IF(B2614="","",LOWER(B2614)&amp;"|"&amp;C2614)</f>
        <v/>
      </c>
    </row>
    <row r="2615" customFormat="false" ht="15" hidden="false" customHeight="false" outlineLevel="0" collapsed="false">
      <c r="E2615" s="0" t="str">
        <f aca="false">IF(B2615="","",LOWER(B2615)&amp;"|"&amp;C2615)</f>
        <v/>
      </c>
    </row>
    <row r="2616" customFormat="false" ht="15" hidden="false" customHeight="false" outlineLevel="0" collapsed="false">
      <c r="E2616" s="0" t="str">
        <f aca="false">IF(B2616="","",LOWER(B2616)&amp;"|"&amp;C2616)</f>
        <v/>
      </c>
    </row>
    <row r="2617" customFormat="false" ht="15" hidden="false" customHeight="false" outlineLevel="0" collapsed="false">
      <c r="E2617" s="0" t="str">
        <f aca="false">IF(B2617="","",LOWER(B2617)&amp;"|"&amp;C2617)</f>
        <v/>
      </c>
    </row>
    <row r="2618" customFormat="false" ht="15" hidden="false" customHeight="false" outlineLevel="0" collapsed="false">
      <c r="E2618" s="0" t="str">
        <f aca="false">IF(B2618="","",LOWER(B2618)&amp;"|"&amp;C2618)</f>
        <v/>
      </c>
    </row>
    <row r="2619" customFormat="false" ht="15" hidden="false" customHeight="false" outlineLevel="0" collapsed="false">
      <c r="E2619" s="0" t="str">
        <f aca="false">IF(B2619="","",LOWER(B2619)&amp;"|"&amp;C2619)</f>
        <v/>
      </c>
    </row>
    <row r="2620" customFormat="false" ht="15" hidden="false" customHeight="false" outlineLevel="0" collapsed="false">
      <c r="E2620" s="0" t="str">
        <f aca="false">IF(B2620="","",LOWER(B2620)&amp;"|"&amp;C2620)</f>
        <v/>
      </c>
    </row>
    <row r="2621" customFormat="false" ht="15" hidden="false" customHeight="false" outlineLevel="0" collapsed="false">
      <c r="E2621" s="0" t="str">
        <f aca="false">IF(B2621="","",LOWER(B2621)&amp;"|"&amp;C2621)</f>
        <v/>
      </c>
    </row>
    <row r="2622" customFormat="false" ht="15" hidden="false" customHeight="false" outlineLevel="0" collapsed="false">
      <c r="E2622" s="0" t="str">
        <f aca="false">IF(B2622="","",LOWER(B2622)&amp;"|"&amp;C2622)</f>
        <v/>
      </c>
    </row>
    <row r="2623" customFormat="false" ht="15" hidden="false" customHeight="false" outlineLevel="0" collapsed="false">
      <c r="E2623" s="0" t="str">
        <f aca="false">IF(B2623="","",LOWER(B2623)&amp;"|"&amp;C2623)</f>
        <v/>
      </c>
    </row>
    <row r="2624" customFormat="false" ht="15" hidden="false" customHeight="false" outlineLevel="0" collapsed="false">
      <c r="E2624" s="0" t="str">
        <f aca="false">IF(B2624="","",LOWER(B2624)&amp;"|"&amp;C2624)</f>
        <v/>
      </c>
    </row>
    <row r="2625" customFormat="false" ht="15" hidden="false" customHeight="false" outlineLevel="0" collapsed="false">
      <c r="E2625" s="0" t="str">
        <f aca="false">IF(B2625="","",LOWER(B2625)&amp;"|"&amp;C2625)</f>
        <v/>
      </c>
    </row>
    <row r="2626" customFormat="false" ht="15" hidden="false" customHeight="false" outlineLevel="0" collapsed="false">
      <c r="E2626" s="0" t="str">
        <f aca="false">IF(B2626="","",LOWER(B2626)&amp;"|"&amp;C2626)</f>
        <v/>
      </c>
    </row>
    <row r="2627" customFormat="false" ht="15" hidden="false" customHeight="false" outlineLevel="0" collapsed="false">
      <c r="E2627" s="0" t="str">
        <f aca="false">IF(B2627="","",LOWER(B2627)&amp;"|"&amp;C2627)</f>
        <v/>
      </c>
    </row>
    <row r="2628" customFormat="false" ht="15" hidden="false" customHeight="false" outlineLevel="0" collapsed="false">
      <c r="E2628" s="0" t="str">
        <f aca="false">IF(B2628="","",LOWER(B2628)&amp;"|"&amp;C2628)</f>
        <v/>
      </c>
    </row>
    <row r="2629" customFormat="false" ht="15" hidden="false" customHeight="false" outlineLevel="0" collapsed="false">
      <c r="E2629" s="0" t="str">
        <f aca="false">IF(B2629="","",LOWER(B2629)&amp;"|"&amp;C2629)</f>
        <v/>
      </c>
    </row>
    <row r="2630" customFormat="false" ht="15" hidden="false" customHeight="false" outlineLevel="0" collapsed="false">
      <c r="E2630" s="0" t="str">
        <f aca="false">IF(B2630="","",LOWER(B2630)&amp;"|"&amp;C2630)</f>
        <v/>
      </c>
    </row>
    <row r="2631" customFormat="false" ht="15" hidden="false" customHeight="false" outlineLevel="0" collapsed="false">
      <c r="E2631" s="0" t="str">
        <f aca="false">IF(B2631="","",LOWER(B2631)&amp;"|"&amp;C2631)</f>
        <v/>
      </c>
    </row>
    <row r="2632" customFormat="false" ht="15" hidden="false" customHeight="false" outlineLevel="0" collapsed="false">
      <c r="E2632" s="0" t="str">
        <f aca="false">IF(B2632="","",LOWER(B2632)&amp;"|"&amp;C2632)</f>
        <v/>
      </c>
    </row>
    <row r="2633" customFormat="false" ht="15" hidden="false" customHeight="false" outlineLevel="0" collapsed="false">
      <c r="E2633" s="0" t="str">
        <f aca="false">IF(B2633="","",LOWER(B2633)&amp;"|"&amp;C2633)</f>
        <v/>
      </c>
    </row>
    <row r="2634" customFormat="false" ht="15" hidden="false" customHeight="false" outlineLevel="0" collapsed="false">
      <c r="E2634" s="0" t="str">
        <f aca="false">IF(B2634="","",LOWER(B2634)&amp;"|"&amp;C2634)</f>
        <v/>
      </c>
    </row>
    <row r="2635" customFormat="false" ht="15" hidden="false" customHeight="false" outlineLevel="0" collapsed="false">
      <c r="E2635" s="0" t="str">
        <f aca="false">IF(B2635="","",LOWER(B2635)&amp;"|"&amp;C2635)</f>
        <v/>
      </c>
    </row>
    <row r="2636" customFormat="false" ht="15" hidden="false" customHeight="false" outlineLevel="0" collapsed="false">
      <c r="E2636" s="0" t="str">
        <f aca="false">IF(B2636="","",LOWER(B2636)&amp;"|"&amp;C2636)</f>
        <v/>
      </c>
    </row>
    <row r="2637" customFormat="false" ht="15" hidden="false" customHeight="false" outlineLevel="0" collapsed="false">
      <c r="E2637" s="0" t="str">
        <f aca="false">IF(B2637="","",LOWER(B2637)&amp;"|"&amp;C2637)</f>
        <v/>
      </c>
    </row>
    <row r="2638" customFormat="false" ht="15" hidden="false" customHeight="false" outlineLevel="0" collapsed="false">
      <c r="E2638" s="0" t="str">
        <f aca="false">IF(B2638="","",LOWER(B2638)&amp;"|"&amp;C2638)</f>
        <v/>
      </c>
    </row>
    <row r="2639" customFormat="false" ht="15" hidden="false" customHeight="false" outlineLevel="0" collapsed="false">
      <c r="E2639" s="0" t="str">
        <f aca="false">IF(B2639="","",LOWER(B2639)&amp;"|"&amp;C2639)</f>
        <v/>
      </c>
    </row>
    <row r="2640" customFormat="false" ht="15" hidden="false" customHeight="false" outlineLevel="0" collapsed="false">
      <c r="E2640" s="0" t="str">
        <f aca="false">IF(B2640="","",LOWER(B2640)&amp;"|"&amp;C2640)</f>
        <v/>
      </c>
    </row>
    <row r="2641" customFormat="false" ht="15" hidden="false" customHeight="false" outlineLevel="0" collapsed="false">
      <c r="E2641" s="0" t="str">
        <f aca="false">IF(B2641="","",LOWER(B2641)&amp;"|"&amp;C2641)</f>
        <v/>
      </c>
    </row>
    <row r="2642" customFormat="false" ht="15" hidden="false" customHeight="false" outlineLevel="0" collapsed="false">
      <c r="E2642" s="0" t="str">
        <f aca="false">IF(B2642="","",LOWER(B2642)&amp;"|"&amp;C2642)</f>
        <v/>
      </c>
    </row>
    <row r="2643" customFormat="false" ht="15" hidden="false" customHeight="false" outlineLevel="0" collapsed="false">
      <c r="E2643" s="0" t="str">
        <f aca="false">IF(B2643="","",LOWER(B2643)&amp;"|"&amp;C2643)</f>
        <v/>
      </c>
    </row>
    <row r="2644" customFormat="false" ht="15" hidden="false" customHeight="false" outlineLevel="0" collapsed="false">
      <c r="E2644" s="0" t="str">
        <f aca="false">IF(B2644="","",LOWER(B2644)&amp;"|"&amp;C2644)</f>
        <v/>
      </c>
    </row>
    <row r="2645" customFormat="false" ht="15" hidden="false" customHeight="false" outlineLevel="0" collapsed="false">
      <c r="E2645" s="0" t="str">
        <f aca="false">IF(B2645="","",LOWER(B2645)&amp;"|"&amp;C2645)</f>
        <v/>
      </c>
    </row>
    <row r="2646" customFormat="false" ht="15" hidden="false" customHeight="false" outlineLevel="0" collapsed="false">
      <c r="E2646" s="0" t="str">
        <f aca="false">IF(B2646="","",LOWER(B2646)&amp;"|"&amp;C2646)</f>
        <v/>
      </c>
    </row>
    <row r="2647" customFormat="false" ht="15" hidden="false" customHeight="false" outlineLevel="0" collapsed="false">
      <c r="E2647" s="0" t="str">
        <f aca="false">IF(B2647="","",LOWER(B2647)&amp;"|"&amp;C2647)</f>
        <v/>
      </c>
    </row>
    <row r="2648" customFormat="false" ht="15" hidden="false" customHeight="false" outlineLevel="0" collapsed="false">
      <c r="E2648" s="0" t="str">
        <f aca="false">IF(B2648="","",LOWER(B2648)&amp;"|"&amp;C2648)</f>
        <v/>
      </c>
    </row>
    <row r="2649" customFormat="false" ht="15" hidden="false" customHeight="false" outlineLevel="0" collapsed="false">
      <c r="E2649" s="0" t="str">
        <f aca="false">IF(B2649="","",LOWER(B2649)&amp;"|"&amp;C2649)</f>
        <v/>
      </c>
    </row>
    <row r="2650" customFormat="false" ht="15" hidden="false" customHeight="false" outlineLevel="0" collapsed="false">
      <c r="E2650" s="0" t="str">
        <f aca="false">IF(B2650="","",LOWER(B2650)&amp;"|"&amp;C2650)</f>
        <v/>
      </c>
    </row>
    <row r="2651" customFormat="false" ht="15" hidden="false" customHeight="false" outlineLevel="0" collapsed="false">
      <c r="E2651" s="0" t="str">
        <f aca="false">IF(B2651="","",LOWER(B2651)&amp;"|"&amp;C2651)</f>
        <v/>
      </c>
    </row>
    <row r="2652" customFormat="false" ht="15" hidden="false" customHeight="false" outlineLevel="0" collapsed="false">
      <c r="E2652" s="0" t="str">
        <f aca="false">IF(B2652="","",LOWER(B2652)&amp;"|"&amp;C2652)</f>
        <v/>
      </c>
    </row>
    <row r="2653" customFormat="false" ht="15" hidden="false" customHeight="false" outlineLevel="0" collapsed="false">
      <c r="E2653" s="0" t="str">
        <f aca="false">IF(B2653="","",LOWER(B2653)&amp;"|"&amp;C2653)</f>
        <v/>
      </c>
    </row>
    <row r="2654" customFormat="false" ht="15" hidden="false" customHeight="false" outlineLevel="0" collapsed="false">
      <c r="E2654" s="0" t="str">
        <f aca="false">IF(B2654="","",LOWER(B2654)&amp;"|"&amp;C2654)</f>
        <v/>
      </c>
    </row>
    <row r="2655" customFormat="false" ht="15" hidden="false" customHeight="false" outlineLevel="0" collapsed="false">
      <c r="E2655" s="0" t="str">
        <f aca="false">IF(B2655="","",LOWER(B2655)&amp;"|"&amp;C2655)</f>
        <v/>
      </c>
    </row>
    <row r="2656" customFormat="false" ht="15" hidden="false" customHeight="false" outlineLevel="0" collapsed="false">
      <c r="E2656" s="0" t="str">
        <f aca="false">IF(B2656="","",LOWER(B2656)&amp;"|"&amp;C2656)</f>
        <v/>
      </c>
    </row>
    <row r="2657" customFormat="false" ht="15" hidden="false" customHeight="false" outlineLevel="0" collapsed="false">
      <c r="E2657" s="0" t="str">
        <f aca="false">IF(B2657="","",LOWER(B2657)&amp;"|"&amp;C2657)</f>
        <v/>
      </c>
    </row>
    <row r="2658" customFormat="false" ht="15" hidden="false" customHeight="false" outlineLevel="0" collapsed="false">
      <c r="E2658" s="0" t="str">
        <f aca="false">IF(B2658="","",LOWER(B2658)&amp;"|"&amp;C2658)</f>
        <v/>
      </c>
    </row>
    <row r="2659" customFormat="false" ht="15" hidden="false" customHeight="false" outlineLevel="0" collapsed="false">
      <c r="E2659" s="0" t="str">
        <f aca="false">IF(B2659="","",LOWER(B2659)&amp;"|"&amp;C2659)</f>
        <v/>
      </c>
    </row>
    <row r="2660" customFormat="false" ht="15" hidden="false" customHeight="false" outlineLevel="0" collapsed="false">
      <c r="E2660" s="0" t="str">
        <f aca="false">IF(B2660="","",LOWER(B2660)&amp;"|"&amp;C2660)</f>
        <v/>
      </c>
    </row>
    <row r="2661" customFormat="false" ht="15" hidden="false" customHeight="false" outlineLevel="0" collapsed="false">
      <c r="E2661" s="0" t="str">
        <f aca="false">IF(B2661="","",LOWER(B2661)&amp;"|"&amp;C2661)</f>
        <v/>
      </c>
    </row>
    <row r="2662" customFormat="false" ht="15" hidden="false" customHeight="false" outlineLevel="0" collapsed="false">
      <c r="E2662" s="0" t="str">
        <f aca="false">IF(B2662="","",LOWER(B2662)&amp;"|"&amp;C2662)</f>
        <v/>
      </c>
    </row>
    <row r="2663" customFormat="false" ht="15" hidden="false" customHeight="false" outlineLevel="0" collapsed="false">
      <c r="E2663" s="0" t="str">
        <f aca="false">IF(B2663="","",LOWER(B2663)&amp;"|"&amp;C2663)</f>
        <v/>
      </c>
    </row>
    <row r="2664" customFormat="false" ht="15" hidden="false" customHeight="false" outlineLevel="0" collapsed="false">
      <c r="E2664" s="0" t="str">
        <f aca="false">IF(B2664="","",LOWER(B2664)&amp;"|"&amp;C2664)</f>
        <v/>
      </c>
    </row>
    <row r="2665" customFormat="false" ht="15" hidden="false" customHeight="false" outlineLevel="0" collapsed="false">
      <c r="E2665" s="0" t="str">
        <f aca="false">IF(B2665="","",LOWER(B2665)&amp;"|"&amp;C2665)</f>
        <v/>
      </c>
    </row>
    <row r="2666" customFormat="false" ht="15" hidden="false" customHeight="false" outlineLevel="0" collapsed="false">
      <c r="E2666" s="0" t="str">
        <f aca="false">IF(B2666="","",LOWER(B2666)&amp;"|"&amp;C2666)</f>
        <v/>
      </c>
    </row>
    <row r="2667" customFormat="false" ht="15" hidden="false" customHeight="false" outlineLevel="0" collapsed="false">
      <c r="E2667" s="0" t="str">
        <f aca="false">IF(B2667="","",LOWER(B2667)&amp;"|"&amp;C2667)</f>
        <v/>
      </c>
    </row>
    <row r="2668" customFormat="false" ht="15" hidden="false" customHeight="false" outlineLevel="0" collapsed="false">
      <c r="E2668" s="0" t="str">
        <f aca="false">IF(B2668="","",LOWER(B2668)&amp;"|"&amp;C2668)</f>
        <v/>
      </c>
    </row>
    <row r="2669" customFormat="false" ht="15" hidden="false" customHeight="false" outlineLevel="0" collapsed="false">
      <c r="E2669" s="0" t="str">
        <f aca="false">IF(B2669="","",LOWER(B2669)&amp;"|"&amp;C2669)</f>
        <v/>
      </c>
    </row>
    <row r="2670" customFormat="false" ht="15" hidden="false" customHeight="false" outlineLevel="0" collapsed="false">
      <c r="E2670" s="0" t="str">
        <f aca="false">IF(B2670="","",LOWER(B2670)&amp;"|"&amp;C2670)</f>
        <v/>
      </c>
    </row>
    <row r="2671" customFormat="false" ht="15" hidden="false" customHeight="false" outlineLevel="0" collapsed="false">
      <c r="E2671" s="0" t="str">
        <f aca="false">IF(B2671="","",LOWER(B2671)&amp;"|"&amp;C2671)</f>
        <v/>
      </c>
    </row>
    <row r="2672" customFormat="false" ht="15" hidden="false" customHeight="false" outlineLevel="0" collapsed="false">
      <c r="E2672" s="0" t="str">
        <f aca="false">IF(B2672="","",LOWER(B2672)&amp;"|"&amp;C2672)</f>
        <v/>
      </c>
    </row>
    <row r="2673" customFormat="false" ht="15" hidden="false" customHeight="false" outlineLevel="0" collapsed="false">
      <c r="E2673" s="0" t="str">
        <f aca="false">IF(B2673="","",LOWER(B2673)&amp;"|"&amp;C2673)</f>
        <v/>
      </c>
    </row>
    <row r="2674" customFormat="false" ht="15" hidden="false" customHeight="false" outlineLevel="0" collapsed="false">
      <c r="E2674" s="0" t="str">
        <f aca="false">IF(B2674="","",LOWER(B2674)&amp;"|"&amp;C2674)</f>
        <v/>
      </c>
    </row>
    <row r="2675" customFormat="false" ht="15" hidden="false" customHeight="false" outlineLevel="0" collapsed="false">
      <c r="E2675" s="0" t="str">
        <f aca="false">IF(B2675="","",LOWER(B2675)&amp;"|"&amp;C2675)</f>
        <v/>
      </c>
    </row>
    <row r="2676" customFormat="false" ht="15" hidden="false" customHeight="false" outlineLevel="0" collapsed="false">
      <c r="E2676" s="0" t="str">
        <f aca="false">IF(B2676="","",LOWER(B2676)&amp;"|"&amp;C2676)</f>
        <v/>
      </c>
    </row>
    <row r="2677" customFormat="false" ht="15" hidden="false" customHeight="false" outlineLevel="0" collapsed="false">
      <c r="E2677" s="0" t="str">
        <f aca="false">IF(B2677="","",LOWER(B2677)&amp;"|"&amp;C2677)</f>
        <v/>
      </c>
    </row>
    <row r="2678" customFormat="false" ht="15" hidden="false" customHeight="false" outlineLevel="0" collapsed="false">
      <c r="E2678" s="0" t="str">
        <f aca="false">IF(B2678="","",LOWER(B2678)&amp;"|"&amp;C2678)</f>
        <v/>
      </c>
    </row>
    <row r="2679" customFormat="false" ht="15" hidden="false" customHeight="false" outlineLevel="0" collapsed="false">
      <c r="E2679" s="0" t="str">
        <f aca="false">IF(B2679="","",LOWER(B2679)&amp;"|"&amp;C2679)</f>
        <v/>
      </c>
    </row>
    <row r="2680" customFormat="false" ht="15" hidden="false" customHeight="false" outlineLevel="0" collapsed="false">
      <c r="E2680" s="0" t="str">
        <f aca="false">IF(B2680="","",LOWER(B2680)&amp;"|"&amp;C2680)</f>
        <v/>
      </c>
    </row>
    <row r="2681" customFormat="false" ht="15" hidden="false" customHeight="false" outlineLevel="0" collapsed="false">
      <c r="E2681" s="0" t="str">
        <f aca="false">IF(B2681="","",LOWER(B2681)&amp;"|"&amp;C2681)</f>
        <v/>
      </c>
    </row>
    <row r="2682" customFormat="false" ht="15" hidden="false" customHeight="false" outlineLevel="0" collapsed="false">
      <c r="E2682" s="0" t="str">
        <f aca="false">IF(B2682="","",LOWER(B2682)&amp;"|"&amp;C2682)</f>
        <v/>
      </c>
    </row>
    <row r="2683" customFormat="false" ht="15" hidden="false" customHeight="false" outlineLevel="0" collapsed="false">
      <c r="E2683" s="0" t="str">
        <f aca="false">IF(B2683="","",LOWER(B2683)&amp;"|"&amp;C2683)</f>
        <v/>
      </c>
    </row>
    <row r="2684" customFormat="false" ht="15" hidden="false" customHeight="false" outlineLevel="0" collapsed="false">
      <c r="E2684" s="0" t="str">
        <f aca="false">IF(B2684="","",LOWER(B2684)&amp;"|"&amp;C2684)</f>
        <v/>
      </c>
    </row>
    <row r="2685" customFormat="false" ht="15" hidden="false" customHeight="false" outlineLevel="0" collapsed="false">
      <c r="E2685" s="0" t="str">
        <f aca="false">IF(B2685="","",LOWER(B2685)&amp;"|"&amp;C2685)</f>
        <v/>
      </c>
    </row>
    <row r="2686" customFormat="false" ht="15" hidden="false" customHeight="false" outlineLevel="0" collapsed="false">
      <c r="E2686" s="0" t="str">
        <f aca="false">IF(B2686="","",LOWER(B2686)&amp;"|"&amp;C2686)</f>
        <v/>
      </c>
    </row>
    <row r="2687" customFormat="false" ht="15" hidden="false" customHeight="false" outlineLevel="0" collapsed="false">
      <c r="E2687" s="0" t="str">
        <f aca="false">IF(B2687="","",LOWER(B2687)&amp;"|"&amp;C2687)</f>
        <v/>
      </c>
    </row>
    <row r="2688" customFormat="false" ht="15" hidden="false" customHeight="false" outlineLevel="0" collapsed="false">
      <c r="E2688" s="0" t="str">
        <f aca="false">IF(B2688="","",LOWER(B2688)&amp;"|"&amp;C2688)</f>
        <v/>
      </c>
    </row>
    <row r="2689" customFormat="false" ht="15" hidden="false" customHeight="false" outlineLevel="0" collapsed="false">
      <c r="E2689" s="0" t="str">
        <f aca="false">IF(B2689="","",LOWER(B2689)&amp;"|"&amp;C2689)</f>
        <v/>
      </c>
    </row>
    <row r="2690" customFormat="false" ht="15" hidden="false" customHeight="false" outlineLevel="0" collapsed="false">
      <c r="E2690" s="0" t="str">
        <f aca="false">IF(B2690="","",LOWER(B2690)&amp;"|"&amp;C2690)</f>
        <v/>
      </c>
    </row>
    <row r="2691" customFormat="false" ht="15" hidden="false" customHeight="false" outlineLevel="0" collapsed="false">
      <c r="E2691" s="0" t="str">
        <f aca="false">IF(B2691="","",LOWER(B2691)&amp;"|"&amp;C2691)</f>
        <v/>
      </c>
    </row>
    <row r="2692" customFormat="false" ht="15" hidden="false" customHeight="false" outlineLevel="0" collapsed="false">
      <c r="E2692" s="0" t="str">
        <f aca="false">IF(B2692="","",LOWER(B2692)&amp;"|"&amp;C2692)</f>
        <v/>
      </c>
    </row>
    <row r="2693" customFormat="false" ht="15" hidden="false" customHeight="false" outlineLevel="0" collapsed="false">
      <c r="E2693" s="0" t="str">
        <f aca="false">IF(B2693="","",LOWER(B2693)&amp;"|"&amp;C2693)</f>
        <v/>
      </c>
    </row>
    <row r="2694" customFormat="false" ht="15" hidden="false" customHeight="false" outlineLevel="0" collapsed="false">
      <c r="E2694" s="0" t="str">
        <f aca="false">IF(B2694="","",LOWER(B2694)&amp;"|"&amp;C2694)</f>
        <v/>
      </c>
    </row>
    <row r="2695" customFormat="false" ht="15" hidden="false" customHeight="false" outlineLevel="0" collapsed="false">
      <c r="E2695" s="0" t="str">
        <f aca="false">IF(B2695="","",LOWER(B2695)&amp;"|"&amp;C2695)</f>
        <v/>
      </c>
    </row>
    <row r="2696" customFormat="false" ht="15" hidden="false" customHeight="false" outlineLevel="0" collapsed="false">
      <c r="E2696" s="0" t="str">
        <f aca="false">IF(B2696="","",LOWER(B2696)&amp;"|"&amp;C2696)</f>
        <v/>
      </c>
    </row>
    <row r="2697" customFormat="false" ht="15" hidden="false" customHeight="false" outlineLevel="0" collapsed="false">
      <c r="E2697" s="0" t="str">
        <f aca="false">IF(B2697="","",LOWER(B2697)&amp;"|"&amp;C2697)</f>
        <v/>
      </c>
    </row>
    <row r="2698" customFormat="false" ht="15" hidden="false" customHeight="false" outlineLevel="0" collapsed="false">
      <c r="E2698" s="0" t="str">
        <f aca="false">IF(B2698="","",LOWER(B2698)&amp;"|"&amp;C2698)</f>
        <v/>
      </c>
    </row>
    <row r="2699" customFormat="false" ht="15" hidden="false" customHeight="false" outlineLevel="0" collapsed="false">
      <c r="E2699" s="0" t="str">
        <f aca="false">IF(B2699="","",LOWER(B2699)&amp;"|"&amp;C2699)</f>
        <v/>
      </c>
    </row>
    <row r="2700" customFormat="false" ht="15" hidden="false" customHeight="false" outlineLevel="0" collapsed="false">
      <c r="E2700" s="0" t="str">
        <f aca="false">IF(B2700="","",LOWER(B2700)&amp;"|"&amp;C2700)</f>
        <v/>
      </c>
    </row>
    <row r="2701" customFormat="false" ht="15" hidden="false" customHeight="false" outlineLevel="0" collapsed="false">
      <c r="E2701" s="0" t="str">
        <f aca="false">IF(B2701="","",LOWER(B2701)&amp;"|"&amp;C2701)</f>
        <v/>
      </c>
    </row>
    <row r="2702" customFormat="false" ht="15" hidden="false" customHeight="false" outlineLevel="0" collapsed="false">
      <c r="E2702" s="0" t="str">
        <f aca="false">IF(B2702="","",LOWER(B2702)&amp;"|"&amp;C2702)</f>
        <v/>
      </c>
    </row>
    <row r="2703" customFormat="false" ht="15" hidden="false" customHeight="false" outlineLevel="0" collapsed="false">
      <c r="E2703" s="0" t="str">
        <f aca="false">IF(B2703="","",LOWER(B2703)&amp;"|"&amp;C2703)</f>
        <v/>
      </c>
    </row>
    <row r="2704" customFormat="false" ht="15" hidden="false" customHeight="false" outlineLevel="0" collapsed="false">
      <c r="E2704" s="0" t="str">
        <f aca="false">IF(B2704="","",LOWER(B2704)&amp;"|"&amp;C2704)</f>
        <v/>
      </c>
    </row>
    <row r="2705" customFormat="false" ht="15" hidden="false" customHeight="false" outlineLevel="0" collapsed="false">
      <c r="E2705" s="0" t="str">
        <f aca="false">IF(B2705="","",LOWER(B2705)&amp;"|"&amp;C2705)</f>
        <v/>
      </c>
    </row>
    <row r="2706" customFormat="false" ht="15" hidden="false" customHeight="false" outlineLevel="0" collapsed="false">
      <c r="E2706" s="0" t="str">
        <f aca="false">IF(B2706="","",LOWER(B2706)&amp;"|"&amp;C2706)</f>
        <v/>
      </c>
    </row>
    <row r="2707" customFormat="false" ht="15" hidden="false" customHeight="false" outlineLevel="0" collapsed="false">
      <c r="E2707" s="0" t="str">
        <f aca="false">IF(B2707="","",LOWER(B2707)&amp;"|"&amp;C2707)</f>
        <v/>
      </c>
    </row>
    <row r="2708" customFormat="false" ht="15" hidden="false" customHeight="false" outlineLevel="0" collapsed="false">
      <c r="E2708" s="0" t="str">
        <f aca="false">IF(B2708="","",LOWER(B2708)&amp;"|"&amp;C2708)</f>
        <v/>
      </c>
    </row>
    <row r="2709" customFormat="false" ht="15" hidden="false" customHeight="false" outlineLevel="0" collapsed="false">
      <c r="E2709" s="0" t="str">
        <f aca="false">IF(B2709="","",LOWER(B2709)&amp;"|"&amp;C2709)</f>
        <v/>
      </c>
    </row>
    <row r="2710" customFormat="false" ht="15" hidden="false" customHeight="false" outlineLevel="0" collapsed="false">
      <c r="E2710" s="0" t="str">
        <f aca="false">IF(B2710="","",LOWER(B2710)&amp;"|"&amp;C2710)</f>
        <v/>
      </c>
    </row>
    <row r="2711" customFormat="false" ht="15" hidden="false" customHeight="false" outlineLevel="0" collapsed="false">
      <c r="E2711" s="0" t="str">
        <f aca="false">IF(B2711="","",LOWER(B2711)&amp;"|"&amp;C2711)</f>
        <v/>
      </c>
    </row>
    <row r="2712" customFormat="false" ht="15" hidden="false" customHeight="false" outlineLevel="0" collapsed="false">
      <c r="E2712" s="0" t="str">
        <f aca="false">IF(B2712="","",LOWER(B2712)&amp;"|"&amp;C2712)</f>
        <v/>
      </c>
    </row>
    <row r="2713" customFormat="false" ht="15" hidden="false" customHeight="false" outlineLevel="0" collapsed="false">
      <c r="E2713" s="0" t="str">
        <f aca="false">IF(B2713="","",LOWER(B2713)&amp;"|"&amp;C2713)</f>
        <v/>
      </c>
    </row>
    <row r="2714" customFormat="false" ht="15" hidden="false" customHeight="false" outlineLevel="0" collapsed="false">
      <c r="E2714" s="0" t="str">
        <f aca="false">IF(B2714="","",LOWER(B2714)&amp;"|"&amp;C2714)</f>
        <v/>
      </c>
    </row>
    <row r="2715" customFormat="false" ht="15" hidden="false" customHeight="false" outlineLevel="0" collapsed="false">
      <c r="E2715" s="0" t="str">
        <f aca="false">IF(B2715="","",LOWER(B2715)&amp;"|"&amp;C2715)</f>
        <v/>
      </c>
    </row>
    <row r="2716" customFormat="false" ht="15" hidden="false" customHeight="false" outlineLevel="0" collapsed="false">
      <c r="E2716" s="0" t="str">
        <f aca="false">IF(B2716="","",LOWER(B2716)&amp;"|"&amp;C2716)</f>
        <v/>
      </c>
    </row>
    <row r="2717" customFormat="false" ht="15" hidden="false" customHeight="false" outlineLevel="0" collapsed="false">
      <c r="E2717" s="0" t="str">
        <f aca="false">IF(B2717="","",LOWER(B2717)&amp;"|"&amp;C2717)</f>
        <v/>
      </c>
    </row>
    <row r="2718" customFormat="false" ht="15" hidden="false" customHeight="false" outlineLevel="0" collapsed="false">
      <c r="E2718" s="0" t="str">
        <f aca="false">IF(B2718="","",LOWER(B2718)&amp;"|"&amp;C2718)</f>
        <v/>
      </c>
    </row>
    <row r="2719" customFormat="false" ht="15" hidden="false" customHeight="false" outlineLevel="0" collapsed="false">
      <c r="E2719" s="0" t="str">
        <f aca="false">IF(B2719="","",LOWER(B2719)&amp;"|"&amp;C2719)</f>
        <v/>
      </c>
    </row>
    <row r="2720" customFormat="false" ht="15" hidden="false" customHeight="false" outlineLevel="0" collapsed="false">
      <c r="E2720" s="0" t="str">
        <f aca="false">IF(B2720="","",LOWER(B2720)&amp;"|"&amp;C2720)</f>
        <v/>
      </c>
    </row>
    <row r="2721" customFormat="false" ht="15" hidden="false" customHeight="false" outlineLevel="0" collapsed="false">
      <c r="E2721" s="0" t="str">
        <f aca="false">IF(B2721="","",LOWER(B2721)&amp;"|"&amp;C2721)</f>
        <v/>
      </c>
    </row>
    <row r="2722" customFormat="false" ht="15" hidden="false" customHeight="false" outlineLevel="0" collapsed="false">
      <c r="E2722" s="0" t="str">
        <f aca="false">IF(B2722="","",LOWER(B2722)&amp;"|"&amp;C2722)</f>
        <v/>
      </c>
    </row>
    <row r="2723" customFormat="false" ht="15" hidden="false" customHeight="false" outlineLevel="0" collapsed="false">
      <c r="E2723" s="0" t="str">
        <f aca="false">IF(B2723="","",LOWER(B2723)&amp;"|"&amp;C2723)</f>
        <v/>
      </c>
    </row>
    <row r="2724" customFormat="false" ht="15" hidden="false" customHeight="false" outlineLevel="0" collapsed="false">
      <c r="E2724" s="0" t="str">
        <f aca="false">IF(B2724="","",LOWER(B2724)&amp;"|"&amp;C2724)</f>
        <v/>
      </c>
    </row>
    <row r="2725" customFormat="false" ht="15" hidden="false" customHeight="false" outlineLevel="0" collapsed="false">
      <c r="E2725" s="0" t="str">
        <f aca="false">IF(B2725="","",LOWER(B2725)&amp;"|"&amp;C2725)</f>
        <v/>
      </c>
    </row>
    <row r="2726" customFormat="false" ht="15" hidden="false" customHeight="false" outlineLevel="0" collapsed="false">
      <c r="E2726" s="0" t="str">
        <f aca="false">IF(B2726="","",LOWER(B2726)&amp;"|"&amp;C2726)</f>
        <v/>
      </c>
    </row>
    <row r="2727" customFormat="false" ht="15" hidden="false" customHeight="false" outlineLevel="0" collapsed="false">
      <c r="E2727" s="0" t="str">
        <f aca="false">IF(B2727="","",LOWER(B2727)&amp;"|"&amp;C2727)</f>
        <v/>
      </c>
    </row>
    <row r="2728" customFormat="false" ht="15" hidden="false" customHeight="false" outlineLevel="0" collapsed="false">
      <c r="E2728" s="0" t="str">
        <f aca="false">IF(B2728="","",LOWER(B2728)&amp;"|"&amp;C2728)</f>
        <v/>
      </c>
    </row>
    <row r="2729" customFormat="false" ht="15" hidden="false" customHeight="false" outlineLevel="0" collapsed="false">
      <c r="E2729" s="0" t="str">
        <f aca="false">IF(B2729="","",LOWER(B2729)&amp;"|"&amp;C2729)</f>
        <v/>
      </c>
    </row>
    <row r="2730" customFormat="false" ht="15" hidden="false" customHeight="false" outlineLevel="0" collapsed="false">
      <c r="E2730" s="0" t="str">
        <f aca="false">IF(B2730="","",LOWER(B2730)&amp;"|"&amp;C2730)</f>
        <v/>
      </c>
    </row>
    <row r="2731" customFormat="false" ht="15" hidden="false" customHeight="false" outlineLevel="0" collapsed="false">
      <c r="E2731" s="0" t="str">
        <f aca="false">IF(B2731="","",LOWER(B2731)&amp;"|"&amp;C2731)</f>
        <v/>
      </c>
    </row>
    <row r="2732" customFormat="false" ht="15" hidden="false" customHeight="false" outlineLevel="0" collapsed="false">
      <c r="E2732" s="0" t="str">
        <f aca="false">IF(B2732="","",LOWER(B2732)&amp;"|"&amp;C2732)</f>
        <v/>
      </c>
    </row>
    <row r="2733" customFormat="false" ht="15" hidden="false" customHeight="false" outlineLevel="0" collapsed="false">
      <c r="E2733" s="0" t="str">
        <f aca="false">IF(B2733="","",LOWER(B2733)&amp;"|"&amp;C2733)</f>
        <v/>
      </c>
    </row>
    <row r="2734" customFormat="false" ht="15" hidden="false" customHeight="false" outlineLevel="0" collapsed="false">
      <c r="E2734" s="0" t="str">
        <f aca="false">IF(B2734="","",LOWER(B2734)&amp;"|"&amp;C2734)</f>
        <v/>
      </c>
    </row>
    <row r="2735" customFormat="false" ht="15" hidden="false" customHeight="false" outlineLevel="0" collapsed="false">
      <c r="E2735" s="0" t="str">
        <f aca="false">IF(B2735="","",LOWER(B2735)&amp;"|"&amp;C2735)</f>
        <v/>
      </c>
    </row>
    <row r="2736" customFormat="false" ht="15" hidden="false" customHeight="false" outlineLevel="0" collapsed="false">
      <c r="E2736" s="0" t="str">
        <f aca="false">IF(B2736="","",LOWER(B2736)&amp;"|"&amp;C2736)</f>
        <v/>
      </c>
    </row>
    <row r="2737" customFormat="false" ht="15" hidden="false" customHeight="false" outlineLevel="0" collapsed="false">
      <c r="E2737" s="0" t="str">
        <f aca="false">IF(B2737="","",LOWER(B2737)&amp;"|"&amp;C2737)</f>
        <v/>
      </c>
    </row>
    <row r="2738" customFormat="false" ht="15" hidden="false" customHeight="false" outlineLevel="0" collapsed="false">
      <c r="E2738" s="0" t="str">
        <f aca="false">IF(B2738="","",LOWER(B2738)&amp;"|"&amp;C2738)</f>
        <v/>
      </c>
    </row>
    <row r="2739" customFormat="false" ht="15" hidden="false" customHeight="false" outlineLevel="0" collapsed="false">
      <c r="E2739" s="0" t="str">
        <f aca="false">IF(B2739="","",LOWER(B2739)&amp;"|"&amp;C2739)</f>
        <v/>
      </c>
    </row>
    <row r="2740" customFormat="false" ht="15" hidden="false" customHeight="false" outlineLevel="0" collapsed="false">
      <c r="E2740" s="0" t="str">
        <f aca="false">IF(B2740="","",LOWER(B2740)&amp;"|"&amp;C2740)</f>
        <v/>
      </c>
    </row>
    <row r="2741" customFormat="false" ht="15" hidden="false" customHeight="false" outlineLevel="0" collapsed="false">
      <c r="E2741" s="0" t="str">
        <f aca="false">IF(B2741="","",LOWER(B2741)&amp;"|"&amp;C2741)</f>
        <v/>
      </c>
    </row>
    <row r="2742" customFormat="false" ht="15" hidden="false" customHeight="false" outlineLevel="0" collapsed="false">
      <c r="E2742" s="0" t="str">
        <f aca="false">IF(B2742="","",LOWER(B2742)&amp;"|"&amp;C2742)</f>
        <v/>
      </c>
    </row>
    <row r="2743" customFormat="false" ht="15" hidden="false" customHeight="false" outlineLevel="0" collapsed="false">
      <c r="E2743" s="0" t="str">
        <f aca="false">IF(B2743="","",LOWER(B2743)&amp;"|"&amp;C2743)</f>
        <v/>
      </c>
    </row>
    <row r="2744" customFormat="false" ht="15" hidden="false" customHeight="false" outlineLevel="0" collapsed="false">
      <c r="E2744" s="0" t="str">
        <f aca="false">IF(B2744="","",LOWER(B2744)&amp;"|"&amp;C2744)</f>
        <v/>
      </c>
    </row>
    <row r="2745" customFormat="false" ht="15" hidden="false" customHeight="false" outlineLevel="0" collapsed="false">
      <c r="E2745" s="0" t="str">
        <f aca="false">IF(B2745="","",LOWER(B2745)&amp;"|"&amp;C2745)</f>
        <v/>
      </c>
    </row>
    <row r="2746" customFormat="false" ht="15" hidden="false" customHeight="false" outlineLevel="0" collapsed="false">
      <c r="E2746" s="0" t="str">
        <f aca="false">IF(B2746="","",LOWER(B2746)&amp;"|"&amp;C2746)</f>
        <v/>
      </c>
    </row>
    <row r="2747" customFormat="false" ht="15" hidden="false" customHeight="false" outlineLevel="0" collapsed="false">
      <c r="E2747" s="0" t="str">
        <f aca="false">IF(B2747="","",LOWER(B2747)&amp;"|"&amp;C2747)</f>
        <v/>
      </c>
    </row>
    <row r="2748" customFormat="false" ht="15" hidden="false" customHeight="false" outlineLevel="0" collapsed="false">
      <c r="E2748" s="0" t="str">
        <f aca="false">IF(B2748="","",LOWER(B2748)&amp;"|"&amp;C2748)</f>
        <v/>
      </c>
    </row>
    <row r="2749" customFormat="false" ht="15" hidden="false" customHeight="false" outlineLevel="0" collapsed="false">
      <c r="E2749" s="0" t="str">
        <f aca="false">IF(B2749="","",LOWER(B2749)&amp;"|"&amp;C2749)</f>
        <v/>
      </c>
    </row>
    <row r="2750" customFormat="false" ht="15" hidden="false" customHeight="false" outlineLevel="0" collapsed="false">
      <c r="E2750" s="0" t="str">
        <f aca="false">IF(B2750="","",LOWER(B2750)&amp;"|"&amp;C2750)</f>
        <v/>
      </c>
    </row>
    <row r="2751" customFormat="false" ht="15" hidden="false" customHeight="false" outlineLevel="0" collapsed="false">
      <c r="E2751" s="0" t="str">
        <f aca="false">IF(B2751="","",LOWER(B2751)&amp;"|"&amp;C2751)</f>
        <v/>
      </c>
    </row>
    <row r="2752" customFormat="false" ht="15" hidden="false" customHeight="false" outlineLevel="0" collapsed="false">
      <c r="E2752" s="0" t="str">
        <f aca="false">IF(B2752="","",LOWER(B2752)&amp;"|"&amp;C2752)</f>
        <v/>
      </c>
    </row>
    <row r="2753" customFormat="false" ht="15" hidden="false" customHeight="false" outlineLevel="0" collapsed="false">
      <c r="E2753" s="0" t="str">
        <f aca="false">IF(B2753="","",LOWER(B2753)&amp;"|"&amp;C2753)</f>
        <v/>
      </c>
    </row>
    <row r="2754" customFormat="false" ht="15" hidden="false" customHeight="false" outlineLevel="0" collapsed="false">
      <c r="E2754" s="0" t="str">
        <f aca="false">IF(B2754="","",LOWER(B2754)&amp;"|"&amp;C2754)</f>
        <v/>
      </c>
    </row>
    <row r="2755" customFormat="false" ht="15" hidden="false" customHeight="false" outlineLevel="0" collapsed="false">
      <c r="E2755" s="0" t="str">
        <f aca="false">IF(B2755="","",LOWER(B2755)&amp;"|"&amp;C2755)</f>
        <v/>
      </c>
    </row>
    <row r="2756" customFormat="false" ht="15" hidden="false" customHeight="false" outlineLevel="0" collapsed="false">
      <c r="E2756" s="0" t="str">
        <f aca="false">IF(B2756="","",LOWER(B2756)&amp;"|"&amp;C2756)</f>
        <v/>
      </c>
    </row>
    <row r="2757" customFormat="false" ht="15" hidden="false" customHeight="false" outlineLevel="0" collapsed="false">
      <c r="E2757" s="0" t="str">
        <f aca="false">IF(B2757="","",LOWER(B2757)&amp;"|"&amp;C2757)</f>
        <v/>
      </c>
    </row>
    <row r="2758" customFormat="false" ht="15" hidden="false" customHeight="false" outlineLevel="0" collapsed="false">
      <c r="E2758" s="0" t="str">
        <f aca="false">IF(B2758="","",LOWER(B2758)&amp;"|"&amp;C2758)</f>
        <v/>
      </c>
    </row>
    <row r="2759" customFormat="false" ht="15" hidden="false" customHeight="false" outlineLevel="0" collapsed="false">
      <c r="E2759" s="0" t="str">
        <f aca="false">IF(B2759="","",LOWER(B2759)&amp;"|"&amp;C2759)</f>
        <v/>
      </c>
    </row>
    <row r="2760" customFormat="false" ht="15" hidden="false" customHeight="false" outlineLevel="0" collapsed="false">
      <c r="E2760" s="0" t="str">
        <f aca="false">IF(B2760="","",LOWER(B2760)&amp;"|"&amp;C2760)</f>
        <v/>
      </c>
    </row>
    <row r="2761" customFormat="false" ht="15" hidden="false" customHeight="false" outlineLevel="0" collapsed="false">
      <c r="E2761" s="0" t="str">
        <f aca="false">IF(B2761="","",LOWER(B2761)&amp;"|"&amp;C2761)</f>
        <v/>
      </c>
    </row>
    <row r="2762" customFormat="false" ht="15" hidden="false" customHeight="false" outlineLevel="0" collapsed="false">
      <c r="E2762" s="0" t="str">
        <f aca="false">IF(B2762="","",LOWER(B2762)&amp;"|"&amp;C2762)</f>
        <v/>
      </c>
    </row>
    <row r="2763" customFormat="false" ht="15" hidden="false" customHeight="false" outlineLevel="0" collapsed="false">
      <c r="E2763" s="0" t="str">
        <f aca="false">IF(B2763="","",LOWER(B2763)&amp;"|"&amp;C2763)</f>
        <v/>
      </c>
    </row>
    <row r="2764" customFormat="false" ht="15" hidden="false" customHeight="false" outlineLevel="0" collapsed="false">
      <c r="E2764" s="0" t="str">
        <f aca="false">IF(B2764="","",LOWER(B2764)&amp;"|"&amp;C2764)</f>
        <v/>
      </c>
    </row>
    <row r="2765" customFormat="false" ht="15" hidden="false" customHeight="false" outlineLevel="0" collapsed="false">
      <c r="E2765" s="0" t="str">
        <f aca="false">IF(B2765="","",LOWER(B2765)&amp;"|"&amp;C2765)</f>
        <v/>
      </c>
    </row>
    <row r="2766" customFormat="false" ht="15" hidden="false" customHeight="false" outlineLevel="0" collapsed="false">
      <c r="E2766" s="0" t="str">
        <f aca="false">IF(B2766="","",LOWER(B2766)&amp;"|"&amp;C2766)</f>
        <v/>
      </c>
    </row>
    <row r="2767" customFormat="false" ht="15" hidden="false" customHeight="false" outlineLevel="0" collapsed="false">
      <c r="E2767" s="0" t="str">
        <f aca="false">IF(B2767="","",LOWER(B2767)&amp;"|"&amp;C2767)</f>
        <v/>
      </c>
    </row>
    <row r="2768" customFormat="false" ht="15" hidden="false" customHeight="false" outlineLevel="0" collapsed="false">
      <c r="E2768" s="0" t="str">
        <f aca="false">IF(B2768="","",LOWER(B2768)&amp;"|"&amp;C2768)</f>
        <v/>
      </c>
    </row>
    <row r="2769" customFormat="false" ht="15" hidden="false" customHeight="false" outlineLevel="0" collapsed="false">
      <c r="E2769" s="0" t="str">
        <f aca="false">IF(B2769="","",LOWER(B2769)&amp;"|"&amp;C2769)</f>
        <v/>
      </c>
    </row>
    <row r="2770" customFormat="false" ht="15" hidden="false" customHeight="false" outlineLevel="0" collapsed="false">
      <c r="E2770" s="0" t="str">
        <f aca="false">IF(B2770="","",LOWER(B2770)&amp;"|"&amp;C2770)</f>
        <v/>
      </c>
    </row>
    <row r="2771" customFormat="false" ht="15" hidden="false" customHeight="false" outlineLevel="0" collapsed="false">
      <c r="E2771" s="0" t="str">
        <f aca="false">IF(B2771="","",LOWER(B2771)&amp;"|"&amp;C2771)</f>
        <v/>
      </c>
    </row>
    <row r="2772" customFormat="false" ht="15" hidden="false" customHeight="false" outlineLevel="0" collapsed="false">
      <c r="E2772" s="0" t="str">
        <f aca="false">IF(B2772="","",LOWER(B2772)&amp;"|"&amp;C2772)</f>
        <v/>
      </c>
    </row>
    <row r="2773" customFormat="false" ht="15" hidden="false" customHeight="false" outlineLevel="0" collapsed="false">
      <c r="E2773" s="0" t="str">
        <f aca="false">IF(B2773="","",LOWER(B2773)&amp;"|"&amp;C2773)</f>
        <v/>
      </c>
    </row>
    <row r="2774" customFormat="false" ht="15" hidden="false" customHeight="false" outlineLevel="0" collapsed="false">
      <c r="E2774" s="0" t="str">
        <f aca="false">IF(B2774="","",LOWER(B2774)&amp;"|"&amp;C2774)</f>
        <v/>
      </c>
    </row>
    <row r="2775" customFormat="false" ht="15" hidden="false" customHeight="false" outlineLevel="0" collapsed="false">
      <c r="E2775" s="0" t="str">
        <f aca="false">IF(B2775="","",LOWER(B2775)&amp;"|"&amp;C2775)</f>
        <v/>
      </c>
    </row>
    <row r="2776" customFormat="false" ht="15" hidden="false" customHeight="false" outlineLevel="0" collapsed="false">
      <c r="E2776" s="0" t="str">
        <f aca="false">IF(B2776="","",LOWER(B2776)&amp;"|"&amp;C2776)</f>
        <v/>
      </c>
    </row>
    <row r="2777" customFormat="false" ht="15" hidden="false" customHeight="false" outlineLevel="0" collapsed="false">
      <c r="E2777" s="0" t="str">
        <f aca="false">IF(B2777="","",LOWER(B2777)&amp;"|"&amp;C2777)</f>
        <v/>
      </c>
    </row>
    <row r="2778" customFormat="false" ht="15" hidden="false" customHeight="false" outlineLevel="0" collapsed="false">
      <c r="E2778" s="0" t="str">
        <f aca="false">IF(B2778="","",LOWER(B2778)&amp;"|"&amp;C2778)</f>
        <v/>
      </c>
    </row>
    <row r="2779" customFormat="false" ht="15" hidden="false" customHeight="false" outlineLevel="0" collapsed="false">
      <c r="E2779" s="0" t="str">
        <f aca="false">IF(B2779="","",LOWER(B2779)&amp;"|"&amp;C2779)</f>
        <v/>
      </c>
    </row>
    <row r="2780" customFormat="false" ht="15" hidden="false" customHeight="false" outlineLevel="0" collapsed="false">
      <c r="E2780" s="0" t="str">
        <f aca="false">IF(B2780="","",LOWER(B2780)&amp;"|"&amp;C2780)</f>
        <v/>
      </c>
    </row>
    <row r="2781" customFormat="false" ht="15" hidden="false" customHeight="false" outlineLevel="0" collapsed="false">
      <c r="E2781" s="0" t="str">
        <f aca="false">IF(B2781="","",LOWER(B2781)&amp;"|"&amp;C2781)</f>
        <v/>
      </c>
    </row>
    <row r="2782" customFormat="false" ht="15" hidden="false" customHeight="false" outlineLevel="0" collapsed="false">
      <c r="E2782" s="0" t="str">
        <f aca="false">IF(B2782="","",LOWER(B2782)&amp;"|"&amp;C2782)</f>
        <v/>
      </c>
    </row>
    <row r="2783" customFormat="false" ht="15" hidden="false" customHeight="false" outlineLevel="0" collapsed="false">
      <c r="E2783" s="0" t="str">
        <f aca="false">IF(B2783="","",LOWER(B2783)&amp;"|"&amp;C2783)</f>
        <v/>
      </c>
    </row>
    <row r="2784" customFormat="false" ht="15" hidden="false" customHeight="false" outlineLevel="0" collapsed="false">
      <c r="E2784" s="0" t="str">
        <f aca="false">IF(B2784="","",LOWER(B2784)&amp;"|"&amp;C2784)</f>
        <v/>
      </c>
    </row>
    <row r="2785" customFormat="false" ht="15" hidden="false" customHeight="false" outlineLevel="0" collapsed="false">
      <c r="E2785" s="0" t="str">
        <f aca="false">IF(B2785="","",LOWER(B2785)&amp;"|"&amp;C2785)</f>
        <v/>
      </c>
    </row>
    <row r="2786" customFormat="false" ht="15" hidden="false" customHeight="false" outlineLevel="0" collapsed="false">
      <c r="E2786" s="0" t="str">
        <f aca="false">IF(B2786="","",LOWER(B2786)&amp;"|"&amp;C2786)</f>
        <v/>
      </c>
    </row>
    <row r="2787" customFormat="false" ht="15" hidden="false" customHeight="false" outlineLevel="0" collapsed="false">
      <c r="E2787" s="0" t="str">
        <f aca="false">IF(B2787="","",LOWER(B2787)&amp;"|"&amp;C2787)</f>
        <v/>
      </c>
    </row>
    <row r="2788" customFormat="false" ht="15" hidden="false" customHeight="false" outlineLevel="0" collapsed="false">
      <c r="E2788" s="0" t="str">
        <f aca="false">IF(B2788="","",LOWER(B2788)&amp;"|"&amp;C2788)</f>
        <v/>
      </c>
    </row>
    <row r="2789" customFormat="false" ht="15" hidden="false" customHeight="false" outlineLevel="0" collapsed="false">
      <c r="E2789" s="0" t="str">
        <f aca="false">IF(B2789="","",LOWER(B2789)&amp;"|"&amp;C2789)</f>
        <v/>
      </c>
    </row>
    <row r="2790" customFormat="false" ht="15" hidden="false" customHeight="false" outlineLevel="0" collapsed="false">
      <c r="E2790" s="0" t="str">
        <f aca="false">IF(B2790="","",LOWER(B2790)&amp;"|"&amp;C2790)</f>
        <v/>
      </c>
    </row>
    <row r="2791" customFormat="false" ht="15" hidden="false" customHeight="false" outlineLevel="0" collapsed="false">
      <c r="E2791" s="0" t="str">
        <f aca="false">IF(B2791="","",LOWER(B2791)&amp;"|"&amp;C2791)</f>
        <v/>
      </c>
    </row>
    <row r="2792" customFormat="false" ht="15" hidden="false" customHeight="false" outlineLevel="0" collapsed="false">
      <c r="E2792" s="0" t="str">
        <f aca="false">IF(B2792="","",LOWER(B2792)&amp;"|"&amp;C2792)</f>
        <v/>
      </c>
    </row>
    <row r="2793" customFormat="false" ht="15" hidden="false" customHeight="false" outlineLevel="0" collapsed="false">
      <c r="E2793" s="0" t="str">
        <f aca="false">IF(B2793="","",LOWER(B2793)&amp;"|"&amp;C2793)</f>
        <v/>
      </c>
    </row>
    <row r="2794" customFormat="false" ht="15" hidden="false" customHeight="false" outlineLevel="0" collapsed="false">
      <c r="E2794" s="0" t="str">
        <f aca="false">IF(B2794="","",LOWER(B2794)&amp;"|"&amp;C2794)</f>
        <v/>
      </c>
    </row>
    <row r="2795" customFormat="false" ht="15" hidden="false" customHeight="false" outlineLevel="0" collapsed="false">
      <c r="E2795" s="0" t="str">
        <f aca="false">IF(B2795="","",LOWER(B2795)&amp;"|"&amp;C2795)</f>
        <v/>
      </c>
    </row>
    <row r="2796" customFormat="false" ht="15" hidden="false" customHeight="false" outlineLevel="0" collapsed="false">
      <c r="E2796" s="0" t="str">
        <f aca="false">IF(B2796="","",LOWER(B2796)&amp;"|"&amp;C2796)</f>
        <v/>
      </c>
    </row>
    <row r="2797" customFormat="false" ht="15" hidden="false" customHeight="false" outlineLevel="0" collapsed="false">
      <c r="E2797" s="0" t="str">
        <f aca="false">IF(B2797="","",LOWER(B2797)&amp;"|"&amp;C2797)</f>
        <v/>
      </c>
    </row>
    <row r="2798" customFormat="false" ht="15" hidden="false" customHeight="false" outlineLevel="0" collapsed="false">
      <c r="E2798" s="0" t="str">
        <f aca="false">IF(B2798="","",LOWER(B2798)&amp;"|"&amp;C2798)</f>
        <v/>
      </c>
    </row>
    <row r="2799" customFormat="false" ht="15" hidden="false" customHeight="false" outlineLevel="0" collapsed="false">
      <c r="E2799" s="0" t="str">
        <f aca="false">IF(B2799="","",LOWER(B2799)&amp;"|"&amp;C2799)</f>
        <v/>
      </c>
    </row>
    <row r="2800" customFormat="false" ht="15" hidden="false" customHeight="false" outlineLevel="0" collapsed="false">
      <c r="E2800" s="0" t="str">
        <f aca="false">IF(B2800="","",LOWER(B2800)&amp;"|"&amp;C2800)</f>
        <v/>
      </c>
    </row>
    <row r="2801" customFormat="false" ht="15" hidden="false" customHeight="false" outlineLevel="0" collapsed="false">
      <c r="E2801" s="0" t="str">
        <f aca="false">IF(B2801="","",LOWER(B2801)&amp;"|"&amp;C2801)</f>
        <v/>
      </c>
    </row>
    <row r="2802" customFormat="false" ht="15" hidden="false" customHeight="false" outlineLevel="0" collapsed="false">
      <c r="E2802" s="0" t="str">
        <f aca="false">IF(B2802="","",LOWER(B2802)&amp;"|"&amp;C2802)</f>
        <v/>
      </c>
    </row>
    <row r="2803" customFormat="false" ht="15" hidden="false" customHeight="false" outlineLevel="0" collapsed="false">
      <c r="E2803" s="0" t="str">
        <f aca="false">IF(B2803="","",LOWER(B2803)&amp;"|"&amp;C2803)</f>
        <v/>
      </c>
    </row>
    <row r="2804" customFormat="false" ht="15" hidden="false" customHeight="false" outlineLevel="0" collapsed="false">
      <c r="E2804" s="0" t="str">
        <f aca="false">IF(B2804="","",LOWER(B2804)&amp;"|"&amp;C2804)</f>
        <v/>
      </c>
    </row>
    <row r="2805" customFormat="false" ht="15" hidden="false" customHeight="false" outlineLevel="0" collapsed="false">
      <c r="E2805" s="0" t="str">
        <f aca="false">IF(B2805="","",LOWER(B2805)&amp;"|"&amp;C2805)</f>
        <v/>
      </c>
    </row>
    <row r="2806" customFormat="false" ht="15" hidden="false" customHeight="false" outlineLevel="0" collapsed="false">
      <c r="E2806" s="0" t="str">
        <f aca="false">IF(B2806="","",LOWER(B2806)&amp;"|"&amp;C2806)</f>
        <v/>
      </c>
    </row>
    <row r="2807" customFormat="false" ht="15" hidden="false" customHeight="false" outlineLevel="0" collapsed="false">
      <c r="E2807" s="0" t="str">
        <f aca="false">IF(B2807="","",LOWER(B2807)&amp;"|"&amp;C2807)</f>
        <v/>
      </c>
    </row>
    <row r="2808" customFormat="false" ht="15" hidden="false" customHeight="false" outlineLevel="0" collapsed="false">
      <c r="E2808" s="0" t="str">
        <f aca="false">IF(B2808="","",LOWER(B2808)&amp;"|"&amp;C2808)</f>
        <v/>
      </c>
    </row>
    <row r="2809" customFormat="false" ht="15" hidden="false" customHeight="false" outlineLevel="0" collapsed="false">
      <c r="E2809" s="0" t="str">
        <f aca="false">IF(B2809="","",LOWER(B2809)&amp;"|"&amp;C2809)</f>
        <v/>
      </c>
    </row>
    <row r="2810" customFormat="false" ht="15" hidden="false" customHeight="false" outlineLevel="0" collapsed="false">
      <c r="E2810" s="0" t="str">
        <f aca="false">IF(B2810="","",LOWER(B2810)&amp;"|"&amp;C2810)</f>
        <v/>
      </c>
    </row>
    <row r="2811" customFormat="false" ht="15" hidden="false" customHeight="false" outlineLevel="0" collapsed="false">
      <c r="E2811" s="0" t="str">
        <f aca="false">IF(B2811="","",LOWER(B2811)&amp;"|"&amp;C2811)</f>
        <v/>
      </c>
    </row>
    <row r="2812" customFormat="false" ht="15" hidden="false" customHeight="false" outlineLevel="0" collapsed="false">
      <c r="E2812" s="0" t="str">
        <f aca="false">IF(B2812="","",LOWER(B2812)&amp;"|"&amp;C2812)</f>
        <v/>
      </c>
    </row>
    <row r="2813" customFormat="false" ht="15" hidden="false" customHeight="false" outlineLevel="0" collapsed="false">
      <c r="E2813" s="0" t="str">
        <f aca="false">IF(B2813="","",LOWER(B2813)&amp;"|"&amp;C2813)</f>
        <v/>
      </c>
    </row>
    <row r="2814" customFormat="false" ht="15" hidden="false" customHeight="false" outlineLevel="0" collapsed="false">
      <c r="E2814" s="0" t="str">
        <f aca="false">IF(B2814="","",LOWER(B2814)&amp;"|"&amp;C2814)</f>
        <v/>
      </c>
    </row>
    <row r="2815" customFormat="false" ht="15" hidden="false" customHeight="false" outlineLevel="0" collapsed="false">
      <c r="E2815" s="0" t="str">
        <f aca="false">IF(B2815="","",LOWER(B2815)&amp;"|"&amp;C2815)</f>
        <v/>
      </c>
    </row>
    <row r="2816" customFormat="false" ht="15" hidden="false" customHeight="false" outlineLevel="0" collapsed="false">
      <c r="E2816" s="0" t="str">
        <f aca="false">IF(B2816="","",LOWER(B2816)&amp;"|"&amp;C2816)</f>
        <v/>
      </c>
    </row>
    <row r="2817" customFormat="false" ht="15" hidden="false" customHeight="false" outlineLevel="0" collapsed="false">
      <c r="E2817" s="0" t="str">
        <f aca="false">IF(B2817="","",LOWER(B2817)&amp;"|"&amp;C2817)</f>
        <v/>
      </c>
    </row>
    <row r="2818" customFormat="false" ht="15" hidden="false" customHeight="false" outlineLevel="0" collapsed="false">
      <c r="E2818" s="0" t="str">
        <f aca="false">IF(B2818="","",LOWER(B2818)&amp;"|"&amp;C2818)</f>
        <v/>
      </c>
    </row>
    <row r="2819" customFormat="false" ht="15" hidden="false" customHeight="false" outlineLevel="0" collapsed="false">
      <c r="E2819" s="0" t="str">
        <f aca="false">IF(B2819="","",LOWER(B2819)&amp;"|"&amp;C2819)</f>
        <v/>
      </c>
    </row>
    <row r="2820" customFormat="false" ht="15" hidden="false" customHeight="false" outlineLevel="0" collapsed="false">
      <c r="E2820" s="0" t="str">
        <f aca="false">IF(B2820="","",LOWER(B2820)&amp;"|"&amp;C2820)</f>
        <v/>
      </c>
    </row>
    <row r="2821" customFormat="false" ht="15" hidden="false" customHeight="false" outlineLevel="0" collapsed="false">
      <c r="E2821" s="0" t="str">
        <f aca="false">IF(B2821="","",LOWER(B2821)&amp;"|"&amp;C2821)</f>
        <v/>
      </c>
    </row>
    <row r="2822" customFormat="false" ht="15" hidden="false" customHeight="false" outlineLevel="0" collapsed="false">
      <c r="E2822" s="0" t="str">
        <f aca="false">IF(B2822="","",LOWER(B2822)&amp;"|"&amp;C2822)</f>
        <v/>
      </c>
    </row>
    <row r="2823" customFormat="false" ht="15" hidden="false" customHeight="false" outlineLevel="0" collapsed="false">
      <c r="E2823" s="0" t="str">
        <f aca="false">IF(B2823="","",LOWER(B2823)&amp;"|"&amp;C2823)</f>
        <v/>
      </c>
    </row>
    <row r="2824" customFormat="false" ht="15" hidden="false" customHeight="false" outlineLevel="0" collapsed="false">
      <c r="E2824" s="0" t="str">
        <f aca="false">IF(B2824="","",LOWER(B2824)&amp;"|"&amp;C2824)</f>
        <v/>
      </c>
    </row>
    <row r="2825" customFormat="false" ht="15" hidden="false" customHeight="false" outlineLevel="0" collapsed="false">
      <c r="E2825" s="0" t="str">
        <f aca="false">IF(B2825="","",LOWER(B2825)&amp;"|"&amp;C2825)</f>
        <v/>
      </c>
    </row>
    <row r="2826" customFormat="false" ht="15" hidden="false" customHeight="false" outlineLevel="0" collapsed="false">
      <c r="E2826" s="0" t="str">
        <f aca="false">IF(B2826="","",LOWER(B2826)&amp;"|"&amp;C2826)</f>
        <v/>
      </c>
    </row>
    <row r="2827" customFormat="false" ht="15" hidden="false" customHeight="false" outlineLevel="0" collapsed="false">
      <c r="E2827" s="0" t="str">
        <f aca="false">IF(B2827="","",LOWER(B2827)&amp;"|"&amp;C2827)</f>
        <v/>
      </c>
    </row>
    <row r="2828" customFormat="false" ht="15" hidden="false" customHeight="false" outlineLevel="0" collapsed="false">
      <c r="E2828" s="0" t="str">
        <f aca="false">IF(B2828="","",LOWER(B2828)&amp;"|"&amp;C2828)</f>
        <v/>
      </c>
    </row>
    <row r="2829" customFormat="false" ht="15" hidden="false" customHeight="false" outlineLevel="0" collapsed="false">
      <c r="E2829" s="0" t="str">
        <f aca="false">IF(B2829="","",LOWER(B2829)&amp;"|"&amp;C2829)</f>
        <v/>
      </c>
    </row>
    <row r="2830" customFormat="false" ht="15" hidden="false" customHeight="false" outlineLevel="0" collapsed="false">
      <c r="E2830" s="0" t="str">
        <f aca="false">IF(B2830="","",LOWER(B2830)&amp;"|"&amp;C2830)</f>
        <v/>
      </c>
    </row>
    <row r="2831" customFormat="false" ht="15" hidden="false" customHeight="false" outlineLevel="0" collapsed="false">
      <c r="E2831" s="0" t="str">
        <f aca="false">IF(B2831="","",LOWER(B2831)&amp;"|"&amp;C2831)</f>
        <v/>
      </c>
    </row>
    <row r="2832" customFormat="false" ht="15" hidden="false" customHeight="false" outlineLevel="0" collapsed="false">
      <c r="E2832" s="0" t="str">
        <f aca="false">IF(B2832="","",LOWER(B2832)&amp;"|"&amp;C2832)</f>
        <v/>
      </c>
    </row>
    <row r="2833" customFormat="false" ht="15" hidden="false" customHeight="false" outlineLevel="0" collapsed="false">
      <c r="E2833" s="0" t="str">
        <f aca="false">IF(B2833="","",LOWER(B2833)&amp;"|"&amp;C2833)</f>
        <v/>
      </c>
    </row>
    <row r="2834" customFormat="false" ht="15" hidden="false" customHeight="false" outlineLevel="0" collapsed="false">
      <c r="E2834" s="0" t="str">
        <f aca="false">IF(B2834="","",LOWER(B2834)&amp;"|"&amp;C2834)</f>
        <v/>
      </c>
    </row>
    <row r="2835" customFormat="false" ht="15" hidden="false" customHeight="false" outlineLevel="0" collapsed="false">
      <c r="E2835" s="0" t="str">
        <f aca="false">IF(B2835="","",LOWER(B2835)&amp;"|"&amp;C2835)</f>
        <v/>
      </c>
    </row>
    <row r="2836" customFormat="false" ht="15" hidden="false" customHeight="false" outlineLevel="0" collapsed="false">
      <c r="E2836" s="0" t="str">
        <f aca="false">IF(B2836="","",LOWER(B2836)&amp;"|"&amp;C2836)</f>
        <v/>
      </c>
    </row>
    <row r="2837" customFormat="false" ht="15" hidden="false" customHeight="false" outlineLevel="0" collapsed="false">
      <c r="E2837" s="0" t="str">
        <f aca="false">IF(B2837="","",LOWER(B2837)&amp;"|"&amp;C2837)</f>
        <v/>
      </c>
    </row>
    <row r="2838" customFormat="false" ht="15" hidden="false" customHeight="false" outlineLevel="0" collapsed="false">
      <c r="E2838" s="0" t="str">
        <f aca="false">IF(B2838="","",LOWER(B2838)&amp;"|"&amp;C2838)</f>
        <v/>
      </c>
    </row>
    <row r="2839" customFormat="false" ht="15" hidden="false" customHeight="false" outlineLevel="0" collapsed="false">
      <c r="E2839" s="0" t="str">
        <f aca="false">IF(B2839="","",LOWER(B2839)&amp;"|"&amp;C2839)</f>
        <v/>
      </c>
    </row>
    <row r="2840" customFormat="false" ht="15" hidden="false" customHeight="false" outlineLevel="0" collapsed="false">
      <c r="E2840" s="0" t="str">
        <f aca="false">IF(B2840="","",LOWER(B2840)&amp;"|"&amp;C2840)</f>
        <v/>
      </c>
    </row>
    <row r="2841" customFormat="false" ht="15" hidden="false" customHeight="false" outlineLevel="0" collapsed="false">
      <c r="E2841" s="0" t="str">
        <f aca="false">IF(B2841="","",LOWER(B2841)&amp;"|"&amp;C2841)</f>
        <v/>
      </c>
    </row>
    <row r="2842" customFormat="false" ht="15" hidden="false" customHeight="false" outlineLevel="0" collapsed="false">
      <c r="E2842" s="0" t="str">
        <f aca="false">IF(B2842="","",LOWER(B2842)&amp;"|"&amp;C2842)</f>
        <v/>
      </c>
    </row>
    <row r="2843" customFormat="false" ht="15" hidden="false" customHeight="false" outlineLevel="0" collapsed="false">
      <c r="E2843" s="0" t="str">
        <f aca="false">IF(B2843="","",LOWER(B2843)&amp;"|"&amp;C2843)</f>
        <v/>
      </c>
    </row>
    <row r="2844" customFormat="false" ht="15" hidden="false" customHeight="false" outlineLevel="0" collapsed="false">
      <c r="E2844" s="0" t="str">
        <f aca="false">IF(B2844="","",LOWER(B2844)&amp;"|"&amp;C2844)</f>
        <v/>
      </c>
    </row>
    <row r="2845" customFormat="false" ht="15" hidden="false" customHeight="false" outlineLevel="0" collapsed="false">
      <c r="E2845" s="0" t="str">
        <f aca="false">IF(B2845="","",LOWER(B2845)&amp;"|"&amp;C2845)</f>
        <v/>
      </c>
    </row>
    <row r="2846" customFormat="false" ht="15" hidden="false" customHeight="false" outlineLevel="0" collapsed="false">
      <c r="E2846" s="0" t="str">
        <f aca="false">IF(B2846="","",LOWER(B2846)&amp;"|"&amp;C2846)</f>
        <v/>
      </c>
    </row>
    <row r="2847" customFormat="false" ht="15" hidden="false" customHeight="false" outlineLevel="0" collapsed="false">
      <c r="E2847" s="0" t="str">
        <f aca="false">IF(B2847="","",LOWER(B2847)&amp;"|"&amp;C2847)</f>
        <v/>
      </c>
    </row>
    <row r="2848" customFormat="false" ht="15" hidden="false" customHeight="false" outlineLevel="0" collapsed="false">
      <c r="E2848" s="0" t="str">
        <f aca="false">IF(B2848="","",LOWER(B2848)&amp;"|"&amp;C2848)</f>
        <v/>
      </c>
    </row>
    <row r="2849" customFormat="false" ht="15" hidden="false" customHeight="false" outlineLevel="0" collapsed="false">
      <c r="E2849" s="0" t="str">
        <f aca="false">IF(B2849="","",LOWER(B2849)&amp;"|"&amp;C2849)</f>
        <v/>
      </c>
    </row>
    <row r="2850" customFormat="false" ht="15" hidden="false" customHeight="false" outlineLevel="0" collapsed="false">
      <c r="E2850" s="0" t="str">
        <f aca="false">IF(B2850="","",LOWER(B2850)&amp;"|"&amp;C2850)</f>
        <v/>
      </c>
    </row>
    <row r="2851" customFormat="false" ht="15" hidden="false" customHeight="false" outlineLevel="0" collapsed="false">
      <c r="E2851" s="0" t="str">
        <f aca="false">IF(B2851="","",LOWER(B2851)&amp;"|"&amp;C2851)</f>
        <v/>
      </c>
    </row>
    <row r="2852" customFormat="false" ht="15" hidden="false" customHeight="false" outlineLevel="0" collapsed="false">
      <c r="E2852" s="0" t="str">
        <f aca="false">IF(B2852="","",LOWER(B2852)&amp;"|"&amp;C2852)</f>
        <v/>
      </c>
    </row>
    <row r="2853" customFormat="false" ht="15" hidden="false" customHeight="false" outlineLevel="0" collapsed="false">
      <c r="E2853" s="0" t="str">
        <f aca="false">IF(B2853="","",LOWER(B2853)&amp;"|"&amp;C2853)</f>
        <v/>
      </c>
    </row>
    <row r="2854" customFormat="false" ht="15" hidden="false" customHeight="false" outlineLevel="0" collapsed="false">
      <c r="E2854" s="0" t="str">
        <f aca="false">IF(B2854="","",LOWER(B2854)&amp;"|"&amp;C2854)</f>
        <v/>
      </c>
    </row>
    <row r="2855" customFormat="false" ht="15" hidden="false" customHeight="false" outlineLevel="0" collapsed="false">
      <c r="E2855" s="0" t="str">
        <f aca="false">IF(B2855="","",LOWER(B2855)&amp;"|"&amp;C2855)</f>
        <v/>
      </c>
    </row>
    <row r="2856" customFormat="false" ht="15" hidden="false" customHeight="false" outlineLevel="0" collapsed="false">
      <c r="E2856" s="0" t="str">
        <f aca="false">IF(B2856="","",LOWER(B2856)&amp;"|"&amp;C2856)</f>
        <v/>
      </c>
    </row>
    <row r="2857" customFormat="false" ht="15" hidden="false" customHeight="false" outlineLevel="0" collapsed="false">
      <c r="E2857" s="0" t="str">
        <f aca="false">IF(B2857="","",LOWER(B2857)&amp;"|"&amp;C2857)</f>
        <v/>
      </c>
    </row>
    <row r="2858" customFormat="false" ht="15" hidden="false" customHeight="false" outlineLevel="0" collapsed="false">
      <c r="E2858" s="0" t="str">
        <f aca="false">IF(B2858="","",LOWER(B2858)&amp;"|"&amp;C2858)</f>
        <v/>
      </c>
    </row>
    <row r="2859" customFormat="false" ht="15" hidden="false" customHeight="false" outlineLevel="0" collapsed="false">
      <c r="E2859" s="0" t="str">
        <f aca="false">IF(B2859="","",LOWER(B2859)&amp;"|"&amp;C2859)</f>
        <v/>
      </c>
    </row>
    <row r="2860" customFormat="false" ht="15" hidden="false" customHeight="false" outlineLevel="0" collapsed="false">
      <c r="E2860" s="0" t="str">
        <f aca="false">IF(B2860="","",LOWER(B2860)&amp;"|"&amp;C2860)</f>
        <v/>
      </c>
    </row>
    <row r="2861" customFormat="false" ht="15" hidden="false" customHeight="false" outlineLevel="0" collapsed="false">
      <c r="E2861" s="0" t="str">
        <f aca="false">IF(B2861="","",LOWER(B2861)&amp;"|"&amp;C2861)</f>
        <v/>
      </c>
    </row>
    <row r="2862" customFormat="false" ht="15" hidden="false" customHeight="false" outlineLevel="0" collapsed="false">
      <c r="E2862" s="0" t="str">
        <f aca="false">IF(B2862="","",LOWER(B2862)&amp;"|"&amp;C2862)</f>
        <v/>
      </c>
    </row>
    <row r="2863" customFormat="false" ht="15" hidden="false" customHeight="false" outlineLevel="0" collapsed="false">
      <c r="E2863" s="0" t="str">
        <f aca="false">IF(B2863="","",LOWER(B2863)&amp;"|"&amp;C2863)</f>
        <v/>
      </c>
    </row>
    <row r="2864" customFormat="false" ht="15" hidden="false" customHeight="false" outlineLevel="0" collapsed="false">
      <c r="E2864" s="0" t="str">
        <f aca="false">IF(B2864="","",LOWER(B2864)&amp;"|"&amp;C2864)</f>
        <v/>
      </c>
    </row>
    <row r="2865" customFormat="false" ht="15" hidden="false" customHeight="false" outlineLevel="0" collapsed="false">
      <c r="E2865" s="0" t="str">
        <f aca="false">IF(B2865="","",LOWER(B2865)&amp;"|"&amp;C2865)</f>
        <v/>
      </c>
    </row>
    <row r="2866" customFormat="false" ht="15" hidden="false" customHeight="false" outlineLevel="0" collapsed="false">
      <c r="E2866" s="0" t="str">
        <f aca="false">IF(B2866="","",LOWER(B2866)&amp;"|"&amp;C2866)</f>
        <v/>
      </c>
    </row>
    <row r="2867" customFormat="false" ht="15" hidden="false" customHeight="false" outlineLevel="0" collapsed="false">
      <c r="E2867" s="0" t="str">
        <f aca="false">IF(B2867="","",LOWER(B2867)&amp;"|"&amp;C2867)</f>
        <v/>
      </c>
    </row>
    <row r="2868" customFormat="false" ht="15" hidden="false" customHeight="false" outlineLevel="0" collapsed="false">
      <c r="E2868" s="0" t="str">
        <f aca="false">IF(B2868="","",LOWER(B2868)&amp;"|"&amp;C2868)</f>
        <v/>
      </c>
    </row>
    <row r="2869" customFormat="false" ht="15" hidden="false" customHeight="false" outlineLevel="0" collapsed="false">
      <c r="E2869" s="0" t="str">
        <f aca="false">IF(B2869="","",LOWER(B2869)&amp;"|"&amp;C2869)</f>
        <v/>
      </c>
    </row>
    <row r="2870" customFormat="false" ht="15" hidden="false" customHeight="false" outlineLevel="0" collapsed="false">
      <c r="E2870" s="0" t="str">
        <f aca="false">IF(B2870="","",LOWER(B2870)&amp;"|"&amp;C2870)</f>
        <v/>
      </c>
    </row>
    <row r="2871" customFormat="false" ht="15" hidden="false" customHeight="false" outlineLevel="0" collapsed="false">
      <c r="E2871" s="0" t="str">
        <f aca="false">IF(B2871="","",LOWER(B2871)&amp;"|"&amp;C2871)</f>
        <v/>
      </c>
    </row>
    <row r="2872" customFormat="false" ht="15" hidden="false" customHeight="false" outlineLevel="0" collapsed="false">
      <c r="E2872" s="0" t="str">
        <f aca="false">IF(B2872="","",LOWER(B2872)&amp;"|"&amp;C2872)</f>
        <v/>
      </c>
    </row>
    <row r="2873" customFormat="false" ht="15" hidden="false" customHeight="false" outlineLevel="0" collapsed="false">
      <c r="E2873" s="0" t="str">
        <f aca="false">IF(B2873="","",LOWER(B2873)&amp;"|"&amp;C2873)</f>
        <v/>
      </c>
    </row>
    <row r="2874" customFormat="false" ht="15" hidden="false" customHeight="false" outlineLevel="0" collapsed="false">
      <c r="E2874" s="0" t="str">
        <f aca="false">IF(B2874="","",LOWER(B2874)&amp;"|"&amp;C2874)</f>
        <v/>
      </c>
    </row>
    <row r="2875" customFormat="false" ht="15" hidden="false" customHeight="false" outlineLevel="0" collapsed="false">
      <c r="E2875" s="0" t="str">
        <f aca="false">IF(B2875="","",LOWER(B2875)&amp;"|"&amp;C2875)</f>
        <v/>
      </c>
    </row>
    <row r="2876" customFormat="false" ht="15" hidden="false" customHeight="false" outlineLevel="0" collapsed="false">
      <c r="E2876" s="0" t="str">
        <f aca="false">IF(B2876="","",LOWER(B2876)&amp;"|"&amp;C2876)</f>
        <v/>
      </c>
    </row>
    <row r="2877" customFormat="false" ht="15" hidden="false" customHeight="false" outlineLevel="0" collapsed="false">
      <c r="E2877" s="0" t="str">
        <f aca="false">IF(B2877="","",LOWER(B2877)&amp;"|"&amp;C2877)</f>
        <v/>
      </c>
    </row>
    <row r="2878" customFormat="false" ht="15" hidden="false" customHeight="false" outlineLevel="0" collapsed="false">
      <c r="E2878" s="0" t="str">
        <f aca="false">IF(B2878="","",LOWER(B2878)&amp;"|"&amp;C2878)</f>
        <v/>
      </c>
    </row>
    <row r="2879" customFormat="false" ht="15" hidden="false" customHeight="false" outlineLevel="0" collapsed="false">
      <c r="E2879" s="0" t="str">
        <f aca="false">IF(B2879="","",LOWER(B2879)&amp;"|"&amp;C2879)</f>
        <v/>
      </c>
    </row>
    <row r="2880" customFormat="false" ht="15" hidden="false" customHeight="false" outlineLevel="0" collapsed="false">
      <c r="E2880" s="0" t="str">
        <f aca="false">IF(B2880="","",LOWER(B2880)&amp;"|"&amp;C2880)</f>
        <v/>
      </c>
    </row>
    <row r="2881" customFormat="false" ht="15" hidden="false" customHeight="false" outlineLevel="0" collapsed="false">
      <c r="E2881" s="0" t="str">
        <f aca="false">IF(B2881="","",LOWER(B2881)&amp;"|"&amp;C2881)</f>
        <v/>
      </c>
    </row>
    <row r="2882" customFormat="false" ht="15" hidden="false" customHeight="false" outlineLevel="0" collapsed="false">
      <c r="E2882" s="0" t="str">
        <f aca="false">IF(B2882="","",LOWER(B2882)&amp;"|"&amp;C2882)</f>
        <v/>
      </c>
    </row>
    <row r="2883" customFormat="false" ht="15" hidden="false" customHeight="false" outlineLevel="0" collapsed="false">
      <c r="E2883" s="0" t="str">
        <f aca="false">IF(B2883="","",LOWER(B2883)&amp;"|"&amp;C2883)</f>
        <v/>
      </c>
    </row>
    <row r="2884" customFormat="false" ht="15" hidden="false" customHeight="false" outlineLevel="0" collapsed="false">
      <c r="E2884" s="0" t="str">
        <f aca="false">IF(B2884="","",LOWER(B2884)&amp;"|"&amp;C2884)</f>
        <v/>
      </c>
    </row>
    <row r="2885" customFormat="false" ht="15" hidden="false" customHeight="false" outlineLevel="0" collapsed="false">
      <c r="E2885" s="0" t="str">
        <f aca="false">IF(B2885="","",LOWER(B2885)&amp;"|"&amp;C2885)</f>
        <v/>
      </c>
    </row>
    <row r="2886" customFormat="false" ht="15" hidden="false" customHeight="false" outlineLevel="0" collapsed="false">
      <c r="E2886" s="0" t="str">
        <f aca="false">IF(B2886="","",LOWER(B2886)&amp;"|"&amp;C2886)</f>
        <v/>
      </c>
    </row>
    <row r="2887" customFormat="false" ht="15" hidden="false" customHeight="false" outlineLevel="0" collapsed="false">
      <c r="E2887" s="0" t="str">
        <f aca="false">IF(B2887="","",LOWER(B2887)&amp;"|"&amp;C2887)</f>
        <v/>
      </c>
    </row>
    <row r="2888" customFormat="false" ht="15" hidden="false" customHeight="false" outlineLevel="0" collapsed="false">
      <c r="E2888" s="0" t="str">
        <f aca="false">IF(B2888="","",LOWER(B2888)&amp;"|"&amp;C2888)</f>
        <v/>
      </c>
    </row>
    <row r="2889" customFormat="false" ht="15" hidden="false" customHeight="false" outlineLevel="0" collapsed="false">
      <c r="E2889" s="0" t="str">
        <f aca="false">IF(B2889="","",LOWER(B2889)&amp;"|"&amp;C2889)</f>
        <v/>
      </c>
    </row>
    <row r="2890" customFormat="false" ht="15" hidden="false" customHeight="false" outlineLevel="0" collapsed="false">
      <c r="E2890" s="0" t="str">
        <f aca="false">IF(B2890="","",LOWER(B2890)&amp;"|"&amp;C2890)</f>
        <v/>
      </c>
    </row>
    <row r="2891" customFormat="false" ht="15" hidden="false" customHeight="false" outlineLevel="0" collapsed="false">
      <c r="E2891" s="0" t="str">
        <f aca="false">IF(B2891="","",LOWER(B2891)&amp;"|"&amp;C2891)</f>
        <v/>
      </c>
    </row>
    <row r="2892" customFormat="false" ht="15" hidden="false" customHeight="false" outlineLevel="0" collapsed="false">
      <c r="E2892" s="0" t="str">
        <f aca="false">IF(B2892="","",LOWER(B2892)&amp;"|"&amp;C2892)</f>
        <v/>
      </c>
    </row>
    <row r="2893" customFormat="false" ht="15" hidden="false" customHeight="false" outlineLevel="0" collapsed="false">
      <c r="E2893" s="0" t="str">
        <f aca="false">IF(B2893="","",LOWER(B2893)&amp;"|"&amp;C2893)</f>
        <v/>
      </c>
    </row>
    <row r="2894" customFormat="false" ht="15" hidden="false" customHeight="false" outlineLevel="0" collapsed="false">
      <c r="E2894" s="0" t="str">
        <f aca="false">IF(B2894="","",LOWER(B2894)&amp;"|"&amp;C2894)</f>
        <v/>
      </c>
    </row>
    <row r="2895" customFormat="false" ht="15" hidden="false" customHeight="false" outlineLevel="0" collapsed="false">
      <c r="E2895" s="0" t="str">
        <f aca="false">IF(B2895="","",LOWER(B2895)&amp;"|"&amp;C2895)</f>
        <v/>
      </c>
    </row>
    <row r="2896" customFormat="false" ht="15" hidden="false" customHeight="false" outlineLevel="0" collapsed="false">
      <c r="E2896" s="0" t="str">
        <f aca="false">IF(B2896="","",LOWER(B2896)&amp;"|"&amp;C2896)</f>
        <v/>
      </c>
    </row>
    <row r="2897" customFormat="false" ht="15" hidden="false" customHeight="false" outlineLevel="0" collapsed="false">
      <c r="E2897" s="0" t="str">
        <f aca="false">IF(B2897="","",LOWER(B2897)&amp;"|"&amp;C2897)</f>
        <v/>
      </c>
    </row>
    <row r="2898" customFormat="false" ht="15" hidden="false" customHeight="false" outlineLevel="0" collapsed="false">
      <c r="E2898" s="0" t="str">
        <f aca="false">IF(B2898="","",LOWER(B2898)&amp;"|"&amp;C2898)</f>
        <v/>
      </c>
    </row>
    <row r="2899" customFormat="false" ht="15" hidden="false" customHeight="false" outlineLevel="0" collapsed="false">
      <c r="E2899" s="0" t="str">
        <f aca="false">IF(B2899="","",LOWER(B2899)&amp;"|"&amp;C2899)</f>
        <v/>
      </c>
    </row>
    <row r="2900" customFormat="false" ht="15" hidden="false" customHeight="false" outlineLevel="0" collapsed="false">
      <c r="E2900" s="0" t="str">
        <f aca="false">IF(B2900="","",LOWER(B2900)&amp;"|"&amp;C2900)</f>
        <v/>
      </c>
    </row>
    <row r="2901" customFormat="false" ht="15" hidden="false" customHeight="false" outlineLevel="0" collapsed="false">
      <c r="E2901" s="0" t="str">
        <f aca="false">IF(B2901="","",LOWER(B2901)&amp;"|"&amp;C2901)</f>
        <v/>
      </c>
    </row>
    <row r="2902" customFormat="false" ht="15" hidden="false" customHeight="false" outlineLevel="0" collapsed="false">
      <c r="E2902" s="0" t="str">
        <f aca="false">IF(B2902="","",LOWER(B2902)&amp;"|"&amp;C2902)</f>
        <v/>
      </c>
    </row>
    <row r="2903" customFormat="false" ht="15" hidden="false" customHeight="false" outlineLevel="0" collapsed="false">
      <c r="E2903" s="0" t="str">
        <f aca="false">IF(B2903="","",LOWER(B2903)&amp;"|"&amp;C2903)</f>
        <v/>
      </c>
    </row>
    <row r="2904" customFormat="false" ht="15" hidden="false" customHeight="false" outlineLevel="0" collapsed="false">
      <c r="E2904" s="0" t="str">
        <f aca="false">IF(B2904="","",LOWER(B2904)&amp;"|"&amp;C2904)</f>
        <v/>
      </c>
    </row>
    <row r="2905" customFormat="false" ht="15" hidden="false" customHeight="false" outlineLevel="0" collapsed="false">
      <c r="E2905" s="0" t="str">
        <f aca="false">IF(B2905="","",LOWER(B2905)&amp;"|"&amp;C2905)</f>
        <v/>
      </c>
    </row>
    <row r="2906" customFormat="false" ht="15" hidden="false" customHeight="false" outlineLevel="0" collapsed="false">
      <c r="E2906" s="0" t="str">
        <f aca="false">IF(B2906="","",LOWER(B2906)&amp;"|"&amp;C2906)</f>
        <v/>
      </c>
    </row>
    <row r="2907" customFormat="false" ht="15" hidden="false" customHeight="false" outlineLevel="0" collapsed="false">
      <c r="E2907" s="0" t="str">
        <f aca="false">IF(B2907="","",LOWER(B2907)&amp;"|"&amp;C2907)</f>
        <v/>
      </c>
    </row>
    <row r="2908" customFormat="false" ht="15" hidden="false" customHeight="false" outlineLevel="0" collapsed="false">
      <c r="E2908" s="0" t="str">
        <f aca="false">IF(B2908="","",LOWER(B2908)&amp;"|"&amp;C2908)</f>
        <v/>
      </c>
    </row>
    <row r="2909" customFormat="false" ht="15" hidden="false" customHeight="false" outlineLevel="0" collapsed="false">
      <c r="E2909" s="0" t="str">
        <f aca="false">IF(B2909="","",LOWER(B2909)&amp;"|"&amp;C2909)</f>
        <v/>
      </c>
    </row>
    <row r="2910" customFormat="false" ht="15" hidden="false" customHeight="false" outlineLevel="0" collapsed="false">
      <c r="E2910" s="0" t="str">
        <f aca="false">IF(B2910="","",LOWER(B2910)&amp;"|"&amp;C2910)</f>
        <v/>
      </c>
    </row>
    <row r="2911" customFormat="false" ht="15" hidden="false" customHeight="false" outlineLevel="0" collapsed="false">
      <c r="E2911" s="0" t="str">
        <f aca="false">IF(B2911="","",LOWER(B2911)&amp;"|"&amp;C2911)</f>
        <v/>
      </c>
    </row>
    <row r="2912" customFormat="false" ht="15" hidden="false" customHeight="false" outlineLevel="0" collapsed="false">
      <c r="E2912" s="0" t="str">
        <f aca="false">IF(B2912="","",LOWER(B2912)&amp;"|"&amp;C2912)</f>
        <v/>
      </c>
    </row>
    <row r="2913" customFormat="false" ht="15" hidden="false" customHeight="false" outlineLevel="0" collapsed="false">
      <c r="E2913" s="0" t="str">
        <f aca="false">IF(B2913="","",LOWER(B2913)&amp;"|"&amp;C2913)</f>
        <v/>
      </c>
    </row>
    <row r="2914" customFormat="false" ht="15" hidden="false" customHeight="false" outlineLevel="0" collapsed="false">
      <c r="E2914" s="0" t="str">
        <f aca="false">IF(B2914="","",LOWER(B2914)&amp;"|"&amp;C2914)</f>
        <v/>
      </c>
    </row>
    <row r="2915" customFormat="false" ht="15" hidden="false" customHeight="false" outlineLevel="0" collapsed="false">
      <c r="E2915" s="0" t="str">
        <f aca="false">IF(B2915="","",LOWER(B2915)&amp;"|"&amp;C2915)</f>
        <v/>
      </c>
    </row>
    <row r="2916" customFormat="false" ht="15" hidden="false" customHeight="false" outlineLevel="0" collapsed="false">
      <c r="E2916" s="0" t="str">
        <f aca="false">IF(B2916="","",LOWER(B2916)&amp;"|"&amp;C2916)</f>
        <v/>
      </c>
    </row>
    <row r="2917" customFormat="false" ht="15" hidden="false" customHeight="false" outlineLevel="0" collapsed="false">
      <c r="E2917" s="0" t="str">
        <f aca="false">IF(B2917="","",LOWER(B2917)&amp;"|"&amp;C2917)</f>
        <v/>
      </c>
    </row>
    <row r="2918" customFormat="false" ht="15" hidden="false" customHeight="false" outlineLevel="0" collapsed="false">
      <c r="E2918" s="0" t="str">
        <f aca="false">IF(B2918="","",LOWER(B2918)&amp;"|"&amp;C2918)</f>
        <v/>
      </c>
    </row>
    <row r="2919" customFormat="false" ht="15" hidden="false" customHeight="false" outlineLevel="0" collapsed="false">
      <c r="E2919" s="0" t="str">
        <f aca="false">IF(B2919="","",LOWER(B2919)&amp;"|"&amp;C2919)</f>
        <v/>
      </c>
    </row>
    <row r="2920" customFormat="false" ht="15" hidden="false" customHeight="false" outlineLevel="0" collapsed="false">
      <c r="E2920" s="0" t="str">
        <f aca="false">IF(B2920="","",LOWER(B2920)&amp;"|"&amp;C2920)</f>
        <v/>
      </c>
    </row>
    <row r="2921" customFormat="false" ht="15" hidden="false" customHeight="false" outlineLevel="0" collapsed="false">
      <c r="E2921" s="0" t="str">
        <f aca="false">IF(B2921="","",LOWER(B2921)&amp;"|"&amp;C2921)</f>
        <v/>
      </c>
    </row>
    <row r="2922" customFormat="false" ht="15" hidden="false" customHeight="false" outlineLevel="0" collapsed="false">
      <c r="E2922" s="0" t="str">
        <f aca="false">IF(B2922="","",LOWER(B2922)&amp;"|"&amp;C2922)</f>
        <v/>
      </c>
    </row>
    <row r="2923" customFormat="false" ht="15" hidden="false" customHeight="false" outlineLevel="0" collapsed="false">
      <c r="E2923" s="0" t="str">
        <f aca="false">IF(B2923="","",LOWER(B2923)&amp;"|"&amp;C2923)</f>
        <v/>
      </c>
    </row>
    <row r="2924" customFormat="false" ht="15" hidden="false" customHeight="false" outlineLevel="0" collapsed="false">
      <c r="E2924" s="0" t="str">
        <f aca="false">IF(B2924="","",LOWER(B2924)&amp;"|"&amp;C2924)</f>
        <v/>
      </c>
    </row>
    <row r="2925" customFormat="false" ht="15" hidden="false" customHeight="false" outlineLevel="0" collapsed="false">
      <c r="E2925" s="0" t="str">
        <f aca="false">IF(B2925="","",LOWER(B2925)&amp;"|"&amp;C2925)</f>
        <v/>
      </c>
    </row>
    <row r="2926" customFormat="false" ht="15" hidden="false" customHeight="false" outlineLevel="0" collapsed="false">
      <c r="E2926" s="0" t="str">
        <f aca="false">IF(B2926="","",LOWER(B2926)&amp;"|"&amp;C2926)</f>
        <v/>
      </c>
    </row>
    <row r="2927" customFormat="false" ht="15" hidden="false" customHeight="false" outlineLevel="0" collapsed="false">
      <c r="E2927" s="0" t="str">
        <f aca="false">IF(B2927="","",LOWER(B2927)&amp;"|"&amp;C2927)</f>
        <v/>
      </c>
    </row>
    <row r="2928" customFormat="false" ht="15" hidden="false" customHeight="false" outlineLevel="0" collapsed="false">
      <c r="E2928" s="0" t="str">
        <f aca="false">IF(B2928="","",LOWER(B2928)&amp;"|"&amp;C2928)</f>
        <v/>
      </c>
    </row>
    <row r="2929" customFormat="false" ht="15" hidden="false" customHeight="false" outlineLevel="0" collapsed="false">
      <c r="E2929" s="0" t="str">
        <f aca="false">IF(B2929="","",LOWER(B2929)&amp;"|"&amp;C2929)</f>
        <v/>
      </c>
    </row>
    <row r="2930" customFormat="false" ht="15" hidden="false" customHeight="false" outlineLevel="0" collapsed="false">
      <c r="E2930" s="0" t="str">
        <f aca="false">IF(B2930="","",LOWER(B2930)&amp;"|"&amp;C2930)</f>
        <v/>
      </c>
    </row>
    <row r="2931" customFormat="false" ht="15" hidden="false" customHeight="false" outlineLevel="0" collapsed="false">
      <c r="E2931" s="0" t="str">
        <f aca="false">IF(B2931="","",LOWER(B2931)&amp;"|"&amp;C2931)</f>
        <v/>
      </c>
    </row>
    <row r="2932" customFormat="false" ht="15" hidden="false" customHeight="false" outlineLevel="0" collapsed="false">
      <c r="E2932" s="0" t="str">
        <f aca="false">IF(B2932="","",LOWER(B2932)&amp;"|"&amp;C2932)</f>
        <v/>
      </c>
    </row>
    <row r="2933" customFormat="false" ht="15" hidden="false" customHeight="false" outlineLevel="0" collapsed="false">
      <c r="E2933" s="0" t="str">
        <f aca="false">IF(B2933="","",LOWER(B2933)&amp;"|"&amp;C2933)</f>
        <v/>
      </c>
    </row>
    <row r="2934" customFormat="false" ht="15" hidden="false" customHeight="false" outlineLevel="0" collapsed="false">
      <c r="E2934" s="0" t="str">
        <f aca="false">IF(B2934="","",LOWER(B2934)&amp;"|"&amp;C2934)</f>
        <v/>
      </c>
    </row>
    <row r="2935" customFormat="false" ht="15" hidden="false" customHeight="false" outlineLevel="0" collapsed="false">
      <c r="E2935" s="0" t="str">
        <f aca="false">IF(B2935="","",LOWER(B2935)&amp;"|"&amp;C2935)</f>
        <v/>
      </c>
    </row>
    <row r="2936" customFormat="false" ht="15" hidden="false" customHeight="false" outlineLevel="0" collapsed="false">
      <c r="E2936" s="0" t="str">
        <f aca="false">IF(B2936="","",LOWER(B2936)&amp;"|"&amp;C2936)</f>
        <v/>
      </c>
    </row>
    <row r="2937" customFormat="false" ht="15" hidden="false" customHeight="false" outlineLevel="0" collapsed="false">
      <c r="E2937" s="0" t="str">
        <f aca="false">IF(B2937="","",LOWER(B2937)&amp;"|"&amp;C2937)</f>
        <v/>
      </c>
    </row>
    <row r="2938" customFormat="false" ht="15" hidden="false" customHeight="false" outlineLevel="0" collapsed="false">
      <c r="E2938" s="0" t="str">
        <f aca="false">IF(B2938="","",LOWER(B2938)&amp;"|"&amp;C2938)</f>
        <v/>
      </c>
    </row>
    <row r="2939" customFormat="false" ht="15" hidden="false" customHeight="false" outlineLevel="0" collapsed="false">
      <c r="E2939" s="0" t="str">
        <f aca="false">IF(B2939="","",LOWER(B2939)&amp;"|"&amp;C2939)</f>
        <v/>
      </c>
    </row>
    <row r="2940" customFormat="false" ht="15" hidden="false" customHeight="false" outlineLevel="0" collapsed="false">
      <c r="E2940" s="0" t="str">
        <f aca="false">IF(B2940="","",LOWER(B2940)&amp;"|"&amp;C2940)</f>
        <v/>
      </c>
    </row>
    <row r="2941" customFormat="false" ht="15" hidden="false" customHeight="false" outlineLevel="0" collapsed="false">
      <c r="E2941" s="0" t="str">
        <f aca="false">IF(B2941="","",LOWER(B2941)&amp;"|"&amp;C2941)</f>
        <v/>
      </c>
    </row>
    <row r="2942" customFormat="false" ht="15" hidden="false" customHeight="false" outlineLevel="0" collapsed="false">
      <c r="E2942" s="0" t="str">
        <f aca="false">IF(B2942="","",LOWER(B2942)&amp;"|"&amp;C2942)</f>
        <v/>
      </c>
    </row>
    <row r="2943" customFormat="false" ht="15" hidden="false" customHeight="false" outlineLevel="0" collapsed="false">
      <c r="E2943" s="0" t="str">
        <f aca="false">IF(B2943="","",LOWER(B2943)&amp;"|"&amp;C2943)</f>
        <v/>
      </c>
    </row>
    <row r="2944" customFormat="false" ht="15" hidden="false" customHeight="false" outlineLevel="0" collapsed="false">
      <c r="E2944" s="0" t="str">
        <f aca="false">IF(B2944="","",LOWER(B2944)&amp;"|"&amp;C2944)</f>
        <v/>
      </c>
    </row>
    <row r="2945" customFormat="false" ht="15" hidden="false" customHeight="false" outlineLevel="0" collapsed="false">
      <c r="E2945" s="0" t="str">
        <f aca="false">IF(B2945="","",LOWER(B2945)&amp;"|"&amp;C2945)</f>
        <v/>
      </c>
    </row>
    <row r="2946" customFormat="false" ht="15" hidden="false" customHeight="false" outlineLevel="0" collapsed="false">
      <c r="E2946" s="0" t="str">
        <f aca="false">IF(B2946="","",LOWER(B2946)&amp;"|"&amp;C2946)</f>
        <v/>
      </c>
    </row>
    <row r="2947" customFormat="false" ht="15" hidden="false" customHeight="false" outlineLevel="0" collapsed="false">
      <c r="E2947" s="0" t="str">
        <f aca="false">IF(B2947="","",LOWER(B2947)&amp;"|"&amp;C2947)</f>
        <v/>
      </c>
    </row>
    <row r="2948" customFormat="false" ht="15" hidden="false" customHeight="false" outlineLevel="0" collapsed="false">
      <c r="E2948" s="0" t="str">
        <f aca="false">IF(B2948="","",LOWER(B2948)&amp;"|"&amp;C2948)</f>
        <v/>
      </c>
    </row>
    <row r="2949" customFormat="false" ht="15" hidden="false" customHeight="false" outlineLevel="0" collapsed="false">
      <c r="E2949" s="0" t="str">
        <f aca="false">IF(B2949="","",LOWER(B2949)&amp;"|"&amp;C2949)</f>
        <v/>
      </c>
    </row>
    <row r="2950" customFormat="false" ht="15" hidden="false" customHeight="false" outlineLevel="0" collapsed="false">
      <c r="E2950" s="0" t="str">
        <f aca="false">IF(B2950="","",LOWER(B2950)&amp;"|"&amp;C2950)</f>
        <v/>
      </c>
    </row>
    <row r="2951" customFormat="false" ht="15" hidden="false" customHeight="false" outlineLevel="0" collapsed="false">
      <c r="E2951" s="0" t="str">
        <f aca="false">IF(B2951="","",LOWER(B2951)&amp;"|"&amp;C2951)</f>
        <v/>
      </c>
    </row>
    <row r="2952" customFormat="false" ht="15" hidden="false" customHeight="false" outlineLevel="0" collapsed="false">
      <c r="E2952" s="0" t="str">
        <f aca="false">IF(B2952="","",LOWER(B2952)&amp;"|"&amp;C2952)</f>
        <v/>
      </c>
    </row>
    <row r="2953" customFormat="false" ht="15" hidden="false" customHeight="false" outlineLevel="0" collapsed="false">
      <c r="E2953" s="0" t="str">
        <f aca="false">IF(B2953="","",LOWER(B2953)&amp;"|"&amp;C2953)</f>
        <v/>
      </c>
    </row>
    <row r="2954" customFormat="false" ht="15" hidden="false" customHeight="false" outlineLevel="0" collapsed="false">
      <c r="E2954" s="0" t="str">
        <f aca="false">IF(B2954="","",LOWER(B2954)&amp;"|"&amp;C2954)</f>
        <v/>
      </c>
    </row>
    <row r="2955" customFormat="false" ht="15" hidden="false" customHeight="false" outlineLevel="0" collapsed="false">
      <c r="E2955" s="0" t="str">
        <f aca="false">IF(B2955="","",LOWER(B2955)&amp;"|"&amp;C2955)</f>
        <v/>
      </c>
    </row>
    <row r="2956" customFormat="false" ht="15" hidden="false" customHeight="false" outlineLevel="0" collapsed="false">
      <c r="E2956" s="0" t="str">
        <f aca="false">IF(B2956="","",LOWER(B2956)&amp;"|"&amp;C2956)</f>
        <v/>
      </c>
    </row>
    <row r="2957" customFormat="false" ht="15" hidden="false" customHeight="false" outlineLevel="0" collapsed="false">
      <c r="E2957" s="0" t="str">
        <f aca="false">IF(B2957="","",LOWER(B2957)&amp;"|"&amp;C2957)</f>
        <v/>
      </c>
    </row>
    <row r="2958" customFormat="false" ht="15" hidden="false" customHeight="false" outlineLevel="0" collapsed="false">
      <c r="E2958" s="0" t="str">
        <f aca="false">IF(B2958="","",LOWER(B2958)&amp;"|"&amp;C2958)</f>
        <v/>
      </c>
    </row>
    <row r="2959" customFormat="false" ht="15" hidden="false" customHeight="false" outlineLevel="0" collapsed="false">
      <c r="E2959" s="0" t="str">
        <f aca="false">IF(B2959="","",LOWER(B2959)&amp;"|"&amp;C2959)</f>
        <v/>
      </c>
    </row>
    <row r="2960" customFormat="false" ht="15" hidden="false" customHeight="false" outlineLevel="0" collapsed="false">
      <c r="E2960" s="0" t="str">
        <f aca="false">IF(B2960="","",LOWER(B2960)&amp;"|"&amp;C2960)</f>
        <v/>
      </c>
    </row>
    <row r="2961" customFormat="false" ht="15" hidden="false" customHeight="false" outlineLevel="0" collapsed="false">
      <c r="E2961" s="0" t="str">
        <f aca="false">IF(B2961="","",LOWER(B2961)&amp;"|"&amp;C2961)</f>
        <v/>
      </c>
    </row>
    <row r="2962" customFormat="false" ht="15" hidden="false" customHeight="false" outlineLevel="0" collapsed="false">
      <c r="E2962" s="0" t="str">
        <f aca="false">IF(B2962="","",LOWER(B2962)&amp;"|"&amp;C2962)</f>
        <v/>
      </c>
    </row>
    <row r="2963" customFormat="false" ht="15" hidden="false" customHeight="false" outlineLevel="0" collapsed="false">
      <c r="E2963" s="0" t="str">
        <f aca="false">IF(B2963="","",LOWER(B2963)&amp;"|"&amp;C2963)</f>
        <v/>
      </c>
    </row>
    <row r="2964" customFormat="false" ht="15" hidden="false" customHeight="false" outlineLevel="0" collapsed="false">
      <c r="E2964" s="0" t="str">
        <f aca="false">IF(B2964="","",LOWER(B2964)&amp;"|"&amp;C2964)</f>
        <v/>
      </c>
    </row>
    <row r="2965" customFormat="false" ht="15" hidden="false" customHeight="false" outlineLevel="0" collapsed="false">
      <c r="E2965" s="0" t="str">
        <f aca="false">IF(B2965="","",LOWER(B2965)&amp;"|"&amp;C2965)</f>
        <v/>
      </c>
    </row>
    <row r="2966" customFormat="false" ht="15" hidden="false" customHeight="false" outlineLevel="0" collapsed="false">
      <c r="E2966" s="0" t="str">
        <f aca="false">IF(B2966="","",LOWER(B2966)&amp;"|"&amp;C2966)</f>
        <v/>
      </c>
    </row>
    <row r="2967" customFormat="false" ht="15" hidden="false" customHeight="false" outlineLevel="0" collapsed="false">
      <c r="E2967" s="0" t="str">
        <f aca="false">IF(B2967="","",LOWER(B2967)&amp;"|"&amp;C2967)</f>
        <v/>
      </c>
    </row>
    <row r="2968" customFormat="false" ht="15" hidden="false" customHeight="false" outlineLevel="0" collapsed="false">
      <c r="E2968" s="0" t="str">
        <f aca="false">IF(B2968="","",LOWER(B2968)&amp;"|"&amp;C2968)</f>
        <v/>
      </c>
    </row>
    <row r="2969" customFormat="false" ht="15" hidden="false" customHeight="false" outlineLevel="0" collapsed="false">
      <c r="E2969" s="0" t="str">
        <f aca="false">IF(B2969="","",LOWER(B2969)&amp;"|"&amp;C2969)</f>
        <v/>
      </c>
    </row>
    <row r="2970" customFormat="false" ht="15" hidden="false" customHeight="false" outlineLevel="0" collapsed="false">
      <c r="E2970" s="0" t="str">
        <f aca="false">IF(B2970="","",LOWER(B2970)&amp;"|"&amp;C2970)</f>
        <v/>
      </c>
    </row>
    <row r="2971" customFormat="false" ht="15" hidden="false" customHeight="false" outlineLevel="0" collapsed="false">
      <c r="E2971" s="0" t="str">
        <f aca="false">IF(B2971="","",LOWER(B2971)&amp;"|"&amp;C2971)</f>
        <v/>
      </c>
    </row>
    <row r="2972" customFormat="false" ht="15" hidden="false" customHeight="false" outlineLevel="0" collapsed="false">
      <c r="E2972" s="0" t="str">
        <f aca="false">IF(B2972="","",LOWER(B2972)&amp;"|"&amp;C2972)</f>
        <v/>
      </c>
    </row>
    <row r="2973" customFormat="false" ht="15" hidden="false" customHeight="false" outlineLevel="0" collapsed="false">
      <c r="E2973" s="0" t="str">
        <f aca="false">IF(B2973="","",LOWER(B2973)&amp;"|"&amp;C2973)</f>
        <v/>
      </c>
    </row>
    <row r="2974" customFormat="false" ht="15" hidden="false" customHeight="false" outlineLevel="0" collapsed="false">
      <c r="E2974" s="0" t="str">
        <f aca="false">IF(B2974="","",LOWER(B2974)&amp;"|"&amp;C2974)</f>
        <v/>
      </c>
    </row>
    <row r="2975" customFormat="false" ht="15" hidden="false" customHeight="false" outlineLevel="0" collapsed="false">
      <c r="E2975" s="0" t="str">
        <f aca="false">IF(B2975="","",LOWER(B2975)&amp;"|"&amp;C2975)</f>
        <v/>
      </c>
    </row>
    <row r="2976" customFormat="false" ht="15" hidden="false" customHeight="false" outlineLevel="0" collapsed="false">
      <c r="E2976" s="0" t="str">
        <f aca="false">IF(B2976="","",LOWER(B2976)&amp;"|"&amp;C2976)</f>
        <v/>
      </c>
    </row>
    <row r="2977" customFormat="false" ht="15" hidden="false" customHeight="false" outlineLevel="0" collapsed="false">
      <c r="E2977" s="0" t="str">
        <f aca="false">IF(B2977="","",LOWER(B2977)&amp;"|"&amp;C2977)</f>
        <v/>
      </c>
    </row>
    <row r="2978" customFormat="false" ht="15" hidden="false" customHeight="false" outlineLevel="0" collapsed="false">
      <c r="E2978" s="0" t="str">
        <f aca="false">IF(B2978="","",LOWER(B2978)&amp;"|"&amp;C2978)</f>
        <v/>
      </c>
    </row>
    <row r="2979" customFormat="false" ht="15" hidden="false" customHeight="false" outlineLevel="0" collapsed="false">
      <c r="E2979" s="0" t="str">
        <f aca="false">IF(B2979="","",LOWER(B2979)&amp;"|"&amp;C2979)</f>
        <v/>
      </c>
    </row>
    <row r="2980" customFormat="false" ht="15" hidden="false" customHeight="false" outlineLevel="0" collapsed="false">
      <c r="E2980" s="0" t="str">
        <f aca="false">IF(B2980="","",LOWER(B2980)&amp;"|"&amp;C2980)</f>
        <v/>
      </c>
    </row>
    <row r="2981" customFormat="false" ht="15" hidden="false" customHeight="false" outlineLevel="0" collapsed="false">
      <c r="E2981" s="0" t="str">
        <f aca="false">IF(B2981="","",LOWER(B2981)&amp;"|"&amp;C2981)</f>
        <v/>
      </c>
    </row>
    <row r="2982" customFormat="false" ht="15" hidden="false" customHeight="false" outlineLevel="0" collapsed="false">
      <c r="E2982" s="0" t="str">
        <f aca="false">IF(B2982="","",LOWER(B2982)&amp;"|"&amp;C2982)</f>
        <v/>
      </c>
    </row>
    <row r="2983" customFormat="false" ht="15" hidden="false" customHeight="false" outlineLevel="0" collapsed="false">
      <c r="E2983" s="0" t="str">
        <f aca="false">IF(B2983="","",LOWER(B2983)&amp;"|"&amp;C2983)</f>
        <v/>
      </c>
    </row>
    <row r="2984" customFormat="false" ht="15" hidden="false" customHeight="false" outlineLevel="0" collapsed="false">
      <c r="E2984" s="0" t="str">
        <f aca="false">IF(B2984="","",LOWER(B2984)&amp;"|"&amp;C2984)</f>
        <v/>
      </c>
    </row>
    <row r="2985" customFormat="false" ht="15" hidden="false" customHeight="false" outlineLevel="0" collapsed="false">
      <c r="E2985" s="0" t="str">
        <f aca="false">IF(B2985="","",LOWER(B2985)&amp;"|"&amp;C2985)</f>
        <v/>
      </c>
    </row>
    <row r="2986" customFormat="false" ht="15" hidden="false" customHeight="false" outlineLevel="0" collapsed="false">
      <c r="E2986" s="0" t="str">
        <f aca="false">IF(B2986="","",LOWER(B2986)&amp;"|"&amp;C2986)</f>
        <v/>
      </c>
    </row>
    <row r="2987" customFormat="false" ht="15" hidden="false" customHeight="false" outlineLevel="0" collapsed="false">
      <c r="E2987" s="0" t="str">
        <f aca="false">IF(B2987="","",LOWER(B2987)&amp;"|"&amp;C2987)</f>
        <v/>
      </c>
    </row>
    <row r="2988" customFormat="false" ht="15" hidden="false" customHeight="false" outlineLevel="0" collapsed="false">
      <c r="E2988" s="0" t="str">
        <f aca="false">IF(B2988="","",LOWER(B2988)&amp;"|"&amp;C2988)</f>
        <v/>
      </c>
    </row>
    <row r="2989" customFormat="false" ht="15" hidden="false" customHeight="false" outlineLevel="0" collapsed="false">
      <c r="E2989" s="0" t="str">
        <f aca="false">IF(B2989="","",LOWER(B2989)&amp;"|"&amp;C2989)</f>
        <v/>
      </c>
    </row>
    <row r="2990" customFormat="false" ht="15" hidden="false" customHeight="false" outlineLevel="0" collapsed="false">
      <c r="E2990" s="0" t="str">
        <f aca="false">IF(B2990="","",LOWER(B2990)&amp;"|"&amp;C2990)</f>
        <v/>
      </c>
    </row>
    <row r="2991" customFormat="false" ht="15" hidden="false" customHeight="false" outlineLevel="0" collapsed="false">
      <c r="E2991" s="0" t="str">
        <f aca="false">IF(B2991="","",LOWER(B2991)&amp;"|"&amp;C2991)</f>
        <v/>
      </c>
    </row>
    <row r="2992" customFormat="false" ht="15" hidden="false" customHeight="false" outlineLevel="0" collapsed="false">
      <c r="E2992" s="0" t="str">
        <f aca="false">IF(B2992="","",LOWER(B2992)&amp;"|"&amp;C2992)</f>
        <v/>
      </c>
    </row>
    <row r="2993" customFormat="false" ht="15" hidden="false" customHeight="false" outlineLevel="0" collapsed="false">
      <c r="E2993" s="0" t="str">
        <f aca="false">IF(B2993="","",LOWER(B2993)&amp;"|"&amp;C2993)</f>
        <v/>
      </c>
    </row>
    <row r="2994" customFormat="false" ht="15" hidden="false" customHeight="false" outlineLevel="0" collapsed="false">
      <c r="E2994" s="0" t="str">
        <f aca="false">IF(B2994="","",LOWER(B2994)&amp;"|"&amp;C2994)</f>
        <v/>
      </c>
    </row>
    <row r="2995" customFormat="false" ht="15" hidden="false" customHeight="false" outlineLevel="0" collapsed="false">
      <c r="E2995" s="0" t="str">
        <f aca="false">IF(B2995="","",LOWER(B2995)&amp;"|"&amp;C2995)</f>
        <v/>
      </c>
    </row>
    <row r="2996" customFormat="false" ht="15" hidden="false" customHeight="false" outlineLevel="0" collapsed="false">
      <c r="E2996" s="0" t="str">
        <f aca="false">IF(B2996="","",LOWER(B2996)&amp;"|"&amp;C2996)</f>
        <v/>
      </c>
    </row>
    <row r="2997" customFormat="false" ht="15" hidden="false" customHeight="false" outlineLevel="0" collapsed="false">
      <c r="E2997" s="0" t="str">
        <f aca="false">IF(B2997="","",LOWER(B2997)&amp;"|"&amp;C2997)</f>
        <v/>
      </c>
    </row>
    <row r="2998" customFormat="false" ht="15" hidden="false" customHeight="false" outlineLevel="0" collapsed="false">
      <c r="E2998" s="0" t="str">
        <f aca="false">IF(B2998="","",LOWER(B2998)&amp;"|"&amp;C2998)</f>
        <v/>
      </c>
    </row>
    <row r="2999" customFormat="false" ht="15" hidden="false" customHeight="false" outlineLevel="0" collapsed="false">
      <c r="E2999" s="0" t="str">
        <f aca="false">IF(B2999="","",LOWER(B2999)&amp;"|"&amp;C2999)</f>
        <v/>
      </c>
    </row>
    <row r="3000" customFormat="false" ht="15" hidden="false" customHeight="false" outlineLevel="0" collapsed="false">
      <c r="E3000" s="0" t="str">
        <f aca="false">IF(B3000="","",LOWER(B3000)&amp;"|"&amp;C3000)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2026-09-25T10:52:19Z</dcterms:created>
  <dc:creator>openpyxl</dc:creator>
  <dc:description/>
  <dc:language>en-US</dc:language>
  <cp:lastModifiedBy/>
  <dcterms:modified xsi:type="dcterms:W3CDTF">2026-09-25T10:52:21Z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